
<file path=[Content_Types].xml><?xml version="1.0" encoding="utf-8"?>
<Types xmlns="http://schemas.openxmlformats.org/package/2006/content-types">
  <Default Extension="png" ContentType="image/png"/>
  <Default Extension="jpg" ContentType="image/jp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Default Extension="vml" ContentType="application/vnd.openxmlformats-officedocument.vmlDrawing"/>
  <Override PartName="/xl/comments2.xml" ContentType="application/vnd.openxmlformats-officedocument.spreadsheetml.comments+xml"/>
  <Override PartName="/xl/comments4.xml" ContentType="application/vnd.openxmlformats-officedocument.spreadsheetml.comments+xml"/>
  <Override PartName="/xl/comments7.xml" ContentType="application/vnd.openxmlformats-officedocument.spreadsheetml.comments+xml"/>
  <Override PartName="/xl/comments8.xml" ContentType="application/vnd.openxmlformats-officedocument.spreadsheetml.comments+xml"/>
  <Override PartName="/xl/comments9.xml" ContentType="application/vnd.openxmlformats-officedocument.spreadsheetml.comments+xml"/>
  <Override PartName="/xl/comments11.xml" ContentType="application/vnd.openxmlformats-officedocument.spreadsheetml.comments+xml"/>
  <Override PartName="/xl/comments13.xml" ContentType="application/vnd.openxmlformats-officedocument.spreadsheetml.comments+xml"/>
  <Override PartName="/xl/comments14.xml" ContentType="application/vnd.openxmlformats-officedocument.spreadsheetml.comments+xml"/>
  <Override PartName="/xl/comments15.xml" ContentType="application/vnd.openxmlformats-officedocument.spreadsheetml.comments+xml"/>
  <Override PartName="/xl/comments16.xml" ContentType="application/vnd.openxmlformats-officedocument.spreadsheetml.comments+xml"/>
  <Override PartName="/xl/comments17.xml" ContentType="application/vnd.openxmlformats-officedocument.spreadsheetml.comments+xml"/>
  <Override PartName="/xl/comments19.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bookViews>
    <workbookView xWindow="0" yWindow="680" windowWidth="34200" windowHeight="20000"/>
  </bookViews>
  <sheets>
    <sheet sheetId="1" name="Intro" state="visible" r:id="rId4"/>
    <sheet sheetId="2" name="Cover" state="visible" r:id="rId5"/>
    <sheet sheetId="3" name="Summary" state="visible" r:id="rId6"/>
    <sheet sheetId="4" name="Model Output" state="visible" r:id="rId7"/>
    <sheet sheetId="5" name="Football Field" state="visible" r:id="rId8"/>
    <sheet sheetId="6" name="Integrity" state="visible" r:id="rId9"/>
    <sheet sheetId="7" name="Revenue Build" state="visible" r:id="rId10"/>
    <sheet sheetId="8" name="Model" state="visible" r:id="rId11"/>
    <sheet sheetId="9" name="Segment Analysis" state="visible" r:id="rId12"/>
    <sheet sheetId="10" name="Drivers" state="visible" r:id="rId13"/>
    <sheet sheetId="11" name="Comparables" state="visible" r:id="rId14"/>
    <sheet sheetId="12" name="CIQ ID Locater" state="visible" r:id="rId15"/>
    <sheet sheetId="13" name="WACC" state="visible" r:id="rId16"/>
    <sheet sheetId="14" name="Valuation" state="visible" r:id="rId17"/>
    <sheet sheetId="15" name="Multiples Data" state="visible" r:id="rId18"/>
    <sheet sheetId="16" name="Charts" state="visible" r:id="rId19"/>
    <sheet sheetId="17" name="Benchmark" state="visible" r:id="rId20"/>
    <sheet sheetId="18" name="Pre-Earnings" state="visible" r:id="rId21"/>
    <sheet sheetId="19" name="Post-Earnings" state="visible" r:id="rId22"/>
    <sheet sheetId="20" name="Mapping Audit" state="visible" r:id="rId23"/>
  </sheets>
  <definedNames>
    <definedName name="_bdm.146e958bbea04416b86a4d5943392c04.edm">Model!$M$100</definedName>
    <definedName name="_bdm.bf5a9ed53fe44c598e3cfb84ac34b21f.edm">Integrity!$F$37</definedName>
    <definedName name="Case_Scenario">Cover!$F$22</definedName>
    <definedName name="Company_Cyclical_Multiples_Data">'Multiples Data'!$C$14:$H$26</definedName>
    <definedName name="Company_Name">Cover!$F$19</definedName>
    <definedName name="Company_Rev_Methodology">'Revenue Build'!$C$7</definedName>
    <definedName name="Cost_of_Debt">WACC!$G$17</definedName>
    <definedName name="Cost_of_Equity">WACC!$G$25</definedName>
    <definedName name="Cost_of_Preferred">WACC!$G$10</definedName>
    <definedName name="Current_Date">Cover!$F$27</definedName>
    <definedName name="Cycle_Period_Toggle">Valuation!$G$221</definedName>
    <definedName name="Cycle_Toggle">Valuation!$G$220</definedName>
    <definedName name="Cyclical_LTM_NTM_Toggle">Valuation!$G$222</definedName>
    <definedName name="Cyclical_Peer_Group_Toggle">Valuation!$G$223</definedName>
    <definedName name="Data">Model!$C$25:$AK$159</definedName>
    <definedName name="Diluted_Shares">Cover!$F$35</definedName>
    <definedName name="Discount_Rate">WACC!$O$13</definedName>
    <definedName name="Div_Yield">Cover!$F$34</definedName>
    <definedName name="ERP">WACC!$G$7</definedName>
    <definedName name="Fiscal_Periods">Model!$C$25:$AG$25</definedName>
    <definedName name="Header_Row">$IV$11:$ROW$17</definedName>
    <definedName name="Hun">Cover!$F$41</definedName>
    <definedName name="IQRAF17">$AF$18:$AF$269</definedName>
    <definedName name="IQRC117">$C$118</definedName>
    <definedName name="IQRC12">$C$13</definedName>
    <definedName name="IQRC121">$C$122</definedName>
    <definedName name="IQRC123">$C$124</definedName>
    <definedName name="IQRC124">$C$125</definedName>
    <definedName name="IQRC125">$C$126</definedName>
    <definedName name="IQRC126">$C$127</definedName>
    <definedName name="IQRC5">$C$6:$C$13</definedName>
    <definedName name="IQRC94">$C$95</definedName>
    <definedName name="IQRCIQIDLocaterI13">'CIQ ID Locater'!$K$14:$O$14</definedName>
    <definedName name="IQRCIQIDLocaterI14">'CIQ ID Locater'!$K$15:$O$15</definedName>
    <definedName name="IQRCIQIDLocaterI15">'CIQ ID Locater'!$K$16:$O$16</definedName>
    <definedName name="IQRCIQIDLocaterI16">'CIQ ID Locater'!$K$17:$O$17</definedName>
    <definedName name="IQRCIQIDLocaterI17">'CIQ ID Locater'!$K$18:$N$18</definedName>
    <definedName name="IQRCIQIDLocaterI18">'CIQ ID Locater'!$K$19:$O$19</definedName>
    <definedName name="IQRCIQIDLocaterI19">'CIQ ID Locater'!$K$20:$O$20</definedName>
    <definedName name="IQRCIQIDLocaterI20">'CIQ ID Locater'!$K$21:$O$21</definedName>
    <definedName name="IQRCIQIDLocaterI21">'CIQ ID Locater'!$K$22:$O$22</definedName>
    <definedName name="IQRCIQIDLocaterI22">'CIQ ID Locater'!$K$23:$O$23</definedName>
    <definedName name="IQRCIQIDLocaterI23">'CIQ ID Locater'!$K$24:$O$24</definedName>
    <definedName name="IQRCIQIDLocaterI24">'CIQ ID Locater'!$K$25:$O$25</definedName>
    <definedName name="IQRCIQIDLocaterI25">'CIQ ID Locater'!$K$26:$O$26</definedName>
    <definedName name="IQRCIQIDLocaterI26">'CIQ ID Locater'!$K$27:$O$27</definedName>
    <definedName name="IQRCIQIDLocaterI27">'CIQ ID Locater'!$K$28:$O$28</definedName>
    <definedName name="IQRCIQIDLocaterI28">'CIQ ID Locater'!$K$29:$L$29</definedName>
    <definedName name="IQRCIQIDLocaterI29">'CIQ ID Locater'!$K$30</definedName>
    <definedName name="IQRCIQIDLocaterO13">'CIQ ID Locater'!$Q$14:$U$14</definedName>
    <definedName name="IQRCIQIDLocaterO14">'CIQ ID Locater'!$Q$15:$U$15</definedName>
    <definedName name="IQRCIQIDLocaterO15">'CIQ ID Locater'!$Q$16:$U$16</definedName>
    <definedName name="IQRCIQIDLocaterO16">'CIQ ID Locater'!$Q$17:$U$17</definedName>
    <definedName name="IQRCIQIDLocaterO17">'CIQ ID Locater'!$Q$18:$T$18</definedName>
    <definedName name="IQRCIQIDLocaterO18">'CIQ ID Locater'!$Q$19:$U$19</definedName>
    <definedName name="IQRCIQIDLocaterO19">'CIQ ID Locater'!$Q$20:$U$20</definedName>
    <definedName name="IQRCIQIDLocaterO20">'CIQ ID Locater'!$Q$21:$U$21</definedName>
    <definedName name="IQRCIQIDLocaterO21">'CIQ ID Locater'!$Q$22:$U$22</definedName>
    <definedName name="IQRCIQIDLocaterO22">'CIQ ID Locater'!$Q$23:$U$23</definedName>
    <definedName name="IQRCIQIDLocaterO23">'CIQ ID Locater'!$Q$24:$U$24</definedName>
    <definedName name="IQRCIQIDLocaterO24">'CIQ ID Locater'!$Q$25:$U$25</definedName>
    <definedName name="IQRCIQIDLocaterO25">'CIQ ID Locater'!$Q$26:$U$26</definedName>
    <definedName name="IQRCIQIDLocaterO26">'CIQ ID Locater'!$Q$27:$U$27</definedName>
    <definedName name="IQRCIQIDLocaterO27">'CIQ ID Locater'!$Q$28:$U$28</definedName>
    <definedName name="IQRCIQIDLocaterO28">'CIQ ID Locater'!$Q$29:$R$29</definedName>
    <definedName name="IQRCIQIDLocaterO29">'CIQ ID Locater'!$Q$30</definedName>
    <definedName name="IQRCompaniesH13">'CIQ ID Locater'!$K$13:$O$13</definedName>
    <definedName name="IQRCompaniesH14">'CIQ ID Locater'!$K$14:$O$14</definedName>
    <definedName name="IQRCompaniesH15">'CIQ ID Locater'!$K$15:$O$15</definedName>
    <definedName name="IQRCompaniesH17">'CIQ ID Locater'!$K$16:$O$16</definedName>
    <definedName name="IQRCompaniesH18">'CIQ ID Locater'!$K$17:$O$17</definedName>
    <definedName name="IQRCompaniesH19">'CIQ ID Locater'!$K$18:$O$18</definedName>
    <definedName name="IQRCompaniesH20">'CIQ ID Locater'!$K$19:$O$19</definedName>
    <definedName name="IQRCompaniesI13">'CIQ ID Locater'!$K$13:$L$13</definedName>
    <definedName name="IQRCompaniesI14">'CIQ ID Locater'!$K$14:$M$14</definedName>
    <definedName name="IQRCompaniesI15">'CIQ ID Locater'!$K$15</definedName>
    <definedName name="IQRCompaniesI16">'CIQ ID Locater'!$K$16:$O$16</definedName>
    <definedName name="IQRCompaniesI17">'CIQ ID Locater'!$K$17:$O$17</definedName>
    <definedName name="IQRCompaniesI18">'CIQ ID Locater'!$K$18</definedName>
    <definedName name="IQRCompaniesI19">'CIQ ID Locater'!$K$19</definedName>
    <definedName name="IQRCompaniesI20">'CIQ ID Locater'!$K$20:$L$20</definedName>
    <definedName name="IQRCompaniesI21">'CIQ ID Locater'!$K$21:$O$21</definedName>
    <definedName name="IQRCompaniesI22">'CIQ ID Locater'!$K$22:$O$22</definedName>
    <definedName name="IQRCompaniesI23">'CIQ ID Locater'!$K$23:$O$23</definedName>
    <definedName name="IQRCompaniesI24">'CIQ ID Locater'!$K$24:$O$24</definedName>
    <definedName name="IQRCompaniesI25">'CIQ ID Locater'!$K$25:$O$25</definedName>
    <definedName name="IQRCompaniesI26">'CIQ ID Locater'!$K$26:$O$26</definedName>
    <definedName name="IQRCompaniesI27">'CIQ ID Locater'!$K$27:$O$27</definedName>
    <definedName name="IQRCompaniesI28">'CIQ ID Locater'!$K$28:$L$28</definedName>
    <definedName name="IQRCompaniesI29">'CIQ ID Locater'!$K$29:$L$29</definedName>
    <definedName name="IQRCompaniesI30">'CIQ ID Locater'!$K$30</definedName>
    <definedName name="IQRCompaniesI31">'CIQ ID Locater'!$K$30</definedName>
    <definedName name="IQRCompaniesN13">'CIQ ID Locater'!$Q$13:$U$13</definedName>
    <definedName name="IQRCompaniesN14">'CIQ ID Locater'!$Q$14:$U$14</definedName>
    <definedName name="IQRCompaniesN15">'CIQ ID Locater'!$Q$15:$U$15</definedName>
    <definedName name="IQRCompaniesN17">'CIQ ID Locater'!$Q$16:$U$16</definedName>
    <definedName name="IQRCompaniesN18">'CIQ ID Locater'!$Q$17:$U$17</definedName>
    <definedName name="IQRCompaniesN19">'CIQ ID Locater'!$Q$18:$U$18</definedName>
    <definedName name="IQRCompaniesN20">'CIQ ID Locater'!$Q$19:$U$19</definedName>
    <definedName name="IQRCompaniesO13">'CIQ ID Locater'!$Q$13:$R$13</definedName>
    <definedName name="IQRCompaniesO14">'CIQ ID Locater'!$Q$14:$S$14</definedName>
    <definedName name="IQRCompaniesO15">'CIQ ID Locater'!$Q$15</definedName>
    <definedName name="IQRCompaniesO16">'CIQ ID Locater'!$Q$16:$U$16</definedName>
    <definedName name="IQRCompaniesO17">'CIQ ID Locater'!$Q$17:$U$17</definedName>
    <definedName name="IQRCompaniesO18">'CIQ ID Locater'!$Q$18</definedName>
    <definedName name="IQRCompaniesO19">'CIQ ID Locater'!$Q$19</definedName>
    <definedName name="IQRCompaniesO20">'CIQ ID Locater'!$Q$20:$R$20</definedName>
    <definedName name="IQRCompaniesO21">'CIQ ID Locater'!$Q$21:$U$21</definedName>
    <definedName name="IQRCompaniesO22">'CIQ ID Locater'!$Q$22:$U$22</definedName>
    <definedName name="IQRCompaniesO23">'CIQ ID Locater'!$Q$23:$U$23</definedName>
    <definedName name="IQRCompaniesO24">'CIQ ID Locater'!$Q$24:$U$24</definedName>
    <definedName name="IQRCompaniesO25">'CIQ ID Locater'!$Q$25:$U$25</definedName>
    <definedName name="IQRCompaniesO26">'CIQ ID Locater'!$Q$26:$U$26</definedName>
    <definedName name="IQRCompaniesO27">'CIQ ID Locater'!$Q$27:$U$27</definedName>
    <definedName name="IQRCompaniesO28">'CIQ ID Locater'!$Q$28:$R$28</definedName>
    <definedName name="IQRCompaniesO29">'CIQ ID Locater'!$Q$29:$R$29</definedName>
    <definedName name="IQRCompaniesO30">'CIQ ID Locater'!$Q$30</definedName>
    <definedName name="IQRCompaniesO31">'CIQ ID Locater'!$Q$30</definedName>
    <definedName name="IQRCompayIDLocaterI13">'CIQ ID Locater'!$K$13:$L$13</definedName>
    <definedName name="IQRCompayIDLocaterI14">'CIQ ID Locater'!$K$14:$M$14</definedName>
    <definedName name="IQRCompayIDLocaterI15">'CIQ ID Locater'!$K$15</definedName>
    <definedName name="IQRCompayIDLocaterI16">'CIQ ID Locater'!$K$16:$O$16</definedName>
    <definedName name="IQRCompayIDLocaterI17">'CIQ ID Locater'!$K$17:$O$17</definedName>
    <definedName name="IQRCompayIDLocaterI18">'CIQ ID Locater'!$K$18</definedName>
    <definedName name="IQRCompayIDLocaterI19">'CIQ ID Locater'!$K$19</definedName>
    <definedName name="IQRCompayIDLocaterI20">'CIQ ID Locater'!$K$20:$L$20</definedName>
    <definedName name="IQRCompayIDLocaterI21">'CIQ ID Locater'!$K$21:$O$21</definedName>
    <definedName name="IQRCompayIDLocaterI22">'CIQ ID Locater'!$K$22:$O$22</definedName>
    <definedName name="IQRCompayIDLocaterI23">'CIQ ID Locater'!$K$23:$O$23</definedName>
    <definedName name="IQRCompayIDLocaterI24">'CIQ ID Locater'!$K$24:$O$24</definedName>
    <definedName name="IQRCompayIDLocaterI25">'CIQ ID Locater'!$K$25:$O$25</definedName>
    <definedName name="IQRCompayIDLocaterI26">'CIQ ID Locater'!$K$26:$O$26</definedName>
    <definedName name="IQRCompayIDLocaterI27">'CIQ ID Locater'!$K$27:$O$27</definedName>
    <definedName name="IQRCompayIDLocaterI28">'CIQ ID Locater'!$K$28:$L$28</definedName>
    <definedName name="IQRCompayIDLocaterI29">'CIQ ID Locater'!$K$29:$L$29</definedName>
    <definedName name="IQRCompayIDLocaterI30">'CIQ ID Locater'!$K$30</definedName>
    <definedName name="IQRCompayIDLocaterO13">'CIQ ID Locater'!$Q$13:$R$13</definedName>
    <definedName name="IQRCompayIDLocaterO14">'CIQ ID Locater'!$Q$14:$S$14</definedName>
    <definedName name="IQRCompayIDLocaterO15">'CIQ ID Locater'!$Q$15</definedName>
    <definedName name="IQRCompayIDLocaterO16">'CIQ ID Locater'!$Q$16:$U$16</definedName>
    <definedName name="IQRCompayIDLocaterO17">'CIQ ID Locater'!$Q$17:$U$17</definedName>
    <definedName name="IQRCompayIDLocaterO18">'CIQ ID Locater'!$Q$18</definedName>
    <definedName name="IQRCompayIDLocaterO19">'CIQ ID Locater'!$Q$19</definedName>
    <definedName name="IQRCompayIDLocaterO20">'CIQ ID Locater'!$Q$20:$R$20</definedName>
    <definedName name="IQRCompayIDLocaterO21">'CIQ ID Locater'!$Q$21:$U$21</definedName>
    <definedName name="IQRCompayIDLocaterO22">'CIQ ID Locater'!$Q$22:$U$22</definedName>
    <definedName name="IQRCompayIDLocaterO23">'CIQ ID Locater'!$Q$23:$U$23</definedName>
    <definedName name="IQRCompayIDLocaterO24">'CIQ ID Locater'!$Q$24:$U$24</definedName>
    <definedName name="IQRCompayIDLocaterO25">'CIQ ID Locater'!$Q$25:$U$25</definedName>
    <definedName name="IQRCompayIDLocaterO26">'CIQ ID Locater'!$Q$26:$U$26</definedName>
    <definedName name="IQRCompayIDLocaterO27">'CIQ ID Locater'!$Q$27:$U$27</definedName>
    <definedName name="IQRCompayIDLocaterO28">'CIQ ID Locater'!$Q$28:$R$28</definedName>
    <definedName name="IQRCompayIDLocaterO29">'CIQ ID Locater'!$Q$29:$R$29</definedName>
    <definedName name="IQRCompayIDLocaterO30">'CIQ ID Locater'!$Q$30</definedName>
    <definedName name="IQRF54">$F$55:$F$62</definedName>
    <definedName name="IQRG12">$H$12:$L$12</definedName>
    <definedName name="IQRG54">$G$55:$G$62</definedName>
    <definedName name="IQRH12">$I$12:$M$12</definedName>
    <definedName name="IQRH13">$I$13:$M$13</definedName>
    <definedName name="IQRH14">$I$14</definedName>
    <definedName name="IQRH15">$I$15:$M$15</definedName>
    <definedName name="IQRH16">$I$16:$M$16</definedName>
    <definedName name="IQRH17">$I$17:$M$17</definedName>
    <definedName name="IQRH18">$I$18:$M$18</definedName>
    <definedName name="IQRH19">$I$19:$M$19</definedName>
    <definedName name="IQRH20">$I$20:$M$20</definedName>
    <definedName name="IQRH21">$I$21</definedName>
    <definedName name="IQRH22">$I$22</definedName>
    <definedName name="IQRH23">$I$23</definedName>
    <definedName name="IQRH24">$I$24</definedName>
    <definedName name="IQRH25">$I$25</definedName>
    <definedName name="IQRH26">$I$26</definedName>
    <definedName name="IQRH27">$I$27</definedName>
    <definedName name="IQRH28">$I$28</definedName>
    <definedName name="IQRJ22">$J$23</definedName>
    <definedName name="IQRK10">$K$11</definedName>
    <definedName name="IQRK15">$K$16:$K$23</definedName>
    <definedName name="IQRL10">$L$11</definedName>
    <definedName name="IQRL15">$L$16:$L$23</definedName>
    <definedName name="IQRL16">$L$17:$L$24</definedName>
    <definedName name="IQRL17">$L$18:$L$25</definedName>
    <definedName name="IQRL3">$L$4:$L$11</definedName>
    <definedName name="IQRM10">$M$11:$M$26</definedName>
    <definedName name="IQRM12">$N$12:$R$12</definedName>
    <definedName name="IQRM15">$M$16:$M$31</definedName>
    <definedName name="IQRM16">$M$17:$M$24</definedName>
    <definedName name="IQRM17">$M$18:$M$25</definedName>
    <definedName name="IQRM3">$M$4:$M$11</definedName>
    <definedName name="IQRN12">$O$12:$S$12</definedName>
    <definedName name="IQRN13">$O$13:$S$13</definedName>
    <definedName name="IQRN14">$N$15:$N$22</definedName>
    <definedName name="IQRN15">$O$15:$S$15</definedName>
    <definedName name="IQRN16">$N$17:$N$24</definedName>
    <definedName name="IQRN17">$N$18:$N$25</definedName>
    <definedName name="IQRN18">$O$18:$S$18</definedName>
    <definedName name="IQRN19">$O$19:$S$19</definedName>
    <definedName name="IQRN20">$O$20:$S$20</definedName>
    <definedName name="IQRN21">$O$21</definedName>
    <definedName name="IQRN22">$O$22</definedName>
    <definedName name="IQRN23">$O$23</definedName>
    <definedName name="IQRN24">$O$24</definedName>
    <definedName name="IQRN25">$O$25</definedName>
    <definedName name="IQRN26">$O$26</definedName>
    <definedName name="IQRN27">$O$27</definedName>
    <definedName name="IQRN28">$O$28</definedName>
    <definedName name="IQRN3">$N$4:$N$11</definedName>
    <definedName name="IQRN4">$N$5:$N$12</definedName>
    <definedName name="IQRN69">$N$70:$N$77</definedName>
    <definedName name="IQRO14">$O$15:$O$22</definedName>
    <definedName name="IQRO16">$O$17:$O$24</definedName>
    <definedName name="IQRO17">$O$18:$O$25</definedName>
    <definedName name="IQRO3">$O$4:$O$11</definedName>
    <definedName name="IQRO4">$O$5:$O$12</definedName>
    <definedName name="IQRO69">$O$70:$O$77</definedName>
    <definedName name="IQRP14">$P$15:$P$22</definedName>
    <definedName name="IQRP3">$P$4:$P$11</definedName>
    <definedName name="IQRP4">$P$5:$P$12</definedName>
    <definedName name="IQRP69">$P$70:$P$77</definedName>
    <definedName name="IQRQ14">$Q$15:$Q$22</definedName>
    <definedName name="IQRQ3">$Q$4:$Q$11</definedName>
    <definedName name="IQRQ4">$Q$5:$Q$12</definedName>
    <definedName name="IQRQ69">$Q$70:$Q$77</definedName>
    <definedName name="IQRR14">$R$15:$R$22</definedName>
    <definedName name="IQRR3">$R$4:$R$11</definedName>
    <definedName name="IQRR69">$R$70:$R$77</definedName>
    <definedName name="IQRS14">$S$15:$S$22</definedName>
    <definedName name="IQRS3">$S$4:$S$11</definedName>
    <definedName name="IQRS69">$S$70:$S$77</definedName>
    <definedName name="IQRSheet1H13">'CIQ ID Locater'!$K$13:$O$13</definedName>
    <definedName name="IQRSheet1H14">'CIQ ID Locater'!$K$14</definedName>
    <definedName name="IQRSheet1H15">'CIQ ID Locater'!$K$15:$O$15</definedName>
    <definedName name="IQRSheet1H17">'CIQ ID Locater'!$K$16:$O$16</definedName>
    <definedName name="IQRSheet1H18">'CIQ ID Locater'!$K$17:$O$17</definedName>
    <definedName name="IQRSheet1H19">'CIQ ID Locater'!$K$18:$O$18</definedName>
    <definedName name="IQRSheet1H20">'CIQ ID Locater'!$K$19:$O$19</definedName>
    <definedName name="IQRSheet1I13">'CIQ ID Locater'!$K$14:$O$14</definedName>
    <definedName name="IQRSheet1I14">'CIQ ID Locater'!$K$15:$O$15</definedName>
    <definedName name="IQRSheet1I15">'CIQ ID Locater'!$K$16:$O$16</definedName>
    <definedName name="IQRSheet1I16">'CIQ ID Locater'!$K$17:$O$17</definedName>
    <definedName name="IQRSheet1I17">'CIQ ID Locater'!$K$18:$L$18</definedName>
    <definedName name="IQRSheet1I18">'CIQ ID Locater'!$K$19:$O$19</definedName>
    <definedName name="IQRSheet1I19">'CIQ ID Locater'!$K$20:$O$20</definedName>
    <definedName name="IQRSheet1I20">'CIQ ID Locater'!$K$21:$O$21</definedName>
    <definedName name="IQRSheet1I21">'CIQ ID Locater'!$K$22:$O$22</definedName>
    <definedName name="IQRSheet1I22">'CIQ ID Locater'!$K$23:$O$23</definedName>
    <definedName name="IQRSheet1I23">'CIQ ID Locater'!$K$24:$O$24</definedName>
    <definedName name="IQRSheet1I24">'CIQ ID Locater'!$K$25:$O$25</definedName>
    <definedName name="IQRSheet1I25">'CIQ ID Locater'!$K$26:$O$26</definedName>
    <definedName name="IQRSheet1I26">'CIQ ID Locater'!$K$27:$O$27</definedName>
    <definedName name="IQRSheet1I27">'CIQ ID Locater'!$K$28:$L$28</definedName>
    <definedName name="IQRSheet1I28">'CIQ ID Locater'!$K$29:$L$29</definedName>
    <definedName name="IQRSheet1I29">'CIQ ID Locater'!$K$30</definedName>
    <definedName name="IQRSheet1I30">'CIQ ID Locater'!$K$30</definedName>
    <definedName name="IQRSheet1N13">'CIQ ID Locater'!$Q$13:$U$13</definedName>
    <definedName name="IQRSheet1N14">'CIQ ID Locater'!$Q$14</definedName>
    <definedName name="IQRSheet1N15">'CIQ ID Locater'!$Q$15:$U$15</definedName>
    <definedName name="IQRSheet1N17">'CIQ ID Locater'!$Q$16:$U$16</definedName>
    <definedName name="IQRSheet1N18">'CIQ ID Locater'!$Q$17:$U$17</definedName>
    <definedName name="IQRSheet1N19">'CIQ ID Locater'!$Q$18:$U$18</definedName>
    <definedName name="IQRSheet1N20">'CIQ ID Locater'!$Q$19:$U$19</definedName>
    <definedName name="IQRSheet1O13">'CIQ ID Locater'!$Q$14:$U$14</definedName>
    <definedName name="IQRSheet1O14">'CIQ ID Locater'!$Q$15:$U$15</definedName>
    <definedName name="IQRSheet1O15">'CIQ ID Locater'!$Q$16:$U$16</definedName>
    <definedName name="IQRSheet1O16">'CIQ ID Locater'!$Q$17:$U$17</definedName>
    <definedName name="IQRSheet1O17">'CIQ ID Locater'!$Q$18:$R$18</definedName>
    <definedName name="IQRSheet1O18">'CIQ ID Locater'!$Q$19:$U$19</definedName>
    <definedName name="IQRSheet1O19">'CIQ ID Locater'!$Q$20:$U$20</definedName>
    <definedName name="IQRSheet1O20">'CIQ ID Locater'!$Q$21:$U$21</definedName>
    <definedName name="IQRSheet1O21">'CIQ ID Locater'!$Q$22:$U$22</definedName>
    <definedName name="IQRSheet1O22">'CIQ ID Locater'!$Q$23:$U$23</definedName>
    <definedName name="IQRSheet1O23">'CIQ ID Locater'!$Q$24:$U$24</definedName>
    <definedName name="IQRSheet1O24">'CIQ ID Locater'!$Q$25:$U$25</definedName>
    <definedName name="IQRSheet1O25">'CIQ ID Locater'!$Q$26:$U$26</definedName>
    <definedName name="IQRSheet1O26">'CIQ ID Locater'!$Q$27:$U$27</definedName>
    <definedName name="IQRSheet1O27">'CIQ ID Locater'!$Q$28:$R$28</definedName>
    <definedName name="IQRSheet1O28">'CIQ ID Locater'!$Q$29:$R$29</definedName>
    <definedName name="IQRSheet1O29">'CIQ ID Locater'!$Q$30</definedName>
    <definedName name="IQRSheet1O30">'CIQ ID Locater'!$Q$30</definedName>
    <definedName name="Last_FQR">Cover!$F$26</definedName>
    <definedName name="Last_FYE">Cover!$F$24</definedName>
    <definedName name="Line_Items">Model!$C$25:$C$159</definedName>
    <definedName name="Mil">Cover!$F$39</definedName>
    <definedName name="Next_FYE">Cover!$F$25</definedName>
    <definedName name="NTM_Earnings">Model!$U$45:$X$45</definedName>
    <definedName name="NTM_EBITDA">Valuation!$F$132</definedName>
    <definedName name="NTM_EPS">Valuation!$F$131</definedName>
    <definedName name="PeerGroup2_Cyclical_Valuation_Data">'Multiples Data'!$C$58:$H$70</definedName>
    <definedName name="PeerGroup3_Cyclical_Valuation_Data">'Multiples Data'!$C$80:$H$92</definedName>
    <definedName name="Primary_Peer_Cyclical_Valuation_Data">'Multiples Data'!$C$36:$H$48</definedName>
    <definedName name="Revenue_Data_Summary">'Revenue Build'!$C$28:$AG$49</definedName>
    <definedName name="Risk_Free_Rate">WACC!$G$6</definedName>
    <definedName name="Segment1_Rev_Methodology">'Revenue Build'!$C$9</definedName>
    <definedName name="Segment2_Rev_Methodology">'Revenue Build'!$C$11</definedName>
    <definedName name="Segment3_Rev_Methodology">'Revenue Build'!$C$13</definedName>
    <definedName name="Segment4_Rev_Methodology">'Revenue Build'!$C$15</definedName>
    <definedName name="Segment5_Rev_Methodology">'Revenue Build'!$C$17</definedName>
    <definedName name="Segment6_Rev_Methodology">'Revenue Build'!$C$19</definedName>
    <definedName name="Share_Price">Cover!$F$29</definedName>
    <definedName name="Share_Price_High">Cover!$F$30</definedName>
    <definedName name="Share_Price_Low">Cover!$F$31</definedName>
    <definedName name="Tax_Rate">Cover!$F$33</definedName>
    <definedName name="Thou">Cover!$F$40</definedName>
    <definedName name="Ticker">Cover!$F$20</definedName>
    <definedName name="Weight_of_Debt">WACC!$N$6</definedName>
    <definedName name="Weight_of_Equity">WACC!$N$7</definedName>
    <definedName name="Weight_of_Preferred">WACC!$N$8</definedName>
  </definedNames>
  <calcPr calcMode="auto" fullCalcOnLoad="1" forceFullCalc="1" calcOnSave="1"/>
</workbook>
</file>

<file path=xl/comments2.xml><?xml version="1.0" encoding="utf-8"?>
<comments xmlns="http://schemas.openxmlformats.org/spreadsheetml/2006/main">
  <authors>
    <author>Author</author>
  </authors>
  <commentList>
    <comment ref="F22" authorId="0">
      <text>
        <r>
          <rPr>
            <color theme="1"/>
            <scheme val="minor"/>
            <sz val="11"/>
            <rFont val="Calibri"/>
          </rPr>
          <t xml:space="preserve">======
ID#AAABbnJBVyQ
Luke Brennan    (2025-01-14 21:09:38)
Use this dropdown to change which scenario of projections you would like to display in the model</t>
        </r>
      </text>
    </comment>
    <comment ref="F33" authorId="0">
      <text>
        <r>
          <rPr>
            <color theme="1"/>
            <scheme val="minor"/>
            <sz val="11"/>
            <rFont val="Calibri"/>
          </rPr>
          <t xml:space="preserve">======
ID#AAABbnJBVz8
Luke Brennan    (2025-01-14 21:09:38)
Model hardcodes this value from most recent year. For an accurate hardcoded projection, look at most recent quarter (MRQ) or management guidance from latest transcript</t>
        </r>
      </text>
    </comment>
    <comment ref="F35" authorId="0">
      <text>
        <r>
          <rPr>
            <color theme="1"/>
            <scheme val="minor"/>
            <sz val="11"/>
            <rFont val="Calibri"/>
          </rPr>
          <t xml:space="preserve">======
ID#AAABbnJBV2Y
Luke Brennan    (2025-01-14 21:09:38)
Pulls from most recent quarter (MRQ) in model</t>
        </r>
      </text>
    </comment>
    <comment ref="F37" authorId="0">
      <text>
        <r>
          <rPr>
            <color theme="1"/>
            <scheme val="minor"/>
            <sz val="11"/>
            <rFont val="Calibri"/>
          </rPr>
          <t xml:space="preserve">======
ID#AAABbnJBVxM
Nate    (2025-01-14 21:09:38)
IMPORTANT: This tab allows you to toggle between Top Down and Bottom Up model types. Top Down allows you to estimate a total company gross margin in the Drivers tab and the model calculates operating margin based on other inputs. The Bottom Up Model allows you to estimate Operating Margins on a per-segment basis and calculates Gorss Margin based on other inputs.</t>
        </r>
      </text>
    </comment>
  </commentList>
</comments>
</file>

<file path=xl/comments4.xml><?xml version="1.0" encoding="utf-8"?>
<comments xmlns="http://schemas.openxmlformats.org/spreadsheetml/2006/main">
  <authors>
    <author>Author</author>
  </authors>
  <commentList>
    <comment ref="R28" authorId="0">
      <text>
        <r>
          <rPr>
            <color theme="1"/>
            <scheme val="minor"/>
            <sz val="11"/>
            <rFont val="Calibri"/>
          </rPr>
          <t xml:space="preserve">======
ID#AAABbnJBV0c
nlatimer    (2025-01-14 21:09:38)
Based on 2025e net income</t>
        </r>
      </text>
    </comment>
  </commentList>
</comments>
</file>

<file path=xl/comments7.xml><?xml version="1.0" encoding="utf-8"?>
<comments xmlns="http://schemas.openxmlformats.org/spreadsheetml/2006/main">
  <authors>
    <author>Author</author>
  </authors>
  <commentList>
    <comment ref="C7" authorId="0">
      <text>
        <r>
          <rPr>
            <color theme="1"/>
            <scheme val="minor"/>
            <sz val="11"/>
            <rFont val="Calibri"/>
          </rPr>
          <t xml:space="preserve">======
ID#AAABbnJBV10
Luke Brennan    (2025-01-14 21:09:38)
Use this dropdown to select which method of forecasting revenue you would like to use for the company. If you select Segment, Activity-Based, or Backlog, that is the methodology that will be used for all segments. Select "Mixed" if you would like to use different methods for each segment</t>
        </r>
      </text>
    </comment>
    <comment ref="C9" authorId="0">
      <text>
        <r>
          <rPr>
            <color theme="1"/>
            <scheme val="minor"/>
            <sz val="11"/>
            <rFont val="Calibri"/>
          </rPr>
          <t xml:space="preserve">======
ID#AAABbnJBV1Q
Luke Brennan    (2025-01-14 21:09:38)
If you selected a general total methodology above, do not mess with these methodology cells. If you selected a Mixed methodology, then use the dropdown in the cell on the right (in this case D11) to select with methodology you want to use to project the revenue for this segment</t>
        </r>
      </text>
    </comment>
    <comment ref="M166" authorId="0">
      <text>
        <r>
          <rPr>
            <color theme="1"/>
            <scheme val="minor"/>
            <sz val="11"/>
            <rFont val="Calibri"/>
          </rPr>
          <t xml:space="preserve">======
ID#AAABbnJBV2A
Luke Brennan    (2025-01-14 21:09:38)
Major drop in backlog and therefore negative new orders is due to the initiation of GBS segment which pulled the majority of its business from DSS segment</t>
        </r>
      </text>
    </comment>
    <comment ref="J178" authorId="0">
      <text>
        <r>
          <rPr>
            <color theme="1"/>
            <scheme val="minor"/>
            <sz val="11"/>
            <rFont val="Calibri"/>
          </rPr>
          <t xml:space="preserve">======
ID#AAABbnJBVzE
Luke Brennan    (2025-01-14 21:09:38)
This formula uses a hardcoded value for the backlog balance at YE15, then adds all new orders for 2016 and subtracts all revenues which should equal the balance of the backlog at YE16, i.e. 4Q16 balance</t>
        </r>
      </text>
    </comment>
    <comment ref="M178" authorId="0">
      <text>
        <r>
          <rPr>
            <color theme="1"/>
            <scheme val="minor"/>
            <sz val="11"/>
            <rFont val="Calibri"/>
          </rPr>
          <t xml:space="preserve">======
ID#AAABbnJBVx4
Luke Brennan    (2025-01-14 21:09:38)
Drop in backlog and therefore major decline in new orders is due to the initiation of GBS segment which pulled some of its business from CA segment</t>
        </r>
      </text>
    </comment>
    <comment ref="J190" authorId="0">
      <text>
        <r>
          <rPr>
            <color theme="1"/>
            <scheme val="minor"/>
            <sz val="11"/>
            <rFont val="Calibri"/>
          </rPr>
          <t xml:space="preserve">======
ID#AAABbnJBV1Y
Luke Brennan    (2025-01-14 21:09:38)
This formula uses a hardcoded value for the backlog balance at YE15, then adds all new orders for 2016 and subtracts all revenues which should equal the balance of the backlog at YE16, i.e. 4Q16 balance</t>
        </r>
      </text>
    </comment>
    <comment ref="M190" authorId="0">
      <text>
        <r>
          <rPr>
            <color theme="1"/>
            <scheme val="minor"/>
            <sz val="11"/>
            <rFont val="Calibri"/>
          </rPr>
          <t xml:space="preserve">======
ID#AAABbnJBV2Q
Luke Brennan    (2025-01-14 21:09:38)
Major drop in backlog and therefore negative new orders is due to the initiation of GBS segment which pulled the majority of its business from DSS segment</t>
        </r>
      </text>
    </comment>
    <comment ref="J202" authorId="0">
      <text>
        <r>
          <rPr>
            <color theme="1"/>
            <scheme val="minor"/>
            <sz val="11"/>
            <rFont val="Calibri"/>
          </rPr>
          <t xml:space="preserve">======
ID#AAABbnJBV0w
Luke Brennan    (2025-01-14 21:09:38)
This formula uses a hardcoded value for the backlog balance at YE15, then adds all new orders for 2016 and subtracts all revenues which should equal the balance of the backlog at YE16, i.e. 4Q16 balance</t>
        </r>
      </text>
    </comment>
    <comment ref="M202" authorId="0">
      <text>
        <r>
          <rPr>
            <color theme="1"/>
            <scheme val="minor"/>
            <sz val="11"/>
            <rFont val="Calibri"/>
          </rPr>
          <t xml:space="preserve">======
ID#AAABbnJBVxE
Luke Brennan    (2025-01-14 21:09:38)
Major drop in backlog and therefore negative new orders is due to the initiation of GBS segment which pulled the majority of its business from DSS segment</t>
        </r>
      </text>
    </comment>
    <comment ref="J214" authorId="0">
      <text>
        <r>
          <rPr>
            <color theme="1"/>
            <scheme val="minor"/>
            <sz val="11"/>
            <rFont val="Calibri"/>
          </rPr>
          <t xml:space="preserve">======
ID#AAABbnJBVyM
Luke Brennan    (2025-01-14 21:09:38)
This formula uses a hardcoded value for the backlog balance at YE15, then adds all new orders for 2016 and subtracts all revenues which should equal the balance of the backlog at YE16, i.e. 4Q16 balance</t>
        </r>
      </text>
    </comment>
    <comment ref="O214" authorId="0">
      <text>
        <r>
          <rPr>
            <color theme="1"/>
            <scheme val="minor"/>
            <sz val="11"/>
            <rFont val="Calibri"/>
          </rPr>
          <t xml:space="preserve">======
ID#AAABbnJBV1U
Luke Brennan    (2025-01-14 21:09:38)
This formula uses a hardcoded value for the backlog balance at YE15, then adds all new orders for 2016 and subtracts all revenues which should equal the balance of the backlog at YE16, i.e. 4Q16 balance</t>
        </r>
      </text>
    </comment>
    <comment ref="M215" authorId="0">
      <text>
        <r>
          <rPr>
            <color theme="1"/>
            <scheme val="minor"/>
            <sz val="11"/>
            <rFont val="Calibri"/>
          </rPr>
          <t xml:space="preserve">======
ID#AAABbnJBV14
Luke Brennan    (2025-01-14 21:09:38)
The 15,215 number is a retroactively calculated backlog balance for YE15 which was the best reported number I could find for a previous balance to calculate orders</t>
        </r>
      </text>
    </comment>
    <comment ref="J226" authorId="0">
      <text>
        <r>
          <rPr>
            <color theme="1"/>
            <scheme val="minor"/>
            <sz val="11"/>
            <rFont val="Calibri"/>
          </rPr>
          <t xml:space="preserve">======
ID#AAABbnJBVyE
Luke Brennan    (2025-01-14 21:09:38)
This formula uses a hardcoded value for the backlog balance at YE15, then adds all new orders for 2016 and subtracts all revenues which should equal the balance of the backlog at YE16, i.e. 4Q16 balance</t>
        </r>
      </text>
    </comment>
    <comment ref="M226" authorId="0">
      <text>
        <r>
          <rPr>
            <color theme="1"/>
            <scheme val="minor"/>
            <sz val="11"/>
            <rFont val="Calibri"/>
          </rPr>
          <t xml:space="preserve">======
ID#AAABbnJBVzI
Luke Brennan    (2025-01-14 21:09:38)
Major drop in backlog and therefore negative new orders is due to the initiation of GBS segment which pulled the majority of its business from DSS segment</t>
        </r>
      </text>
    </comment>
  </commentList>
</comments>
</file>

<file path=xl/comments8.xml><?xml version="1.0" encoding="utf-8"?>
<comments xmlns="http://schemas.openxmlformats.org/spreadsheetml/2006/main">
  <authors>
    <author>Author</author>
  </authors>
  <commentList>
    <comment ref="C26" authorId="0">
      <text>
        <r>
          <t/>
        </r>
      </text>
    </comment>
    <comment ref="F28" authorId="0">
      <text>
        <r>
          <t/>
        </r>
      </text>
    </comment>
    <comment ref="G28" authorId="0">
      <text>
        <r>
          <t/>
        </r>
      </text>
    </comment>
    <comment ref="H28" authorId="0">
      <text>
        <r>
          <t/>
        </r>
      </text>
    </comment>
    <comment ref="I28" authorId="0">
      <text>
        <r>
          <t/>
        </r>
      </text>
    </comment>
    <comment ref="J28" authorId="0">
      <text>
        <r>
          <t/>
        </r>
      </text>
    </comment>
    <comment ref="K28" authorId="0">
      <text>
        <r>
          <t/>
        </r>
      </text>
    </comment>
    <comment ref="L28" authorId="0">
      <text>
        <r>
          <t/>
        </r>
      </text>
    </comment>
    <comment ref="M28" authorId="0">
      <text>
        <r>
          <t/>
        </r>
      </text>
    </comment>
    <comment ref="N28" authorId="0">
      <text>
        <r>
          <t/>
        </r>
      </text>
    </comment>
    <comment ref="O28" authorId="0">
      <text>
        <r>
          <t/>
        </r>
      </text>
    </comment>
    <comment ref="P28" authorId="0">
      <text>
        <r>
          <t/>
        </r>
      </text>
    </comment>
    <comment ref="Q28" authorId="0">
      <text>
        <r>
          <t/>
        </r>
      </text>
    </comment>
    <comment ref="R28" authorId="0">
      <text>
        <r>
          <t/>
        </r>
      </text>
    </comment>
    <comment ref="S28" authorId="0">
      <text>
        <r>
          <t/>
        </r>
      </text>
    </comment>
    <comment ref="T28" authorId="0">
      <text>
        <r>
          <t/>
        </r>
      </text>
    </comment>
    <comment ref="U28" authorId="0">
      <text>
        <r>
          <t/>
        </r>
      </text>
    </comment>
    <comment ref="V28" authorId="0">
      <text>
        <r>
          <t/>
        </r>
      </text>
    </comment>
    <comment ref="F29" authorId="0">
      <text>
        <r>
          <rPr>
            <b/>
          </rPr>
          <t xml:space="preserve">EDGAR Mapper:
</t>
        </r>
        <r>
          <t xml:space="preserve">Cost of Goods Sold maps directly to:
- Cost of Revenue</t>
        </r>
      </text>
    </comment>
    <comment ref="G29" authorId="0">
      <text>
        <r>
          <rPr>
            <b/>
          </rPr>
          <t xml:space="preserve">EDGAR Mapper:
</t>
        </r>
        <r>
          <t xml:space="preserve">Cost of Goods Sold maps directly to:
- Cost of Revenue</t>
        </r>
      </text>
    </comment>
    <comment ref="H29" authorId="0">
      <text>
        <r>
          <rPr>
            <b/>
          </rPr>
          <t xml:space="preserve">EDGAR Mapper:
</t>
        </r>
        <r>
          <t xml:space="preserve">Cost of Goods Sold maps directly to:
- Cost of Revenue</t>
        </r>
      </text>
    </comment>
    <comment ref="I29" authorId="0">
      <text>
        <r>
          <t/>
        </r>
      </text>
    </comment>
    <comment ref="K29" authorId="0">
      <text>
        <r>
          <rPr>
            <b/>
          </rPr>
          <t xml:space="preserve">EDGAR Mapper:
</t>
        </r>
        <r>
          <t xml:space="preserve">Cost of Goods Sold maps directly to:
- Cost of Revenue</t>
        </r>
      </text>
    </comment>
    <comment ref="L29" authorId="0">
      <text>
        <r>
          <rPr>
            <b/>
          </rPr>
          <t xml:space="preserve">EDGAR Mapper:
</t>
        </r>
        <r>
          <t xml:space="preserve">Cost of Goods Sold maps directly to:
- Cost of Revenue</t>
        </r>
      </text>
    </comment>
    <comment ref="M29" authorId="0">
      <text>
        <r>
          <rPr>
            <b/>
          </rPr>
          <t xml:space="preserve">EDGAR Mapper:
</t>
        </r>
        <r>
          <t xml:space="preserve">Cost of Goods Sold maps directly to:
- Cost of Revenue</t>
        </r>
      </text>
    </comment>
    <comment ref="N29" authorId="0">
      <text>
        <r>
          <t/>
        </r>
      </text>
    </comment>
    <comment ref="P29" authorId="0">
      <text>
        <r>
          <rPr>
            <b/>
          </rPr>
          <t xml:space="preserve">EDGAR Mapper:
</t>
        </r>
        <r>
          <t xml:space="preserve">Cost of Goods Sold maps directly to:
- Cost of Revenue</t>
        </r>
      </text>
    </comment>
    <comment ref="Q29" authorId="0">
      <text>
        <r>
          <rPr>
            <b/>
          </rPr>
          <t xml:space="preserve">EDGAR Mapper:
</t>
        </r>
        <r>
          <t xml:space="preserve">Cost of Goods Sold maps directly to:
- Cost of Revenue</t>
        </r>
      </text>
    </comment>
    <comment ref="R29" authorId="0">
      <text>
        <r>
          <rPr>
            <b/>
          </rPr>
          <t xml:space="preserve">EDGAR Mapper:
</t>
        </r>
        <r>
          <t xml:space="preserve">Cost of Goods Sold maps directly to:
- Cost of Revenue</t>
        </r>
      </text>
    </comment>
    <comment ref="S29" authorId="0">
      <text>
        <r>
          <t/>
        </r>
      </text>
    </comment>
    <comment ref="U29" authorId="0">
      <text>
        <r>
          <rPr>
            <b/>
          </rPr>
          <t xml:space="preserve">EDGAR Mapper:
</t>
        </r>
        <r>
          <t xml:space="preserve">Cost of Goods Sold maps directly to:
- Cost of Revenue</t>
        </r>
      </text>
    </comment>
    <comment ref="V29" authorId="0">
      <text>
        <r>
          <rPr>
            <b/>
          </rPr>
          <t xml:space="preserve">EDGAR Mapper:
</t>
        </r>
        <r>
          <t xml:space="preserve">Cost of Goods Sold maps directly to:
- Cost of Revenue</t>
        </r>
      </text>
    </comment>
    <comment ref="C32" authorId="0">
      <text>
        <r>
          <rPr>
            <b/>
          </rPr>
          <t xml:space="preserve">EDGAR Mapper:
</t>
        </r>
        <r>
          <t xml:space="preserve">Selling, General &amp; Administration (SG&amp;A) maps directly to:
- Selling, General and Administrative Expense</t>
        </r>
      </text>
    </comment>
    <comment ref="F32" authorId="0">
      <text>
        <r>
          <rPr>
            <b/>
          </rPr>
          <t xml:space="preserve">EDGAR Mapper:
</t>
        </r>
        <r>
          <t xml:space="preserve">Selling, General &amp; Administration (SG&amp;A) maps directly to:
- Selling, General and Administrative Expense</t>
        </r>
      </text>
    </comment>
    <comment ref="G32" authorId="0">
      <text>
        <r>
          <rPr>
            <b/>
          </rPr>
          <t xml:space="preserve">EDGAR Mapper:
</t>
        </r>
        <r>
          <t xml:space="preserve">Selling, General &amp; Administration (SG&amp;A) maps directly to:
- Selling, General and Administrative Expense</t>
        </r>
      </text>
    </comment>
    <comment ref="H32" authorId="0">
      <text>
        <r>
          <rPr>
            <b/>
          </rPr>
          <t xml:space="preserve">EDGAR Mapper:
</t>
        </r>
        <r>
          <t xml:space="preserve">Selling, General &amp; Administration (SG&amp;A) maps directly to:
- Selling, General and Administrative Expense</t>
        </r>
      </text>
    </comment>
    <comment ref="I32" authorId="0">
      <text>
        <r>
          <t/>
        </r>
      </text>
    </comment>
    <comment ref="K32" authorId="0">
      <text>
        <r>
          <rPr>
            <b/>
          </rPr>
          <t xml:space="preserve">EDGAR Mapper:
</t>
        </r>
        <r>
          <t xml:space="preserve">Selling, General &amp; Administration (SG&amp;A) maps directly to:
- Selling, General and Administrative Expense</t>
        </r>
      </text>
    </comment>
    <comment ref="L32" authorId="0">
      <text>
        <r>
          <rPr>
            <b/>
          </rPr>
          <t xml:space="preserve">EDGAR Mapper:
</t>
        </r>
        <r>
          <t xml:space="preserve">Selling, General &amp; Administration (SG&amp;A) maps directly to:
- Selling, General and Administrative Expense</t>
        </r>
      </text>
    </comment>
    <comment ref="M32" authorId="0">
      <text>
        <r>
          <rPr>
            <b/>
          </rPr>
          <t xml:space="preserve">EDGAR Mapper:
</t>
        </r>
        <r>
          <t xml:space="preserve">Selling, General &amp; Administration (SG&amp;A) maps directly to:
- Selling, General and Administrative Expense</t>
        </r>
      </text>
    </comment>
    <comment ref="N32" authorId="0">
      <text>
        <r>
          <t/>
        </r>
      </text>
    </comment>
    <comment ref="P32" authorId="0">
      <text>
        <r>
          <rPr>
            <b/>
          </rPr>
          <t xml:space="preserve">EDGAR Mapper:
</t>
        </r>
        <r>
          <t xml:space="preserve">Selling, General &amp; Administration (SG&amp;A) maps directly to:
- Selling, General and Administrative Expense</t>
        </r>
      </text>
    </comment>
    <comment ref="Q32" authorId="0">
      <text>
        <r>
          <rPr>
            <b/>
          </rPr>
          <t xml:space="preserve">EDGAR Mapper:
</t>
        </r>
        <r>
          <t xml:space="preserve">Selling, General &amp; Administration (SG&amp;A) maps directly to:
- Selling, General and Administrative Expense</t>
        </r>
      </text>
    </comment>
    <comment ref="R32" authorId="0">
      <text>
        <r>
          <rPr>
            <b/>
          </rPr>
          <t xml:space="preserve">EDGAR Mapper:
</t>
        </r>
        <r>
          <t xml:space="preserve">Selling, General &amp; Administration (SG&amp;A) maps directly to:
- Selling, General and Administrative Expense</t>
        </r>
      </text>
    </comment>
    <comment ref="S32" authorId="0">
      <text>
        <r>
          <t/>
        </r>
      </text>
    </comment>
    <comment ref="U32" authorId="0">
      <text>
        <r>
          <rPr>
            <b/>
          </rPr>
          <t xml:space="preserve">EDGAR Mapper:
</t>
        </r>
        <r>
          <t xml:space="preserve">Selling, General &amp; Administration (SG&amp;A) maps directly to:
- Selling, General and Administrative Expense</t>
        </r>
      </text>
    </comment>
    <comment ref="V32" authorId="0">
      <text>
        <r>
          <rPr>
            <b/>
          </rPr>
          <t xml:space="preserve">EDGAR Mapper:
</t>
        </r>
        <r>
          <t xml:space="preserve">Selling, General &amp; Administration (SG&amp;A) maps directly to:
- Selling, General and Administrative Expense</t>
        </r>
      </text>
    </comment>
    <comment ref="C33" authorId="0">
      <text>
        <r>
          <rPr>
            <b/>
          </rPr>
          <t xml:space="preserve">EDGAR Mapper:
</t>
        </r>
        <r>
          <t xml:space="preserve">Research &amp; Development (R&amp;D) maps directly to:
- Research and Development Expense</t>
        </r>
      </text>
    </comment>
    <comment ref="F33" authorId="0">
      <text>
        <r>
          <rPr>
            <b/>
          </rPr>
          <t xml:space="preserve">EDGAR Mapper:
</t>
        </r>
        <r>
          <t xml:space="preserve">Research &amp; Development (R&amp;D) maps directly to:
- Research and Development Expense</t>
        </r>
      </text>
    </comment>
    <comment ref="G33" authorId="0">
      <text>
        <r>
          <rPr>
            <b/>
          </rPr>
          <t xml:space="preserve">EDGAR Mapper:
</t>
        </r>
        <r>
          <t xml:space="preserve">Research &amp; Development (R&amp;D) maps directly to:
- Research and Development Expense</t>
        </r>
      </text>
    </comment>
    <comment ref="H33" authorId="0">
      <text>
        <r>
          <rPr>
            <b/>
          </rPr>
          <t xml:space="preserve">EDGAR Mapper:
</t>
        </r>
        <r>
          <t xml:space="preserve">Research &amp; Development (R&amp;D) maps directly to:
- Research and Development Expense</t>
        </r>
      </text>
    </comment>
    <comment ref="I33" authorId="0">
      <text>
        <r>
          <t/>
        </r>
      </text>
    </comment>
    <comment ref="K33" authorId="0">
      <text>
        <r>
          <rPr>
            <b/>
          </rPr>
          <t xml:space="preserve">EDGAR Mapper:
</t>
        </r>
        <r>
          <t xml:space="preserve">Research &amp; Development (R&amp;D) maps directly to:
- Research and Development Expense</t>
        </r>
      </text>
    </comment>
    <comment ref="L33" authorId="0">
      <text>
        <r>
          <rPr>
            <b/>
          </rPr>
          <t xml:space="preserve">EDGAR Mapper:
</t>
        </r>
        <r>
          <t xml:space="preserve">Research &amp; Development (R&amp;D) maps directly to:
- Research and Development Expense</t>
        </r>
      </text>
    </comment>
    <comment ref="M33" authorId="0">
      <text>
        <r>
          <rPr>
            <b/>
          </rPr>
          <t xml:space="preserve">EDGAR Mapper:
</t>
        </r>
        <r>
          <t xml:space="preserve">Research &amp; Development (R&amp;D) maps directly to:
- Research and Development Expense</t>
        </r>
      </text>
    </comment>
    <comment ref="N33" authorId="0">
      <text>
        <r>
          <t/>
        </r>
      </text>
    </comment>
    <comment ref="P33" authorId="0">
      <text>
        <r>
          <rPr>
            <b/>
          </rPr>
          <t xml:space="preserve">EDGAR Mapper:
</t>
        </r>
        <r>
          <t xml:space="preserve">Research &amp; Development (R&amp;D) maps directly to:
- Research and Development Expense</t>
        </r>
      </text>
    </comment>
    <comment ref="Q33" authorId="0">
      <text>
        <r>
          <rPr>
            <b/>
          </rPr>
          <t xml:space="preserve">EDGAR Mapper:
</t>
        </r>
        <r>
          <t xml:space="preserve">Research &amp; Development (R&amp;D) maps directly to:
- Research and Development Expense</t>
        </r>
      </text>
    </comment>
    <comment ref="R33" authorId="0">
      <text>
        <r>
          <rPr>
            <b/>
          </rPr>
          <t xml:space="preserve">EDGAR Mapper:
</t>
        </r>
        <r>
          <t xml:space="preserve">Research &amp; Development (R&amp;D) maps directly to:
- Research and Development Expense</t>
        </r>
      </text>
    </comment>
    <comment ref="S33" authorId="0">
      <text>
        <r>
          <t/>
        </r>
      </text>
    </comment>
    <comment ref="U33" authorId="0">
      <text>
        <r>
          <rPr>
            <b/>
          </rPr>
          <t xml:space="preserve">EDGAR Mapper:
</t>
        </r>
        <r>
          <t xml:space="preserve">Research &amp; Development (R&amp;D) maps directly to:
- Research and Development Expense</t>
        </r>
      </text>
    </comment>
    <comment ref="V33" authorId="0">
      <text>
        <r>
          <rPr>
            <b/>
          </rPr>
          <t xml:space="preserve">EDGAR Mapper:
</t>
        </r>
        <r>
          <t xml:space="preserve">Research &amp; Development (R&amp;D) maps directly to:
- Research and Development Expense</t>
        </r>
      </text>
    </comment>
    <comment ref="C34" authorId="0">
      <text>
        <r>
          <rPr>
            <color theme="1"/>
            <scheme val="minor"/>
            <sz val="11"/>
            <rFont val="Calibri"/>
          </rPr>
          <t xml:space="preserve">======
ID#AAABbnJBVxs
Luke Brennan    (2025-01-14 21:09:38)
VERY IMPORTANT!
Many companies report D&amp;A as a part of SG&amp;A, many do not. For this reason I've created this toggle. Select and option from the dropdown that fits your company, as this will affect the Operating Income (Loss) result.</t>
        </r>
      </text>
    </comment>
    <comment ref="F34" authorId="0">
      <text>
        <r>
          <rPr>
            <b/>
          </rPr>
          <t xml:space="preserve">EDGAR Mapper:
</t>
        </r>
        <r>
          <t xml:space="preserve">Depreciation &amp; Amortization maps directly to:
- Depreciation, Depletion and Amortization</t>
        </r>
      </text>
    </comment>
    <comment ref="G34" authorId="0">
      <text>
        <r>
          <t/>
        </r>
      </text>
    </comment>
    <comment ref="H34" authorId="0">
      <text>
        <r>
          <t/>
        </r>
      </text>
    </comment>
    <comment ref="I34" authorId="0">
      <text>
        <r>
          <t/>
        </r>
      </text>
    </comment>
    <comment ref="K34" authorId="0">
      <text>
        <r>
          <rPr>
            <b/>
          </rPr>
          <t xml:space="preserve">EDGAR Mapper:
</t>
        </r>
        <r>
          <t xml:space="preserve">Depreciation &amp; Amortization maps directly to:
- Depreciation, Depletion and Amortization</t>
        </r>
      </text>
    </comment>
    <comment ref="L34" authorId="0">
      <text>
        <r>
          <t/>
        </r>
      </text>
    </comment>
    <comment ref="M34" authorId="0">
      <text>
        <r>
          <t/>
        </r>
      </text>
    </comment>
    <comment ref="N34" authorId="0">
      <text>
        <r>
          <t/>
        </r>
      </text>
    </comment>
    <comment ref="P34" authorId="0">
      <text>
        <r>
          <rPr>
            <b/>
          </rPr>
          <t xml:space="preserve">EDGAR Mapper:
</t>
        </r>
        <r>
          <t xml:space="preserve">Depreciation &amp; Amortization maps directly to:
- Depreciation, Depletion and Amortization</t>
        </r>
      </text>
    </comment>
    <comment ref="Q34" authorId="0">
      <text>
        <r>
          <t/>
        </r>
      </text>
    </comment>
    <comment ref="R34" authorId="0">
      <text>
        <r>
          <t/>
        </r>
      </text>
    </comment>
    <comment ref="S34" authorId="0">
      <text>
        <r>
          <t/>
        </r>
      </text>
    </comment>
    <comment ref="U34" authorId="0">
      <text>
        <r>
          <rPr>
            <b/>
          </rPr>
          <t xml:space="preserve">EDGAR Mapper:
</t>
        </r>
        <r>
          <t xml:space="preserve">Depreciation &amp; Amortization maps directly to:
- Depreciation, Depletion and Amortization</t>
        </r>
      </text>
    </comment>
    <comment ref="V34" authorId="0">
      <text>
        <r>
          <t/>
        </r>
      </text>
    </comment>
    <comment ref="C35" authorId="0">
      <text>
        <r>
          <rPr>
            <color theme="1"/>
            <scheme val="minor"/>
            <sz val="11"/>
            <rFont val="Calibri"/>
          </rPr>
          <t xml:space="preserve">======
ID#AAABbnJBV2c
Luke Brennan    (2025-01-14 21:09:38)
Best Practice: Add together the components within the cell for every "Other" line. Add a comment on this cell detailing which items are included in the category. This helps when looking back, e.g. its more useful to look at 1Q16 and see 54+4 rather than 58 because its easier to track that income form operating investments was 58mm and Gains on Dispositions was 4mm</t>
        </r>
      </text>
    </comment>
    <comment ref="F35" authorId="0">
      <text>
        <r>
          <t/>
        </r>
      </text>
    </comment>
    <comment ref="G35" authorId="0">
      <text>
        <r>
          <t/>
        </r>
      </text>
    </comment>
    <comment ref="H35" authorId="0">
      <text>
        <r>
          <t/>
        </r>
      </text>
    </comment>
    <comment ref="I35" authorId="0">
      <text>
        <r>
          <t/>
        </r>
      </text>
    </comment>
    <comment ref="K35" authorId="0">
      <text>
        <r>
          <t/>
        </r>
      </text>
    </comment>
    <comment ref="L35" authorId="0">
      <text>
        <r>
          <t/>
        </r>
      </text>
    </comment>
    <comment ref="M35" authorId="0">
      <text>
        <r>
          <t/>
        </r>
      </text>
    </comment>
    <comment ref="N35" authorId="0">
      <text>
        <r>
          <t/>
        </r>
      </text>
    </comment>
    <comment ref="P35" authorId="0">
      <text>
        <r>
          <t/>
        </r>
      </text>
    </comment>
    <comment ref="Q35" authorId="0">
      <text>
        <r>
          <t/>
        </r>
      </text>
    </comment>
    <comment ref="R35" authorId="0">
      <text>
        <r>
          <t/>
        </r>
      </text>
    </comment>
    <comment ref="S35" authorId="0">
      <text>
        <r>
          <t/>
        </r>
      </text>
    </comment>
    <comment ref="U35" authorId="0">
      <text>
        <r>
          <t/>
        </r>
      </text>
    </comment>
    <comment ref="V35" authorId="0">
      <text>
        <r>
          <t/>
        </r>
      </text>
    </comment>
    <comment ref="F38" authorId="0">
      <text>
        <r>
          <rPr>
            <b/>
          </rPr>
          <t xml:space="preserve">EDGAR Mapper:
</t>
        </r>
        <r>
          <t xml:space="preserve">Interest Income maps directly to:
- Investment Income, Interest</t>
        </r>
      </text>
    </comment>
    <comment ref="G38" authorId="0">
      <text>
        <r>
          <rPr>
            <b/>
          </rPr>
          <t xml:space="preserve">EDGAR Mapper:
</t>
        </r>
        <r>
          <t xml:space="preserve">Interest Income maps directly to:
- Investment Income, Interest</t>
        </r>
      </text>
    </comment>
    <comment ref="H38" authorId="0">
      <text>
        <r>
          <rPr>
            <b/>
          </rPr>
          <t xml:space="preserve">EDGAR Mapper:
</t>
        </r>
        <r>
          <t xml:space="preserve">Interest Income maps directly to:
- Investment Income, Interest</t>
        </r>
      </text>
    </comment>
    <comment ref="I38" authorId="0">
      <text>
        <r>
          <t/>
        </r>
      </text>
    </comment>
    <comment ref="K38" authorId="0">
      <text>
        <r>
          <rPr>
            <b/>
          </rPr>
          <t xml:space="preserve">EDGAR Mapper:
</t>
        </r>
        <r>
          <t xml:space="preserve">Interest Income maps directly to:
- Investment Income, Interest</t>
        </r>
      </text>
    </comment>
    <comment ref="L38" authorId="0">
      <text>
        <r>
          <rPr>
            <b/>
          </rPr>
          <t xml:space="preserve">EDGAR Mapper:
</t>
        </r>
        <r>
          <t xml:space="preserve">Interest Income maps directly to:
- Investment Income, Interest</t>
        </r>
      </text>
    </comment>
    <comment ref="M38" authorId="0">
      <text>
        <r>
          <rPr>
            <b/>
          </rPr>
          <t xml:space="preserve">EDGAR Mapper:
</t>
        </r>
        <r>
          <t xml:space="preserve">Interest Income maps directly to:
- Investment Income, Interest</t>
        </r>
      </text>
    </comment>
    <comment ref="N38" authorId="0">
      <text>
        <r>
          <t/>
        </r>
      </text>
    </comment>
    <comment ref="P38" authorId="0">
      <text>
        <r>
          <rPr>
            <b/>
          </rPr>
          <t xml:space="preserve">EDGAR Mapper:
</t>
        </r>
        <r>
          <t xml:space="preserve">Interest Income maps directly to:
- Investment Income, Interest</t>
        </r>
      </text>
    </comment>
    <comment ref="Q38" authorId="0">
      <text>
        <r>
          <rPr>
            <b/>
          </rPr>
          <t xml:space="preserve">EDGAR Mapper:
</t>
        </r>
        <r>
          <t xml:space="preserve">Interest Income maps directly to:
- Investment Income, Interest</t>
        </r>
      </text>
    </comment>
    <comment ref="R38" authorId="0">
      <text>
        <r>
          <rPr>
            <b/>
          </rPr>
          <t xml:space="preserve">EDGAR Mapper:
</t>
        </r>
        <r>
          <t xml:space="preserve">Interest Income maps directly to:
- Investment Income, Interest</t>
        </r>
      </text>
    </comment>
    <comment ref="S38" authorId="0">
      <text>
        <r>
          <t/>
        </r>
      </text>
    </comment>
    <comment ref="U38" authorId="0">
      <text>
        <r>
          <rPr>
            <b/>
          </rPr>
          <t xml:space="preserve">EDGAR Mapper:
</t>
        </r>
        <r>
          <t xml:space="preserve">Interest Income maps directly to:
- Investment Income, Interest</t>
        </r>
      </text>
    </comment>
    <comment ref="V38" authorId="0">
      <text>
        <r>
          <rPr>
            <b/>
          </rPr>
          <t xml:space="preserve">EDGAR Mapper:
</t>
        </r>
        <r>
          <t xml:space="preserve">Interest Income maps directly to:
- Investment Income, Interest</t>
        </r>
      </text>
    </comment>
    <comment ref="F39" authorId="0">
      <text>
        <r>
          <rPr>
            <b/>
          </rPr>
          <t xml:space="preserve">EDGAR Mapper:
</t>
        </r>
        <r>
          <t xml:space="preserve">Interest (Expense) maps directly to:
- Interest Expense</t>
        </r>
      </text>
    </comment>
    <comment ref="G39" authorId="0">
      <text>
        <r>
          <rPr>
            <b/>
          </rPr>
          <t xml:space="preserve">EDGAR Mapper:
</t>
        </r>
        <r>
          <t xml:space="preserve">Interest (Expense) maps directly to:
- Interest Expense</t>
        </r>
      </text>
    </comment>
    <comment ref="H39" authorId="0">
      <text>
        <r>
          <rPr>
            <b/>
          </rPr>
          <t xml:space="preserve">EDGAR Mapper:
</t>
        </r>
        <r>
          <t xml:space="preserve">Interest (Expense) maps directly to:
- Interest Expense</t>
        </r>
      </text>
    </comment>
    <comment ref="I39" authorId="0">
      <text>
        <r>
          <t/>
        </r>
      </text>
    </comment>
    <comment ref="K39" authorId="0">
      <text>
        <r>
          <rPr>
            <b/>
          </rPr>
          <t xml:space="preserve">EDGAR Mapper:
</t>
        </r>
        <r>
          <t xml:space="preserve">Interest (Expense) maps directly to:
- Interest Expense</t>
        </r>
      </text>
    </comment>
    <comment ref="L39" authorId="0">
      <text>
        <r>
          <rPr>
            <b/>
          </rPr>
          <t xml:space="preserve">EDGAR Mapper:
</t>
        </r>
        <r>
          <t xml:space="preserve">Interest (Expense) maps directly to:
- Interest Expense</t>
        </r>
      </text>
    </comment>
    <comment ref="M39" authorId="0">
      <text>
        <r>
          <rPr>
            <b/>
          </rPr>
          <t xml:space="preserve">EDGAR Mapper:
</t>
        </r>
        <r>
          <t xml:space="preserve">Interest (Expense) maps directly to:
- Interest Expense</t>
        </r>
      </text>
    </comment>
    <comment ref="N39" authorId="0">
      <text>
        <r>
          <t/>
        </r>
      </text>
    </comment>
    <comment ref="P39" authorId="0">
      <text>
        <r>
          <rPr>
            <b/>
          </rPr>
          <t xml:space="preserve">EDGAR Mapper:
</t>
        </r>
        <r>
          <t xml:space="preserve">Interest (Expense) maps directly to:
- Interest Expense</t>
        </r>
      </text>
    </comment>
    <comment ref="Q39" authorId="0">
      <text>
        <r>
          <t/>
        </r>
      </text>
    </comment>
    <comment ref="R39" authorId="0">
      <text>
        <r>
          <t/>
        </r>
      </text>
    </comment>
    <comment ref="S39" authorId="0">
      <text>
        <r>
          <t/>
        </r>
      </text>
    </comment>
    <comment ref="U39" authorId="0">
      <text>
        <r>
          <t/>
        </r>
      </text>
    </comment>
    <comment ref="V39" authorId="0">
      <text>
        <r>
          <t/>
        </r>
      </text>
    </comment>
    <comment ref="C40" authorId="0">
      <text>
        <r>
          <t/>
        </r>
      </text>
    </comment>
    <comment ref="C41" authorId="0">
      <text>
        <r>
          <rPr>
            <b/>
          </rPr>
          <t xml:space="preserve">EDGAR Mapper:
</t>
        </r>
        <r>
          <t xml:space="preserve">Other Non-Operating Income (Expense) includes:
- Other non-operating income/expense from reported line
- Nonoperating Income (Expense)
- Investment Income, Interest
- Interest Expense
Other Non-Operating Income (Expense) maps directly to:
- Other non-operating income/expense from reported line
Other Non-Operating Income (Expense) includes:
- Other non-operating income/expense from reported line
- Nonoperating Income (Expense)
- Investment Income, Interest</t>
        </r>
      </text>
    </comment>
    <comment ref="F41" authorId="0">
      <text>
        <r>
          <rPr>
            <b/>
          </rPr>
          <t xml:space="preserve">EDGAR Mapper:
</t>
        </r>
        <r>
          <t xml:space="preserve">Other Non-Operating Income (Expense) includes:
- Other non-operating income/expense from reported line
- Nonoperating Income (Expense)
- Investment Income, Interest
- Interest Expense</t>
        </r>
      </text>
    </comment>
    <comment ref="G41" authorId="0">
      <text>
        <r>
          <rPr>
            <b/>
          </rPr>
          <t xml:space="preserve">EDGAR Mapper:
</t>
        </r>
        <r>
          <t xml:space="preserve">Other Non-Operating Income (Expense) includes:
- Other non-operating income/expense from reported line
- Nonoperating Income (Expense)
- Investment Income, Interest
- Interest Expense</t>
        </r>
      </text>
    </comment>
    <comment ref="H41" authorId="0">
      <text>
        <r>
          <rPr>
            <b/>
          </rPr>
          <t xml:space="preserve">EDGAR Mapper:
</t>
        </r>
        <r>
          <t xml:space="preserve">Other Non-Operating Income (Expense) includes:
- Other non-operating income/expense from reported line
- Nonoperating Income (Expense)
- Investment Income, Interest
- Interest Expense</t>
        </r>
      </text>
    </comment>
    <comment ref="I41" authorId="0">
      <text>
        <r>
          <rPr>
            <b/>
          </rPr>
          <t xml:space="preserve">EDGAR Mapper:
</t>
        </r>
        <r>
          <t xml:space="preserve">Other Non-Operating Income (Expense) maps directly to:
- Other non-operating income/expense from reported line</t>
        </r>
      </text>
    </comment>
    <comment ref="K41" authorId="0">
      <text>
        <r>
          <rPr>
            <b/>
          </rPr>
          <t xml:space="preserve">EDGAR Mapper:
</t>
        </r>
        <r>
          <t xml:space="preserve">Other Non-Operating Income (Expense) includes:
- Other non-operating income/expense from reported line
- Nonoperating Income (Expense)
- Investment Income, Interest
- Interest Expense</t>
        </r>
      </text>
    </comment>
    <comment ref="L41" authorId="0">
      <text>
        <r>
          <rPr>
            <b/>
          </rPr>
          <t xml:space="preserve">EDGAR Mapper:
</t>
        </r>
        <r>
          <t xml:space="preserve">Other Non-Operating Income (Expense) includes:
- Other non-operating income/expense from reported line
- Nonoperating Income (Expense)
- Investment Income, Interest
- Interest Expense</t>
        </r>
      </text>
    </comment>
    <comment ref="M41" authorId="0">
      <text>
        <r>
          <rPr>
            <b/>
          </rPr>
          <t xml:space="preserve">EDGAR Mapper:
</t>
        </r>
        <r>
          <t xml:space="preserve">Other Non-Operating Income (Expense) includes:
- Other non-operating income/expense from reported line
- Nonoperating Income (Expense)
- Investment Income, Interest
- Interest Expense</t>
        </r>
      </text>
    </comment>
    <comment ref="N41" authorId="0">
      <text>
        <r>
          <rPr>
            <b/>
          </rPr>
          <t xml:space="preserve">EDGAR Mapper:
</t>
        </r>
        <r>
          <t xml:space="preserve">Other Non-Operating Income (Expense) maps directly to:
- Other non-operating income/expense from reported line</t>
        </r>
      </text>
    </comment>
    <comment ref="P41" authorId="0">
      <text>
        <r>
          <rPr>
            <b/>
          </rPr>
          <t xml:space="preserve">EDGAR Mapper:
</t>
        </r>
        <r>
          <t xml:space="preserve">Other Non-Operating Income (Expense) includes:
- Other non-operating income/expense from reported line
- Nonoperating Income (Expense)
- Investment Income, Interest
- Interest Expense</t>
        </r>
      </text>
    </comment>
    <comment ref="Q41" authorId="0">
      <text>
        <r>
          <rPr>
            <b/>
          </rPr>
          <t xml:space="preserve">EDGAR Mapper:
</t>
        </r>
        <r>
          <t xml:space="preserve">Other Non-Operating Income (Expense) includes:
- Other non-operating income/expense from reported line
- Nonoperating Income (Expense)
- Investment Income, Interest</t>
        </r>
      </text>
    </comment>
    <comment ref="R41" authorId="0">
      <text>
        <r>
          <rPr>
            <b/>
          </rPr>
          <t xml:space="preserve">EDGAR Mapper:
</t>
        </r>
        <r>
          <t xml:space="preserve">======
ID#AAABbnJBV08
Microsoft Office User    (2025-01-14 21:09:38)
Brian Otaszewski: Loss on extinguishment of debt
EDGAR Mapper:
Other Non-Operating Income (Expense) includes:
- Other non-operating income/expense from reported line
- Nonoperating Income (Expense)
- Investment Income, Interest</t>
        </r>
      </text>
    </comment>
    <comment ref="S41" authorId="0">
      <text>
        <r>
          <rPr>
            <b/>
          </rPr>
          <t xml:space="preserve">EDGAR Mapper:
</t>
        </r>
        <r>
          <t xml:space="preserve">Other Non-Operating Income (Expense) maps directly to:
- Other non-operating income/expense from reported line</t>
        </r>
      </text>
    </comment>
    <comment ref="U41" authorId="0">
      <text>
        <r>
          <rPr>
            <b/>
          </rPr>
          <t xml:space="preserve">EDGAR Mapper:
</t>
        </r>
        <r>
          <t xml:space="preserve">Other Non-Operating Income (Expense) includes:
- Other non-operating income/expense from reported line
- Nonoperating Income (Expense)
- Investment Income, Interest</t>
        </r>
      </text>
    </comment>
    <comment ref="V41" authorId="0">
      <text>
        <r>
          <rPr>
            <b/>
          </rPr>
          <t xml:space="preserve">EDGAR Mapper:
</t>
        </r>
        <r>
          <t xml:space="preserve">Other Non-Operating Income (Expense) includes:
- Other non-operating income/expense from reported line
- Nonoperating Income (Expense)
- Investment Income, Interest</t>
        </r>
      </text>
    </comment>
    <comment ref="F44" authorId="0">
      <text>
        <r>
          <rPr>
            <b/>
          </rPr>
          <t xml:space="preserve">EDGAR Mapper:
</t>
        </r>
        <r>
          <t xml:space="preserve">Income Tax Benefit (Expense) maps directly to:
- Income Tax Expense (Benefit)</t>
        </r>
      </text>
    </comment>
    <comment ref="G44" authorId="0">
      <text>
        <r>
          <rPr>
            <b/>
          </rPr>
          <t xml:space="preserve">EDGAR Mapper:
</t>
        </r>
        <r>
          <t xml:space="preserve">Income Tax Benefit (Expense) maps directly to:
- Income Tax Expense (Benefit)</t>
        </r>
      </text>
    </comment>
    <comment ref="H44" authorId="0">
      <text>
        <r>
          <rPr>
            <b/>
          </rPr>
          <t xml:space="preserve">EDGAR Mapper:
</t>
        </r>
        <r>
          <t xml:space="preserve">Income Tax Benefit (Expense) maps directly to:
- Income Tax Expense (Benefit)</t>
        </r>
      </text>
    </comment>
    <comment ref="I44" authorId="0">
      <text>
        <r>
          <t/>
        </r>
      </text>
    </comment>
    <comment ref="K44" authorId="0">
      <text>
        <r>
          <rPr>
            <b/>
          </rPr>
          <t xml:space="preserve">EDGAR Mapper:
</t>
        </r>
        <r>
          <t xml:space="preserve">Income Tax Benefit (Expense) maps directly to:
- Income Tax Expense (Benefit)</t>
        </r>
      </text>
    </comment>
    <comment ref="L44" authorId="0">
      <text>
        <r>
          <rPr>
            <b/>
          </rPr>
          <t xml:space="preserve">EDGAR Mapper:
</t>
        </r>
        <r>
          <t xml:space="preserve">Income Tax Benefit (Expense) maps directly to:
- Income Tax Expense (Benefit)</t>
        </r>
      </text>
    </comment>
    <comment ref="M44" authorId="0">
      <text>
        <r>
          <rPr>
            <b/>
          </rPr>
          <t xml:space="preserve">EDGAR Mapper:
</t>
        </r>
        <r>
          <t xml:space="preserve">Income Tax Benefit (Expense) maps directly to:
- Income Tax Expense (Benefit)</t>
        </r>
      </text>
    </comment>
    <comment ref="N44" authorId="0">
      <text>
        <r>
          <t/>
        </r>
      </text>
    </comment>
    <comment ref="P44" authorId="0">
      <text>
        <r>
          <rPr>
            <b/>
          </rPr>
          <t xml:space="preserve">EDGAR Mapper:
</t>
        </r>
        <r>
          <t xml:space="preserve">Income Tax Benefit (Expense) maps directly to:
- Income Tax Expense (Benefit)</t>
        </r>
      </text>
    </comment>
    <comment ref="Q44" authorId="0">
      <text>
        <r>
          <rPr>
            <b/>
          </rPr>
          <t xml:space="preserve">EDGAR Mapper:
</t>
        </r>
        <r>
          <t xml:space="preserve">Income Tax Benefit (Expense) maps directly to:
- Income Tax Expense (Benefit)</t>
        </r>
      </text>
    </comment>
    <comment ref="R44" authorId="0">
      <text>
        <r>
          <rPr>
            <b/>
          </rPr>
          <t xml:space="preserve">EDGAR Mapper:
</t>
        </r>
        <r>
          <t xml:space="preserve">Income Tax Benefit (Expense) maps directly to:
- Income Tax Expense (Benefit)</t>
        </r>
      </text>
    </comment>
    <comment ref="S44" authorId="0">
      <text>
        <r>
          <t/>
        </r>
      </text>
    </comment>
    <comment ref="U44" authorId="0">
      <text>
        <r>
          <rPr>
            <b/>
          </rPr>
          <t xml:space="preserve">EDGAR Mapper:
</t>
        </r>
        <r>
          <t xml:space="preserve">Income Tax Benefit (Expense) maps directly to:
- Income Tax Expense (Benefit)</t>
        </r>
      </text>
    </comment>
    <comment ref="V44" authorId="0">
      <text>
        <r>
          <rPr>
            <b/>
          </rPr>
          <t xml:space="preserve">EDGAR Mapper:
</t>
        </r>
        <r>
          <t xml:space="preserve">Income Tax Benefit (Expense) maps directly to:
- Income Tax Expense (Benefit)</t>
        </r>
      </text>
    </comment>
    <comment ref="F47" authorId="0">
      <text>
        <r>
          <t/>
        </r>
      </text>
    </comment>
    <comment ref="G47" authorId="0">
      <text>
        <r>
          <t/>
        </r>
      </text>
    </comment>
    <comment ref="H47" authorId="0">
      <text>
        <r>
          <t/>
        </r>
      </text>
    </comment>
    <comment ref="I47" authorId="0">
      <text>
        <r>
          <t/>
        </r>
      </text>
    </comment>
    <comment ref="K47" authorId="0">
      <text>
        <r>
          <t/>
        </r>
      </text>
    </comment>
    <comment ref="L47" authorId="0">
      <text>
        <r>
          <t/>
        </r>
      </text>
    </comment>
    <comment ref="M47" authorId="0">
      <text>
        <r>
          <t/>
        </r>
      </text>
    </comment>
    <comment ref="N47" authorId="0">
      <text>
        <r>
          <t/>
        </r>
      </text>
    </comment>
    <comment ref="P47" authorId="0">
      <text>
        <r>
          <t/>
        </r>
      </text>
    </comment>
    <comment ref="Q47" authorId="0">
      <text>
        <r>
          <t/>
        </r>
      </text>
    </comment>
    <comment ref="R47" authorId="0">
      <text>
        <r>
          <t/>
        </r>
      </text>
    </comment>
    <comment ref="S47" authorId="0">
      <text>
        <r>
          <t/>
        </r>
      </text>
    </comment>
    <comment ref="U47" authorId="0">
      <text>
        <r>
          <t/>
        </r>
      </text>
    </comment>
    <comment ref="V47" authorId="0">
      <text>
        <r>
          <t/>
        </r>
      </text>
    </comment>
    <comment ref="C48" authorId="0">
      <text>
        <r>
          <rPr>
            <color theme="1"/>
            <scheme val="minor"/>
            <sz val="11"/>
            <rFont val="Calibri"/>
          </rPr>
          <t xml:space="preserve">======
ID#AAABbnJBVyc
Luke Brennan    (2025-01-14 21:09:38)
For the most part, the adjustments you find will be net of taxes. In 10-Qs, the statement of comprehensive income typically follows the actual "Income Statement" (Statement of Operations) and this will detail all the adjustments and non-controlling interest info for this section</t>
        </r>
      </text>
    </comment>
    <comment ref="F48" authorId="0">
      <text>
        <r>
          <t/>
        </r>
      </text>
    </comment>
    <comment ref="G48" authorId="0">
      <text>
        <r>
          <t/>
        </r>
      </text>
    </comment>
    <comment ref="H48" authorId="0">
      <text>
        <r>
          <t xml:space="preserve">======
ID#AAABbnJBV1k
Lilianna Ruby    (2025-01-14 21:09:38)
Orchard Supply Hardware charges, U.S. and Canada closing charges, Mexico impairment charge, non-core activities charges</t>
        </r>
      </text>
    </comment>
    <comment ref="I48" authorId="0">
      <text>
        <r>
          <t xml:space="preserve">======
ID#AAABbnJBV1s
Lilianna Ruby    (2025-01-14 21:09:38)
Canadian goodwill impairment, Orchard Supply Hardware charges, U.S. &amp; Canada store closure charges, Mexico impairment charges, non-core activities charges, Project Specialists Interiors charge</t>
        </r>
      </text>
    </comment>
    <comment ref="K48" authorId="0">
      <text>
        <r>
          <t xml:space="preserve">======
ID#AAABbnJBV1o
Lilianna Ruby    (2025-01-14 21:09:38)
Mexico adjustments</t>
        </r>
      </text>
    </comment>
    <comment ref="L48" authorId="0">
      <text>
        <r>
          <t xml:space="preserve">======
ID#AAABbnJBV1A
Lilianna Ruby    (2025-01-14 21:09:38)
Mexico adjustments</t>
        </r>
      </text>
    </comment>
    <comment ref="M48" authorId="0">
      <text>
        <r>
          <t xml:space="preserve">======
ID#AAABbnJBVy0
Lilianna Ruby    (2025-01-14 21:09:38)
2019 Canada restructuring</t>
        </r>
      </text>
    </comment>
    <comment ref="N48" authorId="0">
      <text>
        <r>
          <t xml:space="preserve">======
ID#AAABbnJBV1g
Lilianna Ruby    (2025-01-14 21:09:38)
Mexico adjustments and 2019 Canada restructuring</t>
        </r>
      </text>
    </comment>
    <comment ref="P48" authorId="0">
      <text>
        <r>
          <t xml:space="preserve">======
ID#AAABbnJBVzs
Lilianna Ruby    (2025-01-14 21:09:38)
Canada restructuring</t>
        </r>
      </text>
    </comment>
    <comment ref="Q48" authorId="0">
      <text>
        <r>
          <t xml:space="preserve">======
ID#AAABbnJBVx8
Lilianna Ruby    (2025-01-14 21:09:38)
Canada restructuring</t>
        </r>
      </text>
    </comment>
    <comment ref="R48" authorId="0">
      <text>
        <r>
          <t/>
        </r>
      </text>
    </comment>
    <comment ref="S48" authorId="0">
      <text>
        <r>
          <t/>
        </r>
      </text>
    </comment>
    <comment ref="U48" authorId="0">
      <text>
        <r>
          <t/>
        </r>
      </text>
    </comment>
    <comment ref="V48" authorId="0">
      <text>
        <r>
          <t/>
        </r>
      </text>
    </comment>
    <comment ref="C49" authorId="0">
      <text>
        <r>
          <t/>
        </r>
      </text>
    </comment>
    <comment ref="F49" authorId="0">
      <text>
        <r>
          <t/>
        </r>
      </text>
    </comment>
    <comment ref="G49" authorId="0">
      <text>
        <r>
          <t/>
        </r>
      </text>
    </comment>
    <comment ref="H49" authorId="0">
      <text>
        <r>
          <t/>
        </r>
      </text>
    </comment>
    <comment ref="I49" authorId="0">
      <text>
        <r>
          <t/>
        </r>
      </text>
    </comment>
    <comment ref="K49" authorId="0">
      <text>
        <r>
          <t/>
        </r>
      </text>
    </comment>
    <comment ref="L49" authorId="0">
      <text>
        <r>
          <t/>
        </r>
      </text>
    </comment>
    <comment ref="M49" authorId="0">
      <text>
        <r>
          <t/>
        </r>
      </text>
    </comment>
    <comment ref="N49" authorId="0">
      <text>
        <r>
          <t/>
        </r>
      </text>
    </comment>
    <comment ref="P49" authorId="0">
      <text>
        <r>
          <t/>
        </r>
      </text>
    </comment>
    <comment ref="Q49" authorId="0">
      <text>
        <r>
          <t/>
        </r>
      </text>
    </comment>
    <comment ref="R49" authorId="0">
      <text>
        <r>
          <t/>
        </r>
      </text>
    </comment>
    <comment ref="S49" authorId="0">
      <text>
        <r>
          <t/>
        </r>
      </text>
    </comment>
    <comment ref="C50" authorId="0">
      <text>
        <r>
          <t/>
        </r>
      </text>
    </comment>
    <comment ref="W50" authorId="0">
      <text>
        <r>
          <rPr>
            <color theme="1"/>
            <scheme val="minor"/>
            <sz val="11"/>
            <rFont val="Calibri"/>
          </rPr>
          <t xml:space="preserve">======
ID#AAABbnJBVzY
Lilianna    (2025-01-14 21:09:38)
Net earnings allocable to participating securities</t>
        </r>
      </text>
    </comment>
    <comment ref="C120" authorId="0">
      <text>
        <r>
          <rPr>
            <b/>
          </rPr>
          <t xml:space="preserve">EDGAR Mapper:
</t>
        </r>
        <r>
          <t xml:space="preserve">Cash &amp; Cash Equivalents includes:
- Cash and Cash Equivalents, at Carrying Value
- Marketable Securities, Current</t>
        </r>
      </text>
    </comment>
    <comment ref="F120" authorId="0">
      <text>
        <r>
          <rPr>
            <b/>
          </rPr>
          <t xml:space="preserve">EDGAR Mapper:
</t>
        </r>
        <r>
          <t xml:space="preserve">Cash &amp; Cash Equivalents includes:
- Cash and Cash Equivalents, at Carrying Value
- Marketable Securities, Current</t>
        </r>
      </text>
    </comment>
    <comment ref="G120" authorId="0">
      <text>
        <r>
          <rPr>
            <b/>
          </rPr>
          <t xml:space="preserve">EDGAR Mapper:
</t>
        </r>
        <r>
          <t xml:space="preserve">Cash &amp; Cash Equivalents includes:
- Cash and Cash Equivalents, at Carrying Value
- Marketable Securities, Current</t>
        </r>
      </text>
    </comment>
    <comment ref="H120" authorId="0">
      <text>
        <r>
          <rPr>
            <b/>
          </rPr>
          <t xml:space="preserve">EDGAR Mapper:
</t>
        </r>
        <r>
          <t xml:space="preserve">Cash &amp; Cash Equivalents includes:
- Cash and Cash Equivalents, at Carrying Value
- Marketable Securities, Current</t>
        </r>
      </text>
    </comment>
    <comment ref="I120" authorId="0">
      <text>
        <r>
          <rPr>
            <b/>
          </rPr>
          <t xml:space="preserve">EDGAR Mapper:
</t>
        </r>
        <r>
          <t xml:space="preserve">Cash &amp; Cash Equivalents includes:
- Cash and Cash Equivalents, at Carrying Value
- Marketable Securities, Current</t>
        </r>
      </text>
    </comment>
    <comment ref="K120" authorId="0">
      <text>
        <r>
          <rPr>
            <b/>
          </rPr>
          <t xml:space="preserve">EDGAR Mapper:
</t>
        </r>
        <r>
          <t xml:space="preserve">Cash &amp; Cash Equivalents includes:
- Cash and Cash Equivalents, at Carrying Value
- Marketable Securities, Current</t>
        </r>
      </text>
    </comment>
    <comment ref="L120" authorId="0">
      <text>
        <r>
          <rPr>
            <b/>
          </rPr>
          <t xml:space="preserve">EDGAR Mapper:
</t>
        </r>
        <r>
          <t xml:space="preserve">Cash &amp; Cash Equivalents includes:
- Cash and Cash Equivalents, at Carrying Value
- Marketable Securities, Current</t>
        </r>
      </text>
    </comment>
    <comment ref="M120" authorId="0">
      <text>
        <r>
          <rPr>
            <b/>
          </rPr>
          <t xml:space="preserve">EDGAR Mapper:
</t>
        </r>
        <r>
          <t xml:space="preserve">Cash &amp; Cash Equivalents includes:
- Cash and Cash Equivalents, at Carrying Value
- Marketable Securities, Current</t>
        </r>
      </text>
    </comment>
    <comment ref="N120" authorId="0">
      <text>
        <r>
          <rPr>
            <b/>
          </rPr>
          <t xml:space="preserve">EDGAR Mapper:
</t>
        </r>
        <r>
          <t xml:space="preserve">Cash &amp; Cash Equivalents includes:
- Cash and Cash Equivalents, at Carrying Value
- Marketable Securities, Current</t>
        </r>
      </text>
    </comment>
    <comment ref="P120" authorId="0">
      <text>
        <r>
          <rPr>
            <b/>
          </rPr>
          <t xml:space="preserve">EDGAR Mapper:
</t>
        </r>
        <r>
          <t xml:space="preserve">Cash &amp; Cash Equivalents includes:
- Cash and Cash Equivalents, at Carrying Value
- Marketable Securities, Current</t>
        </r>
      </text>
    </comment>
    <comment ref="Q120" authorId="0">
      <text>
        <r>
          <rPr>
            <b/>
          </rPr>
          <t xml:space="preserve">EDGAR Mapper:
</t>
        </r>
        <r>
          <t xml:space="preserve">Cash &amp; Cash Equivalents includes:
- Cash and Cash Equivalents, at Carrying Value
- Marketable Securities, Current</t>
        </r>
      </text>
    </comment>
    <comment ref="R120" authorId="0">
      <text>
        <r>
          <rPr>
            <b/>
          </rPr>
          <t xml:space="preserve">EDGAR Mapper:
</t>
        </r>
        <r>
          <t xml:space="preserve">Cash &amp; Cash Equivalents includes:
- Cash and Cash Equivalents, at Carrying Value
- Marketable Securities, Current</t>
        </r>
      </text>
    </comment>
    <comment ref="S120" authorId="0">
      <text>
        <r>
          <rPr>
            <b/>
          </rPr>
          <t xml:space="preserve">EDGAR Mapper:
</t>
        </r>
        <r>
          <t xml:space="preserve">Cash &amp; Cash Equivalents includes:
- Cash and Cash Equivalents, at Carrying Value
- Marketable Securities, Current</t>
        </r>
      </text>
    </comment>
    <comment ref="U120" authorId="0">
      <text>
        <r>
          <rPr>
            <b/>
          </rPr>
          <t xml:space="preserve">EDGAR Mapper:
</t>
        </r>
        <r>
          <t xml:space="preserve">Cash &amp; Cash Equivalents includes:
- Cash and Cash Equivalents, at Carrying Value
- Marketable Securities, Current</t>
        </r>
      </text>
    </comment>
    <comment ref="V120" authorId="0">
      <text>
        <r>
          <rPr>
            <b/>
          </rPr>
          <t xml:space="preserve">EDGAR Mapper:
</t>
        </r>
        <r>
          <t xml:space="preserve">Cash &amp; Cash Equivalents includes:
- Cash and Cash Equivalents, at Carrying Value
- Marketable Securities, Current</t>
        </r>
      </text>
    </comment>
    <comment ref="Y120" authorId="0">
      <text/>
    </comment>
    <comment ref="Z120" authorId="0">
      <text/>
    </comment>
    <comment ref="AD120" authorId="0">
      <text/>
    </comment>
    <comment ref="AE120" authorId="0">
      <text/>
    </comment>
    <comment ref="C121" authorId="0">
      <text>
        <r>
          <rPr>
            <b/>
          </rPr>
          <t xml:space="preserve">EDGAR Mapper:
</t>
        </r>
        <r>
          <t xml:space="preserve">Accounts Receivable maps directly to:
- Accounts Receivable, after Allowance for Credit Loss, Current</t>
        </r>
      </text>
    </comment>
    <comment ref="F121" authorId="0">
      <text>
        <r>
          <rPr>
            <b/>
          </rPr>
          <t xml:space="preserve">EDGAR Mapper:
</t>
        </r>
        <r>
          <t xml:space="preserve">Accounts Receivable maps directly to:
- Accounts Receivable, after Allowance for Credit Loss, Current</t>
        </r>
      </text>
    </comment>
    <comment ref="G121" authorId="0">
      <text>
        <r>
          <rPr>
            <b/>
          </rPr>
          <t xml:space="preserve">EDGAR Mapper:
</t>
        </r>
        <r>
          <t xml:space="preserve">Accounts Receivable maps directly to:
- Accounts Receivable, after Allowance for Credit Loss, Current</t>
        </r>
      </text>
    </comment>
    <comment ref="H121" authorId="0">
      <text>
        <r>
          <rPr>
            <b/>
          </rPr>
          <t xml:space="preserve">EDGAR Mapper:
</t>
        </r>
        <r>
          <t xml:space="preserve">Accounts Receivable maps directly to:
- Accounts Receivable, after Allowance for Credit Loss, Current</t>
        </r>
      </text>
    </comment>
    <comment ref="I121" authorId="0">
      <text>
        <r>
          <rPr>
            <b/>
          </rPr>
          <t xml:space="preserve">EDGAR Mapper:
</t>
        </r>
        <r>
          <t xml:space="preserve">Accounts Receivable maps directly to:
- Accounts Receivable, after Allowance for Credit Loss, Current</t>
        </r>
      </text>
    </comment>
    <comment ref="K121" authorId="0">
      <text>
        <r>
          <rPr>
            <b/>
          </rPr>
          <t xml:space="preserve">EDGAR Mapper:
</t>
        </r>
        <r>
          <t xml:space="preserve">Accounts Receivable maps directly to:
- Accounts Receivable, after Allowance for Credit Loss, Current</t>
        </r>
      </text>
    </comment>
    <comment ref="L121" authorId="0">
      <text>
        <r>
          <rPr>
            <b/>
          </rPr>
          <t xml:space="preserve">EDGAR Mapper:
</t>
        </r>
        <r>
          <t xml:space="preserve">Accounts Receivable maps directly to:
- Accounts Receivable, after Allowance for Credit Loss, Current</t>
        </r>
      </text>
    </comment>
    <comment ref="M121" authorId="0">
      <text>
        <r>
          <rPr>
            <b/>
          </rPr>
          <t xml:space="preserve">EDGAR Mapper:
</t>
        </r>
        <r>
          <t xml:space="preserve">Accounts Receivable maps directly to:
- Accounts Receivable, after Allowance for Credit Loss, Current</t>
        </r>
      </text>
    </comment>
    <comment ref="N121" authorId="0">
      <text>
        <r>
          <rPr>
            <b/>
          </rPr>
          <t xml:space="preserve">EDGAR Mapper:
</t>
        </r>
        <r>
          <t xml:space="preserve">Accounts Receivable maps directly to:
- Accounts Receivable, after Allowance for Credit Loss, Current</t>
        </r>
      </text>
    </comment>
    <comment ref="P121" authorId="0">
      <text>
        <r>
          <rPr>
            <b/>
          </rPr>
          <t xml:space="preserve">EDGAR Mapper:
</t>
        </r>
        <r>
          <t xml:space="preserve">Accounts Receivable maps directly to:
- Accounts Receivable, after Allowance for Credit Loss, Current</t>
        </r>
      </text>
    </comment>
    <comment ref="Q121" authorId="0">
      <text>
        <r>
          <rPr>
            <b/>
          </rPr>
          <t xml:space="preserve">EDGAR Mapper:
</t>
        </r>
        <r>
          <t xml:space="preserve">Accounts Receivable maps directly to:
- Accounts Receivable, after Allowance for Credit Loss, Current</t>
        </r>
      </text>
    </comment>
    <comment ref="R121" authorId="0">
      <text>
        <r>
          <rPr>
            <b/>
          </rPr>
          <t xml:space="preserve">EDGAR Mapper:
</t>
        </r>
        <r>
          <t xml:space="preserve">Accounts Receivable maps directly to:
- Accounts Receivable, after Allowance for Credit Loss, Current</t>
        </r>
      </text>
    </comment>
    <comment ref="S121" authorId="0">
      <text>
        <r>
          <rPr>
            <b/>
          </rPr>
          <t xml:space="preserve">EDGAR Mapper:
</t>
        </r>
        <r>
          <t xml:space="preserve">Accounts Receivable maps directly to:
- Accounts Receivable, after Allowance for Credit Loss, Current</t>
        </r>
      </text>
    </comment>
    <comment ref="U121" authorId="0">
      <text>
        <r>
          <rPr>
            <b/>
          </rPr>
          <t xml:space="preserve">EDGAR Mapper:
</t>
        </r>
        <r>
          <t xml:space="preserve">Accounts Receivable maps directly to:
- Accounts Receivable, after Allowance for Credit Loss, Current</t>
        </r>
      </text>
    </comment>
    <comment ref="V121" authorId="0">
      <text>
        <r>
          <rPr>
            <b/>
          </rPr>
          <t xml:space="preserve">EDGAR Mapper:
</t>
        </r>
        <r>
          <t xml:space="preserve">Accounts Receivable maps directly to:
- Accounts Receivable, after Allowance for Credit Loss, Current</t>
        </r>
      </text>
    </comment>
    <comment ref="F122" authorId="0">
      <text>
        <r>
          <rPr>
            <b/>
          </rPr>
          <t xml:space="preserve">EDGAR Mapper:
</t>
        </r>
        <r>
          <t xml:space="preserve">Inventory maps directly to:
- Inventory, Net</t>
        </r>
      </text>
    </comment>
    <comment ref="G122" authorId="0">
      <text>
        <r>
          <rPr>
            <b/>
          </rPr>
          <t xml:space="preserve">EDGAR Mapper:
</t>
        </r>
        <r>
          <t xml:space="preserve">Inventory maps directly to:
- Inventory, Net</t>
        </r>
      </text>
    </comment>
    <comment ref="H122" authorId="0">
      <text>
        <r>
          <rPr>
            <b/>
          </rPr>
          <t xml:space="preserve">EDGAR Mapper:
</t>
        </r>
        <r>
          <t xml:space="preserve">Inventory maps directly to:
- Inventory, Net</t>
        </r>
      </text>
    </comment>
    <comment ref="I122" authorId="0">
      <text>
        <r>
          <rPr>
            <b/>
          </rPr>
          <t xml:space="preserve">EDGAR Mapper:
</t>
        </r>
        <r>
          <t xml:space="preserve">Inventory maps directly to:
- Inventory, Net</t>
        </r>
      </text>
    </comment>
    <comment ref="K122" authorId="0">
      <text>
        <r>
          <rPr>
            <b/>
          </rPr>
          <t xml:space="preserve">EDGAR Mapper:
</t>
        </r>
        <r>
          <t xml:space="preserve">Inventory maps directly to:
- Inventory, Net</t>
        </r>
      </text>
    </comment>
    <comment ref="L122" authorId="0">
      <text>
        <r>
          <rPr>
            <b/>
          </rPr>
          <t xml:space="preserve">EDGAR Mapper:
</t>
        </r>
        <r>
          <t xml:space="preserve">Inventory maps directly to:
- Inventory, Net</t>
        </r>
      </text>
    </comment>
    <comment ref="M122" authorId="0">
      <text>
        <r>
          <rPr>
            <b/>
          </rPr>
          <t xml:space="preserve">EDGAR Mapper:
</t>
        </r>
        <r>
          <t xml:space="preserve">Inventory maps directly to:
- Inventory, Net</t>
        </r>
      </text>
    </comment>
    <comment ref="N122" authorId="0">
      <text>
        <r>
          <rPr>
            <b/>
          </rPr>
          <t xml:space="preserve">EDGAR Mapper:
</t>
        </r>
        <r>
          <t xml:space="preserve">Inventory maps directly to:
- Inventory, Net</t>
        </r>
      </text>
    </comment>
    <comment ref="P122" authorId="0">
      <text>
        <r>
          <rPr>
            <b/>
          </rPr>
          <t xml:space="preserve">EDGAR Mapper:
</t>
        </r>
        <r>
          <t xml:space="preserve">Inventory maps directly to:
- Inventory, Net</t>
        </r>
      </text>
    </comment>
    <comment ref="Q122" authorId="0">
      <text>
        <r>
          <rPr>
            <b/>
          </rPr>
          <t xml:space="preserve">EDGAR Mapper:
</t>
        </r>
        <r>
          <t xml:space="preserve">Inventory maps directly to:
- Inventory, Net</t>
        </r>
      </text>
    </comment>
    <comment ref="R122" authorId="0">
      <text>
        <r>
          <rPr>
            <b/>
          </rPr>
          <t xml:space="preserve">EDGAR Mapper:
</t>
        </r>
        <r>
          <t xml:space="preserve">Inventory maps directly to:
- Inventory, Net</t>
        </r>
      </text>
    </comment>
    <comment ref="S122" authorId="0">
      <text>
        <r>
          <rPr>
            <b/>
          </rPr>
          <t xml:space="preserve">EDGAR Mapper:
</t>
        </r>
        <r>
          <t xml:space="preserve">Inventory maps directly to:
- Inventory, Net</t>
        </r>
      </text>
    </comment>
    <comment ref="U122" authorId="0">
      <text>
        <r>
          <rPr>
            <b/>
          </rPr>
          <t xml:space="preserve">EDGAR Mapper:
</t>
        </r>
        <r>
          <t xml:space="preserve">Inventory maps directly to:
- Inventory, Net</t>
        </r>
      </text>
    </comment>
    <comment ref="V122" authorId="0">
      <text>
        <r>
          <rPr>
            <b/>
          </rPr>
          <t xml:space="preserve">EDGAR Mapper:
</t>
        </r>
        <r>
          <t xml:space="preserve">Inventory maps directly to:
- Inventory, Net</t>
        </r>
      </text>
    </comment>
    <comment ref="C123" authorId="0">
      <text>
        <r>
          <rPr>
            <b/>
          </rPr>
          <t xml:space="preserve">EDGAR Mapper:
</t>
        </r>
        <r>
          <t xml:space="preserve">======
ID#AAABbnJBVzo
Luke Brennan    (2025-01-14 21:09:38)
Short-Term and Other Investments
and Current Portion of Customer Financing, net
EDGAR Mapper:
Prepaid &amp; Other Current Assets maps directly to:
- Prepaid Expense and Other Assets, Current</t>
        </r>
      </text>
    </comment>
    <comment ref="F123" authorId="0">
      <text>
        <r>
          <rPr>
            <b/>
          </rPr>
          <t xml:space="preserve">EDGAR Mapper:
</t>
        </r>
        <r>
          <t xml:space="preserve">Prepaid &amp; Other Current Assets maps directly to:
- Prepaid Expense and Other Assets, Current</t>
        </r>
      </text>
    </comment>
    <comment ref="G123" authorId="0">
      <text>
        <r>
          <rPr>
            <b/>
          </rPr>
          <t xml:space="preserve">EDGAR Mapper:
</t>
        </r>
        <r>
          <t xml:space="preserve">Prepaid &amp; Other Current Assets maps directly to:
- Prepaid Expense and Other Assets, Current</t>
        </r>
      </text>
    </comment>
    <comment ref="H123" authorId="0">
      <text>
        <r>
          <rPr>
            <b/>
          </rPr>
          <t xml:space="preserve">EDGAR Mapper:
</t>
        </r>
        <r>
          <t xml:space="preserve">Prepaid &amp; Other Current Assets maps directly to:
- Prepaid Expense and Other Assets, Current</t>
        </r>
      </text>
    </comment>
    <comment ref="I123" authorId="0">
      <text>
        <r>
          <rPr>
            <b/>
          </rPr>
          <t xml:space="preserve">EDGAR Mapper:
</t>
        </r>
        <r>
          <t xml:space="preserve">Prepaid &amp; Other Current Assets maps directly to:
- Prepaid Expense and Other Assets, Current</t>
        </r>
      </text>
    </comment>
    <comment ref="K123" authorId="0">
      <text>
        <r>
          <rPr>
            <b/>
          </rPr>
          <t xml:space="preserve">EDGAR Mapper:
</t>
        </r>
        <r>
          <t xml:space="preserve">Prepaid &amp; Other Current Assets maps directly to:
- Prepaid Expense and Other Assets, Current</t>
        </r>
      </text>
    </comment>
    <comment ref="L123" authorId="0">
      <text>
        <r>
          <rPr>
            <b/>
          </rPr>
          <t xml:space="preserve">EDGAR Mapper:
</t>
        </r>
        <r>
          <t xml:space="preserve">Prepaid &amp; Other Current Assets maps directly to:
- Prepaid Expense and Other Assets, Current</t>
        </r>
      </text>
    </comment>
    <comment ref="M123" authorId="0">
      <text>
        <r>
          <rPr>
            <b/>
          </rPr>
          <t xml:space="preserve">EDGAR Mapper:
</t>
        </r>
        <r>
          <t xml:space="preserve">Prepaid &amp; Other Current Assets maps directly to:
- Prepaid Expense and Other Assets, Current</t>
        </r>
      </text>
    </comment>
    <comment ref="N123" authorId="0">
      <text>
        <r>
          <rPr>
            <b/>
          </rPr>
          <t xml:space="preserve">EDGAR Mapper:
</t>
        </r>
        <r>
          <t xml:space="preserve">Prepaid &amp; Other Current Assets maps directly to:
- Prepaid Expense and Other Assets, Current</t>
        </r>
      </text>
    </comment>
    <comment ref="P123" authorId="0">
      <text>
        <r>
          <rPr>
            <b/>
          </rPr>
          <t xml:space="preserve">EDGAR Mapper:
</t>
        </r>
        <r>
          <t xml:space="preserve">Prepaid &amp; Other Current Assets maps directly to:
- Prepaid Expense and Other Assets, Current</t>
        </r>
      </text>
    </comment>
    <comment ref="Q123" authorId="0">
      <text>
        <r>
          <rPr>
            <b/>
          </rPr>
          <t xml:space="preserve">EDGAR Mapper:
</t>
        </r>
        <r>
          <t xml:space="preserve">Prepaid &amp; Other Current Assets maps directly to:
- Prepaid Expense and Other Assets, Current</t>
        </r>
      </text>
    </comment>
    <comment ref="R123" authorId="0">
      <text>
        <r>
          <rPr>
            <b/>
          </rPr>
          <t xml:space="preserve">EDGAR Mapper:
</t>
        </r>
        <r>
          <t xml:space="preserve">Prepaid &amp; Other Current Assets maps directly to:
- Prepaid Expense and Other Assets, Current</t>
        </r>
      </text>
    </comment>
    <comment ref="S123" authorId="0">
      <text>
        <r>
          <rPr>
            <b/>
          </rPr>
          <t xml:space="preserve">EDGAR Mapper:
</t>
        </r>
        <r>
          <t xml:space="preserve">Prepaid &amp; Other Current Assets maps directly to:
- Prepaid Expense and Other Assets, Current</t>
        </r>
      </text>
    </comment>
    <comment ref="U123" authorId="0">
      <text>
        <r>
          <rPr>
            <b/>
          </rPr>
          <t xml:space="preserve">EDGAR Mapper:
</t>
        </r>
        <r>
          <t xml:space="preserve">Prepaid &amp; Other Current Assets maps directly to:
- Prepaid Expense and Other Assets, Current</t>
        </r>
      </text>
    </comment>
    <comment ref="V123" authorId="0">
      <text>
        <r>
          <rPr>
            <b/>
          </rPr>
          <t xml:space="preserve">EDGAR Mapper:
</t>
        </r>
        <r>
          <t xml:space="preserve">Prepaid &amp; Other Current Assets maps directly to:
- Prepaid Expense and Other Assets, Current</t>
        </r>
      </text>
    </comment>
    <comment ref="Z124" authorId="0">
      <text/>
    </comment>
    <comment ref="AE124" authorId="0">
      <text/>
    </comment>
    <comment ref="C126" authorId="0">
      <text>
        <r>
          <rPr>
            <b/>
          </rPr>
          <t xml:space="preserve">EDGAR Mapper:
</t>
        </r>
        <r>
          <t xml:space="preserve">PP&amp;E, Net maps directly to:
- Property, Plant and Equipment, Net</t>
        </r>
      </text>
    </comment>
    <comment ref="F126" authorId="0">
      <text>
        <r>
          <rPr>
            <b/>
          </rPr>
          <t xml:space="preserve">EDGAR Mapper:
</t>
        </r>
        <r>
          <t xml:space="preserve">PP&amp;E, Net maps directly to:
- Property, Plant and Equipment, Net</t>
        </r>
      </text>
    </comment>
    <comment ref="G126" authorId="0">
      <text>
        <r>
          <rPr>
            <b/>
          </rPr>
          <t xml:space="preserve">EDGAR Mapper:
</t>
        </r>
        <r>
          <t xml:space="preserve">PP&amp;E, Net maps directly to:
- Property, Plant and Equipment, Net</t>
        </r>
      </text>
    </comment>
    <comment ref="H126" authorId="0">
      <text>
        <r>
          <rPr>
            <b/>
          </rPr>
          <t xml:space="preserve">EDGAR Mapper:
</t>
        </r>
        <r>
          <t xml:space="preserve">PP&amp;E, Net maps directly to:
- Property, Plant and Equipment, Net</t>
        </r>
      </text>
    </comment>
    <comment ref="I126" authorId="0">
      <text>
        <r>
          <rPr>
            <b/>
          </rPr>
          <t xml:space="preserve">EDGAR Mapper:
</t>
        </r>
        <r>
          <t xml:space="preserve">PP&amp;E, Net maps directly to:
- Property, Plant and Equipment, Net</t>
        </r>
      </text>
    </comment>
    <comment ref="K126" authorId="0">
      <text>
        <r>
          <rPr>
            <b/>
          </rPr>
          <t xml:space="preserve">EDGAR Mapper:
</t>
        </r>
        <r>
          <t xml:space="preserve">PP&amp;E, Net maps directly to:
- Property, Plant and Equipment, Net</t>
        </r>
      </text>
    </comment>
    <comment ref="L126" authorId="0">
      <text>
        <r>
          <rPr>
            <b/>
          </rPr>
          <t xml:space="preserve">EDGAR Mapper:
</t>
        </r>
        <r>
          <t xml:space="preserve">PP&amp;E, Net maps directly to:
- Property, Plant and Equipment, Net</t>
        </r>
      </text>
    </comment>
    <comment ref="M126" authorId="0">
      <text>
        <r>
          <rPr>
            <b/>
          </rPr>
          <t xml:space="preserve">EDGAR Mapper:
</t>
        </r>
        <r>
          <t xml:space="preserve">PP&amp;E, Net maps directly to:
- Property, Plant and Equipment, Net</t>
        </r>
      </text>
    </comment>
    <comment ref="N126" authorId="0">
      <text>
        <r>
          <rPr>
            <b/>
          </rPr>
          <t xml:space="preserve">EDGAR Mapper:
</t>
        </r>
        <r>
          <t xml:space="preserve">PP&amp;E, Net maps directly to:
- Property, Plant and Equipment, Net</t>
        </r>
      </text>
    </comment>
    <comment ref="P126" authorId="0">
      <text>
        <r>
          <rPr>
            <b/>
          </rPr>
          <t xml:space="preserve">EDGAR Mapper:
</t>
        </r>
        <r>
          <t xml:space="preserve">PP&amp;E, Net maps directly to:
- Property, Plant and Equipment, Net</t>
        </r>
      </text>
    </comment>
    <comment ref="Q126" authorId="0">
      <text>
        <r>
          <rPr>
            <b/>
          </rPr>
          <t xml:space="preserve">EDGAR Mapper:
</t>
        </r>
        <r>
          <t xml:space="preserve">PP&amp;E, Net maps directly to:
- Property, Plant and Equipment, Net</t>
        </r>
      </text>
    </comment>
    <comment ref="R126" authorId="0">
      <text>
        <r>
          <rPr>
            <b/>
          </rPr>
          <t xml:space="preserve">EDGAR Mapper:
</t>
        </r>
        <r>
          <t xml:space="preserve">PP&amp;E, Net maps directly to:
- Property, Plant and Equipment, Net</t>
        </r>
      </text>
    </comment>
    <comment ref="S126" authorId="0">
      <text>
        <r>
          <rPr>
            <b/>
          </rPr>
          <t xml:space="preserve">EDGAR Mapper:
</t>
        </r>
        <r>
          <t xml:space="preserve">PP&amp;E, Net maps directly to:
- Property, Plant and Equipment, Net</t>
        </r>
      </text>
    </comment>
    <comment ref="U126" authorId="0">
      <text>
        <r>
          <rPr>
            <b/>
          </rPr>
          <t xml:space="preserve">EDGAR Mapper:
</t>
        </r>
        <r>
          <t xml:space="preserve">PP&amp;E, Net maps directly to:
- Property, Plant and Equipment, Net</t>
        </r>
      </text>
    </comment>
    <comment ref="V126" authorId="0">
      <text>
        <r>
          <rPr>
            <b/>
          </rPr>
          <t xml:space="preserve">EDGAR Mapper:
</t>
        </r>
        <r>
          <t xml:space="preserve">PP&amp;E, Net maps directly to:
- Property, Plant and Equipment, Net</t>
        </r>
      </text>
    </comment>
    <comment ref="C127" authorId="0">
      <text>
        <r>
          <rPr>
            <b/>
          </rPr>
          <t xml:space="preserve">EDGAR Mapper:
</t>
        </r>
        <r>
          <t xml:space="preserve">Intangible Assets, Net maps directly to:
- Finite-Lived Intangible Assets, Net</t>
        </r>
      </text>
    </comment>
    <comment ref="F127" authorId="0">
      <text>
        <r>
          <rPr>
            <b/>
          </rPr>
          <t xml:space="preserve">EDGAR Mapper:
</t>
        </r>
        <r>
          <t xml:space="preserve">Intangible Assets, Net maps directly to:
- Finite-Lived Intangible Assets, Net</t>
        </r>
      </text>
    </comment>
    <comment ref="G127" authorId="0">
      <text>
        <r>
          <rPr>
            <b/>
          </rPr>
          <t xml:space="preserve">EDGAR Mapper:
</t>
        </r>
        <r>
          <t xml:space="preserve">Intangible Assets, Net maps directly to:
- Finite-Lived Intangible Assets, Net</t>
        </r>
      </text>
    </comment>
    <comment ref="H127" authorId="0">
      <text>
        <r>
          <rPr>
            <b/>
          </rPr>
          <t xml:space="preserve">EDGAR Mapper:
</t>
        </r>
        <r>
          <t xml:space="preserve">Intangible Assets, Net maps directly to:
- Finite-Lived Intangible Assets, Net</t>
        </r>
      </text>
    </comment>
    <comment ref="I127" authorId="0">
      <text>
        <r>
          <rPr>
            <b/>
          </rPr>
          <t xml:space="preserve">EDGAR Mapper:
</t>
        </r>
        <r>
          <t xml:space="preserve">Intangible Assets, Net maps directly to:
- Finite-Lived Intangible Assets, Net</t>
        </r>
      </text>
    </comment>
    <comment ref="K127" authorId="0">
      <text>
        <r>
          <rPr>
            <b/>
          </rPr>
          <t xml:space="preserve">EDGAR Mapper:
</t>
        </r>
        <r>
          <t xml:space="preserve">Intangible Assets, Net maps directly to:
- Finite-Lived Intangible Assets, Net</t>
        </r>
      </text>
    </comment>
    <comment ref="L127" authorId="0">
      <text>
        <r>
          <rPr>
            <b/>
          </rPr>
          <t xml:space="preserve">EDGAR Mapper:
</t>
        </r>
        <r>
          <t xml:space="preserve">Intangible Assets, Net maps directly to:
- Finite-Lived Intangible Assets, Net</t>
        </r>
      </text>
    </comment>
    <comment ref="M127" authorId="0">
      <text>
        <r>
          <rPr>
            <b/>
          </rPr>
          <t xml:space="preserve">EDGAR Mapper:
</t>
        </r>
        <r>
          <t xml:space="preserve">Intangible Assets, Net maps directly to:
- Finite-Lived Intangible Assets, Net</t>
        </r>
      </text>
    </comment>
    <comment ref="N127" authorId="0">
      <text>
        <r>
          <rPr>
            <b/>
          </rPr>
          <t xml:space="preserve">EDGAR Mapper:
</t>
        </r>
        <r>
          <t xml:space="preserve">Intangible Assets, Net maps directly to:
- Finite-Lived Intangible Assets, Net</t>
        </r>
      </text>
    </comment>
    <comment ref="P127" authorId="0">
      <text>
        <r>
          <rPr>
            <b/>
          </rPr>
          <t xml:space="preserve">EDGAR Mapper:
</t>
        </r>
        <r>
          <t xml:space="preserve">Intangible Assets, Net maps directly to:
- Finite-Lived Intangible Assets, Net</t>
        </r>
      </text>
    </comment>
    <comment ref="Q127" authorId="0">
      <text>
        <r>
          <rPr>
            <b/>
          </rPr>
          <t xml:space="preserve">EDGAR Mapper:
</t>
        </r>
        <r>
          <t xml:space="preserve">Intangible Assets, Net maps directly to:
- Finite-Lived Intangible Assets, Net</t>
        </r>
      </text>
    </comment>
    <comment ref="R127" authorId="0">
      <text>
        <r>
          <rPr>
            <b/>
          </rPr>
          <t xml:space="preserve">EDGAR Mapper:
</t>
        </r>
        <r>
          <t xml:space="preserve">Intangible Assets, Net maps directly to:
- Finite-Lived Intangible Assets, Net</t>
        </r>
      </text>
    </comment>
    <comment ref="S127" authorId="0">
      <text>
        <r>
          <rPr>
            <b/>
          </rPr>
          <t xml:space="preserve">EDGAR Mapper:
</t>
        </r>
        <r>
          <t xml:space="preserve">Intangible Assets, Net maps directly to:
- Finite-Lived Intangible Assets, Net</t>
        </r>
      </text>
    </comment>
    <comment ref="U127" authorId="0">
      <text>
        <r>
          <rPr>
            <b/>
          </rPr>
          <t xml:space="preserve">EDGAR Mapper:
</t>
        </r>
        <r>
          <t xml:space="preserve">Intangible Assets, Net maps directly to:
- Finite-Lived Intangible Assets, Net</t>
        </r>
      </text>
    </comment>
    <comment ref="V127" authorId="0">
      <text>
        <r>
          <rPr>
            <b/>
          </rPr>
          <t xml:space="preserve">EDGAR Mapper:
</t>
        </r>
        <r>
          <t xml:space="preserve">Intangible Assets, Net maps directly to:
- Finite-Lived Intangible Assets, Net</t>
        </r>
      </text>
    </comment>
    <comment ref="F128" authorId="0">
      <text>
        <r>
          <t/>
        </r>
      </text>
    </comment>
    <comment ref="G128" authorId="0">
      <text>
        <r>
          <t/>
        </r>
      </text>
    </comment>
    <comment ref="H128" authorId="0">
      <text>
        <r>
          <t/>
        </r>
      </text>
    </comment>
    <comment ref="I128" authorId="0">
      <text>
        <r>
          <t/>
        </r>
      </text>
    </comment>
    <comment ref="K128" authorId="0">
      <text>
        <r>
          <t/>
        </r>
      </text>
    </comment>
    <comment ref="L128" authorId="0">
      <text>
        <r>
          <t/>
        </r>
      </text>
    </comment>
    <comment ref="M128" authorId="0">
      <text>
        <r>
          <t/>
        </r>
      </text>
    </comment>
    <comment ref="N128" authorId="0">
      <text>
        <r>
          <t/>
        </r>
      </text>
    </comment>
    <comment ref="P128" authorId="0">
      <text>
        <r>
          <t/>
        </r>
      </text>
    </comment>
    <comment ref="Q128" authorId="0">
      <text>
        <r>
          <t/>
        </r>
      </text>
    </comment>
    <comment ref="R128" authorId="0">
      <text>
        <r>
          <t/>
        </r>
      </text>
    </comment>
    <comment ref="S128" authorId="0">
      <text>
        <r>
          <t/>
        </r>
      </text>
    </comment>
    <comment ref="U128" authorId="0">
      <text>
        <r>
          <t/>
        </r>
      </text>
    </comment>
    <comment ref="V128" authorId="0">
      <text>
        <r>
          <t/>
        </r>
      </text>
    </comment>
    <comment ref="C129" authorId="0">
      <text>
        <r>
          <rPr>
            <b/>
          </rPr>
          <t xml:space="preserve">EDGAR Mapper:
</t>
        </r>
        <r>
          <t xml:space="preserve">======
ID#AAABbnJBV0Y
Luke Brennan    (2025-01-14 21:09:38)
Includes:
Customer Financing, net
Deferred Income Taxes
Investments
and Other Assets, net of Amortization
EDGAR Mapper:
Other Non-Current Assets includes:
- Assets, Current
- Property, Plant and Equipment, Net
- Finite-Lived Intangible Assets, Net</t>
        </r>
      </text>
    </comment>
    <comment ref="F129" authorId="0">
      <text>
        <r>
          <rPr>
            <b/>
          </rPr>
          <t xml:space="preserve">EDGAR Mapper:
</t>
        </r>
        <r>
          <t xml:space="preserve">Other Non-Current Assets includes:
- Assets, Current
- Property, Plant and Equipment, Net
- Finite-Lived Intangible Assets, Net</t>
        </r>
      </text>
    </comment>
    <comment ref="G129" authorId="0">
      <text>
        <r>
          <rPr>
            <b/>
          </rPr>
          <t xml:space="preserve">EDGAR Mapper:
</t>
        </r>
        <r>
          <t xml:space="preserve">Other Non-Current Assets includes:
- Assets, Current
- Property, Plant and Equipment, Net
- Finite-Lived Intangible Assets, Net</t>
        </r>
      </text>
    </comment>
    <comment ref="H129" authorId="0">
      <text>
        <r>
          <rPr>
            <b/>
          </rPr>
          <t xml:space="preserve">EDGAR Mapper:
</t>
        </r>
        <r>
          <t xml:space="preserve">Other Non-Current Assets includes:
- Assets, Current
- Property, Plant and Equipment, Net
- Finite-Lived Intangible Assets, Net</t>
        </r>
      </text>
    </comment>
    <comment ref="I129" authorId="0">
      <text>
        <r>
          <rPr>
            <b/>
          </rPr>
          <t xml:space="preserve">EDGAR Mapper:
</t>
        </r>
        <r>
          <t xml:space="preserve">Other Non-Current Assets includes:
- Assets, Current
- Property, Plant and Equipment, Net
- Finite-Lived Intangible Assets, Net</t>
        </r>
      </text>
    </comment>
    <comment ref="K129" authorId="0">
      <text>
        <r>
          <rPr>
            <b/>
          </rPr>
          <t xml:space="preserve">EDGAR Mapper:
</t>
        </r>
        <r>
          <t xml:space="preserve">======
ID#AAABbnJBVzw
Lilianna Ruby    (2025-01-14 21:09:38)
operating lease right of use assets, long term investments, deferred income taxes, other assets
EDGAR Mapper:
Other Non-Current Assets includes:
- Assets, Current
- Property, Plant and Equipment, Net
- Finite-Lived Intangible Assets, Net</t>
        </r>
      </text>
    </comment>
    <comment ref="L129" authorId="0">
      <text>
        <r>
          <rPr>
            <b/>
          </rPr>
          <t xml:space="preserve">EDGAR Mapper:
</t>
        </r>
        <r>
          <t xml:space="preserve">Other Non-Current Assets includes:
- Assets, Current
- Property, Plant and Equipment, Net
- Finite-Lived Intangible Assets, Net</t>
        </r>
      </text>
    </comment>
    <comment ref="M129" authorId="0">
      <text>
        <r>
          <rPr>
            <b/>
          </rPr>
          <t xml:space="preserve">EDGAR Mapper:
</t>
        </r>
        <r>
          <t xml:space="preserve">Other Non-Current Assets includes:
- Assets, Current
- Property, Plant and Equipment, Net
- Finite-Lived Intangible Assets, Net</t>
        </r>
      </text>
    </comment>
    <comment ref="N129" authorId="0">
      <text>
        <r>
          <rPr>
            <b/>
          </rPr>
          <t xml:space="preserve">EDGAR Mapper:
</t>
        </r>
        <r>
          <t xml:space="preserve">Other Non-Current Assets includes:
- Assets, Current
- Property, Plant and Equipment, Net
- Finite-Lived Intangible Assets, Net</t>
        </r>
      </text>
    </comment>
    <comment ref="P129" authorId="0">
      <text>
        <r>
          <rPr>
            <b/>
          </rPr>
          <t xml:space="preserve">EDGAR Mapper:
</t>
        </r>
        <r>
          <t xml:space="preserve">======
ID#AAABbnJBVxY
Lilianna Ruby    (2025-01-14 21:09:38)
operating lease right of use assets, long term investments, deferred income taxes, other assets
EDGAR Mapper:
Other Non-Current Assets includes:
- Assets, Current
- Property, Plant and Equipment, Net
- Finite-Lived Intangible Assets, Net</t>
        </r>
      </text>
    </comment>
    <comment ref="Q129" authorId="0">
      <text>
        <r>
          <rPr>
            <b/>
          </rPr>
          <t xml:space="preserve">EDGAR Mapper:
</t>
        </r>
        <r>
          <t xml:space="preserve">Other Non-Current Assets includes:
- Assets, Current
- Property, Plant and Equipment, Net
- Finite-Lived Intangible Assets, Net</t>
        </r>
      </text>
    </comment>
    <comment ref="R129" authorId="0">
      <text>
        <r>
          <rPr>
            <b/>
          </rPr>
          <t xml:space="preserve">EDGAR Mapper:
</t>
        </r>
        <r>
          <t xml:space="preserve">Other Non-Current Assets includes:
- Assets, Current
- Property, Plant and Equipment, Net
- Finite-Lived Intangible Assets, Net</t>
        </r>
      </text>
    </comment>
    <comment ref="S129" authorId="0">
      <text>
        <r>
          <rPr>
            <b/>
          </rPr>
          <t xml:space="preserve">EDGAR Mapper:
</t>
        </r>
        <r>
          <t xml:space="preserve">Other Non-Current Assets includes:
- Assets, Current
- Property, Plant and Equipment, Net
- Finite-Lived Intangible Assets, Net</t>
        </r>
      </text>
    </comment>
    <comment ref="U129" authorId="0">
      <text>
        <r>
          <rPr>
            <b/>
          </rPr>
          <t xml:space="preserve">EDGAR Mapper:
</t>
        </r>
        <r>
          <t xml:space="preserve">======
ID#AAABbnJBVy4
Lilianna Ruby    (2025-01-14 21:09:38)
Includes operating lease right-of-use assets, long-term investments, deferred income taxes, and other
EDGAR Mapper:
Other Non-Current Assets includes:
- Assets, Current
- Property, Plant and Equipment, Net
- Finite-Lived Intangible Assets, Net</t>
        </r>
      </text>
    </comment>
    <comment ref="V129" authorId="0">
      <text>
        <r>
          <rPr>
            <b/>
          </rPr>
          <t xml:space="preserve">EDGAR Mapper:
</t>
        </r>
        <r>
          <t xml:space="preserve">Other Non-Current Assets includes:
- Assets, Current
- Property, Plant and Equipment, Net
- Finite-Lived Intangible Assets, Net</t>
        </r>
      </text>
    </comment>
    <comment ref="C134" authorId="0">
      <text>
        <r>
          <rPr>
            <b/>
          </rPr>
          <t xml:space="preserve">EDGAR Mapper:
</t>
        </r>
        <r>
          <t xml:space="preserve">Accounts Payable maps directly to:
- Accounts Payable, Current</t>
        </r>
      </text>
    </comment>
    <comment ref="F134" authorId="0">
      <text>
        <r>
          <rPr>
            <b/>
          </rPr>
          <t xml:space="preserve">EDGAR Mapper:
</t>
        </r>
        <r>
          <t xml:space="preserve">Accounts Payable maps directly to:
- Accounts Payable, Current</t>
        </r>
      </text>
    </comment>
    <comment ref="G134" authorId="0">
      <text>
        <r>
          <rPr>
            <b/>
          </rPr>
          <t xml:space="preserve">EDGAR Mapper:
</t>
        </r>
        <r>
          <t xml:space="preserve">Accounts Payable maps directly to:
- Accounts Payable, Current</t>
        </r>
      </text>
    </comment>
    <comment ref="H134" authorId="0">
      <text>
        <r>
          <rPr>
            <b/>
          </rPr>
          <t xml:space="preserve">EDGAR Mapper:
</t>
        </r>
        <r>
          <t xml:space="preserve">Accounts Payable maps directly to:
- Accounts Payable, Current</t>
        </r>
      </text>
    </comment>
    <comment ref="I134" authorId="0">
      <text>
        <r>
          <rPr>
            <b/>
          </rPr>
          <t xml:space="preserve">EDGAR Mapper:
</t>
        </r>
        <r>
          <t xml:space="preserve">Accounts Payable maps directly to:
- Accounts Payable, Current</t>
        </r>
      </text>
    </comment>
    <comment ref="K134" authorId="0">
      <text>
        <r>
          <rPr>
            <b/>
          </rPr>
          <t xml:space="preserve">EDGAR Mapper:
</t>
        </r>
        <r>
          <t xml:space="preserve">Accounts Payable maps directly to:
- Accounts Payable, Current</t>
        </r>
      </text>
    </comment>
    <comment ref="L134" authorId="0">
      <text>
        <r>
          <rPr>
            <b/>
          </rPr>
          <t xml:space="preserve">EDGAR Mapper:
</t>
        </r>
        <r>
          <t xml:space="preserve">Accounts Payable maps directly to:
- Accounts Payable, Current</t>
        </r>
      </text>
    </comment>
    <comment ref="M134" authorId="0">
      <text>
        <r>
          <rPr>
            <b/>
          </rPr>
          <t xml:space="preserve">EDGAR Mapper:
</t>
        </r>
        <r>
          <t xml:space="preserve">Accounts Payable maps directly to:
- Accounts Payable, Current</t>
        </r>
      </text>
    </comment>
    <comment ref="N134" authorId="0">
      <text>
        <r>
          <rPr>
            <b/>
          </rPr>
          <t xml:space="preserve">EDGAR Mapper:
</t>
        </r>
        <r>
          <t xml:space="preserve">Accounts Payable maps directly to:
- Accounts Payable, Current</t>
        </r>
      </text>
    </comment>
    <comment ref="P134" authorId="0">
      <text>
        <r>
          <rPr>
            <b/>
          </rPr>
          <t xml:space="preserve">EDGAR Mapper:
</t>
        </r>
        <r>
          <t xml:space="preserve">Accounts Payable maps directly to:
- Accounts Payable, Current</t>
        </r>
      </text>
    </comment>
    <comment ref="Q134" authorId="0">
      <text>
        <r>
          <rPr>
            <b/>
          </rPr>
          <t xml:space="preserve">EDGAR Mapper:
</t>
        </r>
        <r>
          <t xml:space="preserve">Accounts Payable maps directly to:
- Accounts Payable, Current</t>
        </r>
      </text>
    </comment>
    <comment ref="R134" authorId="0">
      <text>
        <r>
          <rPr>
            <b/>
          </rPr>
          <t xml:space="preserve">EDGAR Mapper:
</t>
        </r>
        <r>
          <t xml:space="preserve">Accounts Payable maps directly to:
- Accounts Payable, Current</t>
        </r>
      </text>
    </comment>
    <comment ref="S134" authorId="0">
      <text>
        <r>
          <rPr>
            <b/>
          </rPr>
          <t xml:space="preserve">EDGAR Mapper:
</t>
        </r>
        <r>
          <t xml:space="preserve">Accounts Payable maps directly to:
- Accounts Payable, Current</t>
        </r>
      </text>
    </comment>
    <comment ref="U134" authorId="0">
      <text>
        <r>
          <rPr>
            <b/>
          </rPr>
          <t xml:space="preserve">EDGAR Mapper:
</t>
        </r>
        <r>
          <t xml:space="preserve">Accounts Payable maps directly to:
- Accounts Payable, Current</t>
        </r>
      </text>
    </comment>
    <comment ref="V134" authorId="0">
      <text>
        <r>
          <rPr>
            <b/>
          </rPr>
          <t xml:space="preserve">EDGAR Mapper:
</t>
        </r>
        <r>
          <t xml:space="preserve">Accounts Payable maps directly to:
- Accounts Payable, Current</t>
        </r>
      </text>
    </comment>
    <comment ref="C135" authorId="0">
      <text>
        <r>
          <rPr>
            <b/>
          </rPr>
          <t xml:space="preserve">EDGAR Mapper:
</t>
        </r>
        <r>
          <t xml:space="preserve">Accrued Liabilities includes:
- Liabilities, Current
- Accounts Payable, Current
- Contract with Customer, Liability, Current
Accrued Liabilities includes:
- Liabilities, Current
- Accounts Payable, Current
- Contract with Customer, Liability, Current
- Debt, Current</t>
        </r>
      </text>
    </comment>
    <comment ref="F135" authorId="0">
      <text>
        <r>
          <rPr>
            <b/>
          </rPr>
          <t xml:space="preserve">EDGAR Mapper:
</t>
        </r>
        <r>
          <t xml:space="preserve">Accrued Liabilities includes:
- Liabilities, Current
- Accounts Payable, Current
- Contract with Customer, Liability, Current</t>
        </r>
      </text>
    </comment>
    <comment ref="G135" authorId="0">
      <text>
        <r>
          <rPr>
            <b/>
          </rPr>
          <t xml:space="preserve">EDGAR Mapper:
</t>
        </r>
        <r>
          <t xml:space="preserve">Accrued Liabilities includes:
- Liabilities, Current
- Accounts Payable, Current
- Contract with Customer, Liability, Current
- Debt, Current</t>
        </r>
      </text>
    </comment>
    <comment ref="H135" authorId="0">
      <text>
        <r>
          <rPr>
            <b/>
          </rPr>
          <t xml:space="preserve">EDGAR Mapper:
</t>
        </r>
        <r>
          <t xml:space="preserve">Accrued Liabilities includes:
- Liabilities, Current
- Accounts Payable, Current
- Contract with Customer, Liability, Current
- Debt, Current</t>
        </r>
      </text>
    </comment>
    <comment ref="I135" authorId="0">
      <text>
        <r>
          <rPr>
            <b/>
          </rPr>
          <t xml:space="preserve">EDGAR Mapper:
</t>
        </r>
        <r>
          <t xml:space="preserve">Accrued Liabilities includes:
- Liabilities, Current
- Accounts Payable, Current
- Contract with Customer, Liability, Current
- Debt, Current</t>
        </r>
      </text>
    </comment>
    <comment ref="K135" authorId="0">
      <text>
        <r>
          <rPr>
            <b/>
          </rPr>
          <t xml:space="preserve">EDGAR Mapper:
</t>
        </r>
        <r>
          <t xml:space="preserve">Accrued Liabilities includes:
- Liabilities, Current
- Accounts Payable, Current
- Contract with Customer, Liability, Current
- Debt, Current</t>
        </r>
      </text>
    </comment>
    <comment ref="L135" authorId="0">
      <text>
        <r>
          <rPr>
            <b/>
          </rPr>
          <t xml:space="preserve">EDGAR Mapper:
</t>
        </r>
        <r>
          <t xml:space="preserve">Accrued Liabilities includes:
- Liabilities, Current
- Accounts Payable, Current
- Contract with Customer, Liability, Current
- Debt, Current</t>
        </r>
      </text>
    </comment>
    <comment ref="M135" authorId="0">
      <text>
        <r>
          <rPr>
            <b/>
          </rPr>
          <t xml:space="preserve">EDGAR Mapper:
</t>
        </r>
        <r>
          <t xml:space="preserve">Accrued Liabilities includes:
- Liabilities, Current
- Accounts Payable, Current
- Contract with Customer, Liability, Current
- Debt, Current</t>
        </r>
      </text>
    </comment>
    <comment ref="N135" authorId="0">
      <text>
        <r>
          <rPr>
            <b/>
          </rPr>
          <t xml:space="preserve">EDGAR Mapper:
</t>
        </r>
        <r>
          <t xml:space="preserve">Accrued Liabilities includes:
- Liabilities, Current
- Accounts Payable, Current
- Contract with Customer, Liability, Current
- Debt, Current</t>
        </r>
      </text>
    </comment>
    <comment ref="P135" authorId="0">
      <text>
        <r>
          <rPr>
            <b/>
          </rPr>
          <t xml:space="preserve">EDGAR Mapper:
</t>
        </r>
        <r>
          <t xml:space="preserve">Accrued Liabilities includes:
- Liabilities, Current
- Accounts Payable, Current
- Contract with Customer, Liability, Current
- Debt, Current</t>
        </r>
      </text>
    </comment>
    <comment ref="Q135" authorId="0">
      <text>
        <r>
          <rPr>
            <b/>
          </rPr>
          <t xml:space="preserve">EDGAR Mapper:
</t>
        </r>
        <r>
          <t xml:space="preserve">Accrued Liabilities includes:
- Liabilities, Current
- Accounts Payable, Current
- Contract with Customer, Liability, Current</t>
        </r>
      </text>
    </comment>
    <comment ref="R135" authorId="0">
      <text>
        <r>
          <rPr>
            <b/>
          </rPr>
          <t xml:space="preserve">EDGAR Mapper:
</t>
        </r>
        <r>
          <t xml:space="preserve">Accrued Liabilities includes:
- Liabilities, Current
- Accounts Payable, Current
- Contract with Customer, Liability, Current</t>
        </r>
      </text>
    </comment>
    <comment ref="S135" authorId="0">
      <text>
        <r>
          <rPr>
            <b/>
          </rPr>
          <t xml:space="preserve">EDGAR Mapper:
</t>
        </r>
        <r>
          <t xml:space="preserve">Accrued Liabilities includes:
- Liabilities, Current
- Accounts Payable, Current
- Contract with Customer, Liability, Current</t>
        </r>
      </text>
    </comment>
    <comment ref="U135" authorId="0">
      <text>
        <r>
          <rPr>
            <b/>
          </rPr>
          <t xml:space="preserve">EDGAR Mapper:
</t>
        </r>
        <r>
          <t xml:space="preserve">Accrued Liabilities includes:
- Liabilities, Current
- Accounts Payable, Current
- Contract with Customer, Liability, Current</t>
        </r>
      </text>
    </comment>
    <comment ref="V135" authorId="0">
      <text>
        <r>
          <rPr>
            <b/>
          </rPr>
          <t xml:space="preserve">EDGAR Mapper:
</t>
        </r>
        <r>
          <t xml:space="preserve">Accrued Liabilities includes:
- Liabilities, Current
- Accounts Payable, Current
- Contract with Customer, Liability, Current</t>
        </r>
      </text>
    </comment>
    <comment ref="C136" authorId="0">
      <text>
        <r>
          <rPr>
            <b/>
          </rPr>
          <t xml:space="preserve">EDGAR Mapper:
</t>
        </r>
        <r>
          <t xml:space="preserve">======
ID#AAABbnJBV0M
Luke Brennan    (2025-01-14 21:09:38)
Advances and Billings in Excess of Related Costs
EDGAR Mapper:
Other Current Liabilities maps directly to:
- Contract with Customer, Liability, Current</t>
        </r>
      </text>
    </comment>
    <comment ref="F136" authorId="0">
      <text>
        <r>
          <t/>
        </r>
      </text>
    </comment>
    <comment ref="G136" authorId="0">
      <text>
        <r>
          <t/>
        </r>
      </text>
    </comment>
    <comment ref="H136" authorId="0">
      <text>
        <r>
          <t/>
        </r>
      </text>
    </comment>
    <comment ref="I136" authorId="0">
      <text>
        <r>
          <t/>
        </r>
      </text>
    </comment>
    <comment ref="K136" authorId="0">
      <text>
        <r>
          <t/>
        </r>
      </text>
    </comment>
    <comment ref="L136" authorId="0">
      <text>
        <r>
          <t/>
        </r>
      </text>
    </comment>
    <comment ref="M136" authorId="0">
      <text>
        <r>
          <t/>
        </r>
      </text>
    </comment>
    <comment ref="N136" authorId="0">
      <text>
        <r>
          <t/>
        </r>
      </text>
    </comment>
    <comment ref="P136" authorId="0">
      <text>
        <r>
          <rPr>
            <b/>
          </rPr>
          <t xml:space="preserve">EDGAR Mapper:
</t>
        </r>
        <r>
          <t xml:space="preserve">======
ID#AAABbnJBV00
Lilianna Ruby    (2025-01-14 21:09:38)
Current operating lease liabilities, deferred revenue, other
EDGAR Mapper:
Other Current Liabilities maps directly to:
- Contract with Customer, Liability, Current</t>
        </r>
      </text>
    </comment>
    <comment ref="Q136" authorId="0">
      <text>
        <r>
          <rPr>
            <b/>
          </rPr>
          <t xml:space="preserve">EDGAR Mapper:
</t>
        </r>
        <r>
          <t xml:space="preserve">Other Current Liabilities maps directly to:
- Contract with Customer, Liability, Current</t>
        </r>
      </text>
    </comment>
    <comment ref="R136" authorId="0">
      <text>
        <r>
          <rPr>
            <b/>
          </rPr>
          <t xml:space="preserve">EDGAR Mapper:
</t>
        </r>
        <r>
          <t xml:space="preserve">Other Current Liabilities maps directly to:
- Contract with Customer, Liability, Current</t>
        </r>
      </text>
    </comment>
    <comment ref="S136" authorId="0">
      <text>
        <r>
          <rPr>
            <b/>
          </rPr>
          <t xml:space="preserve">EDGAR Mapper:
</t>
        </r>
        <r>
          <t xml:space="preserve">Other Current Liabilities maps directly to:
- Contract with Customer, Liability, Current</t>
        </r>
      </text>
    </comment>
    <comment ref="U136" authorId="0">
      <text>
        <r>
          <t/>
        </r>
      </text>
    </comment>
    <comment ref="V136" authorId="0">
      <text>
        <r>
          <t/>
        </r>
      </text>
    </comment>
    <comment ref="C139" authorId="0">
      <text>
        <r>
          <t/>
        </r>
      </text>
    </comment>
    <comment ref="Y139" authorId="0">
      <text/>
    </comment>
    <comment ref="Z139" authorId="0">
      <text/>
    </comment>
    <comment ref="AD139" authorId="0">
      <text/>
    </comment>
    <comment ref="AE139" authorId="0">
      <text/>
    </comment>
    <comment ref="C140" authorId="0">
      <text>
        <r>
          <rPr>
            <b/>
          </rPr>
          <t xml:space="preserve">EDGAR Mapper:
</t>
        </r>
        <r>
          <t xml:space="preserve">======
ID#AAABbnJBVz0
Luke Brennan    (2025-01-14 21:09:38)
If your company breaks out a current portion of LT Debt, be sure to add it into this line. We can easily project the issuance and paydown of LT debt but not what the current portion will be, so it is all included in one line
EDGAR Mapper:
LT Debt (Incl. Current Portion) includes:
- Long-term Debt, Excluding Current Maturities
- Debt, Current
LT Debt (Incl. Current Portion) maps directly to:
- Long-term Debt, Excluding Current Maturities</t>
        </r>
      </text>
    </comment>
    <comment ref="F140" authorId="0">
      <text>
        <r>
          <rPr>
            <b/>
          </rPr>
          <t xml:space="preserve">EDGAR Mapper:
</t>
        </r>
        <r>
          <t xml:space="preserve">LT Debt (Incl. Current Portion) maps directly to:
- Long-term Debt, Excluding Current Maturities</t>
        </r>
      </text>
    </comment>
    <comment ref="G140" authorId="0">
      <text>
        <r>
          <rPr>
            <b/>
          </rPr>
          <t xml:space="preserve">EDGAR Mapper:
</t>
        </r>
        <r>
          <t xml:space="preserve">LT Debt (Incl. Current Portion) includes:
- Long-term Debt, Excluding Current Maturities
- Debt, Current</t>
        </r>
      </text>
    </comment>
    <comment ref="H140" authorId="0">
      <text>
        <r>
          <rPr>
            <b/>
          </rPr>
          <t xml:space="preserve">EDGAR Mapper:
</t>
        </r>
        <r>
          <t xml:space="preserve">LT Debt (Incl. Current Portion) includes:
- Long-term Debt, Excluding Current Maturities
- Debt, Current</t>
        </r>
      </text>
    </comment>
    <comment ref="I140" authorId="0">
      <text>
        <r>
          <rPr>
            <b/>
          </rPr>
          <t xml:space="preserve">EDGAR Mapper:
</t>
        </r>
        <r>
          <t xml:space="preserve">LT Debt (Incl. Current Portion) includes:
- Long-term Debt, Excluding Current Maturities
- Debt, Current</t>
        </r>
      </text>
    </comment>
    <comment ref="K140" authorId="0">
      <text>
        <r>
          <rPr>
            <b/>
          </rPr>
          <t xml:space="preserve">EDGAR Mapper:
</t>
        </r>
        <r>
          <t xml:space="preserve">LT Debt (Incl. Current Portion) includes:
- Long-term Debt, Excluding Current Maturities
- Debt, Current</t>
        </r>
      </text>
    </comment>
    <comment ref="L140" authorId="0">
      <text>
        <r>
          <rPr>
            <b/>
          </rPr>
          <t xml:space="preserve">EDGAR Mapper:
</t>
        </r>
        <r>
          <t xml:space="preserve">LT Debt (Incl. Current Portion) includes:
- Long-term Debt, Excluding Current Maturities
- Debt, Current</t>
        </r>
      </text>
    </comment>
    <comment ref="M140" authorId="0">
      <text>
        <r>
          <rPr>
            <b/>
          </rPr>
          <t xml:space="preserve">EDGAR Mapper:
</t>
        </r>
        <r>
          <t xml:space="preserve">LT Debt (Incl. Current Portion) includes:
- Long-term Debt, Excluding Current Maturities
- Debt, Current</t>
        </r>
      </text>
    </comment>
    <comment ref="N140" authorId="0">
      <text>
        <r>
          <rPr>
            <b/>
          </rPr>
          <t xml:space="preserve">EDGAR Mapper:
</t>
        </r>
        <r>
          <t xml:space="preserve">LT Debt (Incl. Current Portion) includes:
- Long-term Debt, Excluding Current Maturities
- Debt, Current</t>
        </r>
      </text>
    </comment>
    <comment ref="P140" authorId="0">
      <text>
        <r>
          <rPr>
            <b/>
          </rPr>
          <t xml:space="preserve">EDGAR Mapper:
</t>
        </r>
        <r>
          <t xml:space="preserve">LT Debt (Incl. Current Portion) includes:
- Long-term Debt, Excluding Current Maturities
- Debt, Current</t>
        </r>
      </text>
    </comment>
    <comment ref="Q140" authorId="0">
      <text>
        <r>
          <rPr>
            <b/>
          </rPr>
          <t xml:space="preserve">EDGAR Mapper:
</t>
        </r>
        <r>
          <t xml:space="preserve">LT Debt (Incl. Current Portion) maps directly to:
- Long-term Debt, Excluding Current Maturities</t>
        </r>
      </text>
    </comment>
    <comment ref="R140" authorId="0">
      <text>
        <r>
          <rPr>
            <b/>
          </rPr>
          <t xml:space="preserve">EDGAR Mapper:
</t>
        </r>
        <r>
          <t xml:space="preserve">LT Debt (Incl. Current Portion) maps directly to:
- Long-term Debt, Excluding Current Maturities</t>
        </r>
      </text>
    </comment>
    <comment ref="S140" authorId="0">
      <text>
        <r>
          <rPr>
            <b/>
          </rPr>
          <t xml:space="preserve">EDGAR Mapper:
</t>
        </r>
        <r>
          <t xml:space="preserve">LT Debt (Incl. Current Portion) maps directly to:
- Long-term Debt, Excluding Current Maturities</t>
        </r>
      </text>
    </comment>
    <comment ref="U140" authorId="0">
      <text>
        <r>
          <rPr>
            <b/>
          </rPr>
          <t xml:space="preserve">EDGAR Mapper:
</t>
        </r>
        <r>
          <t xml:space="preserve">LT Debt (Incl. Current Portion) maps directly to:
- Long-term Debt, Excluding Current Maturities</t>
        </r>
      </text>
    </comment>
    <comment ref="V140" authorId="0">
      <text>
        <r>
          <rPr>
            <b/>
          </rPr>
          <t xml:space="preserve">EDGAR Mapper:
</t>
        </r>
        <r>
          <t xml:space="preserve">LT Debt (Incl. Current Portion) maps directly to:
- Long-term Debt, Excluding Current Maturities</t>
        </r>
      </text>
    </comment>
    <comment ref="C141" authorId="0">
      <text>
        <r>
          <rPr>
            <b/>
          </rPr>
          <t xml:space="preserve">EDGAR Mapper:
</t>
        </r>
        <r>
          <t xml:space="preserve">Deferred Income Taxes maps directly to:
- Deferred Income Tax Liabilities, Net</t>
        </r>
      </text>
    </comment>
    <comment ref="F141" authorId="0">
      <text>
        <r>
          <rPr>
            <b/>
          </rPr>
          <t xml:space="preserve">EDGAR Mapper:
</t>
        </r>
        <r>
          <t xml:space="preserve">Deferred Income Taxes maps directly to:
- Deferred Income Tax Liabilities, Net</t>
        </r>
      </text>
    </comment>
    <comment ref="G141" authorId="0">
      <text>
        <r>
          <rPr>
            <b/>
          </rPr>
          <t xml:space="preserve">EDGAR Mapper:
</t>
        </r>
        <r>
          <t xml:space="preserve">Deferred Income Taxes maps directly to:
- Deferred Income Tax Liabilities, Net</t>
        </r>
      </text>
    </comment>
    <comment ref="H141" authorId="0">
      <text>
        <r>
          <rPr>
            <b/>
          </rPr>
          <t xml:space="preserve">EDGAR Mapper:
</t>
        </r>
        <r>
          <t xml:space="preserve">Deferred Income Taxes maps directly to:
- Deferred Income Tax Liabilities, Net</t>
        </r>
      </text>
    </comment>
    <comment ref="I141" authorId="0">
      <text>
        <r>
          <rPr>
            <b/>
          </rPr>
          <t xml:space="preserve">EDGAR Mapper:
</t>
        </r>
        <r>
          <t xml:space="preserve">Deferred Income Taxes maps directly to:
- Deferred Income Tax Liabilities, Net</t>
        </r>
      </text>
    </comment>
    <comment ref="K141" authorId="0">
      <text>
        <r>
          <rPr>
            <b/>
          </rPr>
          <t xml:space="preserve">EDGAR Mapper:
</t>
        </r>
        <r>
          <t xml:space="preserve">Deferred Income Taxes maps directly to:
- Deferred Income Tax Liabilities, Net</t>
        </r>
      </text>
    </comment>
    <comment ref="L141" authorId="0">
      <text>
        <r>
          <rPr>
            <b/>
          </rPr>
          <t xml:space="preserve">EDGAR Mapper:
</t>
        </r>
        <r>
          <t xml:space="preserve">Deferred Income Taxes maps directly to:
- Deferred Income Tax Liabilities, Net</t>
        </r>
      </text>
    </comment>
    <comment ref="M141" authorId="0">
      <text>
        <r>
          <rPr>
            <b/>
          </rPr>
          <t xml:space="preserve">EDGAR Mapper:
</t>
        </r>
        <r>
          <t xml:space="preserve">Deferred Income Taxes maps directly to:
- Deferred Income Tax Liabilities, Net</t>
        </r>
      </text>
    </comment>
    <comment ref="N141" authorId="0">
      <text>
        <r>
          <rPr>
            <b/>
          </rPr>
          <t xml:space="preserve">EDGAR Mapper:
</t>
        </r>
        <r>
          <t xml:space="preserve">Deferred Income Taxes maps directly to:
- Deferred Income Tax Liabilities, Net</t>
        </r>
      </text>
    </comment>
    <comment ref="P141" authorId="0">
      <text>
        <r>
          <rPr>
            <b/>
          </rPr>
          <t xml:space="preserve">EDGAR Mapper:
</t>
        </r>
        <r>
          <t xml:space="preserve">Deferred Income Taxes maps directly to:
- Deferred Income Tax Liabilities, Net</t>
        </r>
      </text>
    </comment>
    <comment ref="Q141" authorId="0">
      <text>
        <r>
          <rPr>
            <b/>
          </rPr>
          <t xml:space="preserve">EDGAR Mapper:
</t>
        </r>
        <r>
          <t xml:space="preserve">Deferred Income Taxes maps directly to:
- Deferred Income Tax Liabilities, Net</t>
        </r>
      </text>
    </comment>
    <comment ref="R141" authorId="0">
      <text>
        <r>
          <rPr>
            <b/>
          </rPr>
          <t xml:space="preserve">EDGAR Mapper:
</t>
        </r>
        <r>
          <t xml:space="preserve">Deferred Income Taxes maps directly to:
- Deferred Income Tax Liabilities, Net</t>
        </r>
      </text>
    </comment>
    <comment ref="S141" authorId="0">
      <text>
        <r>
          <rPr>
            <b/>
          </rPr>
          <t xml:space="preserve">EDGAR Mapper:
</t>
        </r>
        <r>
          <t xml:space="preserve">Deferred Income Taxes maps directly to:
- Deferred Income Tax Liabilities, Net</t>
        </r>
      </text>
    </comment>
    <comment ref="U141" authorId="0">
      <text>
        <r>
          <rPr>
            <b/>
          </rPr>
          <t xml:space="preserve">EDGAR Mapper:
</t>
        </r>
        <r>
          <t xml:space="preserve">Deferred Income Taxes maps directly to:
- Deferred Income Tax Liabilities, Net</t>
        </r>
      </text>
    </comment>
    <comment ref="V141" authorId="0">
      <text>
        <r>
          <rPr>
            <b/>
          </rPr>
          <t xml:space="preserve">EDGAR Mapper:
</t>
        </r>
        <r>
          <t xml:space="preserve">Deferred Income Taxes maps directly to:
- Deferred Income Tax Liabilities, Net</t>
        </r>
      </text>
    </comment>
    <comment ref="C142" authorId="0">
      <text>
        <r>
          <rPr>
            <b/>
          </rPr>
          <t xml:space="preserve">EDGAR Mapper:
</t>
        </r>
        <r>
          <t xml:space="preserve">======
ID#AAABbnJBVw8
Luke Brennan    (2025-01-14 21:09:38)
Accrued Retiree Healthcare
Accrued Pension Plan Liability, net
and Other LT Liabilities
EDGAR Mapper:
Other Non-Current Liabilities includes:
- Liabilities, Current
- Debt, Current
- Long-term Debt, Excluding Current Maturities
- Deferred Income Tax Liabilities, Net
Other Non-Current Liabilities includes:
- Liabilities, Current
- Long-term Debt, Excluding Current Maturities
- Deferred Income Tax Liabilities, Net</t>
        </r>
      </text>
    </comment>
    <comment ref="F142" authorId="0">
      <text>
        <r>
          <rPr>
            <b/>
          </rPr>
          <t xml:space="preserve">EDGAR Mapper:
</t>
        </r>
        <r>
          <t xml:space="preserve">Other Non-Current Liabilities includes:
- Liabilities, Current
- Long-term Debt, Excluding Current Maturities
- Deferred Income Tax Liabilities, Net</t>
        </r>
      </text>
    </comment>
    <comment ref="G142" authorId="0">
      <text>
        <r>
          <rPr>
            <b/>
          </rPr>
          <t xml:space="preserve">EDGAR Mapper:
</t>
        </r>
        <r>
          <t xml:space="preserve">Other Non-Current Liabilities includes:
- Liabilities, Current
- Debt, Current
- Long-term Debt, Excluding Current Maturities
- Deferred Income Tax Liabilities, Net</t>
        </r>
      </text>
    </comment>
    <comment ref="H142" authorId="0">
      <text>
        <r>
          <rPr>
            <b/>
          </rPr>
          <t xml:space="preserve">EDGAR Mapper:
</t>
        </r>
        <r>
          <t xml:space="preserve">Other Non-Current Liabilities includes:
- Liabilities, Current
- Debt, Current
- Long-term Debt, Excluding Current Maturities
- Deferred Income Tax Liabilities, Net</t>
        </r>
      </text>
    </comment>
    <comment ref="I142" authorId="0">
      <text>
        <r>
          <rPr>
            <b/>
          </rPr>
          <t xml:space="preserve">EDGAR Mapper:
</t>
        </r>
        <r>
          <t xml:space="preserve">Other Non-Current Liabilities includes:
- Liabilities, Current
- Debt, Current
- Long-term Debt, Excluding Current Maturities
- Deferred Income Tax Liabilities, Net</t>
        </r>
      </text>
    </comment>
    <comment ref="K142" authorId="0">
      <text>
        <r>
          <rPr>
            <b/>
          </rPr>
          <t xml:space="preserve">EDGAR Mapper:
</t>
        </r>
        <r>
          <t xml:space="preserve">Other Non-Current Liabilities includes:
- Liabilities, Current
- Debt, Current
- Long-term Debt, Excluding Current Maturities
- Deferred Income Tax Liabilities, Net</t>
        </r>
      </text>
    </comment>
    <comment ref="L142" authorId="0">
      <text>
        <r>
          <rPr>
            <b/>
          </rPr>
          <t xml:space="preserve">EDGAR Mapper:
</t>
        </r>
        <r>
          <t xml:space="preserve">Other Non-Current Liabilities includes:
- Liabilities, Current
- Debt, Current
- Long-term Debt, Excluding Current Maturities
- Deferred Income Tax Liabilities, Net</t>
        </r>
      </text>
    </comment>
    <comment ref="M142" authorId="0">
      <text>
        <r>
          <rPr>
            <b/>
          </rPr>
          <t xml:space="preserve">EDGAR Mapper:
</t>
        </r>
        <r>
          <t xml:space="preserve">Other Non-Current Liabilities includes:
- Liabilities, Current
- Debt, Current
- Long-term Debt, Excluding Current Maturities
- Deferred Income Tax Liabilities, Net</t>
        </r>
      </text>
    </comment>
    <comment ref="N142" authorId="0">
      <text>
        <r>
          <rPr>
            <b/>
          </rPr>
          <t xml:space="preserve">EDGAR Mapper:
</t>
        </r>
        <r>
          <t xml:space="preserve">Other Non-Current Liabilities includes:
- Liabilities, Current
- Debt, Current
- Long-term Debt, Excluding Current Maturities
- Deferred Income Tax Liabilities, Net</t>
        </r>
      </text>
    </comment>
    <comment ref="P142" authorId="0">
      <text>
        <r>
          <t/>
        </r>
      </text>
    </comment>
    <comment ref="Q142" authorId="0">
      <text>
        <r>
          <t/>
        </r>
      </text>
    </comment>
    <comment ref="R142" authorId="0">
      <text>
        <r>
          <t/>
        </r>
      </text>
    </comment>
    <comment ref="S142" authorId="0">
      <text>
        <r>
          <t/>
        </r>
      </text>
    </comment>
    <comment ref="U142" authorId="0">
      <text>
        <r>
          <rPr>
            <b/>
          </rPr>
          <t xml:space="preserve">EDGAR Mapper:
</t>
        </r>
        <r>
          <t xml:space="preserve">Other Non-Current Liabilities includes:
- Liabilities, Current
- Long-term Debt, Excluding Current Maturities
- Deferred Income Tax Liabilities, Net</t>
        </r>
      </text>
    </comment>
    <comment ref="V142" authorId="0">
      <text>
        <r>
          <rPr>
            <b/>
          </rPr>
          <t xml:space="preserve">EDGAR Mapper:
</t>
        </r>
        <r>
          <t xml:space="preserve">Other Non-Current Liabilities includes:
- Liabilities, Current
- Long-term Debt, Excluding Current Maturities
- Deferred Income Tax Liabilities, Net</t>
        </r>
      </text>
    </comment>
    <comment ref="Z143" authorId="0">
      <text/>
    </comment>
    <comment ref="AE143" authorId="0">
      <text/>
    </comment>
    <comment ref="C147" authorId="0">
      <text>
        <r>
          <rPr>
            <b/>
          </rPr>
          <t xml:space="preserve">EDGAR Mapper:
</t>
        </r>
        <r>
          <t xml:space="preserve">Common Stock &amp; APIC includes:
- Stockholders' Equity Attributable to Parent
- Retained Earnings (Accumulated Deficit)
- Accumulated Other Comprehensive Income (Loss), Net of Tax</t>
        </r>
      </text>
    </comment>
    <comment ref="F147" authorId="0">
      <text>
        <r>
          <rPr>
            <b/>
          </rPr>
          <t xml:space="preserve">EDGAR Mapper:
</t>
        </r>
        <r>
          <t xml:space="preserve">Common Stock &amp; APIC includes:
- Stockholders' Equity Attributable to Parent
- Retained Earnings (Accumulated Deficit)
- Accumulated Other Comprehensive Income (Loss), Net of Tax</t>
        </r>
      </text>
    </comment>
    <comment ref="G147" authorId="0">
      <text>
        <r>
          <rPr>
            <b/>
          </rPr>
          <t xml:space="preserve">EDGAR Mapper:
</t>
        </r>
        <r>
          <t xml:space="preserve">Common Stock &amp; APIC includes:
- Stockholders' Equity Attributable to Parent
- Retained Earnings (Accumulated Deficit)
- Accumulated Other Comprehensive Income (Loss), Net of Tax</t>
        </r>
      </text>
    </comment>
    <comment ref="H147" authorId="0">
      <text>
        <r>
          <rPr>
            <b/>
          </rPr>
          <t xml:space="preserve">EDGAR Mapper:
</t>
        </r>
        <r>
          <t xml:space="preserve">Common Stock &amp; APIC includes:
- Stockholders' Equity Attributable to Parent
- Retained Earnings (Accumulated Deficit)
- Accumulated Other Comprehensive Income (Loss), Net of Tax</t>
        </r>
      </text>
    </comment>
    <comment ref="I147" authorId="0">
      <text>
        <r>
          <rPr>
            <b/>
          </rPr>
          <t xml:space="preserve">EDGAR Mapper:
</t>
        </r>
        <r>
          <t xml:space="preserve">Common Stock &amp; APIC includes:
- Stockholders' Equity Attributable to Parent
- Retained Earnings (Accumulated Deficit)
- Accumulated Other Comprehensive Income (Loss), Net of Tax</t>
        </r>
      </text>
    </comment>
    <comment ref="K147" authorId="0">
      <text>
        <r>
          <rPr>
            <b/>
          </rPr>
          <t xml:space="preserve">EDGAR Mapper:
</t>
        </r>
        <r>
          <t xml:space="preserve">Common Stock &amp; APIC includes:
- Stockholders' Equity Attributable to Parent
- Retained Earnings (Accumulated Deficit)
- Accumulated Other Comprehensive Income (Loss), Net of Tax</t>
        </r>
      </text>
    </comment>
    <comment ref="L147" authorId="0">
      <text>
        <r>
          <rPr>
            <b/>
          </rPr>
          <t xml:space="preserve">EDGAR Mapper:
</t>
        </r>
        <r>
          <t xml:space="preserve">Common Stock &amp; APIC includes:
- Stockholders' Equity Attributable to Parent
- Retained Earnings (Accumulated Deficit)
- Accumulated Other Comprehensive Income (Loss), Net of Tax</t>
        </r>
      </text>
    </comment>
    <comment ref="M147" authorId="0">
      <text>
        <r>
          <rPr>
            <b/>
          </rPr>
          <t xml:space="preserve">EDGAR Mapper:
</t>
        </r>
        <r>
          <t xml:space="preserve">Common Stock &amp; APIC includes:
- Stockholders' Equity Attributable to Parent
- Retained Earnings (Accumulated Deficit)
- Accumulated Other Comprehensive Income (Loss), Net of Tax</t>
        </r>
      </text>
    </comment>
    <comment ref="N147" authorId="0">
      <text>
        <r>
          <rPr>
            <b/>
          </rPr>
          <t xml:space="preserve">EDGAR Mapper:
</t>
        </r>
        <r>
          <t xml:space="preserve">Common Stock &amp; APIC includes:
- Stockholders' Equity Attributable to Parent
- Retained Earnings (Accumulated Deficit)
- Accumulated Other Comprehensive Income (Loss), Net of Tax</t>
        </r>
      </text>
    </comment>
    <comment ref="P147" authorId="0">
      <text>
        <r>
          <rPr>
            <b/>
          </rPr>
          <t xml:space="preserve">EDGAR Mapper:
</t>
        </r>
        <r>
          <t xml:space="preserve">Common Stock &amp; APIC includes:
- Stockholders' Equity Attributable to Parent
- Retained Earnings (Accumulated Deficit)
- Accumulated Other Comprehensive Income (Loss), Net of Tax</t>
        </r>
      </text>
    </comment>
    <comment ref="Q147" authorId="0">
      <text>
        <r>
          <rPr>
            <b/>
          </rPr>
          <t xml:space="preserve">EDGAR Mapper:
</t>
        </r>
        <r>
          <t xml:space="preserve">Common Stock &amp; APIC includes:
- Stockholders' Equity Attributable to Parent
- Retained Earnings (Accumulated Deficit)
- Accumulated Other Comprehensive Income (Loss), Net of Tax</t>
        </r>
      </text>
    </comment>
    <comment ref="R147" authorId="0">
      <text>
        <r>
          <rPr>
            <b/>
          </rPr>
          <t xml:space="preserve">EDGAR Mapper:
</t>
        </r>
        <r>
          <t xml:space="preserve">Common Stock &amp; APIC includes:
- Stockholders' Equity Attributable to Parent
- Retained Earnings (Accumulated Deficit)
- Accumulated Other Comprehensive Income (Loss), Net of Tax</t>
        </r>
      </text>
    </comment>
    <comment ref="S147" authorId="0">
      <text>
        <r>
          <rPr>
            <b/>
          </rPr>
          <t xml:space="preserve">EDGAR Mapper:
</t>
        </r>
        <r>
          <t xml:space="preserve">Common Stock &amp; APIC includes:
- Stockholders' Equity Attributable to Parent
- Retained Earnings (Accumulated Deficit)
- Accumulated Other Comprehensive Income (Loss), Net of Tax</t>
        </r>
      </text>
    </comment>
    <comment ref="U147" authorId="0">
      <text>
        <r>
          <rPr>
            <b/>
          </rPr>
          <t xml:space="preserve">EDGAR Mapper:
</t>
        </r>
        <r>
          <t xml:space="preserve">Common Stock &amp; APIC includes:
- Stockholders' Equity Attributable to Parent
- Retained Earnings (Accumulated Deficit)
- Accumulated Other Comprehensive Income (Loss), Net of Tax</t>
        </r>
      </text>
    </comment>
    <comment ref="V147" authorId="0">
      <text>
        <r>
          <rPr>
            <b/>
          </rPr>
          <t xml:space="preserve">EDGAR Mapper:
</t>
        </r>
        <r>
          <t xml:space="preserve">Common Stock &amp; APIC includes:
- Stockholders' Equity Attributable to Parent
- Retained Earnings (Accumulated Deficit)
- Accumulated Other Comprehensive Income (Loss), Net of Tax</t>
        </r>
      </text>
    </comment>
    <comment ref="F148" authorId="0">
      <text>
        <r>
          <rPr>
            <b/>
          </rPr>
          <t xml:space="preserve">EDGAR Mapper:
</t>
        </r>
        <r>
          <t xml:space="preserve">Retained Earnings maps directly to:
- Retained Earnings (Accumulated Deficit)</t>
        </r>
      </text>
    </comment>
    <comment ref="G148" authorId="0">
      <text>
        <r>
          <rPr>
            <b/>
          </rPr>
          <t xml:space="preserve">EDGAR Mapper:
</t>
        </r>
        <r>
          <t xml:space="preserve">Retained Earnings maps directly to:
- Retained Earnings (Accumulated Deficit)</t>
        </r>
      </text>
    </comment>
    <comment ref="H148" authorId="0">
      <text>
        <r>
          <rPr>
            <b/>
          </rPr>
          <t xml:space="preserve">EDGAR Mapper:
</t>
        </r>
        <r>
          <t xml:space="preserve">Retained Earnings maps directly to:
- Retained Earnings (Accumulated Deficit)</t>
        </r>
      </text>
    </comment>
    <comment ref="I148" authorId="0">
      <text>
        <r>
          <rPr>
            <b/>
          </rPr>
          <t xml:space="preserve">EDGAR Mapper:
</t>
        </r>
        <r>
          <t xml:space="preserve">Retained Earnings maps directly to:
- Retained Earnings (Accumulated Deficit)</t>
        </r>
      </text>
    </comment>
    <comment ref="K148" authorId="0">
      <text>
        <r>
          <rPr>
            <b/>
          </rPr>
          <t xml:space="preserve">EDGAR Mapper:
</t>
        </r>
        <r>
          <t xml:space="preserve">Retained Earnings maps directly to:
- Retained Earnings (Accumulated Deficit)</t>
        </r>
      </text>
    </comment>
    <comment ref="L148" authorId="0">
      <text>
        <r>
          <rPr>
            <b/>
          </rPr>
          <t xml:space="preserve">EDGAR Mapper:
</t>
        </r>
        <r>
          <t xml:space="preserve">Retained Earnings maps directly to:
- Retained Earnings (Accumulated Deficit)</t>
        </r>
      </text>
    </comment>
    <comment ref="M148" authorId="0">
      <text>
        <r>
          <rPr>
            <b/>
          </rPr>
          <t xml:space="preserve">EDGAR Mapper:
</t>
        </r>
        <r>
          <t xml:space="preserve">Retained Earnings maps directly to:
- Retained Earnings (Accumulated Deficit)</t>
        </r>
      </text>
    </comment>
    <comment ref="N148" authorId="0">
      <text>
        <r>
          <rPr>
            <b/>
          </rPr>
          <t xml:space="preserve">EDGAR Mapper:
</t>
        </r>
        <r>
          <t xml:space="preserve">Retained Earnings maps directly to:
- Retained Earnings (Accumulated Deficit)</t>
        </r>
      </text>
    </comment>
    <comment ref="P148" authorId="0">
      <text>
        <r>
          <rPr>
            <b/>
          </rPr>
          <t xml:space="preserve">EDGAR Mapper:
</t>
        </r>
        <r>
          <t xml:space="preserve">Retained Earnings maps directly to:
- Retained Earnings (Accumulated Deficit)</t>
        </r>
      </text>
    </comment>
    <comment ref="Q148" authorId="0">
      <text>
        <r>
          <rPr>
            <b/>
          </rPr>
          <t xml:space="preserve">EDGAR Mapper:
</t>
        </r>
        <r>
          <t xml:space="preserve">Retained Earnings maps directly to:
- Retained Earnings (Accumulated Deficit)</t>
        </r>
      </text>
    </comment>
    <comment ref="R148" authorId="0">
      <text>
        <r>
          <rPr>
            <b/>
          </rPr>
          <t xml:space="preserve">EDGAR Mapper:
</t>
        </r>
        <r>
          <t xml:space="preserve">Retained Earnings maps directly to:
- Retained Earnings (Accumulated Deficit)</t>
        </r>
      </text>
    </comment>
    <comment ref="S148" authorId="0">
      <text>
        <r>
          <rPr>
            <b/>
          </rPr>
          <t xml:space="preserve">EDGAR Mapper:
</t>
        </r>
        <r>
          <t xml:space="preserve">Retained Earnings maps directly to:
- Retained Earnings (Accumulated Deficit)</t>
        </r>
      </text>
    </comment>
    <comment ref="U148" authorId="0">
      <text>
        <r>
          <rPr>
            <b/>
          </rPr>
          <t xml:space="preserve">EDGAR Mapper:
</t>
        </r>
        <r>
          <t xml:space="preserve">Retained Earnings maps directly to:
- Retained Earnings (Accumulated Deficit)</t>
        </r>
      </text>
    </comment>
    <comment ref="V148" authorId="0">
      <text>
        <r>
          <rPr>
            <b/>
          </rPr>
          <t xml:space="preserve">EDGAR Mapper:
</t>
        </r>
        <r>
          <t xml:space="preserve">Retained Earnings maps directly to:
- Retained Earnings (Accumulated Deficit)</t>
        </r>
      </text>
    </comment>
    <comment ref="Z148" authorId="0">
      <text/>
    </comment>
    <comment ref="AE148" authorId="0">
      <text/>
    </comment>
    <comment ref="F149" authorId="0">
      <text>
        <r>
          <t/>
        </r>
      </text>
    </comment>
    <comment ref="G149" authorId="0">
      <text>
        <r>
          <t/>
        </r>
      </text>
    </comment>
    <comment ref="H149" authorId="0">
      <text>
        <r>
          <t/>
        </r>
      </text>
    </comment>
    <comment ref="I149" authorId="0">
      <text>
        <r>
          <t/>
        </r>
      </text>
    </comment>
    <comment ref="K149" authorId="0">
      <text>
        <r>
          <t/>
        </r>
      </text>
    </comment>
    <comment ref="L149" authorId="0">
      <text>
        <r>
          <t/>
        </r>
      </text>
    </comment>
    <comment ref="M149" authorId="0">
      <text>
        <r>
          <t/>
        </r>
      </text>
    </comment>
    <comment ref="N149" authorId="0">
      <text>
        <r>
          <t/>
        </r>
      </text>
    </comment>
    <comment ref="P149" authorId="0">
      <text>
        <r>
          <t/>
        </r>
      </text>
    </comment>
    <comment ref="Q149" authorId="0">
      <text>
        <r>
          <t/>
        </r>
      </text>
    </comment>
    <comment ref="R149" authorId="0">
      <text>
        <r>
          <t/>
        </r>
      </text>
    </comment>
    <comment ref="S149" authorId="0">
      <text>
        <r>
          <t/>
        </r>
      </text>
    </comment>
    <comment ref="U149" authorId="0">
      <text>
        <r>
          <t/>
        </r>
      </text>
    </comment>
    <comment ref="V149" authorId="0">
      <text>
        <r>
          <t/>
        </r>
      </text>
    </comment>
    <comment ref="C150" authorId="0">
      <text>
        <r>
          <rPr>
            <color theme="1"/>
            <scheme val="minor"/>
            <sz val="11"/>
            <rFont val="Calibri"/>
          </rPr>
          <t xml:space="preserve">======
ID#AAABbnJBVyk
Luke Brennan    (2025-01-14 21:09:38)
Includes FX translation adjustment, unrealized gain (loss) on derivative financial instruments, unrealized gain (loss) on available-for-sale securities, unrealized costs associated with certain retirement plan</t>
        </r>
      </text>
    </comment>
    <comment ref="F150" authorId="0">
      <text>
        <r>
          <rPr>
            <b/>
          </rPr>
          <t xml:space="preserve">EDGAR Mapper:
</t>
        </r>
        <r>
          <t xml:space="preserve">Accumulated Other Comprehensive Income (AOCI) maps directly to:
- Accumulated Other Comprehensive Income (Loss), Net of Tax</t>
        </r>
      </text>
    </comment>
    <comment ref="G150" authorId="0">
      <text>
        <r>
          <rPr>
            <b/>
          </rPr>
          <t xml:space="preserve">EDGAR Mapper:
</t>
        </r>
        <r>
          <t xml:space="preserve">Accumulated Other Comprehensive Income (AOCI) maps directly to:
- Accumulated Other Comprehensive Income (Loss), Net of Tax</t>
        </r>
      </text>
    </comment>
    <comment ref="H150" authorId="0">
      <text>
        <r>
          <rPr>
            <b/>
          </rPr>
          <t xml:space="preserve">EDGAR Mapper:
</t>
        </r>
        <r>
          <t xml:space="preserve">Accumulated Other Comprehensive Income (AOCI) maps directly to:
- Accumulated Other Comprehensive Income (Loss), Net of Tax</t>
        </r>
      </text>
    </comment>
    <comment ref="I150" authorId="0">
      <text>
        <r>
          <rPr>
            <b/>
          </rPr>
          <t xml:space="preserve">EDGAR Mapper:
</t>
        </r>
        <r>
          <t xml:space="preserve">Accumulated Other Comprehensive Income (AOCI) maps directly to:
- Accumulated Other Comprehensive Income (Loss), Net of Tax</t>
        </r>
      </text>
    </comment>
    <comment ref="K150" authorId="0">
      <text>
        <r>
          <rPr>
            <b/>
          </rPr>
          <t xml:space="preserve">EDGAR Mapper:
</t>
        </r>
        <r>
          <t xml:space="preserve">Accumulated Other Comprehensive Income (AOCI) maps directly to:
- Accumulated Other Comprehensive Income (Loss), Net of Tax</t>
        </r>
      </text>
    </comment>
    <comment ref="L150" authorId="0">
      <text>
        <r>
          <rPr>
            <b/>
          </rPr>
          <t xml:space="preserve">EDGAR Mapper:
</t>
        </r>
        <r>
          <t xml:space="preserve">Accumulated Other Comprehensive Income (AOCI) maps directly to:
- Accumulated Other Comprehensive Income (Loss), Net of Tax</t>
        </r>
      </text>
    </comment>
    <comment ref="M150" authorId="0">
      <text>
        <r>
          <rPr>
            <b/>
          </rPr>
          <t xml:space="preserve">EDGAR Mapper:
</t>
        </r>
        <r>
          <t xml:space="preserve">Accumulated Other Comprehensive Income (AOCI) maps directly to:
- Accumulated Other Comprehensive Income (Loss), Net of Tax</t>
        </r>
      </text>
    </comment>
    <comment ref="N150" authorId="0">
      <text>
        <r>
          <rPr>
            <b/>
          </rPr>
          <t xml:space="preserve">EDGAR Mapper:
</t>
        </r>
        <r>
          <t xml:space="preserve">Accumulated Other Comprehensive Income (AOCI) maps directly to:
- Accumulated Other Comprehensive Income (Loss), Net of Tax</t>
        </r>
      </text>
    </comment>
    <comment ref="P150" authorId="0">
      <text>
        <r>
          <rPr>
            <b/>
          </rPr>
          <t xml:space="preserve">EDGAR Mapper:
</t>
        </r>
        <r>
          <t xml:space="preserve">Accumulated Other Comprehensive Income (AOCI) maps directly to:
- Accumulated Other Comprehensive Income (Loss), Net of Tax</t>
        </r>
      </text>
    </comment>
    <comment ref="Q150" authorId="0">
      <text>
        <r>
          <rPr>
            <b/>
          </rPr>
          <t xml:space="preserve">EDGAR Mapper:
</t>
        </r>
        <r>
          <t xml:space="preserve">Accumulated Other Comprehensive Income (AOCI) maps directly to:
- Accumulated Other Comprehensive Income (Loss), Net of Tax</t>
        </r>
      </text>
    </comment>
    <comment ref="R150" authorId="0">
      <text>
        <r>
          <rPr>
            <b/>
          </rPr>
          <t xml:space="preserve">EDGAR Mapper:
</t>
        </r>
        <r>
          <t xml:space="preserve">Accumulated Other Comprehensive Income (AOCI) maps directly to:
- Accumulated Other Comprehensive Income (Loss), Net of Tax</t>
        </r>
      </text>
    </comment>
    <comment ref="S150" authorId="0">
      <text>
        <r>
          <rPr>
            <b/>
          </rPr>
          <t xml:space="preserve">EDGAR Mapper:
</t>
        </r>
        <r>
          <t xml:space="preserve">Accumulated Other Comprehensive Income (AOCI) maps directly to:
- Accumulated Other Comprehensive Income (Loss), Net of Tax</t>
        </r>
      </text>
    </comment>
    <comment ref="U150" authorId="0">
      <text>
        <r>
          <rPr>
            <b/>
          </rPr>
          <t xml:space="preserve">EDGAR Mapper:
</t>
        </r>
        <r>
          <t xml:space="preserve">Accumulated Other Comprehensive Income (AOCI) maps directly to:
- Accumulated Other Comprehensive Income (Loss), Net of Tax</t>
        </r>
      </text>
    </comment>
    <comment ref="V150" authorId="0">
      <text>
        <r>
          <rPr>
            <b/>
          </rPr>
          <t xml:space="preserve">EDGAR Mapper:
</t>
        </r>
        <r>
          <t xml:space="preserve">Accumulated Other Comprehensive Income (AOCI) maps directly to:
- Accumulated Other Comprehensive Income (Loss), Net of Tax</t>
        </r>
      </text>
    </comment>
    <comment ref="Z151" authorId="0">
      <text/>
    </comment>
    <comment ref="AE151" authorId="0">
      <text/>
    </comment>
    <comment ref="C153" authorId="0">
      <text>
        <r>
          <t/>
        </r>
      </text>
    </comment>
    <comment ref="Z154" authorId="0">
      <text/>
    </comment>
    <comment ref="AE154" authorId="0">
      <text/>
    </comment>
    <comment ref="C158" authorId="0">
      <text>
        <r>
          <rPr>
            <color theme="1"/>
            <scheme val="minor"/>
            <sz val="11"/>
            <rFont val="Calibri"/>
          </rPr>
          <t xml:space="preserve">======
ID#AAABbnJBV2I
Luke Brennan    (2025-01-14 21:09:38)
"Check" means everything is good
Positive number means the BS is asset-heavy
Negative number means the BS is asset-light</t>
        </r>
      </text>
    </comment>
    <comment ref="C193" authorId="0">
      <text>
        <r>
          <t/>
        </r>
      </text>
    </comment>
    <comment ref="C194" authorId="0">
      <text>
        <r>
          <t/>
        </r>
      </text>
    </comment>
    <comment ref="C195" authorId="0">
      <text>
        <r>
          <t/>
        </r>
      </text>
    </comment>
    <comment ref="C207" authorId="0">
      <text>
        <r>
          <t/>
        </r>
      </text>
    </comment>
    <comment ref="C209" authorId="0">
      <text>
        <r>
          <t/>
        </r>
      </text>
    </comment>
    <comment ref="C241" authorId="0">
      <text>
        <r>
          <t/>
        </r>
      </text>
    </comment>
    <comment ref="C245" authorId="0">
      <text>
        <r>
          <t/>
        </r>
      </text>
    </comment>
    <comment ref="C246" authorId="0">
      <text>
        <r>
          <rPr>
            <b/>
          </rPr>
          <t xml:space="preserve">EDGAR Mapper:
</t>
        </r>
        <r>
          <t xml:space="preserve">Stock-Based Comp Expense maps directly to:
- Share-based Payment Arrangement, Noncash Expense</t>
        </r>
      </text>
    </comment>
    <comment ref="F246" authorId="0">
      <text>
        <r>
          <rPr>
            <b/>
          </rPr>
          <t xml:space="preserve">EDGAR Mapper:
</t>
        </r>
        <r>
          <t xml:space="preserve">Stock-Based Comp Expense maps directly to:
- Share-based Payment Arrangement, Noncash Expense</t>
        </r>
      </text>
    </comment>
    <comment ref="G246" authorId="0">
      <text>
        <r>
          <t/>
        </r>
      </text>
    </comment>
    <comment ref="H246" authorId="0">
      <text>
        <r>
          <t/>
        </r>
      </text>
    </comment>
    <comment ref="I246" authorId="0">
      <text>
        <r>
          <t/>
        </r>
      </text>
    </comment>
    <comment ref="K246" authorId="0">
      <text>
        <r>
          <rPr>
            <b/>
          </rPr>
          <t xml:space="preserve">EDGAR Mapper:
</t>
        </r>
        <r>
          <t xml:space="preserve">Stock-Based Comp Expense maps directly to:
- Share-based Payment Arrangement, Noncash Expense</t>
        </r>
      </text>
    </comment>
    <comment ref="L246" authorId="0">
      <text>
        <r>
          <t/>
        </r>
      </text>
    </comment>
    <comment ref="M246" authorId="0">
      <text>
        <r>
          <t/>
        </r>
      </text>
    </comment>
    <comment ref="N246" authorId="0">
      <text>
        <r>
          <t/>
        </r>
      </text>
    </comment>
    <comment ref="P246" authorId="0">
      <text>
        <r>
          <rPr>
            <b/>
          </rPr>
          <t xml:space="preserve">EDGAR Mapper:
</t>
        </r>
        <r>
          <t xml:space="preserve">Stock-Based Comp Expense maps directly to:
- Share-based Payment Arrangement, Noncash Expense</t>
        </r>
      </text>
    </comment>
    <comment ref="Q246" authorId="0">
      <text>
        <r>
          <t/>
        </r>
      </text>
    </comment>
    <comment ref="R246" authorId="0">
      <text>
        <r>
          <t/>
        </r>
      </text>
    </comment>
    <comment ref="S246" authorId="0">
      <text>
        <r>
          <t/>
        </r>
      </text>
    </comment>
    <comment ref="U246" authorId="0">
      <text>
        <r>
          <rPr>
            <b/>
          </rPr>
          <t xml:space="preserve">EDGAR Mapper:
</t>
        </r>
        <r>
          <t xml:space="preserve">Stock-Based Comp Expense maps directly to:
- Share-based Payment Arrangement, Noncash Expense</t>
        </r>
      </text>
    </comment>
    <comment ref="V246" authorId="0">
      <text>
        <r>
          <t/>
        </r>
      </text>
    </comment>
    <comment ref="F254" authorId="0">
      <text>
        <r>
          <rPr>
            <b/>
          </rPr>
          <t xml:space="preserve">EDGAR Mapper:
</t>
        </r>
        <r>
          <t xml:space="preserve">Dividends maps directly to:
- Payments of Dividends</t>
        </r>
      </text>
    </comment>
    <comment ref="G254" authorId="0">
      <text>
        <r>
          <rPr>
            <b/>
          </rPr>
          <t xml:space="preserve">EDGAR Mapper:
</t>
        </r>
        <r>
          <t xml:space="preserve">Dividends maps directly to:
- Payments of Dividends</t>
        </r>
      </text>
    </comment>
    <comment ref="H254" authorId="0">
      <text>
        <r>
          <rPr>
            <b/>
          </rPr>
          <t xml:space="preserve">EDGAR Mapper:
</t>
        </r>
        <r>
          <t xml:space="preserve">Dividends maps directly to:
- Payments of Dividends</t>
        </r>
      </text>
    </comment>
    <comment ref="I254" authorId="0">
      <text>
        <r>
          <t/>
        </r>
      </text>
    </comment>
    <comment ref="K254" authorId="0">
      <text>
        <r>
          <rPr>
            <b/>
          </rPr>
          <t xml:space="preserve">EDGAR Mapper:
</t>
        </r>
        <r>
          <t xml:space="preserve">Dividends maps directly to:
- Payments of Dividends</t>
        </r>
      </text>
    </comment>
    <comment ref="L254" authorId="0">
      <text>
        <r>
          <rPr>
            <b/>
          </rPr>
          <t xml:space="preserve">EDGAR Mapper:
</t>
        </r>
        <r>
          <t xml:space="preserve">Dividends maps directly to:
- Payments of Dividends</t>
        </r>
      </text>
    </comment>
    <comment ref="M254" authorId="0">
      <text>
        <r>
          <rPr>
            <b/>
          </rPr>
          <t xml:space="preserve">EDGAR Mapper:
</t>
        </r>
        <r>
          <t xml:space="preserve">Dividends maps directly to:
- Payments of Dividends</t>
        </r>
      </text>
    </comment>
    <comment ref="N254" authorId="0">
      <text>
        <r>
          <t/>
        </r>
      </text>
    </comment>
    <comment ref="P254" authorId="0">
      <text>
        <r>
          <rPr>
            <b/>
          </rPr>
          <t xml:space="preserve">EDGAR Mapper:
</t>
        </r>
        <r>
          <t xml:space="preserve">Dividends maps directly to:
- Payments of Dividends</t>
        </r>
      </text>
    </comment>
    <comment ref="Q254" authorId="0">
      <text>
        <r>
          <rPr>
            <b/>
          </rPr>
          <t xml:space="preserve">EDGAR Mapper:
</t>
        </r>
        <r>
          <t xml:space="preserve">Dividends maps directly to:
- Payments of Dividends</t>
        </r>
      </text>
    </comment>
    <comment ref="R254" authorId="0">
      <text>
        <r>
          <rPr>
            <b/>
          </rPr>
          <t xml:space="preserve">EDGAR Mapper:
</t>
        </r>
        <r>
          <t xml:space="preserve">Dividends maps directly to:
- Payments of Dividends</t>
        </r>
      </text>
    </comment>
    <comment ref="S254" authorId="0">
      <text>
        <r>
          <t/>
        </r>
      </text>
    </comment>
    <comment ref="U254" authorId="0">
      <text>
        <r>
          <rPr>
            <b/>
          </rPr>
          <t xml:space="preserve">EDGAR Mapper:
</t>
        </r>
        <r>
          <t xml:space="preserve">Dividends maps directly to:
- Payments of Dividends</t>
        </r>
      </text>
    </comment>
    <comment ref="V254" authorId="0">
      <text>
        <r>
          <rPr>
            <b/>
          </rPr>
          <t xml:space="preserve">EDGAR Mapper:
</t>
        </r>
        <r>
          <t xml:space="preserve">Dividends maps directly to:
- Payments of Dividends</t>
        </r>
      </text>
    </comment>
    <comment ref="C271" authorId="0">
      <text>
        <r>
          <t/>
        </r>
      </text>
    </comment>
    <comment ref="C278" authorId="0">
      <text>
        <r>
          <t/>
        </r>
      </text>
    </comment>
    <comment ref="C279" authorId="0">
      <text>
        <r>
          <t/>
        </r>
      </text>
    </comment>
    <comment ref="C282" authorId="0">
      <text>
        <r>
          <t/>
        </r>
      </text>
    </comment>
    <comment ref="C284" authorId="0">
      <text>
        <r>
          <t/>
        </r>
      </text>
    </comment>
    <comment ref="C299" authorId="0">
      <text>
        <r>
          <rPr>
            <color theme="1"/>
            <scheme val="minor"/>
            <sz val="11"/>
            <rFont val="Calibri"/>
          </rPr>
          <t xml:space="preserve">======
ID#AAABbnJBVyI
Luke Brennan    (2025-01-14 21:09:38)
Based on the draw on cash for operating working capital. Forward projection uses average of historical. Important to note that the more negative this % is in projections, the more cash the model will require the company to hold</t>
        </r>
      </text>
    </comment>
    <comment ref="X319" authorId="0">
      <text>
        <r>
          <rPr>
            <color theme="1"/>
            <scheme val="minor"/>
            <sz val="11"/>
            <rFont val="Calibri"/>
          </rPr>
          <t xml:space="preserve">======
ID#AAABbnJBVzM
Luke Brennan    (2025-01-14 21:09:38)
Very Important to remember that this is quarterly! If you are looking up the company's debt schedule and rates, divide by 4!</t>
        </r>
      </text>
    </comment>
    <comment ref="Z319" authorId="0">
      <text>
        <r>
          <rPr>
            <color theme="1"/>
            <scheme val="minor"/>
            <sz val="11"/>
            <rFont val="Calibri"/>
          </rPr>
          <t xml:space="preserve">======
ID#AAABbnJBVyA
Luke Brennan    (2025-01-14 21:09:38)
Very Important to remember that this is quarterly! If you are looking up the company's debt schedule and rates, divide by 4!</t>
        </r>
      </text>
    </comment>
    <comment ref="AA319" authorId="0">
      <text>
        <r>
          <rPr>
            <color theme="1"/>
            <scheme val="minor"/>
            <sz val="11"/>
            <rFont val="Calibri"/>
          </rPr>
          <t xml:space="preserve">======
ID#AAABbnJBVzU
Luke Brennan    (2025-01-14 21:09:38)
Very Important to remember that this is quarterly! If you are looking up the company's debt schedule and rates, divide by 4!</t>
        </r>
      </text>
    </comment>
    <comment ref="AB319" authorId="0">
      <text>
        <r>
          <rPr>
            <color theme="1"/>
            <scheme val="minor"/>
            <sz val="11"/>
            <rFont val="Calibri"/>
          </rPr>
          <t xml:space="preserve">======
ID#AAABbnJBVyU
Luke Brennan    (2025-01-14 21:09:38)
Very Important to remember that this is quarterly! If you are looking up the company's debt schedule and rates, divide by 4!</t>
        </r>
      </text>
    </comment>
    <comment ref="AC319" authorId="0">
      <text>
        <r>
          <rPr>
            <color theme="1"/>
            <scheme val="minor"/>
            <sz val="11"/>
            <rFont val="Calibri"/>
          </rPr>
          <t xml:space="preserve">======
ID#AAABbnJBVyg
Luke Brennan    (2025-01-14 21:09:38)
Very Important to remember that this is quarterly! If you are looking up the company's debt schedule and rates, divide by 4!</t>
        </r>
      </text>
    </comment>
    <comment ref="AE319" authorId="0">
      <text>
        <r>
          <rPr>
            <color theme="1"/>
            <scheme val="minor"/>
            <sz val="11"/>
            <rFont val="Calibri"/>
          </rPr>
          <t xml:space="preserve">======
ID#AAABbnJBV2g
Luke Brennan    (2025-01-14 21:09:38)
Very Important to remember that this is quarterly! If you are looking up the company's debt schedule and rates, divide by 4!</t>
        </r>
      </text>
    </comment>
    <comment ref="AF319" authorId="0">
      <text>
        <r>
          <rPr>
            <color theme="1"/>
            <scheme val="minor"/>
            <sz val="11"/>
            <rFont val="Calibri"/>
          </rPr>
          <t xml:space="preserve">======
ID#AAABbnJBVzc
Luke Brennan    (2025-01-14 21:09:38)
Very Important to remember that this is quarterly! If you are looking up the company's debt schedule and rates, divide by 4!</t>
        </r>
      </text>
    </comment>
    <comment ref="AG319" authorId="0">
      <text>
        <r>
          <rPr>
            <color theme="1"/>
            <scheme val="minor"/>
            <sz val="11"/>
            <rFont val="Calibri"/>
          </rPr>
          <t xml:space="preserve">======
ID#AAABbnJBVzg
Luke Brennan    (2025-01-14 21:09:38)
Very Important to remember that this is quarterly! If you are looking up the company's debt schedule and rates, divide by 4!</t>
        </r>
      </text>
    </comment>
  </commentList>
</comments>
</file>

<file path=xl/comments9.xml><?xml version="1.0" encoding="utf-8"?>
<comments xmlns="http://schemas.openxmlformats.org/spreadsheetml/2006/main">
  <authors>
    <author>Author</author>
  </authors>
  <commentList>
    <comment ref="F8" authorId="0">
      <text>
        <r>
          <rPr>
            <b/>
          </rPr>
          <t xml:space="preserve">EDGAR Mapper:
</t>
        </r>
        <r>
          <t xml:space="preserve">Reported maps directly to:
- Reported Revenue</t>
        </r>
      </text>
    </comment>
    <comment ref="G8" authorId="0">
      <text>
        <r>
          <rPr>
            <b/>
          </rPr>
          <t xml:space="preserve">EDGAR Mapper:
</t>
        </r>
        <r>
          <t xml:space="preserve">Reported maps directly to:
- Reported Revenue</t>
        </r>
      </text>
    </comment>
    <comment ref="H8" authorId="0">
      <text>
        <r>
          <rPr>
            <b/>
          </rPr>
          <t xml:space="preserve">EDGAR Mapper:
</t>
        </r>
        <r>
          <t xml:space="preserve">Reported maps directly to:
- Reported Revenue</t>
        </r>
      </text>
    </comment>
    <comment ref="I8" authorId="0">
      <text>
        <r>
          <rPr>
            <b/>
          </rPr>
          <t xml:space="preserve">EDGAR Mapper:
</t>
        </r>
        <r>
          <t xml:space="preserve">Reported maps directly to:
- Reported Revenue</t>
        </r>
      </text>
    </comment>
    <comment ref="K8" authorId="0">
      <text>
        <r>
          <rPr>
            <b/>
          </rPr>
          <t xml:space="preserve">EDGAR Mapper:
</t>
        </r>
        <r>
          <t xml:space="preserve">Reported maps directly to:
- Reported Revenue</t>
        </r>
      </text>
    </comment>
    <comment ref="L8" authorId="0">
      <text>
        <r>
          <rPr>
            <b/>
          </rPr>
          <t xml:space="preserve">EDGAR Mapper:
</t>
        </r>
        <r>
          <t xml:space="preserve">Reported maps directly to:
- Reported Revenue</t>
        </r>
      </text>
    </comment>
    <comment ref="M8" authorId="0">
      <text>
        <r>
          <rPr>
            <b/>
          </rPr>
          <t xml:space="preserve">EDGAR Mapper:
</t>
        </r>
        <r>
          <t xml:space="preserve">Reported maps directly to:
- Reported Revenue</t>
        </r>
      </text>
    </comment>
    <comment ref="N8" authorId="0">
      <text>
        <r>
          <rPr>
            <b/>
          </rPr>
          <t xml:space="preserve">EDGAR Mapper:
</t>
        </r>
        <r>
          <t xml:space="preserve">Reported maps directly to:
- Reported Revenue</t>
        </r>
      </text>
    </comment>
    <comment ref="P8" authorId="0">
      <text>
        <r>
          <rPr>
            <b/>
          </rPr>
          <t xml:space="preserve">EDGAR Mapper:
</t>
        </r>
        <r>
          <t xml:space="preserve">Reported maps directly to:
- Reported Revenue</t>
        </r>
      </text>
    </comment>
    <comment ref="Q8" authorId="0">
      <text>
        <r>
          <rPr>
            <b/>
          </rPr>
          <t xml:space="preserve">EDGAR Mapper:
</t>
        </r>
        <r>
          <t xml:space="preserve">Reported maps directly to:
- Reported Revenue</t>
        </r>
      </text>
    </comment>
    <comment ref="R8" authorId="0">
      <text>
        <r>
          <rPr>
            <b/>
          </rPr>
          <t xml:space="preserve">EDGAR Mapper:
</t>
        </r>
        <r>
          <t xml:space="preserve">Reported maps directly to:
- Reported Revenue</t>
        </r>
      </text>
    </comment>
    <comment ref="S8" authorId="0">
      <text>
        <r>
          <rPr>
            <b/>
          </rPr>
          <t xml:space="preserve">EDGAR Mapper:
</t>
        </r>
        <r>
          <t xml:space="preserve">Reported maps directly to:
- Reported Revenue</t>
        </r>
      </text>
    </comment>
    <comment ref="U8" authorId="0">
      <text>
        <r>
          <rPr>
            <b/>
          </rPr>
          <t xml:space="preserve">EDGAR Mapper:
</t>
        </r>
        <r>
          <t xml:space="preserve">Reported maps directly to:
- Reported Revenue</t>
        </r>
      </text>
    </comment>
    <comment ref="V8" authorId="0">
      <text>
        <r>
          <rPr>
            <b/>
          </rPr>
          <t xml:space="preserve">EDGAR Mapper:
</t>
        </r>
        <r>
          <t xml:space="preserve">Reported maps directly to:
- Reported Revenue</t>
        </r>
      </text>
    </comment>
    <comment ref="F34" authorId="0">
      <text>
        <r>
          <rPr>
            <b/>
          </rPr>
          <t xml:space="preserve">EDGAR Mapper:
</t>
        </r>
        <r>
          <t xml:space="preserve">Compute and Networking Segment maps directly to:
- Compute and Networking Segment Operating Income</t>
        </r>
      </text>
    </comment>
    <comment ref="G34" authorId="0">
      <text>
        <r>
          <rPr>
            <b/>
          </rPr>
          <t xml:space="preserve">EDGAR Mapper:
</t>
        </r>
        <r>
          <t xml:space="preserve">Compute and Networking Segment maps directly to:
- Compute and Networking Segment Operating Income</t>
        </r>
      </text>
    </comment>
    <comment ref="H34" authorId="0">
      <text>
        <r>
          <rPr>
            <b/>
          </rPr>
          <t xml:space="preserve">EDGAR Mapper:
</t>
        </r>
        <r>
          <t xml:space="preserve">Compute and Networking Segment maps directly to:
- Compute and Networking Segment Operating Income</t>
        </r>
      </text>
    </comment>
    <comment ref="I34" authorId="0">
      <text>
        <r>
          <rPr>
            <b/>
          </rPr>
          <t xml:space="preserve">EDGAR Mapper:
</t>
        </r>
        <r>
          <t xml:space="preserve">Compute and Networking Segment maps directly to:
- Compute and Networking Segment Operating Income</t>
        </r>
      </text>
    </comment>
    <comment ref="K34" authorId="0">
      <text>
        <r>
          <rPr>
            <b/>
          </rPr>
          <t xml:space="preserve">EDGAR Mapper:
</t>
        </r>
        <r>
          <t xml:space="preserve">Compute and Networking Segment maps directly to:
- Compute and Networking Segment Operating Income</t>
        </r>
      </text>
    </comment>
    <comment ref="L34" authorId="0">
      <text>
        <r>
          <rPr>
            <b/>
          </rPr>
          <t xml:space="preserve">EDGAR Mapper:
</t>
        </r>
        <r>
          <t xml:space="preserve">Compute and Networking Segment maps directly to:
- Compute and Networking Segment Operating Income</t>
        </r>
      </text>
    </comment>
    <comment ref="M34" authorId="0">
      <text>
        <r>
          <rPr>
            <b/>
          </rPr>
          <t xml:space="preserve">EDGAR Mapper:
</t>
        </r>
        <r>
          <t xml:space="preserve">Compute and Networking Segment maps directly to:
- Compute and Networking Segment Operating Income</t>
        </r>
      </text>
    </comment>
    <comment ref="N34" authorId="0">
      <text>
        <r>
          <rPr>
            <b/>
          </rPr>
          <t xml:space="preserve">EDGAR Mapper:
</t>
        </r>
        <r>
          <t xml:space="preserve">Compute and Networking Segment maps directly to:
- Compute and Networking Segment Operating Income</t>
        </r>
      </text>
    </comment>
    <comment ref="P34" authorId="0">
      <text>
        <r>
          <rPr>
            <b/>
          </rPr>
          <t xml:space="preserve">EDGAR Mapper:
</t>
        </r>
        <r>
          <t xml:space="preserve">Compute and Networking Segment maps directly to:
- Compute and Networking Segment Operating Income</t>
        </r>
      </text>
    </comment>
    <comment ref="Q34" authorId="0">
      <text>
        <r>
          <rPr>
            <b/>
          </rPr>
          <t xml:space="preserve">EDGAR Mapper:
</t>
        </r>
        <r>
          <t xml:space="preserve">Compute and Networking Segment maps directly to:
- Compute and Networking Segment Operating Income</t>
        </r>
      </text>
    </comment>
    <comment ref="R34" authorId="0">
      <text>
        <r>
          <rPr>
            <b/>
          </rPr>
          <t xml:space="preserve">EDGAR Mapper:
</t>
        </r>
        <r>
          <t xml:space="preserve">Compute and Networking Segment maps directly to:
- Compute and Networking Segment Operating Income</t>
        </r>
      </text>
    </comment>
    <comment ref="S34" authorId="0">
      <text>
        <r>
          <rPr>
            <b/>
          </rPr>
          <t xml:space="preserve">EDGAR Mapper:
</t>
        </r>
        <r>
          <t xml:space="preserve">Compute and Networking Segment maps directly to:
- Compute and Networking Segment Operating Income</t>
        </r>
      </text>
    </comment>
    <comment ref="U34" authorId="0">
      <text>
        <r>
          <rPr>
            <b/>
          </rPr>
          <t xml:space="preserve">EDGAR Mapper:
</t>
        </r>
        <r>
          <t xml:space="preserve">Compute and Networking Segment maps directly to:
- Compute and Networking Segment Operating Income</t>
        </r>
      </text>
    </comment>
    <comment ref="V34" authorId="0">
      <text>
        <r>
          <rPr>
            <b/>
          </rPr>
          <t xml:space="preserve">EDGAR Mapper:
</t>
        </r>
        <r>
          <t xml:space="preserve">Compute and Networking Segment maps directly to:
- Compute and Networking Segment Operating Income</t>
        </r>
      </text>
    </comment>
    <comment ref="F35" authorId="0">
      <text>
        <r>
          <rPr>
            <b/>
          </rPr>
          <t xml:space="preserve">EDGAR Mapper:
</t>
        </r>
        <r>
          <t xml:space="preserve">Graphics Segment maps directly to:
- Graphics Segment Operating Income</t>
        </r>
      </text>
    </comment>
    <comment ref="G35" authorId="0">
      <text>
        <r>
          <rPr>
            <b/>
          </rPr>
          <t xml:space="preserve">EDGAR Mapper:
</t>
        </r>
        <r>
          <t xml:space="preserve">Graphics Segment maps directly to:
- Graphics Segment Operating Income</t>
        </r>
      </text>
    </comment>
    <comment ref="H35" authorId="0">
      <text>
        <r>
          <rPr>
            <b/>
          </rPr>
          <t xml:space="preserve">EDGAR Mapper:
</t>
        </r>
        <r>
          <t xml:space="preserve">Graphics Segment maps directly to:
- Graphics Segment Operating Income</t>
        </r>
      </text>
    </comment>
    <comment ref="I35" authorId="0">
      <text>
        <r>
          <rPr>
            <b/>
          </rPr>
          <t xml:space="preserve">EDGAR Mapper:
</t>
        </r>
        <r>
          <t xml:space="preserve">Graphics Segment maps directly to:
- Graphics Segment Operating Income</t>
        </r>
      </text>
    </comment>
    <comment ref="K35" authorId="0">
      <text>
        <r>
          <rPr>
            <b/>
          </rPr>
          <t xml:space="preserve">EDGAR Mapper:
</t>
        </r>
        <r>
          <t xml:space="preserve">Graphics Segment maps directly to:
- Graphics Segment Operating Income</t>
        </r>
      </text>
    </comment>
    <comment ref="L35" authorId="0">
      <text>
        <r>
          <rPr>
            <b/>
          </rPr>
          <t xml:space="preserve">EDGAR Mapper:
</t>
        </r>
        <r>
          <t xml:space="preserve">Graphics Segment maps directly to:
- Graphics Segment Operating Income</t>
        </r>
      </text>
    </comment>
    <comment ref="M35" authorId="0">
      <text>
        <r>
          <rPr>
            <b/>
          </rPr>
          <t xml:space="preserve">EDGAR Mapper:
</t>
        </r>
        <r>
          <t xml:space="preserve">Graphics Segment maps directly to:
- Graphics Segment Operating Income</t>
        </r>
      </text>
    </comment>
    <comment ref="N35" authorId="0">
      <text>
        <r>
          <rPr>
            <b/>
          </rPr>
          <t xml:space="preserve">EDGAR Mapper:
</t>
        </r>
        <r>
          <t xml:space="preserve">Graphics Segment maps directly to:
- Graphics Segment Operating Income</t>
        </r>
      </text>
    </comment>
    <comment ref="P35" authorId="0">
      <text>
        <r>
          <rPr>
            <b/>
          </rPr>
          <t xml:space="preserve">EDGAR Mapper:
</t>
        </r>
        <r>
          <t xml:space="preserve">Graphics Segment maps directly to:
- Graphics Segment Operating Income</t>
        </r>
      </text>
    </comment>
    <comment ref="Q35" authorId="0">
      <text>
        <r>
          <rPr>
            <b/>
          </rPr>
          <t xml:space="preserve">EDGAR Mapper:
</t>
        </r>
        <r>
          <t xml:space="preserve">Graphics Segment maps directly to:
- Graphics Segment Operating Income</t>
        </r>
      </text>
    </comment>
    <comment ref="R35" authorId="0">
      <text>
        <r>
          <rPr>
            <b/>
          </rPr>
          <t xml:space="preserve">EDGAR Mapper:
</t>
        </r>
        <r>
          <t xml:space="preserve">Graphics Segment maps directly to:
- Graphics Segment Operating Income</t>
        </r>
      </text>
    </comment>
    <comment ref="S35" authorId="0">
      <text>
        <r>
          <rPr>
            <b/>
          </rPr>
          <t xml:space="preserve">EDGAR Mapper:
</t>
        </r>
        <r>
          <t xml:space="preserve">Graphics Segment maps directly to:
- Graphics Segment Operating Income</t>
        </r>
      </text>
    </comment>
    <comment ref="U35" authorId="0">
      <text>
        <r>
          <rPr>
            <b/>
          </rPr>
          <t xml:space="preserve">EDGAR Mapper:
</t>
        </r>
        <r>
          <t xml:space="preserve">Graphics Segment maps directly to:
- Graphics Segment Operating Income</t>
        </r>
      </text>
    </comment>
    <comment ref="V35" authorId="0">
      <text>
        <r>
          <rPr>
            <b/>
          </rPr>
          <t xml:space="preserve">EDGAR Mapper:
</t>
        </r>
        <r>
          <t xml:space="preserve">Graphics Segment maps directly to:
- Graphics Segment Operating Income</t>
        </r>
      </text>
    </comment>
    <comment ref="F36" authorId="0">
      <text>
        <r>
          <rPr>
            <b/>
          </rPr>
          <t xml:space="preserve">EDGAR Mapper:
</t>
        </r>
        <r>
          <t xml:space="preserve">Compute and Networking maps directly to:
- Compute and Networking Operating Income</t>
        </r>
      </text>
    </comment>
    <comment ref="G36" authorId="0">
      <text>
        <r>
          <rPr>
            <b/>
          </rPr>
          <t xml:space="preserve">EDGAR Mapper:
</t>
        </r>
        <r>
          <t xml:space="preserve">Compute and Networking maps directly to:
- Compute and Networking Operating Income</t>
        </r>
      </text>
    </comment>
    <comment ref="H36" authorId="0">
      <text>
        <r>
          <rPr>
            <b/>
          </rPr>
          <t xml:space="preserve">EDGAR Mapper:
</t>
        </r>
        <r>
          <t xml:space="preserve">Compute and Networking maps directly to:
- Compute and Networking Operating Income</t>
        </r>
      </text>
    </comment>
    <comment ref="I36" authorId="0">
      <text>
        <r>
          <rPr>
            <b/>
          </rPr>
          <t xml:space="preserve">EDGAR Mapper:
</t>
        </r>
        <r>
          <t xml:space="preserve">Compute and Networking maps directly to:
- Compute and Networking Operating Income</t>
        </r>
      </text>
    </comment>
    <comment ref="K36" authorId="0">
      <text>
        <r>
          <rPr>
            <b/>
          </rPr>
          <t xml:space="preserve">EDGAR Mapper:
</t>
        </r>
        <r>
          <t xml:space="preserve">Compute and Networking maps directly to:
- Compute and Networking Operating Income</t>
        </r>
      </text>
    </comment>
    <comment ref="L36" authorId="0">
      <text>
        <r>
          <rPr>
            <b/>
          </rPr>
          <t xml:space="preserve">EDGAR Mapper:
</t>
        </r>
        <r>
          <t xml:space="preserve">Compute and Networking maps directly to:
- Compute and Networking Operating Income</t>
        </r>
      </text>
    </comment>
    <comment ref="M36" authorId="0">
      <text>
        <r>
          <rPr>
            <b/>
          </rPr>
          <t xml:space="preserve">EDGAR Mapper:
</t>
        </r>
        <r>
          <t xml:space="preserve">Compute and Networking maps directly to:
- Compute and Networking Operating Income</t>
        </r>
      </text>
    </comment>
    <comment ref="N36" authorId="0">
      <text>
        <r>
          <rPr>
            <b/>
          </rPr>
          <t xml:space="preserve">EDGAR Mapper:
</t>
        </r>
        <r>
          <t xml:space="preserve">Compute and Networking maps directly to:
- Compute and Networking Operating Income</t>
        </r>
      </text>
    </comment>
    <comment ref="P36" authorId="0">
      <text>
        <r>
          <rPr>
            <b/>
          </rPr>
          <t xml:space="preserve">EDGAR Mapper:
</t>
        </r>
        <r>
          <t xml:space="preserve">Compute and Networking maps directly to:
- Compute and Networking Operating Income</t>
        </r>
      </text>
    </comment>
    <comment ref="Q36" authorId="0">
      <text>
        <r>
          <rPr>
            <b/>
          </rPr>
          <t xml:space="preserve">EDGAR Mapper:
</t>
        </r>
        <r>
          <t xml:space="preserve">Compute and Networking maps directly to:
- Compute and Networking Operating Income</t>
        </r>
      </text>
    </comment>
    <comment ref="R36" authorId="0">
      <text>
        <r>
          <rPr>
            <b/>
          </rPr>
          <t xml:space="preserve">EDGAR Mapper:
</t>
        </r>
        <r>
          <t xml:space="preserve">Compute and Networking maps directly to:
- Compute and Networking Operating Income</t>
        </r>
      </text>
    </comment>
    <comment ref="S36" authorId="0">
      <text>
        <r>
          <rPr>
            <b/>
          </rPr>
          <t xml:space="preserve">EDGAR Mapper:
</t>
        </r>
        <r>
          <t xml:space="preserve">Compute and Networking maps directly to:
- Compute and Networking Operating Income</t>
        </r>
      </text>
    </comment>
    <comment ref="U36" authorId="0">
      <text>
        <r>
          <rPr>
            <b/>
          </rPr>
          <t xml:space="preserve">EDGAR Mapper:
</t>
        </r>
        <r>
          <t xml:space="preserve">Compute and Networking maps directly to:
- Compute and Networking Operating Income</t>
        </r>
      </text>
    </comment>
    <comment ref="V36" authorId="0">
      <text>
        <r>
          <rPr>
            <b/>
          </rPr>
          <t xml:space="preserve">EDGAR Mapper:
</t>
        </r>
        <r>
          <t xml:space="preserve">Compute and Networking maps directly to:
- Compute and Networking Operating Income</t>
        </r>
      </text>
    </comment>
    <comment ref="F37" authorId="0">
      <text>
        <r>
          <rPr>
            <b/>
          </rPr>
          <t xml:space="preserve">EDGAR Mapper:
</t>
        </r>
        <r>
          <t xml:space="preserve">Graphics maps directly to:
- Graphics Operating Income</t>
        </r>
      </text>
    </comment>
    <comment ref="G37" authorId="0">
      <text>
        <r>
          <rPr>
            <b/>
          </rPr>
          <t xml:space="preserve">EDGAR Mapper:
</t>
        </r>
        <r>
          <t xml:space="preserve">Graphics maps directly to:
- Graphics Operating Income</t>
        </r>
      </text>
    </comment>
    <comment ref="H37" authorId="0">
      <text>
        <r>
          <rPr>
            <b/>
          </rPr>
          <t xml:space="preserve">EDGAR Mapper:
</t>
        </r>
        <r>
          <t xml:space="preserve">Graphics maps directly to:
- Graphics Operating Income</t>
        </r>
      </text>
    </comment>
    <comment ref="I37" authorId="0">
      <text>
        <r>
          <rPr>
            <b/>
          </rPr>
          <t xml:space="preserve">EDGAR Mapper:
</t>
        </r>
        <r>
          <t xml:space="preserve">Graphics maps directly to:
- Graphics Operating Income</t>
        </r>
      </text>
    </comment>
    <comment ref="K37" authorId="0">
      <text>
        <r>
          <rPr>
            <b/>
          </rPr>
          <t xml:space="preserve">EDGAR Mapper:
</t>
        </r>
        <r>
          <t xml:space="preserve">Graphics maps directly to:
- Graphics Operating Income</t>
        </r>
      </text>
    </comment>
    <comment ref="L37" authorId="0">
      <text>
        <r>
          <rPr>
            <b/>
          </rPr>
          <t xml:space="preserve">EDGAR Mapper:
</t>
        </r>
        <r>
          <t xml:space="preserve">Graphics maps directly to:
- Graphics Operating Income</t>
        </r>
      </text>
    </comment>
    <comment ref="M37" authorId="0">
      <text>
        <r>
          <rPr>
            <b/>
          </rPr>
          <t xml:space="preserve">EDGAR Mapper:
</t>
        </r>
        <r>
          <t xml:space="preserve">Graphics maps directly to:
- Graphics Operating Income</t>
        </r>
      </text>
    </comment>
    <comment ref="N37" authorId="0">
      <text>
        <r>
          <rPr>
            <b/>
          </rPr>
          <t xml:space="preserve">EDGAR Mapper:
</t>
        </r>
        <r>
          <t xml:space="preserve">Graphics maps directly to:
- Graphics Operating Income</t>
        </r>
      </text>
    </comment>
    <comment ref="P37" authorId="0">
      <text>
        <r>
          <rPr>
            <b/>
          </rPr>
          <t xml:space="preserve">EDGAR Mapper:
</t>
        </r>
        <r>
          <t xml:space="preserve">Graphics maps directly to:
- Graphics Operating Income</t>
        </r>
      </text>
    </comment>
    <comment ref="Q37" authorId="0">
      <text>
        <r>
          <rPr>
            <b/>
          </rPr>
          <t xml:space="preserve">EDGAR Mapper:
</t>
        </r>
        <r>
          <t xml:space="preserve">Graphics maps directly to:
- Graphics Operating Income</t>
        </r>
      </text>
    </comment>
    <comment ref="R37" authorId="0">
      <text>
        <r>
          <rPr>
            <b/>
          </rPr>
          <t xml:space="preserve">EDGAR Mapper:
</t>
        </r>
        <r>
          <t xml:space="preserve">Graphics maps directly to:
- Graphics Operating Income</t>
        </r>
      </text>
    </comment>
    <comment ref="S37" authorId="0">
      <text>
        <r>
          <rPr>
            <b/>
          </rPr>
          <t xml:space="preserve">EDGAR Mapper:
</t>
        </r>
        <r>
          <t xml:space="preserve">Graphics maps directly to:
- Graphics Operating Income</t>
        </r>
      </text>
    </comment>
    <comment ref="U37" authorId="0">
      <text>
        <r>
          <rPr>
            <b/>
          </rPr>
          <t xml:space="preserve">EDGAR Mapper:
</t>
        </r>
        <r>
          <t xml:space="preserve">Graphics maps directly to:
- Graphics Operating Income</t>
        </r>
      </text>
    </comment>
    <comment ref="V37" authorId="0">
      <text>
        <r>
          <rPr>
            <b/>
          </rPr>
          <t xml:space="preserve">EDGAR Mapper:
</t>
        </r>
        <r>
          <t xml:space="preserve">Graphics maps directly to:
- Graphics Operating Income</t>
        </r>
      </text>
    </comment>
    <comment ref="C41" authorId="0">
      <text>
        <r>
          <rPr>
            <color theme="1"/>
            <scheme val="minor"/>
            <sz val="11"/>
            <rFont val="Calibri"/>
          </rPr>
          <t xml:space="preserve">======
ID#AAABbnJBVxw
Luke Brennan    (2025-01-14 21:09:38)
Used to check if the top-down calculation of operating income matches the number here</t>
        </r>
      </text>
    </comment>
    <comment ref="F52" authorId="0">
      <text>
        <r>
          <t/>
        </r>
      </text>
    </comment>
    <comment ref="G52" authorId="0">
      <text>
        <r>
          <t/>
        </r>
      </text>
    </comment>
    <comment ref="H52" authorId="0">
      <text>
        <r>
          <t/>
        </r>
      </text>
    </comment>
    <comment ref="I52" authorId="0">
      <text>
        <r>
          <t/>
        </r>
      </text>
    </comment>
    <comment ref="K52" authorId="0">
      <text>
        <r>
          <t/>
        </r>
      </text>
    </comment>
    <comment ref="L52" authorId="0">
      <text>
        <r>
          <t/>
        </r>
      </text>
    </comment>
    <comment ref="M52" authorId="0">
      <text>
        <r>
          <t/>
        </r>
      </text>
    </comment>
    <comment ref="N52" authorId="0">
      <text>
        <r>
          <t/>
        </r>
      </text>
    </comment>
    <comment ref="P52" authorId="0">
      <text>
        <r>
          <t/>
        </r>
      </text>
    </comment>
    <comment ref="Q52" authorId="0">
      <text>
        <r>
          <t/>
        </r>
      </text>
    </comment>
    <comment ref="R52" authorId="0">
      <text>
        <r>
          <t/>
        </r>
      </text>
    </comment>
    <comment ref="S52" authorId="0">
      <text>
        <r>
          <t/>
        </r>
      </text>
    </comment>
    <comment ref="U52" authorId="0">
      <text>
        <r>
          <t/>
        </r>
      </text>
    </comment>
    <comment ref="V52" authorId="0">
      <text>
        <r>
          <t/>
        </r>
      </text>
    </comment>
    <comment ref="C59" authorId="0">
      <text>
        <r>
          <rPr>
            <color theme="1"/>
            <scheme val="minor"/>
            <sz val="11"/>
            <rFont val="Calibri"/>
          </rPr>
          <t xml:space="preserve">======
ID#AAABbnJBVzA
Luke Brennan    (2025-01-14 21:09:38)
Used to check if the top-down calculation of operating income matches the number here</t>
        </r>
      </text>
    </comment>
  </commentList>
</comments>
</file>

<file path=xl/comments11.xml><?xml version="1.0" encoding="utf-8"?>
<comments xmlns="http://schemas.openxmlformats.org/spreadsheetml/2006/main">
  <authors>
    <author>Author</author>
  </authors>
  <commentList>
    <comment ref="E44" authorId="0">
      <text>
        <r>
          <rPr>
            <color theme="1"/>
            <scheme val="minor"/>
            <sz val="11"/>
            <rFont val="Calibri"/>
          </rPr>
          <t xml:space="preserve">======
ID#AAABbnJBVyo
Zach Pfeffer    (2025-01-14 21:09:38)
Copy all numbers in these two tables and paste into the two tables above as values
Ctrl + C and then use the shortcut Ctrl + Alt + V + V to paste in as values
Make sure you change the years at the top to be correct. CIQ will pull the correct data, just hardcode in the correct year at the top of the tables. For example, if the next estimated fiscal year is 2023, it should say 2023e at the top.</t>
        </r>
      </text>
    </comment>
  </commentList>
</comments>
</file>

<file path=xl/comments13.xml><?xml version="1.0" encoding="utf-8"?>
<comments xmlns="http://schemas.openxmlformats.org/spreadsheetml/2006/main">
  <authors>
    <author>Author</author>
  </authors>
  <commentList>
    <comment ref="G6" authorId="0">
      <text>
        <r>
          <rPr>
            <color theme="1"/>
            <scheme val="minor"/>
            <sz val="11"/>
            <rFont val="Calibri"/>
          </rPr>
          <t xml:space="preserve">======
ID#AAABbnJBV2U
Luke Brennan    (2025-01-14 21:09:38)
Yield on U.S. 10-Year Treasury bond</t>
        </r>
      </text>
    </comment>
    <comment ref="G7" authorId="0">
      <text>
        <r>
          <rPr>
            <color theme="1"/>
            <scheme val="minor"/>
            <sz val="11"/>
            <rFont val="Calibri"/>
          </rPr>
          <t xml:space="preserve">======
ID#AAABbnJBVys
Luke Brennan    (2025-01-14 21:09:38)
Aug 1 ERP</t>
        </r>
      </text>
    </comment>
    <comment ref="G8" authorId="0">
      <text>
        <r>
          <rPr>
            <color theme="1"/>
            <scheme val="minor"/>
            <sz val="11"/>
            <rFont val="Calibri"/>
          </rPr>
          <t xml:space="preserve">======
ID#AAABbnJBVxQ
Luke Brennan    (2025-01-14 21:09:38)
Can be sourced from Bloomberg's WACC function. Use the rate on company's bonds</t>
        </r>
      </text>
    </comment>
    <comment ref="M8" authorId="0">
      <text>
        <r>
          <rPr>
            <color theme="1"/>
            <scheme val="minor"/>
            <sz val="11"/>
            <rFont val="Calibri"/>
          </rPr>
          <t xml:space="preserve">======
ID#AAABbnJBVyY
Luke Brennan    (2025-01-14 21:09:38)
Source from Bloomberg "EV" function and hard-code here</t>
        </r>
      </text>
    </comment>
    <comment ref="Q20" authorId="0">
      <text>
        <r>
          <rPr>
            <color theme="1"/>
            <scheme val="minor"/>
            <sz val="11"/>
            <rFont val="Calibri"/>
          </rPr>
          <t xml:space="preserve">======
ID#AAABbnJBVxk
Luke Brennan    (2025-01-14 21:09:38)
This is a check to make sure the center WACC value equals the value above in cell N13. Will display "FALSE" if values do not match</t>
        </r>
      </text>
    </comment>
    <comment ref="N23" authorId="0">
      <text>
        <r>
          <rPr>
            <color theme="1"/>
            <scheme val="minor"/>
            <sz val="11"/>
            <rFont val="Calibri"/>
          </rPr>
          <t xml:space="preserve">======
ID#AAABbnJBVy8
Luke Brennan    (2025-01-14 21:09:38)
Hard-code value from toggles below by doing "paste special values"</t>
        </r>
      </text>
    </comment>
    <comment ref="K26" authorId="0">
      <text>
        <r>
          <rPr>
            <color theme="1"/>
            <scheme val="minor"/>
            <sz val="11"/>
            <rFont val="Calibri"/>
          </rPr>
          <t xml:space="preserve">======
ID#AAABbnJBV04
Luke Brennan    (2025-01-14 21:09:38)
Hard-code value from toggles below by doing "paste special values"</t>
        </r>
      </text>
    </comment>
    <comment ref="N33" authorId="0">
      <text>
        <r>
          <rPr>
            <color theme="1"/>
            <scheme val="minor"/>
            <sz val="11"/>
            <rFont val="Calibri"/>
          </rPr>
          <t xml:space="preserve">======
ID#AAABbnJBV2E
Luke Brennan    (2025-01-14 21:09:38)
This is a check to make sure the pre-tax cost mid-point is equal to the mid-point in the data table on the X-axis. Will display "FALSE" if values do not match</t>
        </r>
      </text>
    </comment>
    <comment ref="N36" authorId="0">
      <text>
        <r>
          <rPr>
            <color theme="1"/>
            <scheme val="minor"/>
            <sz val="11"/>
            <rFont val="Calibri"/>
          </rPr>
          <t xml:space="preserve">======
ID#AAABbnJBVx0
Luke Brennan    (2025-01-14 21:09:38)
This is a check to make sure the Debt / Total Cap mid-point is equal to the mid-point in the data table on the Y-axis. Will display "FALSE" if values do not match</t>
        </r>
      </text>
    </comment>
    <comment ref="K43" authorId="0">
      <text>
        <r>
          <rPr>
            <color theme="1"/>
            <scheme val="minor"/>
            <sz val="11"/>
            <rFont val="Calibri"/>
          </rPr>
          <t xml:space="preserve">======
ID#AAABbnJBVxc
Luke Brennan    (2025-01-14 21:09:38)
Use this toggle to choose between which beta you want to use. You can either use the comps relevered beta or the regular levered beta of your target company without the comps factored in (go to Bloomberg function 'BETA' and use the "Adjusted Beta" value). You can opt to use just your target company's levered beta if you believe your comp groups are more volatile and thus skew the relevered beta.</t>
        </r>
      </text>
    </comment>
  </commentList>
</comments>
</file>

<file path=xl/comments14.xml><?xml version="1.0" encoding="utf-8"?>
<comments xmlns="http://schemas.openxmlformats.org/spreadsheetml/2006/main">
  <authors>
    <author>Author</author>
  </authors>
  <commentList>
    <comment ref="W4" authorId="0">
      <text>
        <r>
          <rPr>
            <color theme="1"/>
            <scheme val="minor"/>
            <sz val="11"/>
            <rFont val="Calibri"/>
          </rPr>
          <t xml:space="preserve">======
ID#AAABbnJBV0k
Hunter Kornfeind    (2025-01-14 21:09:38)
This confirms if your weights = 100%. If they do not equal 100%, it will say "Check."</t>
        </r>
      </text>
    </comment>
    <comment ref="J48" authorId="0">
      <text>
        <r>
          <rPr>
            <color theme="1"/>
            <scheme val="minor"/>
            <sz val="11"/>
            <rFont val="Calibri"/>
          </rPr>
          <t xml:space="preserve">======
ID#AAABbnJBV18
Luke Brennan    (2025-01-14 21:09:38)
This function is set up on the quarterlies for the current year so that we are only valuing the company off of future cash flow. Any historical quarter should not be included, so don't be alarmed if you are seeing zeroes in here</t>
        </r>
      </text>
    </comment>
    <comment ref="X55" authorId="0">
      <text>
        <r>
          <rPr>
            <color theme="1"/>
            <scheme val="minor"/>
            <sz val="11"/>
            <rFont val="Calibri"/>
          </rPr>
          <t xml:space="preserve">======
ID#AAABbnJBV0A
Lilianna Ruby    (2025-01-14 21:09:38)
This is the sensitized exit multiple output that changes when you sensitize your exit multiple for your bear base and bull. You do not have to do anything in this table as long as you changed the blue font in the exit multiple cases in J84-86.</t>
        </r>
      </text>
    </comment>
    <comment ref="H144" authorId="0">
      <text>
        <r>
          <rPr>
            <color theme="1"/>
            <scheme val="minor"/>
            <sz val="11"/>
            <rFont val="Calibri"/>
          </rPr>
          <t xml:space="preserve">======
ID#AAABbnJBV1M
Luke Brennan    (2025-01-14 21:09:38)
This is a check to make sure the toggle is equal to the toggle at the top of the page. Will display "FALSE" if values do not match. This is key because the Spread Valuations are pulling current peer averages from the top of the page.</t>
        </r>
      </text>
    </comment>
    <comment ref="H222" authorId="0">
      <text>
        <r>
          <rPr>
            <color theme="1"/>
            <scheme val="minor"/>
            <sz val="11"/>
            <rFont val="Calibri"/>
          </rPr>
          <t xml:space="preserve">======
ID#AAABbnJBVyw
Luke Brennan    (2025-01-14 21:09:38)
This is a check to make sure the toggle is equal to the toggle at the top of the page. Will display "FALSE" if values do not match. This is key because the Spread Valuations are pulling current peer averages from the top of the page.</t>
        </r>
      </text>
    </comment>
  </commentList>
</comments>
</file>

<file path=xl/comments15.xml><?xml version="1.0" encoding="utf-8"?>
<comments xmlns="http://schemas.openxmlformats.org/spreadsheetml/2006/main">
  <authors>
    <author>Author</author>
  </authors>
  <commentList>
    <comment ref="L2" authorId="0">
      <text>
        <r>
          <rPr>
            <color theme="1"/>
            <scheme val="minor"/>
            <sz val="11"/>
            <rFont val="Calibri"/>
          </rPr>
          <t xml:space="preserve">======
ID#AAABbnJBV2M
Luke S Brennan    (2025-01-14 21:09:38)
To properly use this feature, follow these steps:
(1) Open Bloomberg GF function with your compnay selected
(2) Enter all comps in the "other companies" section
(3) Enter just one of the metrics (LTM P/E, NTM P/E, etc.) and remove any other metrics preset to show
(4) On the top bar, click the button that shows increments (Qtrly, Daily, etc) and select custom time frame
(5) Set your time frame from any date in 1Q2002 to the current date, and set the frequency to Quarterly
(6) After hitting enter and running the selection, select the Table view on the top, right click the date column and "Sort Ascending"
(7) Right click again and "Export to Excel"
(8) Take the numbers produced in the report that will pop up and copy and past them into the appropriate spot paying special attention that the starting quarter of the data matches the starting quarter you are pasting into (Note: BA data only needs to be pasted in the first comp group since the BA columns in Group 2 &amp; 3 are formulas to pull from Group 1)
(9) Repeat this process for the other Metrics</t>
        </r>
      </text>
    </comment>
  </commentList>
</comments>
</file>

<file path=xl/comments16.xml><?xml version="1.0" encoding="utf-8"?>
<comments xmlns="http://schemas.openxmlformats.org/spreadsheetml/2006/main">
  <authors>
    <author>Author</author>
  </authors>
  <commentList>
    <comment ref="E25" authorId="0">
      <text>
        <r>
          <rPr>
            <color theme="1"/>
            <scheme val="minor"/>
            <sz val="11"/>
            <rFont val="Calibri"/>
          </rPr>
          <t xml:space="preserve">======
ID#AAABbnJBVz4
Luke Brennan    (2025-01-14 21:09:38)
Some of these charts are here if you choose to break out individual segment revenue</t>
        </r>
      </text>
    </comment>
    <comment ref="D32" authorId="0">
      <text>
        <r>
          <rPr>
            <color theme="1"/>
            <scheme val="minor"/>
            <sz val="11"/>
            <rFont val="Calibri"/>
          </rPr>
          <t xml:space="preserve">======
ID#AAABbnJBV0U
Luke Brennan    (2025-01-14 21:09:38)
Manual input for YoY growth in historical year (pull from 10-K, transcript, press release, etc.)</t>
        </r>
      </text>
    </comment>
    <comment ref="L32" authorId="0">
      <text>
        <r>
          <rPr>
            <color theme="1"/>
            <scheme val="minor"/>
            <sz val="11"/>
            <rFont val="Calibri"/>
          </rPr>
          <t xml:space="preserve">======
ID#AAABbnJBV0g
Luke Brennan    (2025-01-14 21:09:38)
Manual input for YoY growth in historical year (pull from 10-K, transcript, press release, etc.)</t>
        </r>
      </text>
    </comment>
    <comment ref="D52" authorId="0">
      <text>
        <r>
          <rPr>
            <color theme="1"/>
            <scheme val="minor"/>
            <sz val="11"/>
            <rFont val="Calibri"/>
          </rPr>
          <t xml:space="preserve">======
ID#AAABbnJBV1I
Luke Brennan    (2025-01-14 21:09:38)
Manual input for YoY growth in historical year (pull from 10-K, transcript, press release, etc.)</t>
        </r>
      </text>
    </comment>
    <comment ref="L52" authorId="0">
      <text>
        <r>
          <rPr>
            <color theme="1"/>
            <scheme val="minor"/>
            <sz val="11"/>
            <rFont val="Calibri"/>
          </rPr>
          <t xml:space="preserve">======
ID#AAABbnJBV0Q
Luke brennan    (2025-01-14 21:09:38)
Manual input for YoY growth in historical year (pull from 10-K, transcript, press release, etc.)</t>
        </r>
      </text>
    </comment>
    <comment ref="D72" authorId="0">
      <text>
        <r>
          <rPr>
            <color theme="1"/>
            <scheme val="minor"/>
            <sz val="11"/>
            <rFont val="Calibri"/>
          </rPr>
          <t xml:space="preserve">======
ID#AAABbnJBV1c
Luke Brennan    (2025-01-14 21:09:38)
Manual input for YoY growth in historical year (pull from 10-K, transcript, press release, etc.)</t>
        </r>
      </text>
    </comment>
    <comment ref="L72" authorId="0">
      <text>
        <r>
          <rPr>
            <color theme="1"/>
            <scheme val="minor"/>
            <sz val="11"/>
            <rFont val="Calibri"/>
          </rPr>
          <t xml:space="preserve">======
ID#AAABbnJBV0o
Zach Pfeffer    (2025-01-14 21:09:38)
Manual input for YoY growth in historical year (pull from 10-K, transcript, press release, etc.)</t>
        </r>
      </text>
    </comment>
    <comment ref="D92" authorId="0">
      <text>
        <r>
          <rPr>
            <color theme="1"/>
            <scheme val="minor"/>
            <sz val="11"/>
            <rFont val="Calibri"/>
          </rPr>
          <t xml:space="preserve">======
ID#AAABbnJBVxo
Luke Brennan    (2025-01-14 21:09:38)
Manual input for YoY growth in historical year (pull from 10-K, transcript, press release, etc.)</t>
        </r>
      </text>
    </comment>
    <comment ref="E114" authorId="0">
      <text>
        <r>
          <rPr>
            <color theme="1"/>
            <scheme val="minor"/>
            <sz val="11"/>
            <rFont val="Calibri"/>
          </rPr>
          <t xml:space="preserve">======
ID#AAABbnJBVxI
Luke S Brennan    (2025-01-14 21:09:38)
I recommend only using significant segments in this chart. It keeps it much cleaner and will most likely reflect which segments are actually generating operating revenue. Especially if a company reports a corrections segment that is a major negative b/c including that will skew all the other %s to equal more than 100% together. Additionally,  you can make two separate charts, one with the corrective segment and one without, i.e % of Gross/Operating Revs vs % of Net Revs</t>
        </r>
      </text>
    </comment>
    <comment ref="E133" authorId="0">
      <text>
        <r>
          <rPr>
            <color theme="1"/>
            <scheme val="minor"/>
            <sz val="11"/>
            <rFont val="Calibri"/>
          </rPr>
          <t xml:space="preserve">======
ID#AAABbnJBVzQ
Luke Brennan    (2025-01-14 21:09:38)
Hard-code in from Bloomberg function "DDIS"</t>
        </r>
      </text>
    </comment>
    <comment ref="D154" authorId="0">
      <text>
        <r>
          <rPr>
            <color theme="1"/>
            <scheme val="minor"/>
            <sz val="11"/>
            <rFont val="Calibri"/>
          </rPr>
          <t xml:space="preserve">======
ID#AAABbnJBV0s
Luke Brennan    (2025-01-14 21:09:38)
This obviously should be modified to reflect your specific industry overview. Change as needed and hard-code numbers</t>
        </r>
      </text>
    </comment>
    <comment ref="C177" authorId="0">
      <text>
        <r>
          <rPr>
            <color theme="1"/>
            <scheme val="minor"/>
            <sz val="11"/>
            <rFont val="Calibri"/>
          </rPr>
          <t xml:space="preserve">======
ID#AAABbnJBVxU
Luke Brennan    (2025-01-14 21:09:38)
1) Use Bloomberg function "GP"
2) Change "Chart" to "Table" to retrieve daily price closes and volume data
3) Make sure time period is one year
4) Copy &amp; paste data in the columns below</t>
        </r>
      </text>
    </comment>
    <comment ref="F178" authorId="0">
      <text>
        <r>
          <rPr>
            <color theme="1"/>
            <scheme val="minor"/>
            <sz val="11"/>
            <rFont val="Calibri"/>
          </rPr>
          <t xml:space="preserve">======
ID#AAABbnJBVxg
Hunter Kornfeind    (2025-01-14 21:09:38)
Hard code (paste special values) Bear, Base, and Bull case projections into the model.</t>
        </r>
      </text>
    </comment>
  </commentList>
</comments>
</file>

<file path=xl/comments17.xml><?xml version="1.0" encoding="utf-8"?>
<comments xmlns="http://schemas.openxmlformats.org/spreadsheetml/2006/main">
  <authors>
    <author>Author</author>
  </authors>
  <commentList>
    <comment ref="C8" authorId="0">
      <text>
        <r>
          <rPr>
            <color theme="1"/>
            <scheme val="minor"/>
            <sz val="11"/>
            <rFont val="Calibri"/>
          </rPr>
          <t xml:space="preserve">======
ID#AAABbnJBVzk
Luke S Brennan    (2025-01-14 21:09:38)
Feel free to make any of these charts any statistic you want. Just make sure they are pulling from the correct column in the comp table and have the correct format ($ vs % vs #)</t>
        </r>
      </text>
    </comment>
    <comment ref="O138" authorId="0">
      <text>
        <r>
          <rPr>
            <color theme="1"/>
            <scheme val="minor"/>
            <sz val="11"/>
            <rFont val="Calibri"/>
          </rPr>
          <t xml:space="preserve">======
ID#AAABbnJBV1w
Hunter Kornfeind    (2025-01-14 21:09:38)
Change model company's bar color to Owl Fund red in chart.</t>
        </r>
      </text>
    </comment>
    <comment ref="O154" authorId="0">
      <text>
        <r>
          <rPr>
            <color theme="1"/>
            <scheme val="minor"/>
            <sz val="11"/>
            <rFont val="Calibri"/>
          </rPr>
          <t xml:space="preserve">======
ID#AAABbnJBV0I
Hunter Kornfeind    (2025-01-14 21:09:38)
Change model company's bar color to Owl Fund red in chart.</t>
        </r>
      </text>
    </comment>
  </commentList>
</comments>
</file>

<file path=xl/comments19.xml><?xml version="1.0" encoding="utf-8"?>
<comments xmlns="http://schemas.openxmlformats.org/spreadsheetml/2006/main">
  <authors>
    <author>Author</author>
  </authors>
  <commentList>
    <comment ref="J4" authorId="0">
      <text>
        <r>
          <rPr>
            <color theme="1"/>
            <scheme val="minor"/>
            <sz val="11"/>
            <rFont val="Calibri"/>
          </rPr>
          <t xml:space="preserve">======
ID#AAABbnJBV0E
Luke S Brennan    (2025-01-14 21:09:38)
Note: The column I refer to as "3Q19a" is the far left column. When you are building this model 3Q19 may not be the next quarter to be reported.
First of all, if you have the "Last Reported Quarter" and "Next Fiscal Year" on the first page and the "Next Projected Quarter" set correctly, all the column heads, and therefore the data, should adjust correctly. The column "3Q19a" is currently pulling in my projections for 3Q19 (i.e. 3Q19e). To use this feature correctly follow these steps.
(1) Leading up to the earnings release, copy and paste the 3Q19a column as values in the OFe column (technically right now these are pulling in the same numbers, but after one use, most of us will likely leave those values pasted there until next quarter and therefore only that far left column will be pulling the proper numbers next time)
(2) To make life easier, you can pull expectations over from the other page rather than hardcode again for Consensus
(3) When the earnings report does come out, hardcode the reported numbers in the proper quarter to update the "Model" tab (these numbers are now historicals) and 3Q19a column will then be pulling in what the company actually reported for that quarter. 
(4) All the other columns should remain untouched
(5) Flip the Font Color Toggle from Working to Report so that you have a clean looking chart for your report</t>
        </r>
      </text>
    </comment>
  </commentList>
</comments>
</file>

<file path=xl/sharedStrings.xml><?xml version="1.0" encoding="utf-8"?>
<sst xmlns="http://schemas.openxmlformats.org/spreadsheetml/2006/main" count="18867" uniqueCount="2456">
  <si>
    <t>William C. Dunkelberg Owl Fund - Valuation Workbook</t>
  </si>
  <si>
    <t>x</t>
  </si>
  <si>
    <t>INSTRUCTIONS - Please Read</t>
  </si>
  <si>
    <r>
      <rPr>
        <color theme="1"/>
        <sz val="10"/>
        <rFont val="Abadi"/>
      </rPr>
      <t xml:space="preserve">There are many tabs within the workbook, all of which are relevant and important to completing a proper valuation for your target company. Before beginning, ensure that your Excel options menu (under the 'Formulas' tab) is set up correctly, as shown in the picture to the right. Regardless of whether you set 'Workbook Calculation' to "Automatic" or "Automatic except for data tables," hit the F9 key when making changes to data tables to ensure all tables update. All values throughout the workbook are color-coded (blue, black or green) to allow for easier navigation &amp; recognition.
The 'Drivers' and 'Revenue Build' tabs are used to conduct a scenario analysis (Bull, Bear &amp; Base cases). Input the assumptions in the appropriate cells and select your 'Active Case' in the Revenue Build tab (using the drop down menu in cell C9). </t>
    </r>
    <r>
      <rPr>
        <i/>
        <color theme="1"/>
        <sz val="10"/>
        <rFont val="Abadi"/>
      </rPr>
      <t>READ ALL COMMENTS THROUGHOUT THE WORKBOOK</t>
    </r>
    <r>
      <rPr>
        <color theme="1"/>
        <sz val="10"/>
        <rFont val="Abadi"/>
      </rPr>
      <t xml:space="preserve"> (denoted by red triangles in the upper right corner of cells) </t>
    </r>
    <r>
      <rPr>
        <i/>
        <color theme="1"/>
        <sz val="10"/>
        <rFont val="Abadi"/>
      </rPr>
      <t xml:space="preserve">as they will help you complete certain parts of the model! Make sure to change existing comments &amp; input </t>
    </r>
    <r>
      <rPr>
        <i/>
        <u/>
        <color theme="1"/>
        <sz val="10"/>
        <rFont val="Abadi"/>
      </rPr>
      <t>YOUR</t>
    </r>
    <r>
      <rPr>
        <i/>
        <color theme="1"/>
        <sz val="10"/>
        <rFont val="Abadi"/>
      </rPr>
      <t xml:space="preserve"> </t>
    </r>
    <r>
      <rPr>
        <i/>
        <u/>
        <color theme="1"/>
        <sz val="10"/>
        <rFont val="Abadi"/>
      </rPr>
      <t>OWN</t>
    </r>
    <r>
      <rPr>
        <i/>
        <color theme="1"/>
        <sz val="10"/>
        <rFont val="Abadi"/>
      </rPr>
      <t xml:space="preserve"> to inform others of your assumptions</t>
    </r>
    <r>
      <rPr>
        <color theme="1"/>
        <sz val="10"/>
        <rFont val="Abadi"/>
      </rPr>
      <t xml:space="preserve">. The 'Summary' tab combines everything into "report-ready" format. When submitting the final model with your Initiating Coverage Report, hide / remove this 'Intro' tab, but keep all other tabs visible.
Be wary of copying or filling down the line with formulas. Formulas in quarterly periods will likely not be applicable or correct in an annual column. Additionally, not every quarterly formula will work for other quarterly columns (e.g. QoQ growth for 1Q would use 4Q as a base, which is 2 columns away vs other quarters using bases 1 column to the left). </t>
    </r>
    <r>
      <rPr>
        <i/>
        <color theme="1"/>
        <sz val="10"/>
        <rFont val="Abadi"/>
      </rPr>
      <t>It is very important that you do not change the name of line items. Other items in the workbook are linked to values based on that nomenclature.</t>
    </r>
    <r>
      <rPr>
        <color theme="1"/>
        <sz val="10"/>
        <rFont val="Abadi"/>
      </rPr>
      <t xml:space="preserve"> You should have all the core items that you need and any extranneous items can be grouped in the "Other" row for that section. We can't contruct a schedule to project every little item every company reports, so we schedule the ones that every company has and group the rest together.
For quick navigation, "X's" are placed in the left-hand columns of each worksheet. Use "CTRL + pg dn/pg up" to jump around the workbook. When attempting to locate a cell's precedents (i.e. to jump to the linked cells), use " CTRL + [ ". Hit the F5 key (or CTRL + G) and then "ENTER" to return to the original cell. </t>
    </r>
    <r>
      <rPr>
        <i/>
        <color theme="1"/>
        <sz val="10"/>
        <rFont val="Abadi"/>
      </rPr>
      <t xml:space="preserve">Stay consistent with modeling best practices (i.e. consistent color-coding for input values, formulas, linked cells, etc.) if you make any changes to the model. 
You may delete this tab before finalizing.</t>
    </r>
  </si>
  <si>
    <t>Font Toggle</t>
  </si>
  <si>
    <t>$ in Millions Except Per Share Data</t>
  </si>
  <si>
    <t>Working</t>
  </si>
  <si>
    <t>Model Assumptions:</t>
  </si>
  <si>
    <t>Return Summary:</t>
  </si>
  <si>
    <t>Discounted Cash Flow Analysis</t>
  </si>
  <si>
    <t>Multiple Analysis</t>
  </si>
  <si>
    <t>Exit Multiple Method</t>
  </si>
  <si>
    <t>EV/EBITDA Method</t>
  </si>
  <si>
    <t>Implied Enterprise Value:</t>
  </si>
  <si>
    <t>Target Price:</t>
  </si>
  <si>
    <t>% Return:</t>
  </si>
  <si>
    <t>Implied Equity Value:</t>
  </si>
  <si>
    <t>1 Year LTM EV/EBITDA</t>
  </si>
  <si>
    <t>Implied Share Price:</t>
  </si>
  <si>
    <t>2009-2018 Late Cycle EV/EBITDA</t>
  </si>
  <si>
    <t>Perpetuity Growth Method</t>
  </si>
  <si>
    <t>P/E Multiple Method</t>
  </si>
  <si>
    <t>1 Year LTM P/E</t>
  </si>
  <si>
    <t>Company Name</t>
  </si>
  <si>
    <t>NVIDIA CORP</t>
  </si>
  <si>
    <t>Ticker</t>
  </si>
  <si>
    <t>NVDA</t>
  </si>
  <si>
    <t>2009-2018 Late Cycle P/E</t>
  </si>
  <si>
    <t>Case Scenario</t>
  </si>
  <si>
    <t>Base</t>
  </si>
  <si>
    <t>Table of Contents</t>
  </si>
  <si>
    <t>Last Fiscal Year</t>
  </si>
  <si>
    <t>Cover</t>
  </si>
  <si>
    <t>Next Fiscal Year</t>
  </si>
  <si>
    <t>Summary</t>
  </si>
  <si>
    <t>Last Fiscal Quarter Reported</t>
  </si>
  <si>
    <t>2Q</t>
  </si>
  <si>
    <t>Football Field</t>
  </si>
  <si>
    <t>Current Valuation Date</t>
  </si>
  <si>
    <t>Integrity</t>
  </si>
  <si>
    <t>Revenue Build</t>
  </si>
  <si>
    <t>Current Share Price</t>
  </si>
  <si>
    <t>Model</t>
  </si>
  <si>
    <t>52-Week High</t>
  </si>
  <si>
    <t>Segment Analysis</t>
  </si>
  <si>
    <t>52-Week Low</t>
  </si>
  <si>
    <t>Drivers</t>
  </si>
  <si>
    <t>WACC</t>
  </si>
  <si>
    <t>Effective Tax Rate</t>
  </si>
  <si>
    <t>Valuation</t>
  </si>
  <si>
    <t>Dividend Yield</t>
  </si>
  <si>
    <t>Comparables</t>
  </si>
  <si>
    <t>Diluted Shares Outstanding (MRQ)</t>
  </si>
  <si>
    <t>Charts</t>
  </si>
  <si>
    <t>Benchmark</t>
  </si>
  <si>
    <t>Model Type</t>
  </si>
  <si>
    <t>Top Down</t>
  </si>
  <si>
    <t>Multiples Data</t>
  </si>
  <si>
    <t>Pre-Earnings</t>
  </si>
  <si>
    <t>Post-Earnings</t>
  </si>
  <si>
    <t>Model Color Legend</t>
  </si>
  <si>
    <t>Constants</t>
  </si>
  <si>
    <t>Blue = Hard-Coded Value (historical values &amp; assumptions)</t>
  </si>
  <si>
    <t>Reference</t>
  </si>
  <si>
    <t>Type</t>
  </si>
  <si>
    <t>Name</t>
  </si>
  <si>
    <t>Value</t>
  </si>
  <si>
    <t>Black = Formulas</t>
  </si>
  <si>
    <t>Million</t>
  </si>
  <si>
    <t>(#)</t>
  </si>
  <si>
    <t>Mil</t>
  </si>
  <si>
    <t>Green = Linked Value (from separate worksheet)</t>
  </si>
  <si>
    <t>Thousand</t>
  </si>
  <si>
    <t>Thou</t>
  </si>
  <si>
    <t>Red = Unique Formula / Anomaly</t>
  </si>
  <si>
    <t>Hundred</t>
  </si>
  <si>
    <t>Hun</t>
  </si>
  <si>
    <t>Tab Color Codes</t>
  </si>
  <si>
    <t>Supporting/Auxiliary</t>
  </si>
  <si>
    <t>Comps</t>
  </si>
  <si>
    <t>RBG Codes for Model</t>
  </si>
  <si>
    <t>0-0-255</t>
  </si>
  <si>
    <t>Hard-Coded Numbers</t>
  </si>
  <si>
    <t>0-128-0</t>
  </si>
  <si>
    <t>Linked Numbers</t>
  </si>
  <si>
    <t>255-223-159</t>
  </si>
  <si>
    <t>Owl Fund Gold</t>
  </si>
  <si>
    <t>255-255-153</t>
  </si>
  <si>
    <t>Drivers / Assumptions</t>
  </si>
  <si>
    <t>118-0-0</t>
  </si>
  <si>
    <t>Owl Fund Red</t>
  </si>
  <si>
    <t>0-56-96</t>
  </si>
  <si>
    <t>Section Headers</t>
  </si>
  <si>
    <t>192-222-246</t>
  </si>
  <si>
    <t>Sub-Section Headers</t>
  </si>
  <si>
    <t>215-215-215</t>
  </si>
  <si>
    <t>Historical Quarters</t>
  </si>
  <si>
    <t>235-235-235</t>
  </si>
  <si>
    <t>Projected Quarters</t>
  </si>
  <si>
    <t>255-255-255</t>
  </si>
  <si>
    <t>Annuals</t>
  </si>
  <si>
    <t>END</t>
  </si>
  <si>
    <t>Year:</t>
  </si>
  <si>
    <t>Quarterly</t>
  </si>
  <si>
    <t>CAGR</t>
  </si>
  <si>
    <t>Historical</t>
  </si>
  <si>
    <t>Projected</t>
  </si>
  <si>
    <t>YoY % Growth</t>
  </si>
  <si>
    <t>% Margin</t>
  </si>
  <si>
    <t>Margin</t>
  </si>
  <si>
    <t>Ratio Analysis</t>
  </si>
  <si>
    <t>Profitability</t>
  </si>
  <si>
    <t>Gross Margin</t>
  </si>
  <si>
    <t>EBITDA Margin</t>
  </si>
  <si>
    <t>EBIT Margin</t>
  </si>
  <si>
    <t>Net Profit Margin</t>
  </si>
  <si>
    <t>Return on Assets (ROA)</t>
  </si>
  <si>
    <t>Return on Equity (ROE)</t>
  </si>
  <si>
    <t>Return on Invested Capital (ROIC)</t>
  </si>
  <si>
    <t>Coverage</t>
  </si>
  <si>
    <t>Interest Expense</t>
  </si>
  <si>
    <t>Capital Expenditures</t>
  </si>
  <si>
    <t>EBIT / Interest Expense</t>
  </si>
  <si>
    <t>EBITDA / Interest Expense</t>
  </si>
  <si>
    <t>(EBITDA - CapEx) / Interest Expense</t>
  </si>
  <si>
    <t>Leverage</t>
  </si>
  <si>
    <t>Total Debt / EBITDA</t>
  </si>
  <si>
    <t>Total Debt / Equity</t>
  </si>
  <si>
    <t>Total Debt / Total Assets</t>
  </si>
  <si>
    <t>Efficiency</t>
  </si>
  <si>
    <t>Asset Turnover</t>
  </si>
  <si>
    <t>Cash Conversion Cycle</t>
  </si>
  <si>
    <t>Liquidity</t>
  </si>
  <si>
    <t>Current Ratio</t>
  </si>
  <si>
    <t>Quick Ratio</t>
  </si>
  <si>
    <t>Cash Ratio</t>
  </si>
  <si>
    <t>Price Target Scenario:</t>
  </si>
  <si>
    <t>Base Case Check</t>
  </si>
  <si>
    <t>P/E</t>
  </si>
  <si>
    <t xml:space="preserve">Current Share Price: </t>
  </si>
  <si>
    <t>EV/EBITDA</t>
  </si>
  <si>
    <t>Valuation Date:</t>
  </si>
  <si>
    <t>Return Summary</t>
  </si>
  <si>
    <t xml:space="preserve">Consolidated Financials </t>
  </si>
  <si>
    <t xml:space="preserve">Multiple Toggle </t>
  </si>
  <si>
    <t xml:space="preserve">Multiples Analysis </t>
  </si>
  <si>
    <t>Chart</t>
  </si>
  <si>
    <t>Entry Multiple</t>
  </si>
  <si>
    <t>Exit Multiple</t>
  </si>
  <si>
    <t xml:space="preserve">Implied PGM </t>
  </si>
  <si>
    <t>Financials Multiplier</t>
  </si>
  <si>
    <t xml:space="preserve">Free Cash Flow </t>
  </si>
  <si>
    <t>Average</t>
  </si>
  <si>
    <t xml:space="preserve">Capitalization and Key Ratios </t>
  </si>
  <si>
    <t>Return on Inv. Capital (ROIC)</t>
  </si>
  <si>
    <t xml:space="preserve">EBIT / Interest </t>
  </si>
  <si>
    <t xml:space="preserve">EBITDA / Interest </t>
  </si>
  <si>
    <t xml:space="preserve">(EBITDA - CapEx) / Interest </t>
  </si>
  <si>
    <t>Valuation Method:</t>
  </si>
  <si>
    <t>Downside</t>
  </si>
  <si>
    <t>Delta</t>
  </si>
  <si>
    <t>Upside</t>
  </si>
  <si>
    <t>52-Week Price Range:</t>
  </si>
  <si>
    <t>Median Value:</t>
  </si>
  <si>
    <t>Implied Return (%):</t>
  </si>
  <si>
    <t>Reference Points for Price Axis</t>
  </si>
  <si>
    <t>Price</t>
  </si>
  <si>
    <t>High</t>
  </si>
  <si>
    <t>Low</t>
  </si>
  <si>
    <t>Metric</t>
  </si>
  <si>
    <t>Model:</t>
  </si>
  <si>
    <t>Balance Sheet Check:</t>
  </si>
  <si>
    <t>Base Case:</t>
  </si>
  <si>
    <t>Interest Expense:</t>
  </si>
  <si>
    <t>Formatting:</t>
  </si>
  <si>
    <t>Valuation Sensitivity Tables:</t>
  </si>
  <si>
    <t>WACC Tables:</t>
  </si>
  <si>
    <t>Font Toggles:</t>
  </si>
  <si>
    <t>Cover:</t>
  </si>
  <si>
    <t>Revenue Build:</t>
  </si>
  <si>
    <t>Valuation:</t>
  </si>
  <si>
    <t>Change Log</t>
  </si>
  <si>
    <t>Date</t>
  </si>
  <si>
    <t>Version</t>
  </si>
  <si>
    <t>Operator</t>
  </si>
  <si>
    <t>Revisions</t>
  </si>
  <si>
    <t>v01</t>
  </si>
  <si>
    <t>Nate Latimer</t>
  </si>
  <si>
    <t>Top Down / Bottom Up toggle integration and Capital IQ comps sheet w/ ID Locator</t>
  </si>
  <si>
    <t>v02</t>
  </si>
  <si>
    <t>Carson Shaner</t>
  </si>
  <si>
    <t>Formulas for EBIT/EBITDA margins on earnings sheets</t>
  </si>
  <si>
    <t>v03</t>
  </si>
  <si>
    <t>Historical driver adjustments to reflect Top Down / Bottom Up Toggle</t>
  </si>
  <si>
    <t>v04</t>
  </si>
  <si>
    <t>Bug fixes to model output, comps sheet and WACC Comps Relevered Beta</t>
  </si>
  <si>
    <t>v05</t>
  </si>
  <si>
    <t>Lilianna Ruby</t>
  </si>
  <si>
    <t>Changed the year end driver in 2021 and 2022 to correctly pull operating margins</t>
  </si>
  <si>
    <t>v06</t>
  </si>
  <si>
    <t>Changed the first page to add 365 to your previous fiscal year</t>
  </si>
  <si>
    <t>v07</t>
  </si>
  <si>
    <t>Changed Model Output FCF formula, broke apart D&amp;A for historical periods, added checks for EPS &amp; EBITDA in Valuation sensitivity tables, added segment D&amp;A breakdown, linked and fixed SOTP valuation</t>
  </si>
  <si>
    <t>v08</t>
  </si>
  <si>
    <t xml:space="preserve">Changed average of comps on valuation tab to average all peers not just the first one </t>
  </si>
  <si>
    <t>v09</t>
  </si>
  <si>
    <t xml:space="preserve">Rolled model forward to reflect 3Q'21. Also changed the multiples tab so the quarters roll forward and end on correct date. </t>
  </si>
  <si>
    <t>v10</t>
  </si>
  <si>
    <t xml:space="preserve">Fully fixed the multiples tab so it is automatic and fully functional. Also fixed definition of NTM_EPS and NTM_EBITDA </t>
  </si>
  <si>
    <t>v13</t>
  </si>
  <si>
    <t xml:space="preserve">Changed EPS, EBITDA, shares, tax rate, etc., to formulas so we do not have to hardcode them. </t>
  </si>
  <si>
    <t>v14</t>
  </si>
  <si>
    <t xml:space="preserve">Lilianna Ruby </t>
  </si>
  <si>
    <t xml:space="preserve">Changed discount factor to mid year </t>
  </si>
  <si>
    <t>v15</t>
  </si>
  <si>
    <t>Fixed Model tab header to reflect estimate vs. actual quarters; fixed valuation to pull current Debt, Cash, etc.; updated Pre-Earnings to correctly account for quarter changes; changed revenue build to account for YoY or QoQ growth modeling; updated model to account for quarter change when pulling starting cash</t>
  </si>
  <si>
    <t>v16</t>
  </si>
  <si>
    <t>Fixed valuation tab to SUM 4Q EPS and EBITDA, it was missing the SUM function</t>
  </si>
  <si>
    <t>v17</t>
  </si>
  <si>
    <t>Bobby McFarland / Zach Ramirez</t>
  </si>
  <si>
    <t>Fixed formatting to be more consistent across the tabs. Added in a sensitized exit multiple table for the valuation tab. Fixed the Long-Term Items on the Valuation tab.</t>
  </si>
  <si>
    <t>v18</t>
  </si>
  <si>
    <t>Zach Ramirez / Jacob George</t>
  </si>
  <si>
    <t>Fixed Amortization Expense as a % of Intangibles on the Model tab. Fixed formula for full FY depreciation expense on model.</t>
  </si>
  <si>
    <t>v19</t>
  </si>
  <si>
    <t>Fixed formula for beginning/ending cash balance on CFS on Model tab. Added formula for weighted average of share repurchases on Model tab.</t>
  </si>
  <si>
    <t>v20</t>
  </si>
  <si>
    <t xml:space="preserve">Zach Ramirez  </t>
  </si>
  <si>
    <t>Fixed formula for weighted average basic shares outstanding on model tab for historicals.</t>
  </si>
  <si>
    <t>v21</t>
  </si>
  <si>
    <t>Jacob George</t>
  </si>
  <si>
    <t>Fixed formulas for NTM EPS and NTM EBITDA on Valuation tab; previously wasn't summing values if last reported quarter was 4Q</t>
  </si>
  <si>
    <t>v22</t>
  </si>
  <si>
    <t>Fixed formula for amortization expense in projected years that don't get broken up by quarter. Previously was dividing FY amortization expense by 4</t>
  </si>
  <si>
    <t>v23</t>
  </si>
  <si>
    <t>Ethan Chheda</t>
  </si>
  <si>
    <t>Fixed formula for EBITDA reference on model output. Previously, CAGR and YoY % pulled from Summary EBIT figures</t>
  </si>
  <si>
    <t>v24</t>
  </si>
  <si>
    <t>Changed percentage formatting on Comparables tab to be in-line with Owl Fund formatting standard</t>
  </si>
  <si>
    <t>v25</t>
  </si>
  <si>
    <t>Conor McCabe</t>
  </si>
  <si>
    <t>Added font toggle to integrity tab for WACC tab. Formatted Comparables Tab.</t>
  </si>
  <si>
    <t>Segments</t>
  </si>
  <si>
    <t>Segment</t>
  </si>
  <si>
    <t>Backlog</t>
  </si>
  <si>
    <t>Activity-Based</t>
  </si>
  <si>
    <t>Annual vs. Quarterly</t>
  </si>
  <si>
    <t>Total Company Revenue</t>
  </si>
  <si>
    <t>% of Total Revenue</t>
  </si>
  <si>
    <t>% Growth</t>
  </si>
  <si>
    <t>Growth Rate</t>
  </si>
  <si>
    <t>Bull Case</t>
  </si>
  <si>
    <t>Base Case</t>
  </si>
  <si>
    <t>Bear Case</t>
  </si>
  <si>
    <t>Activity-Based Growth</t>
  </si>
  <si>
    <t>Volume</t>
  </si>
  <si>
    <t>% Volume Growth</t>
  </si>
  <si>
    <t>% Price Growth</t>
  </si>
  <si>
    <t>Backlog Conversion</t>
  </si>
  <si>
    <t>New Orders</t>
  </si>
  <si>
    <t>% Order Growth</t>
  </si>
  <si>
    <t>Book-to-Bill</t>
  </si>
  <si>
    <t>End</t>
  </si>
  <si>
    <t>Interest Expense Toggle</t>
  </si>
  <si>
    <t>On</t>
  </si>
  <si>
    <t>Shortcuts</t>
  </si>
  <si>
    <t>Income Statement</t>
  </si>
  <si>
    <t>Days In Period</t>
  </si>
  <si>
    <t>Revenue</t>
  </si>
  <si>
    <t>Cost of Goods Sold</t>
  </si>
  <si>
    <t>Gross Profit</t>
  </si>
  <si>
    <t>Selling, General &amp; Administration (SG&amp;A)</t>
  </si>
  <si>
    <t>Research &amp; Development (R&amp;D)</t>
  </si>
  <si>
    <t>Depreciation &amp; Amortization</t>
  </si>
  <si>
    <t>Other Operating Income (Expense)</t>
  </si>
  <si>
    <t>EBIT</t>
  </si>
  <si>
    <t>Interest Income</t>
  </si>
  <si>
    <t>Interest (Expense)</t>
  </si>
  <si>
    <t>Goodwill Impairment</t>
  </si>
  <si>
    <t>Other Non-Operating Income (Expense)</t>
  </si>
  <si>
    <t>Pre-Tax Income (Loss)</t>
  </si>
  <si>
    <t>Income Tax Benefit (Expense)</t>
  </si>
  <si>
    <t>Net Income (Loss)</t>
  </si>
  <si>
    <t>Pre-Tax Adjustments</t>
  </si>
  <si>
    <t>Post-Tax Adjustments</t>
  </si>
  <si>
    <t>Discontinued Operations</t>
  </si>
  <si>
    <t>Income (Loss) due to Non-Controlling Interest</t>
  </si>
  <si>
    <t>Adj. Net Income (Loss)</t>
  </si>
  <si>
    <t>GAAP EPS (Basic)</t>
  </si>
  <si>
    <t>GAAP EPS (Diluted)</t>
  </si>
  <si>
    <t>Adj. EPS (Basic)</t>
  </si>
  <si>
    <t>Adj. EPS (Diluted)</t>
  </si>
  <si>
    <t>EBITDA</t>
  </si>
  <si>
    <t>Income Statement Analysis</t>
  </si>
  <si>
    <t>SG&amp;A as % of Revenue</t>
  </si>
  <si>
    <t>R&amp;D as a % of Revenue</t>
  </si>
  <si>
    <t>Other Operating Income as a % of Revenue</t>
  </si>
  <si>
    <t>Other Non-Operating Income as a % of Revenue</t>
  </si>
  <si>
    <t>Tax Rate</t>
  </si>
  <si>
    <t>Cash Flow Statement</t>
  </si>
  <si>
    <t>Net Income</t>
  </si>
  <si>
    <t>Stock-Based Compensation</t>
  </si>
  <si>
    <t>(Increase)/Decrease in Working Capital</t>
  </si>
  <si>
    <t>(Increase)/Decrease in LT Items</t>
  </si>
  <si>
    <t>Net Cash From Operating Activities</t>
  </si>
  <si>
    <t>Purchases of Intangibles</t>
  </si>
  <si>
    <t>Proceeds From/(Acquisitions of) Businesses</t>
  </si>
  <si>
    <t>Net Cash From Investment Activities</t>
  </si>
  <si>
    <t>Cash Flow Available for Financing Activities</t>
  </si>
  <si>
    <t>Issuance/(Repayment) of Revolver</t>
  </si>
  <si>
    <t>Issuance of Debt</t>
  </si>
  <si>
    <t>(Repayment of Debt)</t>
  </si>
  <si>
    <t>Issuance of Equity</t>
  </si>
  <si>
    <t>(Repurchase) of Equity</t>
  </si>
  <si>
    <t>Dividends Issued</t>
  </si>
  <si>
    <t>Change in Noncontrolling Interests</t>
  </si>
  <si>
    <t>Net Cash From Financing Activities</t>
  </si>
  <si>
    <t>Effect of FX Rate Changes on Cash</t>
  </si>
  <si>
    <t>Beginning Cash Adjustments</t>
  </si>
  <si>
    <t>Ending Cash Adjustments</t>
  </si>
  <si>
    <t>Beginning Cash Balance</t>
  </si>
  <si>
    <t>Net Change in Cash</t>
  </si>
  <si>
    <t>Ending Cash Balance</t>
  </si>
  <si>
    <t>Free Cash Flow Analysis</t>
  </si>
  <si>
    <t>Change in Operating Working Capital</t>
  </si>
  <si>
    <t>Free Cash Flow (FCF)</t>
  </si>
  <si>
    <t>Free Cash Flow Margin</t>
  </si>
  <si>
    <t>Free Cash Flow per Share</t>
  </si>
  <si>
    <t>Free Cash Flow Yield</t>
  </si>
  <si>
    <t>Balance Sheet</t>
  </si>
  <si>
    <t>Cash &amp; Cash Equivalents</t>
  </si>
  <si>
    <t>Accounts Receivable</t>
  </si>
  <si>
    <t>Inventory</t>
  </si>
  <si>
    <t>Prepaid &amp; Other Current Assets</t>
  </si>
  <si>
    <t>Total Current Assets</t>
  </si>
  <si>
    <t>PP&amp;E, Net</t>
  </si>
  <si>
    <t>Intangible Assets, Net</t>
  </si>
  <si>
    <t>Goodwill</t>
  </si>
  <si>
    <t>Other Non-Current Assets</t>
  </si>
  <si>
    <t>Total Non-Current Assets</t>
  </si>
  <si>
    <t>Total Assets</t>
  </si>
  <si>
    <t>Accounts Payable</t>
  </si>
  <si>
    <t>Accrued Liabilities</t>
  </si>
  <si>
    <t>Other Current Liabilities</t>
  </si>
  <si>
    <t>Total Current Liabilities (Excl. Debt)</t>
  </si>
  <si>
    <t>Revolver</t>
  </si>
  <si>
    <t>LT Debt (Incl. Current Portion)</t>
  </si>
  <si>
    <t>Deferred Income Taxes</t>
  </si>
  <si>
    <t>Other Non-Current Liabilities</t>
  </si>
  <si>
    <t>Total Non-Current Liabilities</t>
  </si>
  <si>
    <t>Total Liabilities</t>
  </si>
  <si>
    <t>Common Stock &amp; APIC</t>
  </si>
  <si>
    <t>Retained Earnings</t>
  </si>
  <si>
    <t>Treasury Stock</t>
  </si>
  <si>
    <t>Accumulated Other Comprehensive Income (AOCI)</t>
  </si>
  <si>
    <t>Total Shareholder's Equity</t>
  </si>
  <si>
    <t>Noncontrolling Interests</t>
  </si>
  <si>
    <t>Total Equity</t>
  </si>
  <si>
    <t>Total Liabilities &amp; Shareholder's Equity</t>
  </si>
  <si>
    <t>Balance Sheet Check</t>
  </si>
  <si>
    <t>Working Capital Schedule</t>
  </si>
  <si>
    <t>Total Non-Cash Current Assets</t>
  </si>
  <si>
    <t>Total Non-Debt Current Liabilities</t>
  </si>
  <si>
    <t>Net Working Capital</t>
  </si>
  <si>
    <t>(Increase) / Decrease in Working Capital</t>
  </si>
  <si>
    <t>Operating Working Capital</t>
  </si>
  <si>
    <t>(Increase) / Decrease in Operating Working Capital</t>
  </si>
  <si>
    <t>Days Sales Outstanding</t>
  </si>
  <si>
    <t>Days Inventory Outstanding</t>
  </si>
  <si>
    <t>Days Payables Outstanding</t>
  </si>
  <si>
    <t>Prepaid &amp; Other Current Assets as a % of Sales</t>
  </si>
  <si>
    <t>Accrued Liabilities as a % of COGS</t>
  </si>
  <si>
    <t>Other Current Liabilities as a % of COGS</t>
  </si>
  <si>
    <t>PP&amp;E / Depreciation Schedule</t>
  </si>
  <si>
    <t>Beginning PP&amp;E</t>
  </si>
  <si>
    <t>Depreciation Expense</t>
  </si>
  <si>
    <t>Acquisition / (Divestment) of Businesses</t>
  </si>
  <si>
    <t>Ending PP&amp;E</t>
  </si>
  <si>
    <t>Capex as a % of Sales</t>
  </si>
  <si>
    <t>Depreciation as a % of Avg. PP&amp;E</t>
  </si>
  <si>
    <t>Depreciation as a % of Sales</t>
  </si>
  <si>
    <t>Amortization Schedule</t>
  </si>
  <si>
    <t>Beginning Intangibles, Net</t>
  </si>
  <si>
    <t>Amortization Expense</t>
  </si>
  <si>
    <t>Write-offs of Intangibles</t>
  </si>
  <si>
    <t>Ending Intangibles, Net</t>
  </si>
  <si>
    <t>Amortization as a % of Avg. Intangibles</t>
  </si>
  <si>
    <t>Other Long-Term Items Schedule</t>
  </si>
  <si>
    <t>Total Other LT Assets</t>
  </si>
  <si>
    <t>Change in Other LT Assets</t>
  </si>
  <si>
    <t>Deferred Tax Liabilities</t>
  </si>
  <si>
    <t>Total Other LT Liabilities</t>
  </si>
  <si>
    <t>Change in Other LT Liabilities</t>
  </si>
  <si>
    <t>Change in Other Long Term Items</t>
  </si>
  <si>
    <t>% Change in LT Assets</t>
  </si>
  <si>
    <t>Shareholder's Equity Schedule</t>
  </si>
  <si>
    <t>Share Repurchase Assumptions</t>
  </si>
  <si>
    <t>EPS</t>
  </si>
  <si>
    <t>TTM P/E</t>
  </si>
  <si>
    <t>Average Price Paid</t>
  </si>
  <si>
    <t>Shares Repurchased (# shares in mm)</t>
  </si>
  <si>
    <t>Shares Repurchased ($ Amount)</t>
  </si>
  <si>
    <t>Common Stock &amp; APIC Assumptions</t>
  </si>
  <si>
    <t>Beginning Balance</t>
  </si>
  <si>
    <t>Proceeds from Share Issuance ($ Amount)</t>
  </si>
  <si>
    <t>Stock-Based Comp Expense</t>
  </si>
  <si>
    <t>Ending Balance</t>
  </si>
  <si>
    <t>Stock-Based Comp (% of Sales)</t>
  </si>
  <si>
    <t>Dividends</t>
  </si>
  <si>
    <t>Less Write-Offs</t>
  </si>
  <si>
    <t>AOCI Assumptions</t>
  </si>
  <si>
    <t>Other Comprehensive Income (Loss)</t>
  </si>
  <si>
    <t>Dividend Assumptions</t>
  </si>
  <si>
    <t>Dividend Per Share</t>
  </si>
  <si>
    <t>Shares Outstanding</t>
  </si>
  <si>
    <t>Dividends Paid</t>
  </si>
  <si>
    <t>Share Issuance (# shares in mm)</t>
  </si>
  <si>
    <t>Share Repurchase Guidance</t>
  </si>
  <si>
    <t>Dividends YoY Growth Rate</t>
  </si>
  <si>
    <t>Shares Outstanding Schedule</t>
  </si>
  <si>
    <t>Beginning Balance - Basic (Actual)</t>
  </si>
  <si>
    <t>Shares Issued</t>
  </si>
  <si>
    <t>Shares Repurchased</t>
  </si>
  <si>
    <t>Ending Balance - Basic (Actual)</t>
  </si>
  <si>
    <t>Weighted Average Basic Shares</t>
  </si>
  <si>
    <t>Effects of Dilutive Securities</t>
  </si>
  <si>
    <t>Weighted Average Dilutive Shares</t>
  </si>
  <si>
    <t>Debt and Interest Schedule</t>
  </si>
  <si>
    <t>Minimum Cash Balance</t>
  </si>
  <si>
    <t>Cash Available for Debt Repayment</t>
  </si>
  <si>
    <t>LT Debt Issuance</t>
  </si>
  <si>
    <t>LT Debt Repayment</t>
  </si>
  <si>
    <t>Excess Cash Available for Revolver</t>
  </si>
  <si>
    <t>Minimum Cash (% of Sales)</t>
  </si>
  <si>
    <t>Revolver Balance</t>
  </si>
  <si>
    <t>Issuance / (Repayment of Revolver)</t>
  </si>
  <si>
    <t>Total Debt Balance</t>
  </si>
  <si>
    <t>Repayment of Debt</t>
  </si>
  <si>
    <t>Revolver Interest</t>
  </si>
  <si>
    <t>Average Balance</t>
  </si>
  <si>
    <t>Interest Rate</t>
  </si>
  <si>
    <t>Total Debt Interest</t>
  </si>
  <si>
    <t>Total Interest (Expense)</t>
  </si>
  <si>
    <t>Cash Interest</t>
  </si>
  <si>
    <t>Total Interest Income</t>
  </si>
  <si>
    <t>Reported Revenue</t>
  </si>
  <si>
    <t/>
  </si>
  <si>
    <t>Revenue Mix</t>
  </si>
  <si>
    <t>Reported</t>
  </si>
  <si>
    <t>Segment 2</t>
  </si>
  <si>
    <t>Segment 3</t>
  </si>
  <si>
    <t>Segment 4</t>
  </si>
  <si>
    <t>Segment 5</t>
  </si>
  <si>
    <t>Segment 6</t>
  </si>
  <si>
    <t>""</t>
  </si>
  <si>
    <t>Boeing Military Aircraft</t>
  </si>
  <si>
    <t>Network &amp; Space Systems</t>
  </si>
  <si>
    <t>Global Services &amp; Support</t>
  </si>
  <si>
    <t>Total Company Operating Income</t>
  </si>
  <si>
    <t>Compute and Networking Segment Operating Income</t>
  </si>
  <si>
    <t>Graphics Segment Operating Income</t>
  </si>
  <si>
    <t>Compute and Networking Operating Income</t>
  </si>
  <si>
    <t>Graphics Operating Income</t>
  </si>
  <si>
    <t>Operating Income Check</t>
  </si>
  <si>
    <t>Operating Income Mix</t>
  </si>
  <si>
    <t>Total D&amp;A</t>
  </si>
  <si>
    <t>D&amp;A Check</t>
  </si>
  <si>
    <t>Segment D&amp;A Mix</t>
  </si>
  <si>
    <t>Total EBITDA Proxy</t>
  </si>
  <si>
    <t>EBITDA Mix</t>
  </si>
  <si>
    <t>Geographic Breakdown</t>
  </si>
  <si>
    <t>North America</t>
  </si>
  <si>
    <t>Europe</t>
  </si>
  <si>
    <t>South America</t>
  </si>
  <si>
    <t>Middle East &amp; Africa</t>
  </si>
  <si>
    <t>Asia Pacific</t>
  </si>
  <si>
    <t>Margins</t>
  </si>
  <si>
    <t>Incremental Operating Margin</t>
  </si>
  <si>
    <t>YoY Growth</t>
  </si>
  <si>
    <t>Total Company Revenue Growth</t>
  </si>
  <si>
    <t>Total Company Operating Income Growth</t>
  </si>
  <si>
    <t>Total Company EBITDA Growth</t>
  </si>
  <si>
    <t>QoQ Growth</t>
  </si>
  <si>
    <t>Income Statement Assumptions</t>
  </si>
  <si>
    <t>Operating Expenses</t>
  </si>
  <si>
    <t>Non-Operating Expenses</t>
  </si>
  <si>
    <t>Cash Flow Statement Assumptions</t>
  </si>
  <si>
    <t>Operating</t>
  </si>
  <si>
    <t>Investing</t>
  </si>
  <si>
    <t>Financing</t>
  </si>
  <si>
    <t>Balance Sheet Assumptions</t>
  </si>
  <si>
    <t>Assets</t>
  </si>
  <si>
    <t>Liabilities</t>
  </si>
  <si>
    <t>Debt</t>
  </si>
  <si>
    <t>Statement of Stockholder's Equity Assumptions</t>
  </si>
  <si>
    <t>Share Repurchases</t>
  </si>
  <si>
    <t xml:space="preserve">Enterprise Value / </t>
  </si>
  <si>
    <t xml:space="preserve">Market </t>
  </si>
  <si>
    <t>Enterprise</t>
  </si>
  <si>
    <t>Sales</t>
  </si>
  <si>
    <t>Profit Margin</t>
  </si>
  <si>
    <t>Price / Earnings</t>
  </si>
  <si>
    <t>Cap</t>
  </si>
  <si>
    <t>LTM</t>
  </si>
  <si>
    <t>LOW</t>
  </si>
  <si>
    <t>AAPL</t>
  </si>
  <si>
    <t>RTX</t>
  </si>
  <si>
    <t>MMM</t>
  </si>
  <si>
    <t>FB</t>
  </si>
  <si>
    <t>BA</t>
  </si>
  <si>
    <t>NM</t>
  </si>
  <si>
    <t>GE</t>
  </si>
  <si>
    <t>MSFT</t>
  </si>
  <si>
    <t>HII</t>
  </si>
  <si>
    <t>HON</t>
  </si>
  <si>
    <t>SNAP</t>
  </si>
  <si>
    <t>LMT</t>
  </si>
  <si>
    <t>ROP</t>
  </si>
  <si>
    <t>GOOGL</t>
  </si>
  <si>
    <t>NOC</t>
  </si>
  <si>
    <t>EMR</t>
  </si>
  <si>
    <t>Mean</t>
  </si>
  <si>
    <t>Median</t>
  </si>
  <si>
    <t>Company</t>
  </si>
  <si>
    <t>General Statistics</t>
  </si>
  <si>
    <t>Returns Analysis</t>
  </si>
  <si>
    <t>Liquidity Profile</t>
  </si>
  <si>
    <t>Credit Profile</t>
  </si>
  <si>
    <t xml:space="preserve">Total Debt / </t>
  </si>
  <si>
    <t>Dividend</t>
  </si>
  <si>
    <t xml:space="preserve">EBITDA / </t>
  </si>
  <si>
    <t>(EBITDA -</t>
  </si>
  <si>
    <t xml:space="preserve">EBIT / </t>
  </si>
  <si>
    <t>Quick</t>
  </si>
  <si>
    <t>Current</t>
  </si>
  <si>
    <t>Beta</t>
  </si>
  <si>
    <t>Yield</t>
  </si>
  <si>
    <t>ROIC</t>
  </si>
  <si>
    <t xml:space="preserve">ROE </t>
  </si>
  <si>
    <t>ROA</t>
  </si>
  <si>
    <t>Equity</t>
  </si>
  <si>
    <t>Int. Exp.</t>
  </si>
  <si>
    <t>Capex)/Int.</t>
  </si>
  <si>
    <t>Ratio</t>
  </si>
  <si>
    <t>S&amp;P</t>
  </si>
  <si>
    <t>Outlook</t>
  </si>
  <si>
    <t>BBB+</t>
  </si>
  <si>
    <t>Stable</t>
  </si>
  <si>
    <t>AA+</t>
  </si>
  <si>
    <t>A-</t>
  </si>
  <si>
    <t>Negative</t>
  </si>
  <si>
    <t>A+</t>
  </si>
  <si>
    <t>AAA</t>
  </si>
  <si>
    <t>BBB-</t>
  </si>
  <si>
    <t>Watch Neg</t>
  </si>
  <si>
    <t>A</t>
  </si>
  <si>
    <t>h</t>
  </si>
  <si>
    <t>Capital IQ Tables</t>
  </si>
  <si>
    <t>Comparable Companies List:</t>
  </si>
  <si>
    <t>Peer Group Names</t>
  </si>
  <si>
    <t>Target Company:</t>
  </si>
  <si>
    <t>Peer Group 1:</t>
  </si>
  <si>
    <t>Primary Peer Group</t>
  </si>
  <si>
    <t>Ticker:</t>
  </si>
  <si>
    <t>Peer Group 2:</t>
  </si>
  <si>
    <t>Defense Peer Group</t>
  </si>
  <si>
    <t>CIQ Code:</t>
  </si>
  <si>
    <t>IQ180871</t>
  </si>
  <si>
    <t>Peer Group 3:</t>
  </si>
  <si>
    <t>Cap. Goods Peer Group</t>
  </si>
  <si>
    <t>Comparable Name:</t>
  </si>
  <si>
    <t>The Home Depot, Inc.</t>
  </si>
  <si>
    <t>Raytheon</t>
  </si>
  <si>
    <t>3M Company</t>
  </si>
  <si>
    <t>HD</t>
  </si>
  <si>
    <t>IQ278679</t>
  </si>
  <si>
    <t>IQ159230</t>
  </si>
  <si>
    <t>IQ289194</t>
  </si>
  <si>
    <t>Apple</t>
  </si>
  <si>
    <t>Boeing</t>
  </si>
  <si>
    <t>General Electric</t>
  </si>
  <si>
    <t>IQ20765463</t>
  </si>
  <si>
    <t>IQ370857</t>
  </si>
  <si>
    <t>IQ177031</t>
  </si>
  <si>
    <t>Microsoft</t>
  </si>
  <si>
    <t>Huntington Ingalls</t>
  </si>
  <si>
    <t>Honeywell</t>
  </si>
  <si>
    <t>IQ21835</t>
  </si>
  <si>
    <t>IQ363263</t>
  </si>
  <si>
    <t>IQ1340740</t>
  </si>
  <si>
    <t>Broadcom</t>
  </si>
  <si>
    <t>Lockheed Martin</t>
  </si>
  <si>
    <t>Roper Technologies</t>
  </si>
  <si>
    <t>IQ224055283</t>
  </si>
  <si>
    <t>IQ285827</t>
  </si>
  <si>
    <t>IQ22751</t>
  </si>
  <si>
    <t>Disney</t>
  </si>
  <si>
    <t>Northrop Grumman</t>
  </si>
  <si>
    <t>Emerson Electric</t>
  </si>
  <si>
    <t>IQ29096</t>
  </si>
  <si>
    <t>IQ97199</t>
  </si>
  <si>
    <t>IQ269231</t>
  </si>
  <si>
    <t>1. Input search criteria in column A</t>
  </si>
  <si>
    <t>2. Hit Search button</t>
  </si>
  <si>
    <t>3. Use the Search Result dropdown in column C to select one of the top 5 results</t>
  </si>
  <si>
    <t>4. If all 5 results do not match your search criteria, refine your search or use the Capital IQ ID Lookup</t>
  </si>
  <si>
    <t>Source: S&amp;P Capital IQ</t>
  </si>
  <si>
    <t>Copyright © 2019 S&amp;P Global Market Intelligence LLC (and its affiliates as applicable) – All rights reserved.  This model and/or any data in it are provided subject to the written agreement of S&amp;P Global Market Intelligence LLC governing the subscription service to which this model is applied.</t>
  </si>
  <si>
    <t>CIQ IDENTIFIER CONVERTER</t>
  </si>
  <si>
    <t>Exact</t>
  </si>
  <si>
    <t>Search</t>
  </si>
  <si>
    <t>Search Item Input</t>
  </si>
  <si>
    <t>Match #?</t>
  </si>
  <si>
    <t>Result #</t>
  </si>
  <si>
    <t>Result Name</t>
  </si>
  <si>
    <t>CIQ ID</t>
  </si>
  <si>
    <t>NYSE: MMM</t>
  </si>
  <si>
    <t>S&amp;P 500 PR (3M LIBOR)  ER</t>
  </si>
  <si>
    <t>3M Health Care Limited</t>
  </si>
  <si>
    <t>Bofa Ml US 3 Month Libor Lus3 Index</t>
  </si>
  <si>
    <t>3m</t>
  </si>
  <si>
    <t>IQ1683291950</t>
  </si>
  <si>
    <t>IQ22728453</t>
  </si>
  <si>
    <t>IQ649326876</t>
  </si>
  <si>
    <t>IQ697906988</t>
  </si>
  <si>
    <t>General Electric Company</t>
  </si>
  <si>
    <t>GE Healthcare Inc.</t>
  </si>
  <si>
    <t>General Electric Capital Corporation</t>
  </si>
  <si>
    <t>General Electric Pension Trust</t>
  </si>
  <si>
    <t>IQ225458729</t>
  </si>
  <si>
    <t>IQ316456405</t>
  </si>
  <si>
    <t>IQ20625</t>
  </si>
  <si>
    <t>IQ263247349</t>
  </si>
  <si>
    <t>Home Depot</t>
  </si>
  <si>
    <t>Home Depot U.S.A., Inc.</t>
  </si>
  <si>
    <t>Home Depot of Canada Inc.</t>
  </si>
  <si>
    <t>HD Supply, Inc.</t>
  </si>
  <si>
    <t>IQ4772102</t>
  </si>
  <si>
    <t>IQ698980290</t>
  </si>
  <si>
    <t>IQ982995</t>
  </si>
  <si>
    <t>IQ25620427</t>
  </si>
  <si>
    <t>Roper Technologies, Inc.</t>
  </si>
  <si>
    <t>Roper Industries Limited</t>
  </si>
  <si>
    <t>Roper Tech. Middle East Ltd. FZCO</t>
  </si>
  <si>
    <t>Industrial businesses of Roper Technologies, Inc.</t>
  </si>
  <si>
    <t>IQ46452412</t>
  </si>
  <si>
    <t>IQ1775357763</t>
  </si>
  <si>
    <t>IQ1785341877</t>
  </si>
  <si>
    <t>Emerson Electric Co.</t>
  </si>
  <si>
    <t>Emerson Electrical Ltd</t>
  </si>
  <si>
    <t>Emerson Electric (U.S.) Holding Corporation</t>
  </si>
  <si>
    <t>Copeland LP</t>
  </si>
  <si>
    <t>Emerson Electric Canada Ltd.</t>
  </si>
  <si>
    <t>IQ631233144</t>
  </si>
  <si>
    <t>IQ4217671</t>
  </si>
  <si>
    <t>IQ8161416</t>
  </si>
  <si>
    <t>IQ22596300</t>
  </si>
  <si>
    <t>Apple Inc.</t>
  </si>
  <si>
    <t>Apple Leisure Group</t>
  </si>
  <si>
    <t>Applegreen Limited</t>
  </si>
  <si>
    <t>IQ24937</t>
  </si>
  <si>
    <t>IQ275892751</t>
  </si>
  <si>
    <t>IQ38576368</t>
  </si>
  <si>
    <t>IQ228677668</t>
  </si>
  <si>
    <t>IQ429856801</t>
  </si>
  <si>
    <t xml:space="preserve">Oracle Corporation </t>
  </si>
  <si>
    <t>Oracle Corporation</t>
  </si>
  <si>
    <t>Oracle America, Inc.</t>
  </si>
  <si>
    <t>ORACLE</t>
  </si>
  <si>
    <t>Oracle Financial Services Software Limited</t>
  </si>
  <si>
    <t>ORACLE ELEVATOR HOLDCO, INC.</t>
  </si>
  <si>
    <t>IQ22247</t>
  </si>
  <si>
    <t>IQ34903</t>
  </si>
  <si>
    <t>IQ643919097</t>
  </si>
  <si>
    <t>IQ678571</t>
  </si>
  <si>
    <t>IQ26369966</t>
  </si>
  <si>
    <t xml:space="preserve">Citrix Systems, Inc. </t>
  </si>
  <si>
    <t>Citrix Systems, Inc.</t>
  </si>
  <si>
    <t>Citrix Systems GmbH</t>
  </si>
  <si>
    <t>Citrix Systems India Private Limited</t>
  </si>
  <si>
    <t>Citrix Systems Asia Pacific Pty Ltd.</t>
  </si>
  <si>
    <t>Citrix Systems, UK Ltd.</t>
  </si>
  <si>
    <t>IQ26524</t>
  </si>
  <si>
    <t>IQ29511600</t>
  </si>
  <si>
    <t>IQ29511764</t>
  </si>
  <si>
    <t>IQ29511063</t>
  </si>
  <si>
    <t>IQ29512736</t>
  </si>
  <si>
    <t xml:space="preserve">CYREN </t>
  </si>
  <si>
    <t>Cyren Ltd.</t>
  </si>
  <si>
    <t>Cyrene</t>
  </si>
  <si>
    <t>Cyren Call Communications Corp.</t>
  </si>
  <si>
    <t>Cyren GmbH</t>
  </si>
  <si>
    <t>Cyren Germany Gmbh &amp; Co. Kg</t>
  </si>
  <si>
    <t>IQ26767</t>
  </si>
  <si>
    <t>IQ698394945</t>
  </si>
  <si>
    <t>IQ29198565</t>
  </si>
  <si>
    <t>IQ51821938</t>
  </si>
  <si>
    <t>IQ1758590134</t>
  </si>
  <si>
    <t>Commvault Systems</t>
  </si>
  <si>
    <t>Commvault Systems, Inc.</t>
  </si>
  <si>
    <t>Commvault Systems Ltd</t>
  </si>
  <si>
    <t>CommVault Systems (Australia) Pty. Ltd.</t>
  </si>
  <si>
    <t>CommVault Systems GmbH</t>
  </si>
  <si>
    <t>CommVault Systems (Japan) KK</t>
  </si>
  <si>
    <t>IQ26789</t>
  </si>
  <si>
    <t>IQ111712935</t>
  </si>
  <si>
    <t>IQ119046943</t>
  </si>
  <si>
    <t>IQ240260106</t>
  </si>
  <si>
    <t>IQ240251209</t>
  </si>
  <si>
    <t>eGain Corporation</t>
  </si>
  <si>
    <t>Egain International Ab</t>
  </si>
  <si>
    <t>eGain Group AB</t>
  </si>
  <si>
    <t>E-Gain Financial Information Services Co., Ltd.</t>
  </si>
  <si>
    <t>Egain Sweden AB</t>
  </si>
  <si>
    <t>IQ27928</t>
  </si>
  <si>
    <t>IQ317548072</t>
  </si>
  <si>
    <t>IQ612135606</t>
  </si>
  <si>
    <t>IQ571205979</t>
  </si>
  <si>
    <t>IQ628970853</t>
  </si>
  <si>
    <t>Harmonic</t>
  </si>
  <si>
    <t>Harmonic Inc.</t>
  </si>
  <si>
    <t>Harmonic Drive Systems Inc.</t>
  </si>
  <si>
    <t>Harmonicare Medical Holdings Limited</t>
  </si>
  <si>
    <t>Harmonic Drive SE</t>
  </si>
  <si>
    <t>Harmonic Fund Services</t>
  </si>
  <si>
    <t>IQ29282</t>
  </si>
  <si>
    <t>IQ5433989</t>
  </si>
  <si>
    <t>IQ289128608</t>
  </si>
  <si>
    <t>IQ31134974</t>
  </si>
  <si>
    <t>IQ247850513</t>
  </si>
  <si>
    <t>NetApp</t>
  </si>
  <si>
    <t>NetApp, Inc.</t>
  </si>
  <si>
    <t>NetApp Capital Solutions, Inc.</t>
  </si>
  <si>
    <t>NetApp B.V.</t>
  </si>
  <si>
    <t>NetApp Holding &amp; Manufacturing BV NAHM</t>
  </si>
  <si>
    <t>Netapp Deutschland GmbH</t>
  </si>
  <si>
    <t>IQ32052</t>
  </si>
  <si>
    <t>IQ244158885</t>
  </si>
  <si>
    <t>IQ5540679</t>
  </si>
  <si>
    <t>IQ37895956</t>
  </si>
  <si>
    <t>IQ46052298</t>
  </si>
  <si>
    <t>Inseego</t>
  </si>
  <si>
    <t>Inseego Corp.</t>
  </si>
  <si>
    <t>Feeney Wireless, LLC</t>
  </si>
  <si>
    <t>Inseego (Uk) Limited</t>
  </si>
  <si>
    <t>C-Track Limited</t>
  </si>
  <si>
    <t>Ctrack International Holdings Limited</t>
  </si>
  <si>
    <t>IQ32261</t>
  </si>
  <si>
    <t>IQ128454163</t>
  </si>
  <si>
    <t>IQ631346236</t>
  </si>
  <si>
    <t>IQ31212408</t>
  </si>
  <si>
    <t>IQ319603577</t>
  </si>
  <si>
    <t>Intouch Insight</t>
  </si>
  <si>
    <t>Intouch Insight Ltd.</t>
  </si>
  <si>
    <t>In-Touch Insight Systems Inc.</t>
  </si>
  <si>
    <t>IQ3160034</t>
  </si>
  <si>
    <t>IQ140252251</t>
  </si>
  <si>
    <t>VPN Technologies</t>
  </si>
  <si>
    <t>Energy Plug Technologies Corp.</t>
  </si>
  <si>
    <t>IQ282167789</t>
  </si>
  <si>
    <t>Assumptions:</t>
  </si>
  <si>
    <t>Capital Structure:</t>
  </si>
  <si>
    <t>$ Amount:</t>
  </si>
  <si>
    <t>% Weight:</t>
  </si>
  <si>
    <t>Cost (%):</t>
  </si>
  <si>
    <t>Risk-Free Rate:</t>
  </si>
  <si>
    <t>Market Value of Debt:</t>
  </si>
  <si>
    <t>Equity Risk Premium (ERP):</t>
  </si>
  <si>
    <t>Market Value of Equity:</t>
  </si>
  <si>
    <t>Pre-Tax Cost of Debt:</t>
  </si>
  <si>
    <t>Market Value of Preferred:</t>
  </si>
  <si>
    <t>Effective Tax Rate:</t>
  </si>
  <si>
    <t>Total Capitalization:</t>
  </si>
  <si>
    <t>Cost of Preferred Stock:</t>
  </si>
  <si>
    <t>Cost of Debt:</t>
  </si>
  <si>
    <t>WACC:</t>
  </si>
  <si>
    <t>Tax Rate:</t>
  </si>
  <si>
    <t>After-Tax Cost of Debt:</t>
  </si>
  <si>
    <t>Cost of Equity:</t>
  </si>
  <si>
    <t>WACC Sensitivity</t>
  </si>
  <si>
    <t>Pre-Tax Cost of Debt</t>
  </si>
  <si>
    <t>Beta:</t>
  </si>
  <si>
    <t>Debt To Total Cap.</t>
  </si>
  <si>
    <t xml:space="preserve">Levered </t>
  </si>
  <si>
    <t xml:space="preserve">Debt / </t>
  </si>
  <si>
    <t>Tax</t>
  </si>
  <si>
    <t xml:space="preserve">Unlevered </t>
  </si>
  <si>
    <t>Rate</t>
  </si>
  <si>
    <t>Sensitivity Toggles:</t>
  </si>
  <si>
    <t>Pre-Tax Cost Mid-Point</t>
  </si>
  <si>
    <t>Pre-Tax Cost Unit D</t>
  </si>
  <si>
    <t>Debt / Total Cap Mid Point</t>
  </si>
  <si>
    <t>Debt / Total Unit D</t>
  </si>
  <si>
    <t>Mean:</t>
  </si>
  <si>
    <t>Median:</t>
  </si>
  <si>
    <t>Beta Toggle:</t>
  </si>
  <si>
    <t>Target Company Beta</t>
  </si>
  <si>
    <t>Unlevered</t>
  </si>
  <si>
    <t>Debt /</t>
  </si>
  <si>
    <t>Relevered</t>
  </si>
  <si>
    <t>Relevered Beta</t>
  </si>
  <si>
    <t>Weighting Check</t>
  </si>
  <si>
    <t>Share Price</t>
  </si>
  <si>
    <t>Market Cap</t>
  </si>
  <si>
    <t>Net Debt</t>
  </si>
  <si>
    <t>EV</t>
  </si>
  <si>
    <t>Returns Profile</t>
  </si>
  <si>
    <t>Methodology</t>
  </si>
  <si>
    <t>Implied PT</t>
  </si>
  <si>
    <t>Implied Return</t>
  </si>
  <si>
    <t>DCF</t>
  </si>
  <si>
    <t>Perpetual Growth Rate</t>
  </si>
  <si>
    <t>Historical Multiples</t>
  </si>
  <si>
    <t>Cyclical Multiples</t>
  </si>
  <si>
    <t>Sum of the Parts</t>
  </si>
  <si>
    <t>Blended Average</t>
  </si>
  <si>
    <t>LTM vs NTM</t>
  </si>
  <si>
    <t>NTM</t>
  </si>
  <si>
    <t>Weighted Average</t>
  </si>
  <si>
    <t>Discounted Cash Flow</t>
  </si>
  <si>
    <t>NOPAT (EBIAT)</t>
  </si>
  <si>
    <t>% YoY Growth</t>
  </si>
  <si>
    <t>Unlevered Free Cash Flow</t>
  </si>
  <si>
    <t>Discountable Unlevered Free Cash Flow</t>
  </si>
  <si>
    <t>Full-Year Discount</t>
  </si>
  <si>
    <t>Mid-Year Discount</t>
  </si>
  <si>
    <t>Discount Factor</t>
  </si>
  <si>
    <t>Present Value of Future Free Cash Flow</t>
  </si>
  <si>
    <t>SENSITIZED EXIT MULTIPLE METHOD</t>
  </si>
  <si>
    <t>Exit Multiple Method:</t>
  </si>
  <si>
    <t>Perpetuity Growth (PGR) Method</t>
  </si>
  <si>
    <t>Terminal Year EBITDA:</t>
  </si>
  <si>
    <t>Terminal Year FCF:</t>
  </si>
  <si>
    <t>Exit Multiple:</t>
  </si>
  <si>
    <t>PGR:</t>
  </si>
  <si>
    <t>Terminal Value:</t>
  </si>
  <si>
    <t>PV of Terminal Value:</t>
  </si>
  <si>
    <t>PV of Stage 1 Cash Flows:</t>
  </si>
  <si>
    <t>(+) Cash &amp; Equivalents:</t>
  </si>
  <si>
    <t>(-) Preferred Stock:</t>
  </si>
  <si>
    <t>(-) Total Debt:</t>
  </si>
  <si>
    <t>(-) Pension Obligations:</t>
  </si>
  <si>
    <t>(-) Non-Controlling Interests:</t>
  </si>
  <si>
    <t>(-) Capital Leases:</t>
  </si>
  <si>
    <t>Diluted Shares O/S:</t>
  </si>
  <si>
    <t>Implied Terminal EBITDA Multiple</t>
  </si>
  <si>
    <t>Implied Terminal Growth Rate</t>
  </si>
  <si>
    <t>Yes</t>
  </si>
  <si>
    <t>Discount Rate</t>
  </si>
  <si>
    <t>Bear</t>
  </si>
  <si>
    <t>Bull</t>
  </si>
  <si>
    <t>Sensitivity Analysis</t>
  </si>
  <si>
    <t>Exit Multiple Mid-Point</t>
  </si>
  <si>
    <t>PGR Mid-Point</t>
  </si>
  <si>
    <t>WACC Mid-Point</t>
  </si>
  <si>
    <t>Exit Multiple Unit D</t>
  </si>
  <si>
    <t>PGR Unit D</t>
  </si>
  <si>
    <t>WACC Unit D</t>
  </si>
  <si>
    <t>Implied Share Price</t>
  </si>
  <si>
    <t>Implied % Return</t>
  </si>
  <si>
    <t>Perpetuity Growth Rate</t>
  </si>
  <si>
    <t>Historical Multiple</t>
  </si>
  <si>
    <t>Price/Earnings</t>
  </si>
  <si>
    <t>P/E Spread Analysis</t>
  </si>
  <si>
    <t>EV/EBITDA Spread Analysis</t>
  </si>
  <si>
    <t>Current Multiple</t>
  </si>
  <si>
    <t>Historical Co. Average</t>
  </si>
  <si>
    <t>Historical Average</t>
  </si>
  <si>
    <t>Historical Peer Average</t>
  </si>
  <si>
    <t>Premium/(Discount)</t>
  </si>
  <si>
    <t>Historical Premium/(Discount)</t>
  </si>
  <si>
    <t>Premium Applied to Historical</t>
  </si>
  <si>
    <t>Current Peer Average</t>
  </si>
  <si>
    <t>Implied Multiple</t>
  </si>
  <si>
    <t>NTM EPS</t>
  </si>
  <si>
    <t>NTM EBITDA</t>
  </si>
  <si>
    <t>Implied Enterprise Value</t>
  </si>
  <si>
    <t>Implied Price Target</t>
  </si>
  <si>
    <t>% Return</t>
  </si>
  <si>
    <t>(+) Cash &amp; Equivalents</t>
  </si>
  <si>
    <t>(-) Preferred Stock</t>
  </si>
  <si>
    <t>(-) Total Debt</t>
  </si>
  <si>
    <t>(-) Pension Obligations</t>
  </si>
  <si>
    <t>(-) Non-Controlling Interests</t>
  </si>
  <si>
    <t>(-) Capital Leases</t>
  </si>
  <si>
    <t>Implied Market Cap</t>
  </si>
  <si>
    <t>Duration of Average</t>
  </si>
  <si>
    <t>3 Year</t>
  </si>
  <si>
    <t>Peer Averages</t>
  </si>
  <si>
    <t>Duration of Spread Averages</t>
  </si>
  <si>
    <t>1 Year</t>
  </si>
  <si>
    <t>Peer Group Used for Spreads</t>
  </si>
  <si>
    <t>2 Year</t>
  </si>
  <si>
    <t>5 Year</t>
  </si>
  <si>
    <t>P/E Multiple Mid-Point</t>
  </si>
  <si>
    <t>EV/EBITDA Multiple Mid-Point</t>
  </si>
  <si>
    <t>Spread Check</t>
  </si>
  <si>
    <t>EPS D</t>
  </si>
  <si>
    <t>EBITDA D</t>
  </si>
  <si>
    <t>P/E Spread Multiple Mid-Point</t>
  </si>
  <si>
    <t>EV/EBITDA Spread Multiple Mid-Point</t>
  </si>
  <si>
    <t>Cyclical Multiple</t>
  </si>
  <si>
    <t>Cyclical Co. Average</t>
  </si>
  <si>
    <t>Cyclical Average</t>
  </si>
  <si>
    <t>Cyclical Peer Average</t>
  </si>
  <si>
    <t>Cycle Used</t>
  </si>
  <si>
    <t>2009-2018</t>
  </si>
  <si>
    <t>Cycle Period</t>
  </si>
  <si>
    <t>Early Cycle</t>
  </si>
  <si>
    <t>LTM vs NTM for Peer Groups</t>
  </si>
  <si>
    <t>Comp Multiple</t>
  </si>
  <si>
    <t>Premium/ (Discount) Applied</t>
  </si>
  <si>
    <t>Implied EV</t>
  </si>
  <si>
    <t>Sum of the Parts Valuation</t>
  </si>
  <si>
    <t>The Boeing Company</t>
  </si>
  <si>
    <t>INSTRUCTIONS!!!</t>
  </si>
  <si>
    <t>LTM P/E</t>
  </si>
  <si>
    <t>NTM P/E</t>
  </si>
  <si>
    <t>LTM EV/EBITDA</t>
  </si>
  <si>
    <t>NTM EV/EBITDA</t>
  </si>
  <si>
    <t>Lowe's Companies, Inc.</t>
  </si>
  <si>
    <t>Historical Averages</t>
  </si>
  <si>
    <t>Cyclical Averages</t>
  </si>
  <si>
    <t>2002-2018 Full Cycle</t>
  </si>
  <si>
    <t>2002-2018 Early Cycle</t>
  </si>
  <si>
    <t>2002-2018 Mid Cycle</t>
  </si>
  <si>
    <t>2002-2018 Late Cycle</t>
  </si>
  <si>
    <t>2002-2008 Full Cycle</t>
  </si>
  <si>
    <t>2002-2008 Early Cycle</t>
  </si>
  <si>
    <t>2002-2008 Mid Cycle</t>
  </si>
  <si>
    <t>2002-2008 Late Cycle</t>
  </si>
  <si>
    <t>2009-2018 Full Cycle</t>
  </si>
  <si>
    <t>2009-2018 Early Cycle</t>
  </si>
  <si>
    <t>2009-2018 Mid Cycle</t>
  </si>
  <si>
    <t>2009-2018 Late Cycle</t>
  </si>
  <si>
    <t>Margins Analysis</t>
  </si>
  <si>
    <t>Profit</t>
  </si>
  <si>
    <t>Growth Rate YoY %</t>
  </si>
  <si>
    <t>Segment Breakdown</t>
  </si>
  <si>
    <t>Segment Revenue</t>
  </si>
  <si>
    <t>=</t>
  </si>
  <si>
    <t>---&gt; Check</t>
  </si>
  <si>
    <t>Revolver Outstanding</t>
  </si>
  <si>
    <t>Bond Principal</t>
  </si>
  <si>
    <t>TL Outstanding</t>
  </si>
  <si>
    <t>Industry Overview:</t>
  </si>
  <si>
    <t>Med Tech Revenues</t>
  </si>
  <si>
    <t>Structural Heart Market</t>
  </si>
  <si>
    <t>Structural Heart Sales</t>
  </si>
  <si>
    <t>Total Sales</t>
  </si>
  <si>
    <t>YoY</t>
  </si>
  <si>
    <t>Projections</t>
  </si>
  <si>
    <t>Last Price</t>
  </si>
  <si>
    <t>Reference Points for Axes</t>
  </si>
  <si>
    <t>Last Year (Year 0)</t>
  </si>
  <si>
    <t>Current Year (Year 1)</t>
  </si>
  <si>
    <t>Year 3 (for CAGR)</t>
  </si>
  <si>
    <t>Raw Data</t>
  </si>
  <si>
    <t>Chart Data</t>
  </si>
  <si>
    <t>NTM EV / EBITDA</t>
  </si>
  <si>
    <t>NTM P / E</t>
  </si>
  <si>
    <t>LTM Total Debt / Equity</t>
  </si>
  <si>
    <t>LTM EBITDA Margin</t>
  </si>
  <si>
    <t>YTD Performance</t>
  </si>
  <si>
    <t>One-Year Performance</t>
  </si>
  <si>
    <t>Next Projected Quarter</t>
  </si>
  <si>
    <t>4Q</t>
  </si>
  <si>
    <t>Current Reporting Year</t>
  </si>
  <si>
    <t>Next Fiscal Quarter Reporting</t>
  </si>
  <si>
    <t>Previous Reporting Year</t>
  </si>
  <si>
    <t>Font Color Toggle</t>
  </si>
  <si>
    <t>OFe</t>
  </si>
  <si>
    <t>Consensus</t>
  </si>
  <si>
    <t>workbook sheet</t>
  </si>
  <si>
    <t>cell/range</t>
  </si>
  <si>
    <t>model row label</t>
  </si>
  <si>
    <t>section</t>
  </si>
  <si>
    <t>period</t>
  </si>
  <si>
    <t>value written</t>
  </si>
  <si>
    <t>mapping type</t>
  </si>
  <si>
    <t>EDGAR concepts used</t>
  </si>
  <si>
    <t>SEC label(s)</t>
  </si>
  <si>
    <t>source statement/table</t>
  </si>
  <si>
    <t>accession</t>
  </si>
  <si>
    <t>source URL</t>
  </si>
  <si>
    <t>filing form</t>
  </si>
  <si>
    <t>filed date</t>
  </si>
  <si>
    <t>start date</t>
  </si>
  <si>
    <t>end date</t>
  </si>
  <si>
    <t>cell writable</t>
  </si>
  <si>
    <t>formula preserved</t>
  </si>
  <si>
    <t>formula status</t>
  </si>
  <si>
    <t>write blocked reason</t>
  </si>
  <si>
    <t>sign convention</t>
  </si>
  <si>
    <t>confidence</t>
  </si>
  <si>
    <t>validation status</t>
  </si>
  <si>
    <t>notes</t>
  </si>
  <si>
    <t>F194</t>
  </si>
  <si>
    <t>1Q23</t>
  </si>
  <si>
    <t>unused</t>
  </si>
  <si>
    <t>income</t>
  </si>
  <si>
    <t>not written</t>
  </si>
  <si>
    <t>high</t>
  </si>
  <si>
    <t>cleared</t>
  </si>
  <si>
    <t>G194</t>
  </si>
  <si>
    <t>2Q23</t>
  </si>
  <si>
    <t>H194</t>
  </si>
  <si>
    <t>3Q23</t>
  </si>
  <si>
    <t>I194</t>
  </si>
  <si>
    <t>4Q23</t>
  </si>
  <si>
    <t>K194</t>
  </si>
  <si>
    <t>1Q24</t>
  </si>
  <si>
    <t>L194</t>
  </si>
  <si>
    <t>2Q24</t>
  </si>
  <si>
    <t>M194</t>
  </si>
  <si>
    <t>3Q24</t>
  </si>
  <si>
    <t>N194</t>
  </si>
  <si>
    <t>4Q24</t>
  </si>
  <si>
    <t>P194</t>
  </si>
  <si>
    <t>1Q25</t>
  </si>
  <si>
    <t>Q194</t>
  </si>
  <si>
    <t>2Q25</t>
  </si>
  <si>
    <t>R194</t>
  </si>
  <si>
    <t>3Q25</t>
  </si>
  <si>
    <t>S194</t>
  </si>
  <si>
    <t>4Q25</t>
  </si>
  <si>
    <t>U194</t>
  </si>
  <si>
    <t>1Q26</t>
  </si>
  <si>
    <t>F29</t>
  </si>
  <si>
    <t>direct</t>
  </si>
  <si>
    <t>CostOfRevenue=2857mm</t>
  </si>
  <si>
    <t>Cost of Revenue</t>
  </si>
  <si>
    <t>0001045810-22-000079</t>
  </si>
  <si>
    <t>https://www.sec.gov/Archives/edgar/data/1045810/000104581022000079/</t>
  </si>
  <si>
    <t>10-Q</t>
  </si>
  <si>
    <t>2022-05-27</t>
  </si>
  <si>
    <t>2022-01-31</t>
  </si>
  <si>
    <t>2022-05-01</t>
  </si>
  <si>
    <t>not a formula cell</t>
  </si>
  <si>
    <t>copied</t>
  </si>
  <si>
    <t>OK!</t>
  </si>
  <si>
    <t xml:space="preserve">Cost of Goods Sold maps directly to:
- Cost of Revenue</t>
  </si>
  <si>
    <t>G29</t>
  </si>
  <si>
    <t>CostOfRevenue=3789mm</t>
  </si>
  <si>
    <t>0001045810-22-000147</t>
  </si>
  <si>
    <t>https://www.sec.gov/Archives/edgar/data/1045810/000104581022000147/</t>
  </si>
  <si>
    <t>2022-08-31</t>
  </si>
  <si>
    <t>2022-05-02</t>
  </si>
  <si>
    <t>2022-07-31</t>
  </si>
  <si>
    <t>H29</t>
  </si>
  <si>
    <t>CostOfRevenue=2754mm</t>
  </si>
  <si>
    <t>0001045810-22-000166</t>
  </si>
  <si>
    <t>https://www.sec.gov/Archives/edgar/data/1045810/000104581022000166/</t>
  </si>
  <si>
    <t>2022-11-18</t>
  </si>
  <si>
    <t>2022-08-01</t>
  </si>
  <si>
    <t>2022-10-30</t>
  </si>
  <si>
    <t>I29</t>
  </si>
  <si>
    <t>formula updated</t>
  </si>
  <si>
    <t>CostOfRevenue=2218mm</t>
  </si>
  <si>
    <t>Cost of Revenue (derived Q4)</t>
  </si>
  <si>
    <t>0001045810-23-000017</t>
  </si>
  <si>
    <t>https://www.sec.gov/Archives/edgar/data/1045810/000104581023000017/</t>
  </si>
  <si>
    <t>10-K</t>
  </si>
  <si>
    <t>2023-02-24</t>
  </si>
  <si>
    <t>2023-01-29</t>
  </si>
  <si>
    <t>formula bridge updated</t>
  </si>
  <si>
    <t>formula result refreshed</t>
  </si>
  <si>
    <t>medium</t>
  </si>
  <si>
    <t>K29</t>
  </si>
  <si>
    <t>CostOfRevenue=2544mm</t>
  </si>
  <si>
    <t>0001045810-23-000093</t>
  </si>
  <si>
    <t>https://www.sec.gov/Archives/edgar/data/1045810/000104581023000093/</t>
  </si>
  <si>
    <t>2023-05-26</t>
  </si>
  <si>
    <t>2023-01-30</t>
  </si>
  <si>
    <t>2023-04-30</t>
  </si>
  <si>
    <t>L29</t>
  </si>
  <si>
    <t>CostOfRevenue=4045mm</t>
  </si>
  <si>
    <t>0001045810-23-000175</t>
  </si>
  <si>
    <t>https://www.sec.gov/Archives/edgar/data/1045810/000104581023000175/</t>
  </si>
  <si>
    <t>2023-08-28</t>
  </si>
  <si>
    <t>2023-05-01</t>
  </si>
  <si>
    <t>2023-07-30</t>
  </si>
  <si>
    <t>M29</t>
  </si>
  <si>
    <t>CostOfRevenue=4720mm</t>
  </si>
  <si>
    <t>0001045810-23-000227</t>
  </si>
  <si>
    <t>https://www.sec.gov/Archives/edgar/data/1045810/000104581023000227/</t>
  </si>
  <si>
    <t>2023-11-21</t>
  </si>
  <si>
    <t>2023-07-31</t>
  </si>
  <si>
    <t>2023-10-29</t>
  </si>
  <si>
    <t>N29</t>
  </si>
  <si>
    <t>CostOfRevenue=5312mm</t>
  </si>
  <si>
    <t>0001045810-24-000029</t>
  </si>
  <si>
    <t>https://www.sec.gov/Archives/edgar/data/1045810/000104581024000029/</t>
  </si>
  <si>
    <t>2024-02-21</t>
  </si>
  <si>
    <t>2024-01-28</t>
  </si>
  <si>
    <t>P29</t>
  </si>
  <si>
    <t>CostOfRevenue=5638mm</t>
  </si>
  <si>
    <t>0001045810-24-000124</t>
  </si>
  <si>
    <t>https://www.sec.gov/Archives/edgar/data/1045810/000104581024000124/</t>
  </si>
  <si>
    <t>2024-05-29</t>
  </si>
  <si>
    <t>2024-01-29</t>
  </si>
  <si>
    <t>2024-04-28</t>
  </si>
  <si>
    <t>formula replaced with EDGAR-supported value</t>
  </si>
  <si>
    <t>Q29</t>
  </si>
  <si>
    <t>CostOfRevenue=7466mm</t>
  </si>
  <si>
    <t>0001045810-24-000264</t>
  </si>
  <si>
    <t>https://www.sec.gov/Archives/edgar/data/1045810/000104581024000264/</t>
  </si>
  <si>
    <t>2024-08-28</t>
  </si>
  <si>
    <t>2024-04-29</t>
  </si>
  <si>
    <t>2024-07-28</t>
  </si>
  <si>
    <t>R29</t>
  </si>
  <si>
    <t>CostOfRevenue=8926mm</t>
  </si>
  <si>
    <t>0001045810-24-000316</t>
  </si>
  <si>
    <t>https://www.sec.gov/Archives/edgar/data/1045810/000104581024000316/</t>
  </si>
  <si>
    <t>2024-11-20</t>
  </si>
  <si>
    <t>2024-07-29</t>
  </si>
  <si>
    <t>2024-10-27</t>
  </si>
  <si>
    <t>S29</t>
  </si>
  <si>
    <t>CostOfRevenue=10608mm</t>
  </si>
  <si>
    <t>0001045810-25-000023</t>
  </si>
  <si>
    <t>https://www.sec.gov/Archives/edgar/data/1045810/000104581025000023/</t>
  </si>
  <si>
    <t>2025-02-26</t>
  </si>
  <si>
    <t>2025-01-26</t>
  </si>
  <si>
    <t>U29</t>
  </si>
  <si>
    <t>CostOfRevenue=17394mm</t>
  </si>
  <si>
    <t>0001045810-25-000116</t>
  </si>
  <si>
    <t>https://www.sec.gov/Archives/edgar/data/1045810/000104581025000116/</t>
  </si>
  <si>
    <t>2025-05-28</t>
  </si>
  <si>
    <t>2025-01-27</t>
  </si>
  <si>
    <t>2025-04-27</t>
  </si>
  <si>
    <t>V29</t>
  </si>
  <si>
    <t>2Q26</t>
  </si>
  <si>
    <t>CostOfRevenue=12890mm</t>
  </si>
  <si>
    <t>0001045810-25-000209</t>
  </si>
  <si>
    <t>https://www.sec.gov/Archives/edgar/data/1045810/000104581025000209/</t>
  </si>
  <si>
    <t>2025-08-27</t>
  </si>
  <si>
    <t>2025-04-28</t>
  </si>
  <si>
    <t>2025-07-27</t>
  </si>
  <si>
    <t>F32</t>
  </si>
  <si>
    <t>SellingGeneralAndAdministrativeExpense=592mm</t>
  </si>
  <si>
    <t>Selling, General and Administrative Expense</t>
  </si>
  <si>
    <t xml:space="preserve">Selling, General &amp; Administration (SG&amp;A) maps directly to:
- Selling, General and Administrative Expense</t>
  </si>
  <si>
    <t>G32</t>
  </si>
  <si>
    <t>H32</t>
  </si>
  <si>
    <t>SellingGeneralAndAdministrativeExpense=631mm</t>
  </si>
  <si>
    <t>I32</t>
  </si>
  <si>
    <t>SellingGeneralAndAdministrativeExpense=625mm</t>
  </si>
  <si>
    <t>Selling, General and Administrative Expense (derived Q4)</t>
  </si>
  <si>
    <t>K32</t>
  </si>
  <si>
    <t>SellingGeneralAndAdministrativeExpense=633mm</t>
  </si>
  <si>
    <t>L32</t>
  </si>
  <si>
    <t>SellingGeneralAndAdministrativeExpense=622mm</t>
  </si>
  <si>
    <t>M32</t>
  </si>
  <si>
    <t>SellingGeneralAndAdministrativeExpense=689mm</t>
  </si>
  <si>
    <t>N32</t>
  </si>
  <si>
    <t>SellingGeneralAndAdministrativeExpense=712mm</t>
  </si>
  <si>
    <t>P32</t>
  </si>
  <si>
    <t>SellingGeneralAndAdministrativeExpense=777mm</t>
  </si>
  <si>
    <t>Q32</t>
  </si>
  <si>
    <t>SellingGeneralAndAdministrativeExpense=842mm</t>
  </si>
  <si>
    <t>R32</t>
  </si>
  <si>
    <t>SellingGeneralAndAdministrativeExpense=897mm</t>
  </si>
  <si>
    <t>S32</t>
  </si>
  <si>
    <t>SellingGeneralAndAdministrativeExpense=975mm</t>
  </si>
  <si>
    <t>U32</t>
  </si>
  <si>
    <t>SellingGeneralAndAdministrativeExpense=1041mm</t>
  </si>
  <si>
    <t>V32</t>
  </si>
  <si>
    <t>SellingGeneralAndAdministrativeExpense=1122mm</t>
  </si>
  <si>
    <t>F33</t>
  </si>
  <si>
    <t>ResearchAndDevelopmentExpense=1618mm</t>
  </si>
  <si>
    <t>Research and Development Expense</t>
  </si>
  <si>
    <t xml:space="preserve">Research &amp; Development (R&amp;D) maps directly to:
- Research and Development Expense</t>
  </si>
  <si>
    <t>G33</t>
  </si>
  <si>
    <t>ResearchAndDevelopmentExpense=1824mm</t>
  </si>
  <si>
    <t>H33</t>
  </si>
  <si>
    <t>ResearchAndDevelopmentExpense=1945mm</t>
  </si>
  <si>
    <t>I33</t>
  </si>
  <si>
    <t>ResearchAndDevelopmentExpense=1952mm</t>
  </si>
  <si>
    <t>Research and Development Expense (derived Q4)</t>
  </si>
  <si>
    <t>K33</t>
  </si>
  <si>
    <t>ResearchAndDevelopmentExpense=1875mm</t>
  </si>
  <si>
    <t>L33</t>
  </si>
  <si>
    <t>ResearchAndDevelopmentExpense=2040mm</t>
  </si>
  <si>
    <t>M33</t>
  </si>
  <si>
    <t>ResearchAndDevelopmentExpense=2294mm</t>
  </si>
  <si>
    <t>N33</t>
  </si>
  <si>
    <t>ResearchAndDevelopmentExpense=2465mm</t>
  </si>
  <si>
    <t>P33</t>
  </si>
  <si>
    <t>ResearchAndDevelopmentExpense=2720mm</t>
  </si>
  <si>
    <t>Q33</t>
  </si>
  <si>
    <t>ResearchAndDevelopmentExpense=3090mm</t>
  </si>
  <si>
    <t>R33</t>
  </si>
  <si>
    <t>ResearchAndDevelopmentExpense=3390mm</t>
  </si>
  <si>
    <t>S33</t>
  </si>
  <si>
    <t>ResearchAndDevelopmentExpense=3714mm</t>
  </si>
  <si>
    <t>U33</t>
  </si>
  <si>
    <t>ResearchAndDevelopmentExpense=3989mm</t>
  </si>
  <si>
    <t>V33</t>
  </si>
  <si>
    <t>ResearchAndDevelopmentExpense=4291mm</t>
  </si>
  <si>
    <t>F34</t>
  </si>
  <si>
    <t>DepreciationDepletionAndAmortization=334mm</t>
  </si>
  <si>
    <t>Depreciation, Depletion and Amortization</t>
  </si>
  <si>
    <t xml:space="preserve">Depreciation &amp; Amortization maps directly to:
- Depreciation, Depletion and Amortization</t>
  </si>
  <si>
    <t>G34</t>
  </si>
  <si>
    <t>DepreciationDepletionAndAmortization=378mm</t>
  </si>
  <si>
    <t>Depreciation, Depletion and Amortization (derived Q2)</t>
  </si>
  <si>
    <t>H34</t>
  </si>
  <si>
    <t>DepreciationDepletionAndAmortization=406mm</t>
  </si>
  <si>
    <t>Depreciation, Depletion and Amortization (derived Q3)</t>
  </si>
  <si>
    <t>I34</t>
  </si>
  <si>
    <t>DepreciationDepletionAndAmortization=426mm</t>
  </si>
  <si>
    <t>Depreciation, Depletion and Amortization (derived Q4)</t>
  </si>
  <si>
    <t>K34</t>
  </si>
  <si>
    <t>DepreciationDepletionAndAmortization=384mm</t>
  </si>
  <si>
    <t>L34</t>
  </si>
  <si>
    <t>DepreciationDepletionAndAmortization=365mm</t>
  </si>
  <si>
    <t>M34</t>
  </si>
  <si>
    <t>DepreciationDepletionAndAmortization=372mm</t>
  </si>
  <si>
    <t>N34</t>
  </si>
  <si>
    <t>DepreciationDepletionAndAmortization=387mm</t>
  </si>
  <si>
    <t>P34</t>
  </si>
  <si>
    <t>DepreciationDepletionAndAmortization=410mm</t>
  </si>
  <si>
    <t>Q34</t>
  </si>
  <si>
    <t>DepreciationDepletionAndAmortization=433mm</t>
  </si>
  <si>
    <t>R34</t>
  </si>
  <si>
    <t>DepreciationDepletionAndAmortization=478mm</t>
  </si>
  <si>
    <t>S34</t>
  </si>
  <si>
    <t>DepreciationDepletionAndAmortization=543mm</t>
  </si>
  <si>
    <t>U34</t>
  </si>
  <si>
    <t>DepreciationDepletionAndAmortization=611mm</t>
  </si>
  <si>
    <t>V34</t>
  </si>
  <si>
    <t>DepreciationDepletionAndAmortization=669mm</t>
  </si>
  <si>
    <t>F35</t>
  </si>
  <si>
    <t>grouped</t>
  </si>
  <si>
    <t>OtherOperatingIncomeExpenseNotReported=0mm</t>
  </si>
  <si>
    <t>OtherOperatingIncomeExpenseNotReported</t>
  </si>
  <si>
    <t>warning: Value is a zero/derived model support value with no direct SEC fact.</t>
  </si>
  <si>
    <t>G35</t>
  </si>
  <si>
    <t>H35</t>
  </si>
  <si>
    <t>I35</t>
  </si>
  <si>
    <t>K35</t>
  </si>
  <si>
    <t>L35</t>
  </si>
  <si>
    <t>M35</t>
  </si>
  <si>
    <t>N35</t>
  </si>
  <si>
    <t>P35</t>
  </si>
  <si>
    <t>Q35</t>
  </si>
  <si>
    <t>R35</t>
  </si>
  <si>
    <t>S35</t>
  </si>
  <si>
    <t>U35</t>
  </si>
  <si>
    <t>V35</t>
  </si>
  <si>
    <t>F38</t>
  </si>
  <si>
    <t>InvestmentIncomeInterest=18mm</t>
  </si>
  <si>
    <t>Investment Income, Interest</t>
  </si>
  <si>
    <t xml:space="preserve">Interest Income maps directly to:
- Investment Income, Interest</t>
  </si>
  <si>
    <t>G38</t>
  </si>
  <si>
    <t>InvestmentIncomeInterest=46mm</t>
  </si>
  <si>
    <t>H38</t>
  </si>
  <si>
    <t>InvestmentIncomeInterest=88mm</t>
  </si>
  <si>
    <t>I38</t>
  </si>
  <si>
    <t>InvestmentIncomeInterest=115mm</t>
  </si>
  <si>
    <t>Investment Income, Interest (derived Q4)</t>
  </si>
  <si>
    <t>K38</t>
  </si>
  <si>
    <t>InvestmentIncomeInterest=150mm</t>
  </si>
  <si>
    <t>L38</t>
  </si>
  <si>
    <t>InvestmentIncomeInterest=187mm</t>
  </si>
  <si>
    <t>M38</t>
  </si>
  <si>
    <t>InvestmentIncomeInterest=234mm</t>
  </si>
  <si>
    <t>N38</t>
  </si>
  <si>
    <t>InvestmentIncomeInterest=294mm</t>
  </si>
  <si>
    <t>P38</t>
  </si>
  <si>
    <t>InvestmentIncomeInterest=359mm</t>
  </si>
  <si>
    <t>Q38</t>
  </si>
  <si>
    <t>InvestmentIncomeInterest=444mm</t>
  </si>
  <si>
    <t>R38</t>
  </si>
  <si>
    <t>InvestmentIncomeInterest=472mm</t>
  </si>
  <si>
    <t>S38</t>
  </si>
  <si>
    <t>InvestmentIncomeInterest=511mm</t>
  </si>
  <si>
    <t>U38</t>
  </si>
  <si>
    <t>InvestmentIncomeInterest=515mm</t>
  </si>
  <si>
    <t>V38</t>
  </si>
  <si>
    <t>InvestmentIncomeInterest=592mm</t>
  </si>
  <si>
    <t>F39</t>
  </si>
  <si>
    <t>InterestExpense=68mm</t>
  </si>
  <si>
    <t xml:space="preserve">Interest (Expense) maps directly to:
- Interest Expense</t>
  </si>
  <si>
    <t>G39</t>
  </si>
  <si>
    <t>InterestExpense=65mm</t>
  </si>
  <si>
    <t>H39</t>
  </si>
  <si>
    <t>I39</t>
  </si>
  <si>
    <t>InterestExpense=64mm</t>
  </si>
  <si>
    <t>Interest Expense (derived Q4)</t>
  </si>
  <si>
    <t>K39</t>
  </si>
  <si>
    <t>InterestExpense=66mm</t>
  </si>
  <si>
    <t>L39</t>
  </si>
  <si>
    <t>M39</t>
  </si>
  <si>
    <t>InterestExpense=63mm</t>
  </si>
  <si>
    <t>N39</t>
  </si>
  <si>
    <t>P39</t>
  </si>
  <si>
    <t>Q39</t>
  </si>
  <si>
    <t>InterestExpenseNonoperating=61mm</t>
  </si>
  <si>
    <t>InterestExpenseNonoperating</t>
  </si>
  <si>
    <t>R39</t>
  </si>
  <si>
    <t>S39</t>
  </si>
  <si>
    <t>InterestExpenseNonoperating (derived Q4)</t>
  </si>
  <si>
    <t>U39</t>
  </si>
  <si>
    <t>InterestExpenseNonoperating=63mm</t>
  </si>
  <si>
    <t>V39</t>
  </si>
  <si>
    <t>InterestExpenseNonoperating=62mm</t>
  </si>
  <si>
    <t>F41</t>
  </si>
  <si>
    <t>OtherNonOperatingIncomeExpenseFromReportedLine=-13mm; NonoperatingIncomeExpense=-63mm; InvestmentIncomeInterest=18mm; InterestExpense=68mm</t>
  </si>
  <si>
    <t>Other non-operating income/expense from reported line; Nonoperating Income (Expense); Investment Income, Interest; Interest Expense</t>
  </si>
  <si>
    <t xml:space="preserve">Other Non-Operating Income (Expense) includes:
- Other non-operating income/expense from reported line
- Nonoperating Income (Expense)
- Investment Income, Interest
- Interest Expense</t>
  </si>
  <si>
    <t>G41</t>
  </si>
  <si>
    <t>OtherNonOperatingIncomeExpenseFromReportedLine=-5mm; NonoperatingIncomeExpense=-24mm; InvestmentIncomeInterest=46mm; InterestExpense=65mm</t>
  </si>
  <si>
    <t>H41</t>
  </si>
  <si>
    <t>OtherNonOperatingIncomeExpenseFromReportedLine=-11mm; NonoperatingIncomeExpense=12mm; InvestmentIncomeInterest=88mm; InterestExpense=65mm</t>
  </si>
  <si>
    <t>I41</t>
  </si>
  <si>
    <t>OtherNonOperatingIncomeExpenseFromReportedLine=-19mm; NonoperatingIncomeExpense=32mm; InvestmentIncomeInterest=115mm; InterestExpense=64mm</t>
  </si>
  <si>
    <t>Other non-operating income/expense from reported line; Nonoperating Income (Expense) (derived Q4); Investment Income, Interest (derived Q4); Interest Expense (derived Q4)</t>
  </si>
  <si>
    <t xml:space="preserve">Other Non-Operating Income (Expense) maps directly to:
- Other non-operating income/expense from reported line</t>
  </si>
  <si>
    <t>K41</t>
  </si>
  <si>
    <t>OtherNonOperatingIncomeExpenseFromReportedLine=-15mm; NonoperatingIncomeExpense=69mm; InvestmentIncomeInterest=150mm; InterestExpense=66mm</t>
  </si>
  <si>
    <t>L41</t>
  </si>
  <si>
    <t>OtherNonOperatingIncomeExpenseFromReportedLine=59mm; NonoperatingIncomeExpense=181mm; InvestmentIncomeInterest=187mm; InterestExpense=65mm</t>
  </si>
  <si>
    <t>M41</t>
  </si>
  <si>
    <t>OtherNonOperatingIncomeExpenseFromReportedLine=-66mm; NonoperatingIncomeExpense=105mm; InvestmentIncomeInterest=234mm; InterestExpense=63mm</t>
  </si>
  <si>
    <t>N41</t>
  </si>
  <si>
    <t>OtherNonOperatingIncomeExpenseFromReportedLine=261mm; NonoperatingIncomeExpense=492mm; InvestmentIncomeInterest=294mm; InterestExpense=63mm</t>
  </si>
  <si>
    <t>P41</t>
  </si>
  <si>
    <t>OtherNonOperatingIncomeExpenseFromReportedLine=75mm; NonoperatingIncomeExpense=370mm; InvestmentIncomeInterest=359mm; InterestExpense=64mm</t>
  </si>
  <si>
    <t>Q41</t>
  </si>
  <si>
    <t>OtherNonOperatingIncomeExpenseFromReportedLine=189mm; NonoperatingIncomeExpense=572mm; InvestmentIncomeInterest=444mm; InterestExpenseNonoperating=61mm</t>
  </si>
  <si>
    <t>Other non-operating income/expense from reported line; Nonoperating Income (Expense); Investment Income, Interest; InterestExpenseNonoperating</t>
  </si>
  <si>
    <t xml:space="preserve">Other Non-Operating Income (Expense) includes:
- Other non-operating income/expense from reported line
- Nonoperating Income (Expense)
- Investment Income, Interest</t>
  </si>
  <si>
    <t>R41</t>
  </si>
  <si>
    <t>OtherNonOperatingIncomeExpenseFromReportedLine=36mm; NonoperatingIncomeExpense=447mm; InvestmentIncomeInterest=472mm; InterestExpenseNonoperating=61mm</t>
  </si>
  <si>
    <t>S41</t>
  </si>
  <si>
    <t>OtherNonOperatingIncomeExpenseFromReportedLine=733mm; NonoperatingIncomeExpense=1183mm; InvestmentIncomeInterest=511mm; InterestExpenseNonoperating=61mm</t>
  </si>
  <si>
    <t>Other non-operating income/expense from reported line; Nonoperating Income (Expense) (derived Q4); Investment Income, Interest (derived Q4); InterestExpenseNonoperating (derived Q4)</t>
  </si>
  <si>
    <t>U41</t>
  </si>
  <si>
    <t>OtherNonOperatingIncomeExpenseFromReportedLine=-180mm; NonoperatingIncomeExpense=272mm; InvestmentIncomeInterest=515mm; InterestExpenseNonoperating=63mm</t>
  </si>
  <si>
    <t>V41</t>
  </si>
  <si>
    <t>OtherNonOperatingIncomeExpenseFromReportedLine=2236mm; NonoperatingIncomeExpense=2766mm; InvestmentIncomeInterest=592mm; InterestExpenseNonoperating=62mm</t>
  </si>
  <si>
    <t>F44</t>
  </si>
  <si>
    <t>IncomeTaxExpenseBenefit=187mm</t>
  </si>
  <si>
    <t>Income Tax Expense (Benefit)</t>
  </si>
  <si>
    <t xml:space="preserve">Income Tax Benefit (Expense) maps directly to:
- Income Tax Expense (Benefit)</t>
  </si>
  <si>
    <t>G44</t>
  </si>
  <si>
    <t>IncomeTaxExpenseBenefit=-181mm</t>
  </si>
  <si>
    <t>H44</t>
  </si>
  <si>
    <t>IncomeTaxExpenseBenefit=-67mm</t>
  </si>
  <si>
    <t>I44</t>
  </si>
  <si>
    <t>IncomeTaxExpenseBenefit=-126mm</t>
  </si>
  <si>
    <t>Income Tax Expense (Benefit) (derived Q4)</t>
  </si>
  <si>
    <t>K44</t>
  </si>
  <si>
    <t>IncomeTaxExpenseBenefit=166mm</t>
  </si>
  <si>
    <t>L44</t>
  </si>
  <si>
    <t>IncomeTaxExpenseBenefit=793mm</t>
  </si>
  <si>
    <t>M44</t>
  </si>
  <si>
    <t>IncomeTaxExpenseBenefit=1279mm</t>
  </si>
  <si>
    <t>N44</t>
  </si>
  <si>
    <t>IncomeTaxExpenseBenefit=1821mm</t>
  </si>
  <si>
    <t>P44</t>
  </si>
  <si>
    <t>IncomeTaxExpenseBenefit=2398mm</t>
  </si>
  <si>
    <t>Q44</t>
  </si>
  <si>
    <t>IncomeTaxExpenseBenefit=2615mm</t>
  </si>
  <si>
    <t>R44</t>
  </si>
  <si>
    <t>IncomeTaxExpenseBenefit=3007mm</t>
  </si>
  <si>
    <t>S44</t>
  </si>
  <si>
    <t>IncomeTaxExpenseBenefit=3126mm</t>
  </si>
  <si>
    <t>U44</t>
  </si>
  <si>
    <t>IncomeTaxExpenseBenefit=3135mm</t>
  </si>
  <si>
    <t>V44</t>
  </si>
  <si>
    <t>IncomeTaxExpenseBenefit=4784mm</t>
  </si>
  <si>
    <t>F47</t>
  </si>
  <si>
    <t>PreTaxAdjustmentsNotReported=0mm</t>
  </si>
  <si>
    <t>PreTaxAdjustmentsNotReported</t>
  </si>
  <si>
    <t>G47</t>
  </si>
  <si>
    <t>H47</t>
  </si>
  <si>
    <t>I47</t>
  </si>
  <si>
    <t>K47</t>
  </si>
  <si>
    <t>L47</t>
  </si>
  <si>
    <t>M47</t>
  </si>
  <si>
    <t>N47</t>
  </si>
  <si>
    <t>P47</t>
  </si>
  <si>
    <t>Q47</t>
  </si>
  <si>
    <t>R47</t>
  </si>
  <si>
    <t>S47</t>
  </si>
  <si>
    <t>U47</t>
  </si>
  <si>
    <t>V47</t>
  </si>
  <si>
    <t>F48</t>
  </si>
  <si>
    <t>PostTaxAdjustmentsNotReported=0mm</t>
  </si>
  <si>
    <t>PostTaxAdjustmentsNotReported</t>
  </si>
  <si>
    <t>G48</t>
  </si>
  <si>
    <t>H48</t>
  </si>
  <si>
    <t>I48</t>
  </si>
  <si>
    <t>K48</t>
  </si>
  <si>
    <t>L48</t>
  </si>
  <si>
    <t>M48</t>
  </si>
  <si>
    <t>N48</t>
  </si>
  <si>
    <t>P48</t>
  </si>
  <si>
    <t>Q48</t>
  </si>
  <si>
    <t>R48</t>
  </si>
  <si>
    <t>S48</t>
  </si>
  <si>
    <t>U48</t>
  </si>
  <si>
    <t>V48</t>
  </si>
  <si>
    <t>F49</t>
  </si>
  <si>
    <t>DiscontinuedOperationsBridge=0mm</t>
  </si>
  <si>
    <t>DiscontinuedOperationsBridge</t>
  </si>
  <si>
    <t>G49</t>
  </si>
  <si>
    <t>H49</t>
  </si>
  <si>
    <t>I49</t>
  </si>
  <si>
    <t>K49</t>
  </si>
  <si>
    <t>L49</t>
  </si>
  <si>
    <t>M49</t>
  </si>
  <si>
    <t>N49</t>
  </si>
  <si>
    <t>P49</t>
  </si>
  <si>
    <t>Q49</t>
  </si>
  <si>
    <t>R49</t>
  </si>
  <si>
    <t>S49</t>
  </si>
  <si>
    <t>F120</t>
  </si>
  <si>
    <t>CashAndCashEquivalentsAtCarryingValue=3887mm; MarketableSecuritiesCurrent=16451mm</t>
  </si>
  <si>
    <t>Cash and Cash Equivalents, at Carrying Value; Marketable Securities, Current</t>
  </si>
  <si>
    <t>balance</t>
  </si>
  <si>
    <t xml:space="preserve">Cash &amp; Cash Equivalents includes:
- Cash and Cash Equivalents, at Carrying Value
- Marketable Securities, Current</t>
  </si>
  <si>
    <t>G120</t>
  </si>
  <si>
    <t>CashAndCashEquivalentsAtCarryingValue=3013mm; MarketableSecuritiesCurrent=14024mm</t>
  </si>
  <si>
    <t>H120</t>
  </si>
  <si>
    <t>CashAndCashEquivalentsAtCarryingValue=2800mm; MarketableSecuritiesCurrent=10343mm</t>
  </si>
  <si>
    <t>I120</t>
  </si>
  <si>
    <t>CashAndCashEquivalentsAtCarryingValue=3389mm; MarketableSecuritiesCurrent=9907mm</t>
  </si>
  <si>
    <t>K120</t>
  </si>
  <si>
    <t>CashAndCashEquivalentsAtCarryingValue=5079mm; MarketableSecuritiesCurrent=10241mm</t>
  </si>
  <si>
    <t>L120</t>
  </si>
  <si>
    <t>CashAndCashEquivalentsAtCarryingValue=5783mm; MarketableSecuritiesCurrent=10240mm</t>
  </si>
  <si>
    <t>M120</t>
  </si>
  <si>
    <t>CashAndCashEquivalentsAtCarryingValue=5519mm; MarketableSecuritiesCurrent=12762mm</t>
  </si>
  <si>
    <t>N120</t>
  </si>
  <si>
    <t>CashAndCashEquivalentsAtCarryingValue=7280mm; MarketableSecuritiesCurrent=18704mm</t>
  </si>
  <si>
    <t>P120</t>
  </si>
  <si>
    <t>CashAndCashEquivalentsAtCarryingValue=7587mm; MarketableSecuritiesCurrent=23851mm</t>
  </si>
  <si>
    <t>Q120</t>
  </si>
  <si>
    <t>CashAndCashEquivalentsAtCarryingValue=8563mm; MarketableSecuritiesCurrent=26237mm</t>
  </si>
  <si>
    <t>R120</t>
  </si>
  <si>
    <t>CashAndCashEquivalentsAtCarryingValue=9107mm; MarketableSecuritiesCurrent=29380mm</t>
  </si>
  <si>
    <t>S120</t>
  </si>
  <si>
    <t>CashAndCashEquivalentsAtCarryingValue=8589mm; MarketableSecuritiesCurrent=34621mm</t>
  </si>
  <si>
    <t>U120</t>
  </si>
  <si>
    <t>CashAndCashEquivalentsAtCarryingValue=15234mm; MarketableSecuritiesCurrent=38457mm</t>
  </si>
  <si>
    <t>V120</t>
  </si>
  <si>
    <t>CashAndCashEquivalentsAtCarryingValue=11639mm; MarketableSecuritiesCurrent=45152mm</t>
  </si>
  <si>
    <t>F121</t>
  </si>
  <si>
    <t>skipped</t>
  </si>
  <si>
    <t>AccountsReceivableNetCurrent=5438mm</t>
  </si>
  <si>
    <t>Accounts Receivable, after Allowance for Credit Loss, Current</t>
  </si>
  <si>
    <t>Classification mismatch: AccountsReceivableNetCurrent was identified as net income, but Accounts Receivable expects current assets.</t>
  </si>
  <si>
    <t>would copy</t>
  </si>
  <si>
    <t>low</t>
  </si>
  <si>
    <t>blocked: Classification mismatch: AccountsReceivableNetCurrent was identified as net income, but Accounts Receivable expects current assets.</t>
  </si>
  <si>
    <t xml:space="preserve">Accounts Receivable maps directly to:
- Accounts Receivable, after Allowance for Credit Loss, Current</t>
  </si>
  <si>
    <t>G121</t>
  </si>
  <si>
    <t>AccountsReceivableNetCurrent=5317mm</t>
  </si>
  <si>
    <t>H121</t>
  </si>
  <si>
    <t>AccountsReceivableNetCurrent=4908mm</t>
  </si>
  <si>
    <t>I121</t>
  </si>
  <si>
    <t>AccountsReceivableNetCurrent=3827mm</t>
  </si>
  <si>
    <t>K121</t>
  </si>
  <si>
    <t>AccountsReceivableNetCurrent=4080mm</t>
  </si>
  <si>
    <t>L121</t>
  </si>
  <si>
    <t>AccountsReceivableNetCurrent=7066mm</t>
  </si>
  <si>
    <t>M121</t>
  </si>
  <si>
    <t>AccountsReceivableNetCurrent=8309mm</t>
  </si>
  <si>
    <t>N121</t>
  </si>
  <si>
    <t>AccountsReceivableNetCurrent=9999mm</t>
  </si>
  <si>
    <t>P121</t>
  </si>
  <si>
    <t>AccountsReceivableNetCurrent=12365mm</t>
  </si>
  <si>
    <t>Q121</t>
  </si>
  <si>
    <t>AccountsReceivableNetCurrent=14132mm</t>
  </si>
  <si>
    <t>R121</t>
  </si>
  <si>
    <t>AccountsReceivableNetCurrent=17693mm</t>
  </si>
  <si>
    <t>S121</t>
  </si>
  <si>
    <t>AccountsReceivableNetCurrent=23065mm</t>
  </si>
  <si>
    <t>U121</t>
  </si>
  <si>
    <t>AccountsReceivableNetCurrent=22132mm</t>
  </si>
  <si>
    <t>V121</t>
  </si>
  <si>
    <t>AccountsReceivableNetCurrent=27808mm</t>
  </si>
  <si>
    <t>F122</t>
  </si>
  <si>
    <t>InventoryNet=3163mm</t>
  </si>
  <si>
    <t>Inventory, Net</t>
  </si>
  <si>
    <t xml:space="preserve">Inventory maps directly to:
- Inventory, Net</t>
  </si>
  <si>
    <t>G122</t>
  </si>
  <si>
    <t>InventoryNet=3889mm</t>
  </si>
  <si>
    <t>H122</t>
  </si>
  <si>
    <t>InventoryNet=4454mm</t>
  </si>
  <si>
    <t>I122</t>
  </si>
  <si>
    <t>InventoryNet=5159mm</t>
  </si>
  <si>
    <t>K122</t>
  </si>
  <si>
    <t>InventoryNet=4611mm</t>
  </si>
  <si>
    <t>L122</t>
  </si>
  <si>
    <t>InventoryNet=4319mm</t>
  </si>
  <si>
    <t>M122</t>
  </si>
  <si>
    <t>InventoryNet=4779mm</t>
  </si>
  <si>
    <t>N122</t>
  </si>
  <si>
    <t>InventoryNet=5282mm</t>
  </si>
  <si>
    <t>P122</t>
  </si>
  <si>
    <t>InventoryNet=5864mm</t>
  </si>
  <si>
    <t>Q122</t>
  </si>
  <si>
    <t>InventoryNet=6675mm</t>
  </si>
  <si>
    <t>R122</t>
  </si>
  <si>
    <t>InventoryNet=7654mm</t>
  </si>
  <si>
    <t>S122</t>
  </si>
  <si>
    <t>InventoryNet=10080mm</t>
  </si>
  <si>
    <t>U122</t>
  </si>
  <si>
    <t>InventoryNet=11333mm</t>
  </si>
  <si>
    <t>V122</t>
  </si>
  <si>
    <t>InventoryNet=14962mm</t>
  </si>
  <si>
    <t>F123</t>
  </si>
  <si>
    <t>PrepaidExpenseAndOtherAssetsCurrent=636mm</t>
  </si>
  <si>
    <t>Prepaid Expense and Other Assets, Current</t>
  </si>
  <si>
    <t>Classification mismatch: PrepaidExpenseAndOtherAssetsCurrent was identified as other non operating income expense, but Prepaid &amp; Other Current Assets expects current assets.</t>
  </si>
  <si>
    <t>blocked: Classification mismatch: PrepaidExpenseAndOtherAssetsCurrent was identified as other non operating income expense, but Prepaid &amp; Other Current Assets expects current assets.</t>
  </si>
  <si>
    <t xml:space="preserve">Prepaid &amp; Other Current Assets maps directly to:
- Prepaid Expense and Other Assets, Current</t>
  </si>
  <si>
    <t>G123</t>
  </si>
  <si>
    <t>PrepaidExpenseAndOtherAssetsCurrent=1175mm</t>
  </si>
  <si>
    <t>H123</t>
  </si>
  <si>
    <t>PrepaidExpenseAndOtherAssetsCurrent=718mm</t>
  </si>
  <si>
    <t>I123</t>
  </si>
  <si>
    <t>PrepaidExpenseAndOtherAssetsCurrent=791mm</t>
  </si>
  <si>
    <t>K123</t>
  </si>
  <si>
    <t>PrepaidExpenseAndOtherAssetsCurrent=872mm</t>
  </si>
  <si>
    <t>L123</t>
  </si>
  <si>
    <t>PrepaidExpenseAndOtherAssetsCurrent=1389mm</t>
  </si>
  <si>
    <t>M123</t>
  </si>
  <si>
    <t>PrepaidExpenseAndOtherAssetsCurrent=1289mm</t>
  </si>
  <si>
    <t>N123</t>
  </si>
  <si>
    <t>PrepaidExpenseAndOtherAssetsCurrent=3080mm</t>
  </si>
  <si>
    <t>P123</t>
  </si>
  <si>
    <t>PrepaidExpenseAndOtherAssetsCurrent=4062mm</t>
  </si>
  <si>
    <t>Q123</t>
  </si>
  <si>
    <t>PrepaidExpenseAndOtherAssetsCurrent=4026mm</t>
  </si>
  <si>
    <t>R123</t>
  </si>
  <si>
    <t>PrepaidExpenseAndOtherAssetsCurrent=3806mm</t>
  </si>
  <si>
    <t>S123</t>
  </si>
  <si>
    <t>PrepaidExpenseAndOtherAssetsCurrent=3771mm</t>
  </si>
  <si>
    <t>U123</t>
  </si>
  <si>
    <t>PrepaidExpenseAndOtherAssetsCurrent=2779mm</t>
  </si>
  <si>
    <t>V123</t>
  </si>
  <si>
    <t>PrepaidExpenseAndOtherAssetsCurrent=2658mm</t>
  </si>
  <si>
    <t>F126</t>
  </si>
  <si>
    <t>PropertyPlantAndEquipmentNet=2916mm</t>
  </si>
  <si>
    <t>Property, Plant and Equipment, Net</t>
  </si>
  <si>
    <t xml:space="preserve">PP&amp;E, Net maps directly to:
- Property, Plant and Equipment, Net</t>
  </si>
  <si>
    <t>G126</t>
  </si>
  <si>
    <t>PropertyPlantAndEquipmentNet=3233mm</t>
  </si>
  <si>
    <t>H126</t>
  </si>
  <si>
    <t>PropertyPlantAndEquipmentNet=3774mm</t>
  </si>
  <si>
    <t>I126</t>
  </si>
  <si>
    <t>PropertyPlantAndEquipmentNet=3807mm</t>
  </si>
  <si>
    <t>K126</t>
  </si>
  <si>
    <t>PropertyPlantAndEquipmentNet=3740mm</t>
  </si>
  <si>
    <t>L126</t>
  </si>
  <si>
    <t>PropertyPlantAndEquipmentNet=3799mm</t>
  </si>
  <si>
    <t>M126</t>
  </si>
  <si>
    <t>PropertyPlantAndEquipmentNet=3844mm</t>
  </si>
  <si>
    <t>N126</t>
  </si>
  <si>
    <t>PropertyPlantAndEquipmentNet=3914mm</t>
  </si>
  <si>
    <t>P126</t>
  </si>
  <si>
    <t>PropertyPlantAndEquipmentNet=4006mm</t>
  </si>
  <si>
    <t>Q126</t>
  </si>
  <si>
    <t>PropertyPlantAndEquipmentNet=4885mm</t>
  </si>
  <si>
    <t>R126</t>
  </si>
  <si>
    <t>PropertyPlantAndEquipmentNet=5343mm</t>
  </si>
  <si>
    <t>S126</t>
  </si>
  <si>
    <t>PropertyPlantAndEquipmentNet=6283mm</t>
  </si>
  <si>
    <t>U126</t>
  </si>
  <si>
    <t>PropertyPlantAndEquipmentNet=7136mm</t>
  </si>
  <si>
    <t>V126</t>
  </si>
  <si>
    <t>PropertyPlantAndEquipmentNet=9141mm</t>
  </si>
  <si>
    <t>F127</t>
  </si>
  <si>
    <t>FiniteLivedIntangibleAssetsNet=2211mm</t>
  </si>
  <si>
    <t>Finite-Lived Intangible Assets, Net</t>
  </si>
  <si>
    <t xml:space="preserve">Intangible Assets, Net maps directly to:
- Finite-Lived Intangible Assets, Net</t>
  </si>
  <si>
    <t>G127</t>
  </si>
  <si>
    <t>FiniteLivedIntangibleAssetsNet=2036mm</t>
  </si>
  <si>
    <t>H127</t>
  </si>
  <si>
    <t>FiniteLivedIntangibleAssetsNet=1850mm</t>
  </si>
  <si>
    <t>I127</t>
  </si>
  <si>
    <t>FiniteLivedIntangibleAssetsNet=1676mm</t>
  </si>
  <si>
    <t>K127</t>
  </si>
  <si>
    <t>FiniteLivedIntangibleAssetsNet=1541mm</t>
  </si>
  <si>
    <t>L127</t>
  </si>
  <si>
    <t>FiniteLivedIntangibleAssetsNet=1395mm</t>
  </si>
  <si>
    <t>M127</t>
  </si>
  <si>
    <t>FiniteLivedIntangibleAssetsNet=1251mm</t>
  </si>
  <si>
    <t>N127</t>
  </si>
  <si>
    <t>FiniteLivedIntangibleAssetsNet=1112mm</t>
  </si>
  <si>
    <t>P127</t>
  </si>
  <si>
    <t>FiniteLivedIntangibleAssetsNet=986mm</t>
  </si>
  <si>
    <t>Q127</t>
  </si>
  <si>
    <t>FiniteLivedIntangibleAssetsNet=952mm</t>
  </si>
  <si>
    <t>R127</t>
  </si>
  <si>
    <t>FiniteLivedIntangibleAssetsNet=838mm</t>
  </si>
  <si>
    <t>S127</t>
  </si>
  <si>
    <t>FiniteLivedIntangibleAssetsNet=807mm</t>
  </si>
  <si>
    <t>U127</t>
  </si>
  <si>
    <t>FiniteLivedIntangibleAssetsNet=769mm</t>
  </si>
  <si>
    <t>V127</t>
  </si>
  <si>
    <t>FiniteLivedIntangibleAssetsNet=755mm</t>
  </si>
  <si>
    <t>F128</t>
  </si>
  <si>
    <t>Goodwill=4365mm</t>
  </si>
  <si>
    <t>G128</t>
  </si>
  <si>
    <t>Goodwill=4372mm</t>
  </si>
  <si>
    <t>H128</t>
  </si>
  <si>
    <t>I128</t>
  </si>
  <si>
    <t>K128</t>
  </si>
  <si>
    <t>Goodwill=4430mm</t>
  </si>
  <si>
    <t>L128</t>
  </si>
  <si>
    <t>M128</t>
  </si>
  <si>
    <t>N128</t>
  </si>
  <si>
    <t>P128</t>
  </si>
  <si>
    <t>Goodwill=4453mm</t>
  </si>
  <si>
    <t>Q128</t>
  </si>
  <si>
    <t>Goodwill=4622mm</t>
  </si>
  <si>
    <t>R128</t>
  </si>
  <si>
    <t>Goodwill=4724mm</t>
  </si>
  <si>
    <t>S128</t>
  </si>
  <si>
    <t>Goodwill=5188mm</t>
  </si>
  <si>
    <t>U128</t>
  </si>
  <si>
    <t>Goodwill=5498mm</t>
  </si>
  <si>
    <t>V128</t>
  </si>
  <si>
    <t>Goodwill=5755mm</t>
  </si>
  <si>
    <t>F129</t>
  </si>
  <si>
    <t>Assets=45212mm; AssetsCurrent=29575mm; PropertyPlantAndEquipmentNet=2916mm; FiniteLivedIntangibleAssetsNet=2211mm; Goodwill=4365mm</t>
  </si>
  <si>
    <t>Assets; Assets, Current; Property, Plant and Equipment, Net; Finite-Lived Intangible Assets, Net; Goodwill</t>
  </si>
  <si>
    <t>preserved</t>
  </si>
  <si>
    <t>Classification mismatch: Assets was identified as total assets, but Other Non-Current Assets expects current assets. Classification: AssetsCurrent identified as current assets. Classification mismatch: PropertyPlantAndEquipmentNet was identified as non current assets, but Other Non-Current Assets expects current assets. Classification mismatch: FiniteLivedIntangibleAssetsNet was identified as non current assets, but Other Non-Current Assets expects current assets. Classification mismatch: Goodwill was identified as non current assets, but Other Non-Current Assets expects current assets.</t>
  </si>
  <si>
    <t>blocked: Classification mismatch: Assets was identified as total assets, but Other Non-Current Assets expects current assets. Classification: AssetsCurrent identified as current assets. Classification mismatch: PropertyPlantAndEquipmentNet was identified as non current assets, but Other Non-Current Assets expects current assets. Classification mismatch: FiniteLivedIntangibleAssetsNet was identified as non current assets, but Other Non-Current Assets expects current assets. Classification mismatc</t>
  </si>
  <si>
    <t xml:space="preserve">Other Non-Current Assets includes:
- Assets, Current
- Property, Plant and Equipment, Net
- Finite-Lived Intangible Assets, Net</t>
  </si>
  <si>
    <t>G129</t>
  </si>
  <si>
    <t>Assets=43476mm; AssetsCurrent=27418mm; PropertyPlantAndEquipmentNet=3233mm; FiniteLivedIntangibleAssetsNet=2036mm; Goodwill=4372mm</t>
  </si>
  <si>
    <t>H129</t>
  </si>
  <si>
    <t>Assets=40488mm; AssetsCurrent=23223mm; PropertyPlantAndEquipmentNet=3774mm; FiniteLivedIntangibleAssetsNet=1850mm; Goodwill=4372mm</t>
  </si>
  <si>
    <t>I129</t>
  </si>
  <si>
    <t>Assets=41182mm; AssetsCurrent=23073mm; PropertyPlantAndEquipmentNet=3807mm; FiniteLivedIntangibleAssetsNet=1676mm; Goodwill=4372mm</t>
  </si>
  <si>
    <t>K129</t>
  </si>
  <si>
    <t>Assets=44460mm; AssetsCurrent=24883mm; PropertyPlantAndEquipmentNet=3740mm; FiniteLivedIntangibleAssetsNet=1541mm; Goodwill=4430mm</t>
  </si>
  <si>
    <t>L129</t>
  </si>
  <si>
    <t>Assets=49555mm; AssetsCurrent=28797mm; PropertyPlantAndEquipmentNet=3799mm; FiniteLivedIntangibleAssetsNet=1395mm; Goodwill=4430mm</t>
  </si>
  <si>
    <t>M129</t>
  </si>
  <si>
    <t>Assets=54148mm; AssetsCurrent=32658mm; PropertyPlantAndEquipmentNet=3844mm; FiniteLivedIntangibleAssetsNet=1251mm; Goodwill=4430mm</t>
  </si>
  <si>
    <t>N129</t>
  </si>
  <si>
    <t>Assets=65728mm; AssetsCurrent=44345mm; PropertyPlantAndEquipmentNet=3914mm; FiniteLivedIntangibleAssetsNet=1112mm; Goodwill=4430mm</t>
  </si>
  <si>
    <t>P129</t>
  </si>
  <si>
    <t>Assets=77072mm; AssetsCurrent=53729mm; PropertyPlantAndEquipmentNet=4006mm; FiniteLivedIntangibleAssetsNet=986mm; Goodwill=4453mm</t>
  </si>
  <si>
    <t>Q129</t>
  </si>
  <si>
    <t>Assets=85227mm; AssetsCurrent=59633mm; PropertyPlantAndEquipmentNet=4885mm; FiniteLivedIntangibleAssetsNet=952mm; Goodwill=4622mm</t>
  </si>
  <si>
    <t>R129</t>
  </si>
  <si>
    <t>Assets=96013mm; AssetsCurrent=67640mm; PropertyPlantAndEquipmentNet=5343mm; FiniteLivedIntangibleAssetsNet=838mm; Goodwill=4724mm</t>
  </si>
  <si>
    <t>S129</t>
  </si>
  <si>
    <t>Assets=111601mm; AssetsCurrent=80126mm; PropertyPlantAndEquipmentNet=6283mm; FiniteLivedIntangibleAssetsNet=807mm; Goodwill=5188mm</t>
  </si>
  <si>
    <t>U129</t>
  </si>
  <si>
    <t>Assets=125254mm; AssetsCurrent=89935mm; PropertyPlantAndEquipmentNet=7136mm; FiniteLivedIntangibleAssetsNet=769mm; Goodwill=5498mm</t>
  </si>
  <si>
    <t>V129</t>
  </si>
  <si>
    <t>Assets=140740mm; AssetsCurrent=102219mm; PropertyPlantAndEquipmentNet=9141mm; FiniteLivedIntangibleAssetsNet=755mm; Goodwill=5755mm</t>
  </si>
  <si>
    <t>F134</t>
  </si>
  <si>
    <t>AccountsPayableCurrent=1999mm</t>
  </si>
  <si>
    <t>Accounts Payable, Current</t>
  </si>
  <si>
    <t xml:space="preserve">Accounts Payable maps directly to:
- Accounts Payable, Current</t>
  </si>
  <si>
    <t>G134</t>
  </si>
  <si>
    <t>AccountsPayableCurrent=2421mm</t>
  </si>
  <si>
    <t>H134</t>
  </si>
  <si>
    <t>AccountsPayableCurrent=1491mm</t>
  </si>
  <si>
    <t>I134</t>
  </si>
  <si>
    <t>AccountsPayableCurrent=1193mm</t>
  </si>
  <si>
    <t>K134</t>
  </si>
  <si>
    <t>AccountsPayableCurrent=1141mm</t>
  </si>
  <si>
    <t>L134</t>
  </si>
  <si>
    <t>AccountsPayableCurrent=1929mm</t>
  </si>
  <si>
    <t>M134</t>
  </si>
  <si>
    <t>AccountsPayableCurrent=2380mm</t>
  </si>
  <si>
    <t>N134</t>
  </si>
  <si>
    <t>AccountsPayableCurrent=2699mm</t>
  </si>
  <si>
    <t>P134</t>
  </si>
  <si>
    <t>AccountsPayableCurrent=2715mm</t>
  </si>
  <si>
    <t>Q134</t>
  </si>
  <si>
    <t>AccountsPayableCurrent=3680mm</t>
  </si>
  <si>
    <t>R134</t>
  </si>
  <si>
    <t>AccountsPayableCurrent=5353mm</t>
  </si>
  <si>
    <t>S134</t>
  </si>
  <si>
    <t>AccountsPayableCurrent=6310mm</t>
  </si>
  <si>
    <t>U134</t>
  </si>
  <si>
    <t>AccountsPayableCurrent=7331mm</t>
  </si>
  <si>
    <t>V134</t>
  </si>
  <si>
    <t>AccountsPayableCurrent=9064mm</t>
  </si>
  <si>
    <t>F135</t>
  </si>
  <si>
    <t>LiabilitiesCurrent=5562mm; AccountsPayableCurrent=1999mm; ContractWithCustomerLiabilityCurrent=334mm; DebtCurrent=0mm</t>
  </si>
  <si>
    <t>Liabilities, Current; Accounts Payable, Current; Contract with Customer, Liability, Current; DebtCurrent</t>
  </si>
  <si>
    <t xml:space="preserve">Accrued Liabilities includes:
- Liabilities, Current
- Accounts Payable, Current
- Contract with Customer, Liability, Current</t>
  </si>
  <si>
    <t>G135</t>
  </si>
  <si>
    <t>LiabilitiesCurrent=7573mm; AccountsPayableCurrent=2421mm; ContractWithCustomerLiabilityCurrent=359mm; DebtCurrent=1249mm</t>
  </si>
  <si>
    <t>Liabilities, Current; Accounts Payable, Current; Contract with Customer, Liability, Current; Debt, Current</t>
  </si>
  <si>
    <t xml:space="preserve">Accrued Liabilities includes:
- Liabilities, Current
- Accounts Payable, Current
- Contract with Customer, Liability, Current
- Debt, Current</t>
  </si>
  <si>
    <t>H135</t>
  </si>
  <si>
    <t>LiabilitiesCurrent=6855mm; AccountsPayableCurrent=1491mm; ContractWithCustomerLiabilityCurrent=338mm; DebtCurrent=1249mm</t>
  </si>
  <si>
    <t>I135</t>
  </si>
  <si>
    <t>LiabilitiesCurrent=6563mm; AccountsPayableCurrent=1193mm; ContractWithCustomerLiabilityCurrent=354mm; DebtCurrent=1250mm</t>
  </si>
  <si>
    <t>K135</t>
  </si>
  <si>
    <t>LiabilitiesCurrent=7260mm; AccountsPayableCurrent=1141mm; ContractWithCustomerLiabilityCurrent=367mm; DebtCurrent=1250mm</t>
  </si>
  <si>
    <t>L135</t>
  </si>
  <si>
    <t>LiabilitiesCurrent=10334mm; AccountsPayableCurrent=1929mm; ContractWithCustomerLiabilityCurrent=421mm; DebtCurrent=1249mm</t>
  </si>
  <si>
    <t>M135</t>
  </si>
  <si>
    <t>LiabilitiesCurrent=9101mm; AccountsPayableCurrent=2380mm; ContractWithCustomerLiabilityCurrent=513mm; DebtCurrent=1249mm</t>
  </si>
  <si>
    <t>N135</t>
  </si>
  <si>
    <t>LiabilitiesCurrent=10631mm; AccountsPayableCurrent=2699mm; ContractWithCustomerLiabilityCurrent=764mm; DebtCurrent=1250mm</t>
  </si>
  <si>
    <t>P135</t>
  </si>
  <si>
    <t>LiabilitiesCurrent=15223mm; AccountsPayableCurrent=2715mm; ContractWithCustomerLiabilityCurrent=845mm; DebtCurrent=1250mm</t>
  </si>
  <si>
    <t>Q135</t>
  </si>
  <si>
    <t>LiabilitiesCurrent=13969mm; AccountsPayableCurrent=3680mm; ContractWithCustomerLiabilityCurrent=948mm; DebtCurrent=0mm</t>
  </si>
  <si>
    <t>R135</t>
  </si>
  <si>
    <t>LiabilitiesCurrent=16479mm; AccountsPayableCurrent=5353mm; ContractWithCustomerLiabilityCurrent=752mm; DebtCurrent=0mm</t>
  </si>
  <si>
    <t>S135</t>
  </si>
  <si>
    <t>LiabilitiesCurrent=18047mm; AccountsPayableCurrent=6310mm; ContractWithCustomerLiabilityCurrent=837mm; DebtCurrent=0mm</t>
  </si>
  <si>
    <t>U135</t>
  </si>
  <si>
    <t>LiabilitiesCurrent=26542mm; AccountsPayableCurrent=7331mm; ContractWithCustomerLiabilityCurrent=1074mm; DebtCurrent=0mm</t>
  </si>
  <si>
    <t>V135</t>
  </si>
  <si>
    <t>LiabilitiesCurrent=24257mm; AccountsPayableCurrent=9064mm; ContractWithCustomerLiabilityCurrent=980mm; DebtCurrent=0mm</t>
  </si>
  <si>
    <t>F136</t>
  </si>
  <si>
    <t>ContractWithCustomerLiabilityCurrent=334mm</t>
  </si>
  <si>
    <t>Contract with Customer, Liability, Current</t>
  </si>
  <si>
    <t xml:space="preserve">Other Current Liabilities maps directly to:
- Contract with Customer, Liability, Current</t>
  </si>
  <si>
    <t>G136</t>
  </si>
  <si>
    <t>ContractWithCustomerLiabilityCurrent=359mm</t>
  </si>
  <si>
    <t>H136</t>
  </si>
  <si>
    <t>ContractWithCustomerLiabilityCurrent=338mm</t>
  </si>
  <si>
    <t>I136</t>
  </si>
  <si>
    <t>ContractWithCustomerLiabilityCurrent=354mm</t>
  </si>
  <si>
    <t>K136</t>
  </si>
  <si>
    <t>ContractWithCustomerLiabilityCurrent=367mm</t>
  </si>
  <si>
    <t>L136</t>
  </si>
  <si>
    <t>ContractWithCustomerLiabilityCurrent=421mm</t>
  </si>
  <si>
    <t>M136</t>
  </si>
  <si>
    <t>ContractWithCustomerLiabilityCurrent=513mm</t>
  </si>
  <si>
    <t>N136</t>
  </si>
  <si>
    <t>ContractWithCustomerLiabilityCurrent=764mm</t>
  </si>
  <si>
    <t>P136</t>
  </si>
  <si>
    <t>ContractWithCustomerLiabilityCurrent=845mm</t>
  </si>
  <si>
    <t>Q136</t>
  </si>
  <si>
    <t>ContractWithCustomerLiabilityCurrent=948mm</t>
  </si>
  <si>
    <t>R136</t>
  </si>
  <si>
    <t>ContractWithCustomerLiabilityCurrent=752mm</t>
  </si>
  <si>
    <t>S136</t>
  </si>
  <si>
    <t>ContractWithCustomerLiabilityCurrent=837mm</t>
  </si>
  <si>
    <t>U136</t>
  </si>
  <si>
    <t>ContractWithCustomerLiabilityCurrent=1074mm</t>
  </si>
  <si>
    <t>V136</t>
  </si>
  <si>
    <t>ContractWithCustomerLiabilityCurrent=980mm</t>
  </si>
  <si>
    <t>F140</t>
  </si>
  <si>
    <t>LongTermDebtNoncurrent=10947mm</t>
  </si>
  <si>
    <t>Long-term Debt, Excluding Current Maturities</t>
  </si>
  <si>
    <t xml:space="preserve">LT Debt (Incl. Current Portion) maps directly to:
- Long-term Debt, Excluding Current Maturities</t>
  </si>
  <si>
    <t>G140</t>
  </si>
  <si>
    <t>LongTermDebtNoncurrent=9700mm; DebtCurrent=1249mm</t>
  </si>
  <si>
    <t>Long-term Debt, Excluding Current Maturities; Debt, Current</t>
  </si>
  <si>
    <t xml:space="preserve">LT Debt (Incl. Current Portion) includes:
- Long-term Debt, Excluding Current Maturities
- Debt, Current</t>
  </si>
  <si>
    <t>H140</t>
  </si>
  <si>
    <t>LongTermDebtNoncurrent=9701mm; DebtCurrent=1249mm</t>
  </si>
  <si>
    <t>I140</t>
  </si>
  <si>
    <t>LongTermDebtNoncurrent=9703mm; DebtCurrent=1250mm</t>
  </si>
  <si>
    <t>K140</t>
  </si>
  <si>
    <t>LongTermDebtNoncurrent=9704mm; DebtCurrent=1250mm</t>
  </si>
  <si>
    <t>L140</t>
  </si>
  <si>
    <t>LongTermDebtNoncurrent=8456mm; DebtCurrent=1249mm</t>
  </si>
  <si>
    <t>M140</t>
  </si>
  <si>
    <t>LongTermDebtNoncurrent=8457mm; DebtCurrent=1249mm</t>
  </si>
  <si>
    <t>N140</t>
  </si>
  <si>
    <t>LongTermDebtNoncurrent=8459mm; DebtCurrent=1250mm</t>
  </si>
  <si>
    <t>P140</t>
  </si>
  <si>
    <t>LongTermDebtNoncurrent=8460mm; DebtCurrent=1250mm</t>
  </si>
  <si>
    <t>Q140</t>
  </si>
  <si>
    <t>LongTermDebtNoncurrent=8461mm; DebtCurrent=0mm</t>
  </si>
  <si>
    <t>R140</t>
  </si>
  <si>
    <t>LongTermDebtNoncurrent=8462mm; DebtCurrent=0mm</t>
  </si>
  <si>
    <t>S140</t>
  </si>
  <si>
    <t>LongTermDebtNoncurrent=8463mm; DebtCurrent=0mm</t>
  </si>
  <si>
    <t>U140</t>
  </si>
  <si>
    <t>LongTermDebtNoncurrent=8464mm</t>
  </si>
  <si>
    <t>V140</t>
  </si>
  <si>
    <t>LongTermDebtNoncurrent=8466mm</t>
  </si>
  <si>
    <t>F141</t>
  </si>
  <si>
    <t>DeferredIncomeTaxLiabilitiesNet=257mm</t>
  </si>
  <si>
    <t>Deferred Income Tax Liabilities, Net</t>
  </si>
  <si>
    <t xml:space="preserve">Deferred Income Taxes maps directly to:
- Deferred Income Tax Liabilities, Net</t>
  </si>
  <si>
    <t>G141</t>
  </si>
  <si>
    <t>DeferredIncomeTaxLiabilitiesNet=252mm</t>
  </si>
  <si>
    <t>H141</t>
  </si>
  <si>
    <t>DeferredIncomeTaxLiabilitiesNet=246mm</t>
  </si>
  <si>
    <t>I141</t>
  </si>
  <si>
    <t>DeferredIncomeTaxLiabilitiesNet=247mm</t>
  </si>
  <si>
    <t>K141</t>
  </si>
  <si>
    <t>DeferredIncomeTaxLiabilitiesNet=290mm</t>
  </si>
  <si>
    <t>L141</t>
  </si>
  <si>
    <t>DeferredIncomeTaxLiabilitiesNet=373mm</t>
  </si>
  <si>
    <t>M141</t>
  </si>
  <si>
    <t>DeferredIncomeTaxLiabilitiesNet=424mm</t>
  </si>
  <si>
    <t>N141</t>
  </si>
  <si>
    <t>DeferredIncomeTaxLiabilitiesNet=462mm</t>
  </si>
  <si>
    <t>P141</t>
  </si>
  <si>
    <t>DeferredIncomeTaxLiabilitiesNet=583mm</t>
  </si>
  <si>
    <t>Q141</t>
  </si>
  <si>
    <t>DeferredIncomeTaxLiabilitiesNet=697mm</t>
  </si>
  <si>
    <t>R141</t>
  </si>
  <si>
    <t>DeferredIncomeTaxLiabilitiesNet=790mm</t>
  </si>
  <si>
    <t>S141</t>
  </si>
  <si>
    <t>DeferredIncomeTaxLiabilitiesNet=886mm</t>
  </si>
  <si>
    <t>U141</t>
  </si>
  <si>
    <t>DeferredIncomeTaxLiabilitiesNet=1082mm</t>
  </si>
  <si>
    <t>V141</t>
  </si>
  <si>
    <t>DeferredIncomeTaxLiabilitiesNet=1351mm</t>
  </si>
  <si>
    <t>F142</t>
  </si>
  <si>
    <t>Liabilities=18892mm; LiabilitiesCurrent=5562mm; DebtCurrent=0mm; LongTermDebtNoncurrent=10947mm; DeferredIncomeTaxLiabilitiesNet=257mm; OperatingLeaseLiabilityNoncurrent=0mm; PensionAndOtherPostretirementDefinedBenefitPlansLiabilityNoncurrent=0mm</t>
  </si>
  <si>
    <t>Liabilities; Liabilities, Current; DebtCurrent; Long-term Debt, Excluding Current Maturities; Deferred Income Tax Liabilities, Net; OperatingLeaseLiabilityNoncurrent; PensionAndOtherPostretirementDefinedBenefitPlansLiabilityNoncurrent</t>
  </si>
  <si>
    <t>Classification mismatch: Liabilities was identified as total liabilities, but Other Non-Current Liabilities expects current liabilities. Classification: LiabilitiesCurrent identified as current liabilities. Classification mismatch: LongTermDebtNoncurrent was identified as non current liabilities, but Other Non-Current Liabilities expects current liabilities. Classification mismatch: DeferredIncomeTaxLiabilitiesNet was identified as income tax, but Other Non-Current Liabilities expects current liabilities.</t>
  </si>
  <si>
    <t>blocked: Classification mismatch: Liabilities was identified as total liabilities, but Other Non-Current Liabilities expects current liabilities. Classification: LiabilitiesCurrent identified as current liabilities. Classification mismatch: LongTermDebtNoncurrent was identified as non current liabilities, but Other Non-Current Liabilities expects current liabilities. Classification mismatch: DeferredIncomeTaxLiabilitiesNet was identified as income tax, but Other Non-Current Liabilities expects c</t>
  </si>
  <si>
    <t xml:space="preserve">Other Non-Current Liabilities includes:
- Liabilities, Current
- Long-term Debt, Excluding Current Maturities
- Deferred Income Tax Liabilities, Net</t>
  </si>
  <si>
    <t>G142</t>
  </si>
  <si>
    <t>Liabilities=19625mm; LiabilitiesCurrent=7573mm; DebtCurrent=1249mm; LongTermDebtNoncurrent=9700mm; DebtCurrent=1249mm; DeferredIncomeTaxLiabilitiesNet=252mm; OperatingLeaseLiabilityNoncurrent=0mm; PensionAndOtherPostretirementDefinedBenefitPlansLiabilityNoncurrent=0mm</t>
  </si>
  <si>
    <t>Liabilities; Liabilities, Current; Debt, Current; Long-term Debt, Excluding Current Maturities; Deferred Income Tax Liabilities, Net; OperatingLeaseLiabilityNoncurrent; PensionAndOtherPostretirementDefinedBenefitPlansLiabilityNoncurrent</t>
  </si>
  <si>
    <t>Classification mismatch: Liabilities was identified as total liabilities, but Other Non-Current Liabilities expects current liabilities. Classification: LiabilitiesCurrent identified as current liabilities. Classification: DebtCurrent identified as current liabilities. Classification mismatch: LongTermDebtNoncurrent was identified as non current liabilities, but Other Non-Current Liabilities expects current liabilities. Classification mismatch: DeferredIncomeTaxLiabilitiesNet was identified as income tax, but Other Non-Current Liabilities expects current liabilities.</t>
  </si>
  <si>
    <t>blocked: Classification mismatch: Liabilities was identified as total liabilities, but Other Non-Current Liabilities expects current liabilities. Classification: LiabilitiesCurrent identified as current liabilities. Classification: DebtCurrent identified as current liabilities. Classification mismatch: LongTermDebtNoncurrent was identified as non current liabilities, but Other Non-Current Liabilities expects current liabilities. Classification mismatch: DeferredIncomeTaxLiabilitiesNet was identi</t>
  </si>
  <si>
    <t xml:space="preserve">Other Non-Current Liabilities includes:
- Liabilities, Current
- Debt, Current
- Long-term Debt, Excluding Current Maturities
- Deferred Income Tax Liabilities, Net</t>
  </si>
  <si>
    <t>H142</t>
  </si>
  <si>
    <t>Liabilities=19139mm; LiabilitiesCurrent=6855mm; DebtCurrent=1249mm; LongTermDebtNoncurrent=9701mm; DebtCurrent=1249mm; DeferredIncomeTaxLiabilitiesNet=246mm; OperatingLeaseLiabilityNoncurrent=0mm; PensionAndOtherPostretirementDefinedBenefitPlansLiabilityNoncurrent=0mm</t>
  </si>
  <si>
    <t>I142</t>
  </si>
  <si>
    <t>Liabilities=19081mm; LiabilitiesCurrent=6563mm; DebtCurrent=1250mm; LongTermDebtNoncurrent=9703mm; DebtCurrent=1250mm; DeferredIncomeTaxLiabilitiesNet=247mm; OperatingLeaseLiabilityNoncurrent=0mm; PensionAndOtherPostretirementDefinedBenefitPlansLiabilityNoncurrent=0mm</t>
  </si>
  <si>
    <t>K142</t>
  </si>
  <si>
    <t>Liabilities=19940mm; LiabilitiesCurrent=7260mm; DebtCurrent=1250mm; LongTermDebtNoncurrent=9704mm; DebtCurrent=1250mm; DeferredIncomeTaxLiabilitiesNet=290mm; OperatingLeaseLiabilityNoncurrent=0mm; PensionAndOtherPostretirementDefinedBenefitPlansLiabilityNoncurrent=0mm</t>
  </si>
  <si>
    <t>L142</t>
  </si>
  <si>
    <t>Liabilities=22054mm; LiabilitiesCurrent=10334mm; DebtCurrent=1249mm; LongTermDebtNoncurrent=8456mm; DebtCurrent=1249mm; DeferredIncomeTaxLiabilitiesNet=373mm; OperatingLeaseLiabilityNoncurrent=0mm; PensionAndOtherPostretirementDefinedBenefitPlansLiabilityNoncurrent=0mm</t>
  </si>
  <si>
    <t>M142</t>
  </si>
  <si>
    <t>Liabilities=20883mm; LiabilitiesCurrent=9101mm; DebtCurrent=1249mm; LongTermDebtNoncurrent=8457mm; DebtCurrent=1249mm; DeferredIncomeTaxLiabilitiesNet=424mm; OperatingLeaseLiabilityNoncurrent=0mm; PensionAndOtherPostretirementDefinedBenefitPlansLiabilityNoncurrent=0mm</t>
  </si>
  <si>
    <t>N142</t>
  </si>
  <si>
    <t>Liabilities=22750mm; LiabilitiesCurrent=10631mm; DebtCurrent=1250mm; LongTermDebtNoncurrent=8459mm; DebtCurrent=1250mm; DeferredIncomeTaxLiabilitiesNet=462mm; OperatingLeaseLiabilityNoncurrent=0mm; PensionAndOtherPostretirementDefinedBenefitPlansLiabilityNoncurrent=0mm</t>
  </si>
  <si>
    <t>P142</t>
  </si>
  <si>
    <t>Liabilities=27930mm; LiabilitiesCurrent=15223mm; DebtCurrent=1250mm; LongTermDebtNoncurrent=8460mm; DebtCurrent=1250mm; DeferredIncomeTaxLiabilitiesNet=583mm; OperatingLeaseLiabilityNoncurrent=0mm; PensionAndOtherPostretirementDefinedBenefitPlansLiabilityNoncurrent=0mm</t>
  </si>
  <si>
    <t>Q142</t>
  </si>
  <si>
    <t>Liabilities=27070mm; LiabilitiesCurrent=13969mm; DebtCurrent=0mm; LongTermDebtNoncurrent=8461mm; DebtCurrent=0mm; DeferredIncomeTaxLiabilitiesNet=697mm; OperatingLeaseLiabilityNoncurrent=0mm; PensionAndOtherPostretirementDefinedBenefitPlansLiabilityNoncurrent=0mm</t>
  </si>
  <si>
    <t>R142</t>
  </si>
  <si>
    <t>Liabilities=30114mm; LiabilitiesCurrent=16479mm; DebtCurrent=0mm; LongTermDebtNoncurrent=8462mm; DebtCurrent=0mm; DeferredIncomeTaxLiabilitiesNet=790mm; OperatingLeaseLiabilityNoncurrent=0mm; PensionAndOtherPostretirementDefinedBenefitPlansLiabilityNoncurrent=0mm</t>
  </si>
  <si>
    <t>S142</t>
  </si>
  <si>
    <t>Liabilities=32274mm; LiabilitiesCurrent=18047mm; DebtCurrent=0mm; LongTermDebtNoncurrent=8463mm; DebtCurrent=0mm; DeferredIncomeTaxLiabilitiesNet=886mm; OperatingLeaseLiabilityNoncurrent=0mm; PensionAndOtherPostretirementDefinedBenefitPlansLiabilityNoncurrent=0mm</t>
  </si>
  <si>
    <t>U142</t>
  </si>
  <si>
    <t>Liabilities=41411mm; LiabilitiesCurrent=26542mm; DebtCurrent=0mm; LongTermDebtNoncurrent=8464mm; DeferredIncomeTaxLiabilitiesNet=1082mm; OperatingLeaseLiabilityNoncurrent=0mm; PensionAndOtherPostretirementDefinedBenefitPlansLiabilityNoncurrent=0mm</t>
  </si>
  <si>
    <t>V142</t>
  </si>
  <si>
    <t>Liabilities=40609mm; LiabilitiesCurrent=24257mm; DebtCurrent=0mm; LongTermDebtNoncurrent=8466mm; DeferredIncomeTaxLiabilitiesNet=1351mm; OperatingLeaseLiabilityNoncurrent=0mm; PensionAndOtherPostretirementDefinedBenefitPlansLiabilityNoncurrent=0mm</t>
  </si>
  <si>
    <t>F147</t>
  </si>
  <si>
    <t>StockholdersEquity=26320mm; RetainedEarningsAccumulatedDeficit=15758mm; TreasuryStockValue=0mm; AccumulatedOtherComprehensiveIncomeLossNetOfTax=-64mm</t>
  </si>
  <si>
    <t>Stockholders' Equity Attributable to Parent; Retained Earnings (Accumulated Deficit); Treasury Stock, Value; Accumulated Other Comprehensive Income (Loss), Net of Tax</t>
  </si>
  <si>
    <t>0001045810-22-000079; 0001045810-22-000036</t>
  </si>
  <si>
    <t>https://www.sec.gov/Archives/edgar/data/1045810/000104581022000079/; https://www.sec.gov/Archives/edgar/data/1045810/000104581022000036/</t>
  </si>
  <si>
    <t>10-Q; 10-K</t>
  </si>
  <si>
    <t>2022-05-27; 2022-03-18</t>
  </si>
  <si>
    <t>2022-05-01; 2022-01-30</t>
  </si>
  <si>
    <t>warning: Source period FY22 supports 1Q23 through a beginning-balance or carry-forward rule.</t>
  </si>
  <si>
    <t xml:space="preserve">Common Stock &amp; APIC includes:
- Stockholders' Equity Attributable to Parent
- Retained Earnings (Accumulated Deficit)
- Accumulated Other Comprehensive Income (Loss), Net of Tax</t>
  </si>
  <si>
    <t>G147</t>
  </si>
  <si>
    <t>StockholdersEquity=23851mm; RetainedEarningsAccumulatedDeficit=12971mm; TreasuryStockValue=0mm; AccumulatedOtherComprehensiveIncomeLossNetOfTax=-90mm</t>
  </si>
  <si>
    <t>0001045810-22-000147; 0001045810-22-000036</t>
  </si>
  <si>
    <t>https://www.sec.gov/Archives/edgar/data/1045810/000104581022000147/; https://www.sec.gov/Archives/edgar/data/1045810/000104581022000036/</t>
  </si>
  <si>
    <t>2022-08-31; 2022-03-18</t>
  </si>
  <si>
    <t>2022-07-31; 2022-01-30</t>
  </si>
  <si>
    <t>warning: Source period FY22 supports 2Q23 through a beginning-balance or carry-forward rule.</t>
  </si>
  <si>
    <t>H147</t>
  </si>
  <si>
    <t>StockholdersEquity=21349mm; RetainedEarningsAccumulatedDeficit=9905mm; TreasuryStockValue=0mm; AccumulatedOtherComprehensiveIncomeLossNetOfTax=-123mm</t>
  </si>
  <si>
    <t>0001045810-22-000166; 0001045810-22-000036</t>
  </si>
  <si>
    <t>https://www.sec.gov/Archives/edgar/data/1045810/000104581022000166/; https://www.sec.gov/Archives/edgar/data/1045810/000104581022000036/</t>
  </si>
  <si>
    <t>2022-11-18; 2022-03-18</t>
  </si>
  <si>
    <t>2022-10-30; 2022-01-30</t>
  </si>
  <si>
    <t>warning: Source period FY22 supports 3Q23 through a beginning-balance or carry-forward rule.</t>
  </si>
  <si>
    <t>I147</t>
  </si>
  <si>
    <t>StockholdersEquity=22101mm; RetainedEarningsAccumulatedDeficit=10171mm; TreasuryStockValue=0mm; AccumulatedOtherComprehensiveIncomeLossNetOfTax=-43mm</t>
  </si>
  <si>
    <t>0001045810-23-000017; 0001045810-22-000036</t>
  </si>
  <si>
    <t>https://www.sec.gov/Archives/edgar/data/1045810/000104581023000017/; https://www.sec.gov/Archives/edgar/data/1045810/000104581022000036/</t>
  </si>
  <si>
    <t>2023-02-24; 2022-03-18</t>
  </si>
  <si>
    <t>2023-01-29; 2022-01-30</t>
  </si>
  <si>
    <t>warning: Source period FY22 supports 4Q23 through a beginning-balance or carry-forward rule.</t>
  </si>
  <si>
    <t>K147</t>
  </si>
  <si>
    <t>StockholdersEquity=24520mm; RetainedEarningsAccumulatedDeficit=12115mm; TreasuryStockValue=0mm; AccumulatedOtherComprehensiveIncomeLossNetOfTax=-50mm</t>
  </si>
  <si>
    <t>0001045810-23-000093; 0001045810-22-000036</t>
  </si>
  <si>
    <t>https://www.sec.gov/Archives/edgar/data/1045810/000104581023000093/; https://www.sec.gov/Archives/edgar/data/1045810/000104581022000036/</t>
  </si>
  <si>
    <t>2023-05-26; 2022-03-18</t>
  </si>
  <si>
    <t>2023-04-30; 2022-01-30</t>
  </si>
  <si>
    <t>warning: Source period FY22 supports 1Q24 through a beginning-balance or carry-forward rule.</t>
  </si>
  <si>
    <t>L147</t>
  </si>
  <si>
    <t>StockholdersEquity=27501mm; RetainedEarningsAccumulatedDeficit=14921mm; TreasuryStockValue=0mm; AccumulatedOtherComprehensiveIncomeLossNetOfTax=-51mm</t>
  </si>
  <si>
    <t>0001045810-23-000175; 0001045810-22-000036</t>
  </si>
  <si>
    <t>https://www.sec.gov/Archives/edgar/data/1045810/000104581023000175/; https://www.sec.gov/Archives/edgar/data/1045810/000104581022000036/</t>
  </si>
  <si>
    <t>2023-08-28; 2022-03-18</t>
  </si>
  <si>
    <t>2023-07-30; 2022-01-30</t>
  </si>
  <si>
    <t>warning: Source period FY22 supports 2Q24 through a beginning-balance or carry-forward rule.</t>
  </si>
  <si>
    <t>M147</t>
  </si>
  <si>
    <t>StockholdersEquity=33265mm; RetainedEarningsAccumulatedDeficit=20360mm; TreasuryStockValue=0mm; AccumulatedOtherComprehensiveIncomeLossNetOfTax=-88mm</t>
  </si>
  <si>
    <t>0001045810-23-000227; 0001045810-22-000036</t>
  </si>
  <si>
    <t>https://www.sec.gov/Archives/edgar/data/1045810/000104581023000227/; https://www.sec.gov/Archives/edgar/data/1045810/000104581022000036/</t>
  </si>
  <si>
    <t>2023-11-21; 2022-03-18</t>
  </si>
  <si>
    <t>2023-10-29; 2022-01-30</t>
  </si>
  <si>
    <t>warning: Source period FY22 supports 3Q24 through a beginning-balance or carry-forward rule.</t>
  </si>
  <si>
    <t>N147</t>
  </si>
  <si>
    <t>StockholdersEquity=42978mm; RetainedEarningsAccumulatedDeficit=29817mm; TreasuryStockValue=0mm; AccumulatedOtherComprehensiveIncomeLossNetOfTax=27mm</t>
  </si>
  <si>
    <t>0001045810-24-000029; 0001045810-22-000036</t>
  </si>
  <si>
    <t>https://www.sec.gov/Archives/edgar/data/1045810/000104581024000029/; https://www.sec.gov/Archives/edgar/data/1045810/000104581022000036/</t>
  </si>
  <si>
    <t>2024-02-21; 2022-03-18</t>
  </si>
  <si>
    <t>2024-01-28; 2022-01-30</t>
  </si>
  <si>
    <t>warning: Source period FY22 supports 4Q24 through a beginning-balance or carry-forward rule.</t>
  </si>
  <si>
    <t>P147</t>
  </si>
  <si>
    <t>StockholdersEquity=49142mm; RetainedEarningsAccumulatedDeficit=36598mm; TreasuryStockValue=0mm; AccumulatedOtherComprehensiveIncomeLossNetOfTax=-109mm</t>
  </si>
  <si>
    <t>0001045810-24-000124; 0001045810-22-000036</t>
  </si>
  <si>
    <t>https://www.sec.gov/Archives/edgar/data/1045810/000104581024000124/; https://www.sec.gov/Archives/edgar/data/1045810/000104581022000036/</t>
  </si>
  <si>
    <t>2024-05-29; 2022-03-18</t>
  </si>
  <si>
    <t>2024-04-28; 2022-01-30</t>
  </si>
  <si>
    <t>warning: Source period FY22 supports 1Q25 through a beginning-balance or carry-forward rule.</t>
  </si>
  <si>
    <t>Q147</t>
  </si>
  <si>
    <t>StockholdersEquity=58157mm; RetainedEarningsAccumulatedDeficit=45961mm; TreasuryStockValue=0mm; AccumulatedOtherComprehensiveIncomeLossNetOfTax=56mm</t>
  </si>
  <si>
    <t>0001045810-24-000264; 0001045810-22-000036</t>
  </si>
  <si>
    <t>https://www.sec.gov/Archives/edgar/data/1045810/000104581024000264/; https://www.sec.gov/Archives/edgar/data/1045810/000104581022000036/</t>
  </si>
  <si>
    <t>2024-08-28; 2022-03-18</t>
  </si>
  <si>
    <t>2024-07-28; 2022-01-30</t>
  </si>
  <si>
    <t>warning: Source period FY22 supports 2Q25 through a beginning-balance or carry-forward rule.</t>
  </si>
  <si>
    <t>R147</t>
  </si>
  <si>
    <t>StockholdersEquity=65899mm; RetainedEarningsAccumulatedDeficit=53950mm; TreasuryStockValue=0mm; AccumulatedOtherComprehensiveIncomeLossNetOfTax=103mm</t>
  </si>
  <si>
    <t>0001045810-24-000316; 0001045810-22-000036</t>
  </si>
  <si>
    <t>https://www.sec.gov/Archives/edgar/data/1045810/000104581024000316/; https://www.sec.gov/Archives/edgar/data/1045810/000104581022000036/</t>
  </si>
  <si>
    <t>2024-11-20; 2022-03-18</t>
  </si>
  <si>
    <t>2024-10-27; 2022-01-30</t>
  </si>
  <si>
    <t>warning: Source period FY22 supports 3Q25 through a beginning-balance or carry-forward rule.</t>
  </si>
  <si>
    <t>S147</t>
  </si>
  <si>
    <t>StockholdersEquity=79327mm; RetainedEarningsAccumulatedDeficit=68038mm; TreasuryStockValue=0mm; AccumulatedOtherComprehensiveIncomeLossNetOfTax=28mm</t>
  </si>
  <si>
    <t>0001045810-25-000023; 0001045810-22-000036</t>
  </si>
  <si>
    <t>https://www.sec.gov/Archives/edgar/data/1045810/000104581025000023/; https://www.sec.gov/Archives/edgar/data/1045810/000104581022000036/</t>
  </si>
  <si>
    <t>2025-02-26; 2022-03-18</t>
  </si>
  <si>
    <t>2025-01-26; 2022-01-30</t>
  </si>
  <si>
    <t>warning: Source period FY22 supports 4Q25 through a beginning-balance or carry-forward rule.</t>
  </si>
  <si>
    <t>U147</t>
  </si>
  <si>
    <t>StockholdersEquity=83843mm; RetainedEarningsAccumulatedDeficit=72158mm; TreasuryStockValue=0mm; AccumulatedOtherComprehensiveIncomeLossNetOfTax=186mm</t>
  </si>
  <si>
    <t>0001045810-25-000116; 0001045810-22-000036</t>
  </si>
  <si>
    <t>https://www.sec.gov/Archives/edgar/data/1045810/000104581025000116/; https://www.sec.gov/Archives/edgar/data/1045810/000104581022000036/</t>
  </si>
  <si>
    <t>2025-05-28; 2022-03-18</t>
  </si>
  <si>
    <t>2025-04-27; 2022-01-30</t>
  </si>
  <si>
    <t>warning: Source period FY22 supports 1Q26 through a beginning-balance or carry-forward rule.</t>
  </si>
  <si>
    <t>V147</t>
  </si>
  <si>
    <t>StockholdersEquity=100131mm; RetainedEarningsAccumulatedDeficit=88737mm; TreasuryStockValue=0mm; AccumulatedOtherComprehensiveIncomeLossNetOfTax=170mm</t>
  </si>
  <si>
    <t>0001045810-25-000209; 0001045810-22-000036</t>
  </si>
  <si>
    <t>https://www.sec.gov/Archives/edgar/data/1045810/000104581025000209/; https://www.sec.gov/Archives/edgar/data/1045810/000104581022000036/</t>
  </si>
  <si>
    <t>2025-08-27; 2022-03-18</t>
  </si>
  <si>
    <t>2025-07-27; 2022-01-30</t>
  </si>
  <si>
    <t>warning: Source period FY22 supports 2Q26 through a beginning-balance or carry-forward rule.</t>
  </si>
  <si>
    <t>F148</t>
  </si>
  <si>
    <t>RetainedEarningsAccumulatedDeficit=15758mm</t>
  </si>
  <si>
    <t>Retained Earnings (Accumulated Deficit)</t>
  </si>
  <si>
    <t xml:space="preserve">Retained Earnings maps directly to:
- Retained Earnings (Accumulated Deficit)</t>
  </si>
  <si>
    <t>G148</t>
  </si>
  <si>
    <t>RetainedEarningsAccumulatedDeficit=12971mm</t>
  </si>
  <si>
    <t>H148</t>
  </si>
  <si>
    <t>RetainedEarningsAccumulatedDeficit=9905mm</t>
  </si>
  <si>
    <t>I148</t>
  </si>
  <si>
    <t>RetainedEarningsAccumulatedDeficit=10171mm</t>
  </si>
  <si>
    <t>K148</t>
  </si>
  <si>
    <t>RetainedEarningsAccumulatedDeficit=12115mm</t>
  </si>
  <si>
    <t>L148</t>
  </si>
  <si>
    <t>RetainedEarningsAccumulatedDeficit=14921mm</t>
  </si>
  <si>
    <t>M148</t>
  </si>
  <si>
    <t>RetainedEarningsAccumulatedDeficit=20360mm</t>
  </si>
  <si>
    <t>N148</t>
  </si>
  <si>
    <t>RetainedEarningsAccumulatedDeficit=29817mm</t>
  </si>
  <si>
    <t>P148</t>
  </si>
  <si>
    <t>RetainedEarningsAccumulatedDeficit=36598mm</t>
  </si>
  <si>
    <t>Q148</t>
  </si>
  <si>
    <t>RetainedEarningsAccumulatedDeficit=45961mm</t>
  </si>
  <si>
    <t>R148</t>
  </si>
  <si>
    <t>RetainedEarningsAccumulatedDeficit=53950mm</t>
  </si>
  <si>
    <t>S148</t>
  </si>
  <si>
    <t>RetainedEarningsAccumulatedDeficit=68038mm</t>
  </si>
  <si>
    <t>U148</t>
  </si>
  <si>
    <t>RetainedEarningsAccumulatedDeficit=72158mm</t>
  </si>
  <si>
    <t>V148</t>
  </si>
  <si>
    <t>RetainedEarningsAccumulatedDeficit=88737mm</t>
  </si>
  <si>
    <t>F149</t>
  </si>
  <si>
    <t>TreasuryStockValue=0mm</t>
  </si>
  <si>
    <t>Treasury Stock, Value</t>
  </si>
  <si>
    <t>0001045810-22-000036</t>
  </si>
  <si>
    <t>https://www.sec.gov/Archives/edgar/data/1045810/000104581022000036/</t>
  </si>
  <si>
    <t>2022-03-18</t>
  </si>
  <si>
    <t>2022-01-30</t>
  </si>
  <si>
    <t>warning: Source period FY22 supports 1Q23 through a beginning-balance or carry-forward rule. Classification: TreasuryStockValue identified as equity.</t>
  </si>
  <si>
    <t>G149</t>
  </si>
  <si>
    <t>warning: Source period FY22 supports 2Q23 through a beginning-balance or carry-forward rule. Classification: TreasuryStockValue identified as equity.</t>
  </si>
  <si>
    <t>H149</t>
  </si>
  <si>
    <t>warning: Source period FY22 supports 3Q23 through a beginning-balance or carry-forward rule. Classification: TreasuryStockValue identified as equity.</t>
  </si>
  <si>
    <t>I149</t>
  </si>
  <si>
    <t>warning: Source period FY22 supports 4Q23 through a beginning-balance or carry-forward rule. Classification: TreasuryStockValue identified as equity.</t>
  </si>
  <si>
    <t>K149</t>
  </si>
  <si>
    <t>warning: Source period FY22 supports 1Q24 through a beginning-balance or carry-forward rule. Classification: TreasuryStockValue identified as equity.</t>
  </si>
  <si>
    <t>L149</t>
  </si>
  <si>
    <t>warning: Source period FY22 supports 2Q24 through a beginning-balance or carry-forward rule. Classification: TreasuryStockValue identified as equity.</t>
  </si>
  <si>
    <t>M149</t>
  </si>
  <si>
    <t>warning: Source period FY22 supports 3Q24 through a beginning-balance or carry-forward rule. Classification: TreasuryStockValue identified as equity.</t>
  </si>
  <si>
    <t>N149</t>
  </si>
  <si>
    <t>warning: Source period FY22 supports 4Q24 through a beginning-balance or carry-forward rule. Classification: TreasuryStockValue identified as equity.</t>
  </si>
  <si>
    <t>P149</t>
  </si>
  <si>
    <t>warning: Source period FY22 supports 1Q25 through a beginning-balance or carry-forward rule. Classification: TreasuryStockValue identified as equity.</t>
  </si>
  <si>
    <t>Q149</t>
  </si>
  <si>
    <t>warning: Source period FY22 supports 2Q25 through a beginning-balance or carry-forward rule. Classification: TreasuryStockValue identified as equity.</t>
  </si>
  <si>
    <t>R149</t>
  </si>
  <si>
    <t>warning: Source period FY22 supports 3Q25 through a beginning-balance or carry-forward rule. Classification: TreasuryStockValue identified as equity.</t>
  </si>
  <si>
    <t>S149</t>
  </si>
  <si>
    <t>warning: Source period FY22 supports 4Q25 through a beginning-balance or carry-forward rule. Classification: TreasuryStockValue identified as equity.</t>
  </si>
  <si>
    <t>U149</t>
  </si>
  <si>
    <t>warning: Source period FY22 supports 1Q26 through a beginning-balance or carry-forward rule. Classification: TreasuryStockValue identified as equity.</t>
  </si>
  <si>
    <t>V149</t>
  </si>
  <si>
    <t>warning: Source period FY22 supports 2Q26 through a beginning-balance or carry-forward rule. Classification: TreasuryStockValue identified as equity.</t>
  </si>
  <si>
    <t>F150</t>
  </si>
  <si>
    <t>AccumulatedOtherComprehensiveIncomeLossNetOfTax=-64mm</t>
  </si>
  <si>
    <t>Accumulated Other Comprehensive Income (Loss), Net of Tax</t>
  </si>
  <si>
    <t xml:space="preserve">Accumulated Other Comprehensive Income (AOCI) maps directly to:
- Accumulated Other Comprehensive Income (Loss), Net of Tax</t>
  </si>
  <si>
    <t>G150</t>
  </si>
  <si>
    <t>AccumulatedOtherComprehensiveIncomeLossNetOfTax=-90mm</t>
  </si>
  <si>
    <t>H150</t>
  </si>
  <si>
    <t>AccumulatedOtherComprehensiveIncomeLossNetOfTax=-123mm</t>
  </si>
  <si>
    <t>I150</t>
  </si>
  <si>
    <t>AccumulatedOtherComprehensiveIncomeLossNetOfTax=-43mm</t>
  </si>
  <si>
    <t>K150</t>
  </si>
  <si>
    <t>AccumulatedOtherComprehensiveIncomeLossNetOfTax=-50mm</t>
  </si>
  <si>
    <t>L150</t>
  </si>
  <si>
    <t>AccumulatedOtherComprehensiveIncomeLossNetOfTax=-51mm</t>
  </si>
  <si>
    <t>M150</t>
  </si>
  <si>
    <t>AccumulatedOtherComprehensiveIncomeLossNetOfTax=-88mm</t>
  </si>
  <si>
    <t>N150</t>
  </si>
  <si>
    <t>AccumulatedOtherComprehensiveIncomeLossNetOfTax=27mm</t>
  </si>
  <si>
    <t>P150</t>
  </si>
  <si>
    <t>AccumulatedOtherComprehensiveIncomeLossNetOfTax=-109mm</t>
  </si>
  <si>
    <t>Q150</t>
  </si>
  <si>
    <t>AccumulatedOtherComprehensiveIncomeLossNetOfTax=56mm</t>
  </si>
  <si>
    <t>R150</t>
  </si>
  <si>
    <t>AccumulatedOtherComprehensiveIncomeLossNetOfTax=103mm</t>
  </si>
  <si>
    <t>S150</t>
  </si>
  <si>
    <t>AccumulatedOtherComprehensiveIncomeLossNetOfTax=28mm</t>
  </si>
  <si>
    <t>U150</t>
  </si>
  <si>
    <t>AccumulatedOtherComprehensiveIncomeLossNetOfTax=186mm</t>
  </si>
  <si>
    <t>V150</t>
  </si>
  <si>
    <t>AccumulatedOtherComprehensiveIncomeLossNetOfTax=170mm</t>
  </si>
  <si>
    <t>F246</t>
  </si>
  <si>
    <t>ShareBasedCompensation=578mm</t>
  </si>
  <si>
    <t>Share-based Payment Arrangement, Noncash Expense</t>
  </si>
  <si>
    <t>support</t>
  </si>
  <si>
    <t>Unit mismatch: ShareBasedCompensation is reported in USD, expected shares.</t>
  </si>
  <si>
    <t>blocked: Unit mismatch: ShareBasedCompensation is reported in USD, expected shares.</t>
  </si>
  <si>
    <t xml:space="preserve">Stock-Based Comp Expense maps directly to:
- Share-based Payment Arrangement, Noncash Expense</t>
  </si>
  <si>
    <t>G246</t>
  </si>
  <si>
    <t>ShareBasedCompensation=648mm</t>
  </si>
  <si>
    <t>Share-based Payment Arrangement, Noncash Expense (derived Q2)</t>
  </si>
  <si>
    <t>H246</t>
  </si>
  <si>
    <t>ShareBasedCompensation=745mm</t>
  </si>
  <si>
    <t>Share-based Payment Arrangement, Noncash Expense (derived Q3)</t>
  </si>
  <si>
    <t>I246</t>
  </si>
  <si>
    <t>ShareBasedCompensation=738mm</t>
  </si>
  <si>
    <t>Share-based Payment Arrangement, Noncash Expense (derived Q4)</t>
  </si>
  <si>
    <t>K246</t>
  </si>
  <si>
    <t>ShareBasedCompensation=735mm</t>
  </si>
  <si>
    <t>L246</t>
  </si>
  <si>
    <t>ShareBasedCompensation=841mm</t>
  </si>
  <si>
    <t>M246</t>
  </si>
  <si>
    <t>ShareBasedCompensation=979mm</t>
  </si>
  <si>
    <t>N246</t>
  </si>
  <si>
    <t>ShareBasedCompensation=994mm</t>
  </si>
  <si>
    <t>P246</t>
  </si>
  <si>
    <t>ShareBasedCompensation=1011mm</t>
  </si>
  <si>
    <t>Q246</t>
  </si>
  <si>
    <t>ShareBasedCompensation=1153mm</t>
  </si>
  <si>
    <t>R246</t>
  </si>
  <si>
    <t>ShareBasedCompensation=1252mm</t>
  </si>
  <si>
    <t>S246</t>
  </si>
  <si>
    <t>ShareBasedCompensation=1321mm</t>
  </si>
  <si>
    <t>U246</t>
  </si>
  <si>
    <t>ShareBasedCompensation=1474mm</t>
  </si>
  <si>
    <t>V246</t>
  </si>
  <si>
    <t>ShareBasedCompensation=1625mm</t>
  </si>
  <si>
    <t>F252</t>
  </si>
  <si>
    <t>existing formula cell</t>
  </si>
  <si>
    <t>formula_preserved</t>
  </si>
  <si>
    <t>G252</t>
  </si>
  <si>
    <t>H252</t>
  </si>
  <si>
    <t>I252</t>
  </si>
  <si>
    <t>K252</t>
  </si>
  <si>
    <t>L252</t>
  </si>
  <si>
    <t>M252</t>
  </si>
  <si>
    <t>N252</t>
  </si>
  <si>
    <t>P252</t>
  </si>
  <si>
    <t>Q252</t>
  </si>
  <si>
    <t>R252</t>
  </si>
  <si>
    <t>S252</t>
  </si>
  <si>
    <t>U252</t>
  </si>
  <si>
    <t>V252</t>
  </si>
  <si>
    <t>F254</t>
  </si>
  <si>
    <t>PaymentsOfDividends=100mm</t>
  </si>
  <si>
    <t>Payments of Dividends</t>
  </si>
  <si>
    <t>inverted to match model sign convention</t>
  </si>
  <si>
    <t xml:space="preserve">Dividends maps directly to:
- Payments of Dividends</t>
  </si>
  <si>
    <t>G254</t>
  </si>
  <si>
    <t>H254</t>
  </si>
  <si>
    <t>I254</t>
  </si>
  <si>
    <t>PaymentsOfDividends=98mm</t>
  </si>
  <si>
    <t>Payments of Dividends (derived Q4)</t>
  </si>
  <si>
    <t>K254</t>
  </si>
  <si>
    <t>PaymentsOfDividends=99mm</t>
  </si>
  <si>
    <t>L254</t>
  </si>
  <si>
    <t>M254</t>
  </si>
  <si>
    <t>N254</t>
  </si>
  <si>
    <t>P254</t>
  </si>
  <si>
    <t>Q254</t>
  </si>
  <si>
    <t>PaymentsOfDividends=246mm</t>
  </si>
  <si>
    <t>R254</t>
  </si>
  <si>
    <t>PaymentsOfDividends=245mm</t>
  </si>
  <si>
    <t>S254</t>
  </si>
  <si>
    <t>U254</t>
  </si>
  <si>
    <t>PaymentsOfDividends=244mm</t>
  </si>
  <si>
    <t>V254</t>
  </si>
  <si>
    <t>formula cached result updated</t>
  </si>
  <si>
    <t>F259</t>
  </si>
  <si>
    <t>G259</t>
  </si>
  <si>
    <t>H259</t>
  </si>
  <si>
    <t>I259</t>
  </si>
  <si>
    <t>K259</t>
  </si>
  <si>
    <t>L259</t>
  </si>
  <si>
    <t>M259</t>
  </si>
  <si>
    <t>N259</t>
  </si>
  <si>
    <t>P259</t>
  </si>
  <si>
    <t>Q259</t>
  </si>
  <si>
    <t>R259</t>
  </si>
  <si>
    <t>S259</t>
  </si>
  <si>
    <t>U259</t>
  </si>
  <si>
    <t>V259</t>
  </si>
  <si>
    <t>F302</t>
  </si>
  <si>
    <t>G302</t>
  </si>
  <si>
    <t>H302</t>
  </si>
  <si>
    <t>I302</t>
  </si>
  <si>
    <t>K302</t>
  </si>
  <si>
    <t>L302</t>
  </si>
  <si>
    <t>M302</t>
  </si>
  <si>
    <t>N302</t>
  </si>
  <si>
    <t>P302</t>
  </si>
  <si>
    <t>Q302</t>
  </si>
  <si>
    <t>R302</t>
  </si>
  <si>
    <t>S302</t>
  </si>
  <si>
    <t>U302</t>
  </si>
  <si>
    <t>V302</t>
  </si>
  <si>
    <t>F307</t>
  </si>
  <si>
    <t>G307</t>
  </si>
  <si>
    <t>H307</t>
  </si>
  <si>
    <t>I307</t>
  </si>
  <si>
    <t>K307</t>
  </si>
  <si>
    <t>L307</t>
  </si>
  <si>
    <t>M307</t>
  </si>
  <si>
    <t>N307</t>
  </si>
  <si>
    <t>P307</t>
  </si>
  <si>
    <t>Q307</t>
  </si>
  <si>
    <t>R307</t>
  </si>
  <si>
    <t>S307</t>
  </si>
  <si>
    <t>U307</t>
  </si>
  <si>
    <t>V307</t>
  </si>
  <si>
    <t>F8</t>
  </si>
  <si>
    <t>segment</t>
  </si>
  <si>
    <t>Reported Revenue Revenue=8288mm</t>
  </si>
  <si>
    <t>not_run</t>
  </si>
  <si>
    <t xml:space="preserve">Reported maps directly to:
- Reported Revenue Revenue</t>
  </si>
  <si>
    <t>G8</t>
  </si>
  <si>
    <t>Reported Revenue Revenue=6704mm</t>
  </si>
  <si>
    <t>H8</t>
  </si>
  <si>
    <t>Reported Revenue Revenue=5931mm</t>
  </si>
  <si>
    <t>I8</t>
  </si>
  <si>
    <t>Reported Revenue Revenue=6051mm</t>
  </si>
  <si>
    <t>K8</t>
  </si>
  <si>
    <t>Reported Revenue Revenue=7192mm</t>
  </si>
  <si>
    <t>L8</t>
  </si>
  <si>
    <t>Reported Revenue Revenue=13507mm</t>
  </si>
  <si>
    <t>M8</t>
  </si>
  <si>
    <t>Reported Revenue Revenue=18120mm</t>
  </si>
  <si>
    <t>N8</t>
  </si>
  <si>
    <t>Reported Revenue Revenue=22103mm</t>
  </si>
  <si>
    <t>P8</t>
  </si>
  <si>
    <t>Reported Revenue Revenue=26044mm</t>
  </si>
  <si>
    <t>Q8</t>
  </si>
  <si>
    <t>Reported Revenue Revenue=30040mm</t>
  </si>
  <si>
    <t>R8</t>
  </si>
  <si>
    <t>Reported Revenue Revenue=35082mm</t>
  </si>
  <si>
    <t>S8</t>
  </si>
  <si>
    <t>Reported Revenue Revenue=39331mm</t>
  </si>
  <si>
    <t>U8</t>
  </si>
  <si>
    <t>Reported Revenue Revenue=44062mm</t>
  </si>
  <si>
    <t>V8</t>
  </si>
  <si>
    <t>Reported Revenue Revenue=46743mm</t>
  </si>
  <si>
    <t>Compute and Networking Segment</t>
  </si>
  <si>
    <t>Compute and Networking Segment Operating Income=0mm</t>
  </si>
  <si>
    <t xml:space="preserve">Compute and Networking Segment maps directly to:
- Compute and Networking Segment Operating Income</t>
  </si>
  <si>
    <t>Compute and Networking Segment Operating Income=17047mm</t>
  </si>
  <si>
    <t>Compute and Networking Segment Operating Income=18848mm</t>
  </si>
  <si>
    <t>Compute and Networking Segment Operating Income=22081mm</t>
  </si>
  <si>
    <t>Compute and Networking Segment Operating Income=24899mm</t>
  </si>
  <si>
    <t>Compute and Networking Segment Operating Income=22054mm</t>
  </si>
  <si>
    <t>Compute and Networking Segment Operating Income=28363mm</t>
  </si>
  <si>
    <t>Graphics Segment</t>
  </si>
  <si>
    <t>Graphics Segment Operating Income=0mm</t>
  </si>
  <si>
    <t xml:space="preserve">Graphics Segment maps directly to:
- Graphics Segment Operating Income</t>
  </si>
  <si>
    <t>Graphics Segment Operating Income=1241mm</t>
  </si>
  <si>
    <t>Graphics Segment Operating Income=1369mm</t>
  </si>
  <si>
    <t>Graphics Segment Operating Income=1502mm</t>
  </si>
  <si>
    <t>Graphics Segment Operating Income=973mm</t>
  </si>
  <si>
    <t>Graphics Segment Operating Income=1640mm</t>
  </si>
  <si>
    <t>Graphics Segment Operating Income=2242mm</t>
  </si>
  <si>
    <t>F36</t>
  </si>
  <si>
    <t>Compute and Networking</t>
  </si>
  <si>
    <t>Compute and Networking Operating Income=1606mm</t>
  </si>
  <si>
    <t xml:space="preserve">Compute and Networking maps directly to:
- Compute and Networking Operating Income</t>
  </si>
  <si>
    <t>G36</t>
  </si>
  <si>
    <t>Compute and Networking Operating Income=816mm</t>
  </si>
  <si>
    <t>H36</t>
  </si>
  <si>
    <t>Compute and Networking Operating Income=1086mm</t>
  </si>
  <si>
    <t>I36</t>
  </si>
  <si>
    <t>Compute and Networking Operating Income=1575mm</t>
  </si>
  <si>
    <t>K36</t>
  </si>
  <si>
    <t>Compute and Networking Operating Income=2160mm</t>
  </si>
  <si>
    <t>L36</t>
  </si>
  <si>
    <t>Compute and Networking Operating Income=6728mm</t>
  </si>
  <si>
    <t>M36</t>
  </si>
  <si>
    <t>Compute and Networking Operating Income=10262mm</t>
  </si>
  <si>
    <t>N36</t>
  </si>
  <si>
    <t>Compute and Networking Operating Income=12866mm</t>
  </si>
  <si>
    <t>P36</t>
  </si>
  <si>
    <t>Compute and Networking Operating Income=17047mm</t>
  </si>
  <si>
    <t>Q36</t>
  </si>
  <si>
    <t>Compute and Networking Operating Income=18848mm</t>
  </si>
  <si>
    <t>R36</t>
  </si>
  <si>
    <t>Compute and Networking Operating Income=22081mm</t>
  </si>
  <si>
    <t>S36</t>
  </si>
  <si>
    <t>Compute and Networking Operating Income=0mm</t>
  </si>
  <si>
    <t>U36</t>
  </si>
  <si>
    <t>V36</t>
  </si>
  <si>
    <t>F37</t>
  </si>
  <si>
    <t>Graphics</t>
  </si>
  <si>
    <t>Graphics Operating Income=2476mm</t>
  </si>
  <si>
    <t xml:space="preserve">Graphics maps directly to:
- Graphics Operating Income</t>
  </si>
  <si>
    <t>G37</t>
  </si>
  <si>
    <t>Graphics Operating Income=657mm</t>
  </si>
  <si>
    <t>H37</t>
  </si>
  <si>
    <t>Graphics Operating Income=606mm</t>
  </si>
  <si>
    <t>I37</t>
  </si>
  <si>
    <t>Graphics Operating Income=813mm</t>
  </si>
  <si>
    <t>K37</t>
  </si>
  <si>
    <t>Graphics Operating Income=1046mm</t>
  </si>
  <si>
    <t>L37</t>
  </si>
  <si>
    <t>Graphics Operating Income=1211mm</t>
  </si>
  <si>
    <t>M37</t>
  </si>
  <si>
    <t>Graphics Operating Income=1493mm</t>
  </si>
  <si>
    <t>N37</t>
  </si>
  <si>
    <t>Graphics Operating Income=2096mm</t>
  </si>
  <si>
    <t>P37</t>
  </si>
  <si>
    <t>Graphics Operating Income=1241mm</t>
  </si>
  <si>
    <t>Q37</t>
  </si>
  <si>
    <t>Graphics Operating Income=1369mm</t>
  </si>
  <si>
    <t>R37</t>
  </si>
  <si>
    <t>Graphics Operating Income=1502mm</t>
  </si>
  <si>
    <t>S37</t>
  </si>
  <si>
    <t>Graphics Operating Income=0mm</t>
  </si>
  <si>
    <t>U37</t>
  </si>
  <si>
    <t>V37</t>
  </si>
  <si>
    <t>F52</t>
  </si>
  <si>
    <t>Home Improvement Retail D&amp;A</t>
  </si>
  <si>
    <t>needs_review</t>
  </si>
  <si>
    <t>Needs review: Segment Analysis row was not filled because the template label is blank, generic, or does not confidently match an EDGAR reportable segment.</t>
  </si>
  <si>
    <t>G52</t>
  </si>
  <si>
    <t>H52</t>
  </si>
  <si>
    <t>I52</t>
  </si>
  <si>
    <t>K52</t>
  </si>
  <si>
    <t>L52</t>
  </si>
  <si>
    <t>M52</t>
  </si>
  <si>
    <t>N52</t>
  </si>
  <si>
    <t>P52</t>
  </si>
  <si>
    <t>Q52</t>
  </si>
  <si>
    <t>R52</t>
  </si>
  <si>
    <t>S52</t>
  </si>
  <si>
    <t>U52</t>
  </si>
  <si>
    <t>V52</t>
  </si>
  <si>
    <t>Operating Income segment detail</t>
  </si>
  <si>
    <t>OperatingIncomeLoss, IncomeLossFromContinuingOperationsBeforeIncomeTaxesExtraordinaryItemsNoncontrollingInterest</t>
  </si>
  <si>
    <t>segment rows did not tie to consolidated EDGAR total</t>
  </si>
  <si>
    <t xml:space="preserve">Operating Income segment detail maps directly to:
- Operating Income (Loss)</t>
  </si>
  <si>
    <t>F7</t>
  </si>
  <si>
    <t>calculated</t>
  </si>
  <si>
    <t>Sum of Segment Analysis total company revenue rows</t>
  </si>
  <si>
    <t>G7</t>
  </si>
  <si>
    <t>H7</t>
  </si>
  <si>
    <t>I7</t>
  </si>
  <si>
    <t>K7</t>
  </si>
  <si>
    <t>L7</t>
  </si>
  <si>
    <t>M7</t>
  </si>
  <si>
    <t>N7</t>
  </si>
  <si>
    <t>P7</t>
  </si>
  <si>
    <t>Q7</t>
  </si>
  <si>
    <t>R7</t>
  </si>
  <si>
    <t>S7</t>
  </si>
  <si>
    <t>U7</t>
  </si>
  <si>
    <t>V7</t>
  </si>
  <si>
    <t>F51</t>
  </si>
  <si>
    <t>Sum of Segment Analysis total d&amp;a rows</t>
  </si>
  <si>
    <t>G51</t>
  </si>
  <si>
    <t>H51</t>
  </si>
  <si>
    <t>I51</t>
  </si>
  <si>
    <t>K51</t>
  </si>
  <si>
    <t>L51</t>
  </si>
  <si>
    <t>M51</t>
  </si>
  <si>
    <t>N51</t>
  </si>
  <si>
    <t>P51</t>
  </si>
  <si>
    <t>Q51</t>
  </si>
  <si>
    <t>R51</t>
  </si>
  <si>
    <t>S51</t>
  </si>
  <si>
    <t>U51</t>
  </si>
  <si>
    <t>V51</t>
  </si>
  <si>
    <t>OperatingIncomeLoss</t>
  </si>
  <si>
    <t xml:space="preserve">Total Company Operating Income maps directly to:
- Operating Income (Loss)</t>
  </si>
  <si>
    <t>F28</t>
  </si>
  <si>
    <t>Revenues</t>
  </si>
  <si>
    <t>G28</t>
  </si>
  <si>
    <t>H28</t>
  </si>
  <si>
    <t>I28</t>
  </si>
  <si>
    <t>J28</t>
  </si>
  <si>
    <t>FY23</t>
  </si>
  <si>
    <t>K28</t>
  </si>
  <si>
    <t>L28</t>
  </si>
  <si>
    <t>M28</t>
  </si>
  <si>
    <t>N28</t>
  </si>
  <si>
    <t>O28</t>
  </si>
  <si>
    <t>FY24</t>
  </si>
  <si>
    <t>P28</t>
  </si>
  <si>
    <t>Q28</t>
  </si>
  <si>
    <t>R28</t>
  </si>
  <si>
    <t>S28</t>
  </si>
  <si>
    <t>T28</t>
  </si>
  <si>
    <t>FY25</t>
  </si>
  <si>
    <t>U28</t>
  </si>
  <si>
    <t>V28</t>
  </si>
  <si>
    <t>residual</t>
  </si>
  <si>
    <t>T30</t>
  </si>
  <si>
    <t>GrossProfit</t>
  </si>
  <si>
    <t xml:space="preserve">Gross Profit maps directly to:
- Gross Profit</t>
  </si>
  <si>
    <t xml:space="preserve">EBIT maps directly to:
- Operating Income (Loss)</t>
  </si>
  <si>
    <t>J36</t>
  </si>
  <si>
    <t>O36</t>
  </si>
  <si>
    <t>T36</t>
  </si>
  <si>
    <t>F42</t>
  </si>
  <si>
    <t>IncomeLossFromContinuingOperationsBeforeIncomeTaxesExtraordinaryItemsNoncontrollingInterest</t>
  </si>
  <si>
    <t xml:space="preserve">Pre-Tax Income (Loss) maps directly to:
- Income (Loss) from Continuing Operations before Income Taxes, Noncontrolling Interest</t>
  </si>
  <si>
    <t>G42</t>
  </si>
  <si>
    <t>H42</t>
  </si>
  <si>
    <t>I42</t>
  </si>
  <si>
    <t>J42</t>
  </si>
  <si>
    <t>K42</t>
  </si>
  <si>
    <t>L42</t>
  </si>
  <si>
    <t>M42</t>
  </si>
  <si>
    <t>N42</t>
  </si>
  <si>
    <t>O42</t>
  </si>
  <si>
    <t>P42</t>
  </si>
  <si>
    <t>Q42</t>
  </si>
  <si>
    <t>R42</t>
  </si>
  <si>
    <t>S42</t>
  </si>
  <si>
    <t>T42</t>
  </si>
  <si>
    <t>U42</t>
  </si>
  <si>
    <t>V42</t>
  </si>
  <si>
    <t>O44</t>
  </si>
  <si>
    <t>IncomeTaxExpenseBenefit</t>
  </si>
  <si>
    <t>F45</t>
  </si>
  <si>
    <t>NetIncomeLoss</t>
  </si>
  <si>
    <t xml:space="preserve">Net Income (Loss) maps directly to:
- Net Income (Loss) Attributable to Parent</t>
  </si>
  <si>
    <t>G45</t>
  </si>
  <si>
    <t>H45</t>
  </si>
  <si>
    <t>I45</t>
  </si>
  <si>
    <t>J45</t>
  </si>
  <si>
    <t>K45</t>
  </si>
  <si>
    <t>L45</t>
  </si>
  <si>
    <t>M45</t>
  </si>
  <si>
    <t>N45</t>
  </si>
  <si>
    <t>O45</t>
  </si>
  <si>
    <t>P45</t>
  </si>
  <si>
    <t>Q45</t>
  </si>
  <si>
    <t>R45</t>
  </si>
  <si>
    <t>S45</t>
  </si>
  <si>
    <t>T45</t>
  </si>
  <si>
    <t>U45</t>
  </si>
  <si>
    <t>V45</t>
  </si>
  <si>
    <t>J120</t>
  </si>
  <si>
    <t>balance-sheet formula replaced with EDGAR period-end value</t>
  </si>
  <si>
    <t>O120</t>
  </si>
  <si>
    <t>T120</t>
  </si>
  <si>
    <t>J121</t>
  </si>
  <si>
    <t>O121</t>
  </si>
  <si>
    <t>T121</t>
  </si>
  <si>
    <t>J122</t>
  </si>
  <si>
    <t>O122</t>
  </si>
  <si>
    <t>T122</t>
  </si>
  <si>
    <t>J126</t>
  </si>
  <si>
    <t>O126</t>
  </si>
  <si>
    <t>T126</t>
  </si>
  <si>
    <t>J127</t>
  </si>
  <si>
    <t>O127</t>
  </si>
  <si>
    <t>T127</t>
  </si>
  <si>
    <t>J128</t>
  </si>
  <si>
    <t>O128</t>
  </si>
  <si>
    <t>T128</t>
  </si>
  <si>
    <t>J134</t>
  </si>
  <si>
    <t>O134</t>
  </si>
  <si>
    <t>T134</t>
  </si>
  <si>
    <t>J123</t>
  </si>
  <si>
    <t>O123</t>
  </si>
  <si>
    <t>T123</t>
  </si>
  <si>
    <t>J129</t>
  </si>
  <si>
    <t>O129</t>
  </si>
  <si>
    <t>T129</t>
  </si>
  <si>
    <t>J135</t>
  </si>
  <si>
    <t>O135</t>
  </si>
  <si>
    <t>T135</t>
  </si>
  <si>
    <t>J136</t>
  </si>
  <si>
    <t>O136</t>
  </si>
  <si>
    <t>T136</t>
  </si>
  <si>
    <t>J140</t>
  </si>
  <si>
    <t>O140</t>
  </si>
  <si>
    <t>T140</t>
  </si>
  <si>
    <t>J141</t>
  </si>
  <si>
    <t>O141</t>
  </si>
  <si>
    <t>T141</t>
  </si>
  <si>
    <t>Liabilities; Liabilities, Current; Debt, Current; Long-term Debt, Excluding Current Maturities; Debt, Current; Deferred Income Tax Liabilities, Net; OperatingLeaseLiabilityNoncurrent; PensionAndOtherPostretirementDefinedBenefitPlansLiabilityNoncurrent</t>
  </si>
  <si>
    <t>J142</t>
  </si>
  <si>
    <t>O142</t>
  </si>
  <si>
    <t>T142</t>
  </si>
  <si>
    <t>J147</t>
  </si>
  <si>
    <t>O147</t>
  </si>
  <si>
    <t>T147</t>
  </si>
  <si>
    <t>J148</t>
  </si>
  <si>
    <t>O148</t>
  </si>
  <si>
    <t>T148</t>
  </si>
  <si>
    <t>J149</t>
  </si>
  <si>
    <t>O149</t>
  </si>
  <si>
    <t>T149</t>
  </si>
  <si>
    <t>J150</t>
  </si>
  <si>
    <t>O150</t>
  </si>
  <si>
    <t>T150</t>
  </si>
  <si>
    <t>J153</t>
  </si>
  <si>
    <t>MinorityInterest=0mm</t>
  </si>
  <si>
    <t>MinorityInterest</t>
  </si>
  <si>
    <t>O153</t>
  </si>
  <si>
    <t>T153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</si>
</sst>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56">
    <numFmt numFmtId="164" formatCode="&quot;$&quot;#,##0.0_);[Red](&quot;$&quot;#,##0.0)"/>
    <numFmt numFmtId="165" formatCode="_(* #,##0.0_);_(* (#,##0.0);_(* &quot;-&quot;?_);_(@_)"/>
    <numFmt numFmtId="166" formatCode="&quot;$&quot;#,##0_);[Red](&quot;$&quot;#,##0)"/>
    <numFmt numFmtId="167" formatCode="#,##0.0%_);(#,##0.0%)"/>
    <numFmt numFmtId="168" formatCode="&quot;$&quot;#,##0_);(&quot;$&quot;#,##0)"/>
    <numFmt numFmtId="169" formatCode="m/d/yy"/>
    <numFmt numFmtId="170" formatCode="$0.00"/>
    <numFmt numFmtId="171" formatCode="#,##0.0%_);(#,##0.0%_)"/>
    <numFmt numFmtId="172" formatCode="#,##0.0_);(#,##0.0)"/>
    <numFmt numFmtId="173" formatCode="_(* #,##0.00_);_(* (#,##0.00);_(* &quot;-&quot;??_);_(@_)"/>
    <numFmt numFmtId="174" formatCode="0.0%"/>
    <numFmt numFmtId="175" formatCode="&quot;$&quot;#,##0.00_);(&quot;$&quot;#,##0.00)"/>
    <numFmt numFmtId="176" formatCode="yyyy&quot;A&quot;"/>
    <numFmt numFmtId="177" formatCode="yyyy&quot;E&quot;"/>
    <numFmt numFmtId="178" formatCode="0.0x_);(0.0x)"/>
    <numFmt numFmtId="179" formatCode="&quot;$&quot;#,##0.00"/>
    <numFmt numFmtId="180" formatCode="0.0&quot;x&quot;"/>
    <numFmt numFmtId="181" formatCode="_([$$-409]* #,##0_);_([$$-409]* (#,##0);_([$$-409]* &quot;-&quot;??_);_(@_)"/>
    <numFmt numFmtId="182" formatCode="_(&quot;$&quot;* #,##0.00_);_(&quot;$&quot;* (#,##0.00);_(&quot;$&quot;* &quot;-&quot;??_);_(@_)"/>
    <numFmt numFmtId="183" formatCode="_(&quot;$&quot;* #,##0.0_);_(&quot;$&quot;* (#,##0.0);_(&quot;$&quot;* &quot;-&quot;?_);_(@_)"/>
    <numFmt numFmtId="184" formatCode="_(* #,##0.00_);_(* (#,##0.00);_(* &quot;-&quot;?_);_(@_)"/>
    <numFmt numFmtId="185" formatCode="&quot;Check!&quot;;&quot;Check!&quot;;&quot;OK!&quot;"/>
    <numFmt numFmtId="186" formatCode="&quot;$&quot;#,##0.0_);(&quot;$&quot;#,##0.0)"/>
    <numFmt numFmtId="187" formatCode="0.0%;(0.0%)"/>
    <numFmt numFmtId="188" formatCode="_(* #,##0.0_);_(* (#,##0.0);_(* &quot;-&quot;??_);_(@_)"/>
    <numFmt numFmtId="189" formatCode="0.00x;(0.00x)"/>
    <numFmt numFmtId="190" formatCode="0.0x;(0.0x)"/>
    <numFmt numFmtId="191" formatCode="0.0;(0.0)"/>
    <numFmt numFmtId="192" formatCode="#.#;(#.#)"/>
    <numFmt numFmtId="193" formatCode="#,##0.0;(#,##0.0)"/>
    <numFmt numFmtId="194" formatCode="&quot;$&quot;#,##0.00_);(&quot;$&quot;#,##0.00);&quot;OK!&quot;"/>
    <numFmt numFmtId="195" formatCode="#.#x;(#.#x)"/>
    <numFmt numFmtId="196" formatCode="#,##0.000000_);(#,##0.000000)"/>
    <numFmt numFmtId="197" formatCode="&quot;$&quot;#,##0.00_);[Red](&quot;$&quot;#,##0.00)"/>
    <numFmt numFmtId="198" formatCode="0.00%;(0.00%)"/>
    <numFmt numFmtId="199" formatCode="&quot;$&quot;#,##0.0"/>
    <numFmt numFmtId="200" formatCode="#,##0.0%_);(#,##0.0%);_(@_)"/>
    <numFmt numFmtId="201" formatCode="#,##0.0%_);(#,##0.0)%"/>
    <numFmt numFmtId="202" formatCode="[$-409]d-mmm"/>
    <numFmt numFmtId="203" formatCode="0.0x"/>
    <numFmt numFmtId="204" formatCode="0.00_);(0.00)"/>
    <numFmt numFmtId="205" formatCode="#,##0.0x_);(#,##0.0x_)"/>
    <numFmt numFmtId="206" formatCode="_(0.0%_);(0.0%);_(&quot;-&quot;_)_%"/>
    <numFmt numFmtId="207" formatCode="0.0"/>
    <numFmt numFmtId="208" formatCode="&quot;&quot;"/>
    <numFmt numFmtId="209" formatCode="#,##0.00%_);(#,##0.00%)"/>
    <numFmt numFmtId="210" formatCode="&quot;$&quot;#,##0"/>
    <numFmt numFmtId="211" formatCode="#,##0.00%_);(#,##0.00%_)"/>
    <numFmt numFmtId="212" formatCode="0.0 x"/>
    <numFmt numFmtId="213" formatCode="#,##0.0%_);(#,##0.0%);* &quot;-&quot;;_(@_)"/>
    <numFmt numFmtId="214" formatCode="0.00%_);(0.00%)"/>
    <numFmt numFmtId="215" formatCode="_(&quot;$&quot;* #,##0.0_);_(&quot;$&quot;* (#,##0.0);_(&quot;$&quot;* &quot;-&quot;??_);_(@_)"/>
    <numFmt numFmtId="216" formatCode="#,##0.0%_);(#,##0.0%);&quot;-&quot;"/>
    <numFmt numFmtId="217" formatCode="_(&quot;$&quot;* #,##0_);_(&quot;$&quot;* (#,##0);_(&quot;$&quot;* &quot;-&quot;??_);_(@_)"/>
    <numFmt numFmtId="218" formatCode="yyyy"/>
    <numFmt numFmtId="219" formatCode="#,##0.0x_);(#,##0.0x);&quot;-&quot;"/>
  </numFmts>
  <fonts count="59" x14ac:knownFonts="1">
    <font>
      <color theme="1"/>
      <family val="2"/>
      <scheme val="minor"/>
      <sz val="11"/>
      <name val="Calibri"/>
    </font>
    <font>
      <color rgb="FFC8C8C8"/>
      <sz val="11"/>
      <name val="Abadi"/>
    </font>
    <font>
      <color theme="1"/>
      <sz val="14"/>
      <name val="Abadi"/>
    </font>
    <font>
      <color theme="1"/>
      <sz val="11"/>
      <name val="Abadi"/>
    </font>
    <font>
      <color rgb="FF000000"/>
      <sz val="10"/>
      <name val="Abadi"/>
    </font>
    <font>
      <color theme="0"/>
      <sz val="11"/>
      <name val="Abadi"/>
    </font>
    <font>
      <family val="2"/>
      <sz val="11"/>
      <name val="Calibri"/>
    </font>
    <font>
      <color theme="1"/>
      <sz val="10"/>
      <name val="Abadi"/>
    </font>
    <font>
      <u/>
      <color theme="1"/>
      <sz val="11"/>
      <name val="Abadi"/>
    </font>
    <font>
      <u/>
      <color theme="1"/>
      <sz val="14"/>
      <name val="Abadi"/>
    </font>
    <font>
      <i/>
      <color theme="1"/>
      <sz val="11"/>
      <name val="Abadi"/>
    </font>
    <font>
      <color rgb="FF0000FF"/>
      <sz val="11"/>
      <name val="Abadi"/>
    </font>
    <font>
      <color rgb="FFC8C8C8"/>
      <sz val="10"/>
      <name val="Abadi"/>
    </font>
    <font>
      <color theme="0"/>
      <sz val="10"/>
      <name val="Abadi"/>
    </font>
    <font>
      <color rgb="FF008000"/>
      <sz val="10"/>
      <name val="Abadi"/>
    </font>
    <font>
      <color rgb="FF008000"/>
      <sz val="11"/>
      <name val="Abadi"/>
    </font>
    <font>
      <color rgb="FF0000FF"/>
      <sz val="10"/>
      <name val="Abadi"/>
    </font>
    <font>
      <color rgb="FF0000FF"/>
      <family val="2"/>
      <sz val="10"/>
      <name val="Arial"/>
    </font>
    <font>
      <u/>
      <color theme="10"/>
      <sz val="11"/>
      <name val="Abadi"/>
    </font>
    <font>
      <color theme="1"/>
      <family val="2"/>
      <sz val="10"/>
      <name val="Arial"/>
    </font>
    <font>
      <color rgb="FF7F7F7F"/>
      <sz val="10"/>
      <name val="Abadi"/>
    </font>
    <font>
      <color theme="1"/>
      <scheme val="minor"/>
      <sz val="11"/>
      <name val="Calibri"/>
    </font>
    <font>
      <color rgb="FFC00000"/>
      <sz val="10"/>
      <name val="Abadi"/>
    </font>
    <font>
      <color theme="0"/>
      <family val="1"/>
      <sz val="11"/>
      <name val="Garamond"/>
    </font>
    <font>
      <i/>
      <color theme="1"/>
      <sz val="10"/>
      <name val="Abadi"/>
    </font>
    <font>
      <color theme="1"/>
      <sz val="16"/>
      <name val="Abadi"/>
    </font>
    <font>
      <color theme="1"/>
      <family val="2"/>
      <sz val="11"/>
      <name val="Calibri"/>
    </font>
    <font>
      <color theme="1"/>
      <sz val="1"/>
      <name val="Abadi"/>
    </font>
    <font>
      <color theme="0"/>
      <sz val="1"/>
      <name val="Abadi"/>
    </font>
    <font>
      <color rgb="FFB4B4B4"/>
      <sz val="10"/>
      <name val="Abadi"/>
    </font>
    <font>
      <color rgb="FF000000"/>
      <sz val="11"/>
      <name val="Abadi"/>
    </font>
    <font>
      <u/>
      <color theme="1"/>
      <sz val="10"/>
      <name val="Abadi"/>
    </font>
    <font>
      <color rgb="FFD8D8D8"/>
      <sz val="10"/>
      <name val="Abadi"/>
    </font>
    <font>
      <color rgb="FFFFFFFF"/>
      <sz val="10"/>
      <name val="Abadi"/>
    </font>
    <font>
      <color rgb="FF002060"/>
      <sz val="10"/>
      <name val="Abadi"/>
    </font>
    <font>
      <i/>
      <color rgb="FFD8D8D8"/>
      <family val="2"/>
      <sz val="10"/>
      <name val="Abadi Extra Light"/>
    </font>
    <font>
      <i/>
      <color theme="1"/>
      <family val="2"/>
      <sz val="10"/>
      <name val="Abadi Extra Light"/>
    </font>
    <font>
      <i/>
      <color rgb="FF000000"/>
      <sz val="10"/>
      <name val="Abadi"/>
    </font>
    <font>
      <i/>
      <color rgb="FF008000"/>
      <family val="2"/>
      <sz val="10"/>
      <name val="Abadi Extra Light"/>
    </font>
    <font>
      <i/>
      <color rgb="FFD8D8D8"/>
      <sz val="10"/>
      <name val="Abadi"/>
    </font>
    <font>
      <i/>
      <color rgb="FF008000"/>
      <sz val="10"/>
      <name val="Abadi"/>
    </font>
    <font>
      <i/>
      <color rgb="FF0000FF"/>
      <sz val="10"/>
      <name val="Abadi"/>
    </font>
    <font>
      <u/>
      <color rgb="FFD8D8D8"/>
      <sz val="11"/>
      <name val="Abadi"/>
    </font>
    <font>
      <color rgb="FFD8D8D8"/>
      <sz val="11"/>
      <name val="Abadi"/>
    </font>
    <font>
      <u/>
      <color theme="0"/>
      <sz val="11"/>
      <name val="Abadi"/>
    </font>
    <font>
      <u/>
      <color theme="0"/>
      <sz val="10"/>
      <name val="Abadi"/>
    </font>
    <font>
      <u/>
      <color rgb="FFFFFFFF"/>
      <sz val="10"/>
      <name val="Abadi"/>
    </font>
    <font>
      <u/>
      <color rgb="FF000000"/>
      <sz val="10"/>
      <name val="Abadi"/>
    </font>
    <font>
      <i/>
      <color theme="0"/>
      <sz val="10"/>
      <name val="Abadi"/>
    </font>
    <font>
      <b/>
      <color rgb="FFFFFFFF"/>
      <sz val="24"/>
      <name val="Abadi"/>
    </font>
    <font>
      <b/>
      <color theme="1"/>
      <sz val="10"/>
      <name val="Abadi"/>
    </font>
    <font>
      <color rgb="FF00355F"/>
      <sz val="10"/>
      <name val="Abadi"/>
    </font>
    <font>
      <i/>
      <color theme="1"/>
      <family val="1"/>
      <sz val="11"/>
      <name val="Garamond"/>
    </font>
    <font>
      <u/>
      <color rgb="FF000000"/>
      <sz val="14"/>
      <name val="Abadi"/>
    </font>
    <font>
      <color rgb="FFFF0000"/>
      <sz val="11"/>
      <name val="Abadi"/>
    </font>
    <font>
      <color rgb="FF760000"/>
      <sz val="10"/>
      <name val="Abadi"/>
    </font>
    <font>
      <color rgb="FFB40000"/>
      <sz val="10"/>
      <name val="Abadi"/>
    </font>
    <font>
      <color rgb="FFFF0000"/>
      <sz val="10"/>
      <name val="Abadi"/>
    </font>
    <font>
      <b/>
    </font>
  </fonts>
  <fills count="20">
    <fill>
      <patternFill patternType="none"/>
    </fill>
    <fill>
      <patternFill patternType="gray125"/>
    </fill>
    <fill>
      <patternFill patternType="solid">
        <fgColor rgb="FF00355F"/>
        <bgColor rgb="FF00355F"/>
      </patternFill>
    </fill>
    <fill>
      <patternFill patternType="solid">
        <fgColor rgb="FFC0DEF6"/>
        <bgColor rgb="FFC0DEF6"/>
      </patternFill>
    </fill>
    <fill>
      <patternFill patternType="solid">
        <fgColor rgb="FFD8D8D8"/>
        <bgColor rgb="FFD8D8D8"/>
      </patternFill>
    </fill>
    <fill>
      <patternFill patternType="solid">
        <fgColor rgb="FFFFFF99"/>
        <bgColor rgb="FFFFFF99"/>
      </patternFill>
    </fill>
    <fill>
      <patternFill patternType="solid">
        <fgColor rgb="FF008000"/>
        <bgColor rgb="FF008000"/>
      </patternFill>
    </fill>
    <fill>
      <patternFill patternType="solid">
        <fgColor rgb="FF760000"/>
        <bgColor rgb="FF760000"/>
      </patternFill>
    </fill>
    <fill>
      <patternFill patternType="solid">
        <fgColor rgb="FFFFD5D5"/>
        <bgColor rgb="FFFFD5D5"/>
      </patternFill>
    </fill>
    <fill>
      <patternFill patternType="solid">
        <fgColor rgb="FF0000FF"/>
        <bgColor rgb="FF0000FF"/>
      </patternFill>
    </fill>
    <fill>
      <patternFill patternType="solid">
        <fgColor rgb="FFFFDF9F"/>
        <bgColor rgb="FFFFDF9F"/>
      </patternFill>
    </fill>
    <fill>
      <patternFill patternType="solid">
        <fgColor rgb="FF003860"/>
        <bgColor rgb="FF003860"/>
      </patternFill>
    </fill>
    <fill>
      <patternFill patternType="solid">
        <fgColor rgb="FFD7D7D7"/>
        <bgColor rgb="FFD7D7D7"/>
      </patternFill>
    </fill>
    <fill>
      <patternFill patternType="solid">
        <fgColor rgb="FFEBEBEB"/>
        <bgColor rgb="FFEBEBEB"/>
      </patternFill>
    </fill>
    <fill>
      <patternFill patternType="solid">
        <fgColor rgb="FFFEF2CB"/>
        <bgColor rgb="FFFEF2CB"/>
      </patternFill>
    </fill>
    <fill>
      <patternFill patternType="solid">
        <fgColor rgb="FFECECEC"/>
        <bgColor rgb="FFECECEC"/>
      </patternFill>
    </fill>
    <fill>
      <patternFill patternType="solid">
        <fgColor rgb="FFBDD7EE"/>
        <bgColor rgb="FFBDD7EE"/>
      </patternFill>
    </fill>
    <fill>
      <patternFill patternType="solid">
        <fgColor rgb="FF000000"/>
        <bgColor rgb="FF000000"/>
      </patternFill>
    </fill>
    <fill>
      <patternFill patternType="solid">
        <fgColor rgb="FFFFFF00"/>
        <bgColor rgb="FFFFFF00"/>
      </patternFill>
    </fill>
    <fill>
      <patternFill patternType="solid">
        <fgColor rgb="FF002060"/>
        <bgColor rgb="FF002060"/>
      </patternFill>
    </fill>
  </fills>
  <borders count="84">
    <border>
      <left/>
      <right/>
      <top/>
      <bottom/>
      <diagonal/>
    </border>
    <border>
      <left/>
      <right/>
      <top/>
      <bottom style="medium">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dotted">
        <color rgb="FF000000"/>
      </left>
      <right/>
      <top style="thin">
        <color rgb="FF000000"/>
      </top>
      <bottom style="dotted">
        <color rgb="FF000000"/>
      </bottom>
      <diagonal/>
    </border>
    <border>
      <left/>
      <right style="dotted">
        <color rgb="FF000000"/>
      </right>
      <top style="thin">
        <color rgb="FF000000"/>
      </top>
      <bottom style="dotted">
        <color rgb="FF000000"/>
      </bottom>
      <diagonal/>
    </border>
    <border>
      <left style="thin">
        <color rgb="FF000000"/>
      </left>
      <right style="thin">
        <color rgb="FF000000"/>
      </right>
      <top style="thin">
        <color rgb="FF000000"/>
      </top>
      <bottom style="thin">
        <color rgb="FF000000"/>
      </bottom>
      <diagonal/>
    </border>
    <border>
      <left/>
      <right/>
      <top style="thin">
        <color rgb="FF000000"/>
      </top>
      <bottom style="thin">
        <color rgb="FF000000"/>
      </bottom>
      <diagonal/>
    </border>
    <border>
      <left style="thin">
        <color rgb="FF000000"/>
      </left>
      <right/>
      <top/>
      <bottom/>
      <diagonal/>
    </border>
    <border>
      <left/>
      <right style="thin">
        <color rgb="FF000000"/>
      </right>
      <top/>
      <bottom/>
      <diagonal/>
    </border>
    <border>
      <left/>
      <right/>
      <top style="dotted">
        <color rgb="FF000000"/>
      </top>
      <bottom style="thin">
        <color rgb="FF000000"/>
      </bottom>
      <diagonal/>
    </border>
    <border>
      <left/>
      <right style="thin">
        <color rgb="FF000000"/>
      </right>
      <top style="dotted">
        <color rgb="FF000000"/>
      </top>
      <bottom style="thin">
        <color rgb="FF000000"/>
      </bottom>
      <diagonal/>
    </border>
    <border>
      <left style="thin">
        <color rgb="FF000000"/>
      </left>
      <right/>
      <top style="dotted">
        <color rgb="FF000000"/>
      </top>
      <bottom/>
      <diagonal/>
    </border>
    <border>
      <left/>
      <right/>
      <top style="dotted">
        <color rgb="FF000000"/>
      </top>
      <bottom/>
      <diagonal/>
    </border>
    <border>
      <left/>
      <right style="thin">
        <color rgb="FF000000"/>
      </right>
      <top style="dotted">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dotted">
        <color rgb="FF000000"/>
      </left>
      <right/>
      <top/>
      <bottom/>
      <diagonal/>
    </border>
    <border>
      <left/>
      <right style="dotted">
        <color rgb="FF000000"/>
      </right>
      <top/>
      <bottom/>
      <diagonal/>
    </border>
    <border>
      <left style="dotted">
        <color rgb="FF000000"/>
      </left>
      <right/>
      <top style="thin">
        <color rgb="FF000000"/>
      </top>
      <bottom/>
      <diagonal/>
    </border>
    <border>
      <left/>
      <right/>
      <top style="thin">
        <color rgb="FF000000"/>
      </top>
      <bottom/>
      <diagonal/>
    </border>
    <border>
      <left/>
      <right style="dotted">
        <color rgb="FF000000"/>
      </right>
      <top style="thin">
        <color rgb="FF000000"/>
      </top>
      <bottom/>
      <diagonal/>
    </border>
    <border>
      <left style="dotted">
        <color rgb="FF000000"/>
      </left>
      <right/>
      <top/>
      <bottom style="dotted">
        <color rgb="FF000000"/>
      </bottom>
      <diagonal/>
    </border>
    <border>
      <left/>
      <right/>
      <top/>
      <bottom style="dotted">
        <color rgb="FF000000"/>
      </bottom>
      <diagonal/>
    </border>
    <border>
      <left/>
      <right style="dotted">
        <color rgb="FF000000"/>
      </right>
      <top/>
      <bottom style="dotted">
        <color rgb="FF000000"/>
      </bottom>
      <diagonal/>
    </border>
    <border>
      <left style="dotted">
        <color rgb="FF000000"/>
      </left>
      <right/>
      <top style="dotted">
        <color rgb="FF000000"/>
      </top>
      <bottom style="dotted">
        <color rgb="FF000000"/>
      </bottom>
      <diagonal/>
    </border>
    <border>
      <left/>
      <right style="dotted">
        <color rgb="FF000000"/>
      </right>
      <top style="dotted">
        <color rgb="FF000000"/>
      </top>
      <bottom style="dotted">
        <color rgb="FF000000"/>
      </bottom>
      <diagonal/>
    </border>
    <border>
      <left style="dotted">
        <color rgb="FF000000"/>
      </left>
      <right style="dotted">
        <color rgb="FF000000"/>
      </right>
      <top style="dotted">
        <color rgb="FF000000"/>
      </top>
      <bottom style="dotted">
        <color rgb="FF000000"/>
      </bottom>
      <diagonal/>
    </border>
    <border>
      <left/>
      <right/>
      <top style="dotted">
        <color rgb="FF000000"/>
      </top>
      <bottom style="dotted">
        <color rgb="FF000000"/>
      </bottom>
      <diagonal/>
    </border>
    <border>
      <left/>
      <right/>
      <top/>
      <bottom style="medium">
        <color theme="0"/>
      </bottom>
      <diagonal/>
    </border>
    <border>
      <left style="thin">
        <color rgb="FF000000"/>
      </left>
      <right style="thin">
        <color rgb="FF000000"/>
      </right>
      <top style="thin">
        <color rgb="FF000000"/>
      </top>
      <bottom/>
      <diagonal/>
    </border>
    <border>
      <left/>
      <right style="medium">
        <color rgb="FF000000"/>
      </right>
      <top/>
      <bottom/>
      <diagonal/>
    </border>
    <border>
      <left/>
      <right style="hair">
        <color rgb="FF000000"/>
      </right>
      <top/>
      <bottom/>
      <diagonal/>
    </border>
    <border>
      <left style="thin">
        <color rgb="FF000000"/>
      </left>
      <right style="thin">
        <color rgb="FF000000"/>
      </right>
      <top/>
      <bottom/>
      <diagonal/>
    </border>
    <border>
      <left/>
      <right style="medium">
        <color rgb="FF000000"/>
      </right>
      <top/>
      <bottom style="thin">
        <color rgb="FF000000"/>
      </bottom>
      <diagonal/>
    </border>
    <border>
      <left/>
      <right style="hair">
        <color rgb="FF000000"/>
      </right>
      <top style="thin">
        <color rgb="FF000000"/>
      </top>
      <bottom/>
      <diagonal/>
    </border>
    <border>
      <left/>
      <right style="medium">
        <color rgb="FF000000"/>
      </right>
      <top style="thin">
        <color rgb="FF000000"/>
      </top>
      <bottom/>
      <diagonal/>
    </border>
    <border>
      <left style="thin">
        <color rgb="FF000000"/>
      </left>
      <right style="thin">
        <color rgb="FF000000"/>
      </right>
      <top/>
      <bottom style="thin">
        <color rgb="FF000000"/>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thin">
        <color rgb="FF000000"/>
      </left>
      <right/>
      <top style="thin">
        <color rgb="FF000000"/>
      </top>
      <bottom style="medium">
        <color rgb="FF000000"/>
      </bottom>
      <diagonal/>
    </border>
    <border>
      <left/>
      <right/>
      <top style="thin">
        <color rgb="FF000000"/>
      </top>
      <bottom style="medium">
        <color rgb="FF000000"/>
      </bottom>
      <diagonal/>
    </border>
    <border>
      <left/>
      <right style="thin">
        <color rgb="FF000000"/>
      </right>
      <top style="thin">
        <color rgb="FF000000"/>
      </top>
      <bottom style="medium">
        <color rgb="FF000000"/>
      </bottom>
      <diagonal/>
    </border>
    <border>
      <left/>
      <right style="thin">
        <color rgb="FF000000"/>
      </right>
      <top style="thin">
        <color rgb="FF000000"/>
      </top>
      <bottom/>
      <diagonal/>
    </border>
    <border>
      <left/>
      <right style="thin">
        <color rgb="FF000000"/>
      </right>
      <top/>
      <bottom style="dotted">
        <color rgb="FF000000"/>
      </bottom>
      <diagonal/>
    </border>
    <border>
      <left style="thin">
        <color rgb="FF000000"/>
      </left>
      <right/>
      <top style="thin">
        <color rgb="FF000000"/>
      </top>
      <bottom/>
      <diagonal/>
    </border>
    <border>
      <left style="thin">
        <color rgb="FF000000"/>
      </left>
      <right/>
      <top/>
      <bottom style="dotted">
        <color rgb="FF000000"/>
      </bottom>
      <diagonal/>
    </border>
    <border>
      <left/>
      <right/>
      <top style="thin">
        <color rgb="FF000000"/>
      </top>
      <bottom style="medium">
        <color theme="0"/>
      </bottom>
      <diagonal/>
    </border>
    <border>
      <left/>
      <right style="thin">
        <color rgb="FF000000"/>
      </right>
      <top style="thin">
        <color rgb="FF000000"/>
      </top>
      <bottom style="medium">
        <color theme="0"/>
      </bottom>
      <diagonal/>
    </border>
    <border>
      <left style="thin">
        <color rgb="FF000000"/>
      </left>
      <right style="thin">
        <color rgb="FF000000"/>
      </right>
      <top style="thin">
        <color rgb="FF000000"/>
      </top>
      <bottom style="medium">
        <color theme="0"/>
      </bottom>
      <diagonal/>
    </border>
    <border>
      <left/>
      <right style="thin">
        <color theme="0"/>
      </right>
      <top/>
      <bottom/>
      <diagonal/>
    </border>
    <border>
      <left style="thin">
        <color theme="0"/>
      </left>
      <right style="thin">
        <color theme="0"/>
      </right>
      <top/>
      <bottom/>
      <diagonal/>
    </border>
    <border>
      <left style="thin">
        <color theme="0"/>
      </left>
      <right/>
      <top/>
      <bottom/>
      <diagonal/>
    </border>
    <border>
      <left style="medium">
        <color rgb="FF00355F"/>
      </left>
      <right/>
      <top style="medium">
        <color rgb="FF00355F"/>
      </top>
      <bottom style="medium">
        <color rgb="FF00355F"/>
      </bottom>
      <diagonal/>
    </border>
    <border>
      <left/>
      <right/>
      <top style="medium">
        <color rgb="FF00355F"/>
      </top>
      <bottom style="medium">
        <color rgb="FF00355F"/>
      </bottom>
      <diagonal/>
    </border>
    <border>
      <left/>
      <right style="medium">
        <color rgb="FF00355F"/>
      </right>
      <top style="medium">
        <color rgb="FF00355F"/>
      </top>
      <bottom style="medium">
        <color rgb="FF00355F"/>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diagonal/>
    </border>
    <border>
      <left style="medium">
        <color rgb="FF000000"/>
      </left>
      <right/>
      <top/>
      <bottom style="medium">
        <color rgb="FF000000"/>
      </bottom>
      <diagonal/>
    </border>
    <border>
      <left/>
      <right style="medium">
        <color rgb="FF000000"/>
      </right>
      <top/>
      <bottom style="medium">
        <color rgb="FF000000"/>
      </bottom>
      <diagonal/>
    </border>
    <border>
      <left style="medium">
        <color rgb="FF000000"/>
      </left>
      <right/>
      <top style="medium">
        <color rgb="FF000000"/>
      </top>
      <bottom style="dotted">
        <color rgb="FF000000"/>
      </bottom>
      <diagonal/>
    </border>
    <border>
      <left/>
      <right/>
      <top style="medium">
        <color rgb="FF000000"/>
      </top>
      <bottom style="dotted">
        <color rgb="FF000000"/>
      </bottom>
      <diagonal/>
    </border>
    <border>
      <left/>
      <right style="medium">
        <color rgb="FF000000"/>
      </right>
      <top style="medium">
        <color rgb="FF000000"/>
      </top>
      <bottom style="dotted">
        <color rgb="FF000000"/>
      </bottom>
      <diagonal/>
    </border>
    <border>
      <left style="medium">
        <color rgb="FF000000"/>
      </left>
      <right/>
      <top style="dotted">
        <color rgb="FF000000"/>
      </top>
      <bottom style="dotted">
        <color rgb="FF000000"/>
      </bottom>
      <diagonal/>
    </border>
    <border>
      <left/>
      <right style="medium">
        <color rgb="FF000000"/>
      </right>
      <top style="dotted">
        <color rgb="FF000000"/>
      </top>
      <bottom style="dotted">
        <color rgb="FF000000"/>
      </bottom>
      <diagonal/>
    </border>
    <border>
      <left style="medium">
        <color rgb="FF000000"/>
      </left>
      <right/>
      <top style="dotted">
        <color rgb="FF000000"/>
      </top>
      <bottom style="medium">
        <color rgb="FF000000"/>
      </bottom>
      <diagonal/>
    </border>
    <border>
      <left/>
      <right/>
      <top style="dotted">
        <color rgb="FF000000"/>
      </top>
      <bottom style="medium">
        <color rgb="FF000000"/>
      </bottom>
      <diagonal/>
    </border>
    <border>
      <left/>
      <right style="medium">
        <color rgb="FF000000"/>
      </right>
      <top style="dotted">
        <color rgb="FF000000"/>
      </top>
      <bottom style="medium">
        <color rgb="FF000000"/>
      </bottom>
      <diagonal/>
    </border>
    <border>
      <left style="medium">
        <color rgb="FF000000"/>
      </left>
      <right style="medium">
        <color rgb="FF000000"/>
      </right>
      <top style="medium">
        <color rgb="FF000000"/>
      </top>
      <bottom/>
      <diagonal/>
    </border>
    <border>
      <left style="medium">
        <color rgb="FF000000"/>
      </left>
      <right style="medium">
        <color rgb="FF000000"/>
      </right>
      <top/>
      <bottom/>
      <diagonal/>
    </border>
    <border>
      <left style="medium">
        <color rgb="FF000000"/>
      </left>
      <right style="medium">
        <color rgb="FF000000"/>
      </right>
      <top/>
      <bottom style="medium">
        <color rgb="FF000000"/>
      </bottom>
      <diagonal/>
    </border>
    <border>
      <left style="hair">
        <color rgb="FF000000"/>
      </left>
      <right/>
      <top style="thin">
        <color rgb="FF000000"/>
      </top>
      <bottom/>
      <diagonal/>
    </border>
    <border>
      <left style="hair">
        <color rgb="FF000000"/>
      </left>
      <right/>
      <top/>
      <bottom/>
      <diagonal/>
    </border>
    <border>
      <left style="hair">
        <color rgb="FF000000"/>
      </left>
      <right/>
      <top/>
      <bottom style="thin">
        <color rgb="FF000000"/>
      </bottom>
      <diagonal/>
    </border>
    <border>
      <left/>
      <right style="hair">
        <color rgb="FF000000"/>
      </right>
      <top/>
      <bottom style="thin">
        <color rgb="FF000000"/>
      </bottom>
      <diagonal/>
    </border>
    <border>
      <left style="hair">
        <color rgb="FF000000"/>
      </left>
      <right/>
      <top style="dotted">
        <color rgb="FF000000"/>
      </top>
      <bottom style="dotted">
        <color rgb="FF000000"/>
      </bottom>
      <diagonal/>
    </border>
    <border>
      <left/>
      <right style="hair">
        <color rgb="FF000000"/>
      </right>
      <top style="dotted">
        <color rgb="FF000000"/>
      </top>
      <bottom style="dotted">
        <color rgb="FF000000"/>
      </bottom>
      <diagonal/>
    </border>
    <border>
      <left style="medium">
        <color rgb="FF000000"/>
      </left>
      <right style="thin">
        <color rgb="FF000000"/>
      </right>
      <top/>
      <bottom/>
      <diagonal/>
    </border>
    <border>
      <left/>
      <right/>
      <top style="medium">
        <color rgb="FF000000"/>
      </top>
      <bottom style="thin">
        <color rgb="FF000000"/>
      </bottom>
      <diagonal/>
    </border>
    <border>
      <left style="medium">
        <color theme="0"/>
      </left>
      <right/>
      <top/>
      <bottom/>
      <diagonal/>
    </border>
  </borders>
  <cellStyleXfs count="1">
    <xf numFmtId="0" fontId="0" fillId="0" borderId="0"/>
  </cellStyleXfs>
  <cellXfs count="919">
    <xf numFmtId="0" fontId="0" fillId="0" borderId="0" xfId="0"/>
    <xf numFmtId="0" fontId="1" fillId="0" borderId="0" xfId="0" applyFont="1"/>
    <xf numFmtId="0" fontId="2" fillId="0" borderId="1" xfId="0" applyFont="1" applyBorder="1"/>
    <xf numFmtId="0" fontId="3" fillId="0" borderId="1" xfId="0" applyFont="1" applyBorder="1"/>
    <xf numFmtId="0" fontId="3" fillId="0" borderId="0" xfId="0" applyFont="1"/>
    <xf numFmtId="0" fontId="4" fillId="0" borderId="0" xfId="0" applyFont="1"/>
    <xf numFmtId="0" fontId="5" fillId="2" borderId="2" xfId="0" applyFont="1" applyFill="1" applyBorder="1" applyAlignment="1">
      <alignment horizontal="center"/>
    </xf>
    <xf numFmtId="0" fontId="6" fillId="0" borderId="3" xfId="0" applyFont="1" applyBorder="1"/>
    <xf numFmtId="0" fontId="7" fillId="0" borderId="4" xfId="0" applyFont="1" applyBorder="1" applyAlignment="1">
      <alignment vertical="top" wrapText="1"/>
    </xf>
    <xf numFmtId="0" fontId="6" fillId="0" borderId="5" xfId="0" applyFont="1" applyBorder="1"/>
    <xf numFmtId="0" fontId="5" fillId="0" borderId="0" xfId="0" applyFont="1" applyAlignment="1">
      <alignment horizontal="center"/>
    </xf>
    <xf numFmtId="0" fontId="8" fillId="0" borderId="0" xfId="0" applyFont="1"/>
    <xf numFmtId="0" fontId="9" fillId="0" borderId="0" xfId="0" applyFont="1"/>
    <xf numFmtId="0" fontId="5" fillId="2" borderId="6" xfId="0" applyFont="1" applyFill="1" applyBorder="1" applyAlignment="1">
      <alignment horizontal="center"/>
    </xf>
    <xf numFmtId="0" fontId="10" fillId="0" borderId="0" xfId="0" applyFont="1"/>
    <xf numFmtId="0" fontId="11" fillId="3" borderId="6" xfId="0" applyFont="1" applyFill="1" applyBorder="1" applyAlignment="1">
      <alignment horizontal="center"/>
    </xf>
    <xf numFmtId="0" fontId="7" fillId="0" borderId="0" xfId="0" applyFont="1"/>
    <xf numFmtId="0" fontId="12" fillId="0" borderId="0" xfId="0" applyFont="1"/>
    <xf numFmtId="0" fontId="13" fillId="2" borderId="2" xfId="0" applyFont="1" applyFill="1" applyBorder="1"/>
    <xf numFmtId="0" fontId="13" fillId="2" borderId="7" xfId="0" applyFont="1" applyFill="1" applyBorder="1"/>
    <xf numFmtId="0" fontId="13" fillId="2" borderId="3" xfId="0" applyFont="1" applyFill="1" applyBorder="1"/>
    <xf numFmtId="0" fontId="3" fillId="3" borderId="2" xfId="0" applyFont="1" applyFill="1" applyBorder="1" applyAlignment="1">
      <alignment horizontal="center"/>
    </xf>
    <xf numFmtId="0" fontId="6" fillId="0" borderId="7" xfId="0" applyFont="1" applyBorder="1"/>
    <xf numFmtId="0" fontId="3" fillId="4" borderId="2" xfId="0" applyFont="1" applyFill="1" applyBorder="1" applyAlignment="1">
      <alignment horizontal="center"/>
    </xf>
    <xf numFmtId="0" fontId="3" fillId="0" borderId="8" xfId="0" applyFont="1" applyBorder="1"/>
    <xf numFmtId="164" fontId="14" fillId="0" borderId="9" xfId="0" applyNumberFormat="1" applyFont="1" applyBorder="1"/>
    <xf numFmtId="0" fontId="3" fillId="0" borderId="10" xfId="0" applyFont="1" applyBorder="1" applyAlignment="1">
      <alignment horizontal="center"/>
    </xf>
    <xf numFmtId="0" fontId="3" fillId="0" borderId="11" xfId="0" applyFont="1" applyBorder="1" applyAlignment="1">
      <alignment horizontal="center"/>
    </xf>
    <xf numFmtId="165" fontId="14" fillId="0" borderId="9" xfId="0" applyNumberFormat="1" applyFont="1" applyBorder="1"/>
    <xf numFmtId="0" fontId="3" fillId="0" borderId="9" xfId="0" applyFont="1" applyBorder="1"/>
    <xf numFmtId="0" fontId="15" fillId="0" borderId="9" xfId="0" applyFont="1" applyBorder="1"/>
    <xf numFmtId="166" fontId="14" fillId="0" borderId="0" xfId="0" applyNumberFormat="1" applyFont="1"/>
    <xf numFmtId="167" fontId="14" fillId="0" borderId="9" xfId="0" applyNumberFormat="1" applyFont="1" applyBorder="1"/>
    <xf numFmtId="0" fontId="3" fillId="0" borderId="12" xfId="0" applyFont="1" applyBorder="1"/>
    <xf numFmtId="0" fontId="3" fillId="0" borderId="13" xfId="0" applyFont="1" applyBorder="1"/>
    <xf numFmtId="168" fontId="14" fillId="0" borderId="14" xfId="0" applyNumberFormat="1" applyFont="1" applyBorder="1"/>
    <xf numFmtId="0" fontId="10" fillId="0" borderId="15" xfId="0" applyFont="1" applyBorder="1" applyAlignment="1">
      <alignment horizontal="left"/>
    </xf>
    <xf numFmtId="0" fontId="3" fillId="0" borderId="16" xfId="0" applyFont="1" applyBorder="1"/>
    <xf numFmtId="167" fontId="14" fillId="0" borderId="17" xfId="0" applyNumberFormat="1" applyFont="1" applyBorder="1"/>
    <xf numFmtId="0" fontId="3" fillId="0" borderId="15" xfId="0" applyFont="1" applyBorder="1"/>
    <xf numFmtId="166" fontId="14" fillId="0" borderId="16" xfId="0" applyNumberFormat="1" applyFont="1" applyBorder="1"/>
    <xf numFmtId="0" fontId="16" fillId="5" borderId="6" xfId="0" applyFont="1" applyFill="1" applyBorder="1" applyAlignment="1">
      <alignment horizontal="center"/>
    </xf>
    <xf numFmtId="0" fontId="16" fillId="0" borderId="0" xfId="0" applyFont="1" applyAlignment="1">
      <alignment horizontal="center"/>
    </xf>
    <xf numFmtId="0" fontId="7" fillId="3" borderId="2" xfId="0" applyFont="1" applyFill="1" applyBorder="1"/>
    <xf numFmtId="0" fontId="7" fillId="3" borderId="7" xfId="0" applyFont="1" applyFill="1" applyBorder="1"/>
    <xf numFmtId="0" fontId="7" fillId="3" borderId="3" xfId="0" applyFont="1" applyFill="1" applyBorder="1" applyAlignment="1">
      <alignment horizontal="center"/>
    </xf>
    <xf numFmtId="0" fontId="5" fillId="2" borderId="2" xfId="0" applyFont="1" applyFill="1" applyBorder="1"/>
    <xf numFmtId="0" fontId="13" fillId="0" borderId="0" xfId="0" applyFont="1"/>
    <xf numFmtId="0" fontId="7" fillId="0" borderId="0" xfId="0" applyFont="1" applyAlignment="1">
      <alignment vertical="center"/>
    </xf>
    <xf numFmtId="169" fontId="17" fillId="5" borderId="6" xfId="0" applyNumberFormat="1" applyFont="1" applyFill="1" applyBorder="1" applyAlignment="1">
      <alignment horizontal="center"/>
    </xf>
    <xf numFmtId="0" fontId="18" fillId="0" borderId="0" xfId="0" applyFont="1" applyAlignment="1">
      <alignment horizontal="left"/>
    </xf>
    <xf numFmtId="14" fontId="7" fillId="5" borderId="6" xfId="0" applyNumberFormat="1" applyFont="1" applyFill="1" applyBorder="1" applyAlignment="1">
      <alignment horizontal="center"/>
    </xf>
    <xf numFmtId="0" fontId="17" fillId="5" borderId="6" xfId="0" applyFont="1" applyFill="1" applyBorder="1" applyAlignment="1">
      <alignment horizontal="center"/>
    </xf>
    <xf numFmtId="14" fontId="16" fillId="5" borderId="6" xfId="0" applyNumberFormat="1" applyFont="1" applyFill="1" applyBorder="1" applyAlignment="1">
      <alignment horizontal="center"/>
    </xf>
    <xf numFmtId="170" fontId="16" fillId="5" borderId="6" xfId="0" applyNumberFormat="1" applyFont="1" applyFill="1" applyBorder="1" applyAlignment="1">
      <alignment horizontal="center"/>
    </xf>
    <xf numFmtId="171" fontId="14" fillId="5" borderId="6" xfId="0" applyNumberFormat="1" applyFont="1" applyFill="1" applyBorder="1" applyAlignment="1">
      <alignment horizontal="center"/>
    </xf>
    <xf numFmtId="172" fontId="14" fillId="5" borderId="6" xfId="0" applyNumberFormat="1" applyFont="1" applyFill="1" applyBorder="1" applyAlignment="1">
      <alignment horizontal="center"/>
    </xf>
    <xf numFmtId="0" fontId="19" fillId="3" borderId="3" xfId="0" applyFont="1" applyFill="1" applyBorder="1" applyAlignment="1">
      <alignment horizontal="center"/>
    </xf>
    <xf numFmtId="0" fontId="20" fillId="0" borderId="0" xfId="0" applyFont="1" applyAlignment="1">
      <alignment horizontal="center"/>
    </xf>
    <xf numFmtId="173" fontId="7" fillId="0" borderId="0" xfId="0" applyNumberFormat="1" applyFont="1"/>
    <xf numFmtId="173" fontId="7" fillId="0" borderId="0" xfId="0" applyNumberFormat="1" applyFont="1" applyAlignment="1">
      <alignment horizontal="center"/>
    </xf>
    <xf numFmtId="173" fontId="16" fillId="0" borderId="0" xfId="0" applyNumberFormat="1" applyFont="1" applyAlignment="1">
      <alignment horizontal="center"/>
    </xf>
    <xf numFmtId="0" fontId="13" fillId="2" borderId="2" xfId="0" applyFont="1" applyFill="1" applyBorder="1" applyAlignment="1">
      <alignment horizontal="left"/>
    </xf>
    <xf numFmtId="0" fontId="13" fillId="2" borderId="7" xfId="0" applyFont="1" applyFill="1" applyBorder="1" applyAlignment="1">
      <alignment horizontal="center"/>
    </xf>
    <xf numFmtId="0" fontId="13" fillId="2" borderId="3" xfId="0" applyFont="1" applyFill="1" applyBorder="1" applyAlignment="1">
      <alignment horizontal="center"/>
    </xf>
    <xf numFmtId="0" fontId="16" fillId="0" borderId="18" xfId="0" applyFont="1" applyBorder="1" applyAlignment="1">
      <alignment horizontal="center"/>
    </xf>
    <xf numFmtId="0" fontId="21" fillId="0" borderId="0" xfId="0" applyFont="1"/>
    <xf numFmtId="0" fontId="6" fillId="0" borderId="19" xfId="0" applyFont="1" applyBorder="1"/>
    <xf numFmtId="173" fontId="7" fillId="3" borderId="15" xfId="0" applyNumberFormat="1" applyFont="1" applyFill="1" applyBorder="1"/>
    <xf numFmtId="173" fontId="7" fillId="3" borderId="16" xfId="0" applyNumberFormat="1" applyFont="1" applyFill="1" applyBorder="1" applyAlignment="1">
      <alignment horizontal="center"/>
    </xf>
    <xf numFmtId="173" fontId="7" fillId="3" borderId="17" xfId="0" applyNumberFormat="1" applyFont="1" applyFill="1" applyBorder="1" applyAlignment="1">
      <alignment horizontal="center"/>
    </xf>
    <xf numFmtId="0" fontId="7" fillId="0" borderId="18" xfId="0" applyFont="1" applyBorder="1" applyAlignment="1">
      <alignment horizontal="center"/>
    </xf>
    <xf numFmtId="173" fontId="7" fillId="0" borderId="20" xfId="0" applyNumberFormat="1" applyFont="1" applyBorder="1"/>
    <xf numFmtId="173" fontId="7" fillId="0" borderId="21" xfId="0" applyNumberFormat="1" applyFont="1" applyBorder="1" applyAlignment="1">
      <alignment horizontal="center"/>
    </xf>
    <xf numFmtId="4" fontId="16" fillId="0" borderId="22" xfId="0" applyNumberFormat="1" applyFont="1" applyBorder="1" applyAlignment="1">
      <alignment horizontal="center"/>
    </xf>
    <xf numFmtId="0" fontId="14" fillId="0" borderId="18" xfId="0" applyFont="1" applyBorder="1" applyAlignment="1">
      <alignment horizontal="center"/>
    </xf>
    <xf numFmtId="173" fontId="7" fillId="0" borderId="18" xfId="0" applyNumberFormat="1" applyFont="1" applyBorder="1"/>
    <xf numFmtId="4" fontId="16" fillId="0" borderId="19" xfId="0" applyNumberFormat="1" applyFont="1" applyBorder="1" applyAlignment="1">
      <alignment horizontal="center"/>
    </xf>
    <xf numFmtId="0" fontId="22" fillId="0" borderId="23" xfId="0" applyFont="1" applyBorder="1" applyAlignment="1">
      <alignment horizontal="center"/>
    </xf>
    <xf numFmtId="0" fontId="6" fillId="0" borderId="24" xfId="0" applyFont="1" applyBorder="1"/>
    <xf numFmtId="0" fontId="6" fillId="0" borderId="25" xfId="0" applyFont="1" applyBorder="1"/>
    <xf numFmtId="173" fontId="7" fillId="0" borderId="23" xfId="0" applyNumberFormat="1" applyFont="1" applyBorder="1"/>
    <xf numFmtId="173" fontId="7" fillId="0" borderId="24" xfId="0" applyNumberFormat="1" applyFont="1" applyBorder="1" applyAlignment="1">
      <alignment horizontal="center"/>
    </xf>
    <xf numFmtId="4" fontId="16" fillId="0" borderId="25" xfId="0" applyNumberFormat="1" applyFont="1" applyBorder="1" applyAlignment="1">
      <alignment horizontal="center"/>
    </xf>
    <xf numFmtId="0" fontId="7" fillId="0" borderId="0" xfId="0" applyFont="1" applyAlignment="1">
      <alignment horizontal="center"/>
    </xf>
    <xf numFmtId="174" fontId="16" fillId="0" borderId="0" xfId="0" applyNumberFormat="1" applyFont="1" applyAlignment="1">
      <alignment horizontal="center"/>
    </xf>
    <xf numFmtId="0" fontId="13" fillId="6" borderId="26" xfId="0" applyFont="1" applyFill="1" applyBorder="1" applyAlignment="1">
      <alignment horizontal="center"/>
    </xf>
    <xf numFmtId="0" fontId="6" fillId="0" borderId="27" xfId="0" applyFont="1" applyBorder="1"/>
    <xf numFmtId="0" fontId="13" fillId="2" borderId="26" xfId="0" applyFont="1" applyFill="1" applyBorder="1" applyAlignment="1">
      <alignment horizontal="center"/>
    </xf>
    <xf numFmtId="0" fontId="7" fillId="3" borderId="26" xfId="0" applyFont="1" applyFill="1" applyBorder="1" applyAlignment="1">
      <alignment horizontal="center"/>
    </xf>
    <xf numFmtId="0" fontId="13" fillId="7" borderId="26" xfId="0" applyFont="1" applyFill="1" applyBorder="1" applyAlignment="1">
      <alignment horizontal="center"/>
    </xf>
    <xf numFmtId="0" fontId="7" fillId="8" borderId="26" xfId="0" applyFont="1" applyFill="1" applyBorder="1" applyAlignment="1">
      <alignment horizontal="center"/>
    </xf>
    <xf numFmtId="0" fontId="13" fillId="2" borderId="2" xfId="0" applyFont="1" applyFill="1" applyBorder="1" applyAlignment="1">
      <alignment horizontal="center"/>
    </xf>
    <xf numFmtId="0" fontId="7" fillId="0" borderId="24" xfId="0" applyFont="1" applyBorder="1"/>
    <xf numFmtId="0" fontId="13" fillId="9" borderId="26" xfId="0" applyFont="1" applyFill="1" applyBorder="1" applyAlignment="1">
      <alignment horizontal="center"/>
    </xf>
    <xf numFmtId="0" fontId="7" fillId="0" borderId="28" xfId="0" applyFont="1" applyBorder="1" applyAlignment="1">
      <alignment horizontal="center"/>
    </xf>
    <xf numFmtId="0" fontId="13" fillId="0" borderId="29" xfId="0" applyFont="1" applyBorder="1" applyAlignment="1">
      <alignment horizontal="center"/>
    </xf>
    <xf numFmtId="0" fontId="7" fillId="0" borderId="29" xfId="0" applyFont="1" applyBorder="1" applyAlignment="1">
      <alignment horizontal="center"/>
    </xf>
    <xf numFmtId="0" fontId="7" fillId="10" borderId="26" xfId="0" applyFont="1" applyFill="1" applyBorder="1" applyAlignment="1">
      <alignment horizontal="center"/>
    </xf>
    <xf numFmtId="0" fontId="7" fillId="5" borderId="26" xfId="0" applyFont="1" applyFill="1" applyBorder="1" applyAlignment="1">
      <alignment horizontal="center"/>
    </xf>
    <xf numFmtId="0" fontId="7" fillId="0" borderId="29" xfId="0" applyFont="1" applyBorder="1"/>
    <xf numFmtId="0" fontId="13" fillId="11" borderId="26" xfId="0" applyFont="1" applyFill="1" applyBorder="1" applyAlignment="1">
      <alignment horizontal="center"/>
    </xf>
    <xf numFmtId="0" fontId="7" fillId="12" borderId="26" xfId="0" applyFont="1" applyFill="1" applyBorder="1" applyAlignment="1">
      <alignment horizontal="center"/>
    </xf>
    <xf numFmtId="0" fontId="7" fillId="13" borderId="26" xfId="0" applyFont="1" applyFill="1" applyBorder="1" applyAlignment="1">
      <alignment horizontal="center"/>
    </xf>
    <xf numFmtId="0" fontId="7" fillId="0" borderId="26" xfId="0" applyFont="1" applyBorder="1" applyAlignment="1">
      <alignment horizontal="center"/>
    </xf>
    <xf numFmtId="0" fontId="5" fillId="2" borderId="2" xfId="0" applyFont="1" applyFill="1" applyBorder="1" applyAlignment="1">
      <alignment horizontal="left"/>
    </xf>
    <xf numFmtId="0" fontId="23" fillId="2" borderId="7" xfId="0" applyFont="1" applyFill="1" applyBorder="1" applyAlignment="1">
      <alignment horizontal="center"/>
    </xf>
    <xf numFmtId="0" fontId="23" fillId="2" borderId="3" xfId="0" applyFont="1" applyFill="1" applyBorder="1" applyAlignment="1">
      <alignment horizontal="center"/>
    </xf>
    <xf numFmtId="0" fontId="24" fillId="3" borderId="7" xfId="0" applyFont="1" applyFill="1" applyBorder="1"/>
    <xf numFmtId="0" fontId="7" fillId="3" borderId="7" xfId="0" applyFont="1" applyFill="1" applyBorder="1" applyAlignment="1">
      <alignment horizontal="center"/>
    </xf>
    <xf numFmtId="0" fontId="13" fillId="2" borderId="0" xfId="0" applyFont="1" applyFill="1"/>
    <xf numFmtId="0" fontId="13" fillId="2" borderId="0" xfId="0" applyFont="1" applyFill="1" applyAlignment="1">
      <alignment horizontal="center"/>
    </xf>
    <xf numFmtId="0" fontId="6" fillId="0" borderId="0" xfId="0" applyFont="1"/>
    <xf numFmtId="0" fontId="13" fillId="2" borderId="30" xfId="0" applyFont="1" applyFill="1" applyBorder="1" applyAlignment="1">
      <alignment horizontal="center"/>
    </xf>
    <xf numFmtId="0" fontId="6" fillId="0" borderId="30" xfId="0" applyFont="1" applyBorder="1"/>
    <xf numFmtId="0" fontId="7" fillId="0" borderId="31" xfId="0" applyFont="1" applyBorder="1"/>
    <xf numFmtId="168" fontId="7" fillId="0" borderId="0" xfId="0" applyNumberFormat="1" applyFont="1"/>
    <xf numFmtId="168" fontId="7" fillId="0" borderId="32" xfId="0" applyNumberFormat="1" applyFont="1" applyBorder="1"/>
    <xf numFmtId="168" fontId="7" fillId="0" borderId="33" xfId="0" applyNumberFormat="1" applyFont="1" applyBorder="1"/>
    <xf numFmtId="167" fontId="24" fillId="0" borderId="34" xfId="0" applyNumberFormat="1" applyFont="1" applyBorder="1" applyAlignment="1">
      <alignment horizontal="center"/>
    </xf>
    <xf numFmtId="0" fontId="24" fillId="0" borderId="0" xfId="0" applyFont="1" applyAlignment="1">
      <alignment horizontal="left"/>
    </xf>
    <xf numFmtId="167" fontId="24" fillId="0" borderId="0" xfId="0" applyNumberFormat="1" applyFont="1"/>
    <xf numFmtId="167" fontId="24" fillId="0" borderId="32" xfId="0" applyNumberFormat="1" applyFont="1" applyBorder="1"/>
    <xf numFmtId="167" fontId="24" fillId="0" borderId="33" xfId="0" applyNumberFormat="1" applyFont="1" applyBorder="1"/>
    <xf numFmtId="0" fontId="7" fillId="0" borderId="32" xfId="0" applyFont="1" applyBorder="1"/>
    <xf numFmtId="0" fontId="7" fillId="0" borderId="33" xfId="0" applyFont="1" applyBorder="1"/>
    <xf numFmtId="171" fontId="24" fillId="0" borderId="34" xfId="0" applyNumberFormat="1" applyFont="1" applyBorder="1" applyAlignment="1">
      <alignment horizontal="center"/>
    </xf>
    <xf numFmtId="175" fontId="7" fillId="0" borderId="0" xfId="0" applyNumberFormat="1" applyFont="1"/>
    <xf numFmtId="175" fontId="7" fillId="0" borderId="32" xfId="0" applyNumberFormat="1" applyFont="1" applyBorder="1"/>
    <xf numFmtId="175" fontId="7" fillId="0" borderId="33" xfId="0" applyNumberFormat="1" applyFont="1" applyBorder="1"/>
    <xf numFmtId="0" fontId="7" fillId="0" borderId="35" xfId="0" applyFont="1" applyBorder="1"/>
    <xf numFmtId="0" fontId="7" fillId="0" borderId="16" xfId="0" applyFont="1" applyBorder="1"/>
    <xf numFmtId="0" fontId="7" fillId="0" borderId="21" xfId="0" applyFont="1" applyBorder="1"/>
    <xf numFmtId="0" fontId="7" fillId="0" borderId="36" xfId="0" applyFont="1" applyBorder="1"/>
    <xf numFmtId="0" fontId="7" fillId="0" borderId="37" xfId="0" applyFont="1" applyBorder="1"/>
    <xf numFmtId="171" fontId="24" fillId="0" borderId="38" xfId="0" applyNumberFormat="1" applyFont="1" applyBorder="1" applyAlignment="1">
      <alignment horizontal="center"/>
    </xf>
    <xf numFmtId="37" fontId="7" fillId="0" borderId="0" xfId="0" applyNumberFormat="1" applyFont="1"/>
    <xf numFmtId="37" fontId="7" fillId="0" borderId="32" xfId="0" applyNumberFormat="1" applyFont="1" applyBorder="1"/>
    <xf numFmtId="37" fontId="7" fillId="0" borderId="33" xfId="0" applyNumberFormat="1" applyFont="1" applyBorder="1"/>
    <xf numFmtId="0" fontId="7" fillId="0" borderId="0" xfId="0" applyFont="1" applyAlignment="1">
      <alignment horizontal="left"/>
    </xf>
    <xf numFmtId="37" fontId="7" fillId="0" borderId="21" xfId="0" applyNumberFormat="1" applyFont="1" applyBorder="1"/>
    <xf numFmtId="37" fontId="7" fillId="0" borderId="37" xfId="0" applyNumberFormat="1" applyFont="1" applyBorder="1"/>
    <xf numFmtId="37" fontId="7" fillId="0" borderId="36" xfId="0" applyNumberFormat="1" applyFont="1" applyBorder="1"/>
    <xf numFmtId="165" fontId="7" fillId="0" borderId="0" xfId="0" applyNumberFormat="1" applyFont="1"/>
    <xf numFmtId="165" fontId="7" fillId="0" borderId="32" xfId="0" applyNumberFormat="1" applyFont="1" applyBorder="1"/>
    <xf numFmtId="165" fontId="7" fillId="0" borderId="33" xfId="0" applyNumberFormat="1" applyFont="1" applyBorder="1"/>
    <xf numFmtId="166" fontId="7" fillId="0" borderId="21" xfId="0" applyNumberFormat="1" applyFont="1" applyBorder="1"/>
    <xf numFmtId="166" fontId="7" fillId="0" borderId="37" xfId="0" applyNumberFormat="1" applyFont="1" applyBorder="1"/>
    <xf numFmtId="166" fontId="7" fillId="0" borderId="36" xfId="0" applyNumberFormat="1" applyFont="1" applyBorder="1"/>
    <xf numFmtId="166" fontId="7" fillId="0" borderId="0" xfId="0" applyNumberFormat="1" applyFont="1"/>
    <xf numFmtId="37" fontId="7" fillId="0" borderId="16" xfId="0" applyNumberFormat="1" applyFont="1" applyBorder="1"/>
    <xf numFmtId="176" fontId="13" fillId="0" borderId="0" xfId="0" applyNumberFormat="1" applyFont="1" applyAlignment="1">
      <alignment horizontal="center"/>
    </xf>
    <xf numFmtId="177" fontId="13" fillId="0" borderId="0" xfId="0" applyNumberFormat="1" applyFont="1" applyAlignment="1">
      <alignment horizontal="center"/>
    </xf>
    <xf numFmtId="167" fontId="7" fillId="0" borderId="0" xfId="0" applyNumberFormat="1" applyFont="1"/>
    <xf numFmtId="167" fontId="7" fillId="0" borderId="32" xfId="0" applyNumberFormat="1" applyFont="1" applyBorder="1"/>
    <xf numFmtId="167" fontId="7" fillId="0" borderId="33" xfId="0" applyNumberFormat="1" applyFont="1" applyBorder="1"/>
    <xf numFmtId="178" fontId="7" fillId="0" borderId="0" xfId="0" applyNumberFormat="1" applyFont="1" applyAlignment="1">
      <alignment horizontal="right"/>
    </xf>
    <xf numFmtId="178" fontId="7" fillId="0" borderId="32" xfId="0" applyNumberFormat="1" applyFont="1" applyBorder="1" applyAlignment="1">
      <alignment horizontal="right"/>
    </xf>
    <xf numFmtId="178" fontId="7" fillId="0" borderId="33" xfId="0" applyNumberFormat="1" applyFont="1" applyBorder="1" applyAlignment="1">
      <alignment horizontal="right"/>
    </xf>
    <xf numFmtId="178" fontId="7" fillId="0" borderId="33" xfId="0" applyNumberFormat="1" applyFont="1" applyBorder="1"/>
    <xf numFmtId="178" fontId="7" fillId="0" borderId="0" xfId="0" applyNumberFormat="1" applyFont="1"/>
    <xf numFmtId="178" fontId="7" fillId="0" borderId="32" xfId="0" applyNumberFormat="1" applyFont="1" applyBorder="1"/>
    <xf numFmtId="172" fontId="7" fillId="0" borderId="0" xfId="0" applyNumberFormat="1" applyFont="1"/>
    <xf numFmtId="172" fontId="7" fillId="0" borderId="32" xfId="0" applyNumberFormat="1" applyFont="1" applyBorder="1"/>
    <xf numFmtId="172" fontId="7" fillId="0" borderId="33" xfId="0" applyNumberFormat="1" applyFont="1" applyBorder="1"/>
    <xf numFmtId="10" fontId="3" fillId="0" borderId="0" xfId="0" applyNumberFormat="1" applyFont="1"/>
    <xf numFmtId="0" fontId="25" fillId="0" borderId="0" xfId="0" applyFont="1"/>
    <xf numFmtId="0" fontId="3" fillId="0" borderId="0" xfId="0" applyFont="1" applyAlignment="1">
      <alignment horizontal="right"/>
    </xf>
    <xf numFmtId="0" fontId="7" fillId="0" borderId="0" xfId="0" applyFont="1" applyAlignment="1">
      <alignment horizontal="right"/>
    </xf>
    <xf numFmtId="179" fontId="7" fillId="0" borderId="0" xfId="0" applyNumberFormat="1" applyFont="1" applyAlignment="1">
      <alignment horizontal="right"/>
    </xf>
    <xf numFmtId="14" fontId="7" fillId="0" borderId="0" xfId="0" applyNumberFormat="1" applyFont="1" applyAlignment="1">
      <alignment horizontal="left"/>
    </xf>
    <xf numFmtId="0" fontId="13" fillId="2" borderId="39" xfId="0" applyFont="1" applyFill="1" applyBorder="1" applyAlignment="1">
      <alignment horizontal="center"/>
    </xf>
    <xf numFmtId="0" fontId="6" fillId="0" borderId="40" xfId="0" applyFont="1" applyBorder="1"/>
    <xf numFmtId="0" fontId="6" fillId="0" borderId="41" xfId="0" applyFont="1" applyBorder="1"/>
    <xf numFmtId="0" fontId="13" fillId="2" borderId="42" xfId="0" applyFont="1" applyFill="1" applyBorder="1" applyAlignment="1">
      <alignment horizontal="center"/>
    </xf>
    <xf numFmtId="0" fontId="6" fillId="0" borderId="43" xfId="0" applyFont="1" applyBorder="1"/>
    <xf numFmtId="0" fontId="6" fillId="0" borderId="44" xfId="0" applyFont="1" applyBorder="1"/>
    <xf numFmtId="0" fontId="26" fillId="0" borderId="8" xfId="0" applyFont="1" applyBorder="1"/>
    <xf numFmtId="0" fontId="26" fillId="0" borderId="9" xfId="0" applyFont="1" applyBorder="1"/>
    <xf numFmtId="0" fontId="7" fillId="4" borderId="2" xfId="0" applyFont="1" applyFill="1" applyBorder="1" applyAlignment="1">
      <alignment horizontal="center"/>
    </xf>
    <xf numFmtId="168" fontId="7" fillId="0" borderId="21" xfId="0" applyNumberFormat="1" applyFont="1" applyBorder="1" applyAlignment="1">
      <alignment wrapText="1"/>
    </xf>
    <xf numFmtId="0" fontId="6" fillId="0" borderId="45" xfId="0" applyFont="1" applyBorder="1"/>
    <xf numFmtId="3" fontId="7" fillId="0" borderId="24" xfId="0" applyNumberFormat="1" applyFont="1" applyBorder="1" applyAlignment="1">
      <alignment horizontal="right"/>
    </xf>
    <xf numFmtId="0" fontId="6" fillId="0" borderId="46" xfId="0" applyFont="1" applyBorder="1"/>
    <xf numFmtId="168" fontId="7" fillId="0" borderId="13" xfId="0" applyNumberFormat="1" applyFont="1" applyBorder="1"/>
    <xf numFmtId="0" fontId="6" fillId="0" borderId="14" xfId="0" applyFont="1" applyBorder="1"/>
    <xf numFmtId="167" fontId="7" fillId="0" borderId="16" xfId="0" applyNumberFormat="1" applyFont="1" applyBorder="1"/>
    <xf numFmtId="0" fontId="6" fillId="0" borderId="17" xfId="0" applyFont="1" applyBorder="1"/>
    <xf numFmtId="0" fontId="7" fillId="0" borderId="8" xfId="0" applyFont="1" applyBorder="1"/>
    <xf numFmtId="0" fontId="7" fillId="0" borderId="9" xfId="0" applyFont="1" applyBorder="1"/>
    <xf numFmtId="0" fontId="7" fillId="0" borderId="47" xfId="0" applyFont="1" applyBorder="1"/>
    <xf numFmtId="0" fontId="7" fillId="0" borderId="48" xfId="0" applyFont="1" applyBorder="1"/>
    <xf numFmtId="0" fontId="7" fillId="0" borderId="15" xfId="0" applyFont="1" applyBorder="1"/>
    <xf numFmtId="0" fontId="13" fillId="2" borderId="47" xfId="0" applyFont="1" applyFill="1" applyBorder="1"/>
    <xf numFmtId="0" fontId="13" fillId="2" borderId="21" xfId="0" applyFont="1" applyFill="1" applyBorder="1" applyAlignment="1">
      <alignment horizontal="center"/>
    </xf>
    <xf numFmtId="0" fontId="13" fillId="2" borderId="49" xfId="0" applyFont="1" applyFill="1" applyBorder="1" applyAlignment="1">
      <alignment horizontal="center"/>
    </xf>
    <xf numFmtId="0" fontId="6" fillId="0" borderId="49" xfId="0" applyFont="1" applyBorder="1"/>
    <xf numFmtId="0" fontId="6" fillId="0" borderId="50" xfId="0" applyFont="1" applyBorder="1"/>
    <xf numFmtId="0" fontId="13" fillId="2" borderId="51" xfId="0" applyFont="1" applyFill="1" applyBorder="1" applyAlignment="1">
      <alignment horizontal="center"/>
    </xf>
    <xf numFmtId="0" fontId="13" fillId="0" borderId="0" xfId="0" applyFont="1" applyAlignment="1">
      <alignment horizontal="center"/>
    </xf>
    <xf numFmtId="0" fontId="13" fillId="2" borderId="15" xfId="0" applyFont="1" applyFill="1" applyBorder="1"/>
    <xf numFmtId="0" fontId="13" fillId="2" borderId="16" xfId="0" applyFont="1" applyFill="1" applyBorder="1" applyAlignment="1">
      <alignment horizontal="center"/>
    </xf>
    <xf numFmtId="0" fontId="13" fillId="2" borderId="17" xfId="0" applyFont="1" applyFill="1" applyBorder="1" applyAlignment="1">
      <alignment horizontal="center"/>
    </xf>
    <xf numFmtId="0" fontId="13" fillId="2" borderId="38" xfId="0" applyFont="1" applyFill="1" applyBorder="1" applyAlignment="1">
      <alignment horizontal="center"/>
    </xf>
    <xf numFmtId="1" fontId="27" fillId="0" borderId="0" xfId="0" applyNumberFormat="1" applyFont="1" applyAlignment="1">
      <alignment horizontal="right"/>
    </xf>
    <xf numFmtId="1" fontId="28" fillId="0" borderId="0" xfId="0" applyNumberFormat="1" applyFont="1" applyAlignment="1">
      <alignment horizontal="right"/>
    </xf>
    <xf numFmtId="167" fontId="24" fillId="0" borderId="31" xfId="0" applyNumberFormat="1" applyFont="1" applyBorder="1" applyAlignment="1">
      <alignment horizontal="center"/>
    </xf>
    <xf numFmtId="167" fontId="24" fillId="0" borderId="0" xfId="0" applyNumberFormat="1" applyFont="1" applyAlignment="1">
      <alignment horizontal="center"/>
    </xf>
    <xf numFmtId="0" fontId="19" fillId="14" borderId="6" xfId="0" applyFont="1" applyFill="1" applyBorder="1" applyAlignment="1">
      <alignment horizontal="center"/>
    </xf>
    <xf numFmtId="0" fontId="3" fillId="0" borderId="32" xfId="0" applyFont="1" applyBorder="1"/>
    <xf numFmtId="0" fontId="7" fillId="0" borderId="16" xfId="0" applyFont="1" applyBorder="1" applyAlignment="1">
      <alignment horizontal="center"/>
    </xf>
    <xf numFmtId="180" fontId="7" fillId="0" borderId="21" xfId="0" applyNumberFormat="1" applyFont="1" applyBorder="1" applyAlignment="1">
      <alignment horizontal="center"/>
    </xf>
    <xf numFmtId="180" fontId="7" fillId="0" borderId="0" xfId="0" applyNumberFormat="1" applyFont="1" applyAlignment="1">
      <alignment horizontal="center"/>
    </xf>
    <xf numFmtId="181" fontId="7" fillId="0" borderId="0" xfId="0" applyNumberFormat="1" applyFont="1"/>
    <xf numFmtId="174" fontId="7" fillId="0" borderId="0" xfId="0" applyNumberFormat="1" applyFont="1"/>
    <xf numFmtId="0" fontId="3" fillId="0" borderId="34" xfId="0" applyFont="1" applyBorder="1"/>
    <xf numFmtId="0" fontId="3" fillId="0" borderId="38" xfId="0" applyFont="1" applyBorder="1"/>
    <xf numFmtId="1" fontId="28" fillId="2" borderId="21" xfId="0" applyNumberFormat="1" applyFont="1" applyFill="1" applyBorder="1" applyAlignment="1">
      <alignment horizontal="right"/>
    </xf>
    <xf numFmtId="1" fontId="28" fillId="2" borderId="16" xfId="0" applyNumberFormat="1" applyFont="1" applyFill="1" applyBorder="1" applyAlignment="1">
      <alignment horizontal="right"/>
    </xf>
    <xf numFmtId="178" fontId="24" fillId="0" borderId="31" xfId="0" applyNumberFormat="1" applyFont="1" applyBorder="1" applyAlignment="1">
      <alignment horizontal="center"/>
    </xf>
    <xf numFmtId="178" fontId="24" fillId="0" borderId="34" xfId="0" applyNumberFormat="1" applyFont="1" applyBorder="1" applyAlignment="1">
      <alignment horizontal="center"/>
    </xf>
    <xf numFmtId="168" fontId="24" fillId="0" borderId="34" xfId="0" applyNumberFormat="1" applyFont="1" applyBorder="1" applyAlignment="1">
      <alignment horizontal="center"/>
    </xf>
    <xf numFmtId="37" fontId="24" fillId="0" borderId="34" xfId="0" applyNumberFormat="1" applyFont="1" applyBorder="1" applyAlignment="1">
      <alignment horizontal="center"/>
    </xf>
    <xf numFmtId="172" fontId="24" fillId="0" borderId="34" xfId="0" applyNumberFormat="1" applyFont="1" applyBorder="1" applyAlignment="1">
      <alignment horizontal="center"/>
    </xf>
    <xf numFmtId="172" fontId="24" fillId="0" borderId="38" xfId="0" applyNumberFormat="1" applyFont="1" applyBorder="1" applyAlignment="1">
      <alignment horizontal="center"/>
    </xf>
    <xf numFmtId="0" fontId="8" fillId="0" borderId="0" xfId="0" applyFont="1" applyAlignment="1">
      <alignment horizontal="center"/>
    </xf>
    <xf numFmtId="0" fontId="29" fillId="0" borderId="0" xfId="0" applyFont="1"/>
    <xf numFmtId="0" fontId="13" fillId="2" borderId="52" xfId="0" applyFont="1" applyFill="1" applyBorder="1" applyAlignment="1">
      <alignment horizontal="center"/>
    </xf>
    <xf numFmtId="0" fontId="13" fillId="2" borderId="53" xfId="0" applyFont="1" applyFill="1" applyBorder="1" applyAlignment="1">
      <alignment horizontal="center"/>
    </xf>
    <xf numFmtId="0" fontId="13" fillId="2" borderId="54" xfId="0" applyFont="1" applyFill="1" applyBorder="1" applyAlignment="1">
      <alignment horizontal="center"/>
    </xf>
    <xf numFmtId="0" fontId="29" fillId="0" borderId="0" xfId="0" applyFont="1" applyAlignment="1">
      <alignment horizontal="center"/>
    </xf>
    <xf numFmtId="182" fontId="7" fillId="0" borderId="0" xfId="0" applyNumberFormat="1" applyFont="1"/>
    <xf numFmtId="183" fontId="7" fillId="0" borderId="0" xfId="0" applyNumberFormat="1" applyFont="1"/>
    <xf numFmtId="39" fontId="14" fillId="0" borderId="0" xfId="0" applyNumberFormat="1" applyFont="1"/>
    <xf numFmtId="184" fontId="7" fillId="0" borderId="0" xfId="0" applyNumberFormat="1" applyFont="1"/>
    <xf numFmtId="184" fontId="14" fillId="0" borderId="0" xfId="0" applyNumberFormat="1" applyFont="1"/>
    <xf numFmtId="0" fontId="7" fillId="0" borderId="26" xfId="0" applyFont="1" applyBorder="1"/>
    <xf numFmtId="175" fontId="7" fillId="0" borderId="29" xfId="0" applyNumberFormat="1" applyFont="1" applyBorder="1"/>
    <xf numFmtId="175" fontId="7" fillId="0" borderId="27" xfId="0" applyNumberFormat="1" applyFont="1" applyBorder="1"/>
    <xf numFmtId="0" fontId="7" fillId="0" borderId="55" xfId="0" applyFont="1" applyBorder="1" applyAlignment="1">
      <alignment horizontal="center"/>
    </xf>
    <xf numFmtId="0" fontId="6" fillId="0" borderId="56" xfId="0" applyFont="1" applyBorder="1"/>
    <xf numFmtId="0" fontId="6" fillId="0" borderId="57" xfId="0" applyFont="1" applyBorder="1"/>
    <xf numFmtId="0" fontId="3" fillId="0" borderId="0" xfId="0" applyFont="1" applyAlignment="1">
      <alignment horizontal="center"/>
    </xf>
    <xf numFmtId="0" fontId="5" fillId="2" borderId="0" xfId="0" applyFont="1" applyFill="1"/>
    <xf numFmtId="0" fontId="5" fillId="2" borderId="0" xfId="0" applyFont="1" applyFill="1" applyAlignment="1">
      <alignment horizontal="center"/>
    </xf>
    <xf numFmtId="0" fontId="3" fillId="3" borderId="2" xfId="0" applyFont="1" applyFill="1" applyBorder="1"/>
    <xf numFmtId="0" fontId="3" fillId="3" borderId="7" xfId="0" applyFont="1" applyFill="1" applyBorder="1" applyAlignment="1">
      <alignment horizontal="center"/>
    </xf>
    <xf numFmtId="0" fontId="3" fillId="3" borderId="3" xfId="0" applyFont="1" applyFill="1" applyBorder="1"/>
    <xf numFmtId="0" fontId="10" fillId="0" borderId="0" xfId="0" applyFont="1" applyAlignment="1">
      <alignment horizontal="left"/>
    </xf>
    <xf numFmtId="185" fontId="10" fillId="0" borderId="0" xfId="0" applyNumberFormat="1" applyFont="1" applyAlignment="1">
      <alignment horizontal="center"/>
    </xf>
    <xf numFmtId="0" fontId="3" fillId="0" borderId="0" xfId="0" applyFont="1" applyAlignment="1">
      <alignment horizontal="left"/>
    </xf>
    <xf numFmtId="0" fontId="8" fillId="0" borderId="0" xfId="0" applyFont="1" applyAlignment="1">
      <alignment horizontal="left"/>
    </xf>
    <xf numFmtId="0" fontId="3" fillId="3" borderId="7" xfId="0" applyFont="1" applyFill="1" applyBorder="1"/>
    <xf numFmtId="14" fontId="3" fillId="0" borderId="0" xfId="0" applyNumberFormat="1" applyFont="1" applyAlignment="1">
      <alignment horizontal="left" vertical="top"/>
    </xf>
    <xf numFmtId="0" fontId="3" fillId="0" borderId="0" xfId="0" applyFont="1" applyAlignment="1">
      <alignment horizontal="center" vertical="top"/>
    </xf>
    <xf numFmtId="0" fontId="3" fillId="0" borderId="0" xfId="0" applyFont="1" applyAlignment="1">
      <alignment horizontal="left" vertical="top" wrapText="1"/>
    </xf>
    <xf numFmtId="14" fontId="3" fillId="0" borderId="0" xfId="0" applyNumberFormat="1" applyFont="1" applyAlignment="1">
      <alignment horizontal="left"/>
    </xf>
    <xf numFmtId="14" fontId="30" fillId="0" borderId="0" xfId="0" applyNumberFormat="1" applyFont="1" applyAlignment="1">
      <alignment horizontal="left"/>
    </xf>
    <xf numFmtId="0" fontId="30" fillId="0" borderId="0" xfId="0" applyFont="1"/>
    <xf numFmtId="0" fontId="30" fillId="0" borderId="0" xfId="0" applyFont="1" applyAlignment="1">
      <alignment horizontal="left" vertical="top" wrapText="1"/>
    </xf>
    <xf numFmtId="0" fontId="30" fillId="0" borderId="0" xfId="0" applyFont="1" applyAlignment="1">
      <alignment horizontal="left" wrapText="1"/>
    </xf>
    <xf numFmtId="0" fontId="3" fillId="0" borderId="0" xfId="0" applyFont="1" applyAlignment="1">
      <alignment wrapText="1"/>
    </xf>
    <xf numFmtId="0" fontId="3" fillId="0" borderId="0" xfId="0" applyFont="1" applyAlignment="1">
      <alignment horizontal="left" wrapText="1"/>
    </xf>
    <xf numFmtId="0" fontId="31" fillId="0" borderId="0" xfId="0" applyFont="1"/>
    <xf numFmtId="0" fontId="32" fillId="0" borderId="0" xfId="0" applyFont="1" applyAlignment="1">
      <alignment horizontal="center"/>
    </xf>
    <xf numFmtId="0" fontId="13" fillId="0" borderId="16" xfId="0" applyFont="1" applyBorder="1"/>
    <xf numFmtId="0" fontId="13" fillId="2" borderId="6" xfId="0" applyFont="1" applyFill="1" applyBorder="1" applyAlignment="1">
      <alignment horizontal="center"/>
    </xf>
    <xf numFmtId="0" fontId="16" fillId="3" borderId="6" xfId="0" applyFont="1" applyFill="1" applyBorder="1" applyAlignment="1">
      <alignment horizontal="center"/>
    </xf>
    <xf numFmtId="0" fontId="33" fillId="2" borderId="6" xfId="0" applyFont="1" applyFill="1" applyBorder="1" applyAlignment="1">
      <alignment horizontal="center"/>
    </xf>
    <xf numFmtId="0" fontId="34" fillId="0" borderId="0" xfId="0" applyFont="1"/>
    <xf numFmtId="0" fontId="34" fillId="2" borderId="47" xfId="0" applyFont="1" applyFill="1" applyBorder="1"/>
    <xf numFmtId="0" fontId="34" fillId="2" borderId="21" xfId="0" applyFont="1" applyFill="1" applyBorder="1"/>
    <xf numFmtId="0" fontId="34" fillId="2" borderId="45" xfId="0" applyFont="1" applyFill="1" applyBorder="1"/>
    <xf numFmtId="0" fontId="13" fillId="2" borderId="47" xfId="0" applyFont="1" applyFill="1" applyBorder="1" applyAlignment="1">
      <alignment horizontal="center"/>
    </xf>
    <xf numFmtId="0" fontId="13" fillId="2" borderId="15" xfId="0" applyFont="1" applyFill="1" applyBorder="1" applyAlignment="1">
      <alignment horizontal="left"/>
    </xf>
    <xf numFmtId="0" fontId="13" fillId="2" borderId="16" xfId="0" applyFont="1" applyFill="1" applyBorder="1"/>
    <xf numFmtId="0" fontId="33" fillId="2" borderId="16" xfId="0" applyFont="1" applyFill="1" applyBorder="1" applyAlignment="1">
      <alignment horizontal="center"/>
    </xf>
    <xf numFmtId="0" fontId="32" fillId="0" borderId="0" xfId="0" applyFont="1"/>
    <xf numFmtId="0" fontId="13" fillId="2" borderId="15" xfId="0" applyFont="1" applyFill="1" applyBorder="1" applyAlignment="1">
      <alignment horizontal="center"/>
    </xf>
    <xf numFmtId="186" fontId="14" fillId="12" borderId="0" xfId="0" applyNumberFormat="1" applyFont="1" applyFill="1"/>
    <xf numFmtId="186" fontId="14" fillId="0" borderId="0" xfId="0" applyNumberFormat="1" applyFont="1"/>
    <xf numFmtId="186" fontId="7" fillId="13" borderId="0" xfId="0" applyNumberFormat="1" applyFont="1" applyFill="1"/>
    <xf numFmtId="186" fontId="7" fillId="0" borderId="0" xfId="0" applyNumberFormat="1" applyFont="1"/>
    <xf numFmtId="0" fontId="7" fillId="0" borderId="45" xfId="0" applyFont="1" applyBorder="1"/>
    <xf numFmtId="186" fontId="14" fillId="12" borderId="0" xfId="0" applyNumberFormat="1" applyFont="1" applyFill="1" applyAlignment="1">
      <alignment horizontal="right"/>
    </xf>
    <xf numFmtId="186" fontId="14" fillId="0" borderId="0" xfId="0" applyNumberFormat="1" applyFont="1" applyAlignment="1">
      <alignment horizontal="right"/>
    </xf>
    <xf numFmtId="186" fontId="7" fillId="13" borderId="0" xfId="0" applyNumberFormat="1" applyFont="1" applyFill="1" applyAlignment="1">
      <alignment horizontal="right"/>
    </xf>
    <xf numFmtId="186" fontId="7" fillId="0" borderId="0" xfId="0" applyNumberFormat="1" applyFont="1" applyAlignment="1">
      <alignment horizontal="right"/>
    </xf>
    <xf numFmtId="187" fontId="24" fillId="0" borderId="8" xfId="0" applyNumberFormat="1" applyFont="1" applyBorder="1" applyAlignment="1">
      <alignment horizontal="center"/>
    </xf>
    <xf numFmtId="187" fontId="24" fillId="0" borderId="9" xfId="0" applyNumberFormat="1" applyFont="1" applyBorder="1" applyAlignment="1">
      <alignment horizontal="center"/>
    </xf>
    <xf numFmtId="0" fontId="35" fillId="0" borderId="0" xfId="0" applyFont="1" applyAlignment="1">
      <alignment horizontal="center"/>
    </xf>
    <xf numFmtId="0" fontId="36" fillId="0" borderId="0" xfId="0" applyFont="1"/>
    <xf numFmtId="0" fontId="37" fillId="0" borderId="0" xfId="0" applyFont="1" applyAlignment="1">
      <alignment horizontal="left"/>
    </xf>
    <xf numFmtId="174" fontId="38" fillId="12" borderId="0" xfId="0" applyNumberFormat="1" applyFont="1" applyFill="1" applyAlignment="1">
      <alignment horizontal="right"/>
    </xf>
    <xf numFmtId="187" fontId="38" fillId="12" borderId="0" xfId="0" applyNumberFormat="1" applyFont="1" applyFill="1" applyAlignment="1">
      <alignment horizontal="right"/>
    </xf>
    <xf numFmtId="187" fontId="38" fillId="0" borderId="0" xfId="0" applyNumberFormat="1" applyFont="1" applyAlignment="1">
      <alignment horizontal="right"/>
    </xf>
    <xf numFmtId="187" fontId="36" fillId="13" borderId="0" xfId="0" applyNumberFormat="1" applyFont="1" applyFill="1" applyAlignment="1">
      <alignment horizontal="right"/>
    </xf>
    <xf numFmtId="187" fontId="36" fillId="0" borderId="0" xfId="0" applyNumberFormat="1" applyFont="1" applyAlignment="1">
      <alignment horizontal="right"/>
    </xf>
    <xf numFmtId="0" fontId="36" fillId="0" borderId="8" xfId="0" applyFont="1" applyBorder="1" applyAlignment="1">
      <alignment horizontal="center"/>
    </xf>
    <xf numFmtId="0" fontId="36" fillId="0" borderId="9" xfId="0" applyFont="1" applyBorder="1" applyAlignment="1">
      <alignment horizontal="center"/>
    </xf>
    <xf numFmtId="0" fontId="36" fillId="0" borderId="15" xfId="0" applyFont="1" applyBorder="1" applyAlignment="1">
      <alignment horizontal="center"/>
    </xf>
    <xf numFmtId="0" fontId="36" fillId="0" borderId="17" xfId="0" applyFont="1" applyBorder="1" applyAlignment="1">
      <alignment horizontal="center"/>
    </xf>
    <xf numFmtId="0" fontId="39" fillId="0" borderId="0" xfId="0" applyFont="1" applyAlignment="1">
      <alignment horizontal="center"/>
    </xf>
    <xf numFmtId="0" fontId="24" fillId="0" borderId="0" xfId="0" applyFont="1"/>
    <xf numFmtId="174" fontId="40" fillId="12" borderId="0" xfId="0" applyNumberFormat="1" applyFont="1" applyFill="1" applyAlignment="1">
      <alignment horizontal="right"/>
    </xf>
    <xf numFmtId="187" fontId="24" fillId="13" borderId="0" xfId="0" applyNumberFormat="1" applyFont="1" applyFill="1" applyAlignment="1">
      <alignment horizontal="right"/>
    </xf>
    <xf numFmtId="187" fontId="24" fillId="0" borderId="0" xfId="0" applyNumberFormat="1" applyFont="1" applyAlignment="1">
      <alignment horizontal="right"/>
    </xf>
    <xf numFmtId="0" fontId="24" fillId="0" borderId="8" xfId="0" applyFont="1" applyBorder="1"/>
    <xf numFmtId="0" fontId="24" fillId="0" borderId="9" xfId="0" applyFont="1" applyBorder="1"/>
    <xf numFmtId="187" fontId="40" fillId="12" borderId="0" xfId="0" applyNumberFormat="1" applyFont="1" applyFill="1" applyAlignment="1">
      <alignment horizontal="right"/>
    </xf>
    <xf numFmtId="187" fontId="40" fillId="0" borderId="0" xfId="0" applyNumberFormat="1" applyFont="1" applyAlignment="1">
      <alignment horizontal="right"/>
    </xf>
    <xf numFmtId="0" fontId="24" fillId="0" borderId="15" xfId="0" applyFont="1" applyBorder="1"/>
    <xf numFmtId="0" fontId="24" fillId="0" borderId="17" xfId="0" applyFont="1" applyBorder="1"/>
    <xf numFmtId="0" fontId="33" fillId="2" borderId="7" xfId="0" applyFont="1" applyFill="1" applyBorder="1" applyAlignment="1">
      <alignment horizontal="center"/>
    </xf>
    <xf numFmtId="0" fontId="33" fillId="2" borderId="3" xfId="0" applyFont="1" applyFill="1" applyBorder="1" applyAlignment="1">
      <alignment horizontal="center"/>
    </xf>
    <xf numFmtId="0" fontId="7" fillId="12" borderId="0" xfId="0" applyFont="1" applyFill="1"/>
    <xf numFmtId="0" fontId="7" fillId="13" borderId="0" xfId="0" applyFont="1" applyFill="1"/>
    <xf numFmtId="186" fontId="7" fillId="12" borderId="0" xfId="0" applyNumberFormat="1" applyFont="1" applyFill="1" applyAlignment="1">
      <alignment horizontal="right"/>
    </xf>
    <xf numFmtId="187" fontId="24" fillId="12" borderId="0" xfId="0" applyNumberFormat="1" applyFont="1" applyFill="1" applyAlignment="1">
      <alignment horizontal="right"/>
    </xf>
    <xf numFmtId="0" fontId="7" fillId="12" borderId="0" xfId="0" applyFont="1" applyFill="1" applyAlignment="1">
      <alignment horizontal="right"/>
    </xf>
    <xf numFmtId="187" fontId="41" fillId="13" borderId="0" xfId="0" applyNumberFormat="1" applyFont="1" applyFill="1" applyAlignment="1">
      <alignment horizontal="right"/>
    </xf>
    <xf numFmtId="187" fontId="41" fillId="0" borderId="0" xfId="0" applyNumberFormat="1" applyFont="1" applyAlignment="1">
      <alignment horizontal="right"/>
    </xf>
    <xf numFmtId="0" fontId="7" fillId="13" borderId="0" xfId="0" applyFont="1" applyFill="1" applyAlignment="1">
      <alignment horizontal="right"/>
    </xf>
    <xf numFmtId="0" fontId="24" fillId="12" borderId="0" xfId="0" applyFont="1" applyFill="1" applyAlignment="1">
      <alignment horizontal="right"/>
    </xf>
    <xf numFmtId="0" fontId="24" fillId="0" borderId="0" xfId="0" applyFont="1" applyAlignment="1">
      <alignment horizontal="right"/>
    </xf>
    <xf numFmtId="188" fontId="7" fillId="12" borderId="0" xfId="0" applyNumberFormat="1" applyFont="1" applyFill="1" applyAlignment="1">
      <alignment horizontal="right"/>
    </xf>
    <xf numFmtId="188" fontId="7" fillId="0" borderId="0" xfId="0" applyNumberFormat="1" applyFont="1" applyAlignment="1">
      <alignment horizontal="right"/>
    </xf>
    <xf numFmtId="188" fontId="7" fillId="13" borderId="0" xfId="0" applyNumberFormat="1" applyFont="1" applyFill="1" applyAlignment="1">
      <alignment horizontal="right"/>
    </xf>
    <xf numFmtId="188" fontId="7" fillId="12" borderId="0" xfId="0" applyNumberFormat="1" applyFont="1" applyFill="1"/>
    <xf numFmtId="188" fontId="7" fillId="0" borderId="0" xfId="0" applyNumberFormat="1" applyFont="1"/>
    <xf numFmtId="188" fontId="7" fillId="13" borderId="0" xfId="0" applyNumberFormat="1" applyFont="1" applyFill="1"/>
    <xf numFmtId="188" fontId="16" fillId="12" borderId="0" xfId="0" applyNumberFormat="1" applyFont="1" applyFill="1" applyAlignment="1">
      <alignment horizontal="right"/>
    </xf>
    <xf numFmtId="189" fontId="7" fillId="12" borderId="0" xfId="0" applyNumberFormat="1" applyFont="1" applyFill="1" applyAlignment="1">
      <alignment horizontal="right"/>
    </xf>
    <xf numFmtId="189" fontId="7" fillId="0" borderId="0" xfId="0" applyNumberFormat="1" applyFont="1" applyAlignment="1">
      <alignment horizontal="right"/>
    </xf>
    <xf numFmtId="189" fontId="7" fillId="13" borderId="0" xfId="0" applyNumberFormat="1" applyFont="1" applyFill="1" applyAlignment="1">
      <alignment horizontal="right"/>
    </xf>
    <xf numFmtId="189" fontId="24" fillId="12" borderId="0" xfId="0" applyNumberFormat="1" applyFont="1" applyFill="1" applyAlignment="1">
      <alignment horizontal="right"/>
    </xf>
    <xf numFmtId="189" fontId="24" fillId="0" borderId="0" xfId="0" applyNumberFormat="1" applyFont="1" applyAlignment="1">
      <alignment horizontal="right"/>
    </xf>
    <xf numFmtId="189" fontId="41" fillId="13" borderId="0" xfId="0" applyNumberFormat="1" applyFont="1" applyFill="1" applyAlignment="1">
      <alignment horizontal="right"/>
    </xf>
    <xf numFmtId="189" fontId="41" fillId="0" borderId="0" xfId="0" applyNumberFormat="1" applyFont="1" applyAlignment="1">
      <alignment horizontal="right"/>
    </xf>
    <xf numFmtId="190" fontId="7" fillId="12" borderId="0" xfId="0" applyNumberFormat="1" applyFont="1" applyFill="1" applyAlignment="1">
      <alignment horizontal="right"/>
    </xf>
    <xf numFmtId="190" fontId="7" fillId="0" borderId="0" xfId="0" applyNumberFormat="1" applyFont="1" applyAlignment="1">
      <alignment horizontal="right"/>
    </xf>
    <xf numFmtId="187" fontId="41" fillId="13" borderId="0" xfId="0" applyNumberFormat="1" applyFont="1" applyFill="1"/>
    <xf numFmtId="187" fontId="41" fillId="0" borderId="0" xfId="0" applyNumberFormat="1" applyFont="1"/>
    <xf numFmtId="0" fontId="42" fillId="0" borderId="0" xfId="0" applyFont="1" applyAlignment="1">
      <alignment horizontal="center"/>
    </xf>
    <xf numFmtId="0" fontId="43" fillId="0" borderId="0" xfId="0" applyFont="1" applyAlignment="1">
      <alignment horizontal="center"/>
    </xf>
    <xf numFmtId="0" fontId="4" fillId="0" borderId="0" xfId="0" applyFont="1" applyAlignment="1">
      <alignment horizontal="center"/>
    </xf>
    <xf numFmtId="0" fontId="16" fillId="0" borderId="21" xfId="0" applyFont="1" applyBorder="1" applyAlignment="1">
      <alignment horizontal="center"/>
    </xf>
    <xf numFmtId="0" fontId="7" fillId="0" borderId="31" xfId="0" applyFont="1" applyBorder="1" applyAlignment="1">
      <alignment horizontal="left"/>
    </xf>
    <xf numFmtId="0" fontId="7" fillId="0" borderId="34" xfId="0" applyFont="1" applyBorder="1" applyAlignment="1">
      <alignment horizontal="left"/>
    </xf>
    <xf numFmtId="0" fontId="7" fillId="0" borderId="38" xfId="0" applyFont="1" applyBorder="1" applyAlignment="1">
      <alignment horizontal="left"/>
    </xf>
    <xf numFmtId="0" fontId="13" fillId="2" borderId="47" xfId="0" applyFont="1" applyFill="1" applyBorder="1" applyAlignment="1">
      <alignment horizontal="left"/>
    </xf>
    <xf numFmtId="0" fontId="33" fillId="2" borderId="21" xfId="0" applyFont="1" applyFill="1" applyBorder="1" applyAlignment="1">
      <alignment horizontal="center"/>
    </xf>
    <xf numFmtId="0" fontId="13" fillId="2" borderId="45" xfId="0" applyFont="1" applyFill="1" applyBorder="1" applyAlignment="1">
      <alignment horizontal="center"/>
    </xf>
    <xf numFmtId="186" fontId="7" fillId="12" borderId="0" xfId="0" applyNumberFormat="1" applyFont="1" applyFill="1"/>
    <xf numFmtId="172" fontId="16" fillId="12" borderId="16" xfId="0" applyNumberFormat="1" applyFont="1" applyFill="1" applyBorder="1"/>
    <xf numFmtId="172" fontId="7" fillId="0" borderId="16" xfId="0" applyNumberFormat="1" applyFont="1" applyBorder="1"/>
    <xf numFmtId="172" fontId="7" fillId="13" borderId="16" xfId="0" applyNumberFormat="1" applyFont="1" applyFill="1" applyBorder="1"/>
    <xf numFmtId="191" fontId="7" fillId="12" borderId="0" xfId="0" applyNumberFormat="1" applyFont="1" applyFill="1"/>
    <xf numFmtId="172" fontId="16" fillId="12" borderId="0" xfId="0" applyNumberFormat="1" applyFont="1" applyFill="1"/>
    <xf numFmtId="172" fontId="7" fillId="13" borderId="0" xfId="0" applyNumberFormat="1" applyFont="1" applyFill="1"/>
    <xf numFmtId="191" fontId="7" fillId="13" borderId="0" xfId="0" applyNumberFormat="1" applyFont="1" applyFill="1"/>
    <xf numFmtId="172" fontId="14" fillId="13" borderId="0" xfId="0" applyNumberFormat="1" applyFont="1" applyFill="1"/>
    <xf numFmtId="172" fontId="14" fillId="0" borderId="0" xfId="0" applyNumberFormat="1" applyFont="1"/>
    <xf numFmtId="192" fontId="7" fillId="12" borderId="0" xfId="0" applyNumberFormat="1" applyFont="1" applyFill="1"/>
    <xf numFmtId="192" fontId="7" fillId="13" borderId="0" xfId="0" applyNumberFormat="1" applyFont="1" applyFill="1"/>
    <xf numFmtId="172" fontId="16" fillId="13" borderId="0" xfId="0" applyNumberFormat="1" applyFont="1" applyFill="1"/>
    <xf numFmtId="172" fontId="16" fillId="0" borderId="0" xfId="0" applyNumberFormat="1" applyFont="1"/>
    <xf numFmtId="172" fontId="16" fillId="4" borderId="16" xfId="0" applyNumberFormat="1" applyFont="1" applyFill="1" applyBorder="1"/>
    <xf numFmtId="172" fontId="16" fillId="13" borderId="16" xfId="0" applyNumberFormat="1" applyFont="1" applyFill="1" applyBorder="1"/>
    <xf numFmtId="172" fontId="16" fillId="0" borderId="16" xfId="0" applyNumberFormat="1" applyFont="1" applyBorder="1"/>
    <xf numFmtId="175" fontId="7" fillId="12" borderId="0" xfId="0" applyNumberFormat="1" applyFont="1" applyFill="1"/>
    <xf numFmtId="175" fontId="7" fillId="13" borderId="0" xfId="0" applyNumberFormat="1" applyFont="1" applyFill="1"/>
    <xf numFmtId="172" fontId="7" fillId="12" borderId="16" xfId="0" applyNumberFormat="1" applyFont="1" applyFill="1" applyBorder="1"/>
    <xf numFmtId="0" fontId="13" fillId="2" borderId="21" xfId="0" applyFont="1" applyFill="1" applyBorder="1"/>
    <xf numFmtId="0" fontId="7" fillId="3" borderId="15" xfId="0" applyFont="1" applyFill="1" applyBorder="1"/>
    <xf numFmtId="0" fontId="7" fillId="3" borderId="16" xfId="0" applyFont="1" applyFill="1" applyBorder="1"/>
    <xf numFmtId="0" fontId="7" fillId="3" borderId="17" xfId="0" applyFont="1" applyFill="1" applyBorder="1"/>
    <xf numFmtId="187" fontId="7" fillId="12" borderId="0" xfId="0" applyNumberFormat="1" applyFont="1" applyFill="1" applyAlignment="1">
      <alignment horizontal="right"/>
    </xf>
    <xf numFmtId="187" fontId="7" fillId="0" borderId="0" xfId="0" applyNumberFormat="1" applyFont="1" applyAlignment="1">
      <alignment horizontal="right"/>
    </xf>
    <xf numFmtId="187" fontId="7" fillId="13" borderId="0" xfId="0" applyNumberFormat="1" applyFont="1" applyFill="1" applyAlignment="1">
      <alignment horizontal="right"/>
    </xf>
    <xf numFmtId="187" fontId="14" fillId="13" borderId="0" xfId="0" applyNumberFormat="1" applyFont="1" applyFill="1" applyAlignment="1">
      <alignment horizontal="right"/>
    </xf>
    <xf numFmtId="187" fontId="14" fillId="0" borderId="0" xfId="0" applyNumberFormat="1" applyFont="1" applyAlignment="1">
      <alignment horizontal="right"/>
    </xf>
    <xf numFmtId="193" fontId="7" fillId="12" borderId="0" xfId="0" applyNumberFormat="1" applyFont="1" applyFill="1"/>
    <xf numFmtId="193" fontId="7" fillId="13" borderId="0" xfId="0" applyNumberFormat="1" applyFont="1" applyFill="1"/>
    <xf numFmtId="172" fontId="7" fillId="12" borderId="0" xfId="0" applyNumberFormat="1" applyFont="1" applyFill="1"/>
    <xf numFmtId="172" fontId="14" fillId="13" borderId="16" xfId="0" applyNumberFormat="1" applyFont="1" applyFill="1" applyBorder="1"/>
    <xf numFmtId="0" fontId="7" fillId="0" borderId="19" xfId="0" applyFont="1" applyBorder="1"/>
    <xf numFmtId="0" fontId="7" fillId="0" borderId="29" xfId="0" applyFont="1" applyBorder="1" applyAlignment="1">
      <alignment horizontal="left"/>
    </xf>
    <xf numFmtId="186" fontId="7" fillId="12" borderId="29" xfId="0" applyNumberFormat="1" applyFont="1" applyFill="1" applyBorder="1"/>
    <xf numFmtId="186" fontId="7" fillId="0" borderId="29" xfId="0" applyNumberFormat="1" applyFont="1" applyBorder="1"/>
    <xf numFmtId="186" fontId="7" fillId="13" borderId="29" xfId="0" applyNumberFormat="1" applyFont="1" applyFill="1" applyBorder="1"/>
    <xf numFmtId="172" fontId="14" fillId="0" borderId="16" xfId="0" applyNumberFormat="1" applyFont="1" applyBorder="1"/>
    <xf numFmtId="186" fontId="16" fillId="12" borderId="0" xfId="0" applyNumberFormat="1" applyFont="1" applyFill="1"/>
    <xf numFmtId="186" fontId="4" fillId="12" borderId="0" xfId="0" applyNumberFormat="1" applyFont="1" applyFill="1"/>
    <xf numFmtId="172" fontId="4" fillId="12" borderId="16" xfId="0" applyNumberFormat="1" applyFont="1" applyFill="1" applyBorder="1"/>
    <xf numFmtId="186" fontId="16" fillId="0" borderId="0" xfId="0" applyNumberFormat="1" applyFont="1"/>
    <xf numFmtId="0" fontId="7" fillId="3" borderId="3" xfId="0" applyFont="1" applyFill="1" applyBorder="1"/>
    <xf numFmtId="187" fontId="7" fillId="12" borderId="0" xfId="0" applyNumberFormat="1" applyFont="1" applyFill="1"/>
    <xf numFmtId="187" fontId="7" fillId="0" borderId="0" xfId="0" applyNumberFormat="1" applyFont="1"/>
    <xf numFmtId="187" fontId="7" fillId="13" borderId="0" xfId="0" applyNumberFormat="1" applyFont="1" applyFill="1"/>
    <xf numFmtId="0" fontId="24" fillId="0" borderId="29" xfId="0" applyFont="1" applyBorder="1" applyAlignment="1">
      <alignment horizontal="left"/>
    </xf>
    <xf numFmtId="0" fontId="24" fillId="0" borderId="29" xfId="0" applyFont="1" applyBorder="1"/>
    <xf numFmtId="194" fontId="24" fillId="12" borderId="29" xfId="0" applyNumberFormat="1" applyFont="1" applyFill="1" applyBorder="1" applyAlignment="1">
      <alignment horizontal="right"/>
    </xf>
    <xf numFmtId="194" fontId="24" fillId="0" borderId="29" xfId="0" applyNumberFormat="1" applyFont="1" applyBorder="1" applyAlignment="1">
      <alignment horizontal="right"/>
    </xf>
    <xf numFmtId="194" fontId="24" fillId="13" borderId="29" xfId="0" applyNumberFormat="1" applyFont="1" applyFill="1" applyBorder="1" applyAlignment="1">
      <alignment horizontal="right"/>
    </xf>
    <xf numFmtId="194" fontId="24" fillId="0" borderId="27" xfId="0" applyNumberFormat="1" applyFont="1" applyBorder="1" applyAlignment="1">
      <alignment horizontal="right"/>
    </xf>
    <xf numFmtId="0" fontId="7" fillId="0" borderId="26" xfId="0" applyFont="1" applyBorder="1" applyAlignment="1">
      <alignment horizontal="left"/>
    </xf>
    <xf numFmtId="186" fontId="7" fillId="0" borderId="27" xfId="0" applyNumberFormat="1" applyFont="1" applyBorder="1"/>
    <xf numFmtId="0" fontId="7" fillId="12" borderId="24" xfId="0" applyFont="1" applyFill="1" applyBorder="1"/>
    <xf numFmtId="0" fontId="7" fillId="13" borderId="24" xfId="0" applyFont="1" applyFill="1" applyBorder="1"/>
    <xf numFmtId="174" fontId="7" fillId="12" borderId="0" xfId="0" applyNumberFormat="1" applyFont="1" applyFill="1"/>
    <xf numFmtId="174" fontId="14" fillId="13" borderId="0" xfId="0" applyNumberFormat="1" applyFont="1" applyFill="1"/>
    <xf numFmtId="174" fontId="14" fillId="0" borderId="0" xfId="0" applyNumberFormat="1" applyFont="1"/>
    <xf numFmtId="188" fontId="16" fillId="12" borderId="0" xfId="0" applyNumberFormat="1" applyFont="1" applyFill="1"/>
    <xf numFmtId="188" fontId="7" fillId="0" borderId="16" xfId="0" applyNumberFormat="1" applyFont="1" applyBorder="1"/>
    <xf numFmtId="174" fontId="7" fillId="13" borderId="0" xfId="0" applyNumberFormat="1" applyFont="1" applyFill="1"/>
    <xf numFmtId="186" fontId="16" fillId="4" borderId="0" xfId="0" applyNumberFormat="1" applyFont="1" applyFill="1"/>
    <xf numFmtId="188" fontId="16" fillId="13" borderId="0" xfId="0" applyNumberFormat="1" applyFont="1" applyFill="1"/>
    <xf numFmtId="188" fontId="16" fillId="0" borderId="0" xfId="0" applyNumberFormat="1" applyFont="1"/>
    <xf numFmtId="188" fontId="16" fillId="12" borderId="16" xfId="0" applyNumberFormat="1" applyFont="1" applyFill="1" applyBorder="1"/>
    <xf numFmtId="188" fontId="16" fillId="13" borderId="16" xfId="0" applyNumberFormat="1" applyFont="1" applyFill="1" applyBorder="1"/>
    <xf numFmtId="188" fontId="16" fillId="0" borderId="16" xfId="0" applyNumberFormat="1" applyFont="1" applyBorder="1"/>
    <xf numFmtId="187" fontId="14" fillId="13" borderId="0" xfId="0" applyNumberFormat="1" applyFont="1" applyFill="1"/>
    <xf numFmtId="187" fontId="14" fillId="0" borderId="0" xfId="0" applyNumberFormat="1" applyFont="1"/>
    <xf numFmtId="0" fontId="24" fillId="12" borderId="0" xfId="0" applyFont="1" applyFill="1"/>
    <xf numFmtId="186" fontId="24" fillId="12" borderId="0" xfId="0" applyNumberFormat="1" applyFont="1" applyFill="1"/>
    <xf numFmtId="186" fontId="24" fillId="0" borderId="0" xfId="0" applyNumberFormat="1" applyFont="1"/>
    <xf numFmtId="186" fontId="24" fillId="13" borderId="0" xfId="0" applyNumberFormat="1" applyFont="1" applyFill="1"/>
    <xf numFmtId="195" fontId="7" fillId="12" borderId="0" xfId="0" applyNumberFormat="1" applyFont="1" applyFill="1"/>
    <xf numFmtId="190" fontId="7" fillId="12" borderId="0" xfId="0" applyNumberFormat="1" applyFont="1" applyFill="1"/>
    <xf numFmtId="190" fontId="7" fillId="0" borderId="0" xfId="0" applyNumberFormat="1" applyFont="1"/>
    <xf numFmtId="190" fontId="7" fillId="13" borderId="0" xfId="0" applyNumberFormat="1" applyFont="1" applyFill="1"/>
    <xf numFmtId="175" fontId="16" fillId="12" borderId="0" xfId="0" applyNumberFormat="1" applyFont="1" applyFill="1"/>
    <xf numFmtId="175" fontId="16" fillId="4" borderId="0" xfId="0" applyNumberFormat="1" applyFont="1" applyFill="1"/>
    <xf numFmtId="175" fontId="14" fillId="13" borderId="0" xfId="0" applyNumberFormat="1" applyFont="1" applyFill="1"/>
    <xf numFmtId="175" fontId="16" fillId="13" borderId="0" xfId="0" applyNumberFormat="1" applyFont="1" applyFill="1"/>
    <xf numFmtId="175" fontId="16" fillId="0" borderId="0" xfId="0" applyNumberFormat="1" applyFont="1"/>
    <xf numFmtId="172" fontId="7" fillId="4" borderId="0" xfId="0" applyNumberFormat="1" applyFont="1" applyFill="1"/>
    <xf numFmtId="172" fontId="16" fillId="4" borderId="0" xfId="0" applyNumberFormat="1" applyFont="1" applyFill="1"/>
    <xf numFmtId="196" fontId="7" fillId="12" borderId="0" xfId="0" applyNumberFormat="1" applyFont="1" applyFill="1"/>
    <xf numFmtId="175" fontId="7" fillId="4" borderId="0" xfId="0" applyNumberFormat="1" applyFont="1" applyFill="1"/>
    <xf numFmtId="0" fontId="7" fillId="4" borderId="0" xfId="0" applyFont="1" applyFill="1"/>
    <xf numFmtId="39" fontId="7" fillId="12" borderId="0" xfId="0" applyNumberFormat="1" applyFont="1" applyFill="1"/>
    <xf numFmtId="188" fontId="16" fillId="4" borderId="0" xfId="0" applyNumberFormat="1" applyFont="1" applyFill="1"/>
    <xf numFmtId="186" fontId="7" fillId="4" borderId="0" xfId="0" applyNumberFormat="1" applyFont="1" applyFill="1"/>
    <xf numFmtId="174" fontId="24" fillId="12" borderId="0" xfId="0" applyNumberFormat="1" applyFont="1" applyFill="1"/>
    <xf numFmtId="174" fontId="24" fillId="0" borderId="0" xfId="0" applyNumberFormat="1" applyFont="1"/>
    <xf numFmtId="174" fontId="24" fillId="4" borderId="0" xfId="0" applyNumberFormat="1" applyFont="1" applyFill="1"/>
    <xf numFmtId="174" fontId="41" fillId="13" borderId="0" xfId="0" applyNumberFormat="1" applyFont="1" applyFill="1"/>
    <xf numFmtId="174" fontId="41" fillId="0" borderId="0" xfId="0" applyNumberFormat="1" applyFont="1"/>
    <xf numFmtId="172" fontId="7" fillId="4" borderId="16" xfId="0" applyNumberFormat="1" applyFont="1" applyFill="1" applyBorder="1"/>
    <xf numFmtId="197" fontId="7" fillId="13" borderId="0" xfId="0" applyNumberFormat="1" applyFont="1" applyFill="1"/>
    <xf numFmtId="197" fontId="7" fillId="0" borderId="0" xfId="0" applyNumberFormat="1" applyFont="1"/>
    <xf numFmtId="191" fontId="7" fillId="0" borderId="0" xfId="0" applyNumberFormat="1" applyFont="1"/>
    <xf numFmtId="191" fontId="16" fillId="12" borderId="0" xfId="0" applyNumberFormat="1" applyFont="1" applyFill="1"/>
    <xf numFmtId="191" fontId="16" fillId="0" borderId="0" xfId="0" applyNumberFormat="1" applyFont="1"/>
    <xf numFmtId="191" fontId="16" fillId="12" borderId="16" xfId="0" applyNumberFormat="1" applyFont="1" applyFill="1" applyBorder="1"/>
    <xf numFmtId="191" fontId="16" fillId="0" borderId="16" xfId="0" applyNumberFormat="1" applyFont="1" applyBorder="1"/>
    <xf numFmtId="191" fontId="7" fillId="13" borderId="16" xfId="0" applyNumberFormat="1" applyFont="1" applyFill="1" applyBorder="1"/>
    <xf numFmtId="191" fontId="7" fillId="0" borderId="16" xfId="0" applyNumberFormat="1" applyFont="1" applyBorder="1"/>
    <xf numFmtId="188" fontId="14" fillId="13" borderId="0" xfId="0" applyNumberFormat="1" applyFont="1" applyFill="1"/>
    <xf numFmtId="0" fontId="14" fillId="0" borderId="0" xfId="0" applyFont="1"/>
    <xf numFmtId="188" fontId="14" fillId="0" borderId="0" xfId="0" applyNumberFormat="1" applyFont="1"/>
    <xf numFmtId="187" fontId="24" fillId="12" borderId="0" xfId="0" applyNumberFormat="1" applyFont="1" applyFill="1"/>
    <xf numFmtId="187" fontId="24" fillId="0" borderId="0" xfId="0" applyNumberFormat="1" applyFont="1"/>
    <xf numFmtId="187" fontId="24" fillId="13" borderId="0" xfId="0" applyNumberFormat="1" applyFont="1" applyFill="1"/>
    <xf numFmtId="198" fontId="41" fillId="13" borderId="0" xfId="0" applyNumberFormat="1" applyFont="1" applyFill="1"/>
    <xf numFmtId="198" fontId="41" fillId="0" borderId="0" xfId="0" applyNumberFormat="1" applyFont="1"/>
    <xf numFmtId="0" fontId="7" fillId="12" borderId="29" xfId="0" applyFont="1" applyFill="1" applyBorder="1"/>
    <xf numFmtId="172" fontId="16" fillId="12" borderId="0" xfId="0" applyNumberFormat="1" applyFont="1" applyFill="1" applyAlignment="1">
      <alignment horizontal="right"/>
    </xf>
    <xf numFmtId="172" fontId="7" fillId="0" borderId="0" xfId="0" applyNumberFormat="1" applyFont="1" applyAlignment="1">
      <alignment horizontal="right"/>
    </xf>
    <xf numFmtId="172" fontId="14" fillId="13" borderId="0" xfId="0" applyNumberFormat="1" applyFont="1" applyFill="1" applyAlignment="1">
      <alignment horizontal="right"/>
    </xf>
    <xf numFmtId="172" fontId="14" fillId="0" borderId="0" xfId="0" applyNumberFormat="1" applyFont="1" applyAlignment="1">
      <alignment horizontal="right"/>
    </xf>
    <xf numFmtId="172" fontId="7" fillId="12" borderId="0" xfId="0" applyNumberFormat="1" applyFont="1" applyFill="1" applyAlignment="1">
      <alignment horizontal="right"/>
    </xf>
    <xf numFmtId="174" fontId="7" fillId="12" borderId="0" xfId="0" applyNumberFormat="1" applyFont="1" applyFill="1" applyAlignment="1">
      <alignment horizontal="right"/>
    </xf>
    <xf numFmtId="174" fontId="7" fillId="13" borderId="0" xfId="0" applyNumberFormat="1" applyFont="1" applyFill="1" applyAlignment="1">
      <alignment horizontal="right"/>
    </xf>
    <xf numFmtId="0" fontId="16" fillId="0" borderId="0" xfId="0" applyFont="1" applyAlignment="1">
      <alignment horizontal="left"/>
    </xf>
    <xf numFmtId="172" fontId="16" fillId="13" borderId="0" xfId="0" applyNumberFormat="1" applyFont="1" applyFill="1" applyAlignment="1">
      <alignment horizontal="right"/>
    </xf>
    <xf numFmtId="172" fontId="16" fillId="0" borderId="0" xfId="0" applyNumberFormat="1" applyFont="1" applyAlignment="1">
      <alignment horizontal="right"/>
    </xf>
    <xf numFmtId="174" fontId="7" fillId="0" borderId="0" xfId="0" applyNumberFormat="1" applyFont="1" applyAlignment="1">
      <alignment horizontal="right"/>
    </xf>
    <xf numFmtId="172" fontId="7" fillId="13" borderId="0" xfId="0" applyNumberFormat="1" applyFont="1" applyFill="1" applyAlignment="1">
      <alignment horizontal="right"/>
    </xf>
    <xf numFmtId="193" fontId="16" fillId="12" borderId="0" xfId="0" applyNumberFormat="1" applyFont="1" applyFill="1" applyAlignment="1">
      <alignment horizontal="right"/>
    </xf>
    <xf numFmtId="193" fontId="16" fillId="13" borderId="0" xfId="0" applyNumberFormat="1" applyFont="1" applyFill="1" applyAlignment="1">
      <alignment horizontal="right"/>
    </xf>
    <xf numFmtId="194" fontId="24" fillId="12" borderId="0" xfId="0" applyNumberFormat="1" applyFont="1" applyFill="1" applyAlignment="1">
      <alignment horizontal="right"/>
    </xf>
    <xf numFmtId="194" fontId="24" fillId="0" borderId="0" xfId="0" applyNumberFormat="1" applyFont="1" applyAlignment="1">
      <alignment horizontal="right"/>
    </xf>
    <xf numFmtId="194" fontId="24" fillId="13" borderId="0" xfId="0" applyNumberFormat="1" applyFont="1" applyFill="1" applyAlignment="1">
      <alignment horizontal="right"/>
    </xf>
    <xf numFmtId="186" fontId="14" fillId="13" borderId="0" xfId="0" applyNumberFormat="1" applyFont="1" applyFill="1" applyAlignment="1">
      <alignment horizontal="right"/>
    </xf>
    <xf numFmtId="172" fontId="4" fillId="0" borderId="0" xfId="0" applyNumberFormat="1" applyFont="1" applyAlignment="1">
      <alignment horizontal="right"/>
    </xf>
    <xf numFmtId="172" fontId="4" fillId="13" borderId="0" xfId="0" applyNumberFormat="1" applyFont="1" applyFill="1" applyAlignment="1">
      <alignment horizontal="right"/>
    </xf>
    <xf numFmtId="194" fontId="40" fillId="12" borderId="0" xfId="0" applyNumberFormat="1" applyFont="1" applyFill="1" applyAlignment="1">
      <alignment horizontal="right"/>
    </xf>
    <xf numFmtId="194" fontId="24" fillId="15" borderId="0" xfId="0" applyNumberFormat="1" applyFont="1" applyFill="1" applyAlignment="1">
      <alignment horizontal="right"/>
    </xf>
    <xf numFmtId="0" fontId="4" fillId="0" borderId="0" xfId="0" applyFont="1" applyAlignment="1">
      <alignment horizontal="left"/>
    </xf>
    <xf numFmtId="187" fontId="4" fillId="0" borderId="0" xfId="0" applyNumberFormat="1" applyFont="1" applyAlignment="1">
      <alignment horizontal="right"/>
    </xf>
    <xf numFmtId="193" fontId="7" fillId="12" borderId="0" xfId="0" applyNumberFormat="1" applyFont="1" applyFill="1" applyAlignment="1">
      <alignment horizontal="right"/>
    </xf>
    <xf numFmtId="186" fontId="7" fillId="15" borderId="0" xfId="0" applyNumberFormat="1" applyFont="1" applyFill="1" applyAlignment="1">
      <alignment horizontal="right"/>
    </xf>
    <xf numFmtId="193" fontId="7" fillId="0" borderId="0" xfId="0" applyNumberFormat="1" applyFont="1" applyAlignment="1">
      <alignment horizontal="right"/>
    </xf>
    <xf numFmtId="0" fontId="7" fillId="3" borderId="7" xfId="0" applyFont="1" applyFill="1" applyBorder="1" applyAlignment="1">
      <alignment horizontal="right"/>
    </xf>
    <xf numFmtId="0" fontId="7" fillId="3" borderId="3" xfId="0" applyFont="1" applyFill="1" applyBorder="1" applyAlignment="1">
      <alignment horizontal="right"/>
    </xf>
    <xf numFmtId="164" fontId="7" fillId="12" borderId="0" xfId="0" applyNumberFormat="1" applyFont="1" applyFill="1" applyAlignment="1">
      <alignment horizontal="right"/>
    </xf>
    <xf numFmtId="164" fontId="7" fillId="13" borderId="0" xfId="0" applyNumberFormat="1" applyFont="1" applyFill="1" applyAlignment="1">
      <alignment horizontal="right"/>
    </xf>
    <xf numFmtId="164" fontId="7" fillId="0" borderId="0" xfId="0" applyNumberFormat="1" applyFont="1" applyAlignment="1">
      <alignment horizontal="right"/>
    </xf>
    <xf numFmtId="191" fontId="7" fillId="12" borderId="0" xfId="0" applyNumberFormat="1" applyFont="1" applyFill="1" applyAlignment="1">
      <alignment horizontal="right"/>
    </xf>
    <xf numFmtId="191" fontId="7" fillId="13" borderId="0" xfId="0" applyNumberFormat="1" applyFont="1" applyFill="1" applyAlignment="1">
      <alignment horizontal="right"/>
    </xf>
    <xf numFmtId="191" fontId="7" fillId="0" borderId="0" xfId="0" applyNumberFormat="1" applyFont="1" applyAlignment="1">
      <alignment horizontal="right"/>
    </xf>
    <xf numFmtId="0" fontId="16" fillId="12" borderId="0" xfId="0" applyFont="1" applyFill="1" applyAlignment="1">
      <alignment horizontal="right"/>
    </xf>
    <xf numFmtId="0" fontId="16" fillId="13" borderId="0" xfId="0" applyFont="1" applyFill="1" applyAlignment="1">
      <alignment horizontal="right"/>
    </xf>
    <xf numFmtId="0" fontId="16" fillId="0" borderId="0" xfId="0" applyFont="1" applyAlignment="1">
      <alignment horizontal="right"/>
    </xf>
    <xf numFmtId="0" fontId="7" fillId="3" borderId="15" xfId="0" applyFont="1" applyFill="1" applyBorder="1" applyAlignment="1">
      <alignment horizontal="left"/>
    </xf>
    <xf numFmtId="0" fontId="13" fillId="3" borderId="16" xfId="0" applyFont="1" applyFill="1" applyBorder="1"/>
    <xf numFmtId="0" fontId="33" fillId="3" borderId="16" xfId="0" applyFont="1" applyFill="1" applyBorder="1" applyAlignment="1">
      <alignment horizontal="center"/>
    </xf>
    <xf numFmtId="0" fontId="13" fillId="3" borderId="16" xfId="0" applyFont="1" applyFill="1" applyBorder="1" applyAlignment="1">
      <alignment horizontal="center"/>
    </xf>
    <xf numFmtId="0" fontId="13" fillId="3" borderId="17" xfId="0" applyFont="1" applyFill="1" applyBorder="1" applyAlignment="1">
      <alignment horizontal="center"/>
    </xf>
    <xf numFmtId="0" fontId="7" fillId="3" borderId="2" xfId="0" applyFont="1" applyFill="1" applyBorder="1" applyAlignment="1">
      <alignment horizontal="left"/>
    </xf>
    <xf numFmtId="0" fontId="13" fillId="3" borderId="7" xfId="0" applyFont="1" applyFill="1" applyBorder="1"/>
    <xf numFmtId="0" fontId="33" fillId="3" borderId="7" xfId="0" applyFont="1" applyFill="1" applyBorder="1" applyAlignment="1">
      <alignment horizontal="right"/>
    </xf>
    <xf numFmtId="0" fontId="13" fillId="3" borderId="7" xfId="0" applyFont="1" applyFill="1" applyBorder="1" applyAlignment="1">
      <alignment horizontal="right"/>
    </xf>
    <xf numFmtId="0" fontId="13" fillId="3" borderId="3" xfId="0" applyFont="1" applyFill="1" applyBorder="1" applyAlignment="1">
      <alignment horizontal="right"/>
    </xf>
    <xf numFmtId="188" fontId="16" fillId="13" borderId="0" xfId="0" applyNumberFormat="1" applyFont="1" applyFill="1" applyAlignment="1">
      <alignment horizontal="right"/>
    </xf>
    <xf numFmtId="188" fontId="16" fillId="0" borderId="0" xfId="0" applyNumberFormat="1" applyFont="1" applyAlignment="1">
      <alignment horizontal="right"/>
    </xf>
    <xf numFmtId="0" fontId="33" fillId="3" borderId="16" xfId="0" applyFont="1" applyFill="1" applyBorder="1" applyAlignment="1">
      <alignment horizontal="right"/>
    </xf>
    <xf numFmtId="0" fontId="13" fillId="3" borderId="16" xfId="0" applyFont="1" applyFill="1" applyBorder="1" applyAlignment="1">
      <alignment horizontal="right"/>
    </xf>
    <xf numFmtId="0" fontId="13" fillId="3" borderId="17" xfId="0" applyFont="1" applyFill="1" applyBorder="1" applyAlignment="1">
      <alignment horizontal="right"/>
    </xf>
    <xf numFmtId="187" fontId="14" fillId="12" borderId="0" xfId="0" applyNumberFormat="1" applyFont="1" applyFill="1" applyAlignment="1">
      <alignment horizontal="right"/>
    </xf>
    <xf numFmtId="188" fontId="41" fillId="13" borderId="0" xfId="0" applyNumberFormat="1" applyFont="1" applyFill="1" applyAlignment="1">
      <alignment horizontal="right"/>
    </xf>
    <xf numFmtId="188" fontId="41" fillId="0" borderId="0" xfId="0" applyNumberFormat="1" applyFont="1" applyAlignment="1">
      <alignment horizontal="right"/>
    </xf>
    <xf numFmtId="199" fontId="7" fillId="13" borderId="0" xfId="0" applyNumberFormat="1" applyFont="1" applyFill="1" applyAlignment="1">
      <alignment horizontal="right"/>
    </xf>
    <xf numFmtId="199" fontId="7" fillId="0" borderId="0" xfId="0" applyNumberFormat="1" applyFont="1" applyAlignment="1">
      <alignment horizontal="right"/>
    </xf>
    <xf numFmtId="199" fontId="41" fillId="13" borderId="0" xfId="0" applyNumberFormat="1" applyFont="1" applyFill="1" applyAlignment="1">
      <alignment horizontal="right"/>
    </xf>
    <xf numFmtId="199" fontId="41" fillId="0" borderId="0" xfId="0" applyNumberFormat="1" applyFont="1" applyAlignment="1">
      <alignment horizontal="right"/>
    </xf>
    <xf numFmtId="179" fontId="41" fillId="0" borderId="0" xfId="0" applyNumberFormat="1" applyFont="1" applyAlignment="1">
      <alignment horizontal="right"/>
    </xf>
    <xf numFmtId="186" fontId="41" fillId="13" borderId="0" xfId="0" applyNumberFormat="1" applyFont="1" applyFill="1" applyAlignment="1">
      <alignment horizontal="right"/>
    </xf>
    <xf numFmtId="186" fontId="41" fillId="0" borderId="0" xfId="0" applyNumberFormat="1" applyFont="1" applyAlignment="1">
      <alignment horizontal="right"/>
    </xf>
    <xf numFmtId="0" fontId="44" fillId="0" borderId="0" xfId="0" applyFont="1"/>
    <xf numFmtId="0" fontId="5" fillId="0" borderId="0" xfId="0" applyFont="1"/>
    <xf numFmtId="0" fontId="33" fillId="2" borderId="2" xfId="0" applyFont="1" applyFill="1" applyBorder="1" applyAlignment="1">
      <alignment horizontal="center"/>
    </xf>
    <xf numFmtId="0" fontId="45" fillId="0" borderId="0" xfId="0" applyFont="1" applyAlignment="1">
      <alignment horizontal="center"/>
    </xf>
    <xf numFmtId="0" fontId="33" fillId="0" borderId="0" xfId="0" applyFont="1" applyAlignment="1">
      <alignment horizontal="center"/>
    </xf>
    <xf numFmtId="0" fontId="46" fillId="0" borderId="0" xfId="0" applyFont="1" applyAlignment="1">
      <alignment horizontal="center"/>
    </xf>
    <xf numFmtId="0" fontId="31" fillId="0" borderId="0" xfId="0" applyFont="1" applyAlignment="1">
      <alignment horizontal="center"/>
    </xf>
    <xf numFmtId="177" fontId="31" fillId="0" borderId="0" xfId="0" applyNumberFormat="1" applyFont="1" applyAlignment="1">
      <alignment horizontal="center"/>
    </xf>
    <xf numFmtId="9" fontId="7" fillId="0" borderId="0" xfId="0" applyNumberFormat="1" applyFont="1" applyAlignment="1">
      <alignment horizontal="center"/>
    </xf>
    <xf numFmtId="168" fontId="13" fillId="2" borderId="7" xfId="0" applyNumberFormat="1" applyFont="1" applyFill="1" applyBorder="1" applyAlignment="1">
      <alignment horizontal="center"/>
    </xf>
    <xf numFmtId="200" fontId="13" fillId="2" borderId="7" xfId="0" applyNumberFormat="1" applyFont="1" applyFill="1" applyBorder="1" applyAlignment="1">
      <alignment horizontal="center"/>
    </xf>
    <xf numFmtId="178" fontId="13" fillId="2" borderId="7" xfId="0" applyNumberFormat="1" applyFont="1" applyFill="1" applyBorder="1" applyAlignment="1">
      <alignment horizontal="center"/>
    </xf>
    <xf numFmtId="178" fontId="13" fillId="2" borderId="3" xfId="0" applyNumberFormat="1" applyFont="1" applyFill="1" applyBorder="1" applyAlignment="1">
      <alignment horizontal="center"/>
    </xf>
    <xf numFmtId="201" fontId="13" fillId="2" borderId="7" xfId="0" applyNumberFormat="1" applyFont="1" applyFill="1" applyBorder="1" applyAlignment="1">
      <alignment horizontal="center"/>
    </xf>
    <xf numFmtId="202" fontId="7" fillId="0" borderId="0" xfId="0" applyNumberFormat="1" applyFont="1" applyAlignment="1">
      <alignment horizontal="center"/>
    </xf>
    <xf numFmtId="201" fontId="7" fillId="0" borderId="0" xfId="0" applyNumberFormat="1" applyFont="1" applyAlignment="1">
      <alignment horizontal="center"/>
    </xf>
    <xf numFmtId="203" fontId="7" fillId="0" borderId="0" xfId="0" applyNumberFormat="1" applyFont="1" applyAlignment="1">
      <alignment horizontal="center"/>
    </xf>
    <xf numFmtId="37" fontId="7" fillId="0" borderId="0" xfId="0" applyNumberFormat="1" applyFont="1" applyAlignment="1">
      <alignment horizontal="center"/>
    </xf>
    <xf numFmtId="200" fontId="7" fillId="0" borderId="0" xfId="0" applyNumberFormat="1" applyFont="1" applyAlignment="1">
      <alignment horizontal="center"/>
    </xf>
    <xf numFmtId="178" fontId="7" fillId="0" borderId="0" xfId="0" applyNumberFormat="1" applyFont="1" applyAlignment="1">
      <alignment horizontal="center"/>
    </xf>
    <xf numFmtId="167" fontId="7" fillId="0" borderId="0" xfId="0" applyNumberFormat="1" applyFont="1" applyAlignment="1">
      <alignment horizontal="center"/>
    </xf>
    <xf numFmtId="0" fontId="7" fillId="4" borderId="58" xfId="0" applyFont="1" applyFill="1" applyBorder="1"/>
    <xf numFmtId="0" fontId="7" fillId="4" borderId="59" xfId="0" applyFont="1" applyFill="1" applyBorder="1"/>
    <xf numFmtId="0" fontId="7" fillId="4" borderId="59" xfId="0" applyFont="1" applyFill="1" applyBorder="1" applyAlignment="1">
      <alignment horizontal="center"/>
    </xf>
    <xf numFmtId="168" fontId="7" fillId="4" borderId="59" xfId="0" applyNumberFormat="1" applyFont="1" applyFill="1" applyBorder="1" applyAlignment="1">
      <alignment horizontal="center"/>
    </xf>
    <xf numFmtId="200" fontId="7" fillId="4" borderId="59" xfId="0" applyNumberFormat="1" applyFont="1" applyFill="1" applyBorder="1" applyAlignment="1">
      <alignment horizontal="center"/>
    </xf>
    <xf numFmtId="203" fontId="7" fillId="4" borderId="59" xfId="0" applyNumberFormat="1" applyFont="1" applyFill="1" applyBorder="1" applyAlignment="1">
      <alignment horizontal="center"/>
    </xf>
    <xf numFmtId="178" fontId="7" fillId="4" borderId="59" xfId="0" applyNumberFormat="1" applyFont="1" applyFill="1" applyBorder="1" applyAlignment="1">
      <alignment horizontal="center"/>
    </xf>
    <xf numFmtId="178" fontId="7" fillId="4" borderId="60" xfId="0" applyNumberFormat="1" applyFont="1" applyFill="1" applyBorder="1" applyAlignment="1">
      <alignment horizontal="center"/>
    </xf>
    <xf numFmtId="201" fontId="7" fillId="4" borderId="59" xfId="0" applyNumberFormat="1" applyFont="1" applyFill="1" applyBorder="1" applyAlignment="1">
      <alignment horizontal="center"/>
    </xf>
    <xf numFmtId="0" fontId="7" fillId="4" borderId="61" xfId="0" applyFont="1" applyFill="1" applyBorder="1"/>
    <xf numFmtId="0" fontId="7" fillId="4" borderId="0" xfId="0" applyFont="1" applyFill="1" applyAlignment="1">
      <alignment horizontal="center"/>
    </xf>
    <xf numFmtId="37" fontId="7" fillId="4" borderId="0" xfId="0" applyNumberFormat="1" applyFont="1" applyFill="1" applyAlignment="1">
      <alignment horizontal="center"/>
    </xf>
    <xf numFmtId="200" fontId="7" fillId="4" borderId="0" xfId="0" applyNumberFormat="1" applyFont="1" applyFill="1" applyAlignment="1">
      <alignment horizontal="center"/>
    </xf>
    <xf numFmtId="203" fontId="7" fillId="4" borderId="0" xfId="0" applyNumberFormat="1" applyFont="1" applyFill="1" applyAlignment="1">
      <alignment horizontal="center"/>
    </xf>
    <xf numFmtId="178" fontId="7" fillId="4" borderId="0" xfId="0" applyNumberFormat="1" applyFont="1" applyFill="1" applyAlignment="1">
      <alignment horizontal="center"/>
    </xf>
    <xf numFmtId="178" fontId="7" fillId="4" borderId="32" xfId="0" applyNumberFormat="1" applyFont="1" applyFill="1" applyBorder="1" applyAlignment="1">
      <alignment horizontal="center"/>
    </xf>
    <xf numFmtId="201" fontId="7" fillId="4" borderId="0" xfId="0" applyNumberFormat="1" applyFont="1" applyFill="1" applyAlignment="1">
      <alignment horizontal="center"/>
    </xf>
    <xf numFmtId="0" fontId="7" fillId="4" borderId="62" xfId="0" applyFont="1" applyFill="1" applyBorder="1"/>
    <xf numFmtId="0" fontId="7" fillId="4" borderId="1" xfId="0" applyFont="1" applyFill="1" applyBorder="1"/>
    <xf numFmtId="37" fontId="7" fillId="4" borderId="1" xfId="0" applyNumberFormat="1" applyFont="1" applyFill="1" applyBorder="1" applyAlignment="1">
      <alignment horizontal="center"/>
    </xf>
    <xf numFmtId="200" fontId="7" fillId="4" borderId="1" xfId="0" applyNumberFormat="1" applyFont="1" applyFill="1" applyBorder="1" applyAlignment="1">
      <alignment horizontal="center"/>
    </xf>
    <xf numFmtId="203" fontId="7" fillId="4" borderId="1" xfId="0" applyNumberFormat="1" applyFont="1" applyFill="1" applyBorder="1" applyAlignment="1">
      <alignment horizontal="center"/>
    </xf>
    <xf numFmtId="178" fontId="7" fillId="4" borderId="1" xfId="0" applyNumberFormat="1" applyFont="1" applyFill="1" applyBorder="1" applyAlignment="1">
      <alignment horizontal="center"/>
    </xf>
    <xf numFmtId="178" fontId="7" fillId="4" borderId="63" xfId="0" applyNumberFormat="1" applyFont="1" applyFill="1" applyBorder="1" applyAlignment="1">
      <alignment horizontal="center"/>
    </xf>
    <xf numFmtId="201" fontId="7" fillId="4" borderId="1" xfId="0" applyNumberFormat="1" applyFont="1" applyFill="1" applyBorder="1" applyAlignment="1">
      <alignment horizontal="center"/>
    </xf>
    <xf numFmtId="0" fontId="47" fillId="0" borderId="0" xfId="0" applyFont="1" applyAlignment="1">
      <alignment horizontal="center"/>
    </xf>
    <xf numFmtId="204" fontId="13" fillId="2" borderId="7" xfId="0" applyNumberFormat="1" applyFont="1" applyFill="1" applyBorder="1" applyAlignment="1">
      <alignment horizontal="center"/>
    </xf>
    <xf numFmtId="205" fontId="7" fillId="0" borderId="0" xfId="0" applyNumberFormat="1" applyFont="1" applyAlignment="1">
      <alignment horizontal="center"/>
    </xf>
    <xf numFmtId="204" fontId="7" fillId="0" borderId="0" xfId="0" applyNumberFormat="1" applyFont="1" applyAlignment="1">
      <alignment horizontal="center"/>
    </xf>
    <xf numFmtId="171" fontId="7" fillId="0" borderId="0" xfId="0" applyNumberFormat="1" applyFont="1" applyAlignment="1">
      <alignment horizontal="center"/>
    </xf>
    <xf numFmtId="39" fontId="7" fillId="4" borderId="59" xfId="0" applyNumberFormat="1" applyFont="1" applyFill="1" applyBorder="1" applyAlignment="1">
      <alignment horizontal="center"/>
    </xf>
    <xf numFmtId="0" fontId="7" fillId="4" borderId="60" xfId="0" applyFont="1" applyFill="1" applyBorder="1" applyAlignment="1">
      <alignment horizontal="center"/>
    </xf>
    <xf numFmtId="39" fontId="7" fillId="4" borderId="0" xfId="0" applyNumberFormat="1" applyFont="1" applyFill="1" applyAlignment="1">
      <alignment horizontal="center"/>
    </xf>
    <xf numFmtId="0" fontId="7" fillId="4" borderId="32" xfId="0" applyFont="1" applyFill="1" applyBorder="1" applyAlignment="1">
      <alignment horizontal="center"/>
    </xf>
    <xf numFmtId="39" fontId="7" fillId="4" borderId="1" xfId="0" applyNumberFormat="1" applyFont="1" applyFill="1" applyBorder="1" applyAlignment="1">
      <alignment horizontal="center"/>
    </xf>
    <xf numFmtId="0" fontId="7" fillId="4" borderId="1" xfId="0" applyFont="1" applyFill="1" applyBorder="1" applyAlignment="1">
      <alignment horizontal="center"/>
    </xf>
    <xf numFmtId="0" fontId="7" fillId="4" borderId="63" xfId="0" applyFont="1" applyFill="1" applyBorder="1" applyAlignment="1">
      <alignment horizontal="center"/>
    </xf>
    <xf numFmtId="0" fontId="7" fillId="0" borderId="1" xfId="0" applyFont="1" applyBorder="1"/>
    <xf numFmtId="206" fontId="7" fillId="0" borderId="1" xfId="0" applyNumberFormat="1" applyFont="1" applyBorder="1" applyAlignment="1">
      <alignment horizontal="center"/>
    </xf>
    <xf numFmtId="0" fontId="7" fillId="0" borderId="1" xfId="0" applyFont="1" applyBorder="1" applyAlignment="1">
      <alignment horizontal="center"/>
    </xf>
    <xf numFmtId="178" fontId="7" fillId="0" borderId="1" xfId="0" applyNumberFormat="1" applyFont="1" applyBorder="1" applyAlignment="1">
      <alignment horizontal="center"/>
    </xf>
    <xf numFmtId="203" fontId="7" fillId="0" borderId="1" xfId="0" applyNumberFormat="1" applyFont="1" applyBorder="1" applyAlignment="1">
      <alignment horizontal="center"/>
    </xf>
    <xf numFmtId="206" fontId="7" fillId="0" borderId="0" xfId="0" applyNumberFormat="1" applyFont="1" applyAlignment="1">
      <alignment horizontal="center"/>
    </xf>
    <xf numFmtId="0" fontId="7" fillId="5" borderId="2" xfId="0" applyFont="1" applyFill="1" applyBorder="1"/>
    <xf numFmtId="0" fontId="7" fillId="5" borderId="3" xfId="0" applyFont="1" applyFill="1" applyBorder="1"/>
    <xf numFmtId="0" fontId="48" fillId="0" borderId="0" xfId="0" applyFont="1"/>
    <xf numFmtId="0" fontId="15" fillId="0" borderId="0" xfId="0" applyFont="1"/>
    <xf numFmtId="0" fontId="7" fillId="16" borderId="2" xfId="0" applyFont="1" applyFill="1" applyBorder="1"/>
    <xf numFmtId="0" fontId="7" fillId="16" borderId="7" xfId="0" applyFont="1" applyFill="1" applyBorder="1"/>
    <xf numFmtId="0" fontId="7" fillId="16" borderId="7" xfId="0" applyFont="1" applyFill="1" applyBorder="1" applyAlignment="1">
      <alignment horizontal="center"/>
    </xf>
    <xf numFmtId="168" fontId="7" fillId="16" borderId="7" xfId="0" applyNumberFormat="1" applyFont="1" applyFill="1" applyBorder="1" applyAlignment="1">
      <alignment horizontal="center"/>
    </xf>
    <xf numFmtId="201" fontId="7" fillId="16" borderId="7" xfId="0" applyNumberFormat="1" applyFont="1" applyFill="1" applyBorder="1" applyAlignment="1">
      <alignment horizontal="center"/>
    </xf>
    <xf numFmtId="178" fontId="7" fillId="16" borderId="7" xfId="0" applyNumberFormat="1" applyFont="1" applyFill="1" applyBorder="1" applyAlignment="1">
      <alignment horizontal="center"/>
    </xf>
    <xf numFmtId="178" fontId="7" fillId="16" borderId="3" xfId="0" applyNumberFormat="1" applyFont="1" applyFill="1" applyBorder="1" applyAlignment="1">
      <alignment horizontal="center"/>
    </xf>
    <xf numFmtId="174" fontId="7" fillId="0" borderId="0" xfId="0" applyNumberFormat="1" applyFont="1" applyAlignment="1">
      <alignment horizontal="center"/>
    </xf>
    <xf numFmtId="0" fontId="13" fillId="2" borderId="64" xfId="0" applyFont="1" applyFill="1" applyBorder="1"/>
    <xf numFmtId="0" fontId="13" fillId="2" borderId="65" xfId="0" applyFont="1" applyFill="1" applyBorder="1"/>
    <xf numFmtId="0" fontId="13" fillId="2" borderId="65" xfId="0" applyFont="1" applyFill="1" applyBorder="1" applyAlignment="1">
      <alignment horizontal="center"/>
    </xf>
    <xf numFmtId="168" fontId="13" fillId="2" borderId="65" xfId="0" applyNumberFormat="1" applyFont="1" applyFill="1" applyBorder="1" applyAlignment="1">
      <alignment horizontal="center"/>
    </xf>
    <xf numFmtId="201" fontId="13" fillId="2" borderId="65" xfId="0" applyNumberFormat="1" applyFont="1" applyFill="1" applyBorder="1" applyAlignment="1">
      <alignment horizontal="center"/>
    </xf>
    <xf numFmtId="203" fontId="13" fillId="2" borderId="65" xfId="0" applyNumberFormat="1" applyFont="1" applyFill="1" applyBorder="1" applyAlignment="1">
      <alignment horizontal="center"/>
    </xf>
    <xf numFmtId="178" fontId="13" fillId="2" borderId="65" xfId="0" applyNumberFormat="1" applyFont="1" applyFill="1" applyBorder="1" applyAlignment="1">
      <alignment horizontal="center"/>
    </xf>
    <xf numFmtId="178" fontId="13" fillId="2" borderId="66" xfId="0" applyNumberFormat="1" applyFont="1" applyFill="1" applyBorder="1" applyAlignment="1">
      <alignment horizontal="center"/>
    </xf>
    <xf numFmtId="0" fontId="13" fillId="2" borderId="67" xfId="0" applyFont="1" applyFill="1" applyBorder="1"/>
    <xf numFmtId="0" fontId="13" fillId="2" borderId="29" xfId="0" applyFont="1" applyFill="1" applyBorder="1"/>
    <xf numFmtId="0" fontId="13" fillId="2" borderId="29" xfId="0" applyFont="1" applyFill="1" applyBorder="1" applyAlignment="1">
      <alignment horizontal="center"/>
    </xf>
    <xf numFmtId="37" fontId="13" fillId="2" borderId="29" xfId="0" applyNumberFormat="1" applyFont="1" applyFill="1" applyBorder="1" applyAlignment="1">
      <alignment horizontal="center"/>
    </xf>
    <xf numFmtId="201" fontId="13" fillId="2" borderId="29" xfId="0" applyNumberFormat="1" applyFont="1" applyFill="1" applyBorder="1" applyAlignment="1">
      <alignment horizontal="center"/>
    </xf>
    <xf numFmtId="207" fontId="13" fillId="2" borderId="29" xfId="0" applyNumberFormat="1" applyFont="1" applyFill="1" applyBorder="1" applyAlignment="1">
      <alignment horizontal="center"/>
    </xf>
    <xf numFmtId="178" fontId="13" fillId="2" borderId="29" xfId="0" applyNumberFormat="1" applyFont="1" applyFill="1" applyBorder="1" applyAlignment="1">
      <alignment horizontal="center"/>
    </xf>
    <xf numFmtId="178" fontId="13" fillId="2" borderId="68" xfId="0" applyNumberFormat="1" applyFont="1" applyFill="1" applyBorder="1" applyAlignment="1">
      <alignment horizontal="center"/>
    </xf>
    <xf numFmtId="0" fontId="13" fillId="2" borderId="69" xfId="0" applyFont="1" applyFill="1" applyBorder="1"/>
    <xf numFmtId="0" fontId="13" fillId="2" borderId="70" xfId="0" applyFont="1" applyFill="1" applyBorder="1"/>
    <xf numFmtId="37" fontId="13" fillId="2" borderId="70" xfId="0" applyNumberFormat="1" applyFont="1" applyFill="1" applyBorder="1" applyAlignment="1">
      <alignment horizontal="center"/>
    </xf>
    <xf numFmtId="201" fontId="13" fillId="2" borderId="70" xfId="0" applyNumberFormat="1" applyFont="1" applyFill="1" applyBorder="1" applyAlignment="1">
      <alignment horizontal="center"/>
    </xf>
    <xf numFmtId="207" fontId="13" fillId="2" borderId="70" xfId="0" applyNumberFormat="1" applyFont="1" applyFill="1" applyBorder="1" applyAlignment="1">
      <alignment horizontal="center"/>
    </xf>
    <xf numFmtId="178" fontId="13" fillId="2" borderId="70" xfId="0" applyNumberFormat="1" applyFont="1" applyFill="1" applyBorder="1" applyAlignment="1">
      <alignment horizontal="center"/>
    </xf>
    <xf numFmtId="178" fontId="13" fillId="2" borderId="71" xfId="0" applyNumberFormat="1" applyFont="1" applyFill="1" applyBorder="1" applyAlignment="1">
      <alignment horizontal="center"/>
    </xf>
    <xf numFmtId="204" fontId="7" fillId="16" borderId="7" xfId="0" applyNumberFormat="1" applyFont="1" applyFill="1" applyBorder="1" applyAlignment="1">
      <alignment horizontal="center"/>
    </xf>
    <xf numFmtId="0" fontId="7" fillId="16" borderId="3" xfId="0" applyFont="1" applyFill="1" applyBorder="1" applyAlignment="1">
      <alignment horizontal="center"/>
    </xf>
    <xf numFmtId="183" fontId="7" fillId="0" borderId="0" xfId="0" applyNumberFormat="1" applyFont="1" applyAlignment="1">
      <alignment horizontal="center"/>
    </xf>
    <xf numFmtId="2" fontId="13" fillId="2" borderId="65" xfId="0" applyNumberFormat="1" applyFont="1" applyFill="1" applyBorder="1" applyAlignment="1">
      <alignment horizontal="center"/>
    </xf>
    <xf numFmtId="2" fontId="13" fillId="2" borderId="29" xfId="0" applyNumberFormat="1" applyFont="1" applyFill="1" applyBorder="1" applyAlignment="1">
      <alignment horizontal="center"/>
    </xf>
    <xf numFmtId="180" fontId="13" fillId="2" borderId="29" xfId="0" applyNumberFormat="1" applyFont="1" applyFill="1" applyBorder="1" applyAlignment="1">
      <alignment horizontal="center"/>
    </xf>
    <xf numFmtId="2" fontId="13" fillId="2" borderId="70" xfId="0" applyNumberFormat="1" applyFont="1" applyFill="1" applyBorder="1" applyAlignment="1">
      <alignment horizontal="center"/>
    </xf>
    <xf numFmtId="180" fontId="13" fillId="2" borderId="70" xfId="0" applyNumberFormat="1" applyFont="1" applyFill="1" applyBorder="1" applyAlignment="1">
      <alignment horizontal="center"/>
    </xf>
    <xf numFmtId="0" fontId="7" fillId="16" borderId="1" xfId="0" applyFont="1" applyFill="1" applyBorder="1"/>
    <xf numFmtId="0" fontId="16" fillId="0" borderId="21" xfId="0" applyFont="1" applyBorder="1"/>
    <xf numFmtId="0" fontId="16" fillId="0" borderId="0" xfId="0" applyFont="1"/>
    <xf numFmtId="0" fontId="16" fillId="0" borderId="17" xfId="0" applyFont="1" applyBorder="1"/>
    <xf numFmtId="0" fontId="7" fillId="0" borderId="17" xfId="0" applyFont="1" applyBorder="1"/>
    <xf numFmtId="0" fontId="16" fillId="0" borderId="16" xfId="0" applyFont="1" applyBorder="1"/>
    <xf numFmtId="0" fontId="16" fillId="0" borderId="45" xfId="0" applyFont="1" applyBorder="1"/>
    <xf numFmtId="0" fontId="16" fillId="0" borderId="9" xfId="0" applyFont="1" applyBorder="1"/>
    <xf numFmtId="0" fontId="33" fillId="0" borderId="0" xfId="0" applyFont="1"/>
    <xf numFmtId="208" fontId="13" fillId="0" borderId="0" xfId="0" applyNumberFormat="1" applyFont="1" applyAlignment="1">
      <alignment horizontal="left"/>
    </xf>
    <xf numFmtId="0" fontId="7" fillId="0" borderId="0" xfId="0" applyFont="1" applyAlignment="1">
      <alignment horizontal="left" vertical="top" wrapText="1"/>
    </xf>
    <xf numFmtId="0" fontId="49" fillId="17" borderId="0" xfId="0" applyFont="1" applyFill="1"/>
    <xf numFmtId="0" fontId="33" fillId="17" borderId="0" xfId="0" applyFont="1" applyFill="1"/>
    <xf numFmtId="0" fontId="50" fillId="0" borderId="0" xfId="0" applyFont="1"/>
    <xf numFmtId="0" fontId="50" fillId="0" borderId="16" xfId="0" applyFont="1" applyBorder="1"/>
    <xf numFmtId="0" fontId="12" fillId="0" borderId="16" xfId="0" applyFont="1" applyBorder="1"/>
    <xf numFmtId="0" fontId="7" fillId="3" borderId="6" xfId="0" applyFont="1" applyFill="1" applyBorder="1" applyAlignment="1">
      <alignment horizontal="center"/>
    </xf>
    <xf numFmtId="209" fontId="7" fillId="0" borderId="0" xfId="0" applyNumberFormat="1" applyFont="1"/>
    <xf numFmtId="168" fontId="7" fillId="0" borderId="0" xfId="0" applyNumberFormat="1" applyFont="1" applyAlignment="1">
      <alignment horizontal="center"/>
    </xf>
    <xf numFmtId="167" fontId="4" fillId="0" borderId="0" xfId="0" applyNumberFormat="1" applyFont="1" applyAlignment="1">
      <alignment horizontal="center"/>
    </xf>
    <xf numFmtId="37" fontId="16" fillId="0" borderId="0" xfId="0" applyNumberFormat="1" applyFont="1" applyAlignment="1">
      <alignment horizontal="center"/>
    </xf>
    <xf numFmtId="210" fontId="7" fillId="0" borderId="21" xfId="0" applyNumberFormat="1" applyFont="1" applyBorder="1" applyAlignment="1">
      <alignment horizontal="center"/>
    </xf>
    <xf numFmtId="167" fontId="7" fillId="0" borderId="21" xfId="0" applyNumberFormat="1" applyFont="1" applyBorder="1" applyAlignment="1">
      <alignment horizontal="center"/>
    </xf>
    <xf numFmtId="171" fontId="16" fillId="0" borderId="0" xfId="0" applyNumberFormat="1" applyFont="1"/>
    <xf numFmtId="0" fontId="7" fillId="0" borderId="2" xfId="0" applyFont="1" applyBorder="1"/>
    <xf numFmtId="0" fontId="7" fillId="0" borderId="7" xfId="0" applyFont="1" applyBorder="1"/>
    <xf numFmtId="209" fontId="7" fillId="0" borderId="3" xfId="0" applyNumberFormat="1" applyFont="1" applyBorder="1" applyAlignment="1">
      <alignment horizontal="center"/>
    </xf>
    <xf numFmtId="209" fontId="7" fillId="0" borderId="21" xfId="0" applyNumberFormat="1" applyFont="1" applyBorder="1"/>
    <xf numFmtId="185" fontId="24" fillId="0" borderId="0" xfId="0" applyNumberFormat="1" applyFont="1" applyAlignment="1">
      <alignment horizontal="center"/>
    </xf>
    <xf numFmtId="0" fontId="6" fillId="0" borderId="1" xfId="0" applyFont="1" applyBorder="1"/>
    <xf numFmtId="182" fontId="13" fillId="0" borderId="0" xfId="0" applyNumberFormat="1" applyFont="1"/>
    <xf numFmtId="167" fontId="7" fillId="0" borderId="16" xfId="0" applyNumberFormat="1" applyFont="1" applyBorder="1" applyAlignment="1">
      <alignment horizontal="center"/>
    </xf>
    <xf numFmtId="167" fontId="16" fillId="0" borderId="16" xfId="0" applyNumberFormat="1" applyFont="1" applyBorder="1" applyAlignment="1">
      <alignment horizontal="center"/>
    </xf>
    <xf numFmtId="39" fontId="7" fillId="0" borderId="16" xfId="0" applyNumberFormat="1" applyFont="1" applyBorder="1"/>
    <xf numFmtId="0" fontId="7" fillId="0" borderId="72" xfId="0" applyFont="1" applyBorder="1" applyAlignment="1">
      <alignment horizontal="center" vertical="center" wrapText="1"/>
    </xf>
    <xf numFmtId="167" fontId="7" fillId="0" borderId="9" xfId="0" applyNumberFormat="1" applyFont="1" applyBorder="1" applyAlignment="1">
      <alignment horizontal="center"/>
    </xf>
    <xf numFmtId="209" fontId="7" fillId="0" borderId="47" xfId="0" applyNumberFormat="1" applyFont="1" applyBorder="1" applyAlignment="1">
      <alignment horizontal="center"/>
    </xf>
    <xf numFmtId="209" fontId="7" fillId="0" borderId="21" xfId="0" applyNumberFormat="1" applyFont="1" applyBorder="1" applyAlignment="1">
      <alignment horizontal="center"/>
    </xf>
    <xf numFmtId="209" fontId="7" fillId="0" borderId="45" xfId="0" applyNumberFormat="1" applyFont="1" applyBorder="1" applyAlignment="1">
      <alignment horizontal="center"/>
    </xf>
    <xf numFmtId="0" fontId="6" fillId="0" borderId="73" xfId="0" applyFont="1" applyBorder="1"/>
    <xf numFmtId="209" fontId="7" fillId="0" borderId="8" xfId="0" applyNumberFormat="1" applyFont="1" applyBorder="1" applyAlignment="1">
      <alignment horizontal="center"/>
    </xf>
    <xf numFmtId="209" fontId="13" fillId="2" borderId="0" xfId="0" applyNumberFormat="1" applyFont="1" applyFill="1" applyAlignment="1">
      <alignment horizontal="center"/>
    </xf>
    <xf numFmtId="209" fontId="7" fillId="0" borderId="9" xfId="0" applyNumberFormat="1" applyFont="1" applyBorder="1" applyAlignment="1">
      <alignment horizontal="center"/>
    </xf>
    <xf numFmtId="167" fontId="16" fillId="0" borderId="9" xfId="0" applyNumberFormat="1" applyFont="1" applyBorder="1" applyAlignment="1">
      <alignment horizontal="center"/>
    </xf>
    <xf numFmtId="0" fontId="6" fillId="0" borderId="74" xfId="0" applyFont="1" applyBorder="1"/>
    <xf numFmtId="209" fontId="7" fillId="0" borderId="15" xfId="0" applyNumberFormat="1" applyFont="1" applyBorder="1" applyAlignment="1">
      <alignment horizontal="center"/>
    </xf>
    <xf numFmtId="209" fontId="7" fillId="0" borderId="16" xfId="0" applyNumberFormat="1" applyFont="1" applyBorder="1" applyAlignment="1">
      <alignment horizontal="center"/>
    </xf>
    <xf numFmtId="209" fontId="7" fillId="0" borderId="17" xfId="0" applyNumberFormat="1" applyFont="1" applyBorder="1" applyAlignment="1">
      <alignment horizontal="center"/>
    </xf>
    <xf numFmtId="171" fontId="14" fillId="0" borderId="0" xfId="0" applyNumberFormat="1" applyFont="1"/>
    <xf numFmtId="39" fontId="7" fillId="0" borderId="0" xfId="0" applyNumberFormat="1" applyFont="1"/>
    <xf numFmtId="39" fontId="14" fillId="0" borderId="0" xfId="0" applyNumberFormat="1" applyFont="1" applyAlignment="1">
      <alignment horizontal="center"/>
    </xf>
    <xf numFmtId="203" fontId="14" fillId="0" borderId="0" xfId="0" applyNumberFormat="1" applyFont="1" applyAlignment="1">
      <alignment horizontal="center"/>
    </xf>
    <xf numFmtId="167" fontId="14" fillId="0" borderId="0" xfId="0" applyNumberFormat="1" applyFont="1" applyAlignment="1">
      <alignment horizontal="center"/>
    </xf>
    <xf numFmtId="39" fontId="7" fillId="0" borderId="0" xfId="0" applyNumberFormat="1" applyFont="1" applyAlignment="1">
      <alignment horizontal="center"/>
    </xf>
    <xf numFmtId="209" fontId="7" fillId="5" borderId="6" xfId="0" applyNumberFormat="1" applyFont="1" applyFill="1" applyBorder="1" applyAlignment="1">
      <alignment horizontal="center"/>
    </xf>
    <xf numFmtId="167" fontId="16" fillId="5" borderId="6" xfId="0" applyNumberFormat="1" applyFont="1" applyFill="1" applyBorder="1" applyAlignment="1">
      <alignment horizontal="center"/>
    </xf>
    <xf numFmtId="167" fontId="7" fillId="5" borderId="6" xfId="0" applyNumberFormat="1" applyFont="1" applyFill="1" applyBorder="1" applyAlignment="1">
      <alignment horizontal="center"/>
    </xf>
    <xf numFmtId="39" fontId="14" fillId="0" borderId="16" xfId="0" applyNumberFormat="1" applyFont="1" applyBorder="1" applyAlignment="1">
      <alignment horizontal="center"/>
    </xf>
    <xf numFmtId="203" fontId="14" fillId="0" borderId="16" xfId="0" applyNumberFormat="1" applyFont="1" applyBorder="1" applyAlignment="1">
      <alignment horizontal="center"/>
    </xf>
    <xf numFmtId="171" fontId="14" fillId="0" borderId="16" xfId="0" applyNumberFormat="1" applyFont="1" applyBorder="1" applyAlignment="1">
      <alignment horizontal="center"/>
    </xf>
    <xf numFmtId="39" fontId="7" fillId="0" borderId="16" xfId="0" applyNumberFormat="1" applyFont="1" applyBorder="1" applyAlignment="1">
      <alignment horizontal="center"/>
    </xf>
    <xf numFmtId="0" fontId="7" fillId="3" borderId="2" xfId="0" applyFont="1" applyFill="1" applyBorder="1" applyAlignment="1">
      <alignment horizontal="center"/>
    </xf>
    <xf numFmtId="39" fontId="7" fillId="0" borderId="29" xfId="0" applyNumberFormat="1" applyFont="1" applyBorder="1" applyAlignment="1">
      <alignment horizontal="center"/>
    </xf>
    <xf numFmtId="203" fontId="14" fillId="0" borderId="29" xfId="0" applyNumberFormat="1" applyFont="1" applyBorder="1" applyAlignment="1">
      <alignment horizontal="center"/>
    </xf>
    <xf numFmtId="167" fontId="7" fillId="0" borderId="29" xfId="0" applyNumberFormat="1" applyFont="1" applyBorder="1" applyAlignment="1">
      <alignment horizontal="center"/>
    </xf>
    <xf numFmtId="39" fontId="7" fillId="0" borderId="27" xfId="0" applyNumberFormat="1" applyFont="1" applyBorder="1" applyAlignment="1">
      <alignment horizontal="center"/>
    </xf>
    <xf numFmtId="39" fontId="7" fillId="0" borderId="29" xfId="0" applyNumberFormat="1" applyFont="1" applyBorder="1"/>
    <xf numFmtId="211" fontId="7" fillId="0" borderId="29" xfId="0" applyNumberFormat="1" applyFont="1" applyBorder="1"/>
    <xf numFmtId="39" fontId="14" fillId="0" borderId="27" xfId="0" applyNumberFormat="1" applyFont="1" applyBorder="1" applyAlignment="1">
      <alignment horizontal="center"/>
    </xf>
    <xf numFmtId="0" fontId="7" fillId="18" borderId="0" xfId="0" applyFont="1" applyFill="1"/>
    <xf numFmtId="0" fontId="7" fillId="18" borderId="0" xfId="0" applyFont="1" applyFill="1" applyAlignment="1">
      <alignment horizontal="center"/>
    </xf>
    <xf numFmtId="0" fontId="4" fillId="3" borderId="7" xfId="0" applyFont="1" applyFill="1" applyBorder="1" applyAlignment="1">
      <alignment horizontal="center"/>
    </xf>
    <xf numFmtId="0" fontId="4" fillId="3" borderId="3" xfId="0" applyFont="1" applyFill="1" applyBorder="1" applyAlignment="1">
      <alignment horizontal="center"/>
    </xf>
    <xf numFmtId="0" fontId="33" fillId="2" borderId="47" xfId="0" applyFont="1" applyFill="1" applyBorder="1" applyAlignment="1">
      <alignment horizontal="center"/>
    </xf>
    <xf numFmtId="0" fontId="6" fillId="0" borderId="21" xfId="0" applyFont="1" applyBorder="1"/>
    <xf numFmtId="207" fontId="14" fillId="0" borderId="0" xfId="0" applyNumberFormat="1" applyFont="1" applyAlignment="1">
      <alignment horizontal="center"/>
    </xf>
    <xf numFmtId="197" fontId="14" fillId="0" borderId="0" xfId="0" applyNumberFormat="1" applyFont="1" applyAlignment="1">
      <alignment horizontal="center"/>
    </xf>
    <xf numFmtId="164" fontId="7" fillId="0" borderId="0" xfId="0" applyNumberFormat="1" applyFont="1" applyAlignment="1">
      <alignment horizontal="center"/>
    </xf>
    <xf numFmtId="166" fontId="24" fillId="0" borderId="0" xfId="0" applyNumberFormat="1" applyFont="1" applyAlignment="1">
      <alignment horizontal="center"/>
    </xf>
    <xf numFmtId="0" fontId="13" fillId="0" borderId="0" xfId="0" applyFont="1" applyAlignment="1">
      <alignment shrinkToFit="1"/>
    </xf>
    <xf numFmtId="167" fontId="41" fillId="0" borderId="0" xfId="0" applyNumberFormat="1" applyFont="1" applyAlignment="1">
      <alignment horizontal="center"/>
    </xf>
    <xf numFmtId="0" fontId="7" fillId="3" borderId="16" xfId="0" applyFont="1" applyFill="1" applyBorder="1" applyAlignment="1">
      <alignment horizontal="center"/>
    </xf>
    <xf numFmtId="0" fontId="4" fillId="3" borderId="16" xfId="0" applyFont="1" applyFill="1" applyBorder="1" applyAlignment="1">
      <alignment horizontal="center"/>
    </xf>
    <xf numFmtId="190" fontId="7" fillId="13" borderId="47" xfId="0" applyNumberFormat="1" applyFont="1" applyFill="1" applyBorder="1" applyAlignment="1">
      <alignment horizontal="center"/>
    </xf>
    <xf numFmtId="190" fontId="7" fillId="13" borderId="45" xfId="0" applyNumberFormat="1" applyFont="1" applyFill="1" applyBorder="1" applyAlignment="1">
      <alignment horizontal="center"/>
    </xf>
    <xf numFmtId="190" fontId="7" fillId="0" borderId="0" xfId="0" applyNumberFormat="1" applyFont="1" applyAlignment="1">
      <alignment horizontal="center"/>
    </xf>
    <xf numFmtId="190" fontId="7" fillId="13" borderId="15" xfId="0" applyNumberFormat="1" applyFont="1" applyFill="1" applyBorder="1" applyAlignment="1">
      <alignment horizontal="center"/>
    </xf>
    <xf numFmtId="190" fontId="7" fillId="13" borderId="17" xfId="0" applyNumberFormat="1" applyFont="1" applyFill="1" applyBorder="1" applyAlignment="1">
      <alignment horizontal="center"/>
    </xf>
    <xf numFmtId="0" fontId="7" fillId="3" borderId="17" xfId="0" applyFont="1" applyFill="1" applyBorder="1" applyAlignment="1">
      <alignment horizontal="center"/>
    </xf>
    <xf numFmtId="0" fontId="24" fillId="0" borderId="16" xfId="0" applyFont="1" applyBorder="1"/>
    <xf numFmtId="166" fontId="24" fillId="0" borderId="16" xfId="0" applyNumberFormat="1" applyFont="1" applyBorder="1" applyAlignment="1">
      <alignment horizontal="center"/>
    </xf>
    <xf numFmtId="167" fontId="24" fillId="0" borderId="16" xfId="0" applyNumberFormat="1" applyFont="1" applyBorder="1" applyAlignment="1">
      <alignment horizontal="center"/>
    </xf>
    <xf numFmtId="166" fontId="24" fillId="0" borderId="0" xfId="0" applyNumberFormat="1" applyFont="1"/>
    <xf numFmtId="0" fontId="41" fillId="0" borderId="0" xfId="0" applyFont="1" applyAlignment="1">
      <alignment horizontal="center"/>
    </xf>
    <xf numFmtId="4" fontId="13" fillId="2" borderId="21" xfId="0" applyNumberFormat="1" applyFont="1" applyFill="1" applyBorder="1" applyAlignment="1">
      <alignment horizontal="center"/>
    </xf>
    <xf numFmtId="0" fontId="13" fillId="2" borderId="75" xfId="0" applyFont="1" applyFill="1" applyBorder="1" applyAlignment="1">
      <alignment horizontal="center"/>
    </xf>
    <xf numFmtId="0" fontId="13" fillId="2" borderId="36" xfId="0" applyFont="1" applyFill="1" applyBorder="1" applyAlignment="1">
      <alignment horizontal="center"/>
    </xf>
    <xf numFmtId="0" fontId="51" fillId="0" borderId="0" xfId="0" applyFont="1" applyAlignment="1">
      <alignment horizontal="center"/>
    </xf>
    <xf numFmtId="0" fontId="51" fillId="0" borderId="0" xfId="0" applyFont="1"/>
    <xf numFmtId="0" fontId="51" fillId="2" borderId="15" xfId="0" applyFont="1" applyFill="1" applyBorder="1" applyAlignment="1">
      <alignment horizontal="left"/>
    </xf>
    <xf numFmtId="0" fontId="51" fillId="2" borderId="16" xfId="0" applyFont="1" applyFill="1" applyBorder="1"/>
    <xf numFmtId="4" fontId="51" fillId="2" borderId="16" xfId="0" applyNumberFormat="1" applyFont="1" applyFill="1" applyBorder="1" applyAlignment="1">
      <alignment horizontal="center"/>
    </xf>
    <xf numFmtId="4" fontId="51" fillId="2" borderId="17" xfId="0" applyNumberFormat="1" applyFont="1" applyFill="1" applyBorder="1" applyAlignment="1">
      <alignment horizontal="center"/>
    </xf>
    <xf numFmtId="0" fontId="7" fillId="15" borderId="76" xfId="0" applyFont="1" applyFill="1" applyBorder="1"/>
    <xf numFmtId="0" fontId="7" fillId="15" borderId="0" xfId="0" applyFont="1" applyFill="1"/>
    <xf numFmtId="0" fontId="7" fillId="15" borderId="33" xfId="0" applyFont="1" applyFill="1" applyBorder="1"/>
    <xf numFmtId="186" fontId="7" fillId="15" borderId="76" xfId="0" applyNumberFormat="1" applyFont="1" applyFill="1" applyBorder="1"/>
    <xf numFmtId="186" fontId="7" fillId="15" borderId="0" xfId="0" applyNumberFormat="1" applyFont="1" applyFill="1"/>
    <xf numFmtId="186" fontId="7" fillId="15" borderId="33" xfId="0" applyNumberFormat="1" applyFont="1" applyFill="1" applyBorder="1"/>
    <xf numFmtId="188" fontId="7" fillId="15" borderId="76" xfId="0" applyNumberFormat="1" applyFont="1" applyFill="1" applyBorder="1"/>
    <xf numFmtId="188" fontId="7" fillId="15" borderId="0" xfId="0" applyNumberFormat="1" applyFont="1" applyFill="1"/>
    <xf numFmtId="188" fontId="7" fillId="15" borderId="33" xfId="0" applyNumberFormat="1" applyFont="1" applyFill="1" applyBorder="1"/>
    <xf numFmtId="188" fontId="7" fillId="15" borderId="77" xfId="0" applyNumberFormat="1" applyFont="1" applyFill="1" applyBorder="1"/>
    <xf numFmtId="188" fontId="7" fillId="15" borderId="16" xfId="0" applyNumberFormat="1" applyFont="1" applyFill="1" applyBorder="1"/>
    <xf numFmtId="188" fontId="7" fillId="15" borderId="78" xfId="0" applyNumberFormat="1" applyFont="1" applyFill="1" applyBorder="1"/>
    <xf numFmtId="187" fontId="7" fillId="15" borderId="76" xfId="0" applyNumberFormat="1" applyFont="1" applyFill="1" applyBorder="1"/>
    <xf numFmtId="187" fontId="7" fillId="15" borderId="0" xfId="0" applyNumberFormat="1" applyFont="1" applyFill="1"/>
    <xf numFmtId="187" fontId="7" fillId="15" borderId="33" xfId="0" applyNumberFormat="1" applyFont="1" applyFill="1" applyBorder="1"/>
    <xf numFmtId="186" fontId="7" fillId="15" borderId="79" xfId="0" applyNumberFormat="1" applyFont="1" applyFill="1" applyBorder="1"/>
    <xf numFmtId="186" fontId="7" fillId="15" borderId="29" xfId="0" applyNumberFormat="1" applyFont="1" applyFill="1" applyBorder="1"/>
    <xf numFmtId="186" fontId="7" fillId="15" borderId="80" xfId="0" applyNumberFormat="1" applyFont="1" applyFill="1" applyBorder="1"/>
    <xf numFmtId="4" fontId="24" fillId="0" borderId="0" xfId="0" applyNumberFormat="1" applyFont="1" applyAlignment="1">
      <alignment horizontal="right"/>
    </xf>
    <xf numFmtId="186" fontId="7" fillId="0" borderId="9" xfId="0" applyNumberFormat="1" applyFont="1" applyBorder="1"/>
    <xf numFmtId="168" fontId="7" fillId="0" borderId="9" xfId="0" applyNumberFormat="1" applyFont="1" applyBorder="1"/>
    <xf numFmtId="212" fontId="7" fillId="0" borderId="6" xfId="0" applyNumberFormat="1" applyFont="1" applyBorder="1"/>
    <xf numFmtId="213" fontId="7" fillId="0" borderId="6" xfId="0" applyNumberFormat="1" applyFont="1" applyBorder="1"/>
    <xf numFmtId="37" fontId="7" fillId="0" borderId="9" xfId="0" applyNumberFormat="1" applyFont="1" applyBorder="1"/>
    <xf numFmtId="168" fontId="7" fillId="0" borderId="45" xfId="0" applyNumberFormat="1" applyFont="1" applyBorder="1"/>
    <xf numFmtId="37" fontId="14" fillId="0" borderId="9" xfId="0" applyNumberFormat="1" applyFont="1" applyBorder="1"/>
    <xf numFmtId="37" fontId="16" fillId="0" borderId="9" xfId="0" applyNumberFormat="1" applyFont="1" applyBorder="1"/>
    <xf numFmtId="172" fontId="14" fillId="0" borderId="9" xfId="0" applyNumberFormat="1" applyFont="1" applyBorder="1"/>
    <xf numFmtId="172" fontId="7" fillId="0" borderId="9" xfId="0" applyNumberFormat="1" applyFont="1" applyBorder="1"/>
    <xf numFmtId="175" fontId="7" fillId="0" borderId="45" xfId="0" applyNumberFormat="1" applyFont="1" applyBorder="1"/>
    <xf numFmtId="0" fontId="24" fillId="0" borderId="15" xfId="0" applyFont="1" applyBorder="1" applyAlignment="1">
      <alignment horizontal="left"/>
    </xf>
    <xf numFmtId="167" fontId="24" fillId="0" borderId="17" xfId="0" applyNumberFormat="1" applyFont="1" applyBorder="1"/>
    <xf numFmtId="212" fontId="7" fillId="5" borderId="6" xfId="0" applyNumberFormat="1" applyFont="1" applyFill="1" applyBorder="1" applyAlignment="1">
      <alignment horizontal="center"/>
    </xf>
    <xf numFmtId="213" fontId="7" fillId="5" borderId="6" xfId="0" applyNumberFormat="1" applyFont="1" applyFill="1" applyBorder="1" applyAlignment="1">
      <alignment horizontal="center"/>
    </xf>
    <xf numFmtId="0" fontId="6" fillId="0" borderId="16" xfId="0" applyFont="1" applyBorder="1"/>
    <xf numFmtId="10" fontId="14" fillId="0" borderId="0" xfId="0" applyNumberFormat="1" applyFont="1" applyAlignment="1">
      <alignment horizontal="center"/>
    </xf>
    <xf numFmtId="190" fontId="16" fillId="0" borderId="0" xfId="0" applyNumberFormat="1" applyFont="1" applyAlignment="1">
      <alignment horizontal="center"/>
    </xf>
    <xf numFmtId="174" fontId="14" fillId="0" borderId="0" xfId="0" applyNumberFormat="1" applyFont="1" applyAlignment="1">
      <alignment horizontal="center"/>
    </xf>
    <xf numFmtId="10" fontId="16" fillId="0" borderId="0" xfId="0" applyNumberFormat="1" applyFont="1" applyAlignment="1">
      <alignment horizontal="center"/>
    </xf>
    <xf numFmtId="171" fontId="7" fillId="5" borderId="6" xfId="0" applyNumberFormat="1" applyFont="1" applyFill="1" applyBorder="1" applyAlignment="1">
      <alignment horizontal="center"/>
    </xf>
    <xf numFmtId="212" fontId="16" fillId="5" borderId="6" xfId="0" applyNumberFormat="1" applyFont="1" applyFill="1" applyBorder="1" applyAlignment="1">
      <alignment horizontal="center"/>
    </xf>
    <xf numFmtId="171" fontId="16" fillId="5" borderId="6" xfId="0" applyNumberFormat="1" applyFont="1" applyFill="1" applyBorder="1" applyAlignment="1">
      <alignment horizontal="center"/>
    </xf>
    <xf numFmtId="214" fontId="16" fillId="0" borderId="0" xfId="0" applyNumberFormat="1" applyFont="1"/>
    <xf numFmtId="175" fontId="13" fillId="0" borderId="0" xfId="0" applyNumberFormat="1" applyFont="1"/>
    <xf numFmtId="203" fontId="7" fillId="0" borderId="16" xfId="0" applyNumberFormat="1" applyFont="1" applyBorder="1" applyAlignment="1">
      <alignment horizontal="center"/>
    </xf>
    <xf numFmtId="203" fontId="16" fillId="0" borderId="16" xfId="0" applyNumberFormat="1" applyFont="1" applyBorder="1" applyAlignment="1">
      <alignment horizontal="center"/>
    </xf>
    <xf numFmtId="167" fontId="13" fillId="0" borderId="0" xfId="0" applyNumberFormat="1" applyFont="1"/>
    <xf numFmtId="167" fontId="7" fillId="0" borderId="9" xfId="0" applyNumberFormat="1" applyFont="1" applyBorder="1"/>
    <xf numFmtId="197" fontId="7" fillId="0" borderId="47" xfId="0" applyNumberFormat="1" applyFont="1" applyBorder="1" applyAlignment="1">
      <alignment horizontal="center"/>
    </xf>
    <xf numFmtId="197" fontId="7" fillId="0" borderId="21" xfId="0" applyNumberFormat="1" applyFont="1" applyBorder="1" applyAlignment="1">
      <alignment horizontal="center"/>
    </xf>
    <xf numFmtId="197" fontId="7" fillId="0" borderId="45" xfId="0" applyNumberFormat="1" applyFont="1" applyBorder="1" applyAlignment="1">
      <alignment horizontal="center"/>
    </xf>
    <xf numFmtId="167" fontId="7" fillId="0" borderId="47" xfId="0" applyNumberFormat="1" applyFont="1" applyBorder="1" applyAlignment="1">
      <alignment horizontal="center"/>
    </xf>
    <xf numFmtId="167" fontId="7" fillId="0" borderId="45" xfId="0" applyNumberFormat="1" applyFont="1" applyBorder="1" applyAlignment="1">
      <alignment horizontal="center"/>
    </xf>
    <xf numFmtId="197" fontId="7" fillId="0" borderId="8" xfId="0" applyNumberFormat="1" applyFont="1" applyBorder="1" applyAlignment="1">
      <alignment horizontal="center"/>
    </xf>
    <xf numFmtId="197" fontId="13" fillId="2" borderId="0" xfId="0" applyNumberFormat="1" applyFont="1" applyFill="1" applyAlignment="1">
      <alignment horizontal="center"/>
    </xf>
    <xf numFmtId="197" fontId="7" fillId="0" borderId="9" xfId="0" applyNumberFormat="1" applyFont="1" applyBorder="1" applyAlignment="1">
      <alignment horizontal="center"/>
    </xf>
    <xf numFmtId="167" fontId="7" fillId="0" borderId="8" xfId="0" applyNumberFormat="1" applyFont="1" applyBorder="1" applyAlignment="1">
      <alignment horizontal="center"/>
    </xf>
    <xf numFmtId="167" fontId="16" fillId="0" borderId="81" xfId="0" applyNumberFormat="1" applyFont="1" applyBorder="1"/>
    <xf numFmtId="197" fontId="7" fillId="0" borderId="0" xfId="0" applyNumberFormat="1" applyFont="1" applyAlignment="1">
      <alignment horizontal="center"/>
    </xf>
    <xf numFmtId="197" fontId="7" fillId="0" borderId="15" xfId="0" applyNumberFormat="1" applyFont="1" applyBorder="1" applyAlignment="1">
      <alignment horizontal="center"/>
    </xf>
    <xf numFmtId="197" fontId="7" fillId="0" borderId="16" xfId="0" applyNumberFormat="1" applyFont="1" applyBorder="1" applyAlignment="1">
      <alignment horizontal="center"/>
    </xf>
    <xf numFmtId="197" fontId="7" fillId="0" borderId="17" xfId="0" applyNumberFormat="1" applyFont="1" applyBorder="1" applyAlignment="1">
      <alignment horizontal="center"/>
    </xf>
    <xf numFmtId="167" fontId="7" fillId="0" borderId="15" xfId="0" applyNumberFormat="1" applyFont="1" applyBorder="1" applyAlignment="1">
      <alignment horizontal="center"/>
    </xf>
    <xf numFmtId="167" fontId="7" fillId="0" borderId="17" xfId="0" applyNumberFormat="1" applyFont="1" applyBorder="1" applyAlignment="1">
      <alignment horizontal="center"/>
    </xf>
    <xf numFmtId="167" fontId="16" fillId="0" borderId="82" xfId="0" applyNumberFormat="1" applyFont="1" applyBorder="1" applyAlignment="1">
      <alignment horizontal="center"/>
    </xf>
    <xf numFmtId="167" fontId="16" fillId="0" borderId="9" xfId="0" applyNumberFormat="1" applyFont="1" applyBorder="1"/>
    <xf numFmtId="190" fontId="7" fillId="0" borderId="9" xfId="0" applyNumberFormat="1" applyFont="1" applyBorder="1"/>
    <xf numFmtId="167" fontId="24" fillId="0" borderId="9" xfId="0" applyNumberFormat="1" applyFont="1" applyBorder="1"/>
    <xf numFmtId="167" fontId="24" fillId="0" borderId="9" xfId="0" applyNumberFormat="1" applyFont="1" applyBorder="1" applyAlignment="1">
      <alignment horizontal="right"/>
    </xf>
    <xf numFmtId="167" fontId="41" fillId="0" borderId="9" xfId="0" applyNumberFormat="1" applyFont="1" applyBorder="1"/>
    <xf numFmtId="197" fontId="7" fillId="0" borderId="9" xfId="0" applyNumberFormat="1" applyFont="1" applyBorder="1"/>
    <xf numFmtId="0" fontId="4" fillId="0" borderId="8" xfId="0" applyFont="1" applyBorder="1"/>
    <xf numFmtId="166" fontId="7" fillId="0" borderId="9" xfId="0" applyNumberFormat="1" applyFont="1" applyBorder="1"/>
    <xf numFmtId="164" fontId="7" fillId="0" borderId="9" xfId="0" applyNumberFormat="1" applyFont="1" applyBorder="1"/>
    <xf numFmtId="37" fontId="4" fillId="0" borderId="9" xfId="0" applyNumberFormat="1" applyFont="1" applyBorder="1"/>
    <xf numFmtId="197" fontId="7" fillId="0" borderId="45" xfId="0" applyNumberFormat="1" applyFont="1" applyBorder="1"/>
    <xf numFmtId="197" fontId="7" fillId="0" borderId="17" xfId="0" applyNumberFormat="1" applyFont="1" applyBorder="1"/>
    <xf numFmtId="37" fontId="7" fillId="0" borderId="17" xfId="0" applyNumberFormat="1" applyFont="1" applyBorder="1"/>
    <xf numFmtId="175" fontId="4" fillId="5" borderId="6" xfId="0" applyNumberFormat="1" applyFont="1" applyFill="1" applyBorder="1" applyAlignment="1">
      <alignment horizontal="center"/>
    </xf>
    <xf numFmtId="185" fontId="37" fillId="0" borderId="0" xfId="0" applyNumberFormat="1" applyFont="1" applyAlignment="1">
      <alignment horizontal="center"/>
    </xf>
    <xf numFmtId="185" fontId="52" fillId="0" borderId="0" xfId="0" applyNumberFormat="1" applyFont="1" applyAlignment="1">
      <alignment horizontal="center"/>
    </xf>
    <xf numFmtId="168" fontId="4" fillId="5" borderId="6" xfId="0" applyNumberFormat="1" applyFont="1" applyFill="1" applyBorder="1" applyAlignment="1">
      <alignment horizontal="center"/>
    </xf>
    <xf numFmtId="4" fontId="7" fillId="0" borderId="0" xfId="0" applyNumberFormat="1" applyFont="1"/>
    <xf numFmtId="171" fontId="16" fillId="0" borderId="0" xfId="0" applyNumberFormat="1" applyFont="1" applyAlignment="1">
      <alignment horizontal="center"/>
    </xf>
    <xf numFmtId="175" fontId="7" fillId="0" borderId="9" xfId="0" applyNumberFormat="1" applyFont="1" applyBorder="1"/>
    <xf numFmtId="175" fontId="16" fillId="0" borderId="9" xfId="0" applyNumberFormat="1" applyFont="1" applyBorder="1"/>
    <xf numFmtId="168" fontId="16" fillId="0" borderId="9" xfId="0" applyNumberFormat="1" applyFont="1" applyBorder="1"/>
    <xf numFmtId="188" fontId="14" fillId="0" borderId="9" xfId="0" applyNumberFormat="1" applyFont="1" applyBorder="1"/>
    <xf numFmtId="188" fontId="7" fillId="0" borderId="9" xfId="0" applyNumberFormat="1" applyFont="1" applyBorder="1"/>
    <xf numFmtId="0" fontId="7" fillId="0" borderId="0" xfId="0" applyFont="1" applyAlignment="1">
      <alignment horizontal="center" vertical="center" wrapText="1"/>
    </xf>
    <xf numFmtId="168" fontId="14" fillId="0" borderId="0" xfId="0" applyNumberFormat="1" applyFont="1"/>
    <xf numFmtId="203" fontId="16" fillId="0" borderId="0" xfId="0" applyNumberFormat="1" applyFont="1" applyAlignment="1">
      <alignment horizontal="center"/>
    </xf>
    <xf numFmtId="0" fontId="13" fillId="3" borderId="7" xfId="0" applyFont="1" applyFill="1" applyBorder="1" applyAlignment="1">
      <alignment horizontal="center"/>
    </xf>
    <xf numFmtId="0" fontId="13" fillId="3" borderId="3" xfId="0" applyFont="1" applyFill="1" applyBorder="1" applyAlignment="1">
      <alignment horizontal="center"/>
    </xf>
    <xf numFmtId="0" fontId="13" fillId="2" borderId="0" xfId="0" applyFont="1" applyFill="1" applyAlignment="1">
      <alignment horizontal="left"/>
    </xf>
    <xf numFmtId="0" fontId="53" fillId="0" borderId="0" xfId="0" applyFont="1"/>
    <xf numFmtId="0" fontId="54" fillId="0" borderId="0" xfId="0" applyFont="1" applyAlignment="1">
      <alignment horizontal="center"/>
    </xf>
    <xf numFmtId="0" fontId="33" fillId="19" borderId="0" xfId="0" applyFont="1" applyFill="1" applyAlignment="1">
      <alignment horizontal="center"/>
    </xf>
    <xf numFmtId="0" fontId="13" fillId="19" borderId="0" xfId="0" applyFont="1" applyFill="1" applyAlignment="1">
      <alignment horizontal="center"/>
    </xf>
    <xf numFmtId="0" fontId="14" fillId="0" borderId="0" xfId="0" applyFont="1" applyAlignment="1">
      <alignment horizontal="center"/>
    </xf>
    <xf numFmtId="0" fontId="4" fillId="3" borderId="8" xfId="0" applyFont="1" applyFill="1" applyBorder="1" applyAlignment="1">
      <alignment horizontal="center"/>
    </xf>
    <xf numFmtId="0" fontId="4" fillId="3" borderId="0" xfId="0" applyFont="1" applyFill="1" applyAlignment="1">
      <alignment horizontal="center"/>
    </xf>
    <xf numFmtId="9" fontId="4" fillId="3" borderId="9" xfId="0" applyNumberFormat="1" applyFont="1" applyFill="1" applyBorder="1" applyAlignment="1">
      <alignment horizontal="center"/>
    </xf>
    <xf numFmtId="0" fontId="4" fillId="3" borderId="9" xfId="0" applyFont="1" applyFill="1" applyBorder="1" applyAlignment="1">
      <alignment horizontal="center"/>
    </xf>
    <xf numFmtId="0" fontId="7" fillId="3" borderId="0" xfId="0" applyFont="1" applyFill="1"/>
    <xf numFmtId="190" fontId="16" fillId="0" borderId="8" xfId="0" applyNumberFormat="1" applyFont="1" applyBorder="1" applyAlignment="1">
      <alignment horizontal="center"/>
    </xf>
    <xf numFmtId="190" fontId="16" fillId="0" borderId="9" xfId="0" applyNumberFormat="1" applyFont="1" applyBorder="1" applyAlignment="1">
      <alignment horizontal="center"/>
    </xf>
    <xf numFmtId="0" fontId="4" fillId="0" borderId="9" xfId="0" applyFont="1" applyBorder="1" applyAlignment="1">
      <alignment horizontal="center"/>
    </xf>
    <xf numFmtId="14" fontId="7" fillId="0" borderId="0" xfId="0" applyNumberFormat="1" applyFont="1"/>
    <xf numFmtId="0" fontId="7" fillId="0" borderId="7" xfId="0" applyFont="1" applyBorder="1" applyAlignment="1">
      <alignment horizontal="center"/>
    </xf>
    <xf numFmtId="0" fontId="7" fillId="0" borderId="3" xfId="0" applyFont="1" applyBorder="1" applyAlignment="1">
      <alignment horizontal="center"/>
    </xf>
    <xf numFmtId="177" fontId="7" fillId="0" borderId="0" xfId="0" applyNumberFormat="1" applyFont="1"/>
    <xf numFmtId="0" fontId="7" fillId="0" borderId="34" xfId="0" applyFont="1" applyBorder="1"/>
    <xf numFmtId="167" fontId="40" fillId="0" borderId="0" xfId="0" applyNumberFormat="1" applyFont="1"/>
    <xf numFmtId="215" fontId="16" fillId="0" borderId="0" xfId="0" applyNumberFormat="1" applyFont="1"/>
    <xf numFmtId="0" fontId="7" fillId="0" borderId="38" xfId="0" applyFont="1" applyBorder="1"/>
    <xf numFmtId="216" fontId="40" fillId="0" borderId="0" xfId="0" applyNumberFormat="1" applyFont="1"/>
    <xf numFmtId="0" fontId="14" fillId="0" borderId="34" xfId="0" applyFont="1" applyBorder="1"/>
    <xf numFmtId="216" fontId="41" fillId="0" borderId="0" xfId="0" applyNumberFormat="1" applyFont="1"/>
    <xf numFmtId="216" fontId="24" fillId="0" borderId="0" xfId="0" applyNumberFormat="1" applyFont="1"/>
    <xf numFmtId="175" fontId="14" fillId="0" borderId="0" xfId="0" applyNumberFormat="1" applyFont="1"/>
    <xf numFmtId="168" fontId="16" fillId="0" borderId="0" xfId="0" applyNumberFormat="1" applyFont="1"/>
    <xf numFmtId="0" fontId="14" fillId="0" borderId="7" xfId="0" applyFont="1" applyBorder="1" applyAlignment="1">
      <alignment horizontal="center"/>
    </xf>
    <xf numFmtId="0" fontId="14" fillId="0" borderId="3" xfId="0" applyFont="1" applyBorder="1" applyAlignment="1">
      <alignment horizontal="center"/>
    </xf>
    <xf numFmtId="9" fontId="40" fillId="0" borderId="21" xfId="0" applyNumberFormat="1" applyFont="1" applyBorder="1"/>
    <xf numFmtId="9" fontId="40" fillId="0" borderId="0" xfId="0" applyNumberFormat="1" applyFont="1"/>
    <xf numFmtId="174" fontId="24" fillId="0" borderId="6" xfId="0" applyNumberFormat="1" applyFont="1" applyBorder="1"/>
    <xf numFmtId="217" fontId="16" fillId="0" borderId="0" xfId="0" applyNumberFormat="1" applyFont="1"/>
    <xf numFmtId="1" fontId="16" fillId="0" borderId="7" xfId="0" applyNumberFormat="1" applyFont="1" applyBorder="1" applyAlignment="1">
      <alignment horizontal="center"/>
    </xf>
    <xf numFmtId="1" fontId="7" fillId="0" borderId="7" xfId="0" applyNumberFormat="1" applyFont="1" applyBorder="1" applyAlignment="1">
      <alignment horizontal="center"/>
    </xf>
    <xf numFmtId="1" fontId="7" fillId="0" borderId="3" xfId="0" applyNumberFormat="1" applyFont="1" applyBorder="1" applyAlignment="1">
      <alignment horizontal="center"/>
    </xf>
    <xf numFmtId="1" fontId="7" fillId="0" borderId="0" xfId="0" applyNumberFormat="1" applyFont="1" applyAlignment="1">
      <alignment horizontal="center"/>
    </xf>
    <xf numFmtId="37" fontId="16" fillId="0" borderId="0" xfId="0" applyNumberFormat="1" applyFont="1"/>
    <xf numFmtId="218" fontId="16" fillId="0" borderId="7" xfId="0" applyNumberFormat="1" applyFont="1" applyBorder="1" applyAlignment="1">
      <alignment horizontal="center" vertical="center" wrapText="1"/>
    </xf>
    <xf numFmtId="218" fontId="7" fillId="0" borderId="7" xfId="0" applyNumberFormat="1" applyFont="1" applyBorder="1" applyAlignment="1">
      <alignment horizontal="center" vertical="center" wrapText="1"/>
    </xf>
    <xf numFmtId="218" fontId="7" fillId="0" borderId="3" xfId="0" applyNumberFormat="1" applyFont="1" applyBorder="1" applyAlignment="1">
      <alignment horizontal="center" vertical="center" wrapText="1"/>
    </xf>
    <xf numFmtId="14" fontId="16" fillId="0" borderId="0" xfId="0" applyNumberFormat="1" applyFont="1"/>
    <xf numFmtId="173" fontId="16" fillId="0" borderId="0" xfId="0" applyNumberFormat="1" applyFont="1"/>
    <xf numFmtId="176" fontId="7" fillId="0" borderId="45" xfId="0" applyNumberFormat="1" applyFont="1" applyBorder="1" applyAlignment="1">
      <alignment horizontal="center"/>
    </xf>
    <xf numFmtId="177" fontId="7" fillId="0" borderId="9" xfId="0" applyNumberFormat="1" applyFont="1" applyBorder="1" applyAlignment="1">
      <alignment horizontal="center"/>
    </xf>
    <xf numFmtId="177" fontId="7" fillId="0" borderId="17" xfId="0" applyNumberFormat="1" applyFont="1" applyBorder="1" applyAlignment="1">
      <alignment horizontal="center"/>
    </xf>
    <xf numFmtId="0" fontId="7" fillId="3" borderId="0" xfId="0" applyFont="1" applyFill="1" applyAlignment="1">
      <alignment horizontal="center"/>
    </xf>
    <xf numFmtId="0" fontId="55" fillId="0" borderId="0" xfId="0" applyFont="1"/>
    <xf numFmtId="216" fontId="14" fillId="0" borderId="0" xfId="0" applyNumberFormat="1" applyFont="1"/>
    <xf numFmtId="216" fontId="56" fillId="0" borderId="0" xfId="0" applyNumberFormat="1" applyFont="1"/>
    <xf numFmtId="216" fontId="7" fillId="0" borderId="0" xfId="0" applyNumberFormat="1" applyFont="1"/>
    <xf numFmtId="216" fontId="51" fillId="0" borderId="0" xfId="0" applyNumberFormat="1" applyFont="1"/>
    <xf numFmtId="0" fontId="51" fillId="0" borderId="0" xfId="0" applyFont="1" applyAlignment="1">
      <alignment horizontal="right"/>
    </xf>
    <xf numFmtId="219" fontId="14" fillId="0" borderId="0" xfId="0" applyNumberFormat="1" applyFont="1"/>
    <xf numFmtId="219" fontId="56" fillId="0" borderId="0" xfId="0" applyNumberFormat="1" applyFont="1"/>
    <xf numFmtId="219" fontId="7" fillId="0" borderId="0" xfId="0" applyNumberFormat="1" applyFont="1"/>
    <xf numFmtId="219" fontId="51" fillId="0" borderId="0" xfId="0" applyNumberFormat="1" applyFont="1"/>
    <xf numFmtId="174" fontId="16" fillId="0" borderId="0" xfId="0" applyNumberFormat="1" applyFont="1"/>
    <xf numFmtId="0" fontId="14" fillId="5" borderId="6" xfId="0" applyFont="1" applyFill="1" applyBorder="1" applyAlignment="1">
      <alignment horizontal="center"/>
    </xf>
    <xf numFmtId="0" fontId="7" fillId="5" borderId="6" xfId="0" applyFont="1" applyFill="1" applyBorder="1" applyAlignment="1">
      <alignment horizontal="center"/>
    </xf>
    <xf numFmtId="0" fontId="13" fillId="2" borderId="83" xfId="0" applyFont="1" applyFill="1" applyBorder="1" applyAlignment="1">
      <alignment horizontal="center"/>
    </xf>
    <xf numFmtId="186" fontId="14" fillId="0" borderId="0" xfId="0" applyNumberFormat="1" applyFont="1" applyAlignment="1">
      <alignment horizontal="center"/>
    </xf>
    <xf numFmtId="186" fontId="16" fillId="0" borderId="0" xfId="0" applyNumberFormat="1" applyFont="1" applyAlignment="1">
      <alignment horizontal="center"/>
    </xf>
    <xf numFmtId="206" fontId="7" fillId="0" borderId="61" xfId="0" applyNumberFormat="1" applyFont="1" applyBorder="1" applyAlignment="1">
      <alignment horizontal="center"/>
    </xf>
    <xf numFmtId="172" fontId="14" fillId="0" borderId="0" xfId="0" applyNumberFormat="1" applyFont="1" applyAlignment="1">
      <alignment horizontal="center"/>
    </xf>
    <xf numFmtId="172" fontId="16" fillId="0" borderId="0" xfId="0" applyNumberFormat="1" applyFont="1" applyAlignment="1">
      <alignment horizontal="center"/>
    </xf>
    <xf numFmtId="174" fontId="40" fillId="0" borderId="0" xfId="0" applyNumberFormat="1" applyFont="1" applyAlignment="1">
      <alignment horizontal="center"/>
    </xf>
    <xf numFmtId="174" fontId="41" fillId="0" borderId="0" xfId="0" applyNumberFormat="1" applyFont="1" applyAlignment="1">
      <alignment horizontal="center"/>
    </xf>
    <xf numFmtId="206" fontId="24" fillId="0" borderId="61" xfId="0" applyNumberFormat="1" applyFont="1" applyBorder="1" applyAlignment="1">
      <alignment horizontal="center"/>
    </xf>
    <xf numFmtId="206" fontId="24" fillId="0" borderId="0" xfId="0" applyNumberFormat="1" applyFont="1" applyAlignment="1">
      <alignment horizontal="center"/>
    </xf>
    <xf numFmtId="174" fontId="24" fillId="0" borderId="0" xfId="0" applyNumberFormat="1" applyFont="1" applyAlignment="1">
      <alignment horizontal="center"/>
    </xf>
    <xf numFmtId="175" fontId="14" fillId="0" borderId="0" xfId="0" applyNumberFormat="1" applyFont="1" applyAlignment="1">
      <alignment horizontal="center"/>
    </xf>
    <xf numFmtId="175" fontId="16" fillId="0" borderId="0" xfId="0" applyNumberFormat="1" applyFont="1" applyAlignment="1">
      <alignment horizontal="center"/>
    </xf>
    <xf numFmtId="172" fontId="14" fillId="0" borderId="1" xfId="0" applyNumberFormat="1" applyFont="1" applyBorder="1" applyAlignment="1">
      <alignment horizontal="center"/>
    </xf>
    <xf numFmtId="172" fontId="16" fillId="0" borderId="1" xfId="0" applyNumberFormat="1" applyFont="1" applyBorder="1" applyAlignment="1">
      <alignment horizontal="center"/>
    </xf>
    <xf numFmtId="206" fontId="7" fillId="0" borderId="62" xfId="0" applyNumberFormat="1" applyFont="1" applyBorder="1" applyAlignment="1">
      <alignment horizontal="center"/>
    </xf>
    <xf numFmtId="188" fontId="14" fillId="0" borderId="1" xfId="0" applyNumberFormat="1" applyFont="1" applyBorder="1" applyAlignment="1">
      <alignment horizontal="center"/>
    </xf>
    <xf numFmtId="188" fontId="16" fillId="0" borderId="1" xfId="0" applyNumberFormat="1" applyFont="1" applyBorder="1" applyAlignment="1">
      <alignment horizontal="center"/>
    </xf>
    <xf numFmtId="0" fontId="57" fillId="0" borderId="0" xfId="0" applyFont="1" applyAlignment="1">
      <alignment horizontal="center"/>
    </xf>
    <xf numFmtId="206" fontId="7" fillId="0" borderId="39" xfId="0" applyNumberFormat="1" applyFont="1" applyBorder="1" applyAlignment="1">
      <alignment horizontal="center"/>
    </xf>
    <xf numFmtId="206" fontId="7" fillId="0" borderId="40" xfId="0" applyNumberFormat="1" applyFont="1" applyBorder="1" applyAlignment="1">
      <alignment horizontal="center"/>
    </xf>
    <xf numFmtId="0" fontId="58" fillId="0" borderId="0" xfId="0" applyFont="1"/>
  </cellXfs>
  <cellStyles count="1">
    <cellStyle name="Normal" xfId="0" builtinId="0"/>
  </cellStyles>
  <dxfs count="146">
    <dxf>
      <fill>
        <patternFill patternType="none"/>
      </fill>
    </dxf>
    <dxf>
      <font>
        <color theme="1"/>
      </font>
      <fill>
        <patternFill patternType="none"/>
      </fill>
    </dxf>
    <dxf>
      <font>
        <color theme="1"/>
      </font>
      <fill>
        <patternFill patternType="none"/>
      </fill>
    </dxf>
    <dxf>
      <font>
        <color theme="1"/>
      </font>
      <fill>
        <patternFill patternType="none"/>
      </fill>
    </dxf>
    <dxf>
      <font>
        <color theme="1"/>
      </font>
      <fill>
        <patternFill patternType="none"/>
      </fill>
    </dxf>
    <dxf>
      <font>
        <color theme="1"/>
      </font>
      <fill>
        <patternFill patternType="none"/>
      </fill>
    </dxf>
    <dxf>
      <font>
        <color theme="1"/>
      </font>
      <fill>
        <patternFill patternType="none"/>
      </fill>
    </dxf>
    <dxf>
      <font>
        <color theme="1"/>
      </font>
      <fill>
        <patternFill patternType="none"/>
      </fill>
    </dxf>
    <dxf>
      <font>
        <color theme="1"/>
      </font>
      <fill>
        <patternFill patternType="none"/>
      </fill>
    </dxf>
    <dxf>
      <font>
        <color theme="1"/>
      </font>
      <fill>
        <patternFill patternType="none"/>
      </fill>
    </dxf>
    <dxf>
      <font>
        <color theme="0"/>
      </font>
      <fill>
        <patternFill patternType="none"/>
      </fill>
    </dxf>
    <dxf>
      <font>
        <color theme="0"/>
      </font>
      <fill>
        <patternFill patternType="none"/>
      </fill>
    </dxf>
    <dxf>
      <font>
        <color theme="0"/>
      </font>
      <fill>
        <patternFill patternType="none"/>
      </fill>
    </dxf>
    <dxf>
      <font>
        <color theme="0"/>
      </font>
      <fill>
        <patternFill patternType="none"/>
      </fill>
    </dxf>
    <dxf>
      <font>
        <color theme="0"/>
      </font>
      <fill>
        <patternFill patternType="none"/>
      </fill>
    </dxf>
    <dxf>
      <font>
        <color theme="0"/>
      </font>
      <fill>
        <patternFill patternType="none"/>
      </fill>
    </dxf>
    <dxf>
      <font>
        <color rgb="FF9C0006"/>
      </font>
      <fill>
        <patternFill patternType="solid">
          <fgColor rgb="FFFFC7CE"/>
          <bgColor rgb="FFFFC7CE"/>
        </patternFill>
      </fill>
    </dxf>
    <dxf>
      <font>
        <color theme="1"/>
      </font>
      <fill>
        <patternFill patternType="none"/>
      </fill>
    </dxf>
    <dxf>
      <fill>
        <patternFill patternType="none"/>
      </fill>
    </dxf>
    <dxf>
      <fill>
        <patternFill patternType="none"/>
      </fill>
    </dxf>
    <dxf>
      <fill>
        <patternFill patternType="none"/>
      </fill>
    </dxf>
    <dxf>
      <font>
        <b/>
        <color rgb="FFFF0000"/>
      </font>
      <fill>
        <patternFill patternType="none"/>
      </fill>
    </dxf>
    <dxf>
      <fill>
        <patternFill patternType="none"/>
      </fill>
    </dxf>
    <dxf>
      <font>
        <color theme="1"/>
      </font>
      <fill>
        <patternFill patternType="none"/>
      </fill>
    </dxf>
    <dxf>
      <font>
        <color rgb="FF0000FF"/>
      </font>
      <fill>
        <patternFill patternType="solid">
          <fgColor rgb="FFFFFF99"/>
          <bgColor rgb="FFFFFF99"/>
        </patternFill>
      </fill>
      <border>
        <left style="thin">
          <color rgb="FF000000"/>
        </left>
        <right style="thin">
          <color rgb="FF000000"/>
        </right>
        <top style="thin">
          <color rgb="FF000000"/>
        </top>
        <bottom style="thin">
          <color rgb="FF000000"/>
        </bottom>
        <diagonal/>
      </border>
    </dxf>
    <dxf>
      <fill>
        <patternFill patternType="none"/>
      </fill>
    </dxf>
    <dxf>
      <fill>
        <patternFill patternType="solid">
          <fgColor rgb="FFFFFF99"/>
          <bgColor rgb="FFFFFF99"/>
        </patternFill>
      </fill>
      <border>
        <left style="thin">
          <color rgb="FF000000"/>
        </left>
        <right style="thin">
          <color rgb="FF000000"/>
        </right>
        <top style="thin">
          <color rgb="FF000000"/>
        </top>
        <bottom style="thin">
          <color rgb="FF000000"/>
        </bottom>
        <diagonal/>
      </border>
    </dxf>
    <dxf>
      <fill>
        <patternFill patternType="none"/>
      </fill>
    </dxf>
    <dxf>
      <fill>
        <patternFill patternType="solid">
          <fgColor rgb="FFFFFF99"/>
          <bgColor rgb="FFFFFF99"/>
        </patternFill>
      </fill>
      <border>
        <left style="thin">
          <color rgb="FF000000"/>
        </left>
        <right style="thin">
          <color rgb="FF000000"/>
        </right>
        <top style="thin">
          <color rgb="FF000000"/>
        </top>
        <bottom style="thin">
          <color rgb="FF000000"/>
        </bottom>
        <diagonal/>
      </border>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rgb="FF006100"/>
      </font>
      <fill>
        <patternFill patternType="solid">
          <fgColor rgb="FFC6EFCE"/>
          <bgColor rgb="FFC6EFCE"/>
        </patternFill>
      </fill>
    </dxf>
    <dxf>
      <font>
        <color theme="1"/>
      </font>
      <fill>
        <patternFill patternType="none"/>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rgb="FF006100"/>
      </font>
      <fill>
        <patternFill patternType="solid">
          <fgColor rgb="FFC6EFCE"/>
          <bgColor rgb="FFC6EFCE"/>
        </patternFill>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theme="1"/>
      </font>
      <fill>
        <patternFill patternType="none"/>
      </fill>
    </dxf>
    <dxf>
      <font>
        <color theme="1"/>
      </font>
      <fill>
        <patternFill patternType="none"/>
      </fill>
    </dxf>
    <dxf>
      <font>
        <color rgb="FF760000"/>
      </font>
      <fill>
        <patternFill patternType="solid">
          <fgColor rgb="FFFF7C80"/>
          <bgColor rgb="FFFF7C80"/>
        </patternFill>
      </fill>
    </dxf>
    <dxf>
      <fill>
        <patternFill patternType="none"/>
      </fill>
    </dxf>
    <dxf>
      <font>
        <color theme="1"/>
      </font>
      <fill>
        <patternFill patternType="none"/>
      </fill>
    </dxf>
    <dxf>
      <font>
        <color rgb="FF9C0006"/>
      </font>
      <fill>
        <patternFill patternType="solid">
          <fgColor rgb="FFFFC7CE"/>
          <bgColor rgb="FFFFC7CE"/>
        </patternFill>
      </fill>
    </dxf>
    <dxf>
      <font>
        <color rgb="FF9C0006"/>
      </font>
      <fill>
        <patternFill patternType="solid">
          <fgColor rgb="FFFFC7CE"/>
          <bgColor rgb="FFFFC7CE"/>
        </patternFill>
      </fill>
    </dxf>
    <dxf>
      <fill>
        <patternFill patternType="none"/>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theme="1"/>
      </font>
      <fill>
        <patternFill patternType="none"/>
      </fill>
    </dxf>
    <dxf>
      <font>
        <color rgb="FF006100"/>
      </font>
      <fill>
        <patternFill patternType="solid">
          <fgColor rgb="FFC6EFCE"/>
          <bgColor rgb="FFC6EFCE"/>
        </patternFill>
      </fill>
    </dxf>
    <dxf>
      <font>
        <color theme="1"/>
      </font>
      <fill>
        <patternFill patternType="none"/>
      </fill>
    </dxf>
    <dxf>
      <font>
        <color rgb="FF006100"/>
      </font>
      <fill>
        <patternFill patternType="solid">
          <fgColor rgb="FFC6EFCE"/>
          <bgColor rgb="FFC6EFCE"/>
        </patternFill>
      </fill>
    </dxf>
    <dxf>
      <font>
        <color theme="1"/>
      </font>
      <fill>
        <patternFill patternType="none"/>
      </fill>
    </dxf>
    <dxf>
      <font>
        <color rgb="FF006100"/>
      </font>
      <fill>
        <patternFill patternType="solid">
          <fgColor rgb="FFC6EFCE"/>
          <bgColor rgb="FFC6EFCE"/>
        </patternFill>
      </fill>
    </dxf>
    <dxf>
      <font>
        <color theme="1"/>
      </font>
      <fill>
        <patternFill patternType="none"/>
      </fill>
    </dxf>
    <dxf>
      <font>
        <color rgb="FF006100"/>
      </font>
      <fill>
        <patternFill patternType="solid">
          <fgColor rgb="FFC6EFCE"/>
          <bgColor rgb="FFC6EFCE"/>
        </patternFill>
      </fill>
    </dxf>
    <dxf>
      <font>
        <color theme="1"/>
      </font>
      <fill>
        <patternFill patternType="none"/>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ill>
        <patternFill patternType="none"/>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rgb="FF006100"/>
      </font>
      <fill>
        <patternFill patternType="solid">
          <fgColor rgb="FFC6EFCE"/>
          <bgColor rgb="FFC6EFCE"/>
        </patternFill>
      </fill>
    </dxf>
    <dxf>
      <fill>
        <patternFill patternType="none"/>
      </fill>
    </dxf>
    <dxf>
      <font>
        <color rgb="FF006100"/>
      </font>
      <fill>
        <patternFill patternType="solid">
          <fgColor rgb="FFC6EFCE"/>
          <bgColor rgb="FFC6EFCE"/>
        </patternFill>
      </fill>
    </dxf>
    <dxf>
      <fill>
        <patternFill patternType="none"/>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ill>
        <patternFill patternType="none"/>
      </fill>
    </dxf>
    <dxf>
      <font>
        <color rgb="FF760000"/>
      </font>
      <fill>
        <patternFill patternType="solid">
          <fgColor rgb="FFFF7C80"/>
          <bgColor rgb="FFFF7C80"/>
        </patternFill>
      </fill>
    </dxf>
    <dxf>
      <font>
        <color theme="1"/>
      </font>
      <fill>
        <patternFill patternType="none"/>
      </fill>
    </dxf>
    <dxf>
      <fill>
        <patternFill patternType="none"/>
      </fill>
    </dxf>
    <dxf>
      <fill>
        <patternFill patternType="none"/>
      </fill>
    </dxf>
    <dxf>
      <fill>
        <patternFill patternType="none"/>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ill>
        <patternFill patternType="none"/>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ill>
        <patternFill patternType="none"/>
      </fill>
    </dxf>
    <dxf>
      <fill>
        <patternFill patternType="none"/>
      </fill>
    </dxf>
    <dxf>
      <font>
        <color theme="1"/>
      </font>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solid">
          <fgColor rgb="FFF4C7C3"/>
          <bgColor rgb="FFF4C7C3"/>
        </patternFill>
      </fill>
    </dxf>
    <dxf>
      <fill>
        <patternFill patternType="solid">
          <fgColor rgb="FFC6EFCE"/>
          <bgColor rgb="FFC6EFCE"/>
        </patternFill>
      </fill>
    </dxf>
    <dxf>
      <fill>
        <patternFill patternType="solid">
          <fgColor rgb="FFF4C7C3"/>
          <bgColor rgb="FFF4C7C3"/>
        </patternFill>
      </fill>
    </dxf>
    <dxf>
      <fill>
        <patternFill patternType="solid">
          <fgColor rgb="FFC6EFCE"/>
          <bgColor rgb="FFC6EFCE"/>
        </patternFill>
      </fill>
    </dxf>
    <dxf>
      <fill>
        <patternFill patternType="solid">
          <fgColor rgb="FFF4C7C3"/>
          <bgColor rgb="FFF4C7C3"/>
        </patternFill>
      </fill>
    </dxf>
    <dxf>
      <fill>
        <patternFill patternType="solid">
          <fgColor rgb="FFC6EFCE"/>
          <bgColor rgb="FFC6EFCE"/>
        </patternFill>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solid">
          <fgColor rgb="FFF4C7C3"/>
          <bgColor rgb="FFF4C7C3"/>
        </patternFill>
      </fill>
    </dxf>
    <dxf>
      <fill>
        <patternFill patternType="solid">
          <fgColor rgb="FFC6EFCE"/>
          <bgColor rgb="FFC6EFCE"/>
        </patternFill>
      </fill>
    </dxf>
    <dxf>
      <fill>
        <patternFill patternType="solid">
          <fgColor rgb="FFF4C7C3"/>
          <bgColor rgb="FFF4C7C3"/>
        </patternFill>
      </fill>
    </dxf>
    <dxf>
      <fill>
        <patternFill patternType="solid">
          <fgColor rgb="FFC6EFCE"/>
          <bgColor rgb="FFC6EFCE"/>
        </patternFill>
      </fill>
    </dxf>
    <dxf>
      <fill>
        <patternFill patternType="solid">
          <fgColor rgb="FFF4C7C3"/>
          <bgColor rgb="FFF4C7C3"/>
        </patternFill>
      </fill>
    </dxf>
    <dxf>
      <fill>
        <patternFill patternType="solid">
          <fgColor rgb="FFC6EFCE"/>
          <bgColor rgb="FFC6EF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0.xml"/><Relationship Id="rId14" Type="http://schemas.openxmlformats.org/officeDocument/2006/relationships/worksheet" Target="worksheets/sheet11.xml"/><Relationship Id="rId15" Type="http://schemas.openxmlformats.org/officeDocument/2006/relationships/worksheet" Target="worksheets/sheet12.xml"/><Relationship Id="rId16" Type="http://schemas.openxmlformats.org/officeDocument/2006/relationships/worksheet" Target="worksheets/sheet13.xml"/><Relationship Id="rId17" Type="http://schemas.openxmlformats.org/officeDocument/2006/relationships/worksheet" Target="worksheets/sheet14.xml"/><Relationship Id="rId18" Type="http://schemas.openxmlformats.org/officeDocument/2006/relationships/worksheet" Target="worksheets/sheet15.xml"/><Relationship Id="rId19" Type="http://schemas.openxmlformats.org/officeDocument/2006/relationships/worksheet" Target="worksheets/sheet16.xml"/><Relationship Id="rId20" Type="http://schemas.openxmlformats.org/officeDocument/2006/relationships/worksheet" Target="worksheets/sheet17.xml"/><Relationship Id="rId21" Type="http://schemas.openxmlformats.org/officeDocument/2006/relationships/worksheet" Target="worksheets/sheet18.xml"/><Relationship Id="rId22" Type="http://schemas.openxmlformats.org/officeDocument/2006/relationships/worksheet" Target="worksheets/sheet19.xml"/><Relationship Id="rId23" Type="http://schemas.openxmlformats.org/officeDocument/2006/relationships/worksheet" Target="worksheets/sheet20.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jpg"/></Relationships>
</file>

<file path=xl/drawings/_rels/drawing3.xml.rels><?xml version="1.0" encoding="UTF-8" standalone="yes"?>
<Relationships xmlns="http://schemas.openxmlformats.org/package/2006/relationships"><Relationship Id="rId1" Type="http://schemas.openxmlformats.org/officeDocument/2006/relationships/image" Target="../media/image3.png"/><Relationship Id="rId2"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oneCellAnchor editAs="oneCell">
    <xdr:from>
      <xdr:col>3</xdr:col>
      <xdr:colOff>504825</xdr:colOff>
      <xdr:row>2</xdr:row>
      <xdr:rowOff>9525</xdr:rowOff>
    </xdr:from>
    <xdr:ext cx="5210175" cy="4810125"/>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oneCellAnchor editAs="oneCell">
    <xdr:from>
      <xdr:col>2</xdr:col>
      <xdr:colOff>428625</xdr:colOff>
      <xdr:row>6</xdr:row>
      <xdr:rowOff>28575</xdr:rowOff>
    </xdr:from>
    <xdr:ext cx="3667125" cy="1419225"/>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wsDr>
</file>

<file path=xl/drawings/drawing3.xml><?xml version="1.0" encoding="utf-8"?>
<xdr:wsDr xmlns:xdr="http://schemas.openxmlformats.org/drawingml/2006/spreadsheetDrawing" xmlns:a="http://schemas.openxmlformats.org/drawingml/2006/main">
  <xdr:oneCellAnchor editAs="oneCell">
    <xdr:from>
      <xdr:col>5</xdr:col>
      <xdr:colOff>219075</xdr:colOff>
      <xdr:row>2</xdr:row>
      <xdr:rowOff>47625</xdr:rowOff>
    </xdr:from>
    <xdr:ext cx="2000250" cy="495300"/>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oneCellAnchor editAs="oneCell">
    <xdr:from>
      <xdr:col>6</xdr:col>
      <xdr:colOff>0</xdr:colOff>
      <xdr:row>8</xdr:row>
      <xdr:rowOff>0</xdr:rowOff>
    </xdr:from>
    <xdr:ext cx="952500" cy="400050"/>
    <xdr:pic>
      <xdr:nvPicPr>
        <xdr:cNvPr id="2" name="Picture 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vmlDrawing" Target="../drawings/vmlDrawing2.vml"/><Relationship Id="rId3"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comments" Target="../comments4.xml"/><Relationship Id="rId2" Type="http://schemas.openxmlformats.org/officeDocument/2006/relationships/vmlDrawing" Target="../drawings/vmlDrawing4.vml"/></Relationships>
</file>

<file path=xl/worksheets/_rels/sheet7.xml.rels><?xml version="1.0" encoding="UTF-8" standalone="yes"?>
<Relationships xmlns="http://schemas.openxmlformats.org/package/2006/relationships"><Relationship Id="rId1" Type="http://schemas.openxmlformats.org/officeDocument/2006/relationships/comments" Target="../comments7.xml"/><Relationship Id="rId2" Type="http://schemas.openxmlformats.org/officeDocument/2006/relationships/vmlDrawing" Target="../drawings/vmlDrawing7.vml"/></Relationships>
</file>

<file path=xl/worksheets/_rels/sheet8.xml.rels><?xml version="1.0" encoding="UTF-8" standalone="yes"?>
<Relationships xmlns="http://schemas.openxmlformats.org/package/2006/relationships"><Relationship Id="rId1" Type="http://schemas.openxmlformats.org/officeDocument/2006/relationships/comments" Target="../comments8.xml"/><Relationship Id="rId2" Type="http://schemas.openxmlformats.org/officeDocument/2006/relationships/vmlDrawing" Target="../drawings/vmlDrawing8.vml"/></Relationships>
</file>

<file path=xl/worksheets/_rels/sheet9.xml.rels><?xml version="1.0" encoding="UTF-8" standalone="yes"?>
<Relationships xmlns="http://schemas.openxmlformats.org/package/2006/relationships"><Relationship Id="rId1" Type="http://schemas.openxmlformats.org/officeDocument/2006/relationships/comments" Target="../comments9.xml"/><Relationship Id="rId2" Type="http://schemas.openxmlformats.org/officeDocument/2006/relationships/vmlDrawing" Target="../drawings/vmlDrawing9.vml"/></Relationships>
</file>

<file path=xl/worksheets/_rels/sheet11.xml.rels><?xml version="1.0" encoding="UTF-8" standalone="yes"?>
<Relationships xmlns="http://schemas.openxmlformats.org/package/2006/relationships"><Relationship Id="rId1" Type="http://schemas.openxmlformats.org/officeDocument/2006/relationships/comments" Target="../comments11.xml"/><Relationship Id="rId2" Type="http://schemas.openxmlformats.org/officeDocument/2006/relationships/vmlDrawing" Target="../drawings/vmlDrawing11.v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13.xml.rels><?xml version="1.0" encoding="UTF-8" standalone="yes"?>
<Relationships xmlns="http://schemas.openxmlformats.org/package/2006/relationships"><Relationship Id="rId1" Type="http://schemas.openxmlformats.org/officeDocument/2006/relationships/comments" Target="../comments13.xml"/><Relationship Id="rId2" Type="http://schemas.openxmlformats.org/officeDocument/2006/relationships/vmlDrawing" Target="../drawings/vmlDrawing13.vml"/></Relationships>
</file>

<file path=xl/worksheets/_rels/sheet14.xml.rels><?xml version="1.0" encoding="UTF-8" standalone="yes"?>
<Relationships xmlns="http://schemas.openxmlformats.org/package/2006/relationships"><Relationship Id="rId1" Type="http://schemas.openxmlformats.org/officeDocument/2006/relationships/comments" Target="../comments14.xml"/><Relationship Id="rId2" Type="http://schemas.openxmlformats.org/officeDocument/2006/relationships/vmlDrawing" Target="../drawings/vmlDrawing14.vml"/></Relationships>
</file>

<file path=xl/worksheets/_rels/sheet15.xml.rels><?xml version="1.0" encoding="UTF-8" standalone="yes"?>
<Relationships xmlns="http://schemas.openxmlformats.org/package/2006/relationships"><Relationship Id="rId1" Type="http://schemas.openxmlformats.org/officeDocument/2006/relationships/comments" Target="../comments15.xml"/><Relationship Id="rId2" Type="http://schemas.openxmlformats.org/officeDocument/2006/relationships/vmlDrawing" Target="../drawings/vmlDrawing15.vml"/></Relationships>
</file>

<file path=xl/worksheets/_rels/sheet16.xml.rels><?xml version="1.0" encoding="UTF-8" standalone="yes"?>
<Relationships xmlns="http://schemas.openxmlformats.org/package/2006/relationships"><Relationship Id="rId1" Type="http://schemas.openxmlformats.org/officeDocument/2006/relationships/comments" Target="../comments16.xml"/><Relationship Id="rId2" Type="http://schemas.openxmlformats.org/officeDocument/2006/relationships/vmlDrawing" Target="../drawings/vmlDrawing16.vml"/></Relationships>
</file>

<file path=xl/worksheets/_rels/sheet17.xml.rels><?xml version="1.0" encoding="UTF-8" standalone="yes"?>
<Relationships xmlns="http://schemas.openxmlformats.org/package/2006/relationships"><Relationship Id="rId1" Type="http://schemas.openxmlformats.org/officeDocument/2006/relationships/comments" Target="../comments17.xml"/><Relationship Id="rId2" Type="http://schemas.openxmlformats.org/officeDocument/2006/relationships/vmlDrawing" Target="../drawings/vmlDrawing17.vml"/></Relationships>
</file>

<file path=xl/worksheets/_rels/sheet19.xml.rels><?xml version="1.0" encoding="UTF-8" standalone="yes"?>
<Relationships xmlns="http://schemas.openxmlformats.org/package/2006/relationships"><Relationship Id="rId1" Type="http://schemas.openxmlformats.org/officeDocument/2006/relationships/comments" Target="../comments19.xml"/><Relationship Id="rId2" Type="http://schemas.openxmlformats.org/officeDocument/2006/relationships/vmlDrawing" Target="../drawings/vmlDrawing19.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C0DEF6"/>
  </sheetPr>
  <dimension ref="A1:Z1000"/>
  <sheetViews>
    <sheetView workbookViewId="0" showGridLines="0" zoomScale="100" zoomScaleNormal="100"/>
  </sheetViews>
  <sheetFormatPr defaultRowHeight="15" outlineLevelRow="0" outlineLevelCol="0" x14ac:dyDescent="0" defaultColWidth="14.5"/>
  <cols>
    <col min="1" max="1" width="1.6640625" customWidth="1"/>
    <col min="2" max="3" width="53.6640625" customWidth="1"/>
    <col min="4" max="26" width="8.6640625" customWidth="1"/>
  </cols>
  <sheetData>
    <row r="1" ht="18" customHeight="1" spans="1:26" x14ac:dyDescent="0.25">
      <c r="A1" s="1"/>
      <c r="B1" s="2" t="s">
        <v>0</v>
      </c>
      <c r="C1" s="3"/>
      <c r="D1" s="4"/>
      <c r="E1" s="4"/>
      <c r="F1" s="4"/>
      <c r="G1" s="4"/>
      <c r="H1" s="4"/>
      <c r="I1" s="4"/>
      <c r="J1" s="4"/>
      <c r="K1" s="4"/>
      <c r="L1" s="4"/>
      <c r="M1" s="4"/>
      <c r="N1" s="4"/>
      <c r="O1" s="4"/>
      <c r="P1" s="4"/>
      <c r="Q1" s="4"/>
      <c r="R1" s="4"/>
      <c r="S1" s="4"/>
      <c r="T1" s="4"/>
      <c r="U1" s="4"/>
      <c r="V1" s="4"/>
      <c r="W1" s="4"/>
      <c r="X1" s="4"/>
      <c r="Y1" s="4"/>
      <c r="Z1" s="4"/>
    </row>
    <row r="2" ht="14.25" customHeight="1" spans="1:26" x14ac:dyDescent="0.25">
      <c r="A2" s="1"/>
      <c r="B2" s="4"/>
      <c r="C2" s="4"/>
      <c r="D2" s="4"/>
      <c r="E2" s="4"/>
      <c r="F2" s="4"/>
      <c r="G2" s="4"/>
      <c r="H2" s="4"/>
      <c r="I2" s="4"/>
      <c r="J2" s="4"/>
      <c r="K2" s="4"/>
      <c r="L2" s="4"/>
      <c r="M2" s="4"/>
      <c r="N2" s="4"/>
      <c r="O2" s="4"/>
      <c r="P2" s="4"/>
      <c r="Q2" s="4"/>
      <c r="R2" s="4"/>
      <c r="S2" s="4"/>
      <c r="T2" s="4"/>
      <c r="U2" s="4"/>
      <c r="V2" s="4"/>
      <c r="W2" s="4"/>
      <c r="X2" s="4"/>
      <c r="Y2" s="4"/>
      <c r="Z2" s="4"/>
    </row>
    <row r="3" ht="14.25" customHeight="1" spans="1:26" x14ac:dyDescent="0.25">
      <c r="A3" s="5" t="s">
        <v>1</v>
      </c>
      <c r="B3" s="6" t="s">
        <v>2</v>
      </c>
      <c r="C3" s="7"/>
      <c r="D3" s="4"/>
      <c r="E3" s="4"/>
      <c r="F3" s="4"/>
      <c r="G3" s="4"/>
      <c r="H3" s="4"/>
      <c r="I3" s="4"/>
      <c r="J3" s="4"/>
      <c r="K3" s="4"/>
      <c r="L3" s="4"/>
      <c r="M3" s="4"/>
      <c r="N3" s="4"/>
      <c r="O3" s="4"/>
      <c r="P3" s="4"/>
      <c r="Q3" s="4"/>
      <c r="R3" s="4"/>
      <c r="S3" s="4"/>
      <c r="T3" s="4"/>
      <c r="U3" s="4"/>
      <c r="V3" s="4"/>
      <c r="W3" s="4"/>
      <c r="X3" s="4"/>
      <c r="Y3" s="4"/>
      <c r="Z3" s="4"/>
    </row>
    <row r="4" ht="354.75" customHeight="1" spans="1:26" x14ac:dyDescent="0.25">
      <c r="A4" s="1"/>
      <c r="B4" s="8" t="s">
        <v>3</v>
      </c>
      <c r="C4" s="9"/>
      <c r="D4" s="4"/>
      <c r="E4" s="4"/>
      <c r="F4" s="4"/>
      <c r="G4" s="4"/>
      <c r="H4" s="4"/>
      <c r="I4" s="4"/>
      <c r="J4" s="4"/>
      <c r="K4" s="4"/>
      <c r="L4" s="4"/>
      <c r="M4" s="4"/>
      <c r="N4" s="4"/>
      <c r="O4" s="4"/>
      <c r="P4" s="4"/>
      <c r="Q4" s="4"/>
      <c r="R4" s="4"/>
      <c r="S4" s="4"/>
      <c r="T4" s="4"/>
      <c r="U4" s="4"/>
      <c r="V4" s="4"/>
      <c r="W4" s="4"/>
      <c r="X4" s="4"/>
      <c r="Y4" s="4"/>
      <c r="Z4" s="4"/>
    </row>
    <row r="5" ht="14.25" customHeight="1" spans="1:26" x14ac:dyDescent="0.25">
      <c r="A5" s="4"/>
      <c r="B5" s="4"/>
      <c r="C5" s="4"/>
      <c r="D5" s="4"/>
      <c r="E5" s="4"/>
      <c r="F5" s="4"/>
      <c r="G5" s="4"/>
      <c r="H5" s="4"/>
      <c r="I5" s="4"/>
      <c r="J5" s="4"/>
      <c r="K5" s="4"/>
      <c r="L5" s="4"/>
      <c r="M5" s="4"/>
      <c r="N5" s="4"/>
      <c r="O5" s="4"/>
      <c r="P5" s="4"/>
      <c r="Q5" s="4"/>
      <c r="R5" s="4"/>
      <c r="S5" s="4"/>
      <c r="T5" s="4"/>
      <c r="U5" s="4"/>
      <c r="V5" s="4"/>
      <c r="W5" s="4"/>
      <c r="X5" s="4"/>
      <c r="Y5" s="4"/>
      <c r="Z5" s="4"/>
    </row>
    <row r="6" ht="14.25" customHeight="1" spans="1:26" x14ac:dyDescent="0.25">
      <c r="A6" s="4"/>
      <c r="B6" s="4"/>
      <c r="C6" s="4"/>
      <c r="D6" s="4"/>
      <c r="E6" s="4"/>
      <c r="F6" s="4"/>
      <c r="G6" s="4"/>
      <c r="H6" s="4"/>
      <c r="I6" s="4"/>
      <c r="J6" s="4"/>
      <c r="K6" s="4"/>
      <c r="L6" s="4"/>
      <c r="M6" s="4"/>
      <c r="N6" s="4"/>
      <c r="O6" s="4"/>
      <c r="P6" s="4"/>
      <c r="Q6" s="4"/>
      <c r="R6" s="4"/>
      <c r="S6" s="4"/>
      <c r="T6" s="4"/>
      <c r="U6" s="4"/>
      <c r="V6" s="4"/>
      <c r="W6" s="4"/>
      <c r="X6" s="4"/>
      <c r="Y6" s="4"/>
      <c r="Z6" s="4"/>
    </row>
    <row r="7" ht="14.25" customHeight="1" spans="1:26" x14ac:dyDescent="0.25">
      <c r="A7" s="4"/>
      <c r="B7" s="4"/>
      <c r="C7" s="4"/>
      <c r="D7" s="4"/>
      <c r="E7" s="4"/>
      <c r="F7" s="4"/>
      <c r="G7" s="4"/>
      <c r="H7" s="4"/>
      <c r="I7" s="4"/>
      <c r="J7" s="4"/>
      <c r="K7" s="4"/>
      <c r="L7" s="4"/>
      <c r="M7" s="4"/>
      <c r="N7" s="4"/>
      <c r="O7" s="4"/>
      <c r="P7" s="4"/>
      <c r="Q7" s="4"/>
      <c r="R7" s="4"/>
      <c r="S7" s="4"/>
      <c r="T7" s="4"/>
      <c r="U7" s="4"/>
      <c r="V7" s="4"/>
      <c r="W7" s="4"/>
      <c r="X7" s="4"/>
      <c r="Y7" s="4"/>
      <c r="Z7" s="4"/>
    </row>
    <row r="8" ht="14.25" customHeight="1" spans="1:26" x14ac:dyDescent="0.25">
      <c r="A8" s="4"/>
      <c r="B8" s="4"/>
      <c r="C8" s="4"/>
      <c r="D8" s="4"/>
      <c r="E8" s="4"/>
      <c r="F8" s="4"/>
      <c r="G8" s="4"/>
      <c r="H8" s="4"/>
      <c r="I8" s="4"/>
      <c r="J8" s="4"/>
      <c r="K8" s="4"/>
      <c r="L8" s="4"/>
      <c r="M8" s="4"/>
      <c r="N8" s="4"/>
      <c r="O8" s="4"/>
      <c r="P8" s="4"/>
      <c r="Q8" s="4"/>
      <c r="R8" s="4"/>
      <c r="S8" s="4"/>
      <c r="T8" s="4"/>
      <c r="U8" s="4"/>
      <c r="V8" s="4"/>
      <c r="W8" s="4"/>
      <c r="X8" s="4"/>
      <c r="Y8" s="4"/>
      <c r="Z8" s="4"/>
    </row>
    <row r="9" ht="14.25" customHeight="1" spans="1:26" x14ac:dyDescent="0.25">
      <c r="A9" s="4"/>
      <c r="B9" s="4"/>
      <c r="C9" s="4"/>
      <c r="D9" s="4"/>
      <c r="E9" s="4"/>
      <c r="F9" s="4"/>
      <c r="G9" s="4"/>
      <c r="H9" s="4"/>
      <c r="I9" s="4"/>
      <c r="J9" s="4"/>
      <c r="K9" s="4"/>
      <c r="L9" s="4"/>
      <c r="M9" s="4"/>
      <c r="N9" s="4"/>
      <c r="O9" s="4"/>
      <c r="P9" s="4"/>
      <c r="Q9" s="4"/>
      <c r="R9" s="4"/>
      <c r="S9" s="4"/>
      <c r="T9" s="4"/>
      <c r="U9" s="4"/>
      <c r="V9" s="4"/>
      <c r="W9" s="4"/>
      <c r="X9" s="4"/>
      <c r="Y9" s="4"/>
      <c r="Z9" s="4"/>
    </row>
    <row r="10" ht="14.25" customHeight="1" spans="1:26" x14ac:dyDescent="0.25">
      <c r="A10" s="4"/>
      <c r="B10" s="4"/>
      <c r="C10" s="4"/>
      <c r="D10" s="4"/>
      <c r="E10" s="4"/>
      <c r="F10" s="4"/>
      <c r="G10" s="4"/>
      <c r="H10" s="4"/>
      <c r="I10" s="4"/>
      <c r="J10" s="4"/>
      <c r="K10" s="4"/>
      <c r="L10" s="4"/>
      <c r="M10" s="4"/>
      <c r="N10" s="4"/>
      <c r="O10" s="4"/>
      <c r="P10" s="4"/>
      <c r="Q10" s="4"/>
      <c r="R10" s="4"/>
      <c r="S10" s="4"/>
      <c r="T10" s="4"/>
      <c r="U10" s="4"/>
      <c r="V10" s="4"/>
      <c r="W10" s="4"/>
      <c r="X10" s="4"/>
      <c r="Y10" s="4"/>
      <c r="Z10" s="4"/>
    </row>
    <row r="11" ht="14.25" customHeight="1" spans="1:26" x14ac:dyDescent="0.25">
      <c r="A11" s="4"/>
      <c r="B11" s="4"/>
      <c r="C11" s="4"/>
      <c r="D11" s="4"/>
      <c r="E11" s="4"/>
      <c r="F11" s="4"/>
      <c r="G11" s="4"/>
      <c r="H11" s="4"/>
      <c r="I11" s="4"/>
      <c r="J11" s="4"/>
      <c r="K11" s="4"/>
      <c r="L11" s="4"/>
      <c r="M11" s="4"/>
      <c r="N11" s="4"/>
      <c r="O11" s="4"/>
      <c r="P11" s="4"/>
      <c r="Q11" s="4"/>
      <c r="R11" s="4"/>
      <c r="S11" s="4"/>
      <c r="T11" s="4"/>
      <c r="U11" s="4"/>
      <c r="V11" s="4"/>
      <c r="W11" s="4"/>
      <c r="X11" s="4"/>
      <c r="Y11" s="4"/>
      <c r="Z11" s="4"/>
    </row>
    <row r="12" ht="14.25" customHeight="1" spans="1:26" x14ac:dyDescent="0.25">
      <c r="A12" s="4"/>
      <c r="B12" s="4"/>
      <c r="C12" s="4"/>
      <c r="D12" s="4"/>
      <c r="E12" s="4"/>
      <c r="F12" s="4"/>
      <c r="G12" s="4"/>
      <c r="H12" s="4"/>
      <c r="I12" s="4"/>
      <c r="J12" s="4"/>
      <c r="K12" s="4"/>
      <c r="L12" s="4"/>
      <c r="M12" s="4"/>
      <c r="N12" s="4"/>
      <c r="O12" s="4"/>
      <c r="P12" s="4"/>
      <c r="Q12" s="4"/>
      <c r="R12" s="4"/>
      <c r="S12" s="4"/>
      <c r="T12" s="4"/>
      <c r="U12" s="4"/>
      <c r="V12" s="4"/>
      <c r="W12" s="4"/>
      <c r="X12" s="4"/>
      <c r="Y12" s="4"/>
      <c r="Z12" s="4"/>
    </row>
    <row r="13" ht="14.25" customHeight="1" spans="1:26" x14ac:dyDescent="0.25">
      <c r="A13" s="4"/>
      <c r="B13" s="4"/>
      <c r="C13" s="4"/>
      <c r="D13" s="4"/>
      <c r="E13" s="4"/>
      <c r="F13" s="4"/>
      <c r="G13" s="4"/>
      <c r="H13" s="4"/>
      <c r="I13" s="4"/>
      <c r="J13" s="4"/>
      <c r="K13" s="4"/>
      <c r="L13" s="4"/>
      <c r="M13" s="4"/>
      <c r="N13" s="4"/>
      <c r="O13" s="4"/>
      <c r="P13" s="4"/>
      <c r="Q13" s="4"/>
      <c r="R13" s="4"/>
      <c r="S13" s="4"/>
      <c r="T13" s="4"/>
      <c r="U13" s="4"/>
      <c r="V13" s="4"/>
      <c r="W13" s="4"/>
      <c r="X13" s="4"/>
      <c r="Y13" s="4"/>
      <c r="Z13" s="4"/>
    </row>
    <row r="14" ht="14.25" customHeight="1" spans="1:26" x14ac:dyDescent="0.25">
      <c r="A14" s="4"/>
      <c r="B14" s="4"/>
      <c r="C14" s="4"/>
      <c r="D14" s="4"/>
      <c r="E14" s="4"/>
      <c r="F14" s="4"/>
      <c r="G14" s="4"/>
      <c r="H14" s="4"/>
      <c r="I14" s="4"/>
      <c r="J14" s="4"/>
      <c r="K14" s="4"/>
      <c r="L14" s="4"/>
      <c r="M14" s="4"/>
      <c r="N14" s="4"/>
      <c r="O14" s="4"/>
      <c r="P14" s="4"/>
      <c r="Q14" s="4"/>
      <c r="R14" s="4"/>
      <c r="S14" s="4"/>
      <c r="T14" s="4"/>
      <c r="U14" s="4"/>
      <c r="V14" s="4"/>
      <c r="W14" s="4"/>
      <c r="X14" s="4"/>
      <c r="Y14" s="4"/>
      <c r="Z14" s="4"/>
    </row>
    <row r="15" ht="14.25" customHeight="1" spans="1:26" x14ac:dyDescent="0.25">
      <c r="A15" s="4"/>
      <c r="B15" s="4"/>
      <c r="C15" s="4"/>
      <c r="D15" s="4"/>
      <c r="E15" s="4"/>
      <c r="F15" s="4"/>
      <c r="G15" s="4"/>
      <c r="H15" s="4"/>
      <c r="I15" s="4"/>
      <c r="J15" s="4"/>
      <c r="K15" s="4"/>
      <c r="L15" s="4"/>
      <c r="M15" s="4"/>
      <c r="N15" s="4"/>
      <c r="O15" s="4"/>
      <c r="P15" s="4"/>
      <c r="Q15" s="4"/>
      <c r="R15" s="4"/>
      <c r="S15" s="4"/>
      <c r="T15" s="4"/>
      <c r="U15" s="4"/>
      <c r="V15" s="4"/>
      <c r="W15" s="4"/>
      <c r="X15" s="4"/>
      <c r="Y15" s="4"/>
      <c r="Z15" s="4"/>
    </row>
    <row r="16" ht="14.25" customHeight="1" spans="1:26" x14ac:dyDescent="0.25">
      <c r="A16" s="4"/>
      <c r="B16" s="10"/>
      <c r="C16" s="10"/>
      <c r="D16" s="10"/>
      <c r="E16" s="10"/>
      <c r="F16" s="10"/>
      <c r="G16" s="10"/>
      <c r="H16" s="10"/>
      <c r="I16" s="10"/>
      <c r="J16" s="10"/>
      <c r="K16" s="4"/>
      <c r="L16" s="4"/>
      <c r="M16" s="4"/>
      <c r="N16" s="4"/>
      <c r="O16" s="4"/>
      <c r="P16" s="4"/>
      <c r="Q16" s="4"/>
      <c r="R16" s="4"/>
      <c r="S16" s="4"/>
      <c r="T16" s="4"/>
      <c r="U16" s="4"/>
      <c r="V16" s="4"/>
      <c r="W16" s="4"/>
      <c r="X16" s="4"/>
      <c r="Y16" s="4"/>
      <c r="Z16" s="4"/>
    </row>
    <row r="17" ht="14.25" customHeight="1" spans="1:26" x14ac:dyDescent="0.25">
      <c r="A17" s="4"/>
      <c r="B17" s="4"/>
      <c r="C17" s="4"/>
      <c r="D17" s="4"/>
      <c r="E17" s="4"/>
      <c r="F17" s="4"/>
      <c r="G17" s="4"/>
      <c r="H17" s="4"/>
      <c r="I17" s="4"/>
      <c r="J17" s="4"/>
      <c r="K17" s="4"/>
      <c r="L17" s="4"/>
      <c r="M17" s="4"/>
      <c r="N17" s="4"/>
      <c r="O17" s="4"/>
      <c r="P17" s="4"/>
      <c r="Q17" s="4"/>
      <c r="R17" s="4"/>
      <c r="S17" s="4"/>
      <c r="T17" s="4"/>
      <c r="U17" s="4"/>
      <c r="V17" s="4"/>
      <c r="W17" s="4"/>
      <c r="X17" s="4"/>
      <c r="Y17" s="4"/>
      <c r="Z17" s="4"/>
    </row>
    <row r="18" ht="14.25" customHeight="1" spans="1:26" x14ac:dyDescent="0.25">
      <c r="A18" s="4"/>
      <c r="B18" s="4"/>
      <c r="C18" s="4"/>
      <c r="D18" s="4"/>
      <c r="E18" s="4"/>
      <c r="F18" s="4"/>
      <c r="G18" s="4"/>
      <c r="H18" s="4"/>
      <c r="I18" s="4"/>
      <c r="J18" s="4"/>
      <c r="K18" s="4"/>
      <c r="L18" s="4"/>
      <c r="M18" s="4"/>
      <c r="N18" s="4"/>
      <c r="O18" s="4"/>
      <c r="P18" s="4"/>
      <c r="Q18" s="4"/>
      <c r="R18" s="4"/>
      <c r="S18" s="4"/>
      <c r="T18" s="4"/>
      <c r="U18" s="4"/>
      <c r="V18" s="4"/>
      <c r="W18" s="4"/>
      <c r="X18" s="4"/>
      <c r="Y18" s="4"/>
      <c r="Z18" s="4"/>
    </row>
    <row r="19" ht="14.25" customHeight="1" spans="1:26" x14ac:dyDescent="0.25">
      <c r="A19" s="4"/>
      <c r="B19" s="4"/>
      <c r="C19" s="4"/>
      <c r="D19" s="4"/>
      <c r="E19" s="4"/>
      <c r="F19" s="4"/>
      <c r="G19" s="4"/>
      <c r="H19" s="4"/>
      <c r="I19" s="4"/>
      <c r="J19" s="4"/>
      <c r="K19" s="4"/>
      <c r="L19" s="4"/>
      <c r="M19" s="4"/>
      <c r="N19" s="4"/>
      <c r="O19" s="4"/>
      <c r="P19" s="4"/>
      <c r="Q19" s="4"/>
      <c r="R19" s="4"/>
      <c r="S19" s="4"/>
      <c r="T19" s="4"/>
      <c r="U19" s="4"/>
      <c r="V19" s="4"/>
      <c r="W19" s="4"/>
      <c r="X19" s="4"/>
      <c r="Y19" s="4"/>
      <c r="Z19" s="4"/>
    </row>
    <row r="20" ht="14.25" customHeight="1" spans="1:26" x14ac:dyDescent="0.25">
      <c r="A20" s="4"/>
      <c r="B20" s="4"/>
      <c r="C20" s="4"/>
      <c r="D20" s="4"/>
      <c r="E20" s="4"/>
      <c r="F20" s="4"/>
      <c r="G20" s="4"/>
      <c r="H20" s="4"/>
      <c r="I20" s="4"/>
      <c r="J20" s="4"/>
      <c r="K20" s="4"/>
      <c r="L20" s="4"/>
      <c r="M20" s="4"/>
      <c r="N20" s="4"/>
      <c r="O20" s="4"/>
      <c r="P20" s="4"/>
      <c r="Q20" s="4"/>
      <c r="R20" s="4"/>
      <c r="S20" s="4"/>
      <c r="T20" s="4"/>
      <c r="U20" s="4"/>
      <c r="V20" s="4"/>
      <c r="W20" s="4"/>
      <c r="X20" s="4"/>
      <c r="Y20" s="4"/>
      <c r="Z20" s="4"/>
    </row>
    <row r="21" ht="14.25" customHeight="1" spans="1:26" x14ac:dyDescent="0.25">
      <c r="A21" s="4"/>
      <c r="B21" s="4"/>
      <c r="C21" s="4"/>
      <c r="D21" s="4"/>
      <c r="E21" s="4"/>
      <c r="F21" s="4"/>
      <c r="G21" s="4"/>
      <c r="H21" s="4"/>
      <c r="I21" s="4"/>
      <c r="J21" s="4"/>
      <c r="K21" s="4"/>
      <c r="L21" s="4"/>
      <c r="M21" s="4"/>
      <c r="N21" s="4"/>
      <c r="O21" s="4"/>
      <c r="P21" s="4"/>
      <c r="Q21" s="4"/>
      <c r="R21" s="4"/>
      <c r="S21" s="4"/>
      <c r="T21" s="4"/>
      <c r="U21" s="4"/>
      <c r="V21" s="4"/>
      <c r="W21" s="4"/>
      <c r="X21" s="4"/>
      <c r="Y21" s="4"/>
      <c r="Z21" s="4"/>
    </row>
    <row r="22" ht="14.25" customHeight="1" spans="1:26" x14ac:dyDescent="0.25">
      <c r="A22" s="4"/>
      <c r="B22" s="4"/>
      <c r="C22" s="4"/>
      <c r="D22" s="4"/>
      <c r="E22" s="4"/>
      <c r="F22" s="4"/>
      <c r="G22" s="4"/>
      <c r="H22" s="4"/>
      <c r="I22" s="4"/>
      <c r="J22" s="4"/>
      <c r="K22" s="4"/>
      <c r="L22" s="4"/>
      <c r="M22" s="4"/>
      <c r="N22" s="4"/>
      <c r="O22" s="4"/>
      <c r="P22" s="4"/>
      <c r="Q22" s="4"/>
      <c r="R22" s="4"/>
      <c r="S22" s="4"/>
      <c r="T22" s="4"/>
      <c r="U22" s="4"/>
      <c r="V22" s="4"/>
      <c r="W22" s="4"/>
      <c r="X22" s="4"/>
      <c r="Y22" s="4"/>
      <c r="Z22" s="4"/>
    </row>
    <row r="23" ht="14.25" customHeight="1" spans="1:26" x14ac:dyDescent="0.25">
      <c r="A23" s="4"/>
      <c r="B23" s="4"/>
      <c r="C23" s="4"/>
      <c r="D23" s="4"/>
      <c r="E23" s="4"/>
      <c r="F23" s="4"/>
      <c r="G23" s="4"/>
      <c r="H23" s="4"/>
      <c r="I23" s="4"/>
      <c r="J23" s="4"/>
      <c r="K23" s="4"/>
      <c r="L23" s="4"/>
      <c r="M23" s="4"/>
      <c r="N23" s="4"/>
      <c r="O23" s="4"/>
      <c r="P23" s="4"/>
      <c r="Q23" s="4"/>
      <c r="R23" s="4"/>
      <c r="S23" s="4"/>
      <c r="T23" s="4"/>
      <c r="U23" s="4"/>
      <c r="V23" s="4"/>
      <c r="W23" s="4"/>
      <c r="X23" s="4"/>
      <c r="Y23" s="4"/>
      <c r="Z23" s="4"/>
    </row>
    <row r="24" ht="14.25" customHeight="1" spans="1:26" x14ac:dyDescent="0.25">
      <c r="A24" s="4"/>
      <c r="B24" s="4"/>
      <c r="C24" s="4"/>
      <c r="D24" s="4"/>
      <c r="E24" s="4"/>
      <c r="F24" s="4"/>
      <c r="G24" s="4"/>
      <c r="H24" s="4"/>
      <c r="I24" s="4"/>
      <c r="J24" s="4"/>
      <c r="K24" s="4"/>
      <c r="L24" s="4"/>
      <c r="M24" s="4"/>
      <c r="N24" s="4"/>
      <c r="O24" s="4"/>
      <c r="P24" s="4"/>
      <c r="Q24" s="4"/>
      <c r="R24" s="4"/>
      <c r="S24" s="4"/>
      <c r="T24" s="4"/>
      <c r="U24" s="4"/>
      <c r="V24" s="4"/>
      <c r="W24" s="4"/>
      <c r="X24" s="4"/>
      <c r="Y24" s="4"/>
      <c r="Z24" s="4"/>
    </row>
    <row r="25" ht="14.25" customHeight="1" spans="1:26" x14ac:dyDescent="0.25">
      <c r="A25" s="4"/>
      <c r="B25" s="4"/>
      <c r="C25" s="4"/>
      <c r="D25" s="4"/>
      <c r="E25" s="4"/>
      <c r="F25" s="4"/>
      <c r="G25" s="4"/>
      <c r="H25" s="4"/>
      <c r="I25" s="4"/>
      <c r="J25" s="4"/>
      <c r="K25" s="4"/>
      <c r="L25" s="4"/>
      <c r="M25" s="4"/>
      <c r="N25" s="4"/>
      <c r="O25" s="4"/>
      <c r="P25" s="4"/>
      <c r="Q25" s="4"/>
      <c r="R25" s="4"/>
      <c r="S25" s="4"/>
      <c r="T25" s="4"/>
      <c r="U25" s="4"/>
      <c r="V25" s="4"/>
      <c r="W25" s="4"/>
      <c r="X25" s="4"/>
      <c r="Y25" s="4"/>
      <c r="Z25" s="4"/>
    </row>
    <row r="26" ht="14.25" customHeight="1" spans="1:26" x14ac:dyDescent="0.25">
      <c r="A26" s="4"/>
      <c r="B26" s="4"/>
      <c r="C26" s="4"/>
      <c r="D26" s="4"/>
      <c r="E26" s="4"/>
      <c r="F26" s="4"/>
      <c r="G26" s="4"/>
      <c r="H26" s="4"/>
      <c r="I26" s="4"/>
      <c r="J26" s="4"/>
      <c r="K26" s="4"/>
      <c r="L26" s="4"/>
      <c r="M26" s="4"/>
      <c r="N26" s="4"/>
      <c r="O26" s="4"/>
      <c r="P26" s="4"/>
      <c r="Q26" s="4"/>
      <c r="R26" s="4"/>
      <c r="S26" s="4"/>
      <c r="T26" s="4"/>
      <c r="U26" s="4"/>
      <c r="V26" s="4"/>
      <c r="W26" s="4"/>
      <c r="X26" s="4"/>
      <c r="Y26" s="4"/>
      <c r="Z26" s="4"/>
    </row>
    <row r="27" ht="14.25" customHeight="1" spans="1:26" x14ac:dyDescent="0.25">
      <c r="A27" s="4"/>
      <c r="B27" s="4"/>
      <c r="C27" s="4"/>
      <c r="D27" s="4"/>
      <c r="E27" s="4"/>
      <c r="F27" s="4"/>
      <c r="G27" s="4"/>
      <c r="H27" s="4"/>
      <c r="I27" s="4"/>
      <c r="J27" s="4"/>
      <c r="K27" s="4"/>
      <c r="L27" s="4"/>
      <c r="M27" s="4"/>
      <c r="N27" s="4"/>
      <c r="O27" s="4"/>
      <c r="P27" s="4"/>
      <c r="Q27" s="4"/>
      <c r="R27" s="4"/>
      <c r="S27" s="4"/>
      <c r="T27" s="4"/>
      <c r="U27" s="4"/>
      <c r="V27" s="4"/>
      <c r="W27" s="4"/>
      <c r="X27" s="4"/>
      <c r="Y27" s="4"/>
      <c r="Z27" s="4"/>
    </row>
    <row r="28" ht="14.25" customHeight="1" spans="1:26" x14ac:dyDescent="0.25">
      <c r="A28" s="4"/>
      <c r="B28" s="4"/>
      <c r="C28" s="4"/>
      <c r="D28" s="4"/>
      <c r="E28" s="4"/>
      <c r="F28" s="4"/>
      <c r="G28" s="4"/>
      <c r="H28" s="4"/>
      <c r="I28" s="4"/>
      <c r="J28" s="4"/>
      <c r="K28" s="4"/>
      <c r="L28" s="4"/>
      <c r="M28" s="4"/>
      <c r="N28" s="4"/>
      <c r="O28" s="4"/>
      <c r="P28" s="4"/>
      <c r="Q28" s="4"/>
      <c r="R28" s="4"/>
      <c r="S28" s="4"/>
      <c r="T28" s="4"/>
      <c r="U28" s="4"/>
      <c r="V28" s="4"/>
      <c r="W28" s="4"/>
      <c r="X28" s="4"/>
      <c r="Y28" s="4"/>
      <c r="Z28" s="4"/>
    </row>
    <row r="29" ht="14.25" customHeight="1" spans="1:26" x14ac:dyDescent="0.25">
      <c r="A29" s="4"/>
      <c r="B29" s="4"/>
      <c r="C29" s="4"/>
      <c r="D29" s="4"/>
      <c r="E29" s="4"/>
      <c r="F29" s="4"/>
      <c r="G29" s="4"/>
      <c r="H29" s="4"/>
      <c r="I29" s="4"/>
      <c r="J29" s="4"/>
      <c r="K29" s="4"/>
      <c r="L29" s="4"/>
      <c r="M29" s="4"/>
      <c r="N29" s="4"/>
      <c r="O29" s="4"/>
      <c r="P29" s="4"/>
      <c r="Q29" s="4"/>
      <c r="R29" s="4"/>
      <c r="S29" s="4"/>
      <c r="T29" s="4"/>
      <c r="U29" s="4"/>
      <c r="V29" s="4"/>
      <c r="W29" s="4"/>
      <c r="X29" s="4"/>
      <c r="Y29" s="4"/>
      <c r="Z29" s="4"/>
    </row>
    <row r="30" ht="14.25" customHeight="1" spans="1:26" x14ac:dyDescent="0.25">
      <c r="A30" s="4"/>
      <c r="B30" s="4"/>
      <c r="C30" s="4"/>
      <c r="D30" s="4"/>
      <c r="E30" s="4"/>
      <c r="F30" s="4"/>
      <c r="G30" s="4"/>
      <c r="H30" s="4"/>
      <c r="I30" s="4"/>
      <c r="J30" s="4"/>
      <c r="K30" s="4"/>
      <c r="L30" s="4"/>
      <c r="M30" s="4"/>
      <c r="N30" s="4"/>
      <c r="O30" s="4"/>
      <c r="P30" s="4"/>
      <c r="Q30" s="4"/>
      <c r="R30" s="4"/>
      <c r="S30" s="4"/>
      <c r="T30" s="4"/>
      <c r="U30" s="4"/>
      <c r="V30" s="4"/>
      <c r="W30" s="4"/>
      <c r="X30" s="4"/>
      <c r="Y30" s="4"/>
      <c r="Z30" s="4"/>
    </row>
    <row r="31" ht="14.25" customHeight="1" spans="1:26" x14ac:dyDescent="0.25">
      <c r="A31" s="4"/>
      <c r="B31" s="4"/>
      <c r="C31" s="4"/>
      <c r="D31" s="4"/>
      <c r="E31" s="4"/>
      <c r="F31" s="4"/>
      <c r="G31" s="4"/>
      <c r="H31" s="4"/>
      <c r="I31" s="4"/>
      <c r="J31" s="4"/>
      <c r="K31" s="4"/>
      <c r="L31" s="4"/>
      <c r="M31" s="4"/>
      <c r="N31" s="4"/>
      <c r="O31" s="4"/>
      <c r="P31" s="4"/>
      <c r="Q31" s="4"/>
      <c r="R31" s="4"/>
      <c r="S31" s="4"/>
      <c r="T31" s="4"/>
      <c r="U31" s="4"/>
      <c r="V31" s="4"/>
      <c r="W31" s="4"/>
      <c r="X31" s="4"/>
      <c r="Y31" s="4"/>
      <c r="Z31" s="4"/>
    </row>
    <row r="32" ht="14.25" customHeight="1" spans="1:26" x14ac:dyDescent="0.25">
      <c r="A32" s="4"/>
      <c r="B32" s="4"/>
      <c r="C32" s="4"/>
      <c r="D32" s="4"/>
      <c r="E32" s="4"/>
      <c r="F32" s="4"/>
      <c r="G32" s="4"/>
      <c r="H32" s="4"/>
      <c r="I32" s="4"/>
      <c r="J32" s="4"/>
      <c r="K32" s="4"/>
      <c r="L32" s="4"/>
      <c r="M32" s="4"/>
      <c r="N32" s="4"/>
      <c r="O32" s="4"/>
      <c r="P32" s="4"/>
      <c r="Q32" s="4"/>
      <c r="R32" s="4"/>
      <c r="S32" s="4"/>
      <c r="T32" s="4"/>
      <c r="U32" s="4"/>
      <c r="V32" s="4"/>
      <c r="W32" s="4"/>
      <c r="X32" s="4"/>
      <c r="Y32" s="4"/>
      <c r="Z32" s="4"/>
    </row>
    <row r="33" ht="14.25" customHeight="1" spans="1:26" x14ac:dyDescent="0.25">
      <c r="A33" s="4"/>
      <c r="B33" s="4"/>
      <c r="C33" s="4"/>
      <c r="D33" s="4"/>
      <c r="E33" s="4"/>
      <c r="F33" s="4"/>
      <c r="G33" s="4"/>
      <c r="H33" s="4"/>
      <c r="I33" s="4"/>
      <c r="J33" s="4"/>
      <c r="K33" s="4"/>
      <c r="L33" s="4"/>
      <c r="M33" s="4"/>
      <c r="N33" s="4"/>
      <c r="O33" s="4"/>
      <c r="P33" s="4"/>
      <c r="Q33" s="4"/>
      <c r="R33" s="4"/>
      <c r="S33" s="4"/>
      <c r="T33" s="4"/>
      <c r="U33" s="4"/>
      <c r="V33" s="4"/>
      <c r="W33" s="4"/>
      <c r="X33" s="4"/>
      <c r="Y33" s="4"/>
      <c r="Z33" s="4"/>
    </row>
    <row r="34" ht="14.25" customHeight="1" spans="1:26" x14ac:dyDescent="0.25">
      <c r="A34" s="4"/>
      <c r="B34" s="4"/>
      <c r="C34" s="4"/>
      <c r="D34" s="4"/>
      <c r="E34" s="4"/>
      <c r="F34" s="4"/>
      <c r="G34" s="4"/>
      <c r="H34" s="4"/>
      <c r="I34" s="4"/>
      <c r="J34" s="4"/>
      <c r="K34" s="4"/>
      <c r="L34" s="4"/>
      <c r="M34" s="4"/>
      <c r="N34" s="4"/>
      <c r="O34" s="4"/>
      <c r="P34" s="4"/>
      <c r="Q34" s="4"/>
      <c r="R34" s="4"/>
      <c r="S34" s="4"/>
      <c r="T34" s="4"/>
      <c r="U34" s="4"/>
      <c r="V34" s="4"/>
      <c r="W34" s="4"/>
      <c r="X34" s="4"/>
      <c r="Y34" s="4"/>
      <c r="Z34" s="4"/>
    </row>
    <row r="35" ht="14.25" customHeight="1" spans="1:26" x14ac:dyDescent="0.25">
      <c r="A35" s="4"/>
      <c r="B35" s="4"/>
      <c r="C35" s="4"/>
      <c r="D35" s="4"/>
      <c r="E35" s="4"/>
      <c r="F35" s="4"/>
      <c r="G35" s="4"/>
      <c r="H35" s="4"/>
      <c r="I35" s="4"/>
      <c r="J35" s="4"/>
      <c r="K35" s="4"/>
      <c r="L35" s="4"/>
      <c r="M35" s="4"/>
      <c r="N35" s="4"/>
      <c r="O35" s="4"/>
      <c r="P35" s="4"/>
      <c r="Q35" s="4"/>
      <c r="R35" s="4"/>
      <c r="S35" s="4"/>
      <c r="T35" s="4"/>
      <c r="U35" s="4"/>
      <c r="V35" s="4"/>
      <c r="W35" s="4"/>
      <c r="X35" s="4"/>
      <c r="Y35" s="4"/>
      <c r="Z35" s="4"/>
    </row>
    <row r="36" ht="14.25" customHeight="1" spans="1:26" x14ac:dyDescent="0.25">
      <c r="A36" s="4"/>
      <c r="B36" s="4"/>
      <c r="C36" s="4"/>
      <c r="D36" s="4"/>
      <c r="E36" s="4"/>
      <c r="F36" s="4"/>
      <c r="G36" s="4"/>
      <c r="H36" s="4"/>
      <c r="I36" s="4"/>
      <c r="J36" s="4"/>
      <c r="K36" s="4"/>
      <c r="L36" s="4"/>
      <c r="M36" s="4"/>
      <c r="N36" s="4"/>
      <c r="O36" s="4"/>
      <c r="P36" s="4"/>
      <c r="Q36" s="4"/>
      <c r="R36" s="4"/>
      <c r="S36" s="4"/>
      <c r="T36" s="4"/>
      <c r="U36" s="4"/>
      <c r="V36" s="4"/>
      <c r="W36" s="4"/>
      <c r="X36" s="4"/>
      <c r="Y36" s="4"/>
      <c r="Z36" s="4"/>
    </row>
    <row r="37" ht="14.25" customHeight="1" spans="1:26" x14ac:dyDescent="0.25">
      <c r="A37" s="4"/>
      <c r="B37" s="4"/>
      <c r="C37" s="4"/>
      <c r="D37" s="4"/>
      <c r="E37" s="4"/>
      <c r="F37" s="4"/>
      <c r="G37" s="4"/>
      <c r="H37" s="4"/>
      <c r="I37" s="4"/>
      <c r="J37" s="4"/>
      <c r="K37" s="4"/>
      <c r="L37" s="4"/>
      <c r="M37" s="4"/>
      <c r="N37" s="4"/>
      <c r="O37" s="4"/>
      <c r="P37" s="4"/>
      <c r="Q37" s="4"/>
      <c r="R37" s="4"/>
      <c r="S37" s="4"/>
      <c r="T37" s="4"/>
      <c r="U37" s="4"/>
      <c r="V37" s="4"/>
      <c r="W37" s="4"/>
      <c r="X37" s="4"/>
      <c r="Y37" s="4"/>
      <c r="Z37" s="4"/>
    </row>
    <row r="38" ht="14.25" customHeight="1" spans="1:26" x14ac:dyDescent="0.25">
      <c r="A38" s="4"/>
      <c r="B38" s="4"/>
      <c r="C38" s="4"/>
      <c r="D38" s="4"/>
      <c r="E38" s="4"/>
      <c r="F38" s="4"/>
      <c r="G38" s="4"/>
      <c r="H38" s="4"/>
      <c r="I38" s="4"/>
      <c r="J38" s="4"/>
      <c r="K38" s="4"/>
      <c r="L38" s="4"/>
      <c r="M38" s="4"/>
      <c r="N38" s="4"/>
      <c r="O38" s="4"/>
      <c r="P38" s="4"/>
      <c r="Q38" s="4"/>
      <c r="R38" s="4"/>
      <c r="S38" s="4"/>
      <c r="T38" s="4"/>
      <c r="U38" s="4"/>
      <c r="V38" s="4"/>
      <c r="W38" s="4"/>
      <c r="X38" s="4"/>
      <c r="Y38" s="4"/>
      <c r="Z38" s="4"/>
    </row>
    <row r="39" ht="14.25" customHeight="1" spans="1:26" x14ac:dyDescent="0.25">
      <c r="A39" s="4"/>
      <c r="B39" s="4"/>
      <c r="C39" s="4"/>
      <c r="D39" s="4"/>
      <c r="E39" s="4"/>
      <c r="F39" s="4"/>
      <c r="G39" s="4"/>
      <c r="H39" s="4"/>
      <c r="I39" s="4"/>
      <c r="J39" s="4"/>
      <c r="K39" s="4"/>
      <c r="L39" s="4"/>
      <c r="M39" s="4"/>
      <c r="N39" s="4"/>
      <c r="O39" s="4"/>
      <c r="P39" s="4"/>
      <c r="Q39" s="4"/>
      <c r="R39" s="4"/>
      <c r="S39" s="4"/>
      <c r="T39" s="4"/>
      <c r="U39" s="4"/>
      <c r="V39" s="4"/>
      <c r="W39" s="4"/>
      <c r="X39" s="4"/>
      <c r="Y39" s="4"/>
      <c r="Z39" s="4"/>
    </row>
    <row r="40" ht="14.25" customHeight="1" spans="1:26" x14ac:dyDescent="0.25">
      <c r="A40" s="4"/>
      <c r="B40" s="4"/>
      <c r="C40" s="4"/>
      <c r="D40" s="4"/>
      <c r="E40" s="4"/>
      <c r="F40" s="4"/>
      <c r="G40" s="4"/>
      <c r="H40" s="4"/>
      <c r="I40" s="4"/>
      <c r="J40" s="4"/>
      <c r="K40" s="4"/>
      <c r="L40" s="4"/>
      <c r="M40" s="4"/>
      <c r="N40" s="4"/>
      <c r="O40" s="4"/>
      <c r="P40" s="4"/>
      <c r="Q40" s="4"/>
      <c r="R40" s="4"/>
      <c r="S40" s="4"/>
      <c r="T40" s="4"/>
      <c r="U40" s="4"/>
      <c r="V40" s="4"/>
      <c r="W40" s="4"/>
      <c r="X40" s="4"/>
      <c r="Y40" s="4"/>
      <c r="Z40" s="4"/>
    </row>
    <row r="41" ht="14.25" customHeight="1" spans="1:26" x14ac:dyDescent="0.25">
      <c r="A41" s="4"/>
      <c r="B41" s="4"/>
      <c r="C41" s="4"/>
      <c r="D41" s="4"/>
      <c r="E41" s="4"/>
      <c r="F41" s="4"/>
      <c r="G41" s="4"/>
      <c r="H41" s="4"/>
      <c r="I41" s="4"/>
      <c r="J41" s="4"/>
      <c r="K41" s="4"/>
      <c r="L41" s="4"/>
      <c r="M41" s="4"/>
      <c r="N41" s="4"/>
      <c r="O41" s="4"/>
      <c r="P41" s="4"/>
      <c r="Q41" s="4"/>
      <c r="R41" s="4"/>
      <c r="S41" s="4"/>
      <c r="T41" s="4"/>
      <c r="U41" s="4"/>
      <c r="V41" s="4"/>
      <c r="W41" s="4"/>
      <c r="X41" s="4"/>
      <c r="Y41" s="4"/>
      <c r="Z41" s="4"/>
    </row>
    <row r="42" ht="14.25" customHeight="1" spans="1:26" x14ac:dyDescent="0.25">
      <c r="A42" s="4"/>
      <c r="B42" s="4"/>
      <c r="C42" s="4"/>
      <c r="D42" s="4"/>
      <c r="E42" s="4"/>
      <c r="F42" s="4"/>
      <c r="G42" s="4"/>
      <c r="H42" s="4"/>
      <c r="I42" s="4"/>
      <c r="J42" s="4"/>
      <c r="K42" s="4"/>
      <c r="L42" s="4"/>
      <c r="M42" s="4"/>
      <c r="N42" s="4"/>
      <c r="O42" s="4"/>
      <c r="P42" s="4"/>
      <c r="Q42" s="4"/>
      <c r="R42" s="4"/>
      <c r="S42" s="4"/>
      <c r="T42" s="4"/>
      <c r="U42" s="4"/>
      <c r="V42" s="4"/>
      <c r="W42" s="4"/>
      <c r="X42" s="4"/>
      <c r="Y42" s="4"/>
      <c r="Z42" s="4"/>
    </row>
    <row r="43" ht="14.25" customHeight="1" spans="1:26" x14ac:dyDescent="0.25">
      <c r="A43" s="4"/>
      <c r="B43" s="4"/>
      <c r="C43" s="4"/>
      <c r="D43" s="4"/>
      <c r="E43" s="4"/>
      <c r="F43" s="4"/>
      <c r="G43" s="4"/>
      <c r="H43" s="4"/>
      <c r="I43" s="4"/>
      <c r="J43" s="4"/>
      <c r="K43" s="4"/>
      <c r="L43" s="4"/>
      <c r="M43" s="4"/>
      <c r="N43" s="4"/>
      <c r="O43" s="4"/>
      <c r="P43" s="4"/>
      <c r="Q43" s="4"/>
      <c r="R43" s="4"/>
      <c r="S43" s="4"/>
      <c r="T43" s="4"/>
      <c r="U43" s="4"/>
      <c r="V43" s="4"/>
      <c r="W43" s="4"/>
      <c r="X43" s="4"/>
      <c r="Y43" s="4"/>
      <c r="Z43" s="4"/>
    </row>
    <row r="44" ht="14.25" customHeight="1" spans="1:26" x14ac:dyDescent="0.25">
      <c r="A44" s="4"/>
      <c r="B44" s="4"/>
      <c r="C44" s="4"/>
      <c r="D44" s="4"/>
      <c r="E44" s="4"/>
      <c r="F44" s="4"/>
      <c r="G44" s="4"/>
      <c r="H44" s="4"/>
      <c r="I44" s="4"/>
      <c r="J44" s="4"/>
      <c r="K44" s="4"/>
      <c r="L44" s="4"/>
      <c r="M44" s="4"/>
      <c r="N44" s="4"/>
      <c r="O44" s="4"/>
      <c r="P44" s="4"/>
      <c r="Q44" s="4"/>
      <c r="R44" s="4"/>
      <c r="S44" s="4"/>
      <c r="T44" s="4"/>
      <c r="U44" s="4"/>
      <c r="V44" s="4"/>
      <c r="W44" s="4"/>
      <c r="X44" s="4"/>
      <c r="Y44" s="4"/>
      <c r="Z44" s="4"/>
    </row>
    <row r="45" ht="14.25" customHeight="1" spans="1:26" x14ac:dyDescent="0.25">
      <c r="A45" s="4"/>
      <c r="B45" s="4"/>
      <c r="C45" s="4"/>
      <c r="D45" s="4"/>
      <c r="E45" s="4"/>
      <c r="F45" s="4"/>
      <c r="G45" s="4"/>
      <c r="H45" s="4"/>
      <c r="I45" s="4"/>
      <c r="J45" s="4"/>
      <c r="K45" s="4"/>
      <c r="L45" s="4"/>
      <c r="M45" s="4"/>
      <c r="N45" s="4"/>
      <c r="O45" s="4"/>
      <c r="P45" s="4"/>
      <c r="Q45" s="4"/>
      <c r="R45" s="4"/>
      <c r="S45" s="4"/>
      <c r="T45" s="4"/>
      <c r="U45" s="4"/>
      <c r="V45" s="4"/>
      <c r="W45" s="4"/>
      <c r="X45" s="4"/>
      <c r="Y45" s="4"/>
      <c r="Z45" s="4"/>
    </row>
    <row r="46" ht="14.25" customHeight="1" spans="1:26" x14ac:dyDescent="0.25">
      <c r="A46" s="4"/>
      <c r="B46" s="4"/>
      <c r="C46" s="4"/>
      <c r="D46" s="4"/>
      <c r="E46" s="4"/>
      <c r="F46" s="4"/>
      <c r="G46" s="4"/>
      <c r="H46" s="4"/>
      <c r="I46" s="4"/>
      <c r="J46" s="4"/>
      <c r="K46" s="4"/>
      <c r="L46" s="4"/>
      <c r="M46" s="4"/>
      <c r="N46" s="4"/>
      <c r="O46" s="4"/>
      <c r="P46" s="4"/>
      <c r="Q46" s="4"/>
      <c r="R46" s="4"/>
      <c r="S46" s="4"/>
      <c r="T46" s="4"/>
      <c r="U46" s="4"/>
      <c r="V46" s="4"/>
      <c r="W46" s="4"/>
      <c r="X46" s="4"/>
      <c r="Y46" s="4"/>
      <c r="Z46" s="4"/>
    </row>
    <row r="47" ht="14.25" customHeight="1" spans="1:26" x14ac:dyDescent="0.25">
      <c r="A47" s="4"/>
      <c r="B47" s="4"/>
      <c r="C47" s="4"/>
      <c r="D47" s="4"/>
      <c r="E47" s="4"/>
      <c r="F47" s="4"/>
      <c r="G47" s="4"/>
      <c r="H47" s="4"/>
      <c r="I47" s="4"/>
      <c r="J47" s="4"/>
      <c r="K47" s="4"/>
      <c r="L47" s="4"/>
      <c r="M47" s="4"/>
      <c r="N47" s="4"/>
      <c r="O47" s="4"/>
      <c r="P47" s="4"/>
      <c r="Q47" s="4"/>
      <c r="R47" s="4"/>
      <c r="S47" s="4"/>
      <c r="T47" s="4"/>
      <c r="U47" s="4"/>
      <c r="V47" s="4"/>
      <c r="W47" s="4"/>
      <c r="X47" s="4"/>
      <c r="Y47" s="4"/>
      <c r="Z47" s="4"/>
    </row>
    <row r="48" ht="14.25" customHeight="1" spans="1:26" x14ac:dyDescent="0.25">
      <c r="A48" s="4"/>
      <c r="B48" s="4"/>
      <c r="C48" s="4"/>
      <c r="D48" s="4"/>
      <c r="E48" s="4"/>
      <c r="F48" s="4"/>
      <c r="G48" s="4"/>
      <c r="H48" s="4"/>
      <c r="I48" s="4"/>
      <c r="J48" s="4"/>
      <c r="K48" s="4"/>
      <c r="L48" s="4"/>
      <c r="M48" s="4"/>
      <c r="N48" s="4"/>
      <c r="O48" s="4"/>
      <c r="P48" s="4"/>
      <c r="Q48" s="4"/>
      <c r="R48" s="4"/>
      <c r="S48" s="4"/>
      <c r="T48" s="4"/>
      <c r="U48" s="4"/>
      <c r="V48" s="4"/>
      <c r="W48" s="4"/>
      <c r="X48" s="4"/>
      <c r="Y48" s="4"/>
      <c r="Z48" s="4"/>
    </row>
    <row r="49" ht="14.25" customHeight="1" spans="1:26" x14ac:dyDescent="0.25">
      <c r="A49" s="4"/>
      <c r="B49" s="4"/>
      <c r="C49" s="4"/>
      <c r="D49" s="4"/>
      <c r="E49" s="4"/>
      <c r="F49" s="4"/>
      <c r="G49" s="4"/>
      <c r="H49" s="4"/>
      <c r="I49" s="4"/>
      <c r="J49" s="4"/>
      <c r="K49" s="4"/>
      <c r="L49" s="4"/>
      <c r="M49" s="4"/>
      <c r="N49" s="4"/>
      <c r="O49" s="4"/>
      <c r="P49" s="4"/>
      <c r="Q49" s="4"/>
      <c r="R49" s="4"/>
      <c r="S49" s="4"/>
      <c r="T49" s="4"/>
      <c r="U49" s="4"/>
      <c r="V49" s="4"/>
      <c r="W49" s="4"/>
      <c r="X49" s="4"/>
      <c r="Y49" s="4"/>
      <c r="Z49" s="4"/>
    </row>
    <row r="50" ht="14.25" customHeight="1" spans="1:26" x14ac:dyDescent="0.25">
      <c r="A50" s="4"/>
      <c r="B50" s="4"/>
      <c r="C50" s="4"/>
      <c r="D50" s="4"/>
      <c r="E50" s="4"/>
      <c r="F50" s="4"/>
      <c r="G50" s="4"/>
      <c r="H50" s="4"/>
      <c r="I50" s="4"/>
      <c r="J50" s="4"/>
      <c r="K50" s="4"/>
      <c r="L50" s="4"/>
      <c r="M50" s="4"/>
      <c r="N50" s="4"/>
      <c r="O50" s="4"/>
      <c r="P50" s="4"/>
      <c r="Q50" s="4"/>
      <c r="R50" s="4"/>
      <c r="S50" s="4"/>
      <c r="T50" s="4"/>
      <c r="U50" s="4"/>
      <c r="V50" s="4"/>
      <c r="W50" s="4"/>
      <c r="X50" s="4"/>
      <c r="Y50" s="4"/>
      <c r="Z50" s="4"/>
    </row>
    <row r="51" ht="14.25" customHeight="1" spans="1:26" x14ac:dyDescent="0.25">
      <c r="A51" s="4"/>
      <c r="B51" s="4"/>
      <c r="C51" s="4"/>
      <c r="D51" s="4"/>
      <c r="E51" s="4"/>
      <c r="F51" s="4"/>
      <c r="G51" s="4"/>
      <c r="H51" s="4"/>
      <c r="I51" s="4"/>
      <c r="J51" s="4"/>
      <c r="K51" s="4"/>
      <c r="L51" s="4"/>
      <c r="M51" s="4"/>
      <c r="N51" s="4"/>
      <c r="O51" s="4"/>
      <c r="P51" s="4"/>
      <c r="Q51" s="4"/>
      <c r="R51" s="4"/>
      <c r="S51" s="4"/>
      <c r="T51" s="4"/>
      <c r="U51" s="4"/>
      <c r="V51" s="4"/>
      <c r="W51" s="4"/>
      <c r="X51" s="4"/>
      <c r="Y51" s="4"/>
      <c r="Z51" s="4"/>
    </row>
    <row r="52" ht="14.25" customHeight="1" spans="1:26" x14ac:dyDescent="0.25">
      <c r="A52" s="4"/>
      <c r="B52" s="4"/>
      <c r="C52" s="4"/>
      <c r="D52" s="4"/>
      <c r="E52" s="4"/>
      <c r="F52" s="4"/>
      <c r="G52" s="4"/>
      <c r="H52" s="4"/>
      <c r="I52" s="4"/>
      <c r="J52" s="4"/>
      <c r="K52" s="4"/>
      <c r="L52" s="4"/>
      <c r="M52" s="4"/>
      <c r="N52" s="4"/>
      <c r="O52" s="4"/>
      <c r="P52" s="4"/>
      <c r="Q52" s="4"/>
      <c r="R52" s="4"/>
      <c r="S52" s="4"/>
      <c r="T52" s="4"/>
      <c r="U52" s="4"/>
      <c r="V52" s="4"/>
      <c r="W52" s="4"/>
      <c r="X52" s="4"/>
      <c r="Y52" s="4"/>
      <c r="Z52" s="4"/>
    </row>
    <row r="53" ht="14.25" customHeight="1" spans="1:26" x14ac:dyDescent="0.25">
      <c r="A53" s="4"/>
      <c r="B53" s="4"/>
      <c r="C53" s="4"/>
      <c r="D53" s="4"/>
      <c r="E53" s="4"/>
      <c r="F53" s="4"/>
      <c r="G53" s="4"/>
      <c r="H53" s="4"/>
      <c r="I53" s="4"/>
      <c r="J53" s="4"/>
      <c r="K53" s="4"/>
      <c r="L53" s="4"/>
      <c r="M53" s="4"/>
      <c r="N53" s="4"/>
      <c r="O53" s="4"/>
      <c r="P53" s="4"/>
      <c r="Q53" s="4"/>
      <c r="R53" s="4"/>
      <c r="S53" s="4"/>
      <c r="T53" s="4"/>
      <c r="U53" s="4"/>
      <c r="V53" s="4"/>
      <c r="W53" s="4"/>
      <c r="X53" s="4"/>
      <c r="Y53" s="4"/>
      <c r="Z53" s="4"/>
    </row>
    <row r="54" ht="14.25" customHeight="1" spans="1:26" x14ac:dyDescent="0.25">
      <c r="A54" s="4"/>
      <c r="B54" s="4"/>
      <c r="C54" s="4"/>
      <c r="D54" s="4"/>
      <c r="E54" s="4"/>
      <c r="F54" s="4"/>
      <c r="G54" s="4"/>
      <c r="H54" s="4"/>
      <c r="I54" s="4"/>
      <c r="J54" s="4"/>
      <c r="K54" s="4"/>
      <c r="L54" s="4"/>
      <c r="M54" s="4"/>
      <c r="N54" s="4"/>
      <c r="O54" s="4"/>
      <c r="P54" s="4"/>
      <c r="Q54" s="4"/>
      <c r="R54" s="4"/>
      <c r="S54" s="4"/>
      <c r="T54" s="4"/>
      <c r="U54" s="4"/>
      <c r="V54" s="4"/>
      <c r="W54" s="4"/>
      <c r="X54" s="4"/>
      <c r="Y54" s="4"/>
      <c r="Z54" s="4"/>
    </row>
    <row r="55" ht="14.25" customHeight="1" spans="1:26" x14ac:dyDescent="0.25">
      <c r="A55" s="4"/>
      <c r="B55" s="4"/>
      <c r="C55" s="4"/>
      <c r="D55" s="4"/>
      <c r="E55" s="4"/>
      <c r="F55" s="4"/>
      <c r="G55" s="4"/>
      <c r="H55" s="4"/>
      <c r="I55" s="4"/>
      <c r="J55" s="4"/>
      <c r="K55" s="4"/>
      <c r="L55" s="4"/>
      <c r="M55" s="4"/>
      <c r="N55" s="4"/>
      <c r="O55" s="4"/>
      <c r="P55" s="4"/>
      <c r="Q55" s="4"/>
      <c r="R55" s="4"/>
      <c r="S55" s="4"/>
      <c r="T55" s="4"/>
      <c r="U55" s="4"/>
      <c r="V55" s="4"/>
      <c r="W55" s="4"/>
      <c r="X55" s="4"/>
      <c r="Y55" s="4"/>
      <c r="Z55" s="4"/>
    </row>
    <row r="56" ht="14.25" customHeight="1" spans="1:26" x14ac:dyDescent="0.25">
      <c r="A56" s="4"/>
      <c r="B56" s="4"/>
      <c r="C56" s="4"/>
      <c r="D56" s="4"/>
      <c r="E56" s="4"/>
      <c r="F56" s="4"/>
      <c r="G56" s="4"/>
      <c r="H56" s="4"/>
      <c r="I56" s="4"/>
      <c r="J56" s="4"/>
      <c r="K56" s="4"/>
      <c r="L56" s="4"/>
      <c r="M56" s="4"/>
      <c r="N56" s="4"/>
      <c r="O56" s="4"/>
      <c r="P56" s="4"/>
      <c r="Q56" s="4"/>
      <c r="R56" s="4"/>
      <c r="S56" s="4"/>
      <c r="T56" s="4"/>
      <c r="U56" s="4"/>
      <c r="V56" s="4"/>
      <c r="W56" s="4"/>
      <c r="X56" s="4"/>
      <c r="Y56" s="4"/>
      <c r="Z56" s="4"/>
    </row>
    <row r="57" ht="14.25" customHeight="1" spans="1:26" x14ac:dyDescent="0.25">
      <c r="A57" s="4"/>
      <c r="B57" s="4"/>
      <c r="C57" s="4"/>
      <c r="D57" s="4"/>
      <c r="E57" s="4"/>
      <c r="F57" s="4"/>
      <c r="G57" s="4"/>
      <c r="H57" s="4"/>
      <c r="I57" s="4"/>
      <c r="J57" s="4"/>
      <c r="K57" s="4"/>
      <c r="L57" s="4"/>
      <c r="M57" s="4"/>
      <c r="N57" s="4"/>
      <c r="O57" s="4"/>
      <c r="P57" s="4"/>
      <c r="Q57" s="4"/>
      <c r="R57" s="4"/>
      <c r="S57" s="4"/>
      <c r="T57" s="4"/>
      <c r="U57" s="4"/>
      <c r="V57" s="4"/>
      <c r="W57" s="4"/>
      <c r="X57" s="4"/>
      <c r="Y57" s="4"/>
      <c r="Z57" s="4"/>
    </row>
    <row r="58" ht="14.25" customHeight="1" spans="1:26" x14ac:dyDescent="0.25">
      <c r="A58" s="4"/>
      <c r="B58" s="4"/>
      <c r="C58" s="4"/>
      <c r="D58" s="4"/>
      <c r="E58" s="4"/>
      <c r="F58" s="4"/>
      <c r="G58" s="4"/>
      <c r="H58" s="4"/>
      <c r="I58" s="4"/>
      <c r="J58" s="4"/>
      <c r="K58" s="4"/>
      <c r="L58" s="4"/>
      <c r="M58" s="4"/>
      <c r="N58" s="4"/>
      <c r="O58" s="4"/>
      <c r="P58" s="4"/>
      <c r="Q58" s="4"/>
      <c r="R58" s="4"/>
      <c r="S58" s="4"/>
      <c r="T58" s="4"/>
      <c r="U58" s="4"/>
      <c r="V58" s="4"/>
      <c r="W58" s="4"/>
      <c r="X58" s="4"/>
      <c r="Y58" s="4"/>
      <c r="Z58" s="4"/>
    </row>
    <row r="59" ht="14.25" customHeight="1" spans="1:26" x14ac:dyDescent="0.25">
      <c r="A59" s="4"/>
      <c r="B59" s="4"/>
      <c r="C59" s="4"/>
      <c r="D59" s="4"/>
      <c r="E59" s="4"/>
      <c r="F59" s="4"/>
      <c r="G59" s="4"/>
      <c r="H59" s="4"/>
      <c r="I59" s="4"/>
      <c r="J59" s="4"/>
      <c r="K59" s="4"/>
      <c r="L59" s="4"/>
      <c r="M59" s="4"/>
      <c r="N59" s="4"/>
      <c r="O59" s="4"/>
      <c r="P59" s="4"/>
      <c r="Q59" s="4"/>
      <c r="R59" s="4"/>
      <c r="S59" s="4"/>
      <c r="T59" s="4"/>
      <c r="U59" s="4"/>
      <c r="V59" s="4"/>
      <c r="W59" s="4"/>
      <c r="X59" s="4"/>
      <c r="Y59" s="4"/>
      <c r="Z59" s="4"/>
    </row>
    <row r="60" ht="14.25" customHeight="1" spans="1:26" x14ac:dyDescent="0.25">
      <c r="A60" s="4"/>
      <c r="B60" s="4"/>
      <c r="C60" s="4"/>
      <c r="D60" s="4"/>
      <c r="E60" s="4"/>
      <c r="F60" s="4"/>
      <c r="G60" s="4"/>
      <c r="H60" s="4"/>
      <c r="I60" s="4"/>
      <c r="J60" s="4"/>
      <c r="K60" s="4"/>
      <c r="L60" s="4"/>
      <c r="M60" s="4"/>
      <c r="N60" s="4"/>
      <c r="O60" s="4"/>
      <c r="P60" s="4"/>
      <c r="Q60" s="4"/>
      <c r="R60" s="4"/>
      <c r="S60" s="4"/>
      <c r="T60" s="4"/>
      <c r="U60" s="4"/>
      <c r="V60" s="4"/>
      <c r="W60" s="4"/>
      <c r="X60" s="4"/>
      <c r="Y60" s="4"/>
      <c r="Z60" s="4"/>
    </row>
    <row r="61" ht="14.25" customHeight="1" spans="1:26" x14ac:dyDescent="0.25">
      <c r="A61" s="4"/>
      <c r="B61" s="4"/>
      <c r="C61" s="4"/>
      <c r="D61" s="4"/>
      <c r="E61" s="4"/>
      <c r="F61" s="4"/>
      <c r="G61" s="4"/>
      <c r="H61" s="4"/>
      <c r="I61" s="4"/>
      <c r="J61" s="4"/>
      <c r="K61" s="4"/>
      <c r="L61" s="4"/>
      <c r="M61" s="4"/>
      <c r="N61" s="4"/>
      <c r="O61" s="4"/>
      <c r="P61" s="4"/>
      <c r="Q61" s="4"/>
      <c r="R61" s="4"/>
      <c r="S61" s="4"/>
      <c r="T61" s="4"/>
      <c r="U61" s="4"/>
      <c r="V61" s="4"/>
      <c r="W61" s="4"/>
      <c r="X61" s="4"/>
      <c r="Y61" s="4"/>
      <c r="Z61" s="4"/>
    </row>
    <row r="62" ht="14.25" customHeight="1" spans="1:26" x14ac:dyDescent="0.25">
      <c r="A62" s="4"/>
      <c r="B62" s="4"/>
      <c r="C62" s="4"/>
      <c r="D62" s="4"/>
      <c r="E62" s="4"/>
      <c r="F62" s="4"/>
      <c r="G62" s="4"/>
      <c r="H62" s="4"/>
      <c r="I62" s="4"/>
      <c r="J62" s="4"/>
      <c r="K62" s="4"/>
      <c r="L62" s="4"/>
      <c r="M62" s="4"/>
      <c r="N62" s="4"/>
      <c r="O62" s="4"/>
      <c r="P62" s="4"/>
      <c r="Q62" s="4"/>
      <c r="R62" s="4"/>
      <c r="S62" s="4"/>
      <c r="T62" s="4"/>
      <c r="U62" s="4"/>
      <c r="V62" s="4"/>
      <c r="W62" s="4"/>
      <c r="X62" s="4"/>
      <c r="Y62" s="4"/>
      <c r="Z62" s="4"/>
    </row>
    <row r="63" ht="14.25" customHeight="1" spans="1:26" x14ac:dyDescent="0.25">
      <c r="A63" s="4"/>
      <c r="B63" s="4"/>
      <c r="C63" s="4"/>
      <c r="D63" s="4"/>
      <c r="E63" s="4"/>
      <c r="F63" s="4"/>
      <c r="G63" s="4"/>
      <c r="H63" s="4"/>
      <c r="I63" s="4"/>
      <c r="J63" s="4"/>
      <c r="K63" s="4"/>
      <c r="L63" s="4"/>
      <c r="M63" s="4"/>
      <c r="N63" s="4"/>
      <c r="O63" s="4"/>
      <c r="P63" s="4"/>
      <c r="Q63" s="4"/>
      <c r="R63" s="4"/>
      <c r="S63" s="4"/>
      <c r="T63" s="4"/>
      <c r="U63" s="4"/>
      <c r="V63" s="4"/>
      <c r="W63" s="4"/>
      <c r="X63" s="4"/>
      <c r="Y63" s="4"/>
      <c r="Z63" s="4"/>
    </row>
    <row r="64" ht="14.25" customHeight="1" spans="1:26" x14ac:dyDescent="0.25">
      <c r="A64" s="4"/>
      <c r="B64" s="4"/>
      <c r="C64" s="4"/>
      <c r="D64" s="4"/>
      <c r="E64" s="4"/>
      <c r="F64" s="4"/>
      <c r="G64" s="4"/>
      <c r="H64" s="4"/>
      <c r="I64" s="4"/>
      <c r="J64" s="4"/>
      <c r="K64" s="4"/>
      <c r="L64" s="4"/>
      <c r="M64" s="4"/>
      <c r="N64" s="4"/>
      <c r="O64" s="4"/>
      <c r="P64" s="4"/>
      <c r="Q64" s="4"/>
      <c r="R64" s="4"/>
      <c r="S64" s="4"/>
      <c r="T64" s="4"/>
      <c r="U64" s="4"/>
      <c r="V64" s="4"/>
      <c r="W64" s="4"/>
      <c r="X64" s="4"/>
      <c r="Y64" s="4"/>
      <c r="Z64" s="4"/>
    </row>
    <row r="65" ht="14.25" customHeight="1" spans="1:26" x14ac:dyDescent="0.25">
      <c r="A65" s="4"/>
      <c r="B65" s="4"/>
      <c r="C65" s="4"/>
      <c r="D65" s="4"/>
      <c r="E65" s="4"/>
      <c r="F65" s="4"/>
      <c r="G65" s="4"/>
      <c r="H65" s="4"/>
      <c r="I65" s="4"/>
      <c r="J65" s="4"/>
      <c r="K65" s="4"/>
      <c r="L65" s="4"/>
      <c r="M65" s="4"/>
      <c r="N65" s="4"/>
      <c r="O65" s="4"/>
      <c r="P65" s="4"/>
      <c r="Q65" s="4"/>
      <c r="R65" s="4"/>
      <c r="S65" s="4"/>
      <c r="T65" s="4"/>
      <c r="U65" s="4"/>
      <c r="V65" s="4"/>
      <c r="W65" s="4"/>
      <c r="X65" s="4"/>
      <c r="Y65" s="4"/>
      <c r="Z65" s="4"/>
    </row>
    <row r="66" ht="14.25" customHeight="1" spans="1:26" x14ac:dyDescent="0.25">
      <c r="A66" s="4"/>
      <c r="B66" s="4"/>
      <c r="C66" s="4"/>
      <c r="D66" s="4"/>
      <c r="E66" s="4"/>
      <c r="F66" s="4"/>
      <c r="G66" s="4"/>
      <c r="H66" s="4"/>
      <c r="I66" s="4"/>
      <c r="J66" s="4"/>
      <c r="K66" s="4"/>
      <c r="L66" s="4"/>
      <c r="M66" s="4"/>
      <c r="N66" s="4"/>
      <c r="O66" s="4"/>
      <c r="P66" s="4"/>
      <c r="Q66" s="4"/>
      <c r="R66" s="4"/>
      <c r="S66" s="4"/>
      <c r="T66" s="4"/>
      <c r="U66" s="4"/>
      <c r="V66" s="4"/>
      <c r="W66" s="4"/>
      <c r="X66" s="4"/>
      <c r="Y66" s="4"/>
      <c r="Z66" s="4"/>
    </row>
    <row r="67" ht="14.25" customHeight="1" spans="1:26" x14ac:dyDescent="0.25">
      <c r="A67" s="4"/>
      <c r="B67" s="4"/>
      <c r="C67" s="4"/>
      <c r="D67" s="4"/>
      <c r="E67" s="4"/>
      <c r="F67" s="4"/>
      <c r="G67" s="4"/>
      <c r="H67" s="4"/>
      <c r="I67" s="4"/>
      <c r="J67" s="4"/>
      <c r="K67" s="4"/>
      <c r="L67" s="4"/>
      <c r="M67" s="4"/>
      <c r="N67" s="4"/>
      <c r="O67" s="4"/>
      <c r="P67" s="4"/>
      <c r="Q67" s="4"/>
      <c r="R67" s="4"/>
      <c r="S67" s="4"/>
      <c r="T67" s="4"/>
      <c r="U67" s="4"/>
      <c r="V67" s="4"/>
      <c r="W67" s="4"/>
      <c r="X67" s="4"/>
      <c r="Y67" s="4"/>
      <c r="Z67" s="4"/>
    </row>
    <row r="68" ht="14.25" customHeight="1" spans="1:26" x14ac:dyDescent="0.25">
      <c r="A68" s="4"/>
      <c r="B68" s="4"/>
      <c r="C68" s="4"/>
      <c r="D68" s="4"/>
      <c r="E68" s="4"/>
      <c r="F68" s="4"/>
      <c r="G68" s="4"/>
      <c r="H68" s="4"/>
      <c r="I68" s="4"/>
      <c r="J68" s="4"/>
      <c r="K68" s="4"/>
      <c r="L68" s="4"/>
      <c r="M68" s="4"/>
      <c r="N68" s="4"/>
      <c r="O68" s="4"/>
      <c r="P68" s="4"/>
      <c r="Q68" s="4"/>
      <c r="R68" s="4"/>
      <c r="S68" s="4"/>
      <c r="T68" s="4"/>
      <c r="U68" s="4"/>
      <c r="V68" s="4"/>
      <c r="W68" s="4"/>
      <c r="X68" s="4"/>
      <c r="Y68" s="4"/>
      <c r="Z68" s="4"/>
    </row>
    <row r="69" ht="14.25" customHeight="1" spans="1:26" x14ac:dyDescent="0.25">
      <c r="A69" s="4"/>
      <c r="B69" s="4"/>
      <c r="C69" s="4"/>
      <c r="D69" s="4"/>
      <c r="E69" s="4"/>
      <c r="F69" s="4"/>
      <c r="G69" s="4"/>
      <c r="H69" s="4"/>
      <c r="I69" s="4"/>
      <c r="J69" s="4"/>
      <c r="K69" s="4"/>
      <c r="L69" s="4"/>
      <c r="M69" s="4"/>
      <c r="N69" s="4"/>
      <c r="O69" s="4"/>
      <c r="P69" s="4"/>
      <c r="Q69" s="4"/>
      <c r="R69" s="4"/>
      <c r="S69" s="4"/>
      <c r="T69" s="4"/>
      <c r="U69" s="4"/>
      <c r="V69" s="4"/>
      <c r="W69" s="4"/>
      <c r="X69" s="4"/>
      <c r="Y69" s="4"/>
      <c r="Z69" s="4"/>
    </row>
    <row r="70" ht="14.25" customHeight="1" spans="1:26" x14ac:dyDescent="0.25">
      <c r="A70" s="4"/>
      <c r="B70" s="4"/>
      <c r="C70" s="4"/>
      <c r="D70" s="4"/>
      <c r="E70" s="4"/>
      <c r="F70" s="4"/>
      <c r="G70" s="4"/>
      <c r="H70" s="4"/>
      <c r="I70" s="4"/>
      <c r="J70" s="4"/>
      <c r="K70" s="4"/>
      <c r="L70" s="4"/>
      <c r="M70" s="4"/>
      <c r="N70" s="4"/>
      <c r="O70" s="4"/>
      <c r="P70" s="4"/>
      <c r="Q70" s="4"/>
      <c r="R70" s="4"/>
      <c r="S70" s="4"/>
      <c r="T70" s="4"/>
      <c r="U70" s="4"/>
      <c r="V70" s="4"/>
      <c r="W70" s="4"/>
      <c r="X70" s="4"/>
      <c r="Y70" s="4"/>
      <c r="Z70" s="4"/>
    </row>
    <row r="71" ht="14.25" customHeight="1" spans="1:26" x14ac:dyDescent="0.25">
      <c r="A71" s="4"/>
      <c r="B71" s="4"/>
      <c r="C71" s="4"/>
      <c r="D71" s="4"/>
      <c r="E71" s="4"/>
      <c r="F71" s="4"/>
      <c r="G71" s="4"/>
      <c r="H71" s="4"/>
      <c r="I71" s="4"/>
      <c r="J71" s="4"/>
      <c r="K71" s="4"/>
      <c r="L71" s="4"/>
      <c r="M71" s="4"/>
      <c r="N71" s="4"/>
      <c r="O71" s="4"/>
      <c r="P71" s="4"/>
      <c r="Q71" s="4"/>
      <c r="R71" s="4"/>
      <c r="S71" s="4"/>
      <c r="T71" s="4"/>
      <c r="U71" s="4"/>
      <c r="V71" s="4"/>
      <c r="W71" s="4"/>
      <c r="X71" s="4"/>
      <c r="Y71" s="4"/>
      <c r="Z71" s="4"/>
    </row>
    <row r="72" ht="14.25" customHeight="1" spans="1:26" x14ac:dyDescent="0.25">
      <c r="A72" s="4"/>
      <c r="B72" s="4"/>
      <c r="C72" s="4"/>
      <c r="D72" s="4"/>
      <c r="E72" s="4"/>
      <c r="F72" s="4"/>
      <c r="G72" s="4"/>
      <c r="H72" s="4"/>
      <c r="I72" s="4"/>
      <c r="J72" s="4"/>
      <c r="K72" s="4"/>
      <c r="L72" s="4"/>
      <c r="M72" s="4"/>
      <c r="N72" s="4"/>
      <c r="O72" s="4"/>
      <c r="P72" s="4"/>
      <c r="Q72" s="4"/>
      <c r="R72" s="4"/>
      <c r="S72" s="4"/>
      <c r="T72" s="4"/>
      <c r="U72" s="4"/>
      <c r="V72" s="4"/>
      <c r="W72" s="4"/>
      <c r="X72" s="4"/>
      <c r="Y72" s="4"/>
      <c r="Z72" s="4"/>
    </row>
    <row r="73" ht="14.25" customHeight="1" spans="1:26" x14ac:dyDescent="0.25">
      <c r="A73" s="4"/>
      <c r="B73" s="4"/>
      <c r="C73" s="4"/>
      <c r="D73" s="4"/>
      <c r="E73" s="4"/>
      <c r="F73" s="4"/>
      <c r="G73" s="4"/>
      <c r="H73" s="4"/>
      <c r="I73" s="4"/>
      <c r="J73" s="4"/>
      <c r="K73" s="4"/>
      <c r="L73" s="4"/>
      <c r="M73" s="4"/>
      <c r="N73" s="4"/>
      <c r="O73" s="4"/>
      <c r="P73" s="4"/>
      <c r="Q73" s="4"/>
      <c r="R73" s="4"/>
      <c r="S73" s="4"/>
      <c r="T73" s="4"/>
      <c r="U73" s="4"/>
      <c r="V73" s="4"/>
      <c r="W73" s="4"/>
      <c r="X73" s="4"/>
      <c r="Y73" s="4"/>
      <c r="Z73" s="4"/>
    </row>
    <row r="74" ht="14.25" customHeight="1" spans="1:26" x14ac:dyDescent="0.25">
      <c r="A74" s="4"/>
      <c r="B74" s="4"/>
      <c r="C74" s="4"/>
      <c r="D74" s="4"/>
      <c r="E74" s="4"/>
      <c r="F74" s="4"/>
      <c r="G74" s="4"/>
      <c r="H74" s="4"/>
      <c r="I74" s="4"/>
      <c r="J74" s="4"/>
      <c r="K74" s="4"/>
      <c r="L74" s="4"/>
      <c r="M74" s="4"/>
      <c r="N74" s="4"/>
      <c r="O74" s="4"/>
      <c r="P74" s="4"/>
      <c r="Q74" s="4"/>
      <c r="R74" s="4"/>
      <c r="S74" s="4"/>
      <c r="T74" s="4"/>
      <c r="U74" s="4"/>
      <c r="V74" s="4"/>
      <c r="W74" s="4"/>
      <c r="X74" s="4"/>
      <c r="Y74" s="4"/>
      <c r="Z74" s="4"/>
    </row>
    <row r="75" ht="14.25" customHeight="1" spans="1:26" x14ac:dyDescent="0.25">
      <c r="A75" s="4"/>
      <c r="B75" s="4"/>
      <c r="C75" s="4"/>
      <c r="D75" s="4"/>
      <c r="E75" s="4"/>
      <c r="F75" s="4"/>
      <c r="G75" s="4"/>
      <c r="H75" s="4"/>
      <c r="I75" s="4"/>
      <c r="J75" s="4"/>
      <c r="K75" s="4"/>
      <c r="L75" s="4"/>
      <c r="M75" s="4"/>
      <c r="N75" s="4"/>
      <c r="O75" s="4"/>
      <c r="P75" s="4"/>
      <c r="Q75" s="4"/>
      <c r="R75" s="4"/>
      <c r="S75" s="4"/>
      <c r="T75" s="4"/>
      <c r="U75" s="4"/>
      <c r="V75" s="4"/>
      <c r="W75" s="4"/>
      <c r="X75" s="4"/>
      <c r="Y75" s="4"/>
      <c r="Z75" s="4"/>
    </row>
    <row r="76" ht="14.25" customHeight="1" spans="1:26" x14ac:dyDescent="0.25">
      <c r="A76" s="4"/>
      <c r="B76" s="4"/>
      <c r="C76" s="4"/>
      <c r="D76" s="4"/>
      <c r="E76" s="4"/>
      <c r="F76" s="4"/>
      <c r="G76" s="4"/>
      <c r="H76" s="4"/>
      <c r="I76" s="4"/>
      <c r="J76" s="4"/>
      <c r="K76" s="4"/>
      <c r="L76" s="4"/>
      <c r="M76" s="4"/>
      <c r="N76" s="4"/>
      <c r="O76" s="4"/>
      <c r="P76" s="4"/>
      <c r="Q76" s="4"/>
      <c r="R76" s="4"/>
      <c r="S76" s="4"/>
      <c r="T76" s="4"/>
      <c r="U76" s="4"/>
      <c r="V76" s="4"/>
      <c r="W76" s="4"/>
      <c r="X76" s="4"/>
      <c r="Y76" s="4"/>
      <c r="Z76" s="4"/>
    </row>
    <row r="77" ht="14.25" customHeight="1" spans="1:26" x14ac:dyDescent="0.25">
      <c r="A77" s="4"/>
      <c r="B77" s="4"/>
      <c r="C77" s="4"/>
      <c r="D77" s="4"/>
      <c r="E77" s="4"/>
      <c r="F77" s="4"/>
      <c r="G77" s="4"/>
      <c r="H77" s="4"/>
      <c r="I77" s="4"/>
      <c r="J77" s="4"/>
      <c r="K77" s="4"/>
      <c r="L77" s="4"/>
      <c r="M77" s="4"/>
      <c r="N77" s="4"/>
      <c r="O77" s="4"/>
      <c r="P77" s="4"/>
      <c r="Q77" s="4"/>
      <c r="R77" s="4"/>
      <c r="S77" s="4"/>
      <c r="T77" s="4"/>
      <c r="U77" s="4"/>
      <c r="V77" s="4"/>
      <c r="W77" s="4"/>
      <c r="X77" s="4"/>
      <c r="Y77" s="4"/>
      <c r="Z77" s="4"/>
    </row>
    <row r="78" ht="14.25" customHeight="1" spans="1:26" x14ac:dyDescent="0.25">
      <c r="A78" s="4"/>
      <c r="B78" s="4"/>
      <c r="C78" s="4"/>
      <c r="D78" s="4"/>
      <c r="E78" s="4"/>
      <c r="F78" s="4"/>
      <c r="G78" s="4"/>
      <c r="H78" s="4"/>
      <c r="I78" s="4"/>
      <c r="J78" s="4"/>
      <c r="K78" s="4"/>
      <c r="L78" s="4"/>
      <c r="M78" s="4"/>
      <c r="N78" s="4"/>
      <c r="O78" s="4"/>
      <c r="P78" s="4"/>
      <c r="Q78" s="4"/>
      <c r="R78" s="4"/>
      <c r="S78" s="4"/>
      <c r="T78" s="4"/>
      <c r="U78" s="4"/>
      <c r="V78" s="4"/>
      <c r="W78" s="4"/>
      <c r="X78" s="4"/>
      <c r="Y78" s="4"/>
      <c r="Z78" s="4"/>
    </row>
    <row r="79" ht="14.25" customHeight="1" spans="1:26" x14ac:dyDescent="0.25">
      <c r="A79" s="4"/>
      <c r="B79" s="4"/>
      <c r="C79" s="4"/>
      <c r="D79" s="4"/>
      <c r="E79" s="4"/>
      <c r="F79" s="4"/>
      <c r="G79" s="4"/>
      <c r="H79" s="4"/>
      <c r="I79" s="4"/>
      <c r="J79" s="4"/>
      <c r="K79" s="4"/>
      <c r="L79" s="4"/>
      <c r="M79" s="4"/>
      <c r="N79" s="4"/>
      <c r="O79" s="4"/>
      <c r="P79" s="4"/>
      <c r="Q79" s="4"/>
      <c r="R79" s="4"/>
      <c r="S79" s="4"/>
      <c r="T79" s="4"/>
      <c r="U79" s="4"/>
      <c r="V79" s="4"/>
      <c r="W79" s="4"/>
      <c r="X79" s="4"/>
      <c r="Y79" s="4"/>
      <c r="Z79" s="4"/>
    </row>
    <row r="80" ht="14.25" customHeight="1" spans="1:26" x14ac:dyDescent="0.25">
      <c r="A80" s="4"/>
      <c r="B80" s="4"/>
      <c r="C80" s="4"/>
      <c r="D80" s="4"/>
      <c r="E80" s="4"/>
      <c r="F80" s="4"/>
      <c r="G80" s="4"/>
      <c r="H80" s="4"/>
      <c r="I80" s="4"/>
      <c r="J80" s="4"/>
      <c r="K80" s="4"/>
      <c r="L80" s="4"/>
      <c r="M80" s="4"/>
      <c r="N80" s="4"/>
      <c r="O80" s="4"/>
      <c r="P80" s="4"/>
      <c r="Q80" s="4"/>
      <c r="R80" s="4"/>
      <c r="S80" s="4"/>
      <c r="T80" s="4"/>
      <c r="U80" s="4"/>
      <c r="V80" s="4"/>
      <c r="W80" s="4"/>
      <c r="X80" s="4"/>
      <c r="Y80" s="4"/>
      <c r="Z80" s="4"/>
    </row>
    <row r="81" ht="14.25" customHeight="1" spans="1:26" x14ac:dyDescent="0.25">
      <c r="A81" s="4"/>
      <c r="B81" s="4"/>
      <c r="C81" s="4"/>
      <c r="D81" s="4"/>
      <c r="E81" s="4"/>
      <c r="F81" s="4"/>
      <c r="G81" s="4"/>
      <c r="H81" s="4"/>
      <c r="I81" s="4"/>
      <c r="J81" s="4"/>
      <c r="K81" s="4"/>
      <c r="L81" s="4"/>
      <c r="M81" s="4"/>
      <c r="N81" s="4"/>
      <c r="O81" s="4"/>
      <c r="P81" s="4"/>
      <c r="Q81" s="4"/>
      <c r="R81" s="4"/>
      <c r="S81" s="4"/>
      <c r="T81" s="4"/>
      <c r="U81" s="4"/>
      <c r="V81" s="4"/>
      <c r="W81" s="4"/>
      <c r="X81" s="4"/>
      <c r="Y81" s="4"/>
      <c r="Z81" s="4"/>
    </row>
    <row r="82" ht="14.25" customHeight="1" spans="1:26" x14ac:dyDescent="0.25">
      <c r="A82" s="4"/>
      <c r="B82" s="4"/>
      <c r="C82" s="4"/>
      <c r="D82" s="4"/>
      <c r="E82" s="4"/>
      <c r="F82" s="4"/>
      <c r="G82" s="4"/>
      <c r="H82" s="4"/>
      <c r="I82" s="4"/>
      <c r="J82" s="4"/>
      <c r="K82" s="4"/>
      <c r="L82" s="4"/>
      <c r="M82" s="4"/>
      <c r="N82" s="4"/>
      <c r="O82" s="4"/>
      <c r="P82" s="4"/>
      <c r="Q82" s="4"/>
      <c r="R82" s="4"/>
      <c r="S82" s="4"/>
      <c r="T82" s="4"/>
      <c r="U82" s="4"/>
      <c r="V82" s="4"/>
      <c r="W82" s="4"/>
      <c r="X82" s="4"/>
      <c r="Y82" s="4"/>
      <c r="Z82" s="4"/>
    </row>
    <row r="83" ht="14.25" customHeight="1" spans="1:26" x14ac:dyDescent="0.25">
      <c r="A83" s="4"/>
      <c r="B83" s="4"/>
      <c r="C83" s="4"/>
      <c r="D83" s="4"/>
      <c r="E83" s="4"/>
      <c r="F83" s="4"/>
      <c r="G83" s="4"/>
      <c r="H83" s="4"/>
      <c r="I83" s="4"/>
      <c r="J83" s="4"/>
      <c r="K83" s="4"/>
      <c r="L83" s="4"/>
      <c r="M83" s="4"/>
      <c r="N83" s="4"/>
      <c r="O83" s="4"/>
      <c r="P83" s="4"/>
      <c r="Q83" s="4"/>
      <c r="R83" s="4"/>
      <c r="S83" s="4"/>
      <c r="T83" s="4"/>
      <c r="U83" s="4"/>
      <c r="V83" s="4"/>
      <c r="W83" s="4"/>
      <c r="X83" s="4"/>
      <c r="Y83" s="4"/>
      <c r="Z83" s="4"/>
    </row>
    <row r="84" ht="14.25" customHeight="1" spans="1:26" x14ac:dyDescent="0.25">
      <c r="A84" s="4"/>
      <c r="B84" s="4"/>
      <c r="C84" s="4"/>
      <c r="D84" s="4"/>
      <c r="E84" s="4"/>
      <c r="F84" s="4"/>
      <c r="G84" s="4"/>
      <c r="H84" s="4"/>
      <c r="I84" s="4"/>
      <c r="J84" s="4"/>
      <c r="K84" s="4"/>
      <c r="L84" s="4"/>
      <c r="M84" s="4"/>
      <c r="N84" s="4"/>
      <c r="O84" s="4"/>
      <c r="P84" s="4"/>
      <c r="Q84" s="4"/>
      <c r="R84" s="4"/>
      <c r="S84" s="4"/>
      <c r="T84" s="4"/>
      <c r="U84" s="4"/>
      <c r="V84" s="4"/>
      <c r="W84" s="4"/>
      <c r="X84" s="4"/>
      <c r="Y84" s="4"/>
      <c r="Z84" s="4"/>
    </row>
    <row r="85" ht="14.25" customHeight="1" spans="1:26" x14ac:dyDescent="0.25">
      <c r="A85" s="4"/>
      <c r="B85" s="4"/>
      <c r="C85" s="4"/>
      <c r="D85" s="4"/>
      <c r="E85" s="4"/>
      <c r="F85" s="4"/>
      <c r="G85" s="4"/>
      <c r="H85" s="4"/>
      <c r="I85" s="4"/>
      <c r="J85" s="4"/>
      <c r="K85" s="4"/>
      <c r="L85" s="4"/>
      <c r="M85" s="4"/>
      <c r="N85" s="4"/>
      <c r="O85" s="4"/>
      <c r="P85" s="4"/>
      <c r="Q85" s="4"/>
      <c r="R85" s="4"/>
      <c r="S85" s="4"/>
      <c r="T85" s="4"/>
      <c r="U85" s="4"/>
      <c r="V85" s="4"/>
      <c r="W85" s="4"/>
      <c r="X85" s="4"/>
      <c r="Y85" s="4"/>
      <c r="Z85" s="4"/>
    </row>
    <row r="86" ht="14.25" customHeight="1" spans="1:26" x14ac:dyDescent="0.25">
      <c r="A86" s="4"/>
      <c r="B86" s="4"/>
      <c r="C86" s="4"/>
      <c r="D86" s="4"/>
      <c r="E86" s="4"/>
      <c r="F86" s="4"/>
      <c r="G86" s="4"/>
      <c r="H86" s="4"/>
      <c r="I86" s="4"/>
      <c r="J86" s="4"/>
      <c r="K86" s="4"/>
      <c r="L86" s="4"/>
      <c r="M86" s="4"/>
      <c r="N86" s="4"/>
      <c r="O86" s="4"/>
      <c r="P86" s="4"/>
      <c r="Q86" s="4"/>
      <c r="R86" s="4"/>
      <c r="S86" s="4"/>
      <c r="T86" s="4"/>
      <c r="U86" s="4"/>
      <c r="V86" s="4"/>
      <c r="W86" s="4"/>
      <c r="X86" s="4"/>
      <c r="Y86" s="4"/>
      <c r="Z86" s="4"/>
    </row>
    <row r="87" ht="14.25" customHeight="1" spans="1:26" x14ac:dyDescent="0.25">
      <c r="A87" s="4"/>
      <c r="B87" s="4"/>
      <c r="C87" s="4"/>
      <c r="D87" s="4"/>
      <c r="E87" s="4"/>
      <c r="F87" s="4"/>
      <c r="G87" s="4"/>
      <c r="H87" s="4"/>
      <c r="I87" s="4"/>
      <c r="J87" s="4"/>
      <c r="K87" s="4"/>
      <c r="L87" s="4"/>
      <c r="M87" s="4"/>
      <c r="N87" s="4"/>
      <c r="O87" s="4"/>
      <c r="P87" s="4"/>
      <c r="Q87" s="4"/>
      <c r="R87" s="4"/>
      <c r="S87" s="4"/>
      <c r="T87" s="4"/>
      <c r="U87" s="4"/>
      <c r="V87" s="4"/>
      <c r="W87" s="4"/>
      <c r="X87" s="4"/>
      <c r="Y87" s="4"/>
      <c r="Z87" s="4"/>
    </row>
    <row r="88" ht="14.25" customHeight="1" spans="1:26" x14ac:dyDescent="0.25">
      <c r="A88" s="4"/>
      <c r="B88" s="4"/>
      <c r="C88" s="4"/>
      <c r="D88" s="4"/>
      <c r="E88" s="4"/>
      <c r="F88" s="4"/>
      <c r="G88" s="4"/>
      <c r="H88" s="4"/>
      <c r="I88" s="4"/>
      <c r="J88" s="4"/>
      <c r="K88" s="4"/>
      <c r="L88" s="4"/>
      <c r="M88" s="4"/>
      <c r="N88" s="4"/>
      <c r="O88" s="4"/>
      <c r="P88" s="4"/>
      <c r="Q88" s="4"/>
      <c r="R88" s="4"/>
      <c r="S88" s="4"/>
      <c r="T88" s="4"/>
      <c r="U88" s="4"/>
      <c r="V88" s="4"/>
      <c r="W88" s="4"/>
      <c r="X88" s="4"/>
      <c r="Y88" s="4"/>
      <c r="Z88" s="4"/>
    </row>
    <row r="89" ht="14.25" customHeight="1" spans="1:26" x14ac:dyDescent="0.25">
      <c r="A89" s="4"/>
      <c r="B89" s="4"/>
      <c r="C89" s="4"/>
      <c r="D89" s="4"/>
      <c r="E89" s="4"/>
      <c r="F89" s="4"/>
      <c r="G89" s="4"/>
      <c r="H89" s="4"/>
      <c r="I89" s="4"/>
      <c r="J89" s="4"/>
      <c r="K89" s="4"/>
      <c r="L89" s="4"/>
      <c r="M89" s="4"/>
      <c r="N89" s="4"/>
      <c r="O89" s="4"/>
      <c r="P89" s="4"/>
      <c r="Q89" s="4"/>
      <c r="R89" s="4"/>
      <c r="S89" s="4"/>
      <c r="T89" s="4"/>
      <c r="U89" s="4"/>
      <c r="V89" s="4"/>
      <c r="W89" s="4"/>
      <c r="X89" s="4"/>
      <c r="Y89" s="4"/>
      <c r="Z89" s="4"/>
    </row>
    <row r="90" ht="14.25" customHeight="1" spans="1:26" x14ac:dyDescent="0.25">
      <c r="A90" s="4"/>
      <c r="B90" s="4"/>
      <c r="C90" s="4"/>
      <c r="D90" s="4"/>
      <c r="E90" s="4"/>
      <c r="F90" s="4"/>
      <c r="G90" s="4"/>
      <c r="H90" s="4"/>
      <c r="I90" s="4"/>
      <c r="J90" s="4"/>
      <c r="K90" s="4"/>
      <c r="L90" s="4"/>
      <c r="M90" s="4"/>
      <c r="N90" s="4"/>
      <c r="O90" s="4"/>
      <c r="P90" s="4"/>
      <c r="Q90" s="4"/>
      <c r="R90" s="4"/>
      <c r="S90" s="4"/>
      <c r="T90" s="4"/>
      <c r="U90" s="4"/>
      <c r="V90" s="4"/>
      <c r="W90" s="4"/>
      <c r="X90" s="4"/>
      <c r="Y90" s="4"/>
      <c r="Z90" s="4"/>
    </row>
    <row r="91" ht="14.25" customHeight="1" spans="1:26" x14ac:dyDescent="0.25">
      <c r="A91" s="4"/>
      <c r="B91" s="4"/>
      <c r="C91" s="4"/>
      <c r="D91" s="4"/>
      <c r="E91" s="4"/>
      <c r="F91" s="4"/>
      <c r="G91" s="4"/>
      <c r="H91" s="4"/>
      <c r="I91" s="4"/>
      <c r="J91" s="4"/>
      <c r="K91" s="4"/>
      <c r="L91" s="4"/>
      <c r="M91" s="4"/>
      <c r="N91" s="4"/>
      <c r="O91" s="4"/>
      <c r="P91" s="4"/>
      <c r="Q91" s="4"/>
      <c r="R91" s="4"/>
      <c r="S91" s="4"/>
      <c r="T91" s="4"/>
      <c r="U91" s="4"/>
      <c r="V91" s="4"/>
      <c r="W91" s="4"/>
      <c r="X91" s="4"/>
      <c r="Y91" s="4"/>
      <c r="Z91" s="4"/>
    </row>
    <row r="92" ht="14.25" customHeight="1" spans="1:26" x14ac:dyDescent="0.25">
      <c r="A92" s="4"/>
      <c r="B92" s="4"/>
      <c r="C92" s="4"/>
      <c r="D92" s="4"/>
      <c r="E92" s="4"/>
      <c r="F92" s="4"/>
      <c r="G92" s="4"/>
      <c r="H92" s="4"/>
      <c r="I92" s="4"/>
      <c r="J92" s="4"/>
      <c r="K92" s="4"/>
      <c r="L92" s="4"/>
      <c r="M92" s="4"/>
      <c r="N92" s="4"/>
      <c r="O92" s="4"/>
      <c r="P92" s="4"/>
      <c r="Q92" s="4"/>
      <c r="R92" s="4"/>
      <c r="S92" s="4"/>
      <c r="T92" s="4"/>
      <c r="U92" s="4"/>
      <c r="V92" s="4"/>
      <c r="W92" s="4"/>
      <c r="X92" s="4"/>
      <c r="Y92" s="4"/>
      <c r="Z92" s="4"/>
    </row>
    <row r="93" ht="14.25" customHeight="1" spans="1:26" x14ac:dyDescent="0.25">
      <c r="A93" s="4"/>
      <c r="B93" s="4"/>
      <c r="C93" s="4"/>
      <c r="D93" s="4"/>
      <c r="E93" s="4"/>
      <c r="F93" s="4"/>
      <c r="G93" s="4"/>
      <c r="H93" s="4"/>
      <c r="I93" s="4"/>
      <c r="J93" s="4"/>
      <c r="K93" s="4"/>
      <c r="L93" s="4"/>
      <c r="M93" s="4"/>
      <c r="N93" s="4"/>
      <c r="O93" s="4"/>
      <c r="P93" s="4"/>
      <c r="Q93" s="4"/>
      <c r="R93" s="4"/>
      <c r="S93" s="4"/>
      <c r="T93" s="4"/>
      <c r="U93" s="4"/>
      <c r="V93" s="4"/>
      <c r="W93" s="4"/>
      <c r="X93" s="4"/>
      <c r="Y93" s="4"/>
      <c r="Z93" s="4"/>
    </row>
    <row r="94" ht="14.25" customHeight="1" spans="1:26" x14ac:dyDescent="0.25">
      <c r="A94" s="4"/>
      <c r="B94" s="4"/>
      <c r="C94" s="4"/>
      <c r="D94" s="4"/>
      <c r="E94" s="4"/>
      <c r="F94" s="4"/>
      <c r="G94" s="4"/>
      <c r="H94" s="4"/>
      <c r="I94" s="4"/>
      <c r="J94" s="4"/>
      <c r="K94" s="4"/>
      <c r="L94" s="4"/>
      <c r="M94" s="4"/>
      <c r="N94" s="4"/>
      <c r="O94" s="4"/>
      <c r="P94" s="4"/>
      <c r="Q94" s="4"/>
      <c r="R94" s="4"/>
      <c r="S94" s="4"/>
      <c r="T94" s="4"/>
      <c r="U94" s="4"/>
      <c r="V94" s="4"/>
      <c r="W94" s="4"/>
      <c r="X94" s="4"/>
      <c r="Y94" s="4"/>
      <c r="Z94" s="4"/>
    </row>
    <row r="95" ht="14.25" customHeight="1" spans="1:26" x14ac:dyDescent="0.25">
      <c r="A95" s="4"/>
      <c r="B95" s="4"/>
      <c r="C95" s="4"/>
      <c r="D95" s="4"/>
      <c r="E95" s="4"/>
      <c r="F95" s="4"/>
      <c r="G95" s="4"/>
      <c r="H95" s="4"/>
      <c r="I95" s="4"/>
      <c r="J95" s="4"/>
      <c r="K95" s="4"/>
      <c r="L95" s="4"/>
      <c r="M95" s="4"/>
      <c r="N95" s="4"/>
      <c r="O95" s="4"/>
      <c r="P95" s="4"/>
      <c r="Q95" s="4"/>
      <c r="R95" s="4"/>
      <c r="S95" s="4"/>
      <c r="T95" s="4"/>
      <c r="U95" s="4"/>
      <c r="V95" s="4"/>
      <c r="W95" s="4"/>
      <c r="X95" s="4"/>
      <c r="Y95" s="4"/>
      <c r="Z95" s="4"/>
    </row>
    <row r="96" ht="14.25" customHeight="1" spans="1:26" x14ac:dyDescent="0.25">
      <c r="A96" s="4"/>
      <c r="B96" s="4"/>
      <c r="C96" s="4"/>
      <c r="D96" s="4"/>
      <c r="E96" s="4"/>
      <c r="F96" s="4"/>
      <c r="G96" s="4"/>
      <c r="H96" s="4"/>
      <c r="I96" s="4"/>
      <c r="J96" s="4"/>
      <c r="K96" s="4"/>
      <c r="L96" s="4"/>
      <c r="M96" s="4"/>
      <c r="N96" s="4"/>
      <c r="O96" s="4"/>
      <c r="P96" s="4"/>
      <c r="Q96" s="4"/>
      <c r="R96" s="4"/>
      <c r="S96" s="4"/>
      <c r="T96" s="4"/>
      <c r="U96" s="4"/>
      <c r="V96" s="4"/>
      <c r="W96" s="4"/>
      <c r="X96" s="4"/>
      <c r="Y96" s="4"/>
      <c r="Z96" s="4"/>
    </row>
    <row r="97" ht="14.25" customHeight="1" spans="1:26" x14ac:dyDescent="0.25">
      <c r="A97" s="4"/>
      <c r="B97" s="4"/>
      <c r="C97" s="4"/>
      <c r="D97" s="4"/>
      <c r="E97" s="4"/>
      <c r="F97" s="4"/>
      <c r="G97" s="4"/>
      <c r="H97" s="4"/>
      <c r="I97" s="4"/>
      <c r="J97" s="4"/>
      <c r="K97" s="4"/>
      <c r="L97" s="4"/>
      <c r="M97" s="4"/>
      <c r="N97" s="4"/>
      <c r="O97" s="4"/>
      <c r="P97" s="4"/>
      <c r="Q97" s="4"/>
      <c r="R97" s="4"/>
      <c r="S97" s="4"/>
      <c r="T97" s="4"/>
      <c r="U97" s="4"/>
      <c r="V97" s="4"/>
      <c r="W97" s="4"/>
      <c r="X97" s="4"/>
      <c r="Y97" s="4"/>
      <c r="Z97" s="4"/>
    </row>
    <row r="98" ht="14.25" customHeight="1" spans="1:26" x14ac:dyDescent="0.25">
      <c r="A98" s="4"/>
      <c r="B98" s="4"/>
      <c r="C98" s="4"/>
      <c r="D98" s="4"/>
      <c r="E98" s="4"/>
      <c r="F98" s="4"/>
      <c r="G98" s="4"/>
      <c r="H98" s="4"/>
      <c r="I98" s="4"/>
      <c r="J98" s="4"/>
      <c r="K98" s="4"/>
      <c r="L98" s="4"/>
      <c r="M98" s="4"/>
      <c r="N98" s="4"/>
      <c r="O98" s="4"/>
      <c r="P98" s="4"/>
      <c r="Q98" s="4"/>
      <c r="R98" s="4"/>
      <c r="S98" s="4"/>
      <c r="T98" s="4"/>
      <c r="U98" s="4"/>
      <c r="V98" s="4"/>
      <c r="W98" s="4"/>
      <c r="X98" s="4"/>
      <c r="Y98" s="4"/>
      <c r="Z98" s="4"/>
    </row>
    <row r="99" ht="14.25" customHeight="1" spans="1:26" x14ac:dyDescent="0.25">
      <c r="A99" s="4"/>
      <c r="B99" s="4"/>
      <c r="C99" s="4"/>
      <c r="D99" s="4"/>
      <c r="E99" s="4"/>
      <c r="F99" s="4"/>
      <c r="G99" s="4"/>
      <c r="H99" s="4"/>
      <c r="I99" s="4"/>
      <c r="J99" s="4"/>
      <c r="K99" s="4"/>
      <c r="L99" s="4"/>
      <c r="M99" s="4"/>
      <c r="N99" s="4"/>
      <c r="O99" s="4"/>
      <c r="P99" s="4"/>
      <c r="Q99" s="4"/>
      <c r="R99" s="4"/>
      <c r="S99" s="4"/>
      <c r="T99" s="4"/>
      <c r="U99" s="4"/>
      <c r="V99" s="4"/>
      <c r="W99" s="4"/>
      <c r="X99" s="4"/>
      <c r="Y99" s="4"/>
      <c r="Z99" s="4"/>
    </row>
    <row r="100" ht="14.25" customHeight="1" spans="1:26" x14ac:dyDescent="0.25">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ht="14.25" customHeight="1" spans="1:26" x14ac:dyDescent="0.25">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ht="14.25" customHeight="1" spans="1:26" x14ac:dyDescent="0.25">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ht="14.25" customHeight="1" spans="1:26" x14ac:dyDescent="0.25">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ht="14.25" customHeight="1" spans="1:26" x14ac:dyDescent="0.25">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ht="14.25" customHeight="1" spans="1:26" x14ac:dyDescent="0.25">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ht="14.25" customHeight="1" spans="1:26" x14ac:dyDescent="0.25">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ht="14.25" customHeight="1" spans="1:26" x14ac:dyDescent="0.25">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ht="14.25" customHeight="1" spans="1:26" x14ac:dyDescent="0.25">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ht="14.25" customHeight="1" spans="1:26" x14ac:dyDescent="0.25">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ht="14.25" customHeight="1" spans="1:26" x14ac:dyDescent="0.25">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ht="14.25" customHeight="1" spans="1:26" x14ac:dyDescent="0.25">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ht="14.25" customHeight="1" spans="1:26" x14ac:dyDescent="0.25">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ht="14.25" customHeight="1" spans="1:26" x14ac:dyDescent="0.25">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ht="14.25" customHeight="1" spans="1:26" x14ac:dyDescent="0.25">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ht="14.25" customHeight="1" spans="1:26" x14ac:dyDescent="0.25">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ht="14.25" customHeight="1" spans="1:26" x14ac:dyDescent="0.25">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ht="14.25" customHeight="1" spans="1:26" x14ac:dyDescent="0.25">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ht="14.25" customHeight="1" spans="1:26" x14ac:dyDescent="0.25">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ht="14.25" customHeight="1" spans="1:26" x14ac:dyDescent="0.25">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ht="14.25" customHeight="1" spans="1:26" x14ac:dyDescent="0.25">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ht="14.25" customHeight="1" spans="1:26" x14ac:dyDescent="0.25">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ht="14.25" customHeight="1" spans="1:26" x14ac:dyDescent="0.25">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ht="14.25" customHeight="1" spans="1:26" x14ac:dyDescent="0.25">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ht="14.25" customHeight="1" spans="1:26" x14ac:dyDescent="0.25">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ht="14.25" customHeight="1" spans="1:26" x14ac:dyDescent="0.25">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ht="14.25" customHeight="1" spans="1:26" x14ac:dyDescent="0.25">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ht="14.25" customHeight="1" spans="1:26" x14ac:dyDescent="0.25">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ht="14.25" customHeight="1" spans="1:26" x14ac:dyDescent="0.25">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ht="14.25" customHeight="1" spans="1:26" x14ac:dyDescent="0.25">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ht="14.25" customHeight="1" spans="1:26" x14ac:dyDescent="0.25">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ht="14.25" customHeight="1" spans="1:26" x14ac:dyDescent="0.25">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ht="14.25" customHeight="1" spans="1:26" x14ac:dyDescent="0.25">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ht="14.25" customHeight="1" spans="1:26" x14ac:dyDescent="0.25">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ht="14.25" customHeight="1" spans="1:26" x14ac:dyDescent="0.25">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ht="14.25" customHeight="1" spans="1:26" x14ac:dyDescent="0.25">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ht="14.25" customHeight="1" spans="1:26" x14ac:dyDescent="0.25">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ht="14.25" customHeight="1" spans="1:26" x14ac:dyDescent="0.25">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ht="14.25" customHeight="1" spans="1:26" x14ac:dyDescent="0.25">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ht="14.25" customHeight="1" spans="1:26" x14ac:dyDescent="0.25">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ht="14.25" customHeight="1" spans="1:26" x14ac:dyDescent="0.25">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ht="14.25" customHeight="1" spans="1:26" x14ac:dyDescent="0.25">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ht="14.25" customHeight="1" spans="1:26" x14ac:dyDescent="0.25">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ht="14.25" customHeight="1" spans="1:26" x14ac:dyDescent="0.25">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ht="14.25" customHeight="1" spans="1:26" x14ac:dyDescent="0.25">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ht="14.25" customHeight="1" spans="1:26" x14ac:dyDescent="0.25">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ht="14.25" customHeight="1" spans="1:26" x14ac:dyDescent="0.25">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ht="14.25" customHeight="1" spans="1:26" x14ac:dyDescent="0.25">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ht="14.25" customHeight="1" spans="1:26" x14ac:dyDescent="0.25">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ht="14.25" customHeight="1" spans="1:26" x14ac:dyDescent="0.25">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ht="14.25" customHeight="1" spans="1:26" x14ac:dyDescent="0.25">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ht="14.25" customHeight="1" spans="1:26" x14ac:dyDescent="0.25">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ht="14.25" customHeight="1" spans="1:26" x14ac:dyDescent="0.25">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ht="14.25" customHeight="1" spans="1:26" x14ac:dyDescent="0.25">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ht="14.25" customHeight="1" spans="1:26" x14ac:dyDescent="0.25">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ht="14.25" customHeight="1" spans="1:26" x14ac:dyDescent="0.25">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ht="14.25" customHeight="1" spans="1:26" x14ac:dyDescent="0.25">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ht="14.25" customHeight="1" spans="1:26" x14ac:dyDescent="0.25">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ht="14.25" customHeight="1" spans="1:26" x14ac:dyDescent="0.25">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ht="14.25" customHeight="1" spans="1:26" x14ac:dyDescent="0.25">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ht="14.25" customHeight="1" spans="1:26" x14ac:dyDescent="0.25">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ht="14.25" customHeight="1" spans="1:26" x14ac:dyDescent="0.25">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ht="14.25" customHeight="1" spans="1:26" x14ac:dyDescent="0.25">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ht="14.25" customHeight="1" spans="1:26" x14ac:dyDescent="0.25">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ht="14.25" customHeight="1" spans="1:26" x14ac:dyDescent="0.25">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ht="14.25" customHeight="1" spans="1:26" x14ac:dyDescent="0.25">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ht="14.25" customHeight="1" spans="1:26" x14ac:dyDescent="0.25">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ht="14.25" customHeight="1" spans="1:26" x14ac:dyDescent="0.25">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ht="14.25" customHeight="1" spans="1:26" x14ac:dyDescent="0.25">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ht="14.25" customHeight="1" spans="1:26" x14ac:dyDescent="0.25">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ht="14.25" customHeight="1" spans="1:26" x14ac:dyDescent="0.25">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ht="14.25" customHeight="1" spans="1:26" x14ac:dyDescent="0.25">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ht="14.25" customHeight="1" spans="1:26" x14ac:dyDescent="0.25">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ht="14.25" customHeight="1" spans="1:26" x14ac:dyDescent="0.25">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14.25" customHeight="1" spans="1:26" x14ac:dyDescent="0.25">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14.25" customHeight="1" spans="1:26" x14ac:dyDescent="0.25">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14.25" customHeight="1" spans="1:26" x14ac:dyDescent="0.25">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ht="14.25" customHeight="1" spans="1:26" x14ac:dyDescent="0.25">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ht="14.25" customHeight="1" spans="1:26" x14ac:dyDescent="0.25">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14.25" customHeight="1" spans="1:26" x14ac:dyDescent="0.25">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14.25" customHeight="1" spans="1:26" x14ac:dyDescent="0.25">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ht="14.25" customHeight="1" spans="1:26" x14ac:dyDescent="0.25">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14.25" customHeight="1" spans="1:26" x14ac:dyDescent="0.25">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14.25" customHeight="1" spans="1:26" x14ac:dyDescent="0.25">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14.25" customHeight="1" spans="1:26" x14ac:dyDescent="0.25">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14.25" customHeight="1" spans="1:26" x14ac:dyDescent="0.25">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14.25" customHeight="1" spans="1:26" x14ac:dyDescent="0.25">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14.25" customHeight="1" spans="1:26" x14ac:dyDescent="0.25">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14.25" customHeight="1" spans="1:26" x14ac:dyDescent="0.25">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14.25" customHeight="1" spans="1:26" x14ac:dyDescent="0.25">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14.25" customHeight="1" spans="1:26" x14ac:dyDescent="0.25">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14.25" customHeight="1" spans="1:26" x14ac:dyDescent="0.25">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14.25" customHeight="1" spans="1:26" x14ac:dyDescent="0.25">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14.25" customHeight="1" spans="1:26" x14ac:dyDescent="0.25">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14.25" customHeight="1" spans="1:26" x14ac:dyDescent="0.25">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14.25" customHeight="1" spans="1:26" x14ac:dyDescent="0.25">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14.25" customHeight="1" spans="1:26" x14ac:dyDescent="0.25">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14.25" customHeight="1" spans="1:26" x14ac:dyDescent="0.25">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14.25" customHeight="1" spans="1:26" x14ac:dyDescent="0.25">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14.25" customHeight="1" spans="1:26" x14ac:dyDescent="0.25">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14.25" customHeight="1" spans="1:26" x14ac:dyDescent="0.25">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14.25" customHeight="1" spans="1:26" x14ac:dyDescent="0.25">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14.25" customHeight="1" spans="1:26" x14ac:dyDescent="0.25">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14.25" customHeight="1" spans="1:26" x14ac:dyDescent="0.25">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14.25" customHeight="1" spans="1:26" x14ac:dyDescent="0.25">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14.25" customHeight="1" spans="1:26" x14ac:dyDescent="0.25">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14.25" customHeight="1" spans="1:26" x14ac:dyDescent="0.25">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14.25" customHeight="1" spans="1:26" x14ac:dyDescent="0.25">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14.25" customHeight="1" spans="1:26" x14ac:dyDescent="0.25">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14.25" customHeight="1" spans="1:26" x14ac:dyDescent="0.25">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14.25" customHeight="1" spans="1:26" x14ac:dyDescent="0.25">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14.25" customHeight="1" spans="1:26" x14ac:dyDescent="0.25">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14.25" customHeight="1" spans="1:26" x14ac:dyDescent="0.25">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14.25" customHeight="1" spans="1:26" x14ac:dyDescent="0.25">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14.25" customHeight="1" spans="1:26" x14ac:dyDescent="0.25">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14.25" customHeight="1" spans="1:26" x14ac:dyDescent="0.25">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14.25" customHeight="1" spans="1:26" x14ac:dyDescent="0.25">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14.25" customHeight="1" spans="1:26" x14ac:dyDescent="0.25">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14.25" customHeight="1" spans="1:26" x14ac:dyDescent="0.25">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14.25" customHeight="1" spans="1:26" x14ac:dyDescent="0.25">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14.25" customHeight="1" spans="1:26" x14ac:dyDescent="0.25">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14.25" customHeight="1" spans="1:26" x14ac:dyDescent="0.25">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ht="14.25" customHeight="1" spans="1:26" x14ac:dyDescent="0.25">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ht="14.25" customHeight="1" spans="1:26" x14ac:dyDescent="0.25">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ht="14.25" customHeight="1" spans="1:26" x14ac:dyDescent="0.25">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ht="14.25" customHeight="1" spans="1:26" x14ac:dyDescent="0.25">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ht="14.25" customHeight="1" spans="1:26" x14ac:dyDescent="0.25">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ht="14.25" customHeight="1" spans="1:26" x14ac:dyDescent="0.25">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ht="14.25" customHeight="1" spans="1:26" x14ac:dyDescent="0.25">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ht="14.25" customHeight="1" spans="1:26" x14ac:dyDescent="0.25">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ht="14.25" customHeight="1" spans="1:26" x14ac:dyDescent="0.25">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ht="14.25" customHeight="1" spans="1:26" x14ac:dyDescent="0.25">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ht="14.25" customHeight="1" spans="1:26" x14ac:dyDescent="0.25">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ht="14.25" customHeight="1" spans="1:26" x14ac:dyDescent="0.25">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ht="14.25" customHeight="1" spans="1:26" x14ac:dyDescent="0.25">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ht="14.25" customHeight="1" spans="1:26" x14ac:dyDescent="0.25">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ht="14.25" customHeight="1" spans="1:26" x14ac:dyDescent="0.25">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ht="14.25" customHeight="1" spans="1:26" x14ac:dyDescent="0.25">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ht="14.25" customHeight="1" spans="1:26" x14ac:dyDescent="0.25">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ht="14.25" customHeight="1" spans="1:26" x14ac:dyDescent="0.25">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ht="14.25" customHeight="1" spans="1:26" x14ac:dyDescent="0.25">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ht="14.25" customHeight="1" spans="1:26" x14ac:dyDescent="0.25">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ht="14.25" customHeight="1" spans="1:26" x14ac:dyDescent="0.25">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ht="14.25" customHeight="1" spans="1:26" x14ac:dyDescent="0.25">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ht="14.25" customHeight="1" spans="1:26" x14ac:dyDescent="0.25">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ht="14.25" customHeight="1" spans="1:26" x14ac:dyDescent="0.25">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ht="14.25" customHeight="1" spans="1:26" x14ac:dyDescent="0.25">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ht="14.25" customHeight="1" spans="1:26" x14ac:dyDescent="0.25">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ht="14.25" customHeight="1" spans="1:26" x14ac:dyDescent="0.25">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ht="14.25" customHeight="1" spans="1:26" x14ac:dyDescent="0.25">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ht="14.25" customHeight="1" spans="1:26" x14ac:dyDescent="0.25">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ht="14.25" customHeight="1" spans="1:26" x14ac:dyDescent="0.25">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ht="14.25" customHeight="1" spans="1:26" x14ac:dyDescent="0.25">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ht="14.25" customHeight="1" spans="1:26" x14ac:dyDescent="0.25">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ht="14.25" customHeight="1" spans="1:26" x14ac:dyDescent="0.25">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ht="14.25" customHeight="1" spans="1:26" x14ac:dyDescent="0.25">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ht="14.25" customHeight="1" spans="1:26" x14ac:dyDescent="0.25">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ht="14.25" customHeight="1" spans="1:26" x14ac:dyDescent="0.25">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ht="14.25" customHeight="1" spans="1:26" x14ac:dyDescent="0.25">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ht="14.25" customHeight="1" spans="1:26" x14ac:dyDescent="0.25">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ht="14.25" customHeight="1" spans="1:26" x14ac:dyDescent="0.25">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ht="14.25" customHeight="1" spans="1:26" x14ac:dyDescent="0.25">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ht="14.25" customHeight="1" spans="1:26" x14ac:dyDescent="0.25">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ht="14.25" customHeight="1" spans="1:26" x14ac:dyDescent="0.25">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ht="14.25" customHeight="1" spans="1:26" x14ac:dyDescent="0.25">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ht="14.25" customHeight="1" spans="1:26" x14ac:dyDescent="0.25">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ht="14.25" customHeight="1" spans="1:26" x14ac:dyDescent="0.25">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ht="14.25" customHeight="1" spans="1:26" x14ac:dyDescent="0.25">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ht="14.25" customHeight="1" spans="1:26" x14ac:dyDescent="0.25">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ht="14.25" customHeight="1" spans="1:26" x14ac:dyDescent="0.25">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ht="14.25" customHeight="1" spans="1:26" x14ac:dyDescent="0.25">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ht="14.25" customHeight="1" spans="1:26" x14ac:dyDescent="0.25">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ht="14.25" customHeight="1" spans="1:26" x14ac:dyDescent="0.25">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ht="14.25" customHeight="1" spans="1:26" x14ac:dyDescent="0.25">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ht="14.25" customHeight="1" spans="1:26" x14ac:dyDescent="0.25">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ht="14.25" customHeight="1" spans="1:26" x14ac:dyDescent="0.25">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ht="14.25" customHeight="1" spans="1:26" x14ac:dyDescent="0.25">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ht="14.25" customHeight="1" spans="1:26" x14ac:dyDescent="0.25">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ht="14.25" customHeight="1" spans="1:26" x14ac:dyDescent="0.25">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ht="14.25" customHeight="1" spans="1:26" x14ac:dyDescent="0.25">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ht="14.25" customHeight="1" spans="1:26" x14ac:dyDescent="0.25">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ht="14.25" customHeight="1" spans="1:26" x14ac:dyDescent="0.25">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ht="14.25" customHeight="1" spans="1:26" x14ac:dyDescent="0.25">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ht="14.25" customHeight="1" spans="1:26" x14ac:dyDescent="0.25">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ht="14.25" customHeight="1" spans="1:26" x14ac:dyDescent="0.25">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ht="14.25" customHeight="1" spans="1:26" x14ac:dyDescent="0.25">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ht="14.25" customHeight="1" spans="1:26" x14ac:dyDescent="0.25">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ht="14.25" customHeight="1" spans="1:26" x14ac:dyDescent="0.25">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ht="14.25" customHeight="1" spans="1:26" x14ac:dyDescent="0.25">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ht="14.25" customHeight="1" spans="1:26" x14ac:dyDescent="0.25">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ht="14.25" customHeight="1" spans="1:26" x14ac:dyDescent="0.25">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ht="14.25" customHeight="1" spans="1:26" x14ac:dyDescent="0.25">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ht="14.25" customHeight="1" spans="1:26" x14ac:dyDescent="0.25">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ht="14.25" customHeight="1" spans="1:26" x14ac:dyDescent="0.25">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ht="14.25" customHeight="1" spans="1:26" x14ac:dyDescent="0.25">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ht="14.25" customHeight="1" spans="1:26" x14ac:dyDescent="0.25">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ht="14.25" customHeight="1" spans="1:26" x14ac:dyDescent="0.25">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ht="14.25" customHeight="1" spans="1:26" x14ac:dyDescent="0.25">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ht="14.25" customHeight="1" spans="1:26" x14ac:dyDescent="0.25">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ht="14.25" customHeight="1" spans="1:26" x14ac:dyDescent="0.25">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ht="14.25" customHeight="1" spans="1:26" x14ac:dyDescent="0.25">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ht="14.25" customHeight="1" spans="1:26" x14ac:dyDescent="0.25">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ht="14.25" customHeight="1" spans="1:26" x14ac:dyDescent="0.25">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ht="14.25" customHeight="1" spans="1:26" x14ac:dyDescent="0.25">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ht="14.25" customHeight="1" spans="1:26" x14ac:dyDescent="0.25">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ht="14.25" customHeight="1" spans="1:26" x14ac:dyDescent="0.2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ht="14.25" customHeight="1" spans="1:26" x14ac:dyDescent="0.25">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ht="14.25" customHeight="1" spans="1:26" x14ac:dyDescent="0.25">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ht="14.25" customHeight="1" spans="1:26" x14ac:dyDescent="0.25">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ht="14.25" customHeight="1" spans="1:26" x14ac:dyDescent="0.25">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ht="14.25" customHeight="1" spans="1:26" x14ac:dyDescent="0.25">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ht="14.25" customHeight="1" spans="1:26" x14ac:dyDescent="0.25">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ht="14.25" customHeight="1" spans="1:26" x14ac:dyDescent="0.25">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ht="14.25" customHeight="1" spans="1:26" x14ac:dyDescent="0.25">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ht="14.25" customHeight="1" spans="1:26" x14ac:dyDescent="0.25">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ht="14.25" customHeight="1" spans="1:26" x14ac:dyDescent="0.2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ht="14.25" customHeight="1" spans="1:26" x14ac:dyDescent="0.25">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ht="14.25" customHeight="1" spans="1:26" x14ac:dyDescent="0.25">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ht="14.25" customHeight="1" spans="1:26" x14ac:dyDescent="0.25">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ht="14.25" customHeight="1" spans="1:26" x14ac:dyDescent="0.25">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ht="14.25" customHeight="1" spans="1:26" x14ac:dyDescent="0.25">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ht="14.25" customHeight="1" spans="1:26" x14ac:dyDescent="0.25">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ht="14.25" customHeight="1" spans="1:26" x14ac:dyDescent="0.25">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ht="14.25" customHeight="1" spans="1:26" x14ac:dyDescent="0.25">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ht="14.25" customHeight="1" spans="1:26" x14ac:dyDescent="0.25">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ht="14.25" customHeight="1" spans="1:26" x14ac:dyDescent="0.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ht="14.25" customHeight="1" spans="1:26" x14ac:dyDescent="0.25">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ht="14.25" customHeight="1" spans="1:26" x14ac:dyDescent="0.25">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ht="14.25" customHeight="1" spans="1:26" x14ac:dyDescent="0.25">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ht="14.25" customHeight="1" spans="1:26" x14ac:dyDescent="0.25">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ht="14.25" customHeight="1" spans="1:26" x14ac:dyDescent="0.25">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ht="14.25" customHeight="1" spans="1:26" x14ac:dyDescent="0.25">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ht="14.25" customHeight="1" spans="1:26" x14ac:dyDescent="0.25">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ht="14.25" customHeight="1" spans="1:26" x14ac:dyDescent="0.25">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ht="14.25" customHeight="1" spans="1:26" x14ac:dyDescent="0.25">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ht="14.25" customHeight="1" spans="1:26" x14ac:dyDescent="0.2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ht="14.25" customHeight="1" spans="1:26" x14ac:dyDescent="0.25">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ht="14.25" customHeight="1" spans="1:26" x14ac:dyDescent="0.25">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ht="14.25" customHeight="1" spans="1:26" x14ac:dyDescent="0.25">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ht="14.25" customHeight="1" spans="1:26" x14ac:dyDescent="0.25">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ht="14.25" customHeight="1" spans="1:26" x14ac:dyDescent="0.25">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ht="14.25" customHeight="1" spans="1:26" x14ac:dyDescent="0.25">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ht="14.25" customHeight="1" spans="1:26" x14ac:dyDescent="0.25">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ht="14.25" customHeight="1" spans="1:26" x14ac:dyDescent="0.25">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ht="14.25" customHeight="1" spans="1:26" x14ac:dyDescent="0.25">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ht="14.25" customHeight="1" spans="1:26" x14ac:dyDescent="0.2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ht="14.25" customHeight="1" spans="1:26" x14ac:dyDescent="0.25">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ht="14.25" customHeight="1" spans="1:26" x14ac:dyDescent="0.25">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ht="14.25" customHeight="1" spans="1:26" x14ac:dyDescent="0.25">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ht="14.25" customHeight="1" spans="1:26" x14ac:dyDescent="0.25">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ht="14.25" customHeight="1" spans="1:26" x14ac:dyDescent="0.25">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ht="14.25" customHeight="1" spans="1:26" x14ac:dyDescent="0.25">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ht="14.25" customHeight="1" spans="1:26" x14ac:dyDescent="0.25">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ht="14.25" customHeight="1" spans="1:26" x14ac:dyDescent="0.25">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ht="14.25" customHeight="1" spans="1:26" x14ac:dyDescent="0.25">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ht="14.25" customHeight="1" spans="1:26" x14ac:dyDescent="0.2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ht="14.25" customHeight="1" spans="1:26" x14ac:dyDescent="0.25">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ht="14.25" customHeight="1" spans="1:26" x14ac:dyDescent="0.25">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ht="14.25" customHeight="1" spans="1:26" x14ac:dyDescent="0.25">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ht="14.25" customHeight="1" spans="1:26" x14ac:dyDescent="0.25">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ht="14.25" customHeight="1" spans="1:26" x14ac:dyDescent="0.25">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ht="14.25" customHeight="1" spans="1:26" x14ac:dyDescent="0.25">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ht="14.25" customHeight="1" spans="1:26" x14ac:dyDescent="0.25">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ht="14.25" customHeight="1" spans="1:26" x14ac:dyDescent="0.25">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ht="14.25" customHeight="1" spans="1:26" x14ac:dyDescent="0.25">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ht="14.25" customHeight="1" spans="1:26" x14ac:dyDescent="0.2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ht="14.25" customHeight="1" spans="1:26" x14ac:dyDescent="0.25">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ht="14.25" customHeight="1" spans="1:26" x14ac:dyDescent="0.25">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ht="14.25" customHeight="1" spans="1:26" x14ac:dyDescent="0.25">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ht="14.25" customHeight="1" spans="1:26" x14ac:dyDescent="0.25">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ht="14.25" customHeight="1" spans="1:26" x14ac:dyDescent="0.25">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ht="14.25" customHeight="1" spans="1:26" x14ac:dyDescent="0.25">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ht="14.25" customHeight="1" spans="1:26" x14ac:dyDescent="0.25">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ht="14.25" customHeight="1" spans="1:26" x14ac:dyDescent="0.25">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ht="14.25" customHeight="1" spans="1:26" x14ac:dyDescent="0.25">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ht="14.25" customHeight="1" spans="1:26" x14ac:dyDescent="0.2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ht="14.25" customHeight="1" spans="1:26" x14ac:dyDescent="0.25">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ht="14.25" customHeight="1" spans="1:26" x14ac:dyDescent="0.25">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ht="14.25" customHeight="1" spans="1:26" x14ac:dyDescent="0.25">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ht="14.25" customHeight="1" spans="1:26" x14ac:dyDescent="0.25">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ht="14.25" customHeight="1" spans="1:26" x14ac:dyDescent="0.25">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ht="14.25" customHeight="1" spans="1:26" x14ac:dyDescent="0.25">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ht="14.25" customHeight="1" spans="1:26" x14ac:dyDescent="0.25">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ht="14.25" customHeight="1" spans="1:26" x14ac:dyDescent="0.25">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ht="14.25" customHeight="1" spans="1:26" x14ac:dyDescent="0.25">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ht="14.25" customHeight="1" spans="1:26" x14ac:dyDescent="0.2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ht="14.25" customHeight="1" spans="1:26" x14ac:dyDescent="0.25">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ht="14.25" customHeight="1" spans="1:26" x14ac:dyDescent="0.25">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ht="14.25" customHeight="1" spans="1:26" x14ac:dyDescent="0.25">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ht="14.25" customHeight="1" spans="1:26" x14ac:dyDescent="0.25">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ht="14.25" customHeight="1" spans="1:26" x14ac:dyDescent="0.25">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ht="14.25" customHeight="1" spans="1:26" x14ac:dyDescent="0.25">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ht="14.25" customHeight="1" spans="1:26" x14ac:dyDescent="0.25">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ht="14.25" customHeight="1" spans="1:26" x14ac:dyDescent="0.25">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ht="14.25" customHeight="1" spans="1:26" x14ac:dyDescent="0.25">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ht="14.25" customHeight="1" spans="1:26" x14ac:dyDescent="0.2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ht="14.25" customHeight="1" spans="1:26" x14ac:dyDescent="0.25">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ht="14.25" customHeight="1" spans="1:26" x14ac:dyDescent="0.25">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ht="14.25" customHeight="1" spans="1:26" x14ac:dyDescent="0.25">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ht="14.25" customHeight="1" spans="1:26" x14ac:dyDescent="0.25">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ht="14.25" customHeight="1" spans="1:26" x14ac:dyDescent="0.25">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ht="14.25" customHeight="1" spans="1:26" x14ac:dyDescent="0.25">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ht="14.25" customHeight="1" spans="1:26" x14ac:dyDescent="0.25">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ht="14.25" customHeight="1" spans="1:26" x14ac:dyDescent="0.25">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ht="14.25" customHeight="1" spans="1:26" x14ac:dyDescent="0.25">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ht="14.25" customHeight="1" spans="1:26" x14ac:dyDescent="0.2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ht="14.25" customHeight="1" spans="1:26" x14ac:dyDescent="0.25">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ht="14.25" customHeight="1" spans="1:26" x14ac:dyDescent="0.25">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ht="14.25" customHeight="1" spans="1:26" x14ac:dyDescent="0.25">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ht="14.25" customHeight="1" spans="1:26" x14ac:dyDescent="0.25">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ht="14.25" customHeight="1" spans="1:26" x14ac:dyDescent="0.25">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ht="14.25" customHeight="1" spans="1:26" x14ac:dyDescent="0.25">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ht="14.25" customHeight="1" spans="1:26" x14ac:dyDescent="0.25">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ht="14.25" customHeight="1" spans="1:26" x14ac:dyDescent="0.25">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ht="14.25" customHeight="1" spans="1:26" x14ac:dyDescent="0.25">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ht="14.25" customHeight="1" spans="1:26" x14ac:dyDescent="0.2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ht="14.25" customHeight="1" spans="1:26" x14ac:dyDescent="0.25">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ht="14.25" customHeight="1" spans="1:26" x14ac:dyDescent="0.25">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ht="14.25" customHeight="1" spans="1:26" x14ac:dyDescent="0.25">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ht="14.25" customHeight="1" spans="1:26" x14ac:dyDescent="0.25">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ht="14.25" customHeight="1" spans="1:26" x14ac:dyDescent="0.25">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ht="14.25" customHeight="1" spans="1:26" x14ac:dyDescent="0.25">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ht="14.25" customHeight="1" spans="1:26" x14ac:dyDescent="0.25">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ht="14.25" customHeight="1" spans="1:26" x14ac:dyDescent="0.25">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ht="14.25" customHeight="1" spans="1:26" x14ac:dyDescent="0.25">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ht="14.25" customHeight="1" spans="1:26" x14ac:dyDescent="0.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ht="14.25" customHeight="1" spans="1:26" x14ac:dyDescent="0.25">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ht="14.25" customHeight="1" spans="1:26" x14ac:dyDescent="0.25">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ht="14.25" customHeight="1" spans="1:26" x14ac:dyDescent="0.25">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ht="14.25" customHeight="1" spans="1:26" x14ac:dyDescent="0.25">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ht="14.25" customHeight="1" spans="1:26" x14ac:dyDescent="0.25">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ht="14.25" customHeight="1" spans="1:26" x14ac:dyDescent="0.25">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ht="14.25" customHeight="1" spans="1:26" x14ac:dyDescent="0.25">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ht="14.25" customHeight="1" spans="1:26" x14ac:dyDescent="0.25">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ht="14.25" customHeight="1" spans="1:26" x14ac:dyDescent="0.25">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ht="14.25" customHeight="1" spans="1:26" x14ac:dyDescent="0.2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ht="14.25" customHeight="1" spans="1:26" x14ac:dyDescent="0.25">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ht="14.25" customHeight="1" spans="1:26" x14ac:dyDescent="0.25">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ht="14.25" customHeight="1" spans="1:26" x14ac:dyDescent="0.25">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ht="14.25" customHeight="1" spans="1:26" x14ac:dyDescent="0.25">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ht="14.25" customHeight="1" spans="1:26" x14ac:dyDescent="0.25">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ht="14.25" customHeight="1" spans="1:26" x14ac:dyDescent="0.25">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ht="14.25" customHeight="1" spans="1:26" x14ac:dyDescent="0.25">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ht="14.25" customHeight="1" spans="1:26" x14ac:dyDescent="0.25">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ht="14.25" customHeight="1" spans="1:26" x14ac:dyDescent="0.25">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ht="14.25" customHeight="1" spans="1:26" x14ac:dyDescent="0.2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ht="14.25" customHeight="1" spans="1:26" x14ac:dyDescent="0.25">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ht="14.25" customHeight="1" spans="1:26" x14ac:dyDescent="0.25">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ht="14.25" customHeight="1" spans="1:26" x14ac:dyDescent="0.25">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ht="14.25" customHeight="1" spans="1:26" x14ac:dyDescent="0.25">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ht="14.25" customHeight="1" spans="1:26" x14ac:dyDescent="0.25">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ht="14.25" customHeight="1" spans="1:26" x14ac:dyDescent="0.25">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ht="14.25" customHeight="1" spans="1:26" x14ac:dyDescent="0.25">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ht="14.25" customHeight="1" spans="1:26" x14ac:dyDescent="0.25">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ht="14.25" customHeight="1" spans="1:26" x14ac:dyDescent="0.25">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ht="14.25" customHeight="1" spans="1:26" x14ac:dyDescent="0.2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ht="14.25" customHeight="1" spans="1:26" x14ac:dyDescent="0.25">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ht="14.25" customHeight="1" spans="1:26" x14ac:dyDescent="0.25">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ht="14.25" customHeight="1" spans="1:26" x14ac:dyDescent="0.25">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ht="14.25" customHeight="1" spans="1:26" x14ac:dyDescent="0.25">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ht="14.25" customHeight="1" spans="1:26" x14ac:dyDescent="0.25">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ht="14.25" customHeight="1" spans="1:26" x14ac:dyDescent="0.25">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ht="14.25" customHeight="1" spans="1:26" x14ac:dyDescent="0.25">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ht="14.25" customHeight="1" spans="1:26" x14ac:dyDescent="0.25">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ht="14.25" customHeight="1" spans="1:26" x14ac:dyDescent="0.25">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ht="14.25" customHeight="1" spans="1:26" x14ac:dyDescent="0.2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ht="14.25" customHeight="1" spans="1:26" x14ac:dyDescent="0.25">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ht="14.25" customHeight="1" spans="1:26" x14ac:dyDescent="0.25">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ht="14.25" customHeight="1" spans="1:26" x14ac:dyDescent="0.25">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ht="14.25" customHeight="1" spans="1:26" x14ac:dyDescent="0.25">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ht="14.25" customHeight="1" spans="1:26" x14ac:dyDescent="0.25">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ht="14.25" customHeight="1" spans="1:26" x14ac:dyDescent="0.25">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ht="14.25" customHeight="1" spans="1:26" x14ac:dyDescent="0.25">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ht="14.25" customHeight="1" spans="1:26" x14ac:dyDescent="0.25">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ht="14.25" customHeight="1" spans="1:26" x14ac:dyDescent="0.25">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ht="14.25" customHeight="1" spans="1:26" x14ac:dyDescent="0.2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ht="14.25" customHeight="1" spans="1:26" x14ac:dyDescent="0.25">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ht="14.25" customHeight="1" spans="1:26" x14ac:dyDescent="0.25">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ht="14.25" customHeight="1" spans="1:26" x14ac:dyDescent="0.25">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ht="14.25" customHeight="1" spans="1:26" x14ac:dyDescent="0.25">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ht="14.25" customHeight="1" spans="1:26" x14ac:dyDescent="0.25">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ht="14.25" customHeight="1" spans="1:26" x14ac:dyDescent="0.25">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ht="14.25" customHeight="1" spans="1:26" x14ac:dyDescent="0.25">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ht="14.25" customHeight="1" spans="1:26" x14ac:dyDescent="0.25">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ht="14.25" customHeight="1" spans="1:26" x14ac:dyDescent="0.25">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ht="14.25" customHeight="1" spans="1:26" x14ac:dyDescent="0.2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ht="14.25" customHeight="1" spans="1:26" x14ac:dyDescent="0.25">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ht="14.25" customHeight="1" spans="1:26" x14ac:dyDescent="0.25">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ht="14.25" customHeight="1" spans="1:26" x14ac:dyDescent="0.25">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ht="14.25" customHeight="1" spans="1:26" x14ac:dyDescent="0.25">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ht="14.25" customHeight="1" spans="1:26" x14ac:dyDescent="0.25">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ht="14.25" customHeight="1" spans="1:26" x14ac:dyDescent="0.25">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ht="14.25" customHeight="1" spans="1:26" x14ac:dyDescent="0.25">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ht="14.25" customHeight="1" spans="1:26" x14ac:dyDescent="0.25">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ht="14.25" customHeight="1" spans="1:26" x14ac:dyDescent="0.25">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ht="14.25" customHeight="1" spans="1:26" x14ac:dyDescent="0.2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ht="14.25" customHeight="1" spans="1:26" x14ac:dyDescent="0.25">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ht="14.25" customHeight="1" spans="1:26" x14ac:dyDescent="0.25">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ht="14.25" customHeight="1" spans="1:26" x14ac:dyDescent="0.25">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ht="14.25" customHeight="1" spans="1:26" x14ac:dyDescent="0.25">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ht="14.25" customHeight="1" spans="1:26" x14ac:dyDescent="0.25">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ht="14.25" customHeight="1" spans="1:26" x14ac:dyDescent="0.25">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ht="14.25" customHeight="1" spans="1:26" x14ac:dyDescent="0.25">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ht="14.25" customHeight="1" spans="1:26" x14ac:dyDescent="0.25">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ht="14.25" customHeight="1" spans="1:26" x14ac:dyDescent="0.25">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ht="14.25" customHeight="1" spans="1:26" x14ac:dyDescent="0.2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ht="14.25" customHeight="1" spans="1:26" x14ac:dyDescent="0.25">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ht="14.25" customHeight="1" spans="1:26" x14ac:dyDescent="0.25">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ht="14.25" customHeight="1" spans="1:26" x14ac:dyDescent="0.25">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ht="14.25" customHeight="1" spans="1:26" x14ac:dyDescent="0.25">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ht="14.25" customHeight="1" spans="1:26" x14ac:dyDescent="0.25">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ht="14.25" customHeight="1" spans="1:26" x14ac:dyDescent="0.25">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ht="14.25" customHeight="1" spans="1:26" x14ac:dyDescent="0.25">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ht="14.25" customHeight="1" spans="1:26" x14ac:dyDescent="0.25">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ht="14.25" customHeight="1" spans="1:26" x14ac:dyDescent="0.25">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ht="14.25" customHeight="1" spans="1:26" x14ac:dyDescent="0.2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ht="14.25" customHeight="1" spans="1:26" x14ac:dyDescent="0.25">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ht="14.25" customHeight="1" spans="1:26" x14ac:dyDescent="0.25">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ht="14.25" customHeight="1" spans="1:26" x14ac:dyDescent="0.25">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ht="14.25" customHeight="1" spans="1:26" x14ac:dyDescent="0.25">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ht="14.25" customHeight="1" spans="1:26" x14ac:dyDescent="0.25">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ht="14.25" customHeight="1" spans="1:26" x14ac:dyDescent="0.25">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ht="14.25" customHeight="1" spans="1:26" x14ac:dyDescent="0.25">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ht="14.25" customHeight="1" spans="1:26" x14ac:dyDescent="0.25">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ht="14.25" customHeight="1" spans="1:26" x14ac:dyDescent="0.25">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ht="14.25" customHeight="1" spans="1:26" x14ac:dyDescent="0.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ht="14.25" customHeight="1" spans="1:26" x14ac:dyDescent="0.25">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ht="14.25" customHeight="1" spans="1:26" x14ac:dyDescent="0.25">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ht="14.25" customHeight="1" spans="1:26" x14ac:dyDescent="0.25">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ht="14.25" customHeight="1" spans="1:26" x14ac:dyDescent="0.25">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ht="14.25" customHeight="1" spans="1:26" x14ac:dyDescent="0.25">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ht="14.25" customHeight="1" spans="1:26" x14ac:dyDescent="0.25">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ht="14.25" customHeight="1" spans="1:26" x14ac:dyDescent="0.25">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ht="14.25" customHeight="1" spans="1:26" x14ac:dyDescent="0.25">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ht="14.25" customHeight="1" spans="1:26" x14ac:dyDescent="0.25">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ht="14.25" customHeight="1" spans="1:26" x14ac:dyDescent="0.2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ht="14.25" customHeight="1" spans="1:26" x14ac:dyDescent="0.25">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ht="14.25" customHeight="1" spans="1:26" x14ac:dyDescent="0.25">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ht="14.25" customHeight="1" spans="1:26" x14ac:dyDescent="0.25">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ht="14.25" customHeight="1" spans="1:26" x14ac:dyDescent="0.25">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ht="14.25" customHeight="1" spans="1:26" x14ac:dyDescent="0.25">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ht="14.25" customHeight="1" spans="1:26" x14ac:dyDescent="0.25">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ht="14.25" customHeight="1" spans="1:26" x14ac:dyDescent="0.25">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ht="14.25" customHeight="1" spans="1:26" x14ac:dyDescent="0.25">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ht="14.25" customHeight="1" spans="1:26" x14ac:dyDescent="0.25">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ht="14.25" customHeight="1" spans="1:26" x14ac:dyDescent="0.2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ht="14.25" customHeight="1" spans="1:26" x14ac:dyDescent="0.25">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ht="14.25" customHeight="1" spans="1:26" x14ac:dyDescent="0.25">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ht="14.25" customHeight="1" spans="1:26" x14ac:dyDescent="0.25">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ht="14.25" customHeight="1" spans="1:26" x14ac:dyDescent="0.25">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ht="14.25" customHeight="1" spans="1:26" x14ac:dyDescent="0.25">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ht="14.25" customHeight="1" spans="1:26" x14ac:dyDescent="0.25">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ht="14.25" customHeight="1" spans="1:26" x14ac:dyDescent="0.25">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ht="14.25" customHeight="1" spans="1:26" x14ac:dyDescent="0.25">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ht="14.25" customHeight="1" spans="1:26" x14ac:dyDescent="0.25">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ht="14.25" customHeight="1" spans="1:26" x14ac:dyDescent="0.2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ht="14.25" customHeight="1" spans="1:26" x14ac:dyDescent="0.25">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ht="14.25" customHeight="1" spans="1:26" x14ac:dyDescent="0.25">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ht="14.25" customHeight="1" spans="1:26" x14ac:dyDescent="0.25">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ht="14.25" customHeight="1" spans="1:26" x14ac:dyDescent="0.25">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ht="14.25" customHeight="1" spans="1:26" x14ac:dyDescent="0.25">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ht="14.25" customHeight="1" spans="1:26" x14ac:dyDescent="0.25">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ht="14.25" customHeight="1" spans="1:26" x14ac:dyDescent="0.25">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ht="14.25" customHeight="1" spans="1:26" x14ac:dyDescent="0.25">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ht="14.25" customHeight="1" spans="1:26" x14ac:dyDescent="0.25">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ht="14.25" customHeight="1" spans="1:26" x14ac:dyDescent="0.2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ht="14.25" customHeight="1" spans="1:26" x14ac:dyDescent="0.25">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ht="14.25" customHeight="1" spans="1:26" x14ac:dyDescent="0.25">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ht="14.25" customHeight="1" spans="1:26" x14ac:dyDescent="0.25">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ht="14.25" customHeight="1" spans="1:26" x14ac:dyDescent="0.25">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ht="14.25" customHeight="1" spans="1:26" x14ac:dyDescent="0.25">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ht="14.25" customHeight="1" spans="1:26" x14ac:dyDescent="0.25">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ht="14.25" customHeight="1" spans="1:26" x14ac:dyDescent="0.25">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ht="14.25" customHeight="1" spans="1:26" x14ac:dyDescent="0.25">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ht="14.25" customHeight="1" spans="1:26" x14ac:dyDescent="0.25">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ht="14.25" customHeight="1" spans="1:26" x14ac:dyDescent="0.2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ht="14.25" customHeight="1" spans="1:26" x14ac:dyDescent="0.25">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ht="14.25" customHeight="1" spans="1:26" x14ac:dyDescent="0.25">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ht="14.25" customHeight="1" spans="1:26" x14ac:dyDescent="0.25">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ht="14.25" customHeight="1" spans="1:26" x14ac:dyDescent="0.25">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ht="14.25" customHeight="1" spans="1:26" x14ac:dyDescent="0.25">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ht="14.25" customHeight="1" spans="1:26" x14ac:dyDescent="0.25">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ht="14.25" customHeight="1" spans="1:26" x14ac:dyDescent="0.25">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ht="14.25" customHeight="1" spans="1:26" x14ac:dyDescent="0.25">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ht="14.25" customHeight="1" spans="1:26" x14ac:dyDescent="0.25">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ht="14.25" customHeight="1" spans="1:26" x14ac:dyDescent="0.2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ht="14.25" customHeight="1" spans="1:26" x14ac:dyDescent="0.25">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ht="14.25" customHeight="1" spans="1:26" x14ac:dyDescent="0.25">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ht="14.25" customHeight="1" spans="1:26" x14ac:dyDescent="0.25">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ht="14.25" customHeight="1" spans="1:26" x14ac:dyDescent="0.25">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ht="14.25" customHeight="1" spans="1:26" x14ac:dyDescent="0.25">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ht="14.25" customHeight="1" spans="1:26" x14ac:dyDescent="0.25">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ht="14.25" customHeight="1" spans="1:26" x14ac:dyDescent="0.25">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ht="14.25" customHeight="1" spans="1:26" x14ac:dyDescent="0.25">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ht="14.25" customHeight="1" spans="1:26" x14ac:dyDescent="0.25">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ht="14.25" customHeight="1" spans="1:26" x14ac:dyDescent="0.2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ht="14.25" customHeight="1" spans="1:26" x14ac:dyDescent="0.25">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ht="14.25" customHeight="1" spans="1:26" x14ac:dyDescent="0.25">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ht="14.25" customHeight="1" spans="1:26" x14ac:dyDescent="0.25">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ht="14.25" customHeight="1" spans="1:26" x14ac:dyDescent="0.25">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ht="14.25" customHeight="1" spans="1:26" x14ac:dyDescent="0.25">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ht="14.25" customHeight="1" spans="1:26" x14ac:dyDescent="0.25">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ht="14.25" customHeight="1" spans="1:26" x14ac:dyDescent="0.25">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ht="14.25" customHeight="1" spans="1:26" x14ac:dyDescent="0.25">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ht="14.25" customHeight="1" spans="1:26" x14ac:dyDescent="0.25">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ht="14.25" customHeight="1" spans="1:26" x14ac:dyDescent="0.2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ht="14.25" customHeight="1" spans="1:26" x14ac:dyDescent="0.25">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ht="14.25" customHeight="1" spans="1:26" x14ac:dyDescent="0.25">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ht="14.25" customHeight="1" spans="1:26" x14ac:dyDescent="0.25">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ht="14.25" customHeight="1" spans="1:26" x14ac:dyDescent="0.25">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ht="14.25" customHeight="1" spans="1:26" x14ac:dyDescent="0.25">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ht="14.25" customHeight="1" spans="1:26" x14ac:dyDescent="0.25">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ht="14.25" customHeight="1" spans="1:26" x14ac:dyDescent="0.25">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ht="14.25" customHeight="1" spans="1:26" x14ac:dyDescent="0.25">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ht="14.25" customHeight="1" spans="1:26" x14ac:dyDescent="0.25">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ht="14.25" customHeight="1" spans="1:26" x14ac:dyDescent="0.2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ht="14.25" customHeight="1" spans="1:26" x14ac:dyDescent="0.25">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ht="14.25" customHeight="1" spans="1:26" x14ac:dyDescent="0.25">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ht="14.25" customHeight="1" spans="1:26" x14ac:dyDescent="0.25">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ht="14.25" customHeight="1" spans="1:26" x14ac:dyDescent="0.25">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ht="14.25" customHeight="1" spans="1:26" x14ac:dyDescent="0.25">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ht="14.25" customHeight="1" spans="1:26" x14ac:dyDescent="0.25">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ht="14.25" customHeight="1" spans="1:26" x14ac:dyDescent="0.25">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ht="14.25" customHeight="1" spans="1:26" x14ac:dyDescent="0.25">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ht="14.25" customHeight="1" spans="1:26" x14ac:dyDescent="0.25">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ht="14.25" customHeight="1" spans="1:26" x14ac:dyDescent="0.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ht="14.25" customHeight="1" spans="1:26" x14ac:dyDescent="0.25">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ht="14.25" customHeight="1" spans="1:26" x14ac:dyDescent="0.25">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ht="14.25" customHeight="1" spans="1:26" x14ac:dyDescent="0.25">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ht="14.25" customHeight="1" spans="1:26" x14ac:dyDescent="0.25">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ht="14.25" customHeight="1" spans="1:26" x14ac:dyDescent="0.25">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ht="14.25" customHeight="1" spans="1:26" x14ac:dyDescent="0.25">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ht="14.25" customHeight="1" spans="1:26" x14ac:dyDescent="0.25">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ht="14.25" customHeight="1" spans="1:26" x14ac:dyDescent="0.25">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ht="14.25" customHeight="1" spans="1:26" x14ac:dyDescent="0.25">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ht="14.25" customHeight="1" spans="1:26" x14ac:dyDescent="0.2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ht="14.25" customHeight="1" spans="1:26" x14ac:dyDescent="0.25">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ht="14.25" customHeight="1" spans="1:26" x14ac:dyDescent="0.25">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ht="14.25" customHeight="1" spans="1:26" x14ac:dyDescent="0.25">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ht="14.25" customHeight="1" spans="1:26" x14ac:dyDescent="0.25">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ht="14.25" customHeight="1" spans="1:26" x14ac:dyDescent="0.25">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ht="14.25" customHeight="1" spans="1:26" x14ac:dyDescent="0.25">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ht="14.25" customHeight="1" spans="1:26" x14ac:dyDescent="0.25">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ht="14.25" customHeight="1" spans="1:26" x14ac:dyDescent="0.25">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ht="14.25" customHeight="1" spans="1:26" x14ac:dyDescent="0.25">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ht="14.25" customHeight="1" spans="1:26" x14ac:dyDescent="0.2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ht="14.25" customHeight="1" spans="1:26" x14ac:dyDescent="0.25">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ht="14.25" customHeight="1" spans="1:26" x14ac:dyDescent="0.25">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ht="14.25" customHeight="1" spans="1:26" x14ac:dyDescent="0.25">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ht="14.25" customHeight="1" spans="1:26" x14ac:dyDescent="0.25">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ht="14.25" customHeight="1" spans="1:26" x14ac:dyDescent="0.25">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ht="14.25" customHeight="1" spans="1:26" x14ac:dyDescent="0.25">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ht="14.25" customHeight="1" spans="1:26" x14ac:dyDescent="0.25">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ht="14.25" customHeight="1" spans="1:26" x14ac:dyDescent="0.25">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ht="14.25" customHeight="1" spans="1:26" x14ac:dyDescent="0.25">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ht="14.25" customHeight="1" spans="1:26" x14ac:dyDescent="0.2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ht="14.25" customHeight="1" spans="1:26" x14ac:dyDescent="0.25">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ht="14.25" customHeight="1" spans="1:26" x14ac:dyDescent="0.25">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ht="14.25" customHeight="1" spans="1:26" x14ac:dyDescent="0.25">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ht="14.25" customHeight="1" spans="1:26" x14ac:dyDescent="0.25">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ht="14.25" customHeight="1" spans="1:26" x14ac:dyDescent="0.25">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ht="14.25" customHeight="1" spans="1:26" x14ac:dyDescent="0.25">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ht="14.25" customHeight="1" spans="1:26" x14ac:dyDescent="0.25">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ht="14.25" customHeight="1" spans="1:26" x14ac:dyDescent="0.25">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ht="14.25" customHeight="1" spans="1:26" x14ac:dyDescent="0.25">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ht="14.25" customHeight="1" spans="1:26" x14ac:dyDescent="0.2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ht="14.25" customHeight="1" spans="1:26" x14ac:dyDescent="0.25">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ht="14.25" customHeight="1" spans="1:26" x14ac:dyDescent="0.25">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ht="14.25" customHeight="1" spans="1:26" x14ac:dyDescent="0.25">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ht="14.25" customHeight="1" spans="1:26" x14ac:dyDescent="0.25">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ht="14.25" customHeight="1" spans="1:26" x14ac:dyDescent="0.25">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ht="14.25" customHeight="1" spans="1:26" x14ac:dyDescent="0.25">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ht="14.25" customHeight="1" spans="1:26" x14ac:dyDescent="0.25">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ht="14.25" customHeight="1" spans="1:26" x14ac:dyDescent="0.25">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ht="14.25" customHeight="1" spans="1:26" x14ac:dyDescent="0.25">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ht="14.25" customHeight="1" spans="1:26" x14ac:dyDescent="0.2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ht="14.25" customHeight="1" spans="1:26" x14ac:dyDescent="0.25">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ht="14.25" customHeight="1" spans="1:26" x14ac:dyDescent="0.25">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ht="14.25" customHeight="1" spans="1:26" x14ac:dyDescent="0.25">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ht="14.25" customHeight="1" spans="1:26" x14ac:dyDescent="0.25">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ht="14.25" customHeight="1" spans="1:26" x14ac:dyDescent="0.25">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ht="14.25" customHeight="1" spans="1:26" x14ac:dyDescent="0.25">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ht="14.25" customHeight="1" spans="1:26" x14ac:dyDescent="0.25">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ht="14.25" customHeight="1" spans="1:26" x14ac:dyDescent="0.25">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ht="14.25" customHeight="1" spans="1:26" x14ac:dyDescent="0.25">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ht="14.25" customHeight="1" spans="1:26" x14ac:dyDescent="0.2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ht="14.25" customHeight="1" spans="1:26" x14ac:dyDescent="0.25">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ht="14.25" customHeight="1" spans="1:26" x14ac:dyDescent="0.25">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ht="14.25" customHeight="1" spans="1:26" x14ac:dyDescent="0.25">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ht="14.25" customHeight="1" spans="1:26" x14ac:dyDescent="0.25">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ht="14.25" customHeight="1" spans="1:26" x14ac:dyDescent="0.25">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ht="14.25" customHeight="1" spans="1:26" x14ac:dyDescent="0.25">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ht="14.25" customHeight="1" spans="1:26" x14ac:dyDescent="0.25">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ht="14.25" customHeight="1" spans="1:26" x14ac:dyDescent="0.25">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ht="14.25" customHeight="1" spans="1:26" x14ac:dyDescent="0.25">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ht="14.25" customHeight="1" spans="1:26" x14ac:dyDescent="0.2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ht="14.25" customHeight="1" spans="1:26" x14ac:dyDescent="0.25">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ht="14.25" customHeight="1" spans="1:26" x14ac:dyDescent="0.25">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ht="14.25" customHeight="1" spans="1:26" x14ac:dyDescent="0.25">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ht="14.25" customHeight="1" spans="1:26" x14ac:dyDescent="0.25">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ht="14.25" customHeight="1" spans="1:26" x14ac:dyDescent="0.25">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ht="14.25" customHeight="1" spans="1:26" x14ac:dyDescent="0.25">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ht="14.25" customHeight="1" spans="1:26" x14ac:dyDescent="0.25">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ht="14.25" customHeight="1" spans="1:26" x14ac:dyDescent="0.25">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ht="14.25" customHeight="1" spans="1:26" x14ac:dyDescent="0.25">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ht="14.25" customHeight="1" spans="1:26" x14ac:dyDescent="0.2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ht="14.25" customHeight="1" spans="1:26" x14ac:dyDescent="0.25">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ht="14.25" customHeight="1" spans="1:26" x14ac:dyDescent="0.25">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ht="14.25" customHeight="1" spans="1:26" x14ac:dyDescent="0.25">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ht="14.25" customHeight="1" spans="1:26" x14ac:dyDescent="0.25">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ht="14.25" customHeight="1" spans="1:26" x14ac:dyDescent="0.25">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ht="14.25" customHeight="1" spans="1:26" x14ac:dyDescent="0.25">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ht="14.25" customHeight="1" spans="1:26" x14ac:dyDescent="0.25">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ht="14.25" customHeight="1" spans="1:26" x14ac:dyDescent="0.25">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ht="14.25" customHeight="1" spans="1:26" x14ac:dyDescent="0.25">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ht="14.25" customHeight="1" spans="1:26" x14ac:dyDescent="0.2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ht="14.25" customHeight="1" spans="1:26" x14ac:dyDescent="0.25">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ht="14.25" customHeight="1" spans="1:26" x14ac:dyDescent="0.25">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ht="14.25" customHeight="1" spans="1:26" x14ac:dyDescent="0.25">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ht="14.25" customHeight="1" spans="1:26" x14ac:dyDescent="0.25">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ht="14.25" customHeight="1" spans="1:26" x14ac:dyDescent="0.25">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ht="14.25" customHeight="1" spans="1:26" x14ac:dyDescent="0.25">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ht="14.25" customHeight="1" spans="1:26" x14ac:dyDescent="0.25">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ht="14.25" customHeight="1" spans="1:26" x14ac:dyDescent="0.25">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ht="14.25" customHeight="1" spans="1:26" x14ac:dyDescent="0.25">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ht="14.25" customHeight="1" spans="1:26" x14ac:dyDescent="0.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ht="14.25" customHeight="1" spans="1:26" x14ac:dyDescent="0.25">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ht="14.25" customHeight="1" spans="1:26" x14ac:dyDescent="0.25">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ht="14.25" customHeight="1" spans="1:26" x14ac:dyDescent="0.25">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ht="14.25" customHeight="1" spans="1:26" x14ac:dyDescent="0.25">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ht="14.25" customHeight="1" spans="1:26" x14ac:dyDescent="0.25">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ht="14.25" customHeight="1" spans="1:26" x14ac:dyDescent="0.25">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ht="14.25" customHeight="1" spans="1:26" x14ac:dyDescent="0.25">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ht="14.25" customHeight="1" spans="1:26" x14ac:dyDescent="0.25">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ht="14.25" customHeight="1" spans="1:26" x14ac:dyDescent="0.25">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ht="14.25" customHeight="1" spans="1:26" x14ac:dyDescent="0.2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ht="14.25" customHeight="1" spans="1:26" x14ac:dyDescent="0.25">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ht="14.25" customHeight="1" spans="1:26" x14ac:dyDescent="0.25">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ht="14.25" customHeight="1" spans="1:26" x14ac:dyDescent="0.25">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ht="14.25" customHeight="1" spans="1:26" x14ac:dyDescent="0.25">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ht="14.25" customHeight="1" spans="1:26" x14ac:dyDescent="0.25">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ht="14.25" customHeight="1" spans="1:26" x14ac:dyDescent="0.25">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ht="14.25" customHeight="1" spans="1:26" x14ac:dyDescent="0.25">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ht="14.25" customHeight="1" spans="1:26" x14ac:dyDescent="0.25">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ht="14.25" customHeight="1" spans="1:26" x14ac:dyDescent="0.25">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ht="14.25" customHeight="1" spans="1:26" x14ac:dyDescent="0.2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ht="14.25" customHeight="1" spans="1:26" x14ac:dyDescent="0.25">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ht="14.25" customHeight="1" spans="1:26" x14ac:dyDescent="0.25">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ht="14.25" customHeight="1" spans="1:26" x14ac:dyDescent="0.25">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ht="14.25" customHeight="1" spans="1:26" x14ac:dyDescent="0.25">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ht="14.25" customHeight="1" spans="1:26" x14ac:dyDescent="0.25">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ht="14.25" customHeight="1" spans="1:26" x14ac:dyDescent="0.25">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ht="14.25" customHeight="1" spans="1:26" x14ac:dyDescent="0.25">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ht="14.25" customHeight="1" spans="1:26" x14ac:dyDescent="0.25">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ht="14.25" customHeight="1" spans="1:26" x14ac:dyDescent="0.25">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ht="14.25" customHeight="1" spans="1:26" x14ac:dyDescent="0.2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ht="14.25" customHeight="1" spans="1:26" x14ac:dyDescent="0.25">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ht="14.25" customHeight="1" spans="1:26" x14ac:dyDescent="0.25">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ht="14.25" customHeight="1" spans="1:26" x14ac:dyDescent="0.25">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ht="14.25" customHeight="1" spans="1:26" x14ac:dyDescent="0.25">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ht="14.25" customHeight="1" spans="1:26" x14ac:dyDescent="0.25">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ht="14.25" customHeight="1" spans="1:26" x14ac:dyDescent="0.25">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ht="14.25" customHeight="1" spans="1:26" x14ac:dyDescent="0.25">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ht="14.25" customHeight="1" spans="1:26" x14ac:dyDescent="0.25">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ht="14.25" customHeight="1" spans="1:26" x14ac:dyDescent="0.25">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ht="14.25" customHeight="1" spans="1:26" x14ac:dyDescent="0.2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ht="14.25" customHeight="1" spans="1:26" x14ac:dyDescent="0.25">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ht="14.25" customHeight="1" spans="1:26" x14ac:dyDescent="0.25">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ht="14.25" customHeight="1" spans="1:26" x14ac:dyDescent="0.25">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ht="14.25" customHeight="1" spans="1:26" x14ac:dyDescent="0.25">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ht="14.25" customHeight="1" spans="1:26" x14ac:dyDescent="0.25">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ht="14.25" customHeight="1" spans="1:26" x14ac:dyDescent="0.25">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ht="14.25" customHeight="1" spans="1:26" x14ac:dyDescent="0.25">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ht="14.25" customHeight="1" spans="1:26" x14ac:dyDescent="0.25">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ht="14.25" customHeight="1" spans="1:26" x14ac:dyDescent="0.25">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ht="14.25" customHeight="1" spans="1:26" x14ac:dyDescent="0.2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ht="14.25" customHeight="1" spans="1:26" x14ac:dyDescent="0.25">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ht="14.25" customHeight="1" spans="1:26" x14ac:dyDescent="0.25">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ht="14.25" customHeight="1" spans="1:26" x14ac:dyDescent="0.25">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ht="14.25" customHeight="1" spans="1:26" x14ac:dyDescent="0.25">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ht="14.25" customHeight="1" spans="1:26" x14ac:dyDescent="0.25">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ht="14.25" customHeight="1" spans="1:26" x14ac:dyDescent="0.25">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ht="14.25" customHeight="1" spans="1:26" x14ac:dyDescent="0.25">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ht="14.25" customHeight="1" spans="1:26" x14ac:dyDescent="0.25">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ht="14.25" customHeight="1" spans="1:26" x14ac:dyDescent="0.25">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ht="14.25" customHeight="1" spans="1:26" x14ac:dyDescent="0.2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ht="14.25" customHeight="1" spans="1:26" x14ac:dyDescent="0.25">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ht="14.25" customHeight="1" spans="1:26" x14ac:dyDescent="0.25">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ht="14.25" customHeight="1" spans="1:26" x14ac:dyDescent="0.25">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ht="14.25" customHeight="1" spans="1:26" x14ac:dyDescent="0.25">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ht="14.25" customHeight="1" spans="1:26" x14ac:dyDescent="0.25">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ht="14.25" customHeight="1" spans="1:26" x14ac:dyDescent="0.25">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ht="14.25" customHeight="1" spans="1:26" x14ac:dyDescent="0.25">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ht="14.25" customHeight="1" spans="1:26" x14ac:dyDescent="0.25">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ht="14.25" customHeight="1" spans="1:26" x14ac:dyDescent="0.25">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ht="14.25" customHeight="1" spans="1:26" x14ac:dyDescent="0.2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ht="14.25" customHeight="1" spans="1:26" x14ac:dyDescent="0.25">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ht="14.25" customHeight="1" spans="1:26" x14ac:dyDescent="0.25">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ht="14.25" customHeight="1" spans="1:26" x14ac:dyDescent="0.25">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ht="14.25" customHeight="1" spans="1:26" x14ac:dyDescent="0.25">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ht="14.25" customHeight="1" spans="1:26" x14ac:dyDescent="0.25">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ht="14.25" customHeight="1" spans="1:26" x14ac:dyDescent="0.25">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ht="14.25" customHeight="1" spans="1:26" x14ac:dyDescent="0.25">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ht="14.25" customHeight="1" spans="1:26" x14ac:dyDescent="0.25">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ht="14.25" customHeight="1" spans="1:26" x14ac:dyDescent="0.25">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ht="14.25" customHeight="1" spans="1:26" x14ac:dyDescent="0.2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ht="14.25" customHeight="1" spans="1:26" x14ac:dyDescent="0.25">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ht="14.25" customHeight="1" spans="1:26" x14ac:dyDescent="0.25">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ht="14.25" customHeight="1" spans="1:26" x14ac:dyDescent="0.25">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ht="14.25" customHeight="1" spans="1:26" x14ac:dyDescent="0.25">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ht="14.25" customHeight="1" spans="1:26" x14ac:dyDescent="0.25">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ht="14.25" customHeight="1" spans="1:26" x14ac:dyDescent="0.25">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ht="14.25" customHeight="1" spans="1:26" x14ac:dyDescent="0.25">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ht="14.25" customHeight="1" spans="1:26" x14ac:dyDescent="0.25">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ht="14.25" customHeight="1" spans="1:26" x14ac:dyDescent="0.25">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ht="14.25" customHeight="1" spans="1:26" x14ac:dyDescent="0.2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ht="14.25" customHeight="1" spans="1:26" x14ac:dyDescent="0.25">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ht="14.25" customHeight="1" spans="1:26" x14ac:dyDescent="0.25">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ht="14.25" customHeight="1" spans="1:26" x14ac:dyDescent="0.25">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ht="14.25" customHeight="1" spans="1:26" x14ac:dyDescent="0.25">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ht="14.25" customHeight="1" spans="1:26" x14ac:dyDescent="0.25">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ht="14.25" customHeight="1" spans="1:26" x14ac:dyDescent="0.25">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ht="14.25" customHeight="1" spans="1:26" x14ac:dyDescent="0.25">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ht="14.25" customHeight="1" spans="1:26" x14ac:dyDescent="0.25">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ht="14.25" customHeight="1" spans="1:26" x14ac:dyDescent="0.25">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ht="14.25" customHeight="1" spans="1:26" x14ac:dyDescent="0.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ht="14.25" customHeight="1" spans="1:26" x14ac:dyDescent="0.25">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ht="14.25" customHeight="1" spans="1:26" x14ac:dyDescent="0.25">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ht="14.25" customHeight="1" spans="1:26" x14ac:dyDescent="0.25">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ht="14.25" customHeight="1" spans="1:26" x14ac:dyDescent="0.25">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ht="14.25" customHeight="1" spans="1:26" x14ac:dyDescent="0.25">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ht="14.25" customHeight="1" spans="1:26" x14ac:dyDescent="0.25">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ht="14.25" customHeight="1" spans="1:26" x14ac:dyDescent="0.25">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ht="14.25" customHeight="1" spans="1:26" x14ac:dyDescent="0.25">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ht="14.25" customHeight="1" spans="1:26" x14ac:dyDescent="0.25">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ht="14.25" customHeight="1" spans="1:26" x14ac:dyDescent="0.2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ht="14.25" customHeight="1" spans="1:26" x14ac:dyDescent="0.25">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ht="14.25" customHeight="1" spans="1:26" x14ac:dyDescent="0.25">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ht="14.25" customHeight="1" spans="1:26" x14ac:dyDescent="0.25">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ht="14.25" customHeight="1" spans="1:26" x14ac:dyDescent="0.25">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ht="14.25" customHeight="1" spans="1:26" x14ac:dyDescent="0.25">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ht="14.25" customHeight="1" spans="1:26" x14ac:dyDescent="0.25">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ht="14.25" customHeight="1" spans="1:26" x14ac:dyDescent="0.25">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ht="14.25" customHeight="1" spans="1:26" x14ac:dyDescent="0.25">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ht="14.25" customHeight="1" spans="1:26" x14ac:dyDescent="0.25">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ht="14.25" customHeight="1" spans="1:26" x14ac:dyDescent="0.2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ht="14.25" customHeight="1" spans="1:26" x14ac:dyDescent="0.25">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ht="14.25" customHeight="1" spans="1:26" x14ac:dyDescent="0.25">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ht="14.25" customHeight="1" spans="1:26" x14ac:dyDescent="0.25">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ht="14.25" customHeight="1" spans="1:26" x14ac:dyDescent="0.25">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ht="14.25" customHeight="1" spans="1:26" x14ac:dyDescent="0.25">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ht="14.25" customHeight="1" spans="1:26" x14ac:dyDescent="0.25">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ht="14.25" customHeight="1" spans="1:26" x14ac:dyDescent="0.25">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ht="14.25" customHeight="1" spans="1:26" x14ac:dyDescent="0.25">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ht="14.25" customHeight="1" spans="1:26" x14ac:dyDescent="0.25">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ht="14.25" customHeight="1" spans="1:26" x14ac:dyDescent="0.2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ht="14.25" customHeight="1" spans="1:26" x14ac:dyDescent="0.25">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ht="14.25" customHeight="1" spans="1:26" x14ac:dyDescent="0.25">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ht="14.25" customHeight="1" spans="1:26" x14ac:dyDescent="0.25">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ht="14.25" customHeight="1" spans="1:26" x14ac:dyDescent="0.25">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ht="14.25" customHeight="1" spans="1:26" x14ac:dyDescent="0.25">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ht="14.25" customHeight="1" spans="1:26" x14ac:dyDescent="0.25">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ht="14.25" customHeight="1" spans="1:26" x14ac:dyDescent="0.25">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ht="14.25" customHeight="1" spans="1:26" x14ac:dyDescent="0.25">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ht="14.25" customHeight="1" spans="1:26" x14ac:dyDescent="0.25">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ht="14.25" customHeight="1" spans="1:26" x14ac:dyDescent="0.2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ht="14.25" customHeight="1" spans="1:26" x14ac:dyDescent="0.25">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ht="14.25" customHeight="1" spans="1:26" x14ac:dyDescent="0.25">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ht="14.25" customHeight="1" spans="1:26" x14ac:dyDescent="0.25">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ht="14.25" customHeight="1" spans="1:26" x14ac:dyDescent="0.25">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ht="14.25" customHeight="1" spans="1:26" x14ac:dyDescent="0.25">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ht="14.25" customHeight="1" spans="1:26" x14ac:dyDescent="0.25">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ht="14.25" customHeight="1" spans="1:26" x14ac:dyDescent="0.25">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ht="14.25" customHeight="1" spans="1:26" x14ac:dyDescent="0.25">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ht="14.25" customHeight="1" spans="1:26" x14ac:dyDescent="0.25">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ht="14.25" customHeight="1" spans="1:26" x14ac:dyDescent="0.2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ht="14.25" customHeight="1" spans="1:26" x14ac:dyDescent="0.25">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ht="14.25" customHeight="1" spans="1:26" x14ac:dyDescent="0.25">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ht="14.25" customHeight="1" spans="1:26" x14ac:dyDescent="0.25">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ht="14.25" customHeight="1" spans="1:26" x14ac:dyDescent="0.25">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ht="14.25" customHeight="1" spans="1:26" x14ac:dyDescent="0.25">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ht="14.25" customHeight="1" spans="1:26" x14ac:dyDescent="0.25">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ht="14.25" customHeight="1" spans="1:26" x14ac:dyDescent="0.25">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ht="14.25" customHeight="1" spans="1:26" x14ac:dyDescent="0.25">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ht="14.25" customHeight="1" spans="1:26" x14ac:dyDescent="0.25">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ht="14.25" customHeight="1" spans="1:26" x14ac:dyDescent="0.2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ht="14.25" customHeight="1" spans="1:26" x14ac:dyDescent="0.25">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ht="14.25" customHeight="1" spans="1:26" x14ac:dyDescent="0.25">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ht="14.25" customHeight="1" spans="1:26" x14ac:dyDescent="0.25">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ht="14.25" customHeight="1" spans="1:26" x14ac:dyDescent="0.25">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ht="14.25" customHeight="1" spans="1:26" x14ac:dyDescent="0.25">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ht="14.25" customHeight="1" spans="1:26" x14ac:dyDescent="0.25">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ht="14.25" customHeight="1" spans="1:26" x14ac:dyDescent="0.25">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ht="14.25" customHeight="1" spans="1:26" x14ac:dyDescent="0.25">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ht="14.25" customHeight="1" spans="1:26" x14ac:dyDescent="0.25">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ht="14.25" customHeight="1" spans="1:26" x14ac:dyDescent="0.2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ht="14.25" customHeight="1" spans="1:26" x14ac:dyDescent="0.25">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ht="14.25" customHeight="1" spans="1:26" x14ac:dyDescent="0.25">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ht="14.25" customHeight="1" spans="1:26" x14ac:dyDescent="0.25">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ht="14.25" customHeight="1" spans="1:26" x14ac:dyDescent="0.25">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ht="14.25" customHeight="1" spans="1:26" x14ac:dyDescent="0.25">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ht="14.25" customHeight="1" spans="1:26" x14ac:dyDescent="0.25">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ht="14.25" customHeight="1" spans="1:26" x14ac:dyDescent="0.25">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ht="14.25" customHeight="1" spans="1:26" x14ac:dyDescent="0.25">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ht="14.25" customHeight="1" spans="1:26" x14ac:dyDescent="0.25">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ht="14.25" customHeight="1" spans="1:26" x14ac:dyDescent="0.2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ht="14.25" customHeight="1" spans="1:26" x14ac:dyDescent="0.25">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ht="14.25" customHeight="1" spans="1:26" x14ac:dyDescent="0.25">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ht="14.25" customHeight="1" spans="1:26" x14ac:dyDescent="0.25">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ht="14.25" customHeight="1" spans="1:26" x14ac:dyDescent="0.25">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ht="14.25" customHeight="1" spans="1:26" x14ac:dyDescent="0.25">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ht="14.25" customHeight="1" spans="1:26" x14ac:dyDescent="0.25">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ht="14.25" customHeight="1" spans="1:26" x14ac:dyDescent="0.25">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ht="14.25" customHeight="1" spans="1:26" x14ac:dyDescent="0.25">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ht="14.25" customHeight="1" spans="1:26" x14ac:dyDescent="0.25">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ht="14.25" customHeight="1" spans="1:26" x14ac:dyDescent="0.2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ht="14.25" customHeight="1" spans="1:26" x14ac:dyDescent="0.25">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ht="14.25" customHeight="1" spans="1:26" x14ac:dyDescent="0.25">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ht="14.25" customHeight="1" spans="1:26" x14ac:dyDescent="0.25">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ht="14.25" customHeight="1" spans="1:26" x14ac:dyDescent="0.25">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ht="14.25" customHeight="1" spans="1:26" x14ac:dyDescent="0.25">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ht="14.25" customHeight="1" spans="1:26" x14ac:dyDescent="0.25">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ht="14.25" customHeight="1" spans="1:26" x14ac:dyDescent="0.25">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ht="14.25" customHeight="1" spans="1:26" x14ac:dyDescent="0.25">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ht="14.25" customHeight="1" spans="1:26" x14ac:dyDescent="0.25">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ht="14.25" customHeight="1" spans="1:26" x14ac:dyDescent="0.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ht="14.25" customHeight="1" spans="1:26" x14ac:dyDescent="0.25">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ht="14.25" customHeight="1" spans="1:26" x14ac:dyDescent="0.25">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ht="14.25" customHeight="1" spans="1:26" x14ac:dyDescent="0.25">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ht="14.25" customHeight="1" spans="1:26" x14ac:dyDescent="0.25">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ht="14.25" customHeight="1" spans="1:26" x14ac:dyDescent="0.25">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ht="14.25" customHeight="1" spans="1:26" x14ac:dyDescent="0.25">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ht="14.25" customHeight="1" spans="1:26" x14ac:dyDescent="0.25">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ht="14.25" customHeight="1" spans="1:26" x14ac:dyDescent="0.25">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ht="14.25" customHeight="1" spans="1:26" x14ac:dyDescent="0.25">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ht="14.25" customHeight="1" spans="1:26" x14ac:dyDescent="0.2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ht="14.25" customHeight="1" spans="1:26" x14ac:dyDescent="0.25">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ht="14.25" customHeight="1" spans="1:26" x14ac:dyDescent="0.25">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ht="14.25" customHeight="1" spans="1:26" x14ac:dyDescent="0.25">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ht="14.25" customHeight="1" spans="1:26" x14ac:dyDescent="0.25">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ht="14.25" customHeight="1" spans="1:26" x14ac:dyDescent="0.25">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ht="14.25" customHeight="1" spans="1:26" x14ac:dyDescent="0.25">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ht="14.25" customHeight="1" spans="1:26" x14ac:dyDescent="0.25">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ht="14.25" customHeight="1" spans="1:26" x14ac:dyDescent="0.25">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ht="14.25" customHeight="1" spans="1:26" x14ac:dyDescent="0.25">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ht="14.25" customHeight="1" spans="1:26" x14ac:dyDescent="0.2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ht="14.25" customHeight="1" spans="1:26" x14ac:dyDescent="0.25">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ht="14.25" customHeight="1" spans="1:26" x14ac:dyDescent="0.25">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ht="14.25" customHeight="1" spans="1:26" x14ac:dyDescent="0.25">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ht="14.25" customHeight="1" spans="1:26" x14ac:dyDescent="0.25">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ht="14.25" customHeight="1" spans="1:26" x14ac:dyDescent="0.25">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ht="14.25" customHeight="1" spans="1:26" x14ac:dyDescent="0.25">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ht="14.25" customHeight="1" spans="1:26" x14ac:dyDescent="0.25">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ht="14.25" customHeight="1" spans="1:26" x14ac:dyDescent="0.25">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ht="14.25" customHeight="1" spans="1:26" x14ac:dyDescent="0.25">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ht="14.25" customHeight="1" spans="1:26" x14ac:dyDescent="0.2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ht="14.25" customHeight="1" spans="1:26" x14ac:dyDescent="0.25">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ht="14.25" customHeight="1" spans="1:26" x14ac:dyDescent="0.25">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ht="14.25" customHeight="1" spans="1:26" x14ac:dyDescent="0.25">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ht="14.25" customHeight="1" spans="1:26" x14ac:dyDescent="0.25">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ht="14.25" customHeight="1" spans="1:26" x14ac:dyDescent="0.25">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ht="14.25" customHeight="1" spans="1:26" x14ac:dyDescent="0.25">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ht="14.25" customHeight="1" spans="1:26" x14ac:dyDescent="0.25">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ht="14.25" customHeight="1" spans="1:26" x14ac:dyDescent="0.25">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ht="14.25" customHeight="1" spans="1:26" x14ac:dyDescent="0.25">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ht="14.25" customHeight="1" spans="1:26" x14ac:dyDescent="0.2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ht="14.25" customHeight="1" spans="1:26" x14ac:dyDescent="0.25">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ht="14.25" customHeight="1" spans="1:26" x14ac:dyDescent="0.25">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ht="14.25" customHeight="1" spans="1:26" x14ac:dyDescent="0.25">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ht="14.25" customHeight="1" spans="1:26" x14ac:dyDescent="0.25">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ht="14.25" customHeight="1" spans="1:26" x14ac:dyDescent="0.25">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ht="14.25" customHeight="1" spans="1:26" x14ac:dyDescent="0.25">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ht="14.25" customHeight="1" spans="1:26" x14ac:dyDescent="0.25">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ht="14.25" customHeight="1" spans="1:26" x14ac:dyDescent="0.25">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ht="14.25" customHeight="1" spans="1:26" x14ac:dyDescent="0.25">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ht="14.25" customHeight="1" spans="1:26" x14ac:dyDescent="0.2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ht="14.25" customHeight="1" spans="1:26" x14ac:dyDescent="0.25">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ht="14.25" customHeight="1" spans="1:26" x14ac:dyDescent="0.25">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ht="14.25" customHeight="1" spans="1:26" x14ac:dyDescent="0.25">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ht="14.25" customHeight="1" spans="1:26" x14ac:dyDescent="0.25">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ht="14.25" customHeight="1" spans="1:26" x14ac:dyDescent="0.25">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ht="14.25" customHeight="1" spans="1:26" x14ac:dyDescent="0.25">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ht="14.25" customHeight="1" spans="1:26" x14ac:dyDescent="0.25">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ht="14.25" customHeight="1" spans="1:26" x14ac:dyDescent="0.25">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ht="14.25" customHeight="1" spans="1:26" x14ac:dyDescent="0.25">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ht="14.25" customHeight="1" spans="1:26" x14ac:dyDescent="0.2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ht="14.25" customHeight="1" spans="1:26" x14ac:dyDescent="0.25">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ht="14.25" customHeight="1" spans="1:26" x14ac:dyDescent="0.25">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ht="14.25" customHeight="1" spans="1:26" x14ac:dyDescent="0.25">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ht="14.25" customHeight="1" spans="1:26" x14ac:dyDescent="0.25">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ht="14.25" customHeight="1" spans="1:26" x14ac:dyDescent="0.25">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ht="14.25" customHeight="1" spans="1:26" x14ac:dyDescent="0.25">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ht="14.25" customHeight="1" spans="1:26" x14ac:dyDescent="0.25">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ht="14.25" customHeight="1" spans="1:26" x14ac:dyDescent="0.25">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ht="14.25" customHeight="1" spans="1:26" x14ac:dyDescent="0.25">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ht="14.25" customHeight="1" spans="1:26" x14ac:dyDescent="0.2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ht="14.25" customHeight="1" spans="1:26" x14ac:dyDescent="0.25">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ht="14.25" customHeight="1" spans="1:26" x14ac:dyDescent="0.25">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ht="14.25" customHeight="1" spans="1:26" x14ac:dyDescent="0.25">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ht="14.25" customHeight="1" spans="1:26" x14ac:dyDescent="0.25">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ht="14.25" customHeight="1" spans="1:26" x14ac:dyDescent="0.25">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mergeCells count="2">
    <mergeCell ref="B3:C3"/>
    <mergeCell ref="B4:C4"/>
  </mergeCells>
  <pageMargins left="0.7" right="0.7" top="0.75" bottom="0.75" header="0" footer="0"/>
  <pageSetup orientation="portrait" horizontalDpi="4294967295" verticalDpi="4294967295" scale="100" fitToWidth="1" fitToHeight="1" firstPageNumber="1" useFirstPageNumber="1" copies="1"/>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8000"/>
  </sheetPr>
  <dimension ref="A1:Z1000"/>
  <sheetViews>
    <sheetView workbookViewId="0" showGridLines="0" zoomScale="100" zoomScaleNormal="100">
      <pane ySplit="2" topLeftCell="A3" activePane="bottomLeft" state="frozen"/>
      <selection pane="bottomLeft" activeCell="B4" sqref="B4"/>
    </sheetView>
  </sheetViews>
  <sheetFormatPr defaultRowHeight="15" outlineLevelRow="1" outlineLevelCol="0" x14ac:dyDescent="0" defaultColWidth="14.5"/>
  <cols>
    <col min="1" max="2" width="1.6640625" customWidth="1"/>
    <col min="3" max="3" width="15.5" customWidth="1"/>
    <col min="4" max="5" width="13.5" customWidth="1"/>
    <col min="6" max="6" width="25.6640625" customWidth="1"/>
    <col min="7" max="8" width="13.5" customWidth="1"/>
    <col min="9" max="12" width="16.6640625" customWidth="1"/>
    <col min="13" max="13" width="4.5" customWidth="1"/>
    <col min="14" max="17" width="16.6640625" customWidth="1"/>
    <col min="18" max="18" width="1.6640625" customWidth="1"/>
    <col min="19" max="26" width="8.6640625" customWidth="1"/>
  </cols>
  <sheetData>
    <row r="1" ht="18" customHeight="1" spans="1:26" x14ac:dyDescent="0.25">
      <c r="A1" s="11"/>
      <c r="B1" s="11"/>
      <c r="C1" s="12" t="str">
        <f ca="1">Company_Name&amp;" - "&amp;MID(CELL("filename",A1),FIND("]",CELL("filename",A1))+1,255)&amp;": "&amp;Case_Scenario&amp;" Case"</f>
        <v>Lowe's Companies, Inc. - Cover: Base Case</v>
      </c>
      <c r="D1" s="11"/>
      <c r="E1" s="11"/>
      <c r="F1" s="11"/>
      <c r="G1" s="11"/>
      <c r="H1" s="11"/>
      <c r="I1" s="11"/>
      <c r="J1" s="11"/>
      <c r="K1" s="11"/>
      <c r="L1" s="11"/>
      <c r="M1" s="11"/>
      <c r="N1" s="11"/>
      <c r="O1" s="11"/>
      <c r="P1" s="11"/>
      <c r="Q1" s="13" t="s">
        <v>4</v>
      </c>
      <c r="R1" s="11"/>
      <c r="S1" s="11"/>
      <c r="T1" s="11"/>
      <c r="U1" s="11"/>
      <c r="V1" s="11"/>
      <c r="W1" s="11"/>
      <c r="X1" s="11"/>
      <c r="Y1" s="11"/>
      <c r="Z1" s="11"/>
    </row>
    <row r="2" ht="13.5" customHeight="1" spans="1:26" x14ac:dyDescent="0.25">
      <c r="A2" s="4"/>
      <c r="B2" s="4"/>
      <c r="C2" s="14" t="s">
        <v>5</v>
      </c>
      <c r="D2" s="4"/>
      <c r="E2" s="4"/>
      <c r="F2" s="4"/>
      <c r="G2" s="4"/>
      <c r="H2" s="4"/>
      <c r="I2" s="4"/>
      <c r="J2" s="4"/>
      <c r="K2" s="4"/>
      <c r="L2" s="4"/>
      <c r="M2" s="4"/>
      <c r="N2" s="4"/>
      <c r="O2" s="4"/>
      <c r="P2" s="4"/>
      <c r="Q2" s="15" t="s">
        <v>6</v>
      </c>
      <c r="R2" s="4"/>
      <c r="S2" s="4"/>
      <c r="T2" s="4"/>
      <c r="U2" s="4"/>
      <c r="V2" s="4"/>
      <c r="W2" s="4"/>
      <c r="X2" s="4"/>
      <c r="Y2" s="4"/>
      <c r="Z2" s="4"/>
    </row>
    <row r="3" ht="13.5" customHeight="1" spans="1:26" x14ac:dyDescent="0.25">
      <c r="A3" s="5"/>
      <c r="B3" s="16"/>
      <c r="C3" s="16"/>
      <c r="D3" s="16"/>
      <c r="E3" s="16"/>
      <c r="F3" s="16"/>
      <c r="G3" s="16"/>
      <c r="H3" s="16"/>
      <c r="I3" s="16"/>
      <c r="J3" s="16"/>
      <c r="K3" s="16"/>
      <c r="L3" s="16"/>
      <c r="M3" s="16"/>
      <c r="N3" s="16"/>
      <c r="O3" s="16"/>
      <c r="P3" s="16"/>
      <c r="Q3" s="16"/>
      <c r="R3" s="17" t="s">
        <v>1</v>
      </c>
      <c r="S3" s="16"/>
      <c r="T3" s="16"/>
      <c r="U3" s="16"/>
      <c r="V3" s="16"/>
      <c r="W3" s="16"/>
      <c r="X3" s="16"/>
      <c r="Y3" s="16"/>
      <c r="Z3" s="16"/>
    </row>
    <row r="4" ht="13.5" customHeight="1" spans="1:26" x14ac:dyDescent="0.25">
      <c r="A4" s="17" t="s">
        <v>1</v>
      </c>
      <c r="B4" s="16"/>
      <c r="C4" s="18" t="s">
        <v>7</v>
      </c>
      <c r="D4" s="19"/>
      <c r="E4" s="19"/>
      <c r="F4" s="20"/>
      <c r="G4" s="16"/>
      <c r="H4" s="16"/>
      <c r="I4" s="18" t="s">
        <v>8</v>
      </c>
      <c r="J4" s="19"/>
      <c r="K4" s="19"/>
      <c r="L4" s="19"/>
      <c r="M4" s="19"/>
      <c r="N4" s="19"/>
      <c r="O4" s="19"/>
      <c r="P4" s="19"/>
      <c r="Q4" s="20"/>
      <c r="R4" s="16"/>
      <c r="S4" s="16"/>
      <c r="T4" s="16"/>
      <c r="U4" s="16"/>
      <c r="V4" s="16"/>
      <c r="W4" s="16"/>
      <c r="X4" s="16"/>
      <c r="Y4" s="16"/>
      <c r="Z4" s="16"/>
    </row>
    <row r="5" ht="13.5" customHeight="1" spans="1:26" x14ac:dyDescent="0.25">
      <c r="A5" s="16"/>
      <c r="B5" s="16"/>
      <c r="C5" s="16"/>
      <c r="D5" s="16"/>
      <c r="E5" s="16"/>
      <c r="F5" s="16"/>
      <c r="G5" s="16"/>
      <c r="H5" s="16"/>
      <c r="I5" s="16"/>
      <c r="J5" s="16"/>
      <c r="K5" s="16"/>
      <c r="L5" s="16"/>
      <c r="M5" s="16"/>
      <c r="N5" s="16"/>
      <c r="O5" s="16"/>
      <c r="P5" s="16"/>
      <c r="Q5" s="16"/>
      <c r="R5" s="16"/>
      <c r="S5" s="16"/>
      <c r="T5" s="16"/>
      <c r="U5" s="16"/>
      <c r="V5" s="16"/>
      <c r="W5" s="16"/>
      <c r="X5" s="16"/>
      <c r="Y5" s="16"/>
      <c r="Z5" s="16"/>
    </row>
    <row r="6" ht="13.5" customHeight="1" spans="1:26" x14ac:dyDescent="0.25">
      <c r="A6" s="16"/>
      <c r="B6" s="16"/>
      <c r="C6" s="16"/>
      <c r="D6" s="16"/>
      <c r="E6" s="16"/>
      <c r="F6" s="16"/>
      <c r="G6" s="16"/>
      <c r="H6" s="16"/>
      <c r="I6" s="21" t="s">
        <v>9</v>
      </c>
      <c r="J6" s="22"/>
      <c r="K6" s="22"/>
      <c r="L6" s="7"/>
      <c r="M6" s="16"/>
      <c r="N6" s="21" t="s">
        <v>10</v>
      </c>
      <c r="O6" s="22"/>
      <c r="P6" s="22"/>
      <c r="Q6" s="7"/>
      <c r="R6" s="16"/>
      <c r="S6" s="16"/>
      <c r="T6" s="16"/>
      <c r="U6" s="16"/>
      <c r="V6" s="16"/>
      <c r="W6" s="16"/>
      <c r="X6" s="16"/>
      <c r="Y6" s="16"/>
      <c r="Z6" s="16"/>
    </row>
    <row r="7" ht="13.5" customHeight="1" spans="1:26" x14ac:dyDescent="0.25">
      <c r="A7" s="16"/>
      <c r="B7" s="16"/>
      <c r="D7" s="16"/>
      <c r="E7" s="16"/>
      <c r="F7" s="16"/>
      <c r="G7" s="16"/>
      <c r="H7" s="16"/>
      <c r="I7" s="4"/>
      <c r="J7" s="4"/>
      <c r="K7" s="4"/>
      <c r="L7" s="4"/>
      <c r="M7" s="16"/>
      <c r="N7" s="4"/>
      <c r="O7" s="4"/>
      <c r="P7" s="4"/>
      <c r="Q7" s="4"/>
      <c r="R7" s="16"/>
      <c r="S7" s="16"/>
      <c r="T7" s="16"/>
      <c r="U7" s="16"/>
      <c r="V7" s="16"/>
      <c r="W7" s="16"/>
      <c r="X7" s="16"/>
      <c r="Y7" s="16"/>
      <c r="Z7" s="16"/>
    </row>
    <row r="8" ht="13.5" customHeight="1" spans="1:26" x14ac:dyDescent="0.25">
      <c r="A8" s="16"/>
      <c r="B8" s="16"/>
      <c r="C8" s="16"/>
      <c r="D8" s="16"/>
      <c r="E8" s="16"/>
      <c r="F8" s="16"/>
      <c r="G8" s="16"/>
      <c r="H8" s="16"/>
      <c r="I8" s="23" t="s">
        <v>11</v>
      </c>
      <c r="J8" s="22"/>
      <c r="K8" s="22"/>
      <c r="L8" s="7"/>
      <c r="M8" s="16"/>
      <c r="N8" s="23" t="s">
        <v>12</v>
      </c>
      <c r="O8" s="22"/>
      <c r="P8" s="22"/>
      <c r="Q8" s="7"/>
      <c r="R8" s="16"/>
      <c r="S8" s="16"/>
      <c r="T8" s="16"/>
      <c r="U8" s="16"/>
      <c r="V8" s="16"/>
      <c r="W8" s="16"/>
      <c r="X8" s="16"/>
      <c r="Y8" s="16"/>
      <c r="Z8" s="16"/>
    </row>
    <row r="9" ht="13.5" customHeight="1" spans="1:26" x14ac:dyDescent="0.25">
      <c r="A9" s="16"/>
      <c r="B9" s="16"/>
      <c r="C9" s="16"/>
      <c r="D9" s="16"/>
      <c r="E9" s="16"/>
      <c r="F9" s="16"/>
      <c r="G9" s="16"/>
      <c r="H9" s="16"/>
      <c r="I9" s="24" t="s">
        <v>13</v>
      </c>
      <c r="J9" s="4"/>
      <c r="K9" s="4"/>
      <c r="L9" s="25">
        <f ca="1">Valuation!K65</f>
        <v>-59687.77043366926</v>
      </c>
      <c r="M9" s="16"/>
      <c r="N9" s="24"/>
      <c r="O9" s="4"/>
      <c r="P9" s="26" t="s">
        <v>14</v>
      </c>
      <c r="Q9" s="27" t="s">
        <v>15</v>
      </c>
      <c r="R9" s="16"/>
      <c r="S9" s="16"/>
      <c r="T9" s="16"/>
      <c r="U9" s="16"/>
      <c r="V9" s="16"/>
      <c r="W9" s="16"/>
      <c r="X9" s="16"/>
      <c r="Y9" s="16"/>
      <c r="Z9" s="16"/>
    </row>
    <row r="10" ht="13.5" customHeight="1" spans="1:26" x14ac:dyDescent="0.25">
      <c r="A10" s="16"/>
      <c r="B10" s="16"/>
      <c r="C10" s="16"/>
      <c r="D10" s="16"/>
      <c r="E10" s="16"/>
      <c r="F10" s="16"/>
      <c r="G10" s="16"/>
      <c r="H10" s="16"/>
      <c r="I10" s="24" t="s">
        <v>16</v>
      </c>
      <c r="J10" s="4"/>
      <c r="K10" s="4"/>
      <c r="L10" s="28">
        <f ca="1">Valuation!K72</f>
        <v>-76743.77043366927</v>
      </c>
      <c r="M10" s="16"/>
      <c r="N10" s="24"/>
      <c r="O10" s="4"/>
      <c r="P10" s="4"/>
      <c r="Q10" s="29"/>
      <c r="R10" s="16"/>
      <c r="S10" s="16"/>
      <c r="T10" s="16"/>
      <c r="U10" s="16"/>
      <c r="V10" s="16"/>
      <c r="W10" s="16"/>
      <c r="X10" s="16"/>
      <c r="Y10" s="16"/>
      <c r="Z10" s="16"/>
    </row>
    <row r="11" ht="13.5" customHeight="1" spans="1:26" x14ac:dyDescent="0.25">
      <c r="A11" s="16"/>
      <c r="B11" s="16"/>
      <c r="C11" s="16"/>
      <c r="D11" s="16"/>
      <c r="E11" s="16"/>
      <c r="F11" s="16"/>
      <c r="G11" s="16"/>
      <c r="H11" s="16"/>
      <c r="I11" s="24"/>
      <c r="J11" s="4"/>
      <c r="K11" s="4"/>
      <c r="L11" s="30"/>
      <c r="M11" s="16"/>
      <c r="N11" s="24" t="s">
        <v>17</v>
      </c>
      <c r="O11" s="4"/>
      <c r="P11" s="31">
        <f ca="1">Valuation!N137</f>
        <v>-24.124469589816126</v>
      </c>
      <c r="Q11" s="32">
        <f ca="1">Valuation!N138</f>
        <v>1e-12</v>
      </c>
      <c r="R11" s="16"/>
      <c r="S11" s="16"/>
      <c r="T11" s="16"/>
      <c r="U11" s="16"/>
      <c r="V11" s="16"/>
      <c r="W11" s="16"/>
      <c r="X11" s="16"/>
      <c r="Y11" s="16"/>
      <c r="Z11" s="16"/>
    </row>
    <row r="12" ht="13.5" customHeight="1" spans="1:26" x14ac:dyDescent="0.25">
      <c r="A12" s="16"/>
      <c r="B12" s="16"/>
      <c r="C12" s="16"/>
      <c r="D12" s="16"/>
      <c r="E12" s="16"/>
      <c r="F12" s="16"/>
      <c r="G12" s="16"/>
      <c r="H12" s="16"/>
      <c r="I12" s="33" t="s">
        <v>18</v>
      </c>
      <c r="J12" s="34"/>
      <c r="K12" s="34"/>
      <c r="L12" s="35">
        <f ca="1">Valuation!K76</f>
        <v>-108.54847303206402</v>
      </c>
      <c r="M12" s="16"/>
      <c r="N12" s="24"/>
      <c r="O12" s="4"/>
      <c r="P12" s="4"/>
      <c r="Q12" s="29"/>
      <c r="R12" s="16"/>
      <c r="S12" s="16"/>
      <c r="T12" s="16"/>
      <c r="U12" s="16"/>
      <c r="V12" s="16"/>
      <c r="W12" s="16"/>
      <c r="X12" s="16"/>
      <c r="Y12" s="16"/>
      <c r="Z12" s="16"/>
    </row>
    <row r="13" ht="13.5" customHeight="1" spans="1:26" x14ac:dyDescent="0.25">
      <c r="A13" s="16"/>
      <c r="B13" s="16"/>
      <c r="C13" s="16"/>
      <c r="D13" s="16"/>
      <c r="E13" s="16"/>
      <c r="F13" s="16"/>
      <c r="G13" s="16"/>
      <c r="H13" s="16"/>
      <c r="I13" s="36" t="s">
        <v>15</v>
      </c>
      <c r="J13" s="37"/>
      <c r="K13" s="37"/>
      <c r="L13" s="38">
        <f ca="1">Valuation!K77</f>
        <v>1e-12</v>
      </c>
      <c r="M13" s="16"/>
      <c r="N13" s="39" t="s">
        <v>19</v>
      </c>
      <c r="O13" s="37"/>
      <c r="P13" s="40">
        <f ca="1">Valuation!N215</f>
        <v>-24.124469589816126</v>
      </c>
      <c r="Q13" s="38">
        <f ca="1">Valuation!N216</f>
        <v>1e-12</v>
      </c>
      <c r="R13" s="16"/>
      <c r="S13" s="16"/>
      <c r="T13" s="16"/>
      <c r="U13" s="16"/>
      <c r="V13" s="16"/>
      <c r="W13" s="16"/>
      <c r="X13" s="16"/>
      <c r="Y13" s="16"/>
      <c r="Z13" s="16"/>
    </row>
    <row r="14" ht="13.5" customHeight="1" spans="1:26" x14ac:dyDescent="0.25">
      <c r="A14" s="16"/>
      <c r="B14" s="16"/>
      <c r="C14" s="16"/>
      <c r="D14" s="16"/>
      <c r="E14" s="16"/>
      <c r="F14" s="16"/>
      <c r="G14" s="16"/>
      <c r="H14" s="16"/>
      <c r="I14" s="4"/>
      <c r="J14" s="4"/>
      <c r="K14" s="4"/>
      <c r="L14" s="4"/>
      <c r="M14" s="16"/>
      <c r="N14" s="4"/>
      <c r="O14" s="4"/>
      <c r="P14" s="4"/>
      <c r="Q14" s="4"/>
      <c r="R14" s="16"/>
      <c r="S14" s="16"/>
      <c r="T14" s="16"/>
      <c r="U14" s="16"/>
      <c r="V14" s="16"/>
      <c r="W14" s="16"/>
      <c r="X14" s="16"/>
      <c r="Y14" s="16"/>
      <c r="Z14" s="16"/>
    </row>
    <row r="15" ht="13.5" customHeight="1" spans="1:26" x14ac:dyDescent="0.25">
      <c r="A15" s="16"/>
      <c r="B15" s="16"/>
      <c r="C15" s="16"/>
      <c r="D15" s="16"/>
      <c r="E15" s="16"/>
      <c r="F15" s="16"/>
      <c r="G15" s="16"/>
      <c r="H15" s="16"/>
      <c r="I15" s="23" t="s">
        <v>20</v>
      </c>
      <c r="J15" s="22"/>
      <c r="K15" s="22"/>
      <c r="L15" s="7"/>
      <c r="M15" s="16"/>
      <c r="N15" s="23" t="s">
        <v>21</v>
      </c>
      <c r="O15" s="22"/>
      <c r="P15" s="22"/>
      <c r="Q15" s="7"/>
      <c r="R15" s="16"/>
      <c r="S15" s="16"/>
      <c r="T15" s="16"/>
      <c r="U15" s="16"/>
      <c r="V15" s="16"/>
      <c r="W15" s="16"/>
      <c r="X15" s="16"/>
      <c r="Y15" s="16"/>
      <c r="Z15" s="16"/>
    </row>
    <row r="16" ht="13.5" customHeight="1" spans="1:26" x14ac:dyDescent="0.25">
      <c r="A16" s="16"/>
      <c r="B16" s="16"/>
      <c r="C16" s="16"/>
      <c r="D16" s="16"/>
      <c r="E16" s="16"/>
      <c r="F16" s="16"/>
      <c r="G16" s="16"/>
      <c r="H16" s="16"/>
      <c r="I16" s="24" t="s">
        <v>13</v>
      </c>
      <c r="J16" s="4"/>
      <c r="K16" s="4"/>
      <c r="L16" s="25">
        <f ca="1">Valuation!R65</f>
        <v>1844.5806943319185</v>
      </c>
      <c r="M16" s="16"/>
      <c r="N16" s="24"/>
      <c r="O16" s="4"/>
      <c r="P16" s="26" t="s">
        <v>14</v>
      </c>
      <c r="Q16" s="27" t="s">
        <v>15</v>
      </c>
      <c r="R16" s="16"/>
      <c r="S16" s="16"/>
      <c r="T16" s="16"/>
      <c r="U16" s="16"/>
      <c r="V16" s="16"/>
      <c r="W16" s="16"/>
      <c r="X16" s="16"/>
      <c r="Y16" s="16"/>
      <c r="Z16" s="16"/>
    </row>
    <row r="17" ht="13.5" customHeight="1" spans="1:26" x14ac:dyDescent="0.25">
      <c r="A17" s="16"/>
      <c r="B17" s="16"/>
      <c r="C17" s="16"/>
      <c r="D17" s="16"/>
      <c r="E17" s="16"/>
      <c r="F17" s="16"/>
      <c r="G17" s="16"/>
      <c r="H17" s="16"/>
      <c r="I17" s="24" t="s">
        <v>16</v>
      </c>
      <c r="J17" s="4"/>
      <c r="K17" s="4"/>
      <c r="L17" s="28">
        <f ca="1">Valuation!R72</f>
        <v>-15211.419305668082</v>
      </c>
      <c r="M17" s="16"/>
      <c r="N17" s="24"/>
      <c r="O17" s="4"/>
      <c r="P17" s="4"/>
      <c r="Q17" s="29"/>
      <c r="R17" s="16"/>
      <c r="S17" s="16"/>
      <c r="T17" s="16"/>
      <c r="U17" s="16"/>
      <c r="V17" s="16"/>
      <c r="W17" s="16"/>
      <c r="X17" s="16"/>
      <c r="Y17" s="16"/>
      <c r="Z17" s="16"/>
    </row>
    <row r="18" ht="13.5" customHeight="1" spans="1:26" x14ac:dyDescent="0.25">
      <c r="A18" s="16"/>
      <c r="B18" s="16"/>
      <c r="C18" s="16"/>
      <c r="D18" s="16"/>
      <c r="E18" s="16"/>
      <c r="F18" s="16"/>
      <c r="G18" s="16"/>
      <c r="H18" s="16"/>
      <c r="I18" s="24"/>
      <c r="J18" s="4"/>
      <c r="K18" s="4"/>
      <c r="L18" s="30"/>
      <c r="M18" s="16"/>
      <c r="N18" s="24" t="s">
        <v>22</v>
      </c>
      <c r="O18" s="4"/>
      <c r="P18" s="31">
        <f ca="1">Valuation!F126</f>
        <v>1e-12</v>
      </c>
      <c r="Q18" s="32">
        <f ca="1">Valuation!F127</f>
        <v>1e-12</v>
      </c>
      <c r="R18" s="16"/>
      <c r="S18" s="16"/>
      <c r="T18" s="16"/>
      <c r="U18" s="16"/>
      <c r="V18" s="16"/>
      <c r="W18" s="16"/>
      <c r="X18" s="16"/>
      <c r="Y18" s="16"/>
      <c r="Z18" s="16"/>
    </row>
    <row r="19" ht="13.5" customHeight="1" spans="1:26" x14ac:dyDescent="0.25">
      <c r="A19" s="16"/>
      <c r="B19" s="16"/>
      <c r="C19" s="16" t="s">
        <v>23</v>
      </c>
      <c r="D19" s="16"/>
      <c r="E19" s="16"/>
      <c r="F19" s="41" t="s">
        <v>24</v>
      </c>
      <c r="G19" s="16"/>
      <c r="H19" s="16"/>
      <c r="I19" s="33" t="s">
        <v>18</v>
      </c>
      <c r="J19" s="34"/>
      <c r="K19" s="34"/>
      <c r="L19" s="35">
        <f ca="1">Valuation!R76</f>
        <v>-21.515444562472535</v>
      </c>
      <c r="M19" s="16"/>
      <c r="N19" s="24"/>
      <c r="O19" s="4"/>
      <c r="P19" s="4"/>
      <c r="Q19" s="29"/>
      <c r="R19" s="16"/>
      <c r="S19" s="16"/>
      <c r="T19" s="16"/>
      <c r="U19" s="16"/>
      <c r="V19" s="16"/>
      <c r="W19" s="16"/>
      <c r="X19" s="16"/>
      <c r="Y19" s="16"/>
      <c r="Z19" s="16"/>
    </row>
    <row r="20" ht="13.5" customHeight="1" spans="1:26" x14ac:dyDescent="0.25">
      <c r="A20" s="16"/>
      <c r="B20" s="16"/>
      <c r="C20" s="16" t="s">
        <v>25</v>
      </c>
      <c r="D20" s="16"/>
      <c r="E20" s="16"/>
      <c r="F20" s="41" t="s">
        <v>26</v>
      </c>
      <c r="G20" s="16"/>
      <c r="H20" s="16"/>
      <c r="I20" s="36" t="s">
        <v>15</v>
      </c>
      <c r="J20" s="37"/>
      <c r="K20" s="37"/>
      <c r="L20" s="38">
        <f ca="1">Valuation!R77</f>
        <v>1e-12</v>
      </c>
      <c r="M20" s="16"/>
      <c r="N20" s="39" t="s">
        <v>27</v>
      </c>
      <c r="O20" s="37"/>
      <c r="P20" s="40">
        <f ca="1">Valuation!F204</f>
        <v>1e-12</v>
      </c>
      <c r="Q20" s="38">
        <f ca="1">Valuation!F205</f>
        <v>1e-12</v>
      </c>
      <c r="R20" s="16"/>
      <c r="S20" s="16"/>
      <c r="T20" s="16"/>
      <c r="U20" s="16"/>
      <c r="V20" s="16"/>
      <c r="W20" s="16"/>
      <c r="X20" s="16"/>
      <c r="Y20" s="16"/>
      <c r="Z20" s="16"/>
    </row>
    <row r="21" ht="13.5" customHeight="1" spans="1:26" x14ac:dyDescent="0.25">
      <c r="A21" s="16"/>
      <c r="B21" s="16"/>
      <c r="C21" s="16"/>
      <c r="D21" s="16"/>
      <c r="E21" s="16"/>
      <c r="F21" s="42"/>
      <c r="G21" s="16"/>
      <c r="H21" s="16"/>
      <c r="I21" s="4"/>
      <c r="J21" s="16"/>
      <c r="K21" s="16"/>
      <c r="L21" s="16"/>
      <c r="M21" s="16"/>
      <c r="N21" s="16"/>
      <c r="O21" s="16"/>
      <c r="P21" s="16"/>
      <c r="Q21" s="16"/>
      <c r="R21" s="16"/>
      <c r="S21" s="16"/>
      <c r="T21" s="16"/>
      <c r="U21" s="16"/>
      <c r="V21" s="16"/>
      <c r="W21" s="16"/>
      <c r="X21" s="16"/>
      <c r="Y21" s="16"/>
      <c r="Z21" s="16"/>
    </row>
    <row r="22" ht="13.5" customHeight="1" spans="1:26" x14ac:dyDescent="0.25">
      <c r="A22" s="16"/>
      <c r="B22" s="16"/>
      <c r="C22" s="43" t="s">
        <v>28</v>
      </c>
      <c r="D22" s="44"/>
      <c r="E22" s="44"/>
      <c r="F22" s="45" t="s">
        <v>29</v>
      </c>
      <c r="G22" s="16"/>
      <c r="H22" s="16"/>
      <c r="I22" s="46" t="s">
        <v>30</v>
      </c>
      <c r="J22" s="19"/>
      <c r="K22" s="19"/>
      <c r="L22" s="19"/>
      <c r="M22" s="19"/>
      <c r="N22" s="19"/>
      <c r="O22" s="19"/>
      <c r="P22" s="19"/>
      <c r="Q22" s="20"/>
      <c r="R22" s="16"/>
      <c r="S22" s="16"/>
      <c r="T22" s="16"/>
      <c r="U22" s="16"/>
      <c r="V22" s="16"/>
      <c r="W22" s="16"/>
      <c r="X22" s="16"/>
      <c r="Y22" s="16"/>
      <c r="Z22" s="16"/>
    </row>
    <row r="23" ht="13.5" customHeight="1" spans="1:26" x14ac:dyDescent="0.25">
      <c r="A23" s="16"/>
      <c r="B23" s="16"/>
      <c r="C23" s="16"/>
      <c r="D23" s="47"/>
      <c r="E23" s="16"/>
      <c r="F23" s="42"/>
      <c r="G23" s="16"/>
      <c r="H23" s="16"/>
      <c r="I23" s="4"/>
      <c r="J23" s="16"/>
      <c r="K23" s="16"/>
      <c r="L23" s="16"/>
      <c r="M23" s="16"/>
      <c r="N23" s="48"/>
      <c r="O23" s="48"/>
      <c r="P23" s="48"/>
      <c r="Q23" s="16"/>
      <c r="R23" s="16"/>
      <c r="S23" s="16"/>
      <c r="T23" s="16"/>
      <c r="U23" s="16"/>
      <c r="V23" s="16"/>
      <c r="W23" s="16"/>
      <c r="X23" s="16"/>
      <c r="Y23" s="16"/>
      <c r="Z23" s="16"/>
    </row>
    <row r="24" ht="13.5" customHeight="1" spans="1:26" x14ac:dyDescent="0.25">
      <c r="A24" s="16"/>
      <c r="B24" s="16"/>
      <c r="C24" s="16" t="s">
        <v>31</v>
      </c>
      <c r="D24" s="16"/>
      <c r="E24" s="16"/>
      <c r="F24" s="49">
        <v>46073</v>
      </c>
      <c r="G24" s="16"/>
      <c r="H24" s="16"/>
      <c r="I24" s="50" t="s">
        <v>32</v>
      </c>
      <c r="J24" s="16"/>
      <c r="K24" s="16"/>
      <c r="L24" s="16"/>
      <c r="M24" s="16"/>
      <c r="N24" s="16"/>
      <c r="O24" s="16"/>
      <c r="P24" s="16"/>
      <c r="Q24" s="16"/>
      <c r="R24" s="16"/>
      <c r="S24" s="16"/>
      <c r="T24" s="16"/>
      <c r="U24" s="16"/>
      <c r="V24" s="16"/>
      <c r="W24" s="16"/>
      <c r="X24" s="16"/>
      <c r="Y24" s="16"/>
      <c r="Z24" s="16"/>
    </row>
    <row r="25" ht="13.5" customHeight="1" spans="1:26" x14ac:dyDescent="0.25">
      <c r="A25" s="16"/>
      <c r="B25" s="16"/>
      <c r="C25" s="16" t="s">
        <v>33</v>
      </c>
      <c r="D25" s="16"/>
      <c r="E25" s="16"/>
      <c r="F25" s="51">
        <f ca="1">Last_FYE+365</f>
        <v>46387</v>
      </c>
      <c r="G25" s="16"/>
      <c r="H25" s="16"/>
      <c r="I25" s="50" t="s">
        <v>34</v>
      </c>
      <c r="J25" s="16"/>
      <c r="K25" s="16"/>
      <c r="L25" s="16"/>
      <c r="M25" s="16"/>
      <c r="N25" s="16"/>
      <c r="O25" s="16"/>
      <c r="P25" s="16"/>
      <c r="Q25" s="16"/>
      <c r="R25" s="16"/>
      <c r="S25" s="16"/>
      <c r="T25" s="16"/>
      <c r="U25" s="16"/>
      <c r="V25" s="16"/>
      <c r="W25" s="16"/>
      <c r="X25" s="16"/>
      <c r="Y25" s="16"/>
      <c r="Z25" s="16"/>
    </row>
    <row r="26" ht="13.5" customHeight="1" spans="1:26" x14ac:dyDescent="0.25">
      <c r="A26" s="17"/>
      <c r="B26" s="16"/>
      <c r="C26" s="16" t="s">
        <v>35</v>
      </c>
      <c r="D26" s="16"/>
      <c r="E26" s="16"/>
      <c r="F26" s="52" t="s">
        <v>36</v>
      </c>
      <c r="G26" s="16"/>
      <c r="H26" s="16"/>
      <c r="I26" s="50" t="s">
        <v>37</v>
      </c>
      <c r="J26" s="16"/>
      <c r="K26" s="16"/>
      <c r="L26" s="16"/>
      <c r="M26" s="16"/>
      <c r="N26" s="16"/>
      <c r="O26" s="16"/>
      <c r="P26" s="16"/>
      <c r="Q26" s="16"/>
      <c r="R26" s="16"/>
      <c r="S26" s="16"/>
      <c r="T26" s="16"/>
      <c r="U26" s="16"/>
      <c r="V26" s="16"/>
      <c r="W26" s="16"/>
      <c r="X26" s="16"/>
      <c r="Y26" s="16"/>
      <c r="Z26" s="16"/>
    </row>
    <row r="27" ht="13.5" customHeight="1" spans="1:26" x14ac:dyDescent="0.25">
      <c r="A27" s="16"/>
      <c r="B27" s="16"/>
      <c r="C27" s="16" t="s">
        <v>38</v>
      </c>
      <c r="D27" s="16"/>
      <c r="E27" s="16"/>
      <c r="F27" s="53">
        <v>45903</v>
      </c>
      <c r="G27" s="16"/>
      <c r="H27" s="47"/>
      <c r="I27" s="50" t="s">
        <v>39</v>
      </c>
      <c r="J27" s="16"/>
      <c r="K27" s="16"/>
      <c r="L27" s="16"/>
      <c r="M27" s="16"/>
      <c r="N27" s="16"/>
      <c r="O27" s="16"/>
      <c r="P27" s="16"/>
      <c r="Q27" s="16"/>
      <c r="R27" s="16"/>
      <c r="S27" s="16"/>
      <c r="T27" s="16"/>
      <c r="U27" s="16"/>
      <c r="V27" s="16"/>
      <c r="W27" s="16"/>
      <c r="X27" s="16"/>
      <c r="Y27" s="16"/>
      <c r="Z27" s="16"/>
    </row>
    <row r="28" ht="13.5" customHeight="1" spans="1:26" x14ac:dyDescent="0.25">
      <c r="A28" s="16"/>
      <c r="B28" s="16"/>
      <c r="C28" s="16"/>
      <c r="D28" s="16"/>
      <c r="E28" s="16"/>
      <c r="F28" s="16"/>
      <c r="G28" s="16"/>
      <c r="H28" s="16"/>
      <c r="I28" s="50" t="s">
        <v>40</v>
      </c>
      <c r="J28" s="16"/>
      <c r="K28" s="16"/>
      <c r="L28" s="16"/>
      <c r="M28" s="16"/>
      <c r="N28" s="16"/>
      <c r="O28" s="16"/>
      <c r="P28" s="16"/>
      <c r="Q28" s="16"/>
      <c r="R28" s="16"/>
      <c r="S28" s="16"/>
      <c r="T28" s="16"/>
      <c r="U28" s="16"/>
      <c r="V28" s="16"/>
      <c r="W28" s="16"/>
      <c r="X28" s="16"/>
      <c r="Y28" s="16"/>
      <c r="Z28" s="16"/>
    </row>
    <row r="29" ht="13.5" customHeight="1" spans="1:26" x14ac:dyDescent="0.25">
      <c r="A29" s="16"/>
      <c r="B29" s="16"/>
      <c r="C29" s="16" t="s">
        <v>41</v>
      </c>
      <c r="D29" s="16"/>
      <c r="E29" s="16"/>
      <c r="F29" s="54">
        <v>211.14</v>
      </c>
      <c r="G29" s="16"/>
      <c r="H29" s="16"/>
      <c r="I29" s="50" t="s">
        <v>42</v>
      </c>
      <c r="J29" s="16"/>
      <c r="K29" s="16"/>
      <c r="L29" s="16"/>
      <c r="M29" s="16"/>
      <c r="N29" s="16"/>
      <c r="O29" s="16"/>
      <c r="P29" s="16"/>
      <c r="Q29" s="16"/>
      <c r="R29" s="16"/>
      <c r="S29" s="16"/>
      <c r="T29" s="16"/>
      <c r="U29" s="16"/>
      <c r="V29" s="16"/>
      <c r="W29" s="16"/>
      <c r="X29" s="16"/>
      <c r="Y29" s="16"/>
      <c r="Z29" s="16"/>
    </row>
    <row r="30" ht="13.5" customHeight="1" spans="1:26" x14ac:dyDescent="0.25">
      <c r="A30" s="16"/>
      <c r="B30" s="16"/>
      <c r="C30" s="16" t="s">
        <v>43</v>
      </c>
      <c r="D30" s="16"/>
      <c r="E30" s="16"/>
      <c r="F30" s="54">
        <v>236.54</v>
      </c>
      <c r="G30" s="16"/>
      <c r="H30" s="16"/>
      <c r="I30" s="50" t="s">
        <v>44</v>
      </c>
      <c r="J30" s="16"/>
      <c r="K30" s="16"/>
      <c r="L30" s="16"/>
      <c r="M30" s="16"/>
      <c r="N30" s="16"/>
      <c r="O30" s="16"/>
      <c r="P30" s="16"/>
      <c r="Q30" s="16"/>
      <c r="R30" s="16"/>
      <c r="S30" s="16"/>
      <c r="T30" s="16"/>
      <c r="U30" s="16"/>
      <c r="V30" s="16"/>
      <c r="W30" s="16"/>
      <c r="X30" s="16"/>
      <c r="Y30" s="16"/>
      <c r="Z30" s="16"/>
    </row>
    <row r="31" ht="13.5" customHeight="1" spans="1:26" x14ac:dyDescent="0.25">
      <c r="A31" s="16"/>
      <c r="B31" s="16"/>
      <c r="C31" s="16" t="s">
        <v>45</v>
      </c>
      <c r="D31" s="16"/>
      <c r="E31" s="16"/>
      <c r="F31" s="54">
        <v>135.4</v>
      </c>
      <c r="G31" s="16"/>
      <c r="H31" s="47"/>
      <c r="I31" s="50" t="s">
        <v>46</v>
      </c>
      <c r="J31" s="16"/>
      <c r="K31" s="16"/>
      <c r="L31" s="16"/>
      <c r="M31" s="16"/>
      <c r="N31" s="16"/>
      <c r="O31" s="16"/>
      <c r="P31" s="16"/>
      <c r="Q31" s="16"/>
      <c r="R31" s="16"/>
      <c r="S31" s="16"/>
      <c r="T31" s="16"/>
      <c r="U31" s="16"/>
      <c r="V31" s="16"/>
      <c r="W31" s="16"/>
      <c r="X31" s="16"/>
      <c r="Y31" s="16"/>
      <c r="Z31" s="16"/>
    </row>
    <row r="32" ht="13.5" customHeight="1" spans="1:26" x14ac:dyDescent="0.25">
      <c r="A32" s="16"/>
      <c r="B32" s="16"/>
      <c r="C32" s="16"/>
      <c r="D32" s="16"/>
      <c r="E32" s="16"/>
      <c r="F32" s="16"/>
      <c r="G32" s="16"/>
      <c r="H32" s="47"/>
      <c r="I32" s="50" t="s">
        <v>47</v>
      </c>
      <c r="J32" s="16"/>
      <c r="K32" s="16"/>
      <c r="L32" s="16"/>
      <c r="M32" s="16"/>
      <c r="N32" s="16"/>
      <c r="O32" s="16"/>
      <c r="P32" s="16"/>
      <c r="Q32" s="16"/>
      <c r="R32" s="16"/>
      <c r="S32" s="16"/>
      <c r="T32" s="16"/>
      <c r="U32" s="16"/>
      <c r="V32" s="16"/>
      <c r="W32" s="16"/>
      <c r="X32" s="16"/>
      <c r="Y32" s="16"/>
      <c r="Z32" s="16"/>
    </row>
    <row r="33" ht="13.5" customHeight="1" spans="1:26" x14ac:dyDescent="0.25">
      <c r="A33" s="16"/>
      <c r="B33" s="16"/>
      <c r="C33" s="16" t="s">
        <v>48</v>
      </c>
      <c r="D33" s="16"/>
      <c r="E33" s="16"/>
      <c r="F33" s="55">
        <f ca="1">IF(Last_FQR="1Q",Model!U71,IF(Last_FQR="2Q",Model!V71,IF(Last_FQR="3Q",Model!W71,Model!X71)))</f>
        <v>0.2443665498247371</v>
      </c>
      <c r="G33" s="16"/>
      <c r="H33" s="47"/>
      <c r="I33" s="50" t="s">
        <v>49</v>
      </c>
      <c r="J33" s="16"/>
      <c r="K33" s="16"/>
      <c r="L33" s="16"/>
      <c r="M33" s="16"/>
      <c r="N33" s="16"/>
      <c r="O33" s="16"/>
      <c r="P33" s="16"/>
      <c r="Q33" s="16"/>
      <c r="R33" s="16"/>
      <c r="S33" s="16"/>
      <c r="T33" s="16"/>
      <c r="U33" s="16"/>
      <c r="V33" s="16"/>
      <c r="W33" s="16"/>
      <c r="X33" s="16"/>
      <c r="Y33" s="16"/>
      <c r="Z33" s="16"/>
    </row>
    <row r="34" ht="13.5" customHeight="1" spans="1:26" x14ac:dyDescent="0.25">
      <c r="A34" s="16"/>
      <c r="B34" s="16"/>
      <c r="C34" s="16" t="s">
        <v>50</v>
      </c>
      <c r="D34" s="16"/>
      <c r="E34" s="16"/>
      <c r="F34" s="55">
        <f ca="1">IF(Last_FQR="1Q",Model!U265,IF(Last_FQR="2Q",Model!V265,IF(Last_FQR="3Q",Model!W265,Model!X265)))</f>
        <v>0.012778959704955387</v>
      </c>
      <c r="G34" s="16"/>
      <c r="H34" s="47"/>
      <c r="I34" s="50" t="s">
        <v>51</v>
      </c>
      <c r="J34" s="16"/>
      <c r="K34" s="16"/>
      <c r="L34" s="16"/>
      <c r="M34" s="16"/>
      <c r="N34" s="16"/>
      <c r="O34" s="16"/>
      <c r="P34" s="16"/>
      <c r="Q34" s="16"/>
      <c r="R34" s="16"/>
      <c r="S34" s="16"/>
      <c r="T34" s="16"/>
      <c r="U34" s="16"/>
      <c r="V34" s="16"/>
      <c r="W34" s="16"/>
      <c r="X34" s="16"/>
      <c r="Y34" s="16"/>
      <c r="Z34" s="16"/>
    </row>
    <row r="35" ht="13.5" customHeight="1" spans="1:26" x14ac:dyDescent="0.25">
      <c r="A35" s="16"/>
      <c r="B35" s="16"/>
      <c r="C35" s="16" t="s">
        <v>52</v>
      </c>
      <c r="D35" s="16"/>
      <c r="E35" s="16"/>
      <c r="F35" s="56">
        <f ca="1">IF(Last_FQR="1Q",Model!U284,IF(Last_FQR="2Q",Model!V284,IF(Last_FQR="3Q",Model!W284,Model!X284)))</f>
        <v>707</v>
      </c>
      <c r="G35" s="16"/>
      <c r="H35" s="47"/>
      <c r="I35" s="50" t="s">
        <v>53</v>
      </c>
      <c r="J35" s="16"/>
      <c r="K35" s="16"/>
      <c r="L35" s="16"/>
      <c r="M35" s="16"/>
      <c r="N35" s="16"/>
      <c r="O35" s="16"/>
      <c r="P35" s="16"/>
      <c r="Q35" s="16"/>
      <c r="R35" s="16"/>
      <c r="S35" s="16"/>
      <c r="T35" s="16"/>
      <c r="U35" s="16"/>
      <c r="V35" s="16"/>
      <c r="W35" s="16"/>
      <c r="X35" s="16"/>
      <c r="Y35" s="16"/>
      <c r="Z35" s="16"/>
    </row>
    <row r="36" ht="13.5" customHeight="1" spans="1:26" x14ac:dyDescent="0.25">
      <c r="A36" s="16"/>
      <c r="B36" s="16"/>
      <c r="C36" s="16"/>
      <c r="D36" s="16"/>
      <c r="E36" s="16"/>
      <c r="F36" s="16"/>
      <c r="G36" s="16"/>
      <c r="H36" s="47"/>
      <c r="I36" s="50" t="s">
        <v>54</v>
      </c>
      <c r="J36" s="16"/>
      <c r="K36" s="16"/>
      <c r="L36" s="16"/>
      <c r="M36" s="16"/>
      <c r="N36" s="16"/>
      <c r="O36" s="16"/>
      <c r="P36" s="16"/>
      <c r="Q36" s="16"/>
      <c r="R36" s="16"/>
      <c r="S36" s="16"/>
      <c r="T36" s="16"/>
      <c r="U36" s="16"/>
      <c r="V36" s="16"/>
      <c r="W36" s="16"/>
      <c r="X36" s="16"/>
      <c r="Y36" s="16"/>
      <c r="Z36" s="16"/>
    </row>
    <row r="37" ht="13.5" customHeight="1" spans="1:26" x14ac:dyDescent="0.25">
      <c r="A37" s="16"/>
      <c r="B37" s="16"/>
      <c r="C37" s="43" t="s">
        <v>55</v>
      </c>
      <c r="D37" s="44"/>
      <c r="E37" s="44"/>
      <c r="F37" s="57" t="s">
        <v>56</v>
      </c>
      <c r="G37" s="16"/>
      <c r="H37" s="47"/>
      <c r="I37" s="50" t="s">
        <v>57</v>
      </c>
      <c r="J37" s="16"/>
      <c r="K37" s="16"/>
      <c r="L37" s="16"/>
      <c r="M37" s="16"/>
      <c r="N37" s="16"/>
      <c r="O37" s="16"/>
      <c r="P37" s="16"/>
      <c r="Q37" s="16"/>
      <c r="R37" s="16"/>
      <c r="S37" s="16"/>
      <c r="T37" s="16"/>
      <c r="U37" s="16"/>
      <c r="V37" s="16"/>
      <c r="W37" s="16"/>
      <c r="X37" s="16"/>
      <c r="Y37" s="16"/>
      <c r="Z37" s="16"/>
    </row>
    <row r="38" ht="13.5" customHeight="1" spans="1:26" x14ac:dyDescent="0.25">
      <c r="A38" s="16"/>
      <c r="B38" s="16"/>
      <c r="G38" s="16"/>
      <c r="H38" s="47"/>
      <c r="I38" s="50" t="s">
        <v>58</v>
      </c>
      <c r="J38" s="16"/>
      <c r="K38" s="16"/>
      <c r="L38" s="16"/>
      <c r="M38" s="16"/>
      <c r="N38" s="16"/>
      <c r="O38" s="16"/>
      <c r="P38" s="16"/>
      <c r="Q38" s="16"/>
      <c r="R38" s="16"/>
      <c r="S38" s="16"/>
      <c r="T38" s="16"/>
      <c r="U38" s="16"/>
      <c r="V38" s="16"/>
      <c r="W38" s="16"/>
      <c r="X38" s="16"/>
      <c r="Y38" s="16"/>
      <c r="Z38" s="16"/>
    </row>
    <row r="39" ht="13.5" customHeight="1" spans="1:26" x14ac:dyDescent="0.25">
      <c r="A39" s="16"/>
      <c r="B39" s="16"/>
      <c r="G39" s="16"/>
      <c r="H39" s="47"/>
      <c r="I39" s="50" t="s">
        <v>59</v>
      </c>
      <c r="J39" s="16"/>
      <c r="K39" s="16"/>
      <c r="L39" s="16"/>
      <c r="M39" s="16"/>
      <c r="N39" s="16"/>
      <c r="O39" s="16"/>
      <c r="P39" s="16"/>
      <c r="Q39" s="16"/>
      <c r="R39" s="16"/>
      <c r="S39" s="16"/>
      <c r="T39" s="16"/>
      <c r="U39" s="16"/>
      <c r="V39" s="16"/>
      <c r="W39" s="16"/>
      <c r="X39" s="16"/>
      <c r="Y39" s="16"/>
      <c r="Z39" s="16"/>
    </row>
    <row r="40" ht="14.25" customHeight="1" spans="1:26" x14ac:dyDescent="0.25">
      <c r="A40" s="16"/>
      <c r="B40" s="16"/>
      <c r="G40" s="16"/>
      <c r="H40" s="47"/>
      <c r="I40" s="16"/>
      <c r="J40" s="16"/>
      <c r="K40" s="16"/>
      <c r="L40" s="16"/>
      <c r="M40" s="16"/>
      <c r="N40" s="16"/>
      <c r="O40" s="16"/>
      <c r="P40" s="16"/>
      <c r="Q40" s="16"/>
      <c r="R40" s="16"/>
      <c r="S40" s="16"/>
      <c r="T40" s="16"/>
      <c r="U40" s="16"/>
      <c r="V40" s="16"/>
      <c r="W40" s="16"/>
      <c r="X40" s="16"/>
      <c r="Y40" s="16"/>
      <c r="Z40" s="16"/>
    </row>
    <row r="41" ht="14.25" customHeight="1" hidden="1" spans="1:26" x14ac:dyDescent="0.25" outlineLevel="1" collapsed="1">
      <c r="A41" s="16"/>
      <c r="B41" s="16"/>
      <c r="G41" s="16"/>
      <c r="H41" s="47"/>
      <c r="I41" s="16"/>
      <c r="J41" s="16"/>
      <c r="K41" s="16"/>
      <c r="L41" s="16"/>
      <c r="M41" s="16"/>
      <c r="N41" s="16"/>
      <c r="O41" s="16"/>
      <c r="P41" s="16"/>
      <c r="Q41" s="16"/>
      <c r="R41" s="16"/>
      <c r="S41" s="16"/>
      <c r="T41" s="16"/>
      <c r="U41" s="16"/>
      <c r="V41" s="16"/>
      <c r="W41" s="16"/>
      <c r="X41" s="16"/>
      <c r="Y41" s="16"/>
      <c r="Z41" s="16"/>
    </row>
    <row r="42" ht="14.25" customHeight="1" hidden="1" spans="1:26" x14ac:dyDescent="0.25" outlineLevel="1" collapsed="1">
      <c r="A42" s="58" t="s">
        <v>1</v>
      </c>
      <c r="B42" s="58"/>
      <c r="C42" s="59"/>
      <c r="D42" s="60"/>
      <c r="E42" s="60"/>
      <c r="F42" s="61"/>
      <c r="G42" s="16"/>
      <c r="H42" s="47"/>
      <c r="I42" s="16"/>
      <c r="J42" s="16"/>
      <c r="K42" s="16"/>
      <c r="L42" s="16"/>
      <c r="M42" s="16"/>
      <c r="N42" s="16"/>
      <c r="O42" s="16"/>
      <c r="P42" s="16"/>
      <c r="Q42" s="16"/>
      <c r="R42" s="16"/>
      <c r="S42" s="16"/>
      <c r="T42" s="16"/>
      <c r="U42" s="16"/>
      <c r="V42" s="16"/>
      <c r="W42" s="16"/>
      <c r="X42" s="16"/>
      <c r="Y42" s="16"/>
      <c r="Z42" s="16"/>
    </row>
    <row r="43" ht="14.25" customHeight="1" hidden="1" spans="1:26" x14ac:dyDescent="0.25" outlineLevel="1" collapsed="1">
      <c r="A43" s="58"/>
      <c r="B43" s="58"/>
      <c r="C43" s="62" t="s">
        <v>60</v>
      </c>
      <c r="D43" s="63"/>
      <c r="E43" s="63"/>
      <c r="F43" s="64"/>
      <c r="G43" s="16"/>
      <c r="H43" s="47"/>
      <c r="I43" s="62" t="s">
        <v>61</v>
      </c>
      <c r="J43" s="63"/>
      <c r="K43" s="63"/>
      <c r="L43" s="64"/>
      <c r="M43" s="16"/>
      <c r="N43" s="16"/>
      <c r="O43" s="16"/>
      <c r="P43" s="16"/>
      <c r="Q43" s="16"/>
      <c r="R43" s="16"/>
      <c r="S43" s="16"/>
      <c r="T43" s="16"/>
      <c r="U43" s="16"/>
      <c r="V43" s="16"/>
      <c r="W43" s="16"/>
      <c r="X43" s="16"/>
      <c r="Y43" s="16"/>
      <c r="Z43" s="16"/>
    </row>
    <row r="44" ht="14.25" customHeight="1" hidden="1" spans="1:26" x14ac:dyDescent="0.25" outlineLevel="1" collapsed="1">
      <c r="A44" s="58"/>
      <c r="B44" s="58"/>
      <c r="C44" s="65" t="s">
        <v>62</v>
      </c>
      <c r="D44" s="66"/>
      <c r="E44" s="66"/>
      <c r="F44" s="67"/>
      <c r="G44" s="16"/>
      <c r="H44" s="47"/>
      <c r="I44" s="68" t="s">
        <v>63</v>
      </c>
      <c r="J44" s="69" t="s">
        <v>64</v>
      </c>
      <c r="K44" s="69" t="s">
        <v>65</v>
      </c>
      <c r="L44" s="70" t="s">
        <v>66</v>
      </c>
      <c r="M44" s="16"/>
      <c r="N44" s="16"/>
      <c r="O44" s="16"/>
      <c r="P44" s="16"/>
      <c r="Q44" s="16"/>
      <c r="R44" s="16"/>
      <c r="S44" s="16"/>
      <c r="T44" s="16"/>
      <c r="U44" s="16"/>
      <c r="V44" s="16"/>
      <c r="W44" s="16"/>
      <c r="X44" s="16"/>
      <c r="Y44" s="16"/>
      <c r="Z44" s="16"/>
    </row>
    <row r="45" ht="14.25" customHeight="1" hidden="1" spans="1:26" x14ac:dyDescent="0.25" outlineLevel="1" collapsed="1">
      <c r="A45" s="58"/>
      <c r="B45" s="58"/>
      <c r="C45" s="71" t="s">
        <v>67</v>
      </c>
      <c r="D45" s="66"/>
      <c r="E45" s="66"/>
      <c r="F45" s="67"/>
      <c r="G45" s="16"/>
      <c r="H45" s="47"/>
      <c r="I45" s="72" t="s">
        <v>68</v>
      </c>
      <c r="J45" s="73" t="s">
        <v>69</v>
      </c>
      <c r="K45" s="73" t="s">
        <v>70</v>
      </c>
      <c r="L45" s="74">
        <v>1000000</v>
      </c>
      <c r="M45" s="16"/>
      <c r="N45" s="16"/>
      <c r="O45" s="16"/>
      <c r="P45" s="16"/>
      <c r="Q45" s="16"/>
      <c r="R45" s="17"/>
      <c r="S45" s="16"/>
      <c r="T45" s="16"/>
      <c r="U45" s="16"/>
      <c r="V45" s="16"/>
      <c r="W45" s="16"/>
      <c r="X45" s="16"/>
      <c r="Y45" s="16"/>
      <c r="Z45" s="16"/>
    </row>
    <row r="46" ht="14.25" customHeight="1" hidden="1" spans="1:26" x14ac:dyDescent="0.25" outlineLevel="1" collapsed="1">
      <c r="A46" s="58"/>
      <c r="B46" s="58"/>
      <c r="C46" s="75" t="s">
        <v>71</v>
      </c>
      <c r="D46" s="66"/>
      <c r="E46" s="66"/>
      <c r="F46" s="67"/>
      <c r="G46" s="16"/>
      <c r="H46" s="47"/>
      <c r="I46" s="76" t="s">
        <v>72</v>
      </c>
      <c r="J46" s="60" t="s">
        <v>69</v>
      </c>
      <c r="K46" s="60" t="s">
        <v>73</v>
      </c>
      <c r="L46" s="77">
        <v>1000</v>
      </c>
      <c r="M46" s="16"/>
      <c r="N46" s="16"/>
      <c r="O46" s="16"/>
      <c r="P46" s="16"/>
      <c r="Q46" s="16"/>
      <c r="R46" s="16"/>
      <c r="S46" s="16"/>
      <c r="T46" s="16"/>
      <c r="U46" s="16"/>
      <c r="V46" s="16"/>
      <c r="W46" s="16"/>
      <c r="X46" s="16"/>
      <c r="Y46" s="16"/>
      <c r="Z46" s="16"/>
    </row>
    <row r="47" ht="14.25" customHeight="1" hidden="1" spans="1:26" x14ac:dyDescent="0.25" outlineLevel="1" collapsed="1">
      <c r="A47" s="58"/>
      <c r="B47" s="58"/>
      <c r="C47" s="78" t="s">
        <v>74</v>
      </c>
      <c r="D47" s="79"/>
      <c r="E47" s="79"/>
      <c r="F47" s="80"/>
      <c r="G47" s="16"/>
      <c r="H47" s="47"/>
      <c r="I47" s="81" t="s">
        <v>75</v>
      </c>
      <c r="J47" s="82" t="s">
        <v>69</v>
      </c>
      <c r="K47" s="82" t="s">
        <v>76</v>
      </c>
      <c r="L47" s="83">
        <v>100</v>
      </c>
      <c r="M47" s="16"/>
      <c r="N47" s="16"/>
      <c r="O47" s="16"/>
      <c r="P47" s="16"/>
      <c r="Q47" s="16"/>
      <c r="R47" s="16"/>
      <c r="S47" s="16"/>
      <c r="T47" s="16"/>
      <c r="U47" s="16"/>
      <c r="V47" s="16"/>
      <c r="W47" s="16"/>
      <c r="X47" s="16"/>
      <c r="Y47" s="16"/>
      <c r="Z47" s="16"/>
    </row>
    <row r="48" ht="13.5" customHeight="1" hidden="1" spans="1:26" x14ac:dyDescent="0.25" outlineLevel="1" collapsed="1">
      <c r="A48" s="58" t="s">
        <v>1</v>
      </c>
      <c r="B48" s="16"/>
      <c r="C48" s="16"/>
      <c r="D48" s="84"/>
      <c r="E48" s="84"/>
      <c r="F48" s="85"/>
      <c r="G48" s="16"/>
      <c r="H48" s="16"/>
      <c r="I48" s="16"/>
      <c r="J48" s="16"/>
      <c r="K48" s="16"/>
      <c r="L48" s="16"/>
      <c r="M48" s="16"/>
      <c r="N48" s="48"/>
      <c r="O48" s="48"/>
      <c r="P48" s="48"/>
      <c r="Q48" s="16"/>
      <c r="R48" s="16"/>
      <c r="S48" s="16"/>
      <c r="T48" s="16"/>
      <c r="U48" s="16"/>
      <c r="V48" s="16"/>
      <c r="W48" s="16"/>
      <c r="X48" s="16"/>
      <c r="Y48" s="16"/>
      <c r="Z48" s="16"/>
    </row>
    <row r="49" ht="13.5" customHeight="1" hidden="1" spans="1:26" x14ac:dyDescent="0.25" outlineLevel="1" collapsed="1">
      <c r="A49" s="58"/>
      <c r="B49" s="16"/>
      <c r="C49" s="62" t="s">
        <v>77</v>
      </c>
      <c r="D49" s="63"/>
      <c r="E49" s="63"/>
      <c r="F49" s="64"/>
      <c r="G49" s="16"/>
      <c r="H49" s="16"/>
      <c r="I49" s="16"/>
      <c r="J49" s="16"/>
      <c r="K49" s="16"/>
      <c r="L49" s="16"/>
      <c r="M49" s="16"/>
      <c r="N49" s="16"/>
      <c r="O49" s="16"/>
      <c r="P49" s="16"/>
      <c r="Q49" s="16"/>
      <c r="R49" s="16"/>
      <c r="S49" s="16"/>
      <c r="T49" s="16"/>
      <c r="U49" s="16"/>
      <c r="V49" s="16"/>
      <c r="W49" s="16"/>
      <c r="X49" s="16"/>
      <c r="Y49" s="16"/>
      <c r="Z49" s="16"/>
    </row>
    <row r="50" ht="13.5" customHeight="1" hidden="1" spans="1:26" x14ac:dyDescent="0.25" outlineLevel="1" collapsed="1">
      <c r="A50" s="58"/>
      <c r="B50" s="16"/>
      <c r="C50" s="16"/>
      <c r="D50" s="16"/>
      <c r="E50" s="16"/>
      <c r="F50" s="16"/>
      <c r="G50" s="16"/>
      <c r="H50" s="16"/>
      <c r="I50" s="16"/>
      <c r="J50" s="16"/>
      <c r="K50" s="16"/>
      <c r="L50" s="16"/>
      <c r="M50" s="16"/>
      <c r="N50" s="16"/>
      <c r="O50" s="16"/>
      <c r="P50" s="16"/>
      <c r="Q50" s="16"/>
      <c r="R50" s="16"/>
      <c r="S50" s="16"/>
      <c r="T50" s="16"/>
      <c r="U50" s="16"/>
      <c r="V50" s="16"/>
      <c r="W50" s="16"/>
      <c r="X50" s="16"/>
      <c r="Y50" s="16"/>
      <c r="Z50" s="16"/>
    </row>
    <row r="51" ht="13.5" customHeight="1" hidden="1" spans="1:26" x14ac:dyDescent="0.25" outlineLevel="1" collapsed="1">
      <c r="A51" s="58"/>
      <c r="B51" s="16"/>
      <c r="C51" s="86" t="s">
        <v>34</v>
      </c>
      <c r="D51" s="87"/>
      <c r="E51" s="16"/>
      <c r="F51" s="16"/>
      <c r="G51" s="16"/>
      <c r="H51" s="16"/>
      <c r="I51" s="16"/>
      <c r="J51" s="16"/>
      <c r="K51" s="16"/>
      <c r="L51" s="16"/>
      <c r="M51" s="16"/>
      <c r="N51" s="16"/>
      <c r="O51" s="16"/>
      <c r="P51" s="16"/>
      <c r="Q51" s="16"/>
      <c r="R51" s="16"/>
      <c r="S51" s="16"/>
      <c r="T51" s="16"/>
      <c r="U51" s="16"/>
      <c r="V51" s="16"/>
      <c r="W51" s="16"/>
      <c r="X51" s="16"/>
      <c r="Y51" s="16"/>
      <c r="Z51" s="16"/>
    </row>
    <row r="52" ht="13.5" customHeight="1" hidden="1" spans="1:26" x14ac:dyDescent="0.25" outlineLevel="1" collapsed="1">
      <c r="A52" s="58"/>
      <c r="B52" s="16"/>
      <c r="C52" s="16"/>
      <c r="D52" s="16"/>
      <c r="E52" s="16"/>
      <c r="F52" s="16"/>
      <c r="G52" s="16"/>
      <c r="H52" s="16"/>
      <c r="I52" s="16"/>
      <c r="J52" s="16"/>
      <c r="K52" s="16"/>
      <c r="L52" s="16"/>
      <c r="M52" s="16"/>
      <c r="N52" s="16"/>
      <c r="O52" s="16"/>
      <c r="P52" s="16"/>
      <c r="Q52" s="16"/>
      <c r="R52" s="16"/>
      <c r="S52" s="16"/>
      <c r="T52" s="16"/>
      <c r="U52" s="16"/>
      <c r="V52" s="16"/>
      <c r="W52" s="16"/>
      <c r="X52" s="16"/>
      <c r="Y52" s="16"/>
      <c r="Z52" s="16"/>
    </row>
    <row r="53" ht="13.5" customHeight="1" hidden="1" spans="1:26" x14ac:dyDescent="0.25" outlineLevel="1" collapsed="1">
      <c r="A53" s="58"/>
      <c r="B53" s="16"/>
      <c r="C53" s="88" t="s">
        <v>42</v>
      </c>
      <c r="D53" s="87"/>
      <c r="E53" s="16"/>
      <c r="F53" s="16"/>
      <c r="G53" s="16"/>
      <c r="H53" s="16"/>
      <c r="I53" s="16"/>
      <c r="J53" s="16"/>
      <c r="K53" s="16"/>
      <c r="L53" s="16"/>
      <c r="M53" s="16"/>
      <c r="N53" s="16"/>
      <c r="O53" s="16"/>
      <c r="P53" s="16"/>
      <c r="Q53" s="16"/>
      <c r="R53" s="16"/>
      <c r="S53" s="16"/>
      <c r="T53" s="16"/>
      <c r="U53" s="16"/>
      <c r="V53" s="16"/>
      <c r="W53" s="16"/>
      <c r="X53" s="16"/>
      <c r="Y53" s="16"/>
      <c r="Z53" s="16"/>
    </row>
    <row r="54" ht="13.5" customHeight="1" hidden="1" spans="1:26" x14ac:dyDescent="0.25" outlineLevel="1" collapsed="1">
      <c r="A54" s="58" t="s">
        <v>1</v>
      </c>
      <c r="B54" s="16"/>
      <c r="C54" s="16"/>
      <c r="D54" s="16"/>
      <c r="E54" s="16"/>
      <c r="F54" s="16"/>
      <c r="G54" s="16"/>
      <c r="H54" s="16"/>
      <c r="I54" s="16"/>
      <c r="J54" s="16"/>
      <c r="K54" s="16"/>
      <c r="L54" s="16"/>
      <c r="M54" s="16"/>
      <c r="N54" s="16"/>
      <c r="O54" s="16"/>
      <c r="P54" s="16"/>
      <c r="Q54" s="16"/>
      <c r="R54" s="16"/>
      <c r="S54" s="16"/>
      <c r="T54" s="16"/>
      <c r="U54" s="16"/>
      <c r="V54" s="16"/>
      <c r="W54" s="16"/>
      <c r="X54" s="16"/>
      <c r="Y54" s="16"/>
      <c r="Z54" s="16"/>
    </row>
    <row r="55" ht="13.5" customHeight="1" hidden="1" spans="1:26" x14ac:dyDescent="0.25" outlineLevel="1" collapsed="1">
      <c r="A55" s="58"/>
      <c r="B55" s="16"/>
      <c r="C55" s="89" t="s">
        <v>78</v>
      </c>
      <c r="D55" s="87"/>
      <c r="E55" s="16"/>
      <c r="F55" s="16"/>
      <c r="G55" s="16"/>
      <c r="H55" s="16"/>
      <c r="I55" s="16"/>
      <c r="J55" s="16"/>
      <c r="K55" s="16"/>
      <c r="L55" s="16"/>
      <c r="M55" s="16"/>
      <c r="N55" s="16"/>
      <c r="O55" s="16"/>
      <c r="P55" s="16"/>
      <c r="Q55" s="16"/>
      <c r="R55" s="16"/>
      <c r="S55" s="16"/>
      <c r="T55" s="16"/>
      <c r="U55" s="16"/>
      <c r="V55" s="16"/>
      <c r="W55" s="16"/>
      <c r="X55" s="16"/>
      <c r="Y55" s="16"/>
      <c r="Z55" s="16"/>
    </row>
    <row r="56" ht="13.5" customHeight="1" hidden="1" spans="1:26" x14ac:dyDescent="0.25" outlineLevel="1" collapsed="1">
      <c r="A56" s="58"/>
      <c r="B56" s="16"/>
      <c r="C56" s="16"/>
      <c r="D56" s="16"/>
      <c r="E56" s="16"/>
      <c r="F56" s="16"/>
      <c r="G56" s="16"/>
      <c r="H56" s="16"/>
      <c r="I56" s="16"/>
      <c r="J56" s="16"/>
      <c r="K56" s="16"/>
      <c r="L56" s="16"/>
      <c r="M56" s="16"/>
      <c r="N56" s="16"/>
      <c r="O56" s="16"/>
      <c r="P56" s="16"/>
      <c r="Q56" s="16"/>
      <c r="R56" s="16"/>
      <c r="S56" s="16"/>
      <c r="T56" s="16"/>
      <c r="U56" s="16"/>
      <c r="V56" s="16"/>
      <c r="W56" s="16"/>
      <c r="X56" s="16"/>
      <c r="Y56" s="16"/>
      <c r="Z56" s="16"/>
    </row>
    <row r="57" ht="13.5" customHeight="1" hidden="1" spans="1:26" x14ac:dyDescent="0.25" outlineLevel="1" collapsed="1">
      <c r="A57" s="58"/>
      <c r="B57" s="16"/>
      <c r="C57" s="90" t="s">
        <v>49</v>
      </c>
      <c r="D57" s="87"/>
      <c r="E57" s="16"/>
      <c r="F57" s="16"/>
      <c r="G57" s="16"/>
      <c r="H57" s="16"/>
      <c r="I57" s="16"/>
      <c r="J57" s="16"/>
      <c r="K57" s="16"/>
      <c r="L57" s="16"/>
      <c r="M57" s="16"/>
      <c r="N57" s="16"/>
      <c r="O57" s="16"/>
      <c r="P57" s="16"/>
      <c r="Q57" s="16"/>
      <c r="R57" s="16"/>
      <c r="S57" s="16"/>
      <c r="T57" s="16"/>
      <c r="U57" s="16"/>
      <c r="V57" s="16"/>
      <c r="W57" s="16"/>
      <c r="X57" s="16"/>
      <c r="Y57" s="16"/>
      <c r="Z57" s="16"/>
    </row>
    <row r="58" ht="13.5" customHeight="1" hidden="1" spans="1:26" x14ac:dyDescent="0.25" outlineLevel="1" collapsed="1">
      <c r="A58" s="58"/>
      <c r="B58" s="16"/>
      <c r="C58" s="16"/>
      <c r="D58" s="16"/>
      <c r="E58" s="16"/>
      <c r="F58" s="16"/>
      <c r="G58" s="16"/>
      <c r="H58" s="16"/>
      <c r="I58" s="16"/>
      <c r="J58" s="16"/>
      <c r="K58" s="16"/>
      <c r="L58" s="16"/>
      <c r="M58" s="16"/>
      <c r="N58" s="16"/>
      <c r="O58" s="16"/>
      <c r="P58" s="16"/>
      <c r="Q58" s="16"/>
      <c r="R58" s="16"/>
      <c r="S58" s="16"/>
      <c r="T58" s="16"/>
      <c r="U58" s="16"/>
      <c r="V58" s="16"/>
      <c r="W58" s="16"/>
      <c r="X58" s="16"/>
      <c r="Y58" s="16"/>
      <c r="Z58" s="16"/>
    </row>
    <row r="59" ht="13.5" customHeight="1" hidden="1" spans="1:26" x14ac:dyDescent="0.25" outlineLevel="1" collapsed="1">
      <c r="A59" s="58"/>
      <c r="B59" s="16"/>
      <c r="C59" s="91" t="s">
        <v>79</v>
      </c>
      <c r="D59" s="87"/>
      <c r="E59" s="16"/>
      <c r="F59" s="16"/>
      <c r="G59" s="16"/>
      <c r="H59" s="16"/>
      <c r="I59" s="16"/>
      <c r="J59" s="16"/>
      <c r="K59" s="16"/>
      <c r="L59" s="16"/>
      <c r="M59" s="16"/>
      <c r="N59" s="16"/>
      <c r="O59" s="16"/>
      <c r="P59" s="16"/>
      <c r="Q59" s="16"/>
      <c r="R59" s="16"/>
      <c r="S59" s="16"/>
      <c r="T59" s="16"/>
      <c r="U59" s="16"/>
      <c r="V59" s="16"/>
      <c r="W59" s="16"/>
      <c r="X59" s="16"/>
      <c r="Y59" s="16"/>
      <c r="Z59" s="16"/>
    </row>
    <row r="60" ht="13.5" customHeight="1" hidden="1" spans="1:26" x14ac:dyDescent="0.25" outlineLevel="1" collapsed="1">
      <c r="A60" s="58"/>
      <c r="B60" s="16"/>
      <c r="C60" s="16"/>
      <c r="D60" s="16"/>
      <c r="E60" s="16"/>
      <c r="F60" s="16"/>
      <c r="G60" s="16"/>
      <c r="H60" s="16"/>
      <c r="I60" s="16"/>
      <c r="J60" s="16"/>
      <c r="K60" s="16"/>
      <c r="L60" s="16"/>
      <c r="M60" s="16"/>
      <c r="N60" s="16"/>
      <c r="O60" s="16"/>
      <c r="P60" s="16"/>
      <c r="Q60" s="16"/>
      <c r="R60" s="16"/>
      <c r="S60" s="16"/>
      <c r="T60" s="16"/>
      <c r="U60" s="16"/>
      <c r="V60" s="16"/>
      <c r="W60" s="16"/>
      <c r="X60" s="16"/>
      <c r="Y60" s="16"/>
      <c r="Z60" s="16"/>
    </row>
    <row r="61" ht="13.5" customHeight="1" hidden="1" spans="1:26" x14ac:dyDescent="0.25" outlineLevel="1" collapsed="1">
      <c r="A61" s="58"/>
      <c r="B61" s="16"/>
      <c r="C61" s="92" t="s">
        <v>80</v>
      </c>
      <c r="D61" s="22"/>
      <c r="E61" s="22"/>
      <c r="F61" s="7"/>
      <c r="G61" s="16"/>
      <c r="H61" s="16"/>
      <c r="I61" s="16"/>
      <c r="J61" s="16"/>
      <c r="K61" s="16"/>
      <c r="L61" s="16"/>
      <c r="M61" s="16"/>
      <c r="N61" s="16"/>
      <c r="O61" s="16"/>
      <c r="P61" s="16"/>
      <c r="Q61" s="16"/>
      <c r="R61" s="16"/>
      <c r="S61" s="16"/>
      <c r="T61" s="16"/>
      <c r="U61" s="16"/>
      <c r="V61" s="16"/>
      <c r="W61" s="16"/>
      <c r="X61" s="16"/>
      <c r="Y61" s="16"/>
      <c r="Z61" s="16"/>
    </row>
    <row r="62" ht="13.5" customHeight="1" hidden="1" spans="1:26" x14ac:dyDescent="0.25" outlineLevel="1" collapsed="1">
      <c r="A62" s="58"/>
      <c r="B62" s="16"/>
      <c r="C62" s="93"/>
      <c r="D62" s="16"/>
      <c r="E62" s="16"/>
      <c r="F62" s="16"/>
      <c r="G62" s="16"/>
      <c r="H62" s="16"/>
      <c r="I62" s="16"/>
      <c r="J62" s="16"/>
      <c r="K62" s="16"/>
      <c r="L62" s="16"/>
      <c r="M62" s="16"/>
      <c r="N62" s="16"/>
      <c r="O62" s="16"/>
      <c r="P62" s="16"/>
      <c r="Q62" s="16"/>
      <c r="R62" s="16"/>
      <c r="S62" s="16"/>
      <c r="T62" s="16"/>
      <c r="U62" s="16"/>
      <c r="V62" s="16"/>
      <c r="W62" s="16"/>
      <c r="X62" s="16"/>
      <c r="Y62" s="16"/>
      <c r="Z62" s="16"/>
    </row>
    <row r="63" ht="13.5" customHeight="1" hidden="1" spans="1:26" x14ac:dyDescent="0.25" outlineLevel="1" collapsed="1">
      <c r="A63" s="58"/>
      <c r="B63" s="16"/>
      <c r="C63" s="94" t="s">
        <v>81</v>
      </c>
      <c r="D63" s="87"/>
      <c r="E63" s="16"/>
      <c r="F63" s="95" t="s">
        <v>82</v>
      </c>
      <c r="G63" s="16"/>
      <c r="H63" s="16"/>
      <c r="I63" s="16"/>
      <c r="J63" s="16"/>
      <c r="K63" s="16"/>
      <c r="L63" s="16"/>
      <c r="M63" s="16"/>
      <c r="N63" s="16"/>
      <c r="O63" s="16"/>
      <c r="P63" s="16"/>
      <c r="Q63" s="16"/>
      <c r="R63" s="16"/>
      <c r="S63" s="16"/>
      <c r="T63" s="16"/>
      <c r="U63" s="16"/>
      <c r="V63" s="16"/>
      <c r="W63" s="16"/>
      <c r="X63" s="16"/>
      <c r="Y63" s="16"/>
      <c r="Z63" s="16"/>
    </row>
    <row r="64" ht="13.5" customHeight="1" hidden="1" spans="1:26" x14ac:dyDescent="0.25" outlineLevel="1" collapsed="1">
      <c r="A64" s="58"/>
      <c r="B64" s="16"/>
      <c r="C64" s="96"/>
      <c r="D64" s="16"/>
      <c r="E64" s="16"/>
      <c r="F64" s="97"/>
      <c r="G64" s="16"/>
      <c r="H64" s="16"/>
      <c r="I64" s="16"/>
      <c r="J64" s="16"/>
      <c r="K64" s="16"/>
      <c r="L64" s="16"/>
      <c r="M64" s="16"/>
      <c r="N64" s="16"/>
      <c r="O64" s="16"/>
      <c r="P64" s="16"/>
      <c r="Q64" s="16"/>
      <c r="R64" s="16"/>
      <c r="S64" s="16"/>
      <c r="T64" s="16"/>
      <c r="U64" s="16"/>
      <c r="V64" s="16"/>
      <c r="W64" s="16"/>
      <c r="X64" s="16"/>
      <c r="Y64" s="16"/>
      <c r="Z64" s="16"/>
    </row>
    <row r="65" ht="13.5" customHeight="1" hidden="1" spans="1:26" x14ac:dyDescent="0.25" outlineLevel="1" collapsed="1">
      <c r="A65" s="58"/>
      <c r="B65" s="16"/>
      <c r="C65" s="86" t="s">
        <v>83</v>
      </c>
      <c r="D65" s="87"/>
      <c r="E65" s="16"/>
      <c r="F65" s="95" t="s">
        <v>84</v>
      </c>
      <c r="G65" s="16"/>
      <c r="H65" s="16"/>
      <c r="I65" s="16"/>
      <c r="J65" s="16"/>
      <c r="K65" s="16"/>
      <c r="L65" s="16"/>
      <c r="M65" s="16"/>
      <c r="N65" s="16"/>
      <c r="O65" s="16"/>
      <c r="P65" s="16"/>
      <c r="Q65" s="16"/>
      <c r="R65" s="16"/>
      <c r="S65" s="16"/>
      <c r="T65" s="16"/>
      <c r="U65" s="16"/>
      <c r="V65" s="16"/>
      <c r="W65" s="16"/>
      <c r="X65" s="16"/>
      <c r="Y65" s="16"/>
      <c r="Z65" s="16"/>
    </row>
    <row r="66" ht="13.5" customHeight="1" hidden="1" spans="1:26" x14ac:dyDescent="0.25" outlineLevel="1" collapsed="1">
      <c r="A66" s="58"/>
      <c r="B66" s="16"/>
      <c r="C66" s="96"/>
      <c r="D66" s="16"/>
      <c r="E66" s="16"/>
      <c r="F66" s="97"/>
      <c r="G66" s="16"/>
      <c r="H66" s="16"/>
      <c r="I66" s="16"/>
      <c r="J66" s="16"/>
      <c r="K66" s="16"/>
      <c r="L66" s="16"/>
      <c r="M66" s="16"/>
      <c r="N66" s="16"/>
      <c r="O66" s="16"/>
      <c r="P66" s="16"/>
      <c r="Q66" s="16"/>
      <c r="R66" s="16"/>
      <c r="S66" s="16"/>
      <c r="T66" s="16"/>
      <c r="U66" s="16"/>
      <c r="V66" s="16"/>
      <c r="W66" s="16"/>
      <c r="X66" s="16"/>
      <c r="Y66" s="16"/>
      <c r="Z66" s="16"/>
    </row>
    <row r="67" ht="13.5" customHeight="1" hidden="1" spans="1:26" x14ac:dyDescent="0.25" outlineLevel="1" collapsed="1">
      <c r="A67" s="58"/>
      <c r="B67" s="16"/>
      <c r="C67" s="98" t="s">
        <v>85</v>
      </c>
      <c r="D67" s="87"/>
      <c r="E67" s="16"/>
      <c r="F67" s="95" t="s">
        <v>86</v>
      </c>
      <c r="G67" s="16"/>
      <c r="H67" s="16"/>
      <c r="I67" s="16"/>
      <c r="J67" s="16"/>
      <c r="K67" s="16"/>
      <c r="L67" s="16"/>
      <c r="M67" s="16"/>
      <c r="N67" s="16"/>
      <c r="O67" s="16"/>
      <c r="P67" s="16"/>
      <c r="Q67" s="16"/>
      <c r="R67" s="16"/>
      <c r="S67" s="16"/>
      <c r="T67" s="16"/>
      <c r="U67" s="16"/>
      <c r="V67" s="16"/>
      <c r="W67" s="16"/>
      <c r="X67" s="16"/>
      <c r="Y67" s="16"/>
      <c r="Z67" s="16"/>
    </row>
    <row r="68" ht="13.5" customHeight="1" hidden="1" spans="1:26" x14ac:dyDescent="0.25" outlineLevel="1" collapsed="1">
      <c r="A68" s="58"/>
      <c r="B68" s="16"/>
      <c r="C68" s="97"/>
      <c r="D68" s="16"/>
      <c r="E68" s="16"/>
      <c r="F68" s="97"/>
      <c r="G68" s="16"/>
      <c r="H68" s="16"/>
      <c r="I68" s="16"/>
      <c r="J68" s="16"/>
      <c r="K68" s="16"/>
      <c r="L68" s="16"/>
      <c r="M68" s="16"/>
      <c r="N68" s="16"/>
      <c r="O68" s="16"/>
      <c r="P68" s="16"/>
      <c r="Q68" s="16"/>
      <c r="R68" s="16"/>
      <c r="S68" s="16"/>
      <c r="T68" s="16"/>
      <c r="U68" s="16"/>
      <c r="V68" s="16"/>
      <c r="W68" s="16"/>
      <c r="X68" s="16"/>
      <c r="Y68" s="16"/>
      <c r="Z68" s="16"/>
    </row>
    <row r="69" ht="13.5" customHeight="1" hidden="1" spans="1:26" x14ac:dyDescent="0.25" outlineLevel="1" collapsed="1">
      <c r="A69" s="58"/>
      <c r="B69" s="16"/>
      <c r="C69" s="99" t="s">
        <v>87</v>
      </c>
      <c r="D69" s="87"/>
      <c r="E69" s="16"/>
      <c r="F69" s="95" t="s">
        <v>88</v>
      </c>
      <c r="G69" s="16"/>
      <c r="H69" s="16"/>
      <c r="I69" s="16"/>
      <c r="J69" s="16"/>
      <c r="K69" s="16"/>
      <c r="L69" s="16"/>
      <c r="M69" s="16"/>
      <c r="N69" s="16"/>
      <c r="O69" s="16"/>
      <c r="P69" s="16"/>
      <c r="Q69" s="16"/>
      <c r="R69" s="16"/>
      <c r="S69" s="16"/>
      <c r="T69" s="16"/>
      <c r="U69" s="16"/>
      <c r="V69" s="16"/>
      <c r="W69" s="16"/>
      <c r="X69" s="16"/>
      <c r="Y69" s="16"/>
      <c r="Z69" s="16"/>
    </row>
    <row r="70" ht="13.5" customHeight="1" hidden="1" spans="1:26" x14ac:dyDescent="0.25" outlineLevel="1" collapsed="1">
      <c r="A70" s="58"/>
      <c r="B70" s="16"/>
      <c r="C70" s="100"/>
      <c r="D70" s="16"/>
      <c r="E70" s="16"/>
      <c r="F70" s="100"/>
      <c r="G70" s="16"/>
      <c r="H70" s="16"/>
      <c r="I70" s="16"/>
      <c r="J70" s="16"/>
      <c r="K70" s="16"/>
      <c r="L70" s="16"/>
      <c r="M70" s="16"/>
      <c r="N70" s="16"/>
      <c r="O70" s="16"/>
      <c r="P70" s="16"/>
      <c r="Q70" s="16"/>
      <c r="R70" s="16"/>
      <c r="S70" s="16"/>
      <c r="T70" s="16"/>
      <c r="U70" s="16"/>
      <c r="V70" s="16"/>
      <c r="W70" s="16"/>
      <c r="X70" s="16"/>
      <c r="Y70" s="16"/>
      <c r="Z70" s="16"/>
    </row>
    <row r="71" ht="13.5" customHeight="1" hidden="1" spans="1:26" x14ac:dyDescent="0.25" outlineLevel="1" collapsed="1">
      <c r="A71" s="58"/>
      <c r="B71" s="16"/>
      <c r="C71" s="90" t="s">
        <v>89</v>
      </c>
      <c r="D71" s="87"/>
      <c r="E71" s="16"/>
      <c r="F71" s="95" t="s">
        <v>90</v>
      </c>
      <c r="G71" s="16"/>
      <c r="H71" s="16"/>
      <c r="I71" s="16"/>
      <c r="J71" s="16"/>
      <c r="K71" s="16"/>
      <c r="L71" s="16"/>
      <c r="M71" s="16"/>
      <c r="N71" s="16"/>
      <c r="O71" s="16"/>
      <c r="P71" s="16"/>
      <c r="Q71" s="16"/>
      <c r="R71" s="16"/>
      <c r="S71" s="16"/>
      <c r="T71" s="16"/>
      <c r="U71" s="16"/>
      <c r="V71" s="16"/>
      <c r="W71" s="16"/>
      <c r="X71" s="16"/>
      <c r="Y71" s="16"/>
      <c r="Z71" s="16"/>
    </row>
    <row r="72" ht="13.5" customHeight="1" hidden="1" spans="1:26" x14ac:dyDescent="0.25" outlineLevel="1" collapsed="1">
      <c r="A72" s="58"/>
      <c r="B72" s="16"/>
      <c r="C72" s="100"/>
      <c r="D72" s="16"/>
      <c r="E72" s="16"/>
      <c r="F72" s="100"/>
      <c r="G72" s="16"/>
      <c r="H72" s="16"/>
      <c r="I72" s="16"/>
      <c r="J72" s="16"/>
      <c r="K72" s="16"/>
      <c r="L72" s="16"/>
      <c r="M72" s="16"/>
      <c r="N72" s="16"/>
      <c r="O72" s="16"/>
      <c r="P72" s="16"/>
      <c r="Q72" s="16"/>
      <c r="R72" s="16"/>
      <c r="S72" s="16"/>
      <c r="T72" s="16"/>
      <c r="U72" s="16"/>
      <c r="V72" s="16"/>
      <c r="W72" s="16"/>
      <c r="X72" s="16"/>
      <c r="Y72" s="16"/>
      <c r="Z72" s="16"/>
    </row>
    <row r="73" ht="13.5" customHeight="1" hidden="1" spans="1:26" x14ac:dyDescent="0.25" outlineLevel="1" collapsed="1">
      <c r="A73" s="58"/>
      <c r="B73" s="16"/>
      <c r="C73" s="101" t="s">
        <v>91</v>
      </c>
      <c r="D73" s="87"/>
      <c r="E73" s="16"/>
      <c r="F73" s="95" t="s">
        <v>92</v>
      </c>
      <c r="G73" s="16"/>
      <c r="H73" s="16"/>
      <c r="I73" s="16"/>
      <c r="J73" s="16"/>
      <c r="K73" s="16"/>
      <c r="L73" s="16"/>
      <c r="M73" s="16"/>
      <c r="N73" s="16"/>
      <c r="O73" s="16"/>
      <c r="P73" s="16"/>
      <c r="Q73" s="16"/>
      <c r="R73" s="16"/>
      <c r="S73" s="16"/>
      <c r="T73" s="16"/>
      <c r="U73" s="16"/>
      <c r="V73" s="16"/>
      <c r="W73" s="16"/>
      <c r="X73" s="16"/>
      <c r="Y73" s="16"/>
      <c r="Z73" s="16"/>
    </row>
    <row r="74" ht="13.5" customHeight="1" hidden="1" spans="1:26" x14ac:dyDescent="0.25" outlineLevel="1" collapsed="1">
      <c r="A74" s="58"/>
      <c r="B74" s="16"/>
      <c r="C74" s="16"/>
      <c r="D74" s="16"/>
      <c r="E74" s="16"/>
      <c r="F74" s="16"/>
      <c r="G74" s="16"/>
      <c r="H74" s="16"/>
      <c r="I74" s="16"/>
      <c r="J74" s="16"/>
      <c r="K74" s="16"/>
      <c r="L74" s="16"/>
      <c r="M74" s="16"/>
      <c r="N74" s="16"/>
      <c r="O74" s="16"/>
      <c r="P74" s="16"/>
      <c r="Q74" s="16"/>
      <c r="R74" s="16"/>
      <c r="S74" s="16"/>
      <c r="T74" s="16"/>
      <c r="U74" s="16"/>
      <c r="V74" s="16"/>
      <c r="W74" s="16"/>
      <c r="X74" s="16"/>
      <c r="Y74" s="16"/>
      <c r="Z74" s="16"/>
    </row>
    <row r="75" ht="13.5" customHeight="1" hidden="1" spans="1:26" x14ac:dyDescent="0.25" outlineLevel="1" collapsed="1">
      <c r="A75" s="58"/>
      <c r="B75" s="16"/>
      <c r="C75" s="89" t="s">
        <v>93</v>
      </c>
      <c r="D75" s="87"/>
      <c r="E75" s="16"/>
      <c r="F75" s="95" t="s">
        <v>94</v>
      </c>
      <c r="G75" s="16"/>
      <c r="H75" s="16"/>
      <c r="I75" s="16"/>
      <c r="J75" s="16"/>
      <c r="K75" s="16"/>
      <c r="L75" s="16"/>
      <c r="M75" s="16"/>
      <c r="N75" s="16"/>
      <c r="O75" s="16"/>
      <c r="P75" s="16"/>
      <c r="Q75" s="16"/>
      <c r="R75" s="16"/>
      <c r="S75" s="16"/>
      <c r="T75" s="16"/>
      <c r="U75" s="16"/>
      <c r="V75" s="16"/>
      <c r="W75" s="16"/>
      <c r="X75" s="16"/>
      <c r="Y75" s="16"/>
      <c r="Z75" s="16"/>
    </row>
    <row r="76" ht="13.5" customHeight="1" hidden="1" spans="1:26" x14ac:dyDescent="0.25" outlineLevel="1" collapsed="1">
      <c r="A76" s="58"/>
      <c r="B76" s="16"/>
      <c r="C76" s="16"/>
      <c r="D76" s="16"/>
      <c r="E76" s="16"/>
      <c r="F76" s="16"/>
      <c r="G76" s="16"/>
      <c r="H76" s="16"/>
      <c r="I76" s="16"/>
      <c r="J76" s="16"/>
      <c r="K76" s="16"/>
      <c r="L76" s="16"/>
      <c r="M76" s="16"/>
      <c r="N76" s="16"/>
      <c r="O76" s="16"/>
      <c r="P76" s="16"/>
      <c r="Q76" s="16"/>
      <c r="R76" s="16"/>
      <c r="S76" s="16"/>
      <c r="T76" s="16"/>
      <c r="U76" s="16"/>
      <c r="V76" s="16"/>
      <c r="W76" s="16"/>
      <c r="X76" s="16"/>
      <c r="Y76" s="16"/>
      <c r="Z76" s="16"/>
    </row>
    <row r="77" ht="13.5" customHeight="1" hidden="1" spans="1:26" x14ac:dyDescent="0.25" outlineLevel="1" collapsed="1">
      <c r="A77" s="58"/>
      <c r="B77" s="16"/>
      <c r="C77" s="102" t="s">
        <v>95</v>
      </c>
      <c r="D77" s="87"/>
      <c r="E77" s="16"/>
      <c r="F77" s="95" t="s">
        <v>96</v>
      </c>
      <c r="G77" s="16"/>
      <c r="H77" s="16"/>
      <c r="I77" s="16"/>
      <c r="J77" s="16"/>
      <c r="K77" s="16"/>
      <c r="L77" s="16"/>
      <c r="M77" s="16"/>
      <c r="N77" s="16"/>
      <c r="O77" s="16"/>
      <c r="P77" s="16"/>
      <c r="Q77" s="16"/>
      <c r="R77" s="16"/>
      <c r="S77" s="16"/>
      <c r="T77" s="16"/>
      <c r="U77" s="16"/>
      <c r="V77" s="16"/>
      <c r="W77" s="16"/>
      <c r="X77" s="16"/>
      <c r="Y77" s="16"/>
      <c r="Z77" s="16"/>
    </row>
    <row r="78" ht="13.5" customHeight="1" hidden="1" spans="1:26" x14ac:dyDescent="0.25" outlineLevel="1" collapsed="1">
      <c r="A78" s="58"/>
      <c r="B78" s="16"/>
      <c r="C78" s="16"/>
      <c r="D78" s="16"/>
      <c r="E78" s="16"/>
      <c r="F78" s="16"/>
      <c r="G78" s="16"/>
      <c r="H78" s="16"/>
      <c r="I78" s="16"/>
      <c r="J78" s="16"/>
      <c r="K78" s="16"/>
      <c r="L78" s="16"/>
      <c r="M78" s="16"/>
      <c r="N78" s="16"/>
      <c r="O78" s="16"/>
      <c r="P78" s="16"/>
      <c r="Q78" s="16"/>
      <c r="R78" s="16"/>
      <c r="S78" s="16"/>
      <c r="T78" s="16"/>
      <c r="U78" s="16"/>
      <c r="V78" s="16"/>
      <c r="W78" s="16"/>
      <c r="X78" s="16"/>
      <c r="Y78" s="16"/>
      <c r="Z78" s="16"/>
    </row>
    <row r="79" ht="13.5" customHeight="1" hidden="1" spans="1:26" x14ac:dyDescent="0.25" outlineLevel="1" collapsed="1">
      <c r="A79" s="58"/>
      <c r="B79" s="16"/>
      <c r="C79" s="103" t="s">
        <v>97</v>
      </c>
      <c r="D79" s="87"/>
      <c r="E79" s="16"/>
      <c r="F79" s="95" t="s">
        <v>98</v>
      </c>
      <c r="G79" s="16"/>
      <c r="H79" s="16"/>
      <c r="I79" s="16"/>
      <c r="J79" s="16"/>
      <c r="K79" s="16"/>
      <c r="L79" s="16"/>
      <c r="M79" s="16"/>
      <c r="N79" s="16"/>
      <c r="O79" s="16"/>
      <c r="P79" s="16"/>
      <c r="Q79" s="16"/>
      <c r="R79" s="16"/>
      <c r="S79" s="16"/>
      <c r="T79" s="16"/>
      <c r="U79" s="16"/>
      <c r="V79" s="16"/>
      <c r="W79" s="16"/>
      <c r="X79" s="16"/>
      <c r="Y79" s="16"/>
      <c r="Z79" s="16"/>
    </row>
    <row r="80" ht="13.5" customHeight="1" hidden="1" spans="1:26" x14ac:dyDescent="0.25" outlineLevel="1" collapsed="1">
      <c r="A80" s="58"/>
      <c r="B80" s="16"/>
      <c r="C80" s="16"/>
      <c r="D80" s="16"/>
      <c r="E80" s="16"/>
      <c r="F80" s="16"/>
      <c r="G80" s="16"/>
      <c r="H80" s="16"/>
      <c r="I80" s="16"/>
      <c r="J80" s="16"/>
      <c r="K80" s="16"/>
      <c r="L80" s="16"/>
      <c r="M80" s="16"/>
      <c r="N80" s="16"/>
      <c r="O80" s="16"/>
      <c r="P80" s="16"/>
      <c r="Q80" s="16"/>
      <c r="R80" s="16"/>
      <c r="S80" s="16"/>
      <c r="T80" s="16"/>
      <c r="U80" s="16"/>
      <c r="V80" s="16"/>
      <c r="W80" s="16"/>
      <c r="X80" s="16"/>
      <c r="Y80" s="16"/>
      <c r="Z80" s="16"/>
    </row>
    <row r="81" ht="13.5" customHeight="1" hidden="1" spans="1:26" x14ac:dyDescent="0.25" outlineLevel="1" collapsed="1">
      <c r="A81" s="58"/>
      <c r="B81" s="16"/>
      <c r="C81" s="104" t="s">
        <v>99</v>
      </c>
      <c r="D81" s="87"/>
      <c r="E81" s="16"/>
      <c r="F81" s="95" t="s">
        <v>100</v>
      </c>
      <c r="G81" s="16"/>
      <c r="H81" s="16"/>
      <c r="I81" s="16"/>
      <c r="J81" s="16"/>
      <c r="K81" s="16"/>
      <c r="L81" s="16"/>
      <c r="M81" s="16"/>
      <c r="N81" s="16"/>
      <c r="O81" s="16"/>
      <c r="P81" s="16"/>
      <c r="Q81" s="16"/>
      <c r="R81" s="16"/>
      <c r="S81" s="16"/>
      <c r="T81" s="16"/>
      <c r="U81" s="16"/>
      <c r="V81" s="16"/>
      <c r="W81" s="16"/>
      <c r="X81" s="16"/>
      <c r="Y81" s="16"/>
      <c r="Z81" s="16"/>
    </row>
    <row r="82" ht="13.5" customHeight="1" hidden="1" spans="1:26" x14ac:dyDescent="0.25" outlineLevel="1" collapsed="1">
      <c r="A82" s="58"/>
      <c r="B82" s="16"/>
      <c r="C82" s="16"/>
      <c r="D82" s="16"/>
      <c r="E82" s="16"/>
      <c r="F82" s="16"/>
      <c r="G82" s="16"/>
      <c r="H82" s="16"/>
      <c r="I82" s="4"/>
      <c r="J82" s="4"/>
      <c r="K82" s="4"/>
      <c r="L82" s="4"/>
      <c r="M82" s="4"/>
      <c r="N82" s="4"/>
      <c r="O82" s="4"/>
      <c r="P82" s="4"/>
      <c r="Q82" s="4"/>
      <c r="R82" s="4"/>
      <c r="S82" s="4"/>
      <c r="T82" s="4"/>
      <c r="U82" s="4"/>
      <c r="V82" s="4"/>
      <c r="W82" s="4"/>
      <c r="X82" s="4"/>
      <c r="Y82" s="4"/>
      <c r="Z82" s="4"/>
    </row>
    <row r="83" ht="13.5" customHeight="1" spans="1:26" x14ac:dyDescent="0.25">
      <c r="A83" s="58" t="s">
        <v>1</v>
      </c>
      <c r="B83" s="58" t="s">
        <v>1</v>
      </c>
      <c r="C83" s="105" t="s">
        <v>101</v>
      </c>
      <c r="D83" s="106"/>
      <c r="E83" s="106"/>
      <c r="F83" s="106"/>
      <c r="G83" s="106"/>
      <c r="H83" s="106"/>
      <c r="I83" s="106"/>
      <c r="J83" s="106"/>
      <c r="K83" s="106"/>
      <c r="L83" s="106"/>
      <c r="M83" s="106"/>
      <c r="N83" s="106"/>
      <c r="O83" s="106"/>
      <c r="P83" s="107"/>
      <c r="Q83" s="4"/>
      <c r="R83" s="4"/>
      <c r="S83" s="4"/>
      <c r="T83" s="4"/>
      <c r="U83" s="4"/>
      <c r="V83" s="4"/>
      <c r="W83" s="4"/>
      <c r="X83" s="4"/>
      <c r="Y83" s="4"/>
      <c r="Z83" s="4"/>
    </row>
    <row r="84" ht="13.5" customHeight="1" spans="1:26" x14ac:dyDescent="0.25">
      <c r="A84" s="4"/>
      <c r="B84" s="4"/>
      <c r="C84" s="4"/>
      <c r="D84" s="4"/>
      <c r="E84" s="4"/>
      <c r="F84" s="4"/>
      <c r="G84" s="4"/>
      <c r="H84" s="4"/>
      <c r="I84" s="4"/>
      <c r="J84" s="4"/>
      <c r="K84" s="4"/>
      <c r="L84" s="4"/>
      <c r="M84" s="4"/>
      <c r="N84" s="4"/>
      <c r="O84" s="4"/>
      <c r="P84" s="4"/>
      <c r="Q84" s="4"/>
      <c r="R84" s="4"/>
      <c r="S84" s="4"/>
      <c r="T84" s="4"/>
      <c r="U84" s="4"/>
      <c r="V84" s="4"/>
      <c r="W84" s="4"/>
      <c r="X84" s="4"/>
      <c r="Y84" s="4"/>
      <c r="Z84" s="4"/>
    </row>
    <row r="85" ht="13.5" customHeight="1" spans="1:26" x14ac:dyDescent="0.25">
      <c r="A85" s="4"/>
      <c r="B85" s="4"/>
      <c r="C85" s="4"/>
      <c r="D85" s="4"/>
      <c r="E85" s="4"/>
      <c r="F85" s="4"/>
      <c r="G85" s="4"/>
      <c r="H85" s="4"/>
      <c r="I85" s="4"/>
      <c r="J85" s="4"/>
      <c r="K85" s="4"/>
      <c r="L85" s="4"/>
      <c r="M85" s="4"/>
      <c r="N85" s="4"/>
      <c r="O85" s="4"/>
      <c r="P85" s="4"/>
      <c r="Q85" s="4"/>
      <c r="R85" s="4"/>
      <c r="S85" s="4"/>
      <c r="T85" s="4"/>
      <c r="U85" s="4"/>
      <c r="V85" s="4"/>
      <c r="W85" s="4"/>
      <c r="X85" s="4"/>
      <c r="Y85" s="4"/>
      <c r="Z85" s="4"/>
    </row>
    <row r="86" ht="13.5" customHeight="1" spans="1:26" x14ac:dyDescent="0.25">
      <c r="A86" s="4"/>
      <c r="B86" s="4"/>
      <c r="C86" s="4"/>
      <c r="D86" s="4"/>
      <c r="E86" s="4"/>
      <c r="F86" s="4"/>
      <c r="G86" s="4"/>
      <c r="H86" s="4"/>
      <c r="I86" s="4"/>
      <c r="J86" s="4"/>
      <c r="K86" s="4"/>
      <c r="L86" s="4"/>
      <c r="M86" s="4"/>
      <c r="N86" s="4"/>
      <c r="O86" s="4"/>
      <c r="P86" s="4"/>
      <c r="Q86" s="4"/>
      <c r="R86" s="4"/>
      <c r="S86" s="4"/>
      <c r="T86" s="4"/>
      <c r="U86" s="4"/>
      <c r="V86" s="4"/>
      <c r="W86" s="4"/>
      <c r="X86" s="4"/>
      <c r="Y86" s="4"/>
      <c r="Z86" s="4"/>
    </row>
    <row r="87" ht="13.5" customHeight="1" spans="1:26" x14ac:dyDescent="0.25">
      <c r="A87" s="4"/>
      <c r="B87" s="4"/>
      <c r="C87" s="4"/>
      <c r="D87" s="4"/>
      <c r="E87" s="4"/>
      <c r="F87" s="4"/>
      <c r="G87" s="4"/>
      <c r="H87" s="4"/>
      <c r="I87" s="4"/>
      <c r="J87" s="4"/>
      <c r="K87" s="4"/>
      <c r="L87" s="4"/>
      <c r="M87" s="4"/>
      <c r="N87" s="4"/>
      <c r="O87" s="4"/>
      <c r="P87" s="4"/>
      <c r="Q87" s="4"/>
      <c r="R87" s="4"/>
      <c r="S87" s="4"/>
      <c r="T87" s="4"/>
      <c r="U87" s="4"/>
      <c r="V87" s="4"/>
      <c r="W87" s="4"/>
      <c r="X87" s="4"/>
      <c r="Y87" s="4"/>
      <c r="Z87" s="4"/>
    </row>
    <row r="88" ht="13.5" customHeight="1" spans="1:26" x14ac:dyDescent="0.25">
      <c r="A88" s="4"/>
      <c r="B88" s="4"/>
      <c r="C88" s="4"/>
      <c r="D88" s="4"/>
      <c r="E88" s="4"/>
      <c r="F88" s="4"/>
      <c r="G88" s="4"/>
      <c r="H88" s="4"/>
      <c r="I88" s="4"/>
      <c r="J88" s="4"/>
      <c r="K88" s="4"/>
      <c r="L88" s="4"/>
      <c r="M88" s="4"/>
      <c r="N88" s="4"/>
      <c r="O88" s="4"/>
      <c r="P88" s="4"/>
      <c r="Q88" s="4"/>
      <c r="R88" s="4"/>
      <c r="S88" s="4"/>
      <c r="T88" s="4"/>
      <c r="U88" s="4"/>
      <c r="V88" s="4"/>
      <c r="W88" s="4"/>
      <c r="X88" s="4"/>
      <c r="Y88" s="4"/>
      <c r="Z88" s="4"/>
    </row>
    <row r="89" ht="13.5" customHeight="1" spans="1:26" x14ac:dyDescent="0.25">
      <c r="A89" s="4"/>
      <c r="B89" s="4"/>
      <c r="C89" s="4"/>
      <c r="D89" s="4"/>
      <c r="E89" s="4"/>
      <c r="F89" s="4"/>
      <c r="G89" s="4"/>
      <c r="H89" s="4"/>
      <c r="I89" s="4"/>
      <c r="J89" s="4"/>
      <c r="K89" s="4"/>
      <c r="L89" s="4"/>
      <c r="M89" s="4"/>
      <c r="N89" s="4"/>
      <c r="O89" s="4"/>
      <c r="P89" s="4"/>
      <c r="Q89" s="4"/>
      <c r="R89" s="4"/>
      <c r="S89" s="4"/>
      <c r="T89" s="4"/>
      <c r="U89" s="4"/>
      <c r="V89" s="4"/>
      <c r="W89" s="4"/>
      <c r="X89" s="4"/>
      <c r="Y89" s="4"/>
      <c r="Z89" s="4"/>
    </row>
    <row r="90" ht="13.5" customHeight="1" spans="1:26" x14ac:dyDescent="0.25">
      <c r="A90" s="4"/>
      <c r="B90" s="4"/>
      <c r="C90" s="4"/>
      <c r="D90" s="4"/>
      <c r="E90" s="4"/>
      <c r="F90" s="4"/>
      <c r="G90" s="4"/>
      <c r="H90" s="4"/>
      <c r="I90" s="4"/>
      <c r="J90" s="4"/>
      <c r="K90" s="4"/>
      <c r="L90" s="4"/>
      <c r="M90" s="4"/>
      <c r="N90" s="4"/>
      <c r="O90" s="4"/>
      <c r="P90" s="4"/>
      <c r="Q90" s="4"/>
      <c r="R90" s="4"/>
      <c r="S90" s="4"/>
      <c r="T90" s="4"/>
      <c r="U90" s="4"/>
      <c r="V90" s="4"/>
      <c r="W90" s="4"/>
      <c r="X90" s="4"/>
      <c r="Y90" s="4"/>
      <c r="Z90" s="4"/>
    </row>
    <row r="91" ht="13.5" customHeight="1" spans="1:26" x14ac:dyDescent="0.25">
      <c r="A91" s="4"/>
      <c r="B91" s="4"/>
      <c r="C91" s="4"/>
      <c r="D91" s="4"/>
      <c r="E91" s="4"/>
      <c r="F91" s="4"/>
      <c r="G91" s="4"/>
      <c r="H91" s="4"/>
      <c r="I91" s="4"/>
      <c r="J91" s="4"/>
      <c r="K91" s="4"/>
      <c r="L91" s="4"/>
      <c r="M91" s="4"/>
      <c r="N91" s="4"/>
      <c r="O91" s="4"/>
      <c r="P91" s="4"/>
      <c r="Q91" s="4"/>
      <c r="R91" s="4"/>
      <c r="S91" s="4"/>
      <c r="T91" s="4"/>
      <c r="U91" s="4"/>
      <c r="V91" s="4"/>
      <c r="W91" s="4"/>
      <c r="X91" s="4"/>
      <c r="Y91" s="4"/>
      <c r="Z91" s="4"/>
    </row>
    <row r="92" ht="13.5" customHeight="1" spans="1:26" x14ac:dyDescent="0.25">
      <c r="A92" s="4"/>
      <c r="B92" s="4"/>
      <c r="C92" s="4"/>
      <c r="D92" s="4"/>
      <c r="E92" s="4"/>
      <c r="F92" s="4"/>
      <c r="G92" s="4"/>
      <c r="H92" s="4"/>
      <c r="I92" s="4"/>
      <c r="J92" s="4"/>
      <c r="K92" s="4"/>
      <c r="L92" s="4"/>
      <c r="M92" s="4"/>
      <c r="N92" s="4"/>
      <c r="O92" s="4"/>
      <c r="P92" s="4"/>
      <c r="Q92" s="4"/>
      <c r="R92" s="4"/>
      <c r="S92" s="4"/>
      <c r="T92" s="4"/>
      <c r="U92" s="4"/>
      <c r="V92" s="4"/>
      <c r="W92" s="4"/>
      <c r="X92" s="4"/>
      <c r="Y92" s="4"/>
      <c r="Z92" s="4"/>
    </row>
    <row r="93" ht="13.5" customHeight="1" spans="1:26" x14ac:dyDescent="0.25">
      <c r="A93" s="4"/>
      <c r="B93" s="4"/>
      <c r="C93" s="4"/>
      <c r="D93" s="4"/>
      <c r="E93" s="4"/>
      <c r="F93" s="4"/>
      <c r="G93" s="4"/>
      <c r="H93" s="4"/>
      <c r="I93" s="4"/>
      <c r="J93" s="4"/>
      <c r="K93" s="4"/>
      <c r="L93" s="4"/>
      <c r="M93" s="4"/>
      <c r="N93" s="4"/>
      <c r="O93" s="4"/>
      <c r="P93" s="4"/>
      <c r="Q93" s="4"/>
      <c r="R93" s="4"/>
      <c r="S93" s="4"/>
      <c r="T93" s="4"/>
      <c r="U93" s="4"/>
      <c r="V93" s="4"/>
      <c r="W93" s="4"/>
      <c r="X93" s="4"/>
      <c r="Y93" s="4"/>
      <c r="Z93" s="4"/>
    </row>
    <row r="94" ht="13.5" customHeight="1" spans="1:26" x14ac:dyDescent="0.25">
      <c r="A94" s="4"/>
      <c r="B94" s="4"/>
      <c r="C94" s="4"/>
      <c r="D94" s="4"/>
      <c r="E94" s="4"/>
      <c r="F94" s="4"/>
      <c r="G94" s="4"/>
      <c r="H94" s="4"/>
      <c r="I94" s="4"/>
      <c r="J94" s="4"/>
      <c r="K94" s="4"/>
      <c r="L94" s="4"/>
      <c r="M94" s="4"/>
      <c r="N94" s="4"/>
      <c r="O94" s="4"/>
      <c r="P94" s="4"/>
      <c r="Q94" s="4"/>
      <c r="R94" s="4"/>
      <c r="S94" s="4"/>
      <c r="T94" s="4"/>
      <c r="U94" s="4"/>
      <c r="V94" s="4"/>
      <c r="W94" s="4"/>
      <c r="X94" s="4"/>
      <c r="Y94" s="4"/>
      <c r="Z94" s="4"/>
    </row>
    <row r="95" ht="13.5" customHeight="1" spans="1:26" x14ac:dyDescent="0.25">
      <c r="A95" s="4"/>
      <c r="B95" s="4"/>
      <c r="C95" s="4"/>
      <c r="D95" s="4"/>
      <c r="E95" s="4"/>
      <c r="F95" s="4"/>
      <c r="G95" s="4"/>
      <c r="H95" s="4"/>
      <c r="I95" s="4"/>
      <c r="J95" s="4"/>
      <c r="K95" s="4"/>
      <c r="L95" s="4"/>
      <c r="M95" s="4"/>
      <c r="N95" s="4"/>
      <c r="O95" s="4"/>
      <c r="P95" s="4"/>
      <c r="Q95" s="4"/>
      <c r="R95" s="4"/>
      <c r="S95" s="4"/>
      <c r="T95" s="4"/>
      <c r="U95" s="4"/>
      <c r="V95" s="4"/>
      <c r="W95" s="4"/>
      <c r="X95" s="4"/>
      <c r="Y95" s="4"/>
      <c r="Z95" s="4"/>
    </row>
    <row r="96" ht="13.5" customHeight="1" spans="1:26" x14ac:dyDescent="0.25">
      <c r="A96" s="4"/>
      <c r="B96" s="4"/>
      <c r="C96" s="4"/>
      <c r="D96" s="4"/>
      <c r="E96" s="4"/>
      <c r="F96" s="4"/>
      <c r="G96" s="4"/>
      <c r="H96" s="4"/>
      <c r="I96" s="4"/>
      <c r="J96" s="4"/>
      <c r="K96" s="4"/>
      <c r="L96" s="4"/>
      <c r="M96" s="4"/>
      <c r="N96" s="4"/>
      <c r="O96" s="4"/>
      <c r="P96" s="4"/>
      <c r="Q96" s="4"/>
      <c r="R96" s="4"/>
      <c r="S96" s="4"/>
      <c r="T96" s="4"/>
      <c r="U96" s="4"/>
      <c r="V96" s="4"/>
      <c r="W96" s="4"/>
      <c r="X96" s="4"/>
      <c r="Y96" s="4"/>
      <c r="Z96" s="4"/>
    </row>
    <row r="97" ht="13.5" customHeight="1" spans="1:26" x14ac:dyDescent="0.25">
      <c r="A97" s="4"/>
      <c r="B97" s="4"/>
      <c r="C97" s="4"/>
      <c r="D97" s="4"/>
      <c r="E97" s="4"/>
      <c r="F97" s="4"/>
      <c r="G97" s="4"/>
      <c r="H97" s="4"/>
      <c r="I97" s="4"/>
      <c r="J97" s="4"/>
      <c r="K97" s="4"/>
      <c r="L97" s="4"/>
      <c r="M97" s="4"/>
      <c r="N97" s="4"/>
      <c r="O97" s="4"/>
      <c r="P97" s="4"/>
      <c r="Q97" s="4"/>
      <c r="R97" s="4"/>
      <c r="S97" s="4"/>
      <c r="T97" s="4"/>
      <c r="U97" s="4"/>
      <c r="V97" s="4"/>
      <c r="W97" s="4"/>
      <c r="X97" s="4"/>
      <c r="Y97" s="4"/>
      <c r="Z97" s="4"/>
    </row>
    <row r="98" ht="13.5" customHeight="1" spans="1:26" x14ac:dyDescent="0.25">
      <c r="A98" s="4"/>
      <c r="B98" s="4"/>
      <c r="C98" s="4"/>
      <c r="D98" s="4"/>
      <c r="E98" s="4"/>
      <c r="F98" s="4"/>
      <c r="G98" s="4"/>
      <c r="H98" s="4"/>
      <c r="I98" s="4"/>
      <c r="J98" s="4"/>
      <c r="K98" s="4"/>
      <c r="L98" s="4"/>
      <c r="M98" s="4"/>
      <c r="N98" s="4"/>
      <c r="O98" s="4"/>
      <c r="P98" s="4"/>
      <c r="Q98" s="4"/>
      <c r="R98" s="4"/>
      <c r="S98" s="4"/>
      <c r="T98" s="4"/>
      <c r="U98" s="4"/>
      <c r="V98" s="4"/>
      <c r="W98" s="4"/>
      <c r="X98" s="4"/>
      <c r="Y98" s="4"/>
      <c r="Z98" s="4"/>
    </row>
    <row r="99" ht="13.5" customHeight="1" spans="1:26" x14ac:dyDescent="0.25">
      <c r="A99" s="4"/>
      <c r="B99" s="4"/>
      <c r="C99" s="4"/>
      <c r="D99" s="4"/>
      <c r="E99" s="4"/>
      <c r="F99" s="4"/>
      <c r="G99" s="4"/>
      <c r="H99" s="4"/>
      <c r="I99" s="4"/>
      <c r="J99" s="4"/>
      <c r="K99" s="4"/>
      <c r="L99" s="4"/>
      <c r="M99" s="4"/>
      <c r="N99" s="4"/>
      <c r="O99" s="4"/>
      <c r="P99" s="4"/>
      <c r="Q99" s="4"/>
      <c r="R99" s="4"/>
      <c r="S99" s="4"/>
      <c r="T99" s="4"/>
      <c r="U99" s="4"/>
      <c r="V99" s="4"/>
      <c r="W99" s="4"/>
      <c r="X99" s="4"/>
      <c r="Y99" s="4"/>
      <c r="Z99" s="4"/>
    </row>
    <row r="100" ht="13.5" customHeight="1" spans="1:26" x14ac:dyDescent="0.25">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ht="13.5" customHeight="1" spans="1:26" x14ac:dyDescent="0.25">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ht="13.5" customHeight="1" spans="1:26" x14ac:dyDescent="0.25">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ht="13.5" customHeight="1" spans="1:26" x14ac:dyDescent="0.25">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ht="13.5" customHeight="1" spans="1:26" x14ac:dyDescent="0.25">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ht="13.5" customHeight="1" spans="1:26" x14ac:dyDescent="0.25">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ht="13.5" customHeight="1" spans="1:26" x14ac:dyDescent="0.25">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ht="13.5" customHeight="1" spans="1:26" x14ac:dyDescent="0.25">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ht="13.5" customHeight="1" spans="1:26" x14ac:dyDescent="0.25">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ht="13.5" customHeight="1" spans="1:26" x14ac:dyDescent="0.25">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ht="13.5" customHeight="1" spans="1:26" x14ac:dyDescent="0.25">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ht="13.5" customHeight="1" spans="1:26" x14ac:dyDescent="0.25">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ht="13.5" customHeight="1" spans="1:26" x14ac:dyDescent="0.25">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ht="13.5" customHeight="1" spans="1:26" x14ac:dyDescent="0.25">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ht="13.5" customHeight="1" spans="1:26" x14ac:dyDescent="0.25">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ht="13.5" customHeight="1" spans="1:26" x14ac:dyDescent="0.25">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ht="13.5" customHeight="1" spans="1:26" x14ac:dyDescent="0.25">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ht="13.5" customHeight="1" spans="1:26" x14ac:dyDescent="0.25">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ht="13.5" customHeight="1" spans="1:26" x14ac:dyDescent="0.25">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ht="13.5" customHeight="1" spans="1:26" x14ac:dyDescent="0.25">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ht="13.5" customHeight="1" spans="1:26" x14ac:dyDescent="0.25">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ht="13.5" customHeight="1" spans="1:26" x14ac:dyDescent="0.25">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ht="13.5" customHeight="1" spans="1:26" x14ac:dyDescent="0.25">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ht="13.5" customHeight="1" spans="1:26" x14ac:dyDescent="0.25">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ht="13.5" customHeight="1" spans="1:26" x14ac:dyDescent="0.25">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ht="13.5" customHeight="1" spans="1:26" x14ac:dyDescent="0.25">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ht="13.5" customHeight="1" spans="1:26" x14ac:dyDescent="0.25">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ht="13.5" customHeight="1" spans="1:26" x14ac:dyDescent="0.25">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ht="13.5" customHeight="1" spans="1:26" x14ac:dyDescent="0.25">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ht="13.5" customHeight="1" spans="1:26" x14ac:dyDescent="0.25">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ht="13.5" customHeight="1" spans="1:26" x14ac:dyDescent="0.25">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ht="13.5" customHeight="1" spans="1:26" x14ac:dyDescent="0.25">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ht="13.5" customHeight="1" spans="1:26" x14ac:dyDescent="0.25">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ht="13.5" customHeight="1" spans="1:26" x14ac:dyDescent="0.25">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ht="13.5" customHeight="1" spans="1:26" x14ac:dyDescent="0.25">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ht="13.5" customHeight="1" spans="1:26" x14ac:dyDescent="0.25">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ht="13.5" customHeight="1" spans="1:26" x14ac:dyDescent="0.25">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ht="13.5" customHeight="1" spans="1:26" x14ac:dyDescent="0.25">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ht="13.5" customHeight="1" spans="1:26" x14ac:dyDescent="0.25">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ht="13.5" customHeight="1" spans="1:26" x14ac:dyDescent="0.25">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ht="13.5" customHeight="1" spans="1:26" x14ac:dyDescent="0.25">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ht="13.5" customHeight="1" spans="1:26" x14ac:dyDescent="0.25">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ht="13.5" customHeight="1" spans="1:26" x14ac:dyDescent="0.25">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ht="13.5" customHeight="1" spans="1:26" x14ac:dyDescent="0.25">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ht="13.5" customHeight="1" spans="1:26" x14ac:dyDescent="0.25">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ht="13.5" customHeight="1" spans="1:26" x14ac:dyDescent="0.25">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ht="13.5" customHeight="1" spans="1:26" x14ac:dyDescent="0.25">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ht="13.5" customHeight="1" spans="1:26" x14ac:dyDescent="0.25">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ht="13.5" customHeight="1" spans="1:26" x14ac:dyDescent="0.25">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ht="13.5" customHeight="1" spans="1:26" x14ac:dyDescent="0.25">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ht="13.5" customHeight="1" spans="1:26" x14ac:dyDescent="0.25">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ht="13.5" customHeight="1" spans="1:26" x14ac:dyDescent="0.25">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ht="13.5" customHeight="1" spans="1:26" x14ac:dyDescent="0.25">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ht="13.5" customHeight="1" spans="1:26" x14ac:dyDescent="0.25">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ht="13.5" customHeight="1" spans="1:26" x14ac:dyDescent="0.25">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ht="13.5" customHeight="1" spans="1:26" x14ac:dyDescent="0.25">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ht="13.5" customHeight="1" spans="1:26" x14ac:dyDescent="0.25">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ht="13.5" customHeight="1" spans="1:26" x14ac:dyDescent="0.25">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ht="13.5" customHeight="1" spans="1:26" x14ac:dyDescent="0.25">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ht="13.5" customHeight="1" spans="1:26" x14ac:dyDescent="0.25">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ht="13.5" customHeight="1" spans="1:26" x14ac:dyDescent="0.25">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ht="13.5" customHeight="1" spans="1:26" x14ac:dyDescent="0.25">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ht="13.5" customHeight="1" spans="1:26" x14ac:dyDescent="0.25">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ht="13.5" customHeight="1" spans="1:26" x14ac:dyDescent="0.25">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ht="13.5" customHeight="1" spans="1:26" x14ac:dyDescent="0.25">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ht="13.5" customHeight="1" spans="1:26" x14ac:dyDescent="0.25">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ht="13.5" customHeight="1" spans="1:26" x14ac:dyDescent="0.25">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ht="13.5" customHeight="1" spans="1:26" x14ac:dyDescent="0.25">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ht="13.5" customHeight="1" spans="1:26" x14ac:dyDescent="0.25">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ht="13.5" customHeight="1" spans="1:26" x14ac:dyDescent="0.25">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ht="13.5" customHeight="1" spans="1:26" x14ac:dyDescent="0.25">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ht="13.5" customHeight="1" spans="1:26" x14ac:dyDescent="0.25">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ht="13.5" customHeight="1" spans="1:26" x14ac:dyDescent="0.25">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ht="13.5" customHeight="1" spans="1:26" x14ac:dyDescent="0.25">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13.5" customHeight="1" spans="1:26" x14ac:dyDescent="0.25">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13.5" customHeight="1" spans="1:26" x14ac:dyDescent="0.25">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13.5" customHeight="1" spans="1:26" x14ac:dyDescent="0.25">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ht="13.5" customHeight="1" spans="1:26" x14ac:dyDescent="0.25">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ht="13.5" customHeight="1" spans="1:26" x14ac:dyDescent="0.25">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13.5" customHeight="1" spans="1:26" x14ac:dyDescent="0.25">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13.5" customHeight="1" spans="1:26" x14ac:dyDescent="0.25">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ht="13.5" customHeight="1" spans="1:26" x14ac:dyDescent="0.25">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13.5" customHeight="1" spans="1:26" x14ac:dyDescent="0.25">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13.5" customHeight="1" spans="1:26" x14ac:dyDescent="0.25">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13.5" customHeight="1" spans="1:26" x14ac:dyDescent="0.25">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13.5" customHeight="1" spans="1:26" x14ac:dyDescent="0.25">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13.5" customHeight="1" spans="1:26" x14ac:dyDescent="0.25">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13.5" customHeight="1" spans="1:26" x14ac:dyDescent="0.25">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13.5" customHeight="1" spans="1:26" x14ac:dyDescent="0.25">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13.5" customHeight="1" spans="1:26" x14ac:dyDescent="0.25">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13.5" customHeight="1" spans="1:26" x14ac:dyDescent="0.25">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13.5" customHeight="1" spans="1:26" x14ac:dyDescent="0.25">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13.5" customHeight="1" spans="1:26" x14ac:dyDescent="0.25">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13.5" customHeight="1" spans="1:26" x14ac:dyDescent="0.25">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13.5" customHeight="1" spans="1:26" x14ac:dyDescent="0.25">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13.5" customHeight="1" spans="1:26" x14ac:dyDescent="0.25">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13.5" customHeight="1" spans="1:26" x14ac:dyDescent="0.25">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13.5" customHeight="1" spans="1:26" x14ac:dyDescent="0.25">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13.5" customHeight="1" spans="1:26" x14ac:dyDescent="0.25">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13.5" customHeight="1" spans="1:26" x14ac:dyDescent="0.25">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13.5" customHeight="1" spans="1:26" x14ac:dyDescent="0.25">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13.5" customHeight="1" spans="1:26" x14ac:dyDescent="0.25">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13.5" customHeight="1" spans="1:26" x14ac:dyDescent="0.25">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13.5" customHeight="1" spans="1:26" x14ac:dyDescent="0.25">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13.5" customHeight="1" spans="1:26" x14ac:dyDescent="0.25">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13.5" customHeight="1" spans="1:26" x14ac:dyDescent="0.25">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13.5" customHeight="1" spans="1:26" x14ac:dyDescent="0.25">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13.5" customHeight="1" spans="1:26" x14ac:dyDescent="0.25">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13.5" customHeight="1" spans="1:26" x14ac:dyDescent="0.25">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13.5" customHeight="1" spans="1:26" x14ac:dyDescent="0.25">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13.5" customHeight="1" spans="1:26" x14ac:dyDescent="0.25">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13.5" customHeight="1" spans="1:26" x14ac:dyDescent="0.25">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13.5" customHeight="1" spans="1:26" x14ac:dyDescent="0.25">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13.5" customHeight="1" spans="1:26" x14ac:dyDescent="0.25">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13.5" customHeight="1" spans="1:26" x14ac:dyDescent="0.25">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13.5" customHeight="1" spans="1:26" x14ac:dyDescent="0.25">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13.5" customHeight="1" spans="1:26" x14ac:dyDescent="0.25">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13.5" customHeight="1" spans="1:26" x14ac:dyDescent="0.25">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13.5" customHeight="1" spans="1:26" x14ac:dyDescent="0.25">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13.5" customHeight="1" spans="1:26" x14ac:dyDescent="0.25">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13.5" customHeight="1" spans="1:26" x14ac:dyDescent="0.25">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13.5" customHeight="1" spans="1:26" x14ac:dyDescent="0.25">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ht="13.5" customHeight="1" spans="1:26" x14ac:dyDescent="0.25">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ht="13.5" customHeight="1" spans="1:26" x14ac:dyDescent="0.25">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ht="13.5" customHeight="1" spans="1:26" x14ac:dyDescent="0.25">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ht="13.5" customHeight="1" spans="1:26" x14ac:dyDescent="0.25">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ht="13.5" customHeight="1" spans="1:26" x14ac:dyDescent="0.25">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ht="13.5" customHeight="1" spans="1:26" x14ac:dyDescent="0.25">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ht="13.5" customHeight="1" spans="1:26" x14ac:dyDescent="0.25">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ht="13.5" customHeight="1" spans="1:26" x14ac:dyDescent="0.25">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ht="13.5" customHeight="1" spans="1:26" x14ac:dyDescent="0.25">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ht="13.5" customHeight="1" spans="1:26" x14ac:dyDescent="0.25">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ht="13.5" customHeight="1" spans="1:26" x14ac:dyDescent="0.25">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ht="13.5" customHeight="1" spans="1:26" x14ac:dyDescent="0.25">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ht="13.5" customHeight="1" spans="1:26" x14ac:dyDescent="0.25">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ht="13.5" customHeight="1" spans="1:26" x14ac:dyDescent="0.25">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ht="13.5" customHeight="1" spans="1:26" x14ac:dyDescent="0.25">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ht="13.5" customHeight="1" spans="1:26" x14ac:dyDescent="0.25">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ht="13.5" customHeight="1" spans="1:26" x14ac:dyDescent="0.25">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ht="13.5" customHeight="1" spans="1:26" x14ac:dyDescent="0.25">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ht="13.5" customHeight="1" spans="1:26" x14ac:dyDescent="0.25">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ht="13.5" customHeight="1" spans="1:26" x14ac:dyDescent="0.25">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ht="13.5" customHeight="1" spans="1:26" x14ac:dyDescent="0.25">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ht="13.5" customHeight="1" spans="1:26" x14ac:dyDescent="0.25">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ht="13.5" customHeight="1" spans="1:26" x14ac:dyDescent="0.25">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ht="13.5" customHeight="1" spans="1:26" x14ac:dyDescent="0.25">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ht="13.5" customHeight="1" spans="1:26" x14ac:dyDescent="0.25">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ht="13.5" customHeight="1" spans="1:26" x14ac:dyDescent="0.25">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ht="13.5" customHeight="1" spans="1:26" x14ac:dyDescent="0.25">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ht="13.5" customHeight="1" spans="1:26" x14ac:dyDescent="0.25">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ht="13.5" customHeight="1" spans="1:26" x14ac:dyDescent="0.25">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ht="13.5" customHeight="1" spans="1:26" x14ac:dyDescent="0.25">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ht="13.5" customHeight="1" spans="1:26" x14ac:dyDescent="0.25">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ht="13.5" customHeight="1" spans="1:26" x14ac:dyDescent="0.25">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ht="13.5" customHeight="1" spans="1:26" x14ac:dyDescent="0.25">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ht="13.5" customHeight="1" spans="1:26" x14ac:dyDescent="0.25">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ht="13.5" customHeight="1" spans="1:26" x14ac:dyDescent="0.25">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ht="13.5" customHeight="1" spans="1:26" x14ac:dyDescent="0.25">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ht="13.5" customHeight="1" spans="1:26" x14ac:dyDescent="0.25">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ht="13.5" customHeight="1" spans="1:26" x14ac:dyDescent="0.25">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ht="13.5" customHeight="1" spans="1:26" x14ac:dyDescent="0.25">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ht="13.5" customHeight="1" spans="1:26" x14ac:dyDescent="0.25">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ht="13.5" customHeight="1" spans="1:26" x14ac:dyDescent="0.25">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ht="13.5" customHeight="1" spans="1:26" x14ac:dyDescent="0.25">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ht="13.5" customHeight="1" spans="1:26" x14ac:dyDescent="0.25">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ht="13.5" customHeight="1" spans="1:26" x14ac:dyDescent="0.25">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ht="13.5" customHeight="1" spans="1:26" x14ac:dyDescent="0.25">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ht="13.5" customHeight="1" spans="1:26" x14ac:dyDescent="0.25">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ht="13.5" customHeight="1" spans="1:26" x14ac:dyDescent="0.25">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ht="13.5" customHeight="1" spans="1:26" x14ac:dyDescent="0.25">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ht="13.5" customHeight="1" spans="1:26" x14ac:dyDescent="0.25">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ht="13.5" customHeight="1" spans="1:26" x14ac:dyDescent="0.25">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ht="13.5" customHeight="1" spans="1:26" x14ac:dyDescent="0.25">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ht="13.5" customHeight="1" spans="1:26" x14ac:dyDescent="0.25">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ht="13.5" customHeight="1" spans="1:26" x14ac:dyDescent="0.25">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ht="13.5" customHeight="1" spans="1:26" x14ac:dyDescent="0.25">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ht="13.5" customHeight="1" spans="1:26" x14ac:dyDescent="0.25">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ht="13.5" customHeight="1" spans="1:26" x14ac:dyDescent="0.25">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ht="13.5" customHeight="1" spans="1:26" x14ac:dyDescent="0.25">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ht="13.5" customHeight="1" spans="1:26" x14ac:dyDescent="0.25">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ht="13.5" customHeight="1" spans="1:26" x14ac:dyDescent="0.25">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ht="13.5" customHeight="1" spans="1:26" x14ac:dyDescent="0.25">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ht="13.5" customHeight="1" spans="1:26" x14ac:dyDescent="0.25">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ht="13.5" customHeight="1" spans="1:26" x14ac:dyDescent="0.25">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ht="13.5" customHeight="1" spans="1:26" x14ac:dyDescent="0.25">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ht="13.5" customHeight="1" spans="1:26" x14ac:dyDescent="0.25">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ht="13.5" customHeight="1" spans="1:26" x14ac:dyDescent="0.25">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ht="13.5" customHeight="1" spans="1:26" x14ac:dyDescent="0.25">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ht="13.5" customHeight="1" spans="1:26" x14ac:dyDescent="0.25">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ht="13.5" customHeight="1" spans="1:26" x14ac:dyDescent="0.25">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ht="13.5" customHeight="1" spans="1:26" x14ac:dyDescent="0.25">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ht="13.5" customHeight="1" spans="1:26" x14ac:dyDescent="0.25">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ht="13.5" customHeight="1" spans="1:26" x14ac:dyDescent="0.25">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ht="13.5" customHeight="1" spans="1:26" x14ac:dyDescent="0.25">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ht="13.5" customHeight="1" spans="1:26" x14ac:dyDescent="0.25">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ht="13.5" customHeight="1" spans="1:26" x14ac:dyDescent="0.25">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ht="13.5" customHeight="1" spans="1:26" x14ac:dyDescent="0.25">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ht="13.5" customHeight="1" spans="1:26" x14ac:dyDescent="0.25">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ht="13.5" customHeight="1" spans="1:26" x14ac:dyDescent="0.25">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ht="13.5" customHeight="1" spans="1:26" x14ac:dyDescent="0.25">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ht="13.5" customHeight="1" spans="1:26" x14ac:dyDescent="0.25">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ht="13.5" customHeight="1" spans="1:26" x14ac:dyDescent="0.25">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ht="13.5" customHeight="1" spans="1:26" x14ac:dyDescent="0.25">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ht="13.5" customHeight="1" spans="1:26" x14ac:dyDescent="0.25">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ht="13.5" customHeight="1" spans="1:26" x14ac:dyDescent="0.25">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ht="13.5" customHeight="1" spans="1:26" x14ac:dyDescent="0.2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ht="13.5" customHeight="1" spans="1:26" x14ac:dyDescent="0.25">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ht="13.5" customHeight="1" spans="1:26" x14ac:dyDescent="0.25">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ht="13.5" customHeight="1" spans="1:26" x14ac:dyDescent="0.25">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ht="13.5" customHeight="1" spans="1:26" x14ac:dyDescent="0.25">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ht="13.5" customHeight="1" spans="1:26" x14ac:dyDescent="0.25">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ht="13.5" customHeight="1" spans="1:26" x14ac:dyDescent="0.25">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ht="13.5" customHeight="1" spans="1:26" x14ac:dyDescent="0.25">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ht="13.5" customHeight="1" spans="1:26" x14ac:dyDescent="0.25">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ht="13.5" customHeight="1" spans="1:26" x14ac:dyDescent="0.25">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ht="13.5" customHeight="1" spans="1:26" x14ac:dyDescent="0.2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ht="13.5" customHeight="1" spans="1:26" x14ac:dyDescent="0.25">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ht="13.5" customHeight="1" spans="1:26" x14ac:dyDescent="0.25">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ht="13.5" customHeight="1" spans="1:26" x14ac:dyDescent="0.25">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ht="13.5" customHeight="1" spans="1:26" x14ac:dyDescent="0.25">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ht="13.5" customHeight="1" spans="1:26" x14ac:dyDescent="0.25">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ht="13.5" customHeight="1" spans="1:26" x14ac:dyDescent="0.25">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ht="13.5" customHeight="1" spans="1:26" x14ac:dyDescent="0.25">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ht="13.5" customHeight="1" spans="1:26" x14ac:dyDescent="0.25">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ht="13.5" customHeight="1" spans="1:26" x14ac:dyDescent="0.25">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ht="13.5" customHeight="1" spans="1:26" x14ac:dyDescent="0.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ht="13.5" customHeight="1" spans="1:26" x14ac:dyDescent="0.25">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ht="13.5" customHeight="1" spans="1:26" x14ac:dyDescent="0.25">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ht="13.5" customHeight="1" spans="1:26" x14ac:dyDescent="0.25">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ht="13.5" customHeight="1" spans="1:26" x14ac:dyDescent="0.25">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ht="13.5" customHeight="1" spans="1:26" x14ac:dyDescent="0.25">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ht="13.5" customHeight="1" spans="1:26" x14ac:dyDescent="0.25">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ht="13.5" customHeight="1" spans="1:26" x14ac:dyDescent="0.25">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ht="13.5" customHeight="1" spans="1:26" x14ac:dyDescent="0.25">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ht="13.5" customHeight="1" spans="1:26" x14ac:dyDescent="0.25">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ht="13.5" customHeight="1" spans="1:26" x14ac:dyDescent="0.2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ht="13.5" customHeight="1" spans="1:26" x14ac:dyDescent="0.25">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ht="13.5" customHeight="1" spans="1:26" x14ac:dyDescent="0.25">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ht="13.5" customHeight="1" spans="1:26" x14ac:dyDescent="0.25">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ht="13.5" customHeight="1" spans="1:26" x14ac:dyDescent="0.25">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ht="13.5" customHeight="1" spans="1:26" x14ac:dyDescent="0.25">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ht="13.5" customHeight="1" spans="1:26" x14ac:dyDescent="0.25">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ht="13.5" customHeight="1" spans="1:26" x14ac:dyDescent="0.25">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ht="13.5" customHeight="1" spans="1:26" x14ac:dyDescent="0.25">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ht="13.5" customHeight="1" spans="1:26" x14ac:dyDescent="0.25">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ht="13.5" customHeight="1" spans="1:26" x14ac:dyDescent="0.2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ht="13.5" customHeight="1" spans="1:26" x14ac:dyDescent="0.25">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ht="13.5" customHeight="1" spans="1:26" x14ac:dyDescent="0.25">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ht="13.5" customHeight="1" spans="1:26" x14ac:dyDescent="0.25">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ht="13.5" customHeight="1" spans="1:26" x14ac:dyDescent="0.25">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ht="13.5" customHeight="1" spans="1:26" x14ac:dyDescent="0.25">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ht="13.5" customHeight="1" spans="1:26" x14ac:dyDescent="0.25">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ht="13.5" customHeight="1" spans="1:26" x14ac:dyDescent="0.25">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ht="13.5" customHeight="1" spans="1:26" x14ac:dyDescent="0.25">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ht="13.5" customHeight="1" spans="1:26" x14ac:dyDescent="0.25">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ht="13.5" customHeight="1" spans="1:26" x14ac:dyDescent="0.2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ht="13.5" customHeight="1" spans="1:26" x14ac:dyDescent="0.25">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ht="13.5" customHeight="1" spans="1:26" x14ac:dyDescent="0.25">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ht="13.5" customHeight="1" spans="1:26" x14ac:dyDescent="0.25">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ht="13.5" customHeight="1" spans="1:26" x14ac:dyDescent="0.25">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ht="13.5" customHeight="1" spans="1:26" x14ac:dyDescent="0.25">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ht="13.5" customHeight="1" spans="1:26" x14ac:dyDescent="0.25">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ht="13.5" customHeight="1" spans="1:26" x14ac:dyDescent="0.25">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ht="13.5" customHeight="1" spans="1:26" x14ac:dyDescent="0.25">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ht="13.5" customHeight="1" spans="1:26" x14ac:dyDescent="0.25">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ht="13.5" customHeight="1" spans="1:26" x14ac:dyDescent="0.2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ht="13.5" customHeight="1" spans="1:26" x14ac:dyDescent="0.25">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ht="13.5" customHeight="1" spans="1:26" x14ac:dyDescent="0.25">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ht="13.5" customHeight="1" spans="1:26" x14ac:dyDescent="0.25">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ht="13.5" customHeight="1" spans="1:26" x14ac:dyDescent="0.25">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ht="13.5" customHeight="1" spans="1:26" x14ac:dyDescent="0.25">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ht="13.5" customHeight="1" spans="1:26" x14ac:dyDescent="0.25">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ht="13.5" customHeight="1" spans="1:26" x14ac:dyDescent="0.25">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ht="13.5" customHeight="1" spans="1:26" x14ac:dyDescent="0.25">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ht="13.5" customHeight="1" spans="1:26" x14ac:dyDescent="0.25">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ht="13.5" customHeight="1" spans="1:26" x14ac:dyDescent="0.2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ht="13.5" customHeight="1" spans="1:26" x14ac:dyDescent="0.25">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ht="13.5" customHeight="1" spans="1:26" x14ac:dyDescent="0.25">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ht="13.5" customHeight="1" spans="1:26" x14ac:dyDescent="0.25">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ht="13.5" customHeight="1" spans="1:26" x14ac:dyDescent="0.25">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ht="13.5" customHeight="1" spans="1:26" x14ac:dyDescent="0.25">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ht="13.5" customHeight="1" spans="1:26" x14ac:dyDescent="0.25">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ht="13.5" customHeight="1" spans="1:26" x14ac:dyDescent="0.25">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ht="13.5" customHeight="1" spans="1:26" x14ac:dyDescent="0.25">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ht="13.5" customHeight="1" spans="1:26" x14ac:dyDescent="0.25">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ht="13.5" customHeight="1" spans="1:26" x14ac:dyDescent="0.2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ht="13.5" customHeight="1" spans="1:26" x14ac:dyDescent="0.25">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ht="13.5" customHeight="1" spans="1:26" x14ac:dyDescent="0.25">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ht="13.5" customHeight="1" spans="1:26" x14ac:dyDescent="0.25">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ht="13.5" customHeight="1" spans="1:26" x14ac:dyDescent="0.25">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ht="13.5" customHeight="1" spans="1:26" x14ac:dyDescent="0.25">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ht="13.5" customHeight="1" spans="1:26" x14ac:dyDescent="0.25">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ht="13.5" customHeight="1" spans="1:26" x14ac:dyDescent="0.25">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ht="13.5" customHeight="1" spans="1:26" x14ac:dyDescent="0.25">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ht="13.5" customHeight="1" spans="1:26" x14ac:dyDescent="0.25">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ht="13.5" customHeight="1" spans="1:26" x14ac:dyDescent="0.2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ht="13.5" customHeight="1" spans="1:26" x14ac:dyDescent="0.25">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ht="13.5" customHeight="1" spans="1:26" x14ac:dyDescent="0.25">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ht="13.5" customHeight="1" spans="1:26" x14ac:dyDescent="0.25">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ht="13.5" customHeight="1" spans="1:26" x14ac:dyDescent="0.25">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ht="13.5" customHeight="1" spans="1:26" x14ac:dyDescent="0.25">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ht="13.5" customHeight="1" spans="1:26" x14ac:dyDescent="0.25">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ht="13.5" customHeight="1" spans="1:26" x14ac:dyDescent="0.25">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ht="13.5" customHeight="1" spans="1:26" x14ac:dyDescent="0.25">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ht="13.5" customHeight="1" spans="1:26" x14ac:dyDescent="0.25">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ht="13.5" customHeight="1" spans="1:26" x14ac:dyDescent="0.2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ht="13.5" customHeight="1" spans="1:26" x14ac:dyDescent="0.25">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ht="13.5" customHeight="1" spans="1:26" x14ac:dyDescent="0.25">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ht="13.5" customHeight="1" spans="1:26" x14ac:dyDescent="0.25">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ht="13.5" customHeight="1" spans="1:26" x14ac:dyDescent="0.25">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ht="13.5" customHeight="1" spans="1:26" x14ac:dyDescent="0.25">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ht="13.5" customHeight="1" spans="1:26" x14ac:dyDescent="0.25">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ht="13.5" customHeight="1" spans="1:26" x14ac:dyDescent="0.25">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ht="13.5" customHeight="1" spans="1:26" x14ac:dyDescent="0.25">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ht="13.5" customHeight="1" spans="1:26" x14ac:dyDescent="0.25">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ht="13.5" customHeight="1" spans="1:26" x14ac:dyDescent="0.2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ht="13.5" customHeight="1" spans="1:26" x14ac:dyDescent="0.25">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ht="13.5" customHeight="1" spans="1:26" x14ac:dyDescent="0.25">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ht="13.5" customHeight="1" spans="1:26" x14ac:dyDescent="0.25">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ht="13.5" customHeight="1" spans="1:26" x14ac:dyDescent="0.25">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ht="13.5" customHeight="1" spans="1:26" x14ac:dyDescent="0.25">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ht="13.5" customHeight="1" spans="1:26" x14ac:dyDescent="0.25">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ht="13.5" customHeight="1" spans="1:26" x14ac:dyDescent="0.25">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ht="13.5" customHeight="1" spans="1:26" x14ac:dyDescent="0.25">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ht="13.5" customHeight="1" spans="1:26" x14ac:dyDescent="0.25">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ht="13.5" customHeight="1" spans="1:26" x14ac:dyDescent="0.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ht="13.5" customHeight="1" spans="1:26" x14ac:dyDescent="0.25">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ht="13.5" customHeight="1" spans="1:26" x14ac:dyDescent="0.25">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ht="13.5" customHeight="1" spans="1:26" x14ac:dyDescent="0.25">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ht="13.5" customHeight="1" spans="1:26" x14ac:dyDescent="0.25">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ht="13.5" customHeight="1" spans="1:26" x14ac:dyDescent="0.25">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ht="13.5" customHeight="1" spans="1:26" x14ac:dyDescent="0.25">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ht="13.5" customHeight="1" spans="1:26" x14ac:dyDescent="0.25">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ht="13.5" customHeight="1" spans="1:26" x14ac:dyDescent="0.25">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ht="13.5" customHeight="1" spans="1:26" x14ac:dyDescent="0.25">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ht="13.5" customHeight="1" spans="1:26" x14ac:dyDescent="0.2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ht="13.5" customHeight="1" spans="1:26" x14ac:dyDescent="0.25">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ht="13.5" customHeight="1" spans="1:26" x14ac:dyDescent="0.25">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ht="13.5" customHeight="1" spans="1:26" x14ac:dyDescent="0.25">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ht="13.5" customHeight="1" spans="1:26" x14ac:dyDescent="0.25">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ht="13.5" customHeight="1" spans="1:26" x14ac:dyDescent="0.25">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ht="13.5" customHeight="1" spans="1:26" x14ac:dyDescent="0.25">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ht="13.5" customHeight="1" spans="1:26" x14ac:dyDescent="0.25">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ht="13.5" customHeight="1" spans="1:26" x14ac:dyDescent="0.25">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ht="13.5" customHeight="1" spans="1:26" x14ac:dyDescent="0.25">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ht="13.5" customHeight="1" spans="1:26" x14ac:dyDescent="0.2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ht="13.5" customHeight="1" spans="1:26" x14ac:dyDescent="0.25">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ht="13.5" customHeight="1" spans="1:26" x14ac:dyDescent="0.25">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ht="13.5" customHeight="1" spans="1:26" x14ac:dyDescent="0.25">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ht="13.5" customHeight="1" spans="1:26" x14ac:dyDescent="0.25">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ht="13.5" customHeight="1" spans="1:26" x14ac:dyDescent="0.25">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ht="13.5" customHeight="1" spans="1:26" x14ac:dyDescent="0.25">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ht="13.5" customHeight="1" spans="1:26" x14ac:dyDescent="0.25">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ht="13.5" customHeight="1" spans="1:26" x14ac:dyDescent="0.25">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ht="13.5" customHeight="1" spans="1:26" x14ac:dyDescent="0.25">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ht="13.5" customHeight="1" spans="1:26" x14ac:dyDescent="0.2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ht="13.5" customHeight="1" spans="1:26" x14ac:dyDescent="0.25">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ht="13.5" customHeight="1" spans="1:26" x14ac:dyDescent="0.25">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ht="13.5" customHeight="1" spans="1:26" x14ac:dyDescent="0.25">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ht="13.5" customHeight="1" spans="1:26" x14ac:dyDescent="0.25">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ht="13.5" customHeight="1" spans="1:26" x14ac:dyDescent="0.25">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ht="13.5" customHeight="1" spans="1:26" x14ac:dyDescent="0.25">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ht="13.5" customHeight="1" spans="1:26" x14ac:dyDescent="0.25">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ht="13.5" customHeight="1" spans="1:26" x14ac:dyDescent="0.25">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ht="13.5" customHeight="1" spans="1:26" x14ac:dyDescent="0.25">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ht="13.5" customHeight="1" spans="1:26" x14ac:dyDescent="0.2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ht="13.5" customHeight="1" spans="1:26" x14ac:dyDescent="0.25">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ht="13.5" customHeight="1" spans="1:26" x14ac:dyDescent="0.25">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ht="13.5" customHeight="1" spans="1:26" x14ac:dyDescent="0.25">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ht="13.5" customHeight="1" spans="1:26" x14ac:dyDescent="0.25">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ht="13.5" customHeight="1" spans="1:26" x14ac:dyDescent="0.25">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ht="13.5" customHeight="1" spans="1:26" x14ac:dyDescent="0.25">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ht="13.5" customHeight="1" spans="1:26" x14ac:dyDescent="0.25">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ht="13.5" customHeight="1" spans="1:26" x14ac:dyDescent="0.25">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ht="13.5" customHeight="1" spans="1:26" x14ac:dyDescent="0.25">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ht="13.5" customHeight="1" spans="1:26" x14ac:dyDescent="0.2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ht="13.5" customHeight="1" spans="1:26" x14ac:dyDescent="0.25">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ht="13.5" customHeight="1" spans="1:26" x14ac:dyDescent="0.25">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ht="13.5" customHeight="1" spans="1:26" x14ac:dyDescent="0.25">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ht="13.5" customHeight="1" spans="1:26" x14ac:dyDescent="0.25">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ht="13.5" customHeight="1" spans="1:26" x14ac:dyDescent="0.25">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ht="13.5" customHeight="1" spans="1:26" x14ac:dyDescent="0.25">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ht="13.5" customHeight="1" spans="1:26" x14ac:dyDescent="0.25">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ht="13.5" customHeight="1" spans="1:26" x14ac:dyDescent="0.25">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ht="13.5" customHeight="1" spans="1:26" x14ac:dyDescent="0.25">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ht="13.5" customHeight="1" spans="1:26" x14ac:dyDescent="0.2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ht="13.5" customHeight="1" spans="1:26" x14ac:dyDescent="0.25">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ht="13.5" customHeight="1" spans="1:26" x14ac:dyDescent="0.25">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ht="13.5" customHeight="1" spans="1:26" x14ac:dyDescent="0.25">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ht="13.5" customHeight="1" spans="1:26" x14ac:dyDescent="0.25">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ht="13.5" customHeight="1" spans="1:26" x14ac:dyDescent="0.25">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ht="13.5" customHeight="1" spans="1:26" x14ac:dyDescent="0.25">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ht="13.5" customHeight="1" spans="1:26" x14ac:dyDescent="0.25">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ht="13.5" customHeight="1" spans="1:26" x14ac:dyDescent="0.25">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ht="13.5" customHeight="1" spans="1:26" x14ac:dyDescent="0.25">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ht="13.5" customHeight="1" spans="1:26" x14ac:dyDescent="0.2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ht="13.5" customHeight="1" spans="1:26" x14ac:dyDescent="0.25">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ht="13.5" customHeight="1" spans="1:26" x14ac:dyDescent="0.25">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ht="13.5" customHeight="1" spans="1:26" x14ac:dyDescent="0.25">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ht="13.5" customHeight="1" spans="1:26" x14ac:dyDescent="0.25">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ht="13.5" customHeight="1" spans="1:26" x14ac:dyDescent="0.25">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ht="13.5" customHeight="1" spans="1:26" x14ac:dyDescent="0.25">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ht="13.5" customHeight="1" spans="1:26" x14ac:dyDescent="0.25">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ht="13.5" customHeight="1" spans="1:26" x14ac:dyDescent="0.25">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ht="13.5" customHeight="1" spans="1:26" x14ac:dyDescent="0.25">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ht="13.5" customHeight="1" spans="1:26" x14ac:dyDescent="0.2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ht="13.5" customHeight="1" spans="1:26" x14ac:dyDescent="0.25">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ht="13.5" customHeight="1" spans="1:26" x14ac:dyDescent="0.25">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ht="13.5" customHeight="1" spans="1:26" x14ac:dyDescent="0.25">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ht="13.5" customHeight="1" spans="1:26" x14ac:dyDescent="0.25">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ht="13.5" customHeight="1" spans="1:26" x14ac:dyDescent="0.25">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ht="13.5" customHeight="1" spans="1:26" x14ac:dyDescent="0.25">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ht="13.5" customHeight="1" spans="1:26" x14ac:dyDescent="0.25">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ht="13.5" customHeight="1" spans="1:26" x14ac:dyDescent="0.25">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ht="13.5" customHeight="1" spans="1:26" x14ac:dyDescent="0.25">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ht="13.5" customHeight="1" spans="1:26" x14ac:dyDescent="0.2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ht="13.5" customHeight="1" spans="1:26" x14ac:dyDescent="0.25">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ht="13.5" customHeight="1" spans="1:26" x14ac:dyDescent="0.25">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ht="13.5" customHeight="1" spans="1:26" x14ac:dyDescent="0.25">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ht="13.5" customHeight="1" spans="1:26" x14ac:dyDescent="0.25">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ht="13.5" customHeight="1" spans="1:26" x14ac:dyDescent="0.25">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ht="13.5" customHeight="1" spans="1:26" x14ac:dyDescent="0.25">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ht="13.5" customHeight="1" spans="1:26" x14ac:dyDescent="0.25">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ht="13.5" customHeight="1" spans="1:26" x14ac:dyDescent="0.25">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ht="13.5" customHeight="1" spans="1:26" x14ac:dyDescent="0.25">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ht="13.5" customHeight="1" spans="1:26" x14ac:dyDescent="0.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ht="13.5" customHeight="1" spans="1:26" x14ac:dyDescent="0.25">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ht="13.5" customHeight="1" spans="1:26" x14ac:dyDescent="0.25">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ht="13.5" customHeight="1" spans="1:26" x14ac:dyDescent="0.25">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ht="13.5" customHeight="1" spans="1:26" x14ac:dyDescent="0.25">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ht="13.5" customHeight="1" spans="1:26" x14ac:dyDescent="0.25">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ht="13.5" customHeight="1" spans="1:26" x14ac:dyDescent="0.25">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ht="13.5" customHeight="1" spans="1:26" x14ac:dyDescent="0.25">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ht="13.5" customHeight="1" spans="1:26" x14ac:dyDescent="0.25">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ht="13.5" customHeight="1" spans="1:26" x14ac:dyDescent="0.25">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ht="13.5" customHeight="1" spans="1:26" x14ac:dyDescent="0.2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ht="13.5" customHeight="1" spans="1:26" x14ac:dyDescent="0.25">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ht="13.5" customHeight="1" spans="1:26" x14ac:dyDescent="0.25">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ht="13.5" customHeight="1" spans="1:26" x14ac:dyDescent="0.25">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ht="13.5" customHeight="1" spans="1:26" x14ac:dyDescent="0.25">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ht="13.5" customHeight="1" spans="1:26" x14ac:dyDescent="0.25">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ht="13.5" customHeight="1" spans="1:26" x14ac:dyDescent="0.25">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ht="13.5" customHeight="1" spans="1:26" x14ac:dyDescent="0.25">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ht="13.5" customHeight="1" spans="1:26" x14ac:dyDescent="0.25">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ht="13.5" customHeight="1" spans="1:26" x14ac:dyDescent="0.25">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ht="13.5" customHeight="1" spans="1:26" x14ac:dyDescent="0.2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ht="13.5" customHeight="1" spans="1:26" x14ac:dyDescent="0.25">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ht="13.5" customHeight="1" spans="1:26" x14ac:dyDescent="0.25">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ht="13.5" customHeight="1" spans="1:26" x14ac:dyDescent="0.25">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ht="13.5" customHeight="1" spans="1:26" x14ac:dyDescent="0.25">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ht="13.5" customHeight="1" spans="1:26" x14ac:dyDescent="0.25">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ht="13.5" customHeight="1" spans="1:26" x14ac:dyDescent="0.25">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ht="13.5" customHeight="1" spans="1:26" x14ac:dyDescent="0.25">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ht="13.5" customHeight="1" spans="1:26" x14ac:dyDescent="0.25">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ht="13.5" customHeight="1" spans="1:26" x14ac:dyDescent="0.25">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ht="13.5" customHeight="1" spans="1:26" x14ac:dyDescent="0.2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ht="13.5" customHeight="1" spans="1:26" x14ac:dyDescent="0.25">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ht="13.5" customHeight="1" spans="1:26" x14ac:dyDescent="0.25">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ht="13.5" customHeight="1" spans="1:26" x14ac:dyDescent="0.25">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ht="13.5" customHeight="1" spans="1:26" x14ac:dyDescent="0.25">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ht="13.5" customHeight="1" spans="1:26" x14ac:dyDescent="0.25">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ht="13.5" customHeight="1" spans="1:26" x14ac:dyDescent="0.25">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ht="13.5" customHeight="1" spans="1:26" x14ac:dyDescent="0.25">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ht="13.5" customHeight="1" spans="1:26" x14ac:dyDescent="0.25">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ht="13.5" customHeight="1" spans="1:26" x14ac:dyDescent="0.25">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ht="13.5" customHeight="1" spans="1:26" x14ac:dyDescent="0.2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ht="13.5" customHeight="1" spans="1:26" x14ac:dyDescent="0.25">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ht="13.5" customHeight="1" spans="1:26" x14ac:dyDescent="0.25">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ht="13.5" customHeight="1" spans="1:26" x14ac:dyDescent="0.25">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ht="13.5" customHeight="1" spans="1:26" x14ac:dyDescent="0.25">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ht="13.5" customHeight="1" spans="1:26" x14ac:dyDescent="0.25">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ht="13.5" customHeight="1" spans="1:26" x14ac:dyDescent="0.25">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ht="13.5" customHeight="1" spans="1:26" x14ac:dyDescent="0.25">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ht="13.5" customHeight="1" spans="1:26" x14ac:dyDescent="0.25">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ht="13.5" customHeight="1" spans="1:26" x14ac:dyDescent="0.25">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ht="13.5" customHeight="1" spans="1:26" x14ac:dyDescent="0.2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ht="13.5" customHeight="1" spans="1:26" x14ac:dyDescent="0.25">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ht="13.5" customHeight="1" spans="1:26" x14ac:dyDescent="0.25">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ht="13.5" customHeight="1" spans="1:26" x14ac:dyDescent="0.25">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ht="13.5" customHeight="1" spans="1:26" x14ac:dyDescent="0.25">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ht="13.5" customHeight="1" spans="1:26" x14ac:dyDescent="0.25">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ht="13.5" customHeight="1" spans="1:26" x14ac:dyDescent="0.25">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ht="13.5" customHeight="1" spans="1:26" x14ac:dyDescent="0.25">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ht="13.5" customHeight="1" spans="1:26" x14ac:dyDescent="0.25">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ht="13.5" customHeight="1" spans="1:26" x14ac:dyDescent="0.25">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ht="13.5" customHeight="1" spans="1:26" x14ac:dyDescent="0.2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ht="13.5" customHeight="1" spans="1:26" x14ac:dyDescent="0.25">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ht="13.5" customHeight="1" spans="1:26" x14ac:dyDescent="0.25">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ht="13.5" customHeight="1" spans="1:26" x14ac:dyDescent="0.25">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ht="13.5" customHeight="1" spans="1:26" x14ac:dyDescent="0.25">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ht="13.5" customHeight="1" spans="1:26" x14ac:dyDescent="0.25">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ht="13.5" customHeight="1" spans="1:26" x14ac:dyDescent="0.25">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ht="13.5" customHeight="1" spans="1:26" x14ac:dyDescent="0.25">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ht="13.5" customHeight="1" spans="1:26" x14ac:dyDescent="0.25">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ht="13.5" customHeight="1" spans="1:26" x14ac:dyDescent="0.25">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ht="13.5" customHeight="1" spans="1:26" x14ac:dyDescent="0.2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ht="13.5" customHeight="1" spans="1:26" x14ac:dyDescent="0.25">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ht="13.5" customHeight="1" spans="1:26" x14ac:dyDescent="0.25">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ht="13.5" customHeight="1" spans="1:26" x14ac:dyDescent="0.25">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ht="13.5" customHeight="1" spans="1:26" x14ac:dyDescent="0.25">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ht="13.5" customHeight="1" spans="1:26" x14ac:dyDescent="0.25">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ht="13.5" customHeight="1" spans="1:26" x14ac:dyDescent="0.25">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ht="13.5" customHeight="1" spans="1:26" x14ac:dyDescent="0.25">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ht="13.5" customHeight="1" spans="1:26" x14ac:dyDescent="0.25">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ht="13.5" customHeight="1" spans="1:26" x14ac:dyDescent="0.25">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ht="13.5" customHeight="1" spans="1:26" x14ac:dyDescent="0.2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ht="13.5" customHeight="1" spans="1:26" x14ac:dyDescent="0.25">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ht="13.5" customHeight="1" spans="1:26" x14ac:dyDescent="0.25">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ht="13.5" customHeight="1" spans="1:26" x14ac:dyDescent="0.25">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ht="13.5" customHeight="1" spans="1:26" x14ac:dyDescent="0.25">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ht="13.5" customHeight="1" spans="1:26" x14ac:dyDescent="0.25">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ht="13.5" customHeight="1" spans="1:26" x14ac:dyDescent="0.25">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ht="13.5" customHeight="1" spans="1:26" x14ac:dyDescent="0.25">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ht="13.5" customHeight="1" spans="1:26" x14ac:dyDescent="0.25">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ht="13.5" customHeight="1" spans="1:26" x14ac:dyDescent="0.25">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ht="13.5" customHeight="1" spans="1:26" x14ac:dyDescent="0.2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ht="13.5" customHeight="1" spans="1:26" x14ac:dyDescent="0.25">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ht="13.5" customHeight="1" spans="1:26" x14ac:dyDescent="0.25">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ht="13.5" customHeight="1" spans="1:26" x14ac:dyDescent="0.25">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ht="13.5" customHeight="1" spans="1:26" x14ac:dyDescent="0.25">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ht="13.5" customHeight="1" spans="1:26" x14ac:dyDescent="0.25">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ht="13.5" customHeight="1" spans="1:26" x14ac:dyDescent="0.25">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ht="13.5" customHeight="1" spans="1:26" x14ac:dyDescent="0.25">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ht="13.5" customHeight="1" spans="1:26" x14ac:dyDescent="0.25">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ht="13.5" customHeight="1" spans="1:26" x14ac:dyDescent="0.25">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ht="13.5" customHeight="1" spans="1:26" x14ac:dyDescent="0.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ht="13.5" customHeight="1" spans="1:26" x14ac:dyDescent="0.25">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ht="13.5" customHeight="1" spans="1:26" x14ac:dyDescent="0.25">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ht="13.5" customHeight="1" spans="1:26" x14ac:dyDescent="0.25">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ht="13.5" customHeight="1" spans="1:26" x14ac:dyDescent="0.25">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ht="13.5" customHeight="1" spans="1:26" x14ac:dyDescent="0.25">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ht="13.5" customHeight="1" spans="1:26" x14ac:dyDescent="0.25">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ht="13.5" customHeight="1" spans="1:26" x14ac:dyDescent="0.25">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ht="13.5" customHeight="1" spans="1:26" x14ac:dyDescent="0.25">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ht="13.5" customHeight="1" spans="1:26" x14ac:dyDescent="0.25">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ht="13.5" customHeight="1" spans="1:26" x14ac:dyDescent="0.2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ht="13.5" customHeight="1" spans="1:26" x14ac:dyDescent="0.25">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ht="13.5" customHeight="1" spans="1:26" x14ac:dyDescent="0.25">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ht="13.5" customHeight="1" spans="1:26" x14ac:dyDescent="0.25">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ht="13.5" customHeight="1" spans="1:26" x14ac:dyDescent="0.25">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ht="13.5" customHeight="1" spans="1:26" x14ac:dyDescent="0.25">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ht="13.5" customHeight="1" spans="1:26" x14ac:dyDescent="0.25">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ht="13.5" customHeight="1" spans="1:26" x14ac:dyDescent="0.25">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ht="13.5" customHeight="1" spans="1:26" x14ac:dyDescent="0.25">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ht="13.5" customHeight="1" spans="1:26" x14ac:dyDescent="0.25">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ht="13.5" customHeight="1" spans="1:26" x14ac:dyDescent="0.2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ht="13.5" customHeight="1" spans="1:26" x14ac:dyDescent="0.25">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ht="13.5" customHeight="1" spans="1:26" x14ac:dyDescent="0.25">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ht="13.5" customHeight="1" spans="1:26" x14ac:dyDescent="0.25">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ht="13.5" customHeight="1" spans="1:26" x14ac:dyDescent="0.25">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ht="13.5" customHeight="1" spans="1:26" x14ac:dyDescent="0.25">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ht="13.5" customHeight="1" spans="1:26" x14ac:dyDescent="0.25">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ht="13.5" customHeight="1" spans="1:26" x14ac:dyDescent="0.25">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ht="13.5" customHeight="1" spans="1:26" x14ac:dyDescent="0.25">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ht="13.5" customHeight="1" spans="1:26" x14ac:dyDescent="0.25">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ht="13.5" customHeight="1" spans="1:26" x14ac:dyDescent="0.2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ht="13.5" customHeight="1" spans="1:26" x14ac:dyDescent="0.25">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ht="13.5" customHeight="1" spans="1:26" x14ac:dyDescent="0.25">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ht="13.5" customHeight="1" spans="1:26" x14ac:dyDescent="0.25">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ht="13.5" customHeight="1" spans="1:26" x14ac:dyDescent="0.25">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ht="13.5" customHeight="1" spans="1:26" x14ac:dyDescent="0.25">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ht="13.5" customHeight="1" spans="1:26" x14ac:dyDescent="0.25">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ht="13.5" customHeight="1" spans="1:26" x14ac:dyDescent="0.25">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ht="13.5" customHeight="1" spans="1:26" x14ac:dyDescent="0.25">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ht="13.5" customHeight="1" spans="1:26" x14ac:dyDescent="0.25">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ht="13.5" customHeight="1" spans="1:26" x14ac:dyDescent="0.2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ht="13.5" customHeight="1" spans="1:26" x14ac:dyDescent="0.25">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ht="13.5" customHeight="1" spans="1:26" x14ac:dyDescent="0.25">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ht="13.5" customHeight="1" spans="1:26" x14ac:dyDescent="0.25">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ht="13.5" customHeight="1" spans="1:26" x14ac:dyDescent="0.25">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ht="13.5" customHeight="1" spans="1:26" x14ac:dyDescent="0.25">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ht="13.5" customHeight="1" spans="1:26" x14ac:dyDescent="0.25">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ht="13.5" customHeight="1" spans="1:26" x14ac:dyDescent="0.25">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ht="13.5" customHeight="1" spans="1:26" x14ac:dyDescent="0.25">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ht="13.5" customHeight="1" spans="1:26" x14ac:dyDescent="0.25">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ht="13.5" customHeight="1" spans="1:26" x14ac:dyDescent="0.2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ht="13.5" customHeight="1" spans="1:26" x14ac:dyDescent="0.25">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ht="13.5" customHeight="1" spans="1:26" x14ac:dyDescent="0.25">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ht="13.5" customHeight="1" spans="1:26" x14ac:dyDescent="0.25">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ht="13.5" customHeight="1" spans="1:26" x14ac:dyDescent="0.25">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ht="13.5" customHeight="1" spans="1:26" x14ac:dyDescent="0.25">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ht="13.5" customHeight="1" spans="1:26" x14ac:dyDescent="0.25">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ht="13.5" customHeight="1" spans="1:26" x14ac:dyDescent="0.25">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ht="13.5" customHeight="1" spans="1:26" x14ac:dyDescent="0.25">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ht="13.5" customHeight="1" spans="1:26" x14ac:dyDescent="0.25">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ht="13.5" customHeight="1" spans="1:26" x14ac:dyDescent="0.2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ht="13.5" customHeight="1" spans="1:26" x14ac:dyDescent="0.25">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ht="13.5" customHeight="1" spans="1:26" x14ac:dyDescent="0.25">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ht="13.5" customHeight="1" spans="1:26" x14ac:dyDescent="0.25">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ht="13.5" customHeight="1" spans="1:26" x14ac:dyDescent="0.25">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ht="13.5" customHeight="1" spans="1:26" x14ac:dyDescent="0.25">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ht="13.5" customHeight="1" spans="1:26" x14ac:dyDescent="0.25">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ht="13.5" customHeight="1" spans="1:26" x14ac:dyDescent="0.25">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ht="13.5" customHeight="1" spans="1:26" x14ac:dyDescent="0.25">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ht="13.5" customHeight="1" spans="1:26" x14ac:dyDescent="0.25">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ht="13.5" customHeight="1" spans="1:26" x14ac:dyDescent="0.2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ht="13.5" customHeight="1" spans="1:26" x14ac:dyDescent="0.25">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ht="13.5" customHeight="1" spans="1:26" x14ac:dyDescent="0.25">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ht="13.5" customHeight="1" spans="1:26" x14ac:dyDescent="0.25">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ht="13.5" customHeight="1" spans="1:26" x14ac:dyDescent="0.25">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ht="13.5" customHeight="1" spans="1:26" x14ac:dyDescent="0.25">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ht="13.5" customHeight="1" spans="1:26" x14ac:dyDescent="0.25">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ht="13.5" customHeight="1" spans="1:26" x14ac:dyDescent="0.25">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ht="13.5" customHeight="1" spans="1:26" x14ac:dyDescent="0.25">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ht="13.5" customHeight="1" spans="1:26" x14ac:dyDescent="0.25">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ht="13.5" customHeight="1" spans="1:26" x14ac:dyDescent="0.2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ht="13.5" customHeight="1" spans="1:26" x14ac:dyDescent="0.25">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ht="13.5" customHeight="1" spans="1:26" x14ac:dyDescent="0.25">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ht="13.5" customHeight="1" spans="1:26" x14ac:dyDescent="0.25">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ht="13.5" customHeight="1" spans="1:26" x14ac:dyDescent="0.25">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ht="13.5" customHeight="1" spans="1:26" x14ac:dyDescent="0.25">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ht="13.5" customHeight="1" spans="1:26" x14ac:dyDescent="0.25">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ht="13.5" customHeight="1" spans="1:26" x14ac:dyDescent="0.25">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ht="13.5" customHeight="1" spans="1:26" x14ac:dyDescent="0.25">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ht="13.5" customHeight="1" spans="1:26" x14ac:dyDescent="0.25">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ht="13.5" customHeight="1" spans="1:26" x14ac:dyDescent="0.2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ht="13.5" customHeight="1" spans="1:26" x14ac:dyDescent="0.25">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ht="13.5" customHeight="1" spans="1:26" x14ac:dyDescent="0.25">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ht="13.5" customHeight="1" spans="1:26" x14ac:dyDescent="0.25">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ht="13.5" customHeight="1" spans="1:26" x14ac:dyDescent="0.25">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ht="13.5" customHeight="1" spans="1:26" x14ac:dyDescent="0.25">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ht="13.5" customHeight="1" spans="1:26" x14ac:dyDescent="0.25">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ht="13.5" customHeight="1" spans="1:26" x14ac:dyDescent="0.25">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ht="13.5" customHeight="1" spans="1:26" x14ac:dyDescent="0.25">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ht="13.5" customHeight="1" spans="1:26" x14ac:dyDescent="0.25">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ht="13.5" customHeight="1" spans="1:26" x14ac:dyDescent="0.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ht="13.5" customHeight="1" spans="1:26" x14ac:dyDescent="0.25">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ht="13.5" customHeight="1" spans="1:26" x14ac:dyDescent="0.25">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ht="13.5" customHeight="1" spans="1:26" x14ac:dyDescent="0.25">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ht="13.5" customHeight="1" spans="1:26" x14ac:dyDescent="0.25">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ht="13.5" customHeight="1" spans="1:26" x14ac:dyDescent="0.25">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ht="13.5" customHeight="1" spans="1:26" x14ac:dyDescent="0.25">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ht="13.5" customHeight="1" spans="1:26" x14ac:dyDescent="0.25">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ht="13.5" customHeight="1" spans="1:26" x14ac:dyDescent="0.25">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ht="13.5" customHeight="1" spans="1:26" x14ac:dyDescent="0.25">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ht="13.5" customHeight="1" spans="1:26" x14ac:dyDescent="0.2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ht="13.5" customHeight="1" spans="1:26" x14ac:dyDescent="0.25">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ht="13.5" customHeight="1" spans="1:26" x14ac:dyDescent="0.25">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ht="13.5" customHeight="1" spans="1:26" x14ac:dyDescent="0.25">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ht="13.5" customHeight="1" spans="1:26" x14ac:dyDescent="0.25">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ht="13.5" customHeight="1" spans="1:26" x14ac:dyDescent="0.25">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ht="13.5" customHeight="1" spans="1:26" x14ac:dyDescent="0.25">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ht="13.5" customHeight="1" spans="1:26" x14ac:dyDescent="0.25">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ht="13.5" customHeight="1" spans="1:26" x14ac:dyDescent="0.25">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ht="13.5" customHeight="1" spans="1:26" x14ac:dyDescent="0.25">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ht="13.5" customHeight="1" spans="1:26" x14ac:dyDescent="0.2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ht="13.5" customHeight="1" spans="1:26" x14ac:dyDescent="0.25">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ht="13.5" customHeight="1" spans="1:26" x14ac:dyDescent="0.25">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ht="13.5" customHeight="1" spans="1:26" x14ac:dyDescent="0.25">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ht="13.5" customHeight="1" spans="1:26" x14ac:dyDescent="0.25">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ht="13.5" customHeight="1" spans="1:26" x14ac:dyDescent="0.25">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ht="13.5" customHeight="1" spans="1:26" x14ac:dyDescent="0.25">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ht="13.5" customHeight="1" spans="1:26" x14ac:dyDescent="0.25">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ht="13.5" customHeight="1" spans="1:26" x14ac:dyDescent="0.25">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ht="13.5" customHeight="1" spans="1:26" x14ac:dyDescent="0.25">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ht="13.5" customHeight="1" spans="1:26" x14ac:dyDescent="0.2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ht="13.5" customHeight="1" spans="1:26" x14ac:dyDescent="0.25">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ht="13.5" customHeight="1" spans="1:26" x14ac:dyDescent="0.25">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ht="13.5" customHeight="1" spans="1:26" x14ac:dyDescent="0.25">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ht="13.5" customHeight="1" spans="1:26" x14ac:dyDescent="0.25">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ht="13.5" customHeight="1" spans="1:26" x14ac:dyDescent="0.25">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ht="13.5" customHeight="1" spans="1:26" x14ac:dyDescent="0.25">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ht="13.5" customHeight="1" spans="1:26" x14ac:dyDescent="0.25">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ht="13.5" customHeight="1" spans="1:26" x14ac:dyDescent="0.25">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ht="13.5" customHeight="1" spans="1:26" x14ac:dyDescent="0.25">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ht="13.5" customHeight="1" spans="1:26" x14ac:dyDescent="0.2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ht="13.5" customHeight="1" spans="1:26" x14ac:dyDescent="0.25">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ht="13.5" customHeight="1" spans="1:26" x14ac:dyDescent="0.25">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ht="13.5" customHeight="1" spans="1:26" x14ac:dyDescent="0.25">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ht="13.5" customHeight="1" spans="1:26" x14ac:dyDescent="0.25">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ht="13.5" customHeight="1" spans="1:26" x14ac:dyDescent="0.25">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ht="13.5" customHeight="1" spans="1:26" x14ac:dyDescent="0.25">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ht="13.5" customHeight="1" spans="1:26" x14ac:dyDescent="0.25">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ht="13.5" customHeight="1" spans="1:26" x14ac:dyDescent="0.25">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ht="13.5" customHeight="1" spans="1:26" x14ac:dyDescent="0.25">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ht="13.5" customHeight="1" spans="1:26" x14ac:dyDescent="0.2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ht="13.5" customHeight="1" spans="1:26" x14ac:dyDescent="0.25">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ht="13.5" customHeight="1" spans="1:26" x14ac:dyDescent="0.25">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ht="13.5" customHeight="1" spans="1:26" x14ac:dyDescent="0.25">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ht="13.5" customHeight="1" spans="1:26" x14ac:dyDescent="0.25">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ht="13.5" customHeight="1" spans="1:26" x14ac:dyDescent="0.25">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ht="13.5" customHeight="1" spans="1:26" x14ac:dyDescent="0.25">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ht="13.5" customHeight="1" spans="1:26" x14ac:dyDescent="0.25">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ht="13.5" customHeight="1" spans="1:26" x14ac:dyDescent="0.25">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ht="13.5" customHeight="1" spans="1:26" x14ac:dyDescent="0.25">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ht="13.5" customHeight="1" spans="1:26" x14ac:dyDescent="0.2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ht="13.5" customHeight="1" spans="1:26" x14ac:dyDescent="0.25">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ht="13.5" customHeight="1" spans="1:26" x14ac:dyDescent="0.25">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ht="13.5" customHeight="1" spans="1:26" x14ac:dyDescent="0.25">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ht="13.5" customHeight="1" spans="1:26" x14ac:dyDescent="0.25">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ht="13.5" customHeight="1" spans="1:26" x14ac:dyDescent="0.25">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ht="13.5" customHeight="1" spans="1:26" x14ac:dyDescent="0.25">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ht="13.5" customHeight="1" spans="1:26" x14ac:dyDescent="0.25">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ht="13.5" customHeight="1" spans="1:26" x14ac:dyDescent="0.25">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ht="13.5" customHeight="1" spans="1:26" x14ac:dyDescent="0.25">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ht="13.5" customHeight="1" spans="1:26" x14ac:dyDescent="0.2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ht="13.5" customHeight="1" spans="1:26" x14ac:dyDescent="0.25">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ht="13.5" customHeight="1" spans="1:26" x14ac:dyDescent="0.25">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ht="13.5" customHeight="1" spans="1:26" x14ac:dyDescent="0.25">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ht="13.5" customHeight="1" spans="1:26" x14ac:dyDescent="0.25">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ht="13.5" customHeight="1" spans="1:26" x14ac:dyDescent="0.25">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ht="13.5" customHeight="1" spans="1:26" x14ac:dyDescent="0.25">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ht="13.5" customHeight="1" spans="1:26" x14ac:dyDescent="0.25">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ht="13.5" customHeight="1" spans="1:26" x14ac:dyDescent="0.25">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ht="13.5" customHeight="1" spans="1:26" x14ac:dyDescent="0.25">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ht="13.5" customHeight="1" spans="1:26" x14ac:dyDescent="0.2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ht="13.5" customHeight="1" spans="1:26" x14ac:dyDescent="0.25">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ht="13.5" customHeight="1" spans="1:26" x14ac:dyDescent="0.25">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ht="13.5" customHeight="1" spans="1:26" x14ac:dyDescent="0.25">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ht="13.5" customHeight="1" spans="1:26" x14ac:dyDescent="0.25">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ht="13.5" customHeight="1" spans="1:26" x14ac:dyDescent="0.25">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ht="13.5" customHeight="1" spans="1:26" x14ac:dyDescent="0.25">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ht="13.5" customHeight="1" spans="1:26" x14ac:dyDescent="0.25">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ht="13.5" customHeight="1" spans="1:26" x14ac:dyDescent="0.25">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ht="13.5" customHeight="1" spans="1:26" x14ac:dyDescent="0.25">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ht="13.5" customHeight="1" spans="1:26" x14ac:dyDescent="0.2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ht="13.5" customHeight="1" spans="1:26" x14ac:dyDescent="0.25">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ht="13.5" customHeight="1" spans="1:26" x14ac:dyDescent="0.25">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ht="13.5" customHeight="1" spans="1:26" x14ac:dyDescent="0.25">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ht="13.5" customHeight="1" spans="1:26" x14ac:dyDescent="0.25">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ht="13.5" customHeight="1" spans="1:26" x14ac:dyDescent="0.25">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ht="13.5" customHeight="1" spans="1:26" x14ac:dyDescent="0.25">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ht="13.5" customHeight="1" spans="1:26" x14ac:dyDescent="0.25">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ht="13.5" customHeight="1" spans="1:26" x14ac:dyDescent="0.25">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ht="13.5" customHeight="1" spans="1:26" x14ac:dyDescent="0.25">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ht="13.5" customHeight="1" spans="1:26" x14ac:dyDescent="0.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ht="13.5" customHeight="1" spans="1:26" x14ac:dyDescent="0.25">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ht="13.5" customHeight="1" spans="1:26" x14ac:dyDescent="0.25">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ht="13.5" customHeight="1" spans="1:26" x14ac:dyDescent="0.25">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ht="13.5" customHeight="1" spans="1:26" x14ac:dyDescent="0.25">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ht="13.5" customHeight="1" spans="1:26" x14ac:dyDescent="0.25">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ht="13.5" customHeight="1" spans="1:26" x14ac:dyDescent="0.25">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ht="13.5" customHeight="1" spans="1:26" x14ac:dyDescent="0.25">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ht="13.5" customHeight="1" spans="1:26" x14ac:dyDescent="0.25">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ht="13.5" customHeight="1" spans="1:26" x14ac:dyDescent="0.25">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ht="13.5" customHeight="1" spans="1:26" x14ac:dyDescent="0.2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ht="13.5" customHeight="1" spans="1:26" x14ac:dyDescent="0.25">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ht="13.5" customHeight="1" spans="1:26" x14ac:dyDescent="0.25">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ht="13.5" customHeight="1" spans="1:26" x14ac:dyDescent="0.25">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ht="13.5" customHeight="1" spans="1:26" x14ac:dyDescent="0.25">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ht="13.5" customHeight="1" spans="1:26" x14ac:dyDescent="0.25">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ht="13.5" customHeight="1" spans="1:26" x14ac:dyDescent="0.25">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ht="13.5" customHeight="1" spans="1:26" x14ac:dyDescent="0.25">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ht="13.5" customHeight="1" spans="1:26" x14ac:dyDescent="0.25">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ht="13.5" customHeight="1" spans="1:26" x14ac:dyDescent="0.25">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ht="13.5" customHeight="1" spans="1:26" x14ac:dyDescent="0.2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ht="13.5" customHeight="1" spans="1:26" x14ac:dyDescent="0.25">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ht="13.5" customHeight="1" spans="1:26" x14ac:dyDescent="0.25">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ht="13.5" customHeight="1" spans="1:26" x14ac:dyDescent="0.25">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ht="13.5" customHeight="1" spans="1:26" x14ac:dyDescent="0.25">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ht="13.5" customHeight="1" spans="1:26" x14ac:dyDescent="0.25">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ht="13.5" customHeight="1" spans="1:26" x14ac:dyDescent="0.25">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ht="13.5" customHeight="1" spans="1:26" x14ac:dyDescent="0.25">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ht="13.5" customHeight="1" spans="1:26" x14ac:dyDescent="0.25">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ht="13.5" customHeight="1" spans="1:26" x14ac:dyDescent="0.25">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ht="13.5" customHeight="1" spans="1:26" x14ac:dyDescent="0.2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ht="13.5" customHeight="1" spans="1:26" x14ac:dyDescent="0.25">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ht="13.5" customHeight="1" spans="1:26" x14ac:dyDescent="0.25">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ht="13.5" customHeight="1" spans="1:26" x14ac:dyDescent="0.25">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ht="13.5" customHeight="1" spans="1:26" x14ac:dyDescent="0.25">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ht="13.5" customHeight="1" spans="1:26" x14ac:dyDescent="0.25">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ht="13.5" customHeight="1" spans="1:26" x14ac:dyDescent="0.25">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ht="13.5" customHeight="1" spans="1:26" x14ac:dyDescent="0.25">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ht="13.5" customHeight="1" spans="1:26" x14ac:dyDescent="0.25">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ht="13.5" customHeight="1" spans="1:26" x14ac:dyDescent="0.25">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ht="13.5" customHeight="1" spans="1:26" x14ac:dyDescent="0.2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ht="13.5" customHeight="1" spans="1:26" x14ac:dyDescent="0.25">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ht="13.5" customHeight="1" spans="1:26" x14ac:dyDescent="0.25">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ht="13.5" customHeight="1" spans="1:26" x14ac:dyDescent="0.25">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ht="13.5" customHeight="1" spans="1:26" x14ac:dyDescent="0.25">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ht="13.5" customHeight="1" spans="1:26" x14ac:dyDescent="0.25">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ht="13.5" customHeight="1" spans="1:26" x14ac:dyDescent="0.25">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ht="13.5" customHeight="1" spans="1:26" x14ac:dyDescent="0.25">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ht="13.5" customHeight="1" spans="1:26" x14ac:dyDescent="0.25">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ht="13.5" customHeight="1" spans="1:26" x14ac:dyDescent="0.25">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ht="13.5" customHeight="1" spans="1:26" x14ac:dyDescent="0.2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ht="13.5" customHeight="1" spans="1:26" x14ac:dyDescent="0.25">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ht="13.5" customHeight="1" spans="1:26" x14ac:dyDescent="0.25">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ht="13.5" customHeight="1" spans="1:26" x14ac:dyDescent="0.25">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ht="13.5" customHeight="1" spans="1:26" x14ac:dyDescent="0.25">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ht="13.5" customHeight="1" spans="1:26" x14ac:dyDescent="0.25">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ht="13.5" customHeight="1" spans="1:26" x14ac:dyDescent="0.25">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ht="13.5" customHeight="1" spans="1:26" x14ac:dyDescent="0.25">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ht="13.5" customHeight="1" spans="1:26" x14ac:dyDescent="0.25">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ht="13.5" customHeight="1" spans="1:26" x14ac:dyDescent="0.25">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ht="13.5" customHeight="1" spans="1:26" x14ac:dyDescent="0.2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ht="13.5" customHeight="1" spans="1:26" x14ac:dyDescent="0.25">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ht="13.5" customHeight="1" spans="1:26" x14ac:dyDescent="0.25">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ht="13.5" customHeight="1" spans="1:26" x14ac:dyDescent="0.25">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ht="13.5" customHeight="1" spans="1:26" x14ac:dyDescent="0.25">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ht="13.5" customHeight="1" spans="1:26" x14ac:dyDescent="0.25">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ht="13.5" customHeight="1" spans="1:26" x14ac:dyDescent="0.25">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ht="13.5" customHeight="1" spans="1:26" x14ac:dyDescent="0.25">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ht="13.5" customHeight="1" spans="1:26" x14ac:dyDescent="0.25">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ht="13.5" customHeight="1" spans="1:26" x14ac:dyDescent="0.25">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ht="13.5" customHeight="1" spans="1:26" x14ac:dyDescent="0.2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ht="13.5" customHeight="1" spans="1:26" x14ac:dyDescent="0.25">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ht="13.5" customHeight="1" spans="1:26" x14ac:dyDescent="0.25">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ht="13.5" customHeight="1" spans="1:26" x14ac:dyDescent="0.25">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ht="13.5" customHeight="1" spans="1:26" x14ac:dyDescent="0.25">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ht="13.5" customHeight="1" spans="1:26" x14ac:dyDescent="0.25">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ht="13.5" customHeight="1" spans="1:26" x14ac:dyDescent="0.25">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ht="13.5" customHeight="1" spans="1:26" x14ac:dyDescent="0.25">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ht="13.5" customHeight="1" spans="1:26" x14ac:dyDescent="0.25">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ht="13.5" customHeight="1" spans="1:26" x14ac:dyDescent="0.25">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ht="13.5" customHeight="1" spans="1:26" x14ac:dyDescent="0.2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ht="13.5" customHeight="1" spans="1:26" x14ac:dyDescent="0.25">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ht="13.5" customHeight="1" spans="1:26" x14ac:dyDescent="0.25">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ht="13.5" customHeight="1" spans="1:26" x14ac:dyDescent="0.25">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ht="13.5" customHeight="1" spans="1:26" x14ac:dyDescent="0.25">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ht="13.5" customHeight="1" spans="1:26" x14ac:dyDescent="0.25">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ht="13.5" customHeight="1" spans="1:26" x14ac:dyDescent="0.25">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ht="13.5" customHeight="1" spans="1:26" x14ac:dyDescent="0.25">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ht="13.5" customHeight="1" spans="1:26" x14ac:dyDescent="0.25">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ht="13.5" customHeight="1" spans="1:26" x14ac:dyDescent="0.25">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ht="13.5" customHeight="1" spans="1:26" x14ac:dyDescent="0.2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ht="13.5" customHeight="1" spans="1:26" x14ac:dyDescent="0.25">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ht="13.5" customHeight="1" spans="1:26" x14ac:dyDescent="0.25">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ht="13.5" customHeight="1" spans="1:26" x14ac:dyDescent="0.25">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ht="13.5" customHeight="1" spans="1:26" x14ac:dyDescent="0.25">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ht="13.5" customHeight="1" spans="1:26" x14ac:dyDescent="0.25">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ht="13.5" customHeight="1" spans="1:26" x14ac:dyDescent="0.25">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ht="13.5" customHeight="1" spans="1:26" x14ac:dyDescent="0.25">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ht="13.5" customHeight="1" spans="1:26" x14ac:dyDescent="0.25">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ht="13.5" customHeight="1" spans="1:26" x14ac:dyDescent="0.25">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ht="13.5" customHeight="1" spans="1:26" x14ac:dyDescent="0.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ht="13.5" customHeight="1" spans="1:26" x14ac:dyDescent="0.25">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ht="13.5" customHeight="1" spans="1:26" x14ac:dyDescent="0.25">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ht="13.5" customHeight="1" spans="1:26" x14ac:dyDescent="0.25">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ht="13.5" customHeight="1" spans="1:26" x14ac:dyDescent="0.25">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ht="13.5" customHeight="1" spans="1:26" x14ac:dyDescent="0.25">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ht="13.5" customHeight="1" spans="1:26" x14ac:dyDescent="0.25">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ht="13.5" customHeight="1" spans="1:26" x14ac:dyDescent="0.25">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ht="13.5" customHeight="1" spans="1:26" x14ac:dyDescent="0.25">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ht="13.5" customHeight="1" spans="1:26" x14ac:dyDescent="0.25">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ht="13.5" customHeight="1" spans="1:26" x14ac:dyDescent="0.2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ht="13.5" customHeight="1" spans="1:26" x14ac:dyDescent="0.25">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ht="13.5" customHeight="1" spans="1:26" x14ac:dyDescent="0.25">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ht="13.5" customHeight="1" spans="1:26" x14ac:dyDescent="0.25">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ht="13.5" customHeight="1" spans="1:26" x14ac:dyDescent="0.25">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ht="13.5" customHeight="1" spans="1:26" x14ac:dyDescent="0.25">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ht="13.5" customHeight="1" spans="1:26" x14ac:dyDescent="0.25">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ht="13.5" customHeight="1" spans="1:26" x14ac:dyDescent="0.25">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ht="13.5" customHeight="1" spans="1:26" x14ac:dyDescent="0.25">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ht="13.5" customHeight="1" spans="1:26" x14ac:dyDescent="0.25">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ht="13.5" customHeight="1" spans="1:26" x14ac:dyDescent="0.2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ht="13.5" customHeight="1" spans="1:26" x14ac:dyDescent="0.25">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ht="13.5" customHeight="1" spans="1:26" x14ac:dyDescent="0.25">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ht="13.5" customHeight="1" spans="1:26" x14ac:dyDescent="0.25">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ht="13.5" customHeight="1" spans="1:26" x14ac:dyDescent="0.25">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ht="13.5" customHeight="1" spans="1:26" x14ac:dyDescent="0.25">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ht="13.5" customHeight="1" spans="1:26" x14ac:dyDescent="0.25">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ht="13.5" customHeight="1" spans="1:26" x14ac:dyDescent="0.25">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ht="13.5" customHeight="1" spans="1:26" x14ac:dyDescent="0.25">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ht="13.5" customHeight="1" spans="1:26" x14ac:dyDescent="0.25">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ht="13.5" customHeight="1" spans="1:26" x14ac:dyDescent="0.2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ht="13.5" customHeight="1" spans="1:26" x14ac:dyDescent="0.25">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ht="13.5" customHeight="1" spans="1:26" x14ac:dyDescent="0.25">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ht="13.5" customHeight="1" spans="1:26" x14ac:dyDescent="0.25">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ht="13.5" customHeight="1" spans="1:26" x14ac:dyDescent="0.25">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ht="13.5" customHeight="1" spans="1:26" x14ac:dyDescent="0.25">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ht="13.5" customHeight="1" spans="1:26" x14ac:dyDescent="0.25">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ht="13.5" customHeight="1" spans="1:26" x14ac:dyDescent="0.25">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ht="13.5" customHeight="1" spans="1:26" x14ac:dyDescent="0.25">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ht="13.5" customHeight="1" spans="1:26" x14ac:dyDescent="0.25">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ht="13.5" customHeight="1" spans="1:26" x14ac:dyDescent="0.2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ht="13.5" customHeight="1" spans="1:26" x14ac:dyDescent="0.25">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ht="13.5" customHeight="1" spans="1:26" x14ac:dyDescent="0.25">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ht="13.5" customHeight="1" spans="1:26" x14ac:dyDescent="0.25">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ht="13.5" customHeight="1" spans="1:26" x14ac:dyDescent="0.25">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ht="13.5" customHeight="1" spans="1:26" x14ac:dyDescent="0.25">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ht="13.5" customHeight="1" spans="1:26" x14ac:dyDescent="0.25">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ht="13.5" customHeight="1" spans="1:26" x14ac:dyDescent="0.25">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ht="13.5" customHeight="1" spans="1:26" x14ac:dyDescent="0.25">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ht="13.5" customHeight="1" spans="1:26" x14ac:dyDescent="0.25">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ht="13.5" customHeight="1" spans="1:26" x14ac:dyDescent="0.2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ht="13.5" customHeight="1" spans="1:26" x14ac:dyDescent="0.25">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ht="13.5" customHeight="1" spans="1:26" x14ac:dyDescent="0.25">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ht="13.5" customHeight="1" spans="1:26" x14ac:dyDescent="0.25">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ht="13.5" customHeight="1" spans="1:26" x14ac:dyDescent="0.25">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ht="13.5" customHeight="1" spans="1:26" x14ac:dyDescent="0.25">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ht="13.5" customHeight="1" spans="1:26" x14ac:dyDescent="0.25">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ht="13.5" customHeight="1" spans="1:26" x14ac:dyDescent="0.25">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ht="13.5" customHeight="1" spans="1:26" x14ac:dyDescent="0.25">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ht="13.5" customHeight="1" spans="1:26" x14ac:dyDescent="0.25">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ht="13.5" customHeight="1" spans="1:26" x14ac:dyDescent="0.2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ht="13.5" customHeight="1" spans="1:26" x14ac:dyDescent="0.25">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ht="13.5" customHeight="1" spans="1:26" x14ac:dyDescent="0.25">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ht="13.5" customHeight="1" spans="1:26" x14ac:dyDescent="0.25">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ht="13.5" customHeight="1" spans="1:26" x14ac:dyDescent="0.25">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ht="13.5" customHeight="1" spans="1:26" x14ac:dyDescent="0.25">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ht="13.5" customHeight="1" spans="1:26" x14ac:dyDescent="0.25">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ht="13.5" customHeight="1" spans="1:26" x14ac:dyDescent="0.25">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ht="13.5" customHeight="1" spans="1:26" x14ac:dyDescent="0.25">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ht="13.5" customHeight="1" spans="1:26" x14ac:dyDescent="0.25">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ht="13.5" customHeight="1" spans="1:26" x14ac:dyDescent="0.2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ht="13.5" customHeight="1" spans="1:26" x14ac:dyDescent="0.25">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ht="13.5" customHeight="1" spans="1:26" x14ac:dyDescent="0.25">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ht="13.5" customHeight="1" spans="1:26" x14ac:dyDescent="0.25">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ht="13.5" customHeight="1" spans="1:26" x14ac:dyDescent="0.25">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ht="13.5" customHeight="1" spans="1:26" x14ac:dyDescent="0.25">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mergeCells count="26">
    <mergeCell ref="I6:L6"/>
    <mergeCell ref="N6:Q6"/>
    <mergeCell ref="I8:L8"/>
    <mergeCell ref="N8:Q8"/>
    <mergeCell ref="I15:L15"/>
    <mergeCell ref="N15:Q15"/>
    <mergeCell ref="C44:F44"/>
    <mergeCell ref="C45:F45"/>
    <mergeCell ref="C46:F46"/>
    <mergeCell ref="C47:F47"/>
    <mergeCell ref="C51:D51"/>
    <mergeCell ref="C53:D53"/>
    <mergeCell ref="C55:D55"/>
    <mergeCell ref="C57:D57"/>
    <mergeCell ref="C59:D59"/>
    <mergeCell ref="C61:F61"/>
    <mergeCell ref="C63:D63"/>
    <mergeCell ref="C65:D65"/>
    <mergeCell ref="C67:D67"/>
    <mergeCell ref="C69:D69"/>
    <mergeCell ref="C71:D71"/>
    <mergeCell ref="C73:D73"/>
    <mergeCell ref="C75:D75"/>
    <mergeCell ref="C77:D77"/>
    <mergeCell ref="C79:D79"/>
    <mergeCell ref="C81:D81"/>
  </mergeCells>
  <conditionalFormatting sqref="F19:F20 F24:F27 F29:F31 F33:F35">
    <cfRule type="expression" dxfId="0" priority="1">
      <formula>$Q$2="Report"</formula>
    </cfRule>
  </conditionalFormatting>
  <conditionalFormatting sqref="F37">
    <cfRule type="expression" dxfId="1" priority="2">
      <formula>$Q$2="Report"</formula>
    </cfRule>
  </conditionalFormatting>
  <conditionalFormatting sqref="I8:L20">
    <cfRule type="expression" dxfId="2" priority="3">
      <formula>$P$2="Report"</formula>
    </cfRule>
  </conditionalFormatting>
  <conditionalFormatting sqref="I6:Q20 F19:F35">
    <cfRule type="expression" dxfId="3" priority="4">
      <formula>$Q$2="Report"</formula>
    </cfRule>
  </conditionalFormatting>
  <conditionalFormatting sqref="N8:Q8 P9:Q9 N10:O10 N11:Q11 N13:Q13 N15:Q15 N17:O17 N18:Q18 N20:Q20">
    <cfRule type="expression" dxfId="4" priority="5">
      <formula>$P$2="Report"</formula>
    </cfRule>
  </conditionalFormatting>
  <conditionalFormatting sqref="P16:Q16">
    <cfRule type="expression" dxfId="5" priority="6">
      <formula>$P$2="Report"</formula>
    </cfRule>
  </conditionalFormatting>
  <dataValidations count="5">
    <dataValidation type="list" allowBlank="1" showErrorMessage="1" sqref="C2">
      <formula1>"$ in Thousands Except Per Share Data,$ in Millions Except Per Share Data,$ in Billions Except Per Share Data"</formula1>
    </dataValidation>
    <dataValidation type="list" allowBlank="1" showErrorMessage="1" sqref="F22">
      <formula1>"Bull,Base,Bear"</formula1>
    </dataValidation>
    <dataValidation type="list" allowBlank="1" showErrorMessage="1" sqref="F26">
      <formula1>"1Q,2Q,3Q,4Q"</formula1>
    </dataValidation>
    <dataValidation type="list" allowBlank="1" showErrorMessage="1" sqref="F37">
      <formula1>"Bottom Up,Top Down"</formula1>
    </dataValidation>
    <dataValidation type="list" allowBlank="1" showErrorMessage="1" sqref="Q2">
      <formula1>"Working,Report"</formula1>
    </dataValidation>
  </dataValidations>
  <pageMargins left="0.7" right="0.7" top="0.75" bottom="0.75" header="0" footer="0"/>
  <pageSetup orientation="portrait" horizontalDpi="4294967295" verticalDpi="4294967295" scale="100" fitToWidth="1" fitToHeight="1" firstPageNumber="1" useFirstPageNumber="1" copies="1"/>
  <drawing r:id="rId3"/>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8000"/>
  </sheetPr>
  <dimension ref="A1:AE1000"/>
  <sheetViews>
    <sheetView workbookViewId="0" showGridLines="0" zoomScale="100" zoomScaleNormal="100">
      <pane ySplit="2" topLeftCell="A3" activePane="bottomLeft" state="frozen"/>
      <selection pane="bottomLeft" activeCell="B4" sqref="B4"/>
    </sheetView>
  </sheetViews>
  <sheetFormatPr defaultRowHeight="15" outlineLevelRow="1" outlineLevelCol="1" x14ac:dyDescent="0" defaultColWidth="14.5"/>
  <cols>
    <col min="1" max="2" width="1.6640625" customWidth="1"/>
    <col min="3" max="6" width="10.5" customWidth="1"/>
    <col min="7" max="18" width="12.6640625" hidden="1" outlineLevel="1" collapsed="1" customWidth="1"/>
    <col min="19" max="19" width="1.6640625" customWidth="1"/>
    <col min="20" max="27" width="12.6640625" customWidth="1"/>
    <col min="28" max="28" width="1.6640625" customWidth="1"/>
    <col min="29" max="29" width="10.5" customWidth="1"/>
    <col min="30" max="30" width="1.6640625" customWidth="1"/>
    <col min="31" max="31" width="10.5" customWidth="1"/>
  </cols>
  <sheetData>
    <row r="1" ht="13.5" customHeight="1" spans="1:31" x14ac:dyDescent="0.25">
      <c r="A1" s="11"/>
      <c r="B1" s="11"/>
      <c r="C1" s="12" t="str">
        <f ca="1">Company_Name&amp;" - "&amp;MID(CELL("filename",A1),FIND("]",CELL("filename",A1))+1,255)&amp;": "&amp;Case_Scenario&amp;" Case"</f>
        <v>Lowe's Companies, Inc. - Summary: Base Case</v>
      </c>
      <c r="D1" s="11"/>
      <c r="E1" s="11"/>
      <c r="F1" s="11"/>
      <c r="G1" s="11"/>
      <c r="H1" s="11"/>
      <c r="I1" s="11"/>
      <c r="J1" s="11"/>
      <c r="K1" s="11"/>
      <c r="L1" s="11"/>
      <c r="M1" s="11"/>
      <c r="N1" s="11"/>
      <c r="O1" s="11"/>
      <c r="P1" s="11"/>
      <c r="Q1" s="11"/>
      <c r="R1" s="11"/>
      <c r="S1" s="11"/>
      <c r="T1" s="11"/>
      <c r="U1" s="11"/>
      <c r="V1" s="11"/>
      <c r="W1" s="11"/>
      <c r="X1" s="11"/>
      <c r="Y1" s="11"/>
      <c r="Z1" s="11"/>
      <c r="AA1" s="11"/>
      <c r="AB1" s="11"/>
      <c r="AC1" s="11"/>
      <c r="AD1" s="11"/>
      <c r="AE1" s="11"/>
    </row>
    <row r="2" ht="13.5" customHeight="1" spans="1:31" x14ac:dyDescent="0.25">
      <c r="A2" s="4"/>
      <c r="B2" s="4"/>
      <c r="C2" s="14" t="str">
        <f ca="1">Cover!C2</f>
        <v>$ in Millions Except Per Share Data</v>
      </c>
      <c r="D2" s="4"/>
      <c r="E2" s="4"/>
      <c r="F2" s="4"/>
      <c r="G2" s="4"/>
      <c r="H2" s="4"/>
      <c r="I2" s="4"/>
      <c r="J2" s="4"/>
      <c r="K2" s="4"/>
      <c r="L2" s="4"/>
      <c r="M2" s="4"/>
      <c r="N2" s="4"/>
      <c r="O2" s="4"/>
      <c r="P2" s="4"/>
      <c r="Q2" s="4"/>
      <c r="R2" s="4"/>
      <c r="S2" s="4"/>
      <c r="T2" s="4"/>
      <c r="U2" s="4"/>
      <c r="V2" s="4"/>
      <c r="W2" s="4"/>
      <c r="X2" s="4"/>
      <c r="Y2" s="4"/>
      <c r="Z2" s="4"/>
      <c r="AA2" s="4"/>
      <c r="AB2" s="4"/>
      <c r="AC2" s="4"/>
      <c r="AD2" s="4"/>
      <c r="AE2" s="4"/>
    </row>
    <row r="3" ht="13.5" customHeight="1" spans="1:31" x14ac:dyDescent="0.25">
      <c r="A3" s="5"/>
      <c r="B3" s="16"/>
      <c r="C3" s="16"/>
      <c r="D3" s="16"/>
      <c r="E3" s="16"/>
      <c r="F3" s="16"/>
      <c r="G3" s="16"/>
      <c r="H3" s="16"/>
      <c r="I3" s="16"/>
      <c r="J3" s="16"/>
      <c r="K3" s="16"/>
      <c r="L3" s="16"/>
      <c r="M3" s="16"/>
      <c r="N3" s="16"/>
      <c r="O3" s="16"/>
      <c r="P3" s="16"/>
      <c r="Q3" s="16"/>
      <c r="R3" s="16"/>
      <c r="S3" s="16"/>
      <c r="T3" s="16"/>
      <c r="U3" s="16"/>
      <c r="V3" s="16"/>
      <c r="W3" s="16"/>
      <c r="X3" s="16"/>
      <c r="Y3" s="16"/>
      <c r="Z3" s="16"/>
      <c r="AA3" s="16"/>
      <c r="AB3" s="16"/>
      <c r="AC3" s="16"/>
      <c r="AD3" s="16"/>
      <c r="AE3" s="16"/>
    </row>
    <row r="4" ht="13.5" customHeight="1" hidden="1" spans="1:31" x14ac:dyDescent="0.25" outlineLevel="1" collapsed="1">
      <c r="A4" s="16"/>
      <c r="B4" s="16"/>
      <c r="C4" s="43" t="s">
        <v>102</v>
      </c>
      <c r="D4" s="44"/>
      <c r="E4" s="44"/>
      <c r="F4" s="44"/>
      <c r="G4" s="108"/>
      <c r="H4" s="108"/>
      <c r="I4" s="108"/>
      <c r="J4" s="44"/>
      <c r="K4" s="44"/>
      <c r="L4" s="44"/>
      <c r="M4" s="44"/>
      <c r="N4" s="108"/>
      <c r="O4" s="108"/>
      <c r="P4" s="108"/>
      <c r="Q4" s="108"/>
      <c r="R4" s="108"/>
      <c r="S4" s="44"/>
      <c r="T4" s="109">
        <f ca="1">Model!J24</f>
        <v>2023</v>
      </c>
      <c r="U4" s="109">
        <f ca="1">Model!O24</f>
        <v>2024</v>
      </c>
      <c r="V4" s="109">
        <f ca="1">Model!T24</f>
        <v>2025</v>
      </c>
      <c r="W4" s="109">
        <f ca="1">Model!Y24</f>
        <v>2026</v>
      </c>
      <c r="X4" s="109">
        <f ca="1">Model!AD24</f>
        <v>2027</v>
      </c>
      <c r="Y4" s="109">
        <f ca="1">Model!AE24</f>
        <v>2028</v>
      </c>
      <c r="Z4" s="109">
        <f ca="1">Model!AF24</f>
        <v>2029</v>
      </c>
      <c r="AA4" s="45">
        <f ca="1">Model!AG24</f>
        <v>2030</v>
      </c>
      <c r="AB4" s="16"/>
      <c r="AC4" s="16"/>
      <c r="AD4" s="16"/>
      <c r="AE4" s="16"/>
    </row>
    <row r="5" ht="13.5" customHeight="1" spans="1:31" x14ac:dyDescent="0.25">
      <c r="A5" s="16"/>
      <c r="B5" s="16"/>
      <c r="C5" s="110"/>
      <c r="D5" s="110"/>
      <c r="E5" s="110"/>
      <c r="F5" s="110"/>
      <c r="G5" s="111" t="s">
        <v>103</v>
      </c>
      <c r="H5" s="112"/>
      <c r="I5" s="112"/>
      <c r="J5" s="112"/>
      <c r="K5" s="112"/>
      <c r="L5" s="112"/>
      <c r="M5" s="112"/>
      <c r="N5" s="112"/>
      <c r="O5" s="112"/>
      <c r="P5" s="112"/>
      <c r="Q5" s="112"/>
      <c r="R5" s="112"/>
      <c r="S5" s="112"/>
      <c r="T5" s="113" t="s">
        <v>100</v>
      </c>
      <c r="U5" s="114"/>
      <c r="V5" s="114"/>
      <c r="W5" s="114"/>
      <c r="X5" s="114"/>
      <c r="Y5" s="114"/>
      <c r="Z5" s="114"/>
      <c r="AA5" s="114"/>
      <c r="AB5" s="16"/>
      <c r="AC5" s="113" t="s">
        <v>104</v>
      </c>
      <c r="AD5" s="16"/>
      <c r="AE5" s="113" t="s">
        <v>104</v>
      </c>
    </row>
    <row r="6" ht="13.5" customHeight="1" spans="1:31" x14ac:dyDescent="0.25">
      <c r="A6" s="17" t="s">
        <v>1</v>
      </c>
      <c r="B6" s="16"/>
      <c r="C6" s="110" t="str">
        <f ca="1">"Consolidated "&amp;Model!C25</f>
        <v>Consolidated Income Statement</v>
      </c>
      <c r="D6" s="110"/>
      <c r="E6" s="110"/>
      <c r="F6" s="110"/>
      <c r="G6" s="111" t="str">
        <f ca="1">Model!P25</f>
        <v>1Q25</v>
      </c>
      <c r="H6" s="111" t="str">
        <f ca="1">Model!Q25</f>
        <v>2Q25</v>
      </c>
      <c r="I6" s="111" t="str">
        <f ca="1">Model!R25</f>
        <v>3Q25</v>
      </c>
      <c r="J6" s="111" t="str">
        <f ca="1">Model!S25</f>
        <v>4Q25</v>
      </c>
      <c r="K6" s="111" t="str">
        <f ca="1">Model!U25</f>
        <v>1Q26</v>
      </c>
      <c r="L6" s="111" t="str">
        <f ca="1">Model!V25</f>
        <v>2Q26</v>
      </c>
      <c r="M6" s="111" t="str">
        <f ca="1">Model!W25</f>
        <v>3Q26e</v>
      </c>
      <c r="N6" s="111" t="str">
        <f ca="1">Model!X25</f>
        <v>4Q26e</v>
      </c>
      <c r="O6" s="111" t="str">
        <f ca="1">Model!Z25</f>
        <v>1Q27e</v>
      </c>
      <c r="P6" s="111" t="str">
        <f ca="1">Model!AA25</f>
        <v>2Q27e</v>
      </c>
      <c r="Q6" s="111" t="str">
        <f ca="1">Model!AB25</f>
        <v>3Q27e</v>
      </c>
      <c r="R6" s="111" t="str">
        <f ca="1">Model!AC25</f>
        <v>4Q27e</v>
      </c>
      <c r="S6" s="111"/>
      <c r="T6" s="111">
        <f ca="1">Model!J25</f>
        <v>2023</v>
      </c>
      <c r="U6" s="111">
        <f ca="1">Model!O25</f>
        <v>2024</v>
      </c>
      <c r="V6" s="111">
        <f ca="1">Model!T25</f>
        <v>2025</v>
      </c>
      <c r="W6" s="111" t="str">
        <f ca="1">Model!Y25</f>
        <v>2026e</v>
      </c>
      <c r="X6" s="111" t="str">
        <f ca="1">Model!AD25</f>
        <v>2027e</v>
      </c>
      <c r="Y6" s="111" t="str">
        <f ca="1">Model!AE25</f>
        <v>2028e</v>
      </c>
      <c r="Z6" s="111" t="str">
        <f ca="1">Model!AF25</f>
        <v>2029e</v>
      </c>
      <c r="AA6" s="111" t="str">
        <f ca="1">Model!AG25</f>
        <v>2030e</v>
      </c>
      <c r="AB6" s="16"/>
      <c r="AC6" s="111" t="s">
        <v>105</v>
      </c>
      <c r="AD6" s="16"/>
      <c r="AE6" s="111" t="s">
        <v>106</v>
      </c>
    </row>
    <row r="7" ht="4.5" customHeight="1" spans="1:31" x14ac:dyDescent="0.25">
      <c r="A7" s="17"/>
      <c r="B7" s="16"/>
      <c r="C7" s="16"/>
      <c r="D7" s="16"/>
      <c r="E7" s="16"/>
      <c r="F7" s="16"/>
      <c r="G7" s="16"/>
      <c r="H7" s="16"/>
      <c r="I7" s="16"/>
      <c r="J7" s="16"/>
      <c r="K7" s="16"/>
      <c r="L7" s="16"/>
      <c r="M7" s="16"/>
      <c r="N7" s="16"/>
      <c r="O7" s="16"/>
      <c r="P7" s="16"/>
      <c r="Q7" s="16"/>
      <c r="R7" s="16"/>
      <c r="S7" s="16"/>
      <c r="T7" s="16"/>
      <c r="U7" s="16"/>
      <c r="V7" s="16"/>
      <c r="W7" s="16"/>
      <c r="X7" s="16"/>
      <c r="Y7" s="16"/>
      <c r="Z7" s="16"/>
      <c r="AA7" s="16"/>
      <c r="AB7" s="16"/>
      <c r="AC7" s="115"/>
      <c r="AD7" s="16"/>
      <c r="AE7" s="115"/>
    </row>
    <row r="8" ht="13.5" customHeight="1" spans="1:31" x14ac:dyDescent="0.25">
      <c r="A8" s="17"/>
      <c r="B8" s="16"/>
      <c r="C8" s="16" t="str">
        <f ca="1">Model!C28</f>
        <v>Revenue</v>
      </c>
      <c r="D8" s="16"/>
      <c r="E8" s="16"/>
      <c r="F8" s="16"/>
      <c r="G8" s="116">
        <f ca="1">Model!P28</f>
        <v>19675</v>
      </c>
      <c r="H8" s="116">
        <f ca="1">Model!Q28</f>
        <v>27302</v>
      </c>
      <c r="I8" s="116">
        <f ca="1">Model!R28</f>
        <v>22309</v>
      </c>
      <c r="J8" s="117">
        <f ca="1">Model!S28</f>
        <v>20311</v>
      </c>
      <c r="K8" s="116">
        <f ca="1">Model!U28</f>
        <v>24422</v>
      </c>
      <c r="L8" s="116">
        <f ca="1">Model!V28</f>
        <v>27570</v>
      </c>
      <c r="M8" s="116">
        <f ca="1">Model!W28</f>
        <v>22918</v>
      </c>
      <c r="N8" s="118">
        <f ca="1">Model!X28</f>
        <v>21772.1</v>
      </c>
      <c r="O8" s="116">
        <f ca="1">Model!Z28</f>
        <v>25691.077999999998</v>
      </c>
      <c r="P8" s="116">
        <f ca="1">Model!AA28</f>
        <v>29287.82892</v>
      </c>
      <c r="Q8" s="116">
        <f ca="1">Model!AB28</f>
        <v>25773.2894496</v>
      </c>
      <c r="R8" s="116">
        <f ca="1">Model!AC28</f>
        <v>24484.62497712</v>
      </c>
      <c r="S8" s="16"/>
      <c r="T8" s="116">
        <f ca="1">Model!J28</f>
        <v>71309</v>
      </c>
      <c r="U8" s="116">
        <f ca="1">Model!O28</f>
        <v>72148</v>
      </c>
      <c r="V8" s="117">
        <f ca="1">Model!T28</f>
        <v>89597</v>
      </c>
      <c r="W8" s="116">
        <f ca="1">Model!Y28</f>
        <v>96682.1</v>
      </c>
      <c r="X8" s="116">
        <f ca="1">Model!AD28</f>
        <v>105236.82134671998</v>
      </c>
      <c r="Y8" s="116">
        <f ca="1">Model!AE28</f>
        <v>107341.55777365438</v>
      </c>
      <c r="Z8" s="116">
        <f ca="1">Model!AF28</f>
        <v>109488.38892912747</v>
      </c>
      <c r="AA8" s="116">
        <f ca="1">Model!AG28</f>
        <v>111678.15670771002</v>
      </c>
      <c r="AB8" s="16"/>
      <c r="AC8" s="119">
        <f ca="1">IFERROR((V8/T8)^(1/(V$4-T$4))-1,"N/A")</f>
        <v>0.12091985272961936</v>
      </c>
      <c r="AD8" s="84"/>
      <c r="AE8" s="119">
        <f ca="1">IFERROR((AA8/V8)^(1/(AA$4-V$4))-1,"N/A")</f>
        <v>0.04504490866789568</v>
      </c>
    </row>
    <row r="9" ht="13.5" customHeight="1" spans="1:31" x14ac:dyDescent="0.25">
      <c r="A9" s="17"/>
      <c r="B9" s="16"/>
      <c r="C9" s="120" t="s">
        <v>107</v>
      </c>
      <c r="D9" s="16"/>
      <c r="E9" s="16"/>
      <c r="F9" s="16"/>
      <c r="G9" s="16"/>
      <c r="H9" s="121"/>
      <c r="I9" s="121"/>
      <c r="J9" s="122"/>
      <c r="K9" s="121">
        <f t="shared" ref="K9:R9" si="0" ca="1">K8/G8-1</f>
        <v>0.24127064803049558</v>
      </c>
      <c r="L9" s="121">
        <f ca="1">L8/H8-1</f>
        <v>0.00981613068639664</v>
      </c>
      <c r="M9" s="121">
        <f ca="1">M8/I8-1</f>
        <v>0.027298399748980184</v>
      </c>
      <c r="N9" s="123">
        <f ca="1">N8/J8-1</f>
        <v>0.07193638914873701</v>
      </c>
      <c r="O9" s="121">
        <f ca="1">O8/K8-1</f>
        <v>0.051964540168700335</v>
      </c>
      <c r="P9" s="121">
        <f ca="1">P8/L8-1</f>
        <v>0.062307904243743106</v>
      </c>
      <c r="Q9" s="121">
        <f ca="1">Q8/M8-1</f>
        <v>0.12458720000000012</v>
      </c>
      <c r="R9" s="121">
        <f ca="1">R8/N8-1</f>
        <v>0.1245871999999999</v>
      </c>
      <c r="S9" s="16"/>
      <c r="T9" s="121"/>
      <c r="U9" s="121">
        <f t="shared" ref="U9:AA9" si="1" ca="1">IF(ISERROR(U8/T8-1),"NA",(U8/T8-1))</f>
        <v>0.01176569577472697</v>
      </c>
      <c r="V9" s="122">
        <f ca="1">IF(ISERROR(V8/U8-1),"NA",(V8/U8-1))</f>
        <v>0.2418500859344681</v>
      </c>
      <c r="W9" s="121">
        <f ca="1">IF(ISERROR(W8/V8-1),"NA",(W8/V8-1))</f>
        <v>0.07907742446733712</v>
      </c>
      <c r="X9" s="121">
        <f ca="1">IF(ISERROR(X8/W8-1),"NA",(X8/W8-1))</f>
        <v>0.08848299061273979</v>
      </c>
      <c r="Y9" s="121">
        <f ca="1">IF(ISERROR(Y8/X8-1),"NA",(Y8/X8-1))</f>
        <v>0.020000000000000018</v>
      </c>
      <c r="Z9" s="121">
        <f ca="1">IF(ISERROR(Z8/Y8-1),"NA",(Z8/Y8-1))</f>
        <v>0.020000000000000018</v>
      </c>
      <c r="AA9" s="121">
        <f ca="1">IF(ISERROR(AA8/Z8-1),"NA",(AA8/Z8-1))</f>
        <v>0.020000000000000018</v>
      </c>
      <c r="AB9" s="16"/>
      <c r="AC9" s="119"/>
      <c r="AD9" s="84"/>
      <c r="AE9" s="119"/>
    </row>
    <row r="10" ht="13.5" customHeight="1" spans="1:31" x14ac:dyDescent="0.25">
      <c r="A10" s="17"/>
      <c r="B10" s="16"/>
      <c r="C10" s="16"/>
      <c r="D10" s="16"/>
      <c r="E10" s="16"/>
      <c r="F10" s="16"/>
      <c r="G10" s="16"/>
      <c r="H10" s="16"/>
      <c r="I10" s="16"/>
      <c r="J10" s="124"/>
      <c r="K10" s="16"/>
      <c r="L10" s="16"/>
      <c r="M10" s="16"/>
      <c r="N10" s="125"/>
      <c r="O10" s="16"/>
      <c r="P10" s="16"/>
      <c r="Q10" s="16"/>
      <c r="R10" s="16"/>
      <c r="S10" s="16"/>
      <c r="T10" s="16"/>
      <c r="U10" s="16"/>
      <c r="V10" s="124"/>
      <c r="W10" s="16"/>
      <c r="X10" s="16"/>
      <c r="Y10" s="16"/>
      <c r="Z10" s="16"/>
      <c r="AA10" s="16"/>
      <c r="AB10" s="16"/>
      <c r="AC10" s="126"/>
      <c r="AD10" s="84"/>
      <c r="AE10" s="126"/>
    </row>
    <row r="11" ht="13.5" customHeight="1" spans="1:31" x14ac:dyDescent="0.25">
      <c r="A11" s="17"/>
      <c r="B11" s="16"/>
      <c r="C11" s="16" t="str">
        <f ca="1">Model!C30</f>
        <v>Gross Profit</v>
      </c>
      <c r="D11" s="16"/>
      <c r="E11" s="16"/>
      <c r="F11" s="16"/>
      <c r="G11" s="116">
        <f ca="1">Model!P30</f>
        <v>6513</v>
      </c>
      <c r="H11" s="116">
        <f ca="1">Model!Q30</f>
        <v>9304</v>
      </c>
      <c r="I11" s="116">
        <f ca="1">Model!R30</f>
        <v>7300</v>
      </c>
      <c r="J11" s="117">
        <f ca="1">Model!S30</f>
        <v>6466</v>
      </c>
      <c r="K11" s="116">
        <f ca="1">Model!U30</f>
        <v>8130</v>
      </c>
      <c r="L11" s="116">
        <f ca="1">Model!V30</f>
        <v>9312</v>
      </c>
      <c r="M11" s="116">
        <f ca="1">Model!W30</f>
        <v>7587</v>
      </c>
      <c r="N11" s="118">
        <f ca="1">Model!X30</f>
        <v>2830.3729999999996</v>
      </c>
      <c r="O11" s="116">
        <f ca="1">Model!Z30</f>
        <v>3596.7509199999986</v>
      </c>
      <c r="P11" s="116">
        <f ca="1">Model!AA30</f>
        <v>4246.7351934</v>
      </c>
      <c r="Q11" s="116">
        <f ca="1">Model!AB30</f>
        <v>3092.7947339519997</v>
      </c>
      <c r="R11" s="116">
        <f ca="1">Model!AC30</f>
        <v>3305.4243719111983</v>
      </c>
      <c r="S11" s="16"/>
      <c r="T11" s="116">
        <f ca="1">Model!J30</f>
        <v>22908</v>
      </c>
      <c r="U11" s="116">
        <f ca="1">Model!O30</f>
        <v>22943</v>
      </c>
      <c r="V11" s="117">
        <f ca="1">Model!T30</f>
        <v>29583</v>
      </c>
      <c r="W11" s="116">
        <f ca="1">Model!Y30</f>
        <v>27859.373</v>
      </c>
      <c r="X11" s="116">
        <f ca="1">Model!AD30</f>
        <v>14241.705219263196</v>
      </c>
      <c r="Y11" s="116">
        <f ca="1">Model!AE30</f>
        <v>14920.476530537955</v>
      </c>
      <c r="Z11" s="116">
        <f ca="1">Model!AF30</f>
        <v>15328.374450077841</v>
      </c>
      <c r="AA11" s="116">
        <f ca="1">Model!AG30</f>
        <v>15858.298252494831</v>
      </c>
      <c r="AB11" s="16"/>
      <c r="AC11" s="119">
        <f ca="1">IFERROR((V11/T11)^(1/(V$4-T$4))-1,"N/A")</f>
        <v>0.13639030398729335</v>
      </c>
      <c r="AD11" s="84"/>
      <c r="AE11" s="119">
        <f ca="1">IFERROR((AA11/V11)^(1/(AA$4-V$4))-1,"N/A")</f>
        <v>-0.1172395373691637</v>
      </c>
    </row>
    <row r="12" ht="13.5" customHeight="1" spans="1:31" x14ac:dyDescent="0.25">
      <c r="A12" s="17"/>
      <c r="B12" s="16"/>
      <c r="C12" s="120" t="s">
        <v>108</v>
      </c>
      <c r="D12" s="16"/>
      <c r="E12" s="16"/>
      <c r="F12" s="16"/>
      <c r="G12" s="121">
        <f t="shared" ref="G12:R12" si="2" ca="1">G11/G$8</f>
        <v>0.3310292249047014</v>
      </c>
      <c r="H12" s="121">
        <f ca="1">H11/H$8</f>
        <v>0.3407808951725148</v>
      </c>
      <c r="I12" s="121">
        <f ca="1">I11/I$8</f>
        <v>0.3272221973194675</v>
      </c>
      <c r="J12" s="122">
        <f ca="1">J11/J$8</f>
        <v>0.31834966274432575</v>
      </c>
      <c r="K12" s="121">
        <f ca="1">K11/K$8</f>
        <v>0.3328965686675948</v>
      </c>
      <c r="L12" s="121">
        <f ca="1">L11/L$8</f>
        <v>0.33775843307943415</v>
      </c>
      <c r="M12" s="121">
        <f ca="1">M11/M$8</f>
        <v>0.33104982982808273</v>
      </c>
      <c r="N12" s="123">
        <f ca="1">N11/N$8</f>
        <v>0.12999999999999998</v>
      </c>
      <c r="O12" s="121">
        <f ca="1">O11/O$8</f>
        <v>0.13999999999999996</v>
      </c>
      <c r="P12" s="121">
        <f ca="1">P11/P$8</f>
        <v>0.145</v>
      </c>
      <c r="Q12" s="121">
        <f ca="1">Q11/Q$8</f>
        <v>0.11999999999999998</v>
      </c>
      <c r="R12" s="121">
        <f ca="1">R11/R$8</f>
        <v>0.13499999999999993</v>
      </c>
      <c r="S12" s="16"/>
      <c r="T12" s="121">
        <f t="shared" ref="T12:AA12" si="3" ca="1">T11/T$8</f>
        <v>0.3212497721185264</v>
      </c>
      <c r="U12" s="121">
        <f ca="1">U11/U$8</f>
        <v>0.3179991129345235</v>
      </c>
      <c r="V12" s="122">
        <f ca="1">V11/V$8</f>
        <v>0.3301784657968459</v>
      </c>
      <c r="W12" s="121">
        <f ca="1">W11/W$8</f>
        <v>0.28815440500361494</v>
      </c>
      <c r="X12" s="121">
        <f ca="1">X11/X$8</f>
        <v>0.13533005878561802</v>
      </c>
      <c r="Y12" s="121">
        <f ca="1">Y11/Y$8</f>
        <v>0.13899999999999996</v>
      </c>
      <c r="Z12" s="121">
        <f ca="1">Z11/Z$8</f>
        <v>0.13999999999999996</v>
      </c>
      <c r="AA12" s="121">
        <f ca="1">AA11/AA$8</f>
        <v>0.14200000000000007</v>
      </c>
      <c r="AB12" s="16"/>
      <c r="AC12" s="126"/>
      <c r="AD12" s="84"/>
      <c r="AE12" s="126"/>
    </row>
    <row r="13" ht="13.5" customHeight="1" spans="1:31" x14ac:dyDescent="0.25">
      <c r="A13" s="17"/>
      <c r="B13" s="16"/>
      <c r="C13" s="120" t="s">
        <v>107</v>
      </c>
      <c r="D13" s="16"/>
      <c r="E13" s="16"/>
      <c r="F13" s="16"/>
      <c r="G13" s="121"/>
      <c r="H13" s="121"/>
      <c r="I13" s="121"/>
      <c r="J13" s="122"/>
      <c r="K13" s="121">
        <f t="shared" ref="K13:R13" si="4" ca="1">K11/G11-1</f>
        <v>0.24827268539843383</v>
      </c>
      <c r="L13" s="121">
        <f ca="1">L11/H11-1</f>
        <v>0.0008598452278589797</v>
      </c>
      <c r="M13" s="121">
        <f ca="1">M11/I11-1</f>
        <v>0.039315068493150696</v>
      </c>
      <c r="N13" s="123">
        <f ca="1">N11/J11-1</f>
        <v>-0.5622683266316115</v>
      </c>
      <c r="O13" s="121">
        <f ca="1">O11/K11-1</f>
        <v>-0.5575952127921281</v>
      </c>
      <c r="P13" s="121">
        <f ca="1">P11/L11-1</f>
        <v>-0.5439502584407216</v>
      </c>
      <c r="Q13" s="121">
        <f ca="1">Q11/M11-1</f>
        <v>-0.592356038756821</v>
      </c>
      <c r="R13" s="121">
        <f ca="1">R11/N11-1</f>
        <v>0.16784055384615337</v>
      </c>
      <c r="S13" s="16"/>
      <c r="T13" s="121"/>
      <c r="U13" s="121">
        <f t="shared" ref="U13:AA13" si="5" ca="1">U11/T11-1</f>
        <v>0.0015278505325651004</v>
      </c>
      <c r="V13" s="122">
        <f ca="1">V11/U11-1</f>
        <v>0.28941289282133975</v>
      </c>
      <c r="W13" s="121">
        <f ca="1">W11/V11-1</f>
        <v>-0.05826410438427476</v>
      </c>
      <c r="X13" s="121">
        <f ca="1">X11/W11-1</f>
        <v>-0.4888002246402603</v>
      </c>
      <c r="Y13" s="121">
        <f ca="1">Y11/X11-1</f>
        <v>0.047660817354698404</v>
      </c>
      <c r="Z13" s="121">
        <f ca="1">Z11/Y11-1</f>
        <v>0.027338129496402797</v>
      </c>
      <c r="AA13" s="121">
        <f ca="1">AA11/Z11-1</f>
        <v>0.03457142857142936</v>
      </c>
      <c r="AB13" s="16"/>
      <c r="AC13" s="126"/>
      <c r="AD13" s="84"/>
      <c r="AE13" s="126"/>
    </row>
    <row r="14" ht="13.5" customHeight="1" spans="1:31" x14ac:dyDescent="0.25">
      <c r="A14" s="17"/>
      <c r="B14" s="16"/>
      <c r="C14" s="16"/>
      <c r="D14" s="16"/>
      <c r="E14" s="16"/>
      <c r="F14" s="16"/>
      <c r="G14" s="16"/>
      <c r="H14" s="16"/>
      <c r="I14" s="16"/>
      <c r="J14" s="124"/>
      <c r="K14" s="16"/>
      <c r="L14" s="16"/>
      <c r="M14" s="16"/>
      <c r="N14" s="125"/>
      <c r="O14" s="16"/>
      <c r="P14" s="16"/>
      <c r="Q14" s="16"/>
      <c r="R14" s="16"/>
      <c r="S14" s="16"/>
      <c r="T14" s="16"/>
      <c r="U14" s="16"/>
      <c r="V14" s="124"/>
      <c r="W14" s="16"/>
      <c r="X14" s="16"/>
      <c r="Y14" s="16"/>
      <c r="Z14" s="16"/>
      <c r="AA14" s="16"/>
      <c r="AB14" s="16"/>
      <c r="AC14" s="126"/>
      <c r="AD14" s="84"/>
      <c r="AE14" s="126"/>
    </row>
    <row r="15" ht="13.5" customHeight="1" spans="1:31" x14ac:dyDescent="0.25">
      <c r="A15" s="17"/>
      <c r="B15" s="16"/>
      <c r="C15" s="16" t="str">
        <f ca="1">Model!C36</f>
        <v>EBIT</v>
      </c>
      <c r="D15" s="16"/>
      <c r="E15" s="16"/>
      <c r="F15" s="16"/>
      <c r="G15" s="116">
        <f ca="1">Model!P36</f>
        <v>1991</v>
      </c>
      <c r="H15" s="116">
        <f ca="1">Model!Q36</f>
        <v>3957</v>
      </c>
      <c r="I15" s="116">
        <f ca="1">Model!R36</f>
        <v>2175</v>
      </c>
      <c r="J15" s="117">
        <f ca="1">Model!S36</f>
        <v>2769</v>
      </c>
      <c r="K15" s="116">
        <f ca="1">Model!U36</f>
        <v>3245</v>
      </c>
      <c r="L15" s="116">
        <f ca="1">Model!V36</f>
        <v>4210</v>
      </c>
      <c r="M15" s="116">
        <f ca="1">Model!W36</f>
        <v>2789</v>
      </c>
      <c r="N15" s="118">
        <f ca="1">Model!X36</f>
        <v>-2290.6765000000005</v>
      </c>
      <c r="O15" s="116">
        <f ca="1">Model!Z36</f>
        <v>-2515.6105485000016</v>
      </c>
      <c r="P15" s="116">
        <f ca="1">Model!AA36</f>
        <v>-2679.87777878625</v>
      </c>
      <c r="Q15" s="116">
        <f ca="1">Model!AB36</f>
        <v>-2919.561323639691</v>
      </c>
      <c r="R15" s="116">
        <f ca="1">Model!AC36</f>
        <v>-2425.1039887192537</v>
      </c>
      <c r="S15" s="16"/>
      <c r="T15" s="116">
        <f ca="1">Model!J36</f>
        <v>4018</v>
      </c>
      <c r="U15" s="116">
        <f ca="1">Model!O36</f>
        <v>6314</v>
      </c>
      <c r="V15" s="117">
        <f ca="1">Model!T36</f>
        <v>10892</v>
      </c>
      <c r="W15" s="116">
        <f ca="1">Model!Y36</f>
        <v>7953.3234999999995</v>
      </c>
      <c r="X15" s="116">
        <f ca="1">Model!AD36</f>
        <v>-10540.153639645196</v>
      </c>
      <c r="Y15" s="116">
        <f ca="1">Model!AE36</f>
        <v>-9578.113551031161</v>
      </c>
      <c r="Z15" s="116">
        <f ca="1">Model!AF36</f>
        <v>-9246.151445858737</v>
      </c>
      <c r="AA15" s="116">
        <f ca="1">Model!AG36</f>
        <v>-8671.522881345929</v>
      </c>
      <c r="AB15" s="16"/>
      <c r="AC15" s="119">
        <f ca="1">IFERROR((V15/T15)^(1/(V$4-T$4))-1,"N/A")</f>
        <v>0.6464511513337476</v>
      </c>
      <c r="AD15" s="84"/>
      <c r="AE15" s="119">
        <f ca="1">IFERROR((AA15/V15)^(1/(AA$4-V$4))-1,"N/A")</f>
        <v>-1.9554270841029506</v>
      </c>
    </row>
    <row r="16" ht="13.5" customHeight="1" spans="1:31" x14ac:dyDescent="0.25">
      <c r="A16" s="17"/>
      <c r="B16" s="16"/>
      <c r="C16" s="120" t="s">
        <v>109</v>
      </c>
      <c r="D16" s="16"/>
      <c r="E16" s="16"/>
      <c r="F16" s="16"/>
      <c r="G16" s="121">
        <f t="shared" ref="G16:R16" si="6" ca="1">G15/G$8</f>
        <v>0.10119440914866581</v>
      </c>
      <c r="H16" s="121">
        <f ca="1">H15/H$8</f>
        <v>0.14493443703757966</v>
      </c>
      <c r="I16" s="121">
        <f ca="1">I15/I$8</f>
        <v>0.09749428481778655</v>
      </c>
      <c r="J16" s="122">
        <f ca="1">J15/J$8</f>
        <v>0.13633006745113485</v>
      </c>
      <c r="K16" s="121">
        <f ca="1">K15/K$8</f>
        <v>0.132872000655147</v>
      </c>
      <c r="L16" s="121">
        <f ca="1">L15/L$8</f>
        <v>0.15270221254987304</v>
      </c>
      <c r="M16" s="121">
        <f ca="1">M15/M$8</f>
        <v>0.1216947377607121</v>
      </c>
      <c r="N16" s="123">
        <f ca="1">N15/N$8</f>
        <v>-0.10521155515545128</v>
      </c>
      <c r="O16" s="121">
        <f ca="1">O15/O$8</f>
        <v>-0.09791767198324655</v>
      </c>
      <c r="P16" s="121">
        <f ca="1">P15/P$8</f>
        <v>-0.09150141466977164</v>
      </c>
      <c r="Q16" s="121">
        <f ca="1">Q15/Q$8</f>
        <v>-0.11327856808301211</v>
      </c>
      <c r="R16" s="121">
        <f ca="1">R15/R$8</f>
        <v>-0.09904599278058888</v>
      </c>
      <c r="S16" s="16"/>
      <c r="T16" s="121">
        <f t="shared" ref="T16:AA16" si="7" ca="1">T15/T$8</f>
        <v>0.05634632374595072</v>
      </c>
      <c r="U16" s="121">
        <f ca="1">U15/U$8</f>
        <v>0.08751455341797416</v>
      </c>
      <c r="V16" s="122">
        <f ca="1">V15/V$8</f>
        <v>0.12156657030927374</v>
      </c>
      <c r="W16" s="121">
        <f ca="1">W15/W$8</f>
        <v>0.08226262669098001</v>
      </c>
      <c r="X16" s="121">
        <f ca="1">X15/X$8</f>
        <v>-0.10015651845772622</v>
      </c>
      <c r="Y16" s="121">
        <f ca="1">Y15/Y$8</f>
        <v>-0.08923024548635708</v>
      </c>
      <c r="Z16" s="121">
        <f ca="1">Z15/Z$8</f>
        <v>-0.08444869393268568</v>
      </c>
      <c r="AA16" s="121">
        <f ca="1">AA15/AA$8</f>
        <v>-0.07764743918581588</v>
      </c>
      <c r="AB16" s="16"/>
      <c r="AC16" s="126"/>
      <c r="AD16" s="84"/>
      <c r="AE16" s="126"/>
    </row>
    <row r="17" ht="13.5" customHeight="1" spans="1:31" x14ac:dyDescent="0.25">
      <c r="A17" s="17"/>
      <c r="B17" s="16"/>
      <c r="C17" s="120" t="s">
        <v>107</v>
      </c>
      <c r="D17" s="16"/>
      <c r="E17" s="16"/>
      <c r="F17" s="16"/>
      <c r="G17" s="16"/>
      <c r="H17" s="121"/>
      <c r="I17" s="121"/>
      <c r="J17" s="122"/>
      <c r="K17" s="121">
        <f t="shared" ref="K17:R17" si="8" ca="1">K15/G15-1</f>
        <v>0.6298342541436464</v>
      </c>
      <c r="L17" s="121">
        <f ca="1">L15/H15-1</f>
        <v>0.06393732625726556</v>
      </c>
      <c r="M17" s="121">
        <f ca="1">M15/I15-1</f>
        <v>0.2822988505747126</v>
      </c>
      <c r="N17" s="123">
        <f ca="1">N15/J15-1</f>
        <v>-1.8272576742506321</v>
      </c>
      <c r="O17" s="121">
        <f ca="1">O15/K15-1</f>
        <v>-1.7752266713405245</v>
      </c>
      <c r="P17" s="121">
        <f ca="1">P15/L15-1</f>
        <v>-1.6365505412793944</v>
      </c>
      <c r="Q17" s="121">
        <f ca="1">Q15/M15-1</f>
        <v>-2.0468129521834677</v>
      </c>
      <c r="R17" s="121">
        <f ca="1">R15/N15-1</f>
        <v>0.05868462383023232</v>
      </c>
      <c r="S17" s="16"/>
      <c r="T17" s="121"/>
      <c r="U17" s="121">
        <f t="shared" ref="U17:AA17" si="9" ca="1">U15/T15-1</f>
        <v>0.5714285714285714</v>
      </c>
      <c r="V17" s="122">
        <f ca="1">V15/U15-1</f>
        <v>0.7250554323725056</v>
      </c>
      <c r="W17" s="121">
        <f ca="1">W15/V15-1</f>
        <v>-0.26980136797649656</v>
      </c>
      <c r="X17" s="121">
        <f ca="1">X15/W15-1</f>
        <v>-2.3252514674708245</v>
      </c>
      <c r="Y17" s="121">
        <f ca="1">Y15/X15-1</f>
        <v>-0.09127382024067143</v>
      </c>
      <c r="Z17" s="121">
        <f ca="1">Z15/Y15-1</f>
        <v>-0.03465840151129618</v>
      </c>
      <c r="AA17" s="121">
        <f ca="1">AA15/Z15-1</f>
        <v>-0.06214786420897089</v>
      </c>
      <c r="AB17" s="16"/>
      <c r="AC17" s="126"/>
      <c r="AD17" s="84"/>
      <c r="AE17" s="126"/>
    </row>
    <row r="18" ht="13.5" customHeight="1" spans="1:31" x14ac:dyDescent="0.25">
      <c r="A18" s="17"/>
      <c r="B18" s="16"/>
      <c r="C18" s="16"/>
      <c r="D18" s="16"/>
      <c r="E18" s="16"/>
      <c r="F18" s="16"/>
      <c r="G18" s="16"/>
      <c r="H18" s="16"/>
      <c r="I18" s="16"/>
      <c r="J18" s="124"/>
      <c r="K18" s="16"/>
      <c r="L18" s="16"/>
      <c r="M18" s="16"/>
      <c r="N18" s="125"/>
      <c r="O18" s="16"/>
      <c r="P18" s="16"/>
      <c r="Q18" s="16"/>
      <c r="R18" s="16"/>
      <c r="S18" s="16"/>
      <c r="T18" s="16"/>
      <c r="U18" s="16"/>
      <c r="V18" s="124"/>
      <c r="W18" s="16"/>
      <c r="X18" s="16"/>
      <c r="Y18" s="16"/>
      <c r="Z18" s="16"/>
      <c r="AA18" s="16"/>
      <c r="AB18" s="16"/>
      <c r="AC18" s="126"/>
      <c r="AD18" s="84"/>
      <c r="AE18" s="126"/>
    </row>
    <row r="19" ht="13.5" customHeight="1" spans="1:31" x14ac:dyDescent="0.25">
      <c r="A19" s="17"/>
      <c r="B19" s="16"/>
      <c r="C19" s="16" t="str">
        <f ca="1">Model!C45</f>
        <v>Net Income (Loss)</v>
      </c>
      <c r="D19" s="16"/>
      <c r="E19" s="16"/>
      <c r="F19" s="16"/>
      <c r="G19" s="116">
        <f ca="1">Model!P45</f>
        <v>1337</v>
      </c>
      <c r="H19" s="116">
        <f ca="1">Model!Q45</f>
        <v>2828</v>
      </c>
      <c r="I19" s="116">
        <f ca="1">Model!R45</f>
        <v>692</v>
      </c>
      <c r="J19" s="117">
        <f ca="1">Model!S45</f>
        <v>978</v>
      </c>
      <c r="K19" s="116">
        <f ca="1">Model!U45</f>
        <v>2321</v>
      </c>
      <c r="L19" s="116">
        <f ca="1">Model!V45</f>
        <v>3018</v>
      </c>
      <c r="M19" s="116">
        <f ca="1">Model!W45</f>
        <v>1896</v>
      </c>
      <c r="N19" s="118">
        <f ca="1">Model!X45</f>
        <v>-1906.5764130000002</v>
      </c>
      <c r="O19" s="116">
        <f ca="1">Model!Z45</f>
        <v>-2074.2107898600016</v>
      </c>
      <c r="P19" s="116">
        <f ca="1">Model!AA45</f>
        <v>-2195.73838487755</v>
      </c>
      <c r="Q19" s="116">
        <f ca="1">Model!AB45</f>
        <v>-2374.5823789661654</v>
      </c>
      <c r="R19" s="116">
        <f ca="1">Model!AC45</f>
        <v>-2000.9860341525114</v>
      </c>
      <c r="S19" s="16"/>
      <c r="T19" s="116">
        <f ca="1">Model!J45</f>
        <v>2314</v>
      </c>
      <c r="U19" s="116">
        <f ca="1">Model!O45</f>
        <v>4281</v>
      </c>
      <c r="V19" s="117">
        <f ca="1">Model!T45</f>
        <v>5835</v>
      </c>
      <c r="W19" s="116">
        <f ca="1">Model!Y45</f>
        <v>45186.423587</v>
      </c>
      <c r="X19" s="116">
        <f ca="1">Model!AD45</f>
        <v>-8645.517587856228</v>
      </c>
      <c r="Y19" s="116">
        <f ca="1">Model!AE45</f>
        <v>-8027.212578420085</v>
      </c>
      <c r="Z19" s="116">
        <f ca="1">Model!AF45</f>
        <v>-7995.754078496498</v>
      </c>
      <c r="AA19" s="116">
        <f ca="1">Model!AG45</f>
        <v>-7805.031215769798</v>
      </c>
      <c r="AB19" s="16"/>
      <c r="AC19" s="119">
        <f ca="1">IFERROR((V19/T19)^(1/(V$4-T$4))-1,"N/A")</f>
        <v>0.5879570541665378</v>
      </c>
      <c r="AD19" s="84"/>
      <c r="AE19" s="119" t="str">
        <f ca="1">IFERROR((AA19/V19)^(1/(AA$4-V$4))-1,"N/A")</f>
        <v>N/A</v>
      </c>
    </row>
    <row r="20" ht="13.5" customHeight="1" spans="1:31" x14ac:dyDescent="0.25">
      <c r="A20" s="17"/>
      <c r="B20" s="16"/>
      <c r="C20" s="120" t="s">
        <v>109</v>
      </c>
      <c r="D20" s="16"/>
      <c r="E20" s="16"/>
      <c r="F20" s="16"/>
      <c r="G20" s="121">
        <f t="shared" ref="G20:R20" si="10" ca="1">G19/G$8</f>
        <v>0.06795425667090216</v>
      </c>
      <c r="H20" s="121">
        <f ca="1">H19/H$8</f>
        <v>0.10358215515346861</v>
      </c>
      <c r="I20" s="121">
        <f ca="1">I19/I$8</f>
        <v>0.03101887130754404</v>
      </c>
      <c r="J20" s="122">
        <f ca="1">J19/J$8</f>
        <v>0.04815124809216681</v>
      </c>
      <c r="K20" s="121">
        <f ca="1">K19/K$8</f>
        <v>0.09503726148554582</v>
      </c>
      <c r="L20" s="121">
        <f ca="1">L19/L$8</f>
        <v>0.10946681175190424</v>
      </c>
      <c r="M20" s="121">
        <f ca="1">M19/M$8</f>
        <v>0.08272973208831486</v>
      </c>
      <c r="N20" s="123">
        <f ca="1">N19/N$8</f>
        <v>-0.08756970678069641</v>
      </c>
      <c r="O20" s="121">
        <f ca="1">O19/O$8</f>
        <v>-0.08073661953227505</v>
      </c>
      <c r="P20" s="121">
        <f ca="1">P19/P$8</f>
        <v>-0.07497101922014197</v>
      </c>
      <c r="Q20" s="121">
        <f ca="1">Q19/Q$8</f>
        <v>-0.09213346180004271</v>
      </c>
      <c r="R20" s="121">
        <f ca="1">R19/R$8</f>
        <v>-0.08172418552550267</v>
      </c>
      <c r="S20" s="16"/>
      <c r="T20" s="121">
        <f t="shared" ref="T20:AA20" si="11" ca="1">T19/T$8</f>
        <v>0.03245032183875808</v>
      </c>
      <c r="U20" s="121">
        <f ca="1">U19/U$8</f>
        <v>0.059336364140378114</v>
      </c>
      <c r="V20" s="122">
        <f ca="1">V19/V$8</f>
        <v>0.06512494837996807</v>
      </c>
      <c r="W20" s="121">
        <f ca="1">W19/W$8</f>
        <v>0.33349120069286636</v>
      </c>
      <c r="X20" s="121">
        <f ca="1">X19/X$8</f>
        <v>-0.08215297152858837</v>
      </c>
      <c r="Y20" s="121">
        <f ca="1">Y19/Y$8</f>
        <v>-0.0747819646454792</v>
      </c>
      <c r="Z20" s="121">
        <f ca="1">Z19/Z$8</f>
        <v>-0.07302832890958146</v>
      </c>
      <c r="AA20" s="121">
        <f ca="1">AA19/AA$8</f>
        <v>-0.06988861068147408</v>
      </c>
      <c r="AB20" s="16"/>
      <c r="AC20" s="126"/>
      <c r="AD20" s="84"/>
      <c r="AE20" s="126"/>
    </row>
    <row r="21" ht="13.5" customHeight="1" spans="1:31" x14ac:dyDescent="0.25">
      <c r="A21" s="17"/>
      <c r="B21" s="16"/>
      <c r="C21" s="120" t="s">
        <v>107</v>
      </c>
      <c r="D21" s="16"/>
      <c r="E21" s="16"/>
      <c r="F21" s="16"/>
      <c r="G21" s="16"/>
      <c r="H21" s="121"/>
      <c r="I21" s="121"/>
      <c r="J21" s="122"/>
      <c r="K21" s="121">
        <f t="shared" ref="K21:R21" si="12" ca="1">K19/G19-1</f>
        <v>0.7359760658189978</v>
      </c>
      <c r="L21" s="121">
        <f ca="1">L19/H19-1</f>
        <v>0.06718528995756712</v>
      </c>
      <c r="M21" s="121">
        <f ca="1">M19/I19-1</f>
        <v>1.739884393063584</v>
      </c>
      <c r="N21" s="123">
        <f ca="1">N19/J19-1</f>
        <v>-1.0863055729935267</v>
      </c>
      <c r="O21" s="121">
        <f ca="1">O19/K19-1</f>
        <v>-1.1104772724292944</v>
      </c>
      <c r="P21" s="121">
        <f ca="1">P19/L19-1</f>
        <v>-1.0831026563045019</v>
      </c>
      <c r="Q21" s="121">
        <f ca="1">Q19/M19-1</f>
        <v>-2.252416866543336</v>
      </c>
      <c r="R21" s="121">
        <f ca="1">R19/N19-1</f>
        <v>0.049517879539880294</v>
      </c>
      <c r="S21" s="16"/>
      <c r="T21" s="121"/>
      <c r="U21" s="121">
        <f t="shared" ref="U21:AA21" si="13" ca="1">U19/T19-1</f>
        <v>0.8500432152117545</v>
      </c>
      <c r="V21" s="122">
        <f ca="1">V19/U19-1</f>
        <v>0.362999299229152</v>
      </c>
      <c r="W21" s="121">
        <f ca="1">W19/V19-1</f>
        <v>-0.37998869940998903</v>
      </c>
      <c r="X21" s="121">
        <f ca="1">X19/W19-1</f>
        <v>-1.1913299814757528</v>
      </c>
      <c r="Y21" s="121">
        <f ca="1">Y19/X19-1</f>
        <v>-0.07151740808492868</v>
      </c>
      <c r="Z21" s="121">
        <f ca="1">Z19/Y19-1</f>
        <v>-0.003918981790535736</v>
      </c>
      <c r="AA21" s="121">
        <f ca="1">AA19/Z19-1</f>
        <v>-0.02385301759587921</v>
      </c>
      <c r="AB21" s="16"/>
      <c r="AC21" s="119"/>
      <c r="AD21" s="84"/>
      <c r="AE21" s="119"/>
    </row>
    <row r="22" ht="13.5" customHeight="1" spans="1:31" x14ac:dyDescent="0.25">
      <c r="A22" s="17"/>
      <c r="B22" s="16"/>
      <c r="C22" s="16"/>
      <c r="D22" s="16"/>
      <c r="E22" s="16"/>
      <c r="F22" s="16"/>
      <c r="G22" s="16"/>
      <c r="H22" s="16"/>
      <c r="I22" s="16"/>
      <c r="J22" s="124"/>
      <c r="K22" s="16"/>
      <c r="L22" s="16"/>
      <c r="M22" s="16"/>
      <c r="N22" s="125"/>
      <c r="O22" s="16"/>
      <c r="P22" s="16"/>
      <c r="Q22" s="16"/>
      <c r="R22" s="16"/>
      <c r="S22" s="16"/>
      <c r="T22" s="16"/>
      <c r="U22" s="16"/>
      <c r="V22" s="124"/>
      <c r="W22" s="16"/>
      <c r="X22" s="16"/>
      <c r="Y22" s="16"/>
      <c r="Z22" s="16"/>
      <c r="AA22" s="16"/>
      <c r="AB22" s="16"/>
      <c r="AC22" s="126"/>
      <c r="AD22" s="84"/>
      <c r="AE22" s="126"/>
    </row>
    <row r="23" ht="13.5" customHeight="1" spans="1:31" x14ac:dyDescent="0.25">
      <c r="A23" s="17"/>
      <c r="B23" s="16"/>
      <c r="C23" s="16" t="str">
        <f ca="1">Model!C57</f>
        <v>Adj. EPS (Diluted)</v>
      </c>
      <c r="D23" s="16"/>
      <c r="E23" s="16"/>
      <c r="F23" s="16"/>
      <c r="G23" s="127">
        <f ca="1">Model!P57</f>
        <v>1.7785185185185184</v>
      </c>
      <c r="H23" s="127">
        <f ca="1">Model!Q57</f>
        <v>3.7656440903054453</v>
      </c>
      <c r="I23" s="127">
        <f ca="1">Model!R57</f>
        <v>1.987771883289125</v>
      </c>
      <c r="J23" s="128">
        <f ca="1">Model!S57</f>
        <v>1.304</v>
      </c>
      <c r="K23" s="127">
        <f ca="1">Model!U57</f>
        <v>3.223611111111111</v>
      </c>
      <c r="L23" s="127">
        <f ca="1">Model!V57</f>
        <v>4.2687411598302685</v>
      </c>
      <c r="M23" s="127">
        <f ca="1">Model!W57</f>
        <v>2.729768786127168</v>
      </c>
      <c r="N23" s="129">
        <f ca="1">Model!X57</f>
        <v>-2.8259180421336656</v>
      </c>
      <c r="O23" s="127">
        <f ca="1">Model!Z57</f>
        <v>-3.084187106041256</v>
      </c>
      <c r="P23" s="127">
        <f ca="1">Model!AA57</f>
        <v>-3.2753319289246674</v>
      </c>
      <c r="Q23" s="127">
        <f ca="1">Model!AB57</f>
        <v>-3.5534753353667328</v>
      </c>
      <c r="R23" s="127">
        <f ca="1">Model!AC57</f>
        <v>-3.00404153941665</v>
      </c>
      <c r="S23" s="127"/>
      <c r="T23" s="127">
        <f ca="1">Model!J57</f>
        <v>5.194244694132335</v>
      </c>
      <c r="U23" s="127">
        <f ca="1">Model!O57</f>
        <v>5.579900124843945</v>
      </c>
      <c r="V23" s="128">
        <f ca="1">Model!T57</f>
        <v>8.875826666666669</v>
      </c>
      <c r="W23" s="127">
        <f ca="1">Model!Y57</f>
        <v>64.68815833372531</v>
      </c>
      <c r="X23" s="127">
        <f ca="1">Model!AD57</f>
        <v>-12.91697550971997</v>
      </c>
      <c r="Y23" s="127">
        <f ca="1">Model!AE57</f>
        <v>-12.188425715968943</v>
      </c>
      <c r="Z23" s="127">
        <f ca="1">Model!AF57</f>
        <v>-12.382552318309026</v>
      </c>
      <c r="AA23" s="127">
        <f ca="1">Model!AG57</f>
        <v>-12.33291442467684</v>
      </c>
      <c r="AB23" s="16"/>
      <c r="AC23" s="119">
        <f ca="1">IFERROR((V23/T23)^(1/(V$4-T$4))-1,"N/A")</f>
        <v>0.30720350543331</v>
      </c>
      <c r="AD23" s="84"/>
      <c r="AE23" s="119" t="str">
        <f ca="1">IFERROR((AA23/V23)^(1/(AA$4-V$4))-1,"N/A")</f>
        <v>N/A</v>
      </c>
    </row>
    <row r="24" ht="13.5" customHeight="1" spans="1:31" x14ac:dyDescent="0.25">
      <c r="A24" s="17"/>
      <c r="B24" s="16"/>
      <c r="C24" s="120" t="s">
        <v>107</v>
      </c>
      <c r="D24" s="16"/>
      <c r="E24" s="16"/>
      <c r="F24" s="16"/>
      <c r="G24" s="16"/>
      <c r="H24" s="121"/>
      <c r="I24" s="121"/>
      <c r="J24" s="122"/>
      <c r="K24" s="121">
        <f t="shared" ref="K24:R24" si="14" ca="1">K23/G23-1</f>
        <v>0.8125260308204916</v>
      </c>
      <c r="L24" s="121">
        <f ca="1">L23/H23-1</f>
        <v>0.133601863973293</v>
      </c>
      <c r="M24" s="121">
        <f ca="1">M23/I23-1</f>
        <v>0.3732807114719201</v>
      </c>
      <c r="N24" s="123">
        <f ca="1">N23/J23-1</f>
        <v>-1.0959412671042619</v>
      </c>
      <c r="O24" s="121">
        <f ca="1">O23/K23-1</f>
        <v>-1.1182750847589722</v>
      </c>
      <c r="P24" s="121">
        <f ca="1">P23/L23-1</f>
        <v>-1.0876413471254915</v>
      </c>
      <c r="Q24" s="121">
        <f ca="1">Q23/M23-1</f>
        <v>-2.3017495670057064</v>
      </c>
      <c r="R24" s="121">
        <f ca="1">R23/N23-1</f>
        <v>0.06303208183224407</v>
      </c>
      <c r="S24" s="16"/>
      <c r="T24" s="121"/>
      <c r="U24" s="121">
        <f t="shared" ref="U24:AA24" si="15" ca="1">IF(ISERROR(U23/T23-1),"NA",(U23/T23-1))</f>
        <v>0.07424668136009549</v>
      </c>
      <c r="V24" s="122">
        <f ca="1">IF(ISERROR(V23/U23-1),"NA",(V23/U23-1))</f>
        <v>0.5906784114554204</v>
      </c>
      <c r="W24" s="121" t="str">
        <f ca="1">IF(ISERROR(W23/V23-1),"NA",(W23/V23-1))</f>
        <v>NA</v>
      </c>
      <c r="X24" s="121" t="str">
        <f ca="1">IF(ISERROR(X23/W23-1),"NA",(X23/W23-1))</f>
        <v>NA</v>
      </c>
      <c r="Y24" s="121" t="str">
        <f ca="1">IF(ISERROR(Y23/X23-1),"NA",(Y23/X23-1))</f>
        <v>NA</v>
      </c>
      <c r="Z24" s="121" t="str">
        <f ca="1">IF(ISERROR(Z23/Y23-1),"NA",(Z23/Y23-1))</f>
        <v>NA</v>
      </c>
      <c r="AA24" s="121" t="str">
        <f ca="1">IF(ISERROR(AA23/Z23-1),"NA",(AA23/Z23-1))</f>
        <v>NA</v>
      </c>
      <c r="AB24" s="16"/>
      <c r="AC24" s="126"/>
      <c r="AD24" s="84"/>
      <c r="AE24" s="126"/>
    </row>
    <row r="25" ht="13.5" customHeight="1" spans="1:31" x14ac:dyDescent="0.25">
      <c r="A25" s="17"/>
      <c r="B25" s="16"/>
      <c r="C25" s="120"/>
      <c r="D25" s="16"/>
      <c r="E25" s="16"/>
      <c r="F25" s="16"/>
      <c r="G25" s="16"/>
      <c r="H25" s="16"/>
      <c r="I25" s="16"/>
      <c r="J25" s="130"/>
      <c r="K25" s="131"/>
      <c r="L25" s="16"/>
      <c r="M25" s="16"/>
      <c r="N25" s="125"/>
      <c r="O25" s="16"/>
      <c r="P25" s="16"/>
      <c r="Q25" s="16"/>
      <c r="R25" s="16"/>
      <c r="S25" s="16"/>
      <c r="T25" s="16"/>
      <c r="U25" s="16"/>
      <c r="V25" s="124"/>
      <c r="W25" s="16"/>
      <c r="X25" s="16"/>
      <c r="Y25" s="16"/>
      <c r="Z25" s="16"/>
      <c r="AA25" s="16"/>
      <c r="AB25" s="16"/>
      <c r="AC25" s="126"/>
      <c r="AD25" s="84"/>
      <c r="AE25" s="126"/>
    </row>
    <row r="26" ht="13.5" customHeight="1" spans="1:31" x14ac:dyDescent="0.25">
      <c r="A26" s="17"/>
      <c r="B26" s="16"/>
      <c r="C26" s="132"/>
      <c r="D26" s="132"/>
      <c r="E26" s="132"/>
      <c r="F26" s="132"/>
      <c r="G26" s="132"/>
      <c r="H26" s="132"/>
      <c r="I26" s="132"/>
      <c r="J26" s="124"/>
      <c r="K26" s="16"/>
      <c r="L26" s="132"/>
      <c r="M26" s="132"/>
      <c r="N26" s="133"/>
      <c r="O26" s="132"/>
      <c r="P26" s="132"/>
      <c r="Q26" s="132"/>
      <c r="R26" s="132"/>
      <c r="S26" s="16"/>
      <c r="T26" s="132"/>
      <c r="U26" s="132"/>
      <c r="V26" s="134"/>
      <c r="W26" s="132"/>
      <c r="X26" s="132"/>
      <c r="Y26" s="132"/>
      <c r="Z26" s="132"/>
      <c r="AA26" s="132"/>
      <c r="AB26" s="16"/>
      <c r="AC26" s="126"/>
      <c r="AD26" s="84"/>
      <c r="AE26" s="126"/>
    </row>
    <row r="27" ht="13.5" customHeight="1" spans="1:31" x14ac:dyDescent="0.25">
      <c r="A27" s="17"/>
      <c r="B27" s="16"/>
      <c r="C27" s="16" t="str">
        <f ca="1">Model!C61</f>
        <v>EBITDA</v>
      </c>
      <c r="D27" s="16"/>
      <c r="E27" s="16"/>
      <c r="F27" s="16"/>
      <c r="G27" s="116">
        <f ca="1">Model!P61</f>
        <v>2324.56</v>
      </c>
      <c r="H27" s="116">
        <f ca="1">Model!Q61</f>
        <v>4291.530000000001</v>
      </c>
      <c r="I27" s="116">
        <f ca="1">Model!R61</f>
        <v>3336.78</v>
      </c>
      <c r="J27" s="117">
        <f ca="1">Model!S61</f>
        <v>3159</v>
      </c>
      <c r="K27" s="116">
        <f ca="1">Model!U61</f>
        <v>3636</v>
      </c>
      <c r="L27" s="116">
        <f ca="1">Model!V61</f>
        <v>4619</v>
      </c>
      <c r="M27" s="116">
        <f ca="1">Model!W61</f>
        <v>3207</v>
      </c>
      <c r="N27" s="118">
        <f ca="1">Model!X61</f>
        <v>-1959.4890000000005</v>
      </c>
      <c r="O27" s="116">
        <f ca="1">Model!Z61</f>
        <v>-2183.7416300000023</v>
      </c>
      <c r="P27" s="116">
        <f ca="1">Model!AA61</f>
        <v>-2343.0263135999994</v>
      </c>
      <c r="Q27" s="116">
        <f ca="1">Model!AB61</f>
        <v>-2577.328944960001</v>
      </c>
      <c r="R27" s="116">
        <f ca="1">Model!AC61</f>
        <v>-2081.193123055202</v>
      </c>
      <c r="S27" s="16"/>
      <c r="T27" s="116">
        <f ca="1">Model!J61</f>
        <v>7341.59</v>
      </c>
      <c r="U27" s="116">
        <f ca="1">Model!O61</f>
        <v>7764.5</v>
      </c>
      <c r="V27" s="117">
        <f ca="1">Model!T61</f>
        <v>13111.87</v>
      </c>
      <c r="W27" s="116">
        <f ca="1">Model!Y61</f>
        <v>52605.511</v>
      </c>
      <c r="X27" s="116">
        <f ca="1">Model!AD61</f>
        <v>-9185.290011615205</v>
      </c>
      <c r="Y27" s="116">
        <f ca="1">Model!AE61</f>
        <v>-8157.958390797736</v>
      </c>
      <c r="Z27" s="116">
        <f ca="1">Model!AF61</f>
        <v>-7773.6756139680565</v>
      </c>
      <c r="AA27" s="116">
        <f ca="1">Model!AG61</f>
        <v>-7147.402029293433</v>
      </c>
      <c r="AB27" s="16"/>
      <c r="AC27" s="119">
        <f ca="1">IFERROR((V27/T27)^(1/(V$4-T$4))-1,"N/A")</f>
        <v>0.3364024211504246</v>
      </c>
      <c r="AD27" s="84"/>
      <c r="AE27" s="119" t="str">
        <f ca="1">IFERROR((AA27/V27)^(1/(AA$4-V$4))-1,"N/A")</f>
        <v>N/A</v>
      </c>
    </row>
    <row r="28" ht="13.5" customHeight="1" spans="1:31" x14ac:dyDescent="0.25">
      <c r="A28" s="17"/>
      <c r="B28" s="16"/>
      <c r="C28" s="120" t="s">
        <v>109</v>
      </c>
      <c r="D28" s="16"/>
      <c r="E28" s="16"/>
      <c r="F28" s="16"/>
      <c r="G28" s="121">
        <f t="shared" ref="G28:R28" si="16" ca="1">G27/G$8</f>
        <v>0.11814790343074968</v>
      </c>
      <c r="H28" s="121">
        <f ca="1">H27/H$8</f>
        <v>0.15718738553952094</v>
      </c>
      <c r="I28" s="121">
        <f ca="1">I27/I$8</f>
        <v>0.14957102514680176</v>
      </c>
      <c r="J28" s="122">
        <f ca="1">J27/J$8</f>
        <v>0.1555314854019989</v>
      </c>
      <c r="K28" s="121">
        <f ca="1">K27/K$8</f>
        <v>0.14888215543362543</v>
      </c>
      <c r="L28" s="121">
        <f ca="1">L27/L$8</f>
        <v>0.16753717809212912</v>
      </c>
      <c r="M28" s="121">
        <f ca="1">M27/M$8</f>
        <v>0.13993367658608954</v>
      </c>
      <c r="N28" s="123">
        <f ca="1">N27/N$8</f>
        <v>-0.09000000000000002</v>
      </c>
      <c r="O28" s="121">
        <f ca="1">O27/O$8</f>
        <v>-0.08500000000000009</v>
      </c>
      <c r="P28" s="121">
        <f ca="1">P27/P$8</f>
        <v>-0.07999999999999997</v>
      </c>
      <c r="Q28" s="121">
        <f ca="1">Q27/Q$8</f>
        <v>-0.10000000000000003</v>
      </c>
      <c r="R28" s="121">
        <f ca="1">R27/R$8</f>
        <v>-0.08500000000000008</v>
      </c>
      <c r="S28" s="16"/>
      <c r="T28" s="121">
        <f t="shared" ref="T28:AA28" si="17" ca="1">T27/T$8</f>
        <v>0.10295460601046151</v>
      </c>
      <c r="U28" s="121">
        <f ca="1">U27/U$8</f>
        <v>0.10761906081942674</v>
      </c>
      <c r="V28" s="122">
        <f ca="1">V27/V$8</f>
        <v>0.14634273468977757</v>
      </c>
      <c r="W28" s="121">
        <f ca="1">W27/W$8</f>
        <v>0.3882465934192454</v>
      </c>
      <c r="X28" s="121">
        <f ca="1">X27/X$8</f>
        <v>-0.08728209284612236</v>
      </c>
      <c r="Y28" s="121">
        <f ca="1">Y27/Y$8</f>
        <v>-0.07600000000000003</v>
      </c>
      <c r="Z28" s="121">
        <f ca="1">Z27/Z$8</f>
        <v>-0.07100000000000006</v>
      </c>
      <c r="AA28" s="121">
        <f ca="1">AA27/AA$8</f>
        <v>-0.06399999999999993</v>
      </c>
      <c r="AB28" s="16"/>
      <c r="AC28" s="126"/>
      <c r="AD28" s="84"/>
      <c r="AE28" s="126"/>
    </row>
    <row r="29" ht="13.5" customHeight="1" spans="1:31" x14ac:dyDescent="0.25">
      <c r="A29" s="17"/>
      <c r="B29" s="16"/>
      <c r="C29" s="120" t="s">
        <v>107</v>
      </c>
      <c r="D29" s="16"/>
      <c r="E29" s="16"/>
      <c r="F29" s="16"/>
      <c r="G29" s="16"/>
      <c r="H29" s="121"/>
      <c r="I29" s="121"/>
      <c r="J29" s="122"/>
      <c r="K29" s="121">
        <f t="shared" ref="K29:R29" si="18" ca="1">K27/G27-1</f>
        <v>0.5641669821385553</v>
      </c>
      <c r="L29" s="121">
        <f ca="1">L27/H27-1</f>
        <v>0.07630611926282693</v>
      </c>
      <c r="M29" s="121">
        <f ca="1">M27/I27-1</f>
        <v>-0.0388937838275224</v>
      </c>
      <c r="N29" s="123">
        <f ca="1">N27/J27-1</f>
        <v>-1.0797285673597266</v>
      </c>
      <c r="O29" s="121">
        <f ca="1">O27/K27-1</f>
        <v>-1.098150102476516</v>
      </c>
      <c r="P29" s="121">
        <f ca="1">P27/L27-1</f>
        <v>-1.0804914738946718</v>
      </c>
      <c r="Q29" s="121">
        <f ca="1">Q27/M27-1</f>
        <v>-1.8036572949672594</v>
      </c>
      <c r="R29" s="121">
        <f ca="1">R27/N27-1</f>
        <v>0.06211013333333404</v>
      </c>
      <c r="S29" s="16"/>
      <c r="T29" s="121"/>
      <c r="U29" s="121">
        <f t="shared" ref="U29:AA29" si="19" ca="1">U27/T27-1</f>
        <v>0.05760468781285799</v>
      </c>
      <c r="V29" s="122">
        <f ca="1">V27/U27-1</f>
        <v>0.688694700238264</v>
      </c>
      <c r="W29" s="121">
        <f ca="1">W27/V27-1</f>
        <v>-0.3686176936556327</v>
      </c>
      <c r="X29" s="121">
        <f ca="1">X27/W27-1</f>
        <v>-1.174606991492112</v>
      </c>
      <c r="Y29" s="121">
        <f ca="1">Y27/X27-1</f>
        <v>-0.11184531130953546</v>
      </c>
      <c r="Z29" s="121">
        <f ca="1">Z27/Y27-1</f>
        <v>-0.04710526315789432</v>
      </c>
      <c r="AA29" s="121">
        <f ca="1">AA27/Z27-1</f>
        <v>-0.08056338028169197</v>
      </c>
      <c r="AB29" s="16"/>
      <c r="AC29" s="135"/>
      <c r="AD29" s="84"/>
      <c r="AE29" s="135"/>
    </row>
    <row r="30" ht="4.5" customHeight="1" spans="1:31" x14ac:dyDescent="0.25">
      <c r="A30" s="17"/>
      <c r="B30" s="16"/>
      <c r="C30" s="16"/>
      <c r="D30" s="16"/>
      <c r="E30" s="16"/>
      <c r="F30" s="16"/>
      <c r="G30" s="16"/>
      <c r="H30" s="16"/>
      <c r="I30" s="16"/>
      <c r="J30" s="16"/>
      <c r="K30" s="16"/>
      <c r="L30" s="16"/>
      <c r="M30" s="16"/>
      <c r="N30" s="16"/>
      <c r="O30" s="16"/>
      <c r="P30" s="16"/>
      <c r="Q30" s="16"/>
      <c r="R30" s="16"/>
      <c r="S30" s="16"/>
      <c r="T30" s="16"/>
      <c r="U30" s="16"/>
      <c r="V30" s="16"/>
      <c r="W30" s="16"/>
      <c r="X30" s="16"/>
      <c r="Y30" s="16"/>
      <c r="Z30" s="16"/>
      <c r="AA30" s="16"/>
      <c r="AB30" s="16"/>
      <c r="AC30" s="16"/>
      <c r="AD30" s="16"/>
      <c r="AE30" s="16"/>
    </row>
    <row r="31" ht="13.5" customHeight="1" spans="1:31" x14ac:dyDescent="0.25">
      <c r="A31" s="17"/>
      <c r="B31" s="16"/>
      <c r="C31" s="110"/>
      <c r="D31" s="110"/>
      <c r="E31" s="110"/>
      <c r="F31" s="110"/>
      <c r="G31" s="111" t="str">
        <f ca="1">G$5</f>
        <v>Quarterly</v>
      </c>
      <c r="H31" s="112"/>
      <c r="I31" s="112"/>
      <c r="J31" s="112"/>
      <c r="K31" s="112"/>
      <c r="L31" s="112"/>
      <c r="M31" s="112"/>
      <c r="N31" s="112"/>
      <c r="O31" s="112"/>
      <c r="P31" s="112"/>
      <c r="Q31" s="112"/>
      <c r="R31" s="112"/>
      <c r="S31" s="112"/>
      <c r="T31" s="113" t="str">
        <f ca="1">T$5</f>
        <v>Annuals</v>
      </c>
      <c r="U31" s="114"/>
      <c r="V31" s="114"/>
      <c r="W31" s="114"/>
      <c r="X31" s="114"/>
      <c r="Y31" s="114"/>
      <c r="Z31" s="114"/>
      <c r="AA31" s="114"/>
      <c r="AB31" s="16"/>
      <c r="AC31" s="16"/>
      <c r="AD31" s="16"/>
      <c r="AE31" s="16"/>
    </row>
    <row r="32" ht="13.5" customHeight="1" spans="1:31" x14ac:dyDescent="0.25">
      <c r="A32" s="17" t="s">
        <v>1</v>
      </c>
      <c r="B32" s="16"/>
      <c r="C32" s="110" t="str">
        <f ca="1">"Consolidated "&amp;Model!C118</f>
        <v>Consolidated Balance Sheet</v>
      </c>
      <c r="D32" s="110"/>
      <c r="E32" s="110"/>
      <c r="F32" s="110"/>
      <c r="G32" s="111" t="str">
        <f t="shared" ref="G32:R32" si="20" ca="1">G$6</f>
        <v>1Q25</v>
      </c>
      <c r="H32" s="111" t="str">
        <f ca="1">H$6</f>
        <v>2Q25</v>
      </c>
      <c r="I32" s="111" t="str">
        <f ca="1">I$6</f>
        <v>3Q25</v>
      </c>
      <c r="J32" s="111" t="str">
        <f ca="1">J$6</f>
        <v>4Q25</v>
      </c>
      <c r="K32" s="111" t="str">
        <f ca="1">K$6</f>
        <v>1Q26</v>
      </c>
      <c r="L32" s="111" t="str">
        <f ca="1">L$6</f>
        <v>2Q26</v>
      </c>
      <c r="M32" s="111" t="str">
        <f ca="1">M$6</f>
        <v>3Q26e</v>
      </c>
      <c r="N32" s="111" t="str">
        <f ca="1">N$6</f>
        <v>4Q26e</v>
      </c>
      <c r="O32" s="111" t="str">
        <f ca="1">O$6</f>
        <v>1Q27e</v>
      </c>
      <c r="P32" s="111" t="str">
        <f ca="1">P$6</f>
        <v>2Q27e</v>
      </c>
      <c r="Q32" s="111" t="str">
        <f ca="1">Q$6</f>
        <v>3Q27e</v>
      </c>
      <c r="R32" s="111" t="str">
        <f ca="1">R$6</f>
        <v>4Q27e</v>
      </c>
      <c r="S32" s="111"/>
      <c r="T32" s="111">
        <f t="shared" ref="T32:AA32" si="21" ca="1">T$6</f>
        <v>2023</v>
      </c>
      <c r="U32" s="111">
        <f ca="1">U$6</f>
        <v>2024</v>
      </c>
      <c r="V32" s="111">
        <f ca="1">V$6</f>
        <v>2025</v>
      </c>
      <c r="W32" s="111" t="str">
        <f ca="1">W$6</f>
        <v>2026e</v>
      </c>
      <c r="X32" s="111" t="str">
        <f ca="1">X$6</f>
        <v>2027e</v>
      </c>
      <c r="Y32" s="111" t="str">
        <f ca="1">Y$6</f>
        <v>2028e</v>
      </c>
      <c r="Z32" s="111" t="str">
        <f ca="1">Z$6</f>
        <v>2029e</v>
      </c>
      <c r="AA32" s="111" t="str">
        <f ca="1">AA$6</f>
        <v>2030e</v>
      </c>
      <c r="AB32" s="16"/>
      <c r="AC32" s="16"/>
      <c r="AD32" s="16"/>
      <c r="AE32" s="16"/>
    </row>
    <row r="33" ht="4.5" customHeight="1" spans="1:31" x14ac:dyDescent="0.25">
      <c r="A33" s="17"/>
      <c r="B33" s="16"/>
      <c r="C33" s="16"/>
      <c r="D33" s="16"/>
      <c r="E33" s="16"/>
      <c r="F33" s="16"/>
      <c r="G33" s="16"/>
      <c r="H33" s="16"/>
      <c r="I33" s="16"/>
      <c r="J33" s="16"/>
      <c r="K33" s="16"/>
      <c r="L33" s="16"/>
      <c r="M33" s="16"/>
      <c r="N33" s="16"/>
      <c r="O33" s="16"/>
      <c r="P33" s="16"/>
      <c r="Q33" s="16"/>
      <c r="R33" s="16"/>
      <c r="S33" s="16"/>
      <c r="T33" s="16"/>
      <c r="U33" s="16"/>
      <c r="V33" s="16"/>
      <c r="W33" s="16"/>
      <c r="X33" s="16"/>
      <c r="Y33" s="16"/>
      <c r="Z33" s="16"/>
      <c r="AA33" s="16"/>
      <c r="AB33" s="16"/>
      <c r="AC33" s="16"/>
      <c r="AD33" s="16"/>
      <c r="AE33" s="16"/>
    </row>
    <row r="34" ht="13.5" customHeight="1" spans="1:31" x14ac:dyDescent="0.25">
      <c r="A34" s="17"/>
      <c r="B34" s="16"/>
      <c r="C34" s="16" t="str">
        <f ca="1">Model!C120</f>
        <v>Cash &amp; Cash Equivalents</v>
      </c>
      <c r="D34" s="16"/>
      <c r="E34" s="16"/>
      <c r="F34" s="16"/>
      <c r="G34" s="116">
        <f ca="1">Model!P120</f>
        <v>6156</v>
      </c>
      <c r="H34" s="116">
        <f ca="1">Model!Q120</f>
        <v>12726</v>
      </c>
      <c r="I34" s="116">
        <f ca="1">Model!R120</f>
        <v>10101</v>
      </c>
      <c r="J34" s="117">
        <f ca="1">Model!S120</f>
        <v>5196</v>
      </c>
      <c r="K34" s="116">
        <f ca="1">Model!U120</f>
        <v>7146</v>
      </c>
      <c r="L34" s="116">
        <f ca="1">Model!V120</f>
        <v>6255</v>
      </c>
      <c r="M34" s="116">
        <f ca="1">Model!W120</f>
        <v>6673</v>
      </c>
      <c r="N34" s="118">
        <f ca="1">Model!X120</f>
        <v>7196.949856521738</v>
      </c>
      <c r="O34" s="116">
        <f ca="1">Model!Z120</f>
        <v>2358.5933858538456</v>
      </c>
      <c r="P34" s="116">
        <f ca="1">Model!AA120</f>
        <v>1645.853538809483</v>
      </c>
      <c r="Q34" s="116">
        <f ca="1">Model!AB120</f>
        <v>1217.785196176024</v>
      </c>
      <c r="R34" s="116">
        <f ca="1">Model!AC120</f>
        <v>15.287745573718894</v>
      </c>
      <c r="S34" s="16"/>
      <c r="T34" s="116">
        <f ca="1">Model!J120</f>
        <v>729</v>
      </c>
      <c r="U34" s="116">
        <f ca="1">Model!O120</f>
        <v>876</v>
      </c>
      <c r="V34" s="117">
        <f ca="1">Model!T120</f>
        <v>5196</v>
      </c>
      <c r="W34" s="116">
        <f ca="1">Model!Y120</f>
        <v>7196.949856521738</v>
      </c>
      <c r="X34" s="116">
        <f ca="1">Model!AD120</f>
        <v>15.287745573718894</v>
      </c>
      <c r="Y34" s="116">
        <f ca="1">Model!AE120</f>
        <v>67.02207717143847</v>
      </c>
      <c r="Z34" s="116">
        <f ca="1">Model!AF120</f>
        <v>68.36251871486752</v>
      </c>
      <c r="AA34" s="116">
        <f ca="1">Model!AG120</f>
        <v>69.72976908916507</v>
      </c>
      <c r="AB34" s="16"/>
      <c r="AC34" s="16"/>
      <c r="AD34" s="16"/>
      <c r="AE34" s="16"/>
    </row>
    <row r="35" ht="13.5" customHeight="1" spans="1:31" x14ac:dyDescent="0.25">
      <c r="A35" s="17"/>
      <c r="B35" s="16"/>
      <c r="C35" s="16" t="str">
        <f ca="1">Model!C121</f>
        <v>Accounts Receivable</v>
      </c>
      <c r="D35" s="16"/>
      <c r="E35" s="16"/>
      <c r="F35" s="16"/>
      <c r="G35" s="136">
        <f ca="1">Model!P121</f>
        <v>12365</v>
      </c>
      <c r="H35" s="136">
        <f ca="1">Model!Q121</f>
        <v>14132</v>
      </c>
      <c r="I35" s="136">
        <f ca="1">Model!R121</f>
        <v>17693</v>
      </c>
      <c r="J35" s="137">
        <f ca="1">Model!S121</f>
        <v>23065</v>
      </c>
      <c r="K35" s="136">
        <f ca="1">Model!U121</f>
        <v>22132</v>
      </c>
      <c r="L35" s="136">
        <f ca="1">Model!V121</f>
        <v>27808</v>
      </c>
      <c r="M35" s="136">
        <f ca="1">Model!W121</f>
        <v>1e-12</v>
      </c>
      <c r="N35" s="138">
        <f ca="1">Model!X121</f>
        <v>1e-12</v>
      </c>
      <c r="O35" s="136">
        <f ca="1">Model!Z121</f>
        <v>1e-12</v>
      </c>
      <c r="P35" s="136">
        <f ca="1">Model!AA121</f>
        <v>1e-12</v>
      </c>
      <c r="Q35" s="136">
        <f ca="1">Model!AB121</f>
        <v>1e-12</v>
      </c>
      <c r="R35" s="136">
        <f ca="1">Model!AC121</f>
        <v>1e-12</v>
      </c>
      <c r="S35" s="16"/>
      <c r="T35" s="136">
        <f ca="1">Model!J121</f>
        <v>3827</v>
      </c>
      <c r="U35" s="136">
        <f ca="1">Model!O121</f>
        <v>9999</v>
      </c>
      <c r="V35" s="137">
        <f ca="1">Model!T121</f>
        <v>23065</v>
      </c>
      <c r="W35" s="136">
        <f ca="1">Model!Y121</f>
        <v>1e-12</v>
      </c>
      <c r="X35" s="136">
        <f ca="1">Model!AD121</f>
        <v>1e-12</v>
      </c>
      <c r="Y35" s="136">
        <f ca="1">Model!AE121</f>
        <v>1e-12</v>
      </c>
      <c r="Z35" s="136">
        <f ca="1">Model!AF121</f>
        <v>1e-12</v>
      </c>
      <c r="AA35" s="136">
        <f ca="1">Model!AG121</f>
        <v>1e-12</v>
      </c>
      <c r="AB35" s="16"/>
      <c r="AC35" s="16"/>
      <c r="AD35" s="16"/>
      <c r="AE35" s="16"/>
    </row>
    <row r="36" ht="13.5" customHeight="1" spans="1:31" x14ac:dyDescent="0.25">
      <c r="A36" s="17"/>
      <c r="B36" s="16"/>
      <c r="C36" s="16" t="str">
        <f ca="1">Model!C122</f>
        <v>Inventory</v>
      </c>
      <c r="D36" s="16"/>
      <c r="E36" s="16"/>
      <c r="F36" s="16"/>
      <c r="G36" s="136">
        <f ca="1">Model!P122</f>
        <v>14283</v>
      </c>
      <c r="H36" s="136">
        <f ca="1">Model!Q122</f>
        <v>13831</v>
      </c>
      <c r="I36" s="136">
        <f ca="1">Model!R122</f>
        <v>15712</v>
      </c>
      <c r="J36" s="137">
        <f ca="1">Model!S122</f>
        <v>16193</v>
      </c>
      <c r="K36" s="136">
        <f ca="1">Model!U122</f>
        <v>18382</v>
      </c>
      <c r="L36" s="136">
        <f ca="1">Model!V122</f>
        <v>17322</v>
      </c>
      <c r="M36" s="136">
        <f ca="1">Model!W122</f>
        <v>16685</v>
      </c>
      <c r="N36" s="138">
        <f ca="1">Model!X122</f>
        <v>18529.950326086957</v>
      </c>
      <c r="O36" s="136">
        <f ca="1">Model!Z122</f>
        <v>23065.506292307695</v>
      </c>
      <c r="P36" s="136">
        <f ca="1">Model!AA122</f>
        <v>22014.14833107692</v>
      </c>
      <c r="Q36" s="136">
        <f ca="1">Model!AB122</f>
        <v>20954.80490032696</v>
      </c>
      <c r="R36" s="136">
        <f ca="1">Model!AC122</f>
        <v>20718.783200747737</v>
      </c>
      <c r="S36" s="16"/>
      <c r="T36" s="136">
        <f ca="1">Model!J122</f>
        <v>12561</v>
      </c>
      <c r="U36" s="136">
        <f ca="1">Model!O122</f>
        <v>13179</v>
      </c>
      <c r="V36" s="137">
        <f ca="1">Model!T122</f>
        <v>16193</v>
      </c>
      <c r="W36" s="136">
        <f ca="1">Model!Y122</f>
        <v>18529.950326086957</v>
      </c>
      <c r="X36" s="136">
        <f ca="1">Model!AD122</f>
        <v>20718.783200747737</v>
      </c>
      <c r="Y36" s="136">
        <f ca="1">Model!AE122</f>
        <v>21269.509108004873</v>
      </c>
      <c r="Z36" s="136">
        <f ca="1">Model!AF122</f>
        <v>21669.70196230183</v>
      </c>
      <c r="AA36" s="136">
        <f ca="1">Model!AG122</f>
        <v>22051.69345270706</v>
      </c>
      <c r="AB36" s="16"/>
      <c r="AC36" s="16"/>
      <c r="AD36" s="16"/>
      <c r="AE36" s="16"/>
    </row>
    <row r="37" ht="13.5" customHeight="1" spans="1:31" x14ac:dyDescent="0.25">
      <c r="A37" s="17"/>
      <c r="B37" s="16"/>
      <c r="C37" s="16" t="str">
        <f ca="1">Model!C123</f>
        <v>Prepaid &amp; Other Current Assets</v>
      </c>
      <c r="D37" s="16"/>
      <c r="E37" s="16"/>
      <c r="F37" s="16"/>
      <c r="G37" s="136">
        <f ca="1">Model!P123</f>
        <v>1487</v>
      </c>
      <c r="H37" s="136">
        <f ca="1">Model!Q123</f>
        <v>1160</v>
      </c>
      <c r="I37" s="136">
        <f ca="1">Model!R123</f>
        <v>1103</v>
      </c>
      <c r="J37" s="137">
        <f ca="1">Model!S123</f>
        <v>937</v>
      </c>
      <c r="K37" s="136">
        <f ca="1">Model!U123</f>
        <v>1288</v>
      </c>
      <c r="L37" s="136">
        <f ca="1">Model!V123</f>
        <v>1506</v>
      </c>
      <c r="M37" s="136">
        <f ca="1">Model!W123</f>
        <v>1491</v>
      </c>
      <c r="N37" s="138">
        <f ca="1">Model!X123</f>
        <v>1e-12</v>
      </c>
      <c r="O37" s="136">
        <f ca="1">Model!Z123</f>
        <v>1849.7576159999996</v>
      </c>
      <c r="P37" s="136">
        <f ca="1">Model!AA123</f>
        <v>2108.72368224</v>
      </c>
      <c r="Q37" s="136">
        <f ca="1">Model!AB123</f>
        <v>1855.6768403712</v>
      </c>
      <c r="R37" s="136">
        <f ca="1">Model!AC123</f>
        <v>1762.8929983526398</v>
      </c>
      <c r="S37" s="16"/>
      <c r="T37" s="136">
        <f ca="1">Model!J123</f>
        <v>938</v>
      </c>
      <c r="U37" s="136">
        <f ca="1">Model!O123</f>
        <v>1263</v>
      </c>
      <c r="V37" s="137">
        <f ca="1">Model!T123</f>
        <v>937</v>
      </c>
      <c r="W37" s="136">
        <f ca="1">Model!Y123</f>
        <v>1e-12</v>
      </c>
      <c r="X37" s="136">
        <f ca="1">Model!AD123</f>
        <v>1762.8929983526398</v>
      </c>
      <c r="Y37" s="136">
        <f ca="1">Model!AE123</f>
        <v>1932.1480399257787</v>
      </c>
      <c r="Z37" s="136">
        <f ca="1">Model!AF123</f>
        <v>1970.7910007242942</v>
      </c>
      <c r="AA37" s="136">
        <f ca="1">Model!AG123</f>
        <v>2010.2068207387802</v>
      </c>
      <c r="AB37" s="16"/>
      <c r="AC37" s="16"/>
      <c r="AD37" s="16"/>
      <c r="AE37" s="16"/>
    </row>
    <row r="38" ht="13.5" customHeight="1" spans="1:31" x14ac:dyDescent="0.25">
      <c r="A38" s="17"/>
      <c r="B38" s="16"/>
      <c r="C38" s="139" t="str">
        <f ca="1">Model!C124</f>
        <v>Total Current Assets</v>
      </c>
      <c r="D38" s="16"/>
      <c r="E38" s="16"/>
      <c r="F38" s="16"/>
      <c r="G38" s="140">
        <f t="shared" ref="G38:R38" si="22" ca="1">SUM(G34:G37)</f>
        <v>21926</v>
      </c>
      <c r="H38" s="140">
        <f ca="1">SUM(H34:H37)</f>
        <v>27717</v>
      </c>
      <c r="I38" s="140">
        <f ca="1">SUM(I34:I37)</f>
        <v>26916</v>
      </c>
      <c r="J38" s="141">
        <f ca="1">SUM(J34:J37)</f>
        <v>22326</v>
      </c>
      <c r="K38" s="140">
        <f ca="1">SUM(K34:K37)</f>
        <v>26816</v>
      </c>
      <c r="L38" s="140">
        <f ca="1">SUM(L34:L37)</f>
        <v>25083</v>
      </c>
      <c r="M38" s="140">
        <f ca="1">SUM(M34:M37)</f>
        <v>24849</v>
      </c>
      <c r="N38" s="142">
        <f ca="1">SUM(N34:N37)</f>
        <v>25726.900182608697</v>
      </c>
      <c r="O38" s="140">
        <f ca="1">SUM(O34:O37)</f>
        <v>27273.85729416154</v>
      </c>
      <c r="P38" s="140">
        <f ca="1">SUM(P34:P37)</f>
        <v>25768.725552126405</v>
      </c>
      <c r="Q38" s="140">
        <f ca="1">SUM(Q34:Q37)</f>
        <v>24028.266936874184</v>
      </c>
      <c r="R38" s="140">
        <f ca="1">SUM(R34:R37)</f>
        <v>22496.963944674095</v>
      </c>
      <c r="S38" s="16"/>
      <c r="T38" s="140">
        <f t="shared" ref="T38:AA38" si="23" ca="1">SUM(T34:T37)</f>
        <v>14228</v>
      </c>
      <c r="U38" s="140">
        <f ca="1">SUM(U34:U37)</f>
        <v>15318</v>
      </c>
      <c r="V38" s="141">
        <f ca="1">SUM(V34:V37)</f>
        <v>22326</v>
      </c>
      <c r="W38" s="140">
        <f ca="1">SUM(W34:W37)</f>
        <v>25726.900182608697</v>
      </c>
      <c r="X38" s="140">
        <f ca="1">SUM(X34:X37)</f>
        <v>22496.963944674095</v>
      </c>
      <c r="Y38" s="140">
        <f ca="1">SUM(Y34:Y37)</f>
        <v>23268.67922510209</v>
      </c>
      <c r="Z38" s="140">
        <f ca="1">SUM(Z34:Z37)</f>
        <v>23708.855481740993</v>
      </c>
      <c r="AA38" s="140">
        <f ca="1">SUM(AA34:AA37)</f>
        <v>24131.630042535005</v>
      </c>
      <c r="AB38" s="16"/>
      <c r="AC38" s="16"/>
      <c r="AD38" s="16"/>
      <c r="AE38" s="16"/>
    </row>
    <row r="39" ht="13.5" customHeight="1" spans="1:31" x14ac:dyDescent="0.25">
      <c r="A39" s="17"/>
      <c r="B39" s="16"/>
      <c r="C39" s="16"/>
      <c r="D39" s="16"/>
      <c r="E39" s="16"/>
      <c r="F39" s="16"/>
      <c r="G39" s="143"/>
      <c r="H39" s="143"/>
      <c r="I39" s="143"/>
      <c r="J39" s="144"/>
      <c r="K39" s="143"/>
      <c r="L39" s="143"/>
      <c r="M39" s="143"/>
      <c r="N39" s="145"/>
      <c r="O39" s="143"/>
      <c r="P39" s="143"/>
      <c r="Q39" s="143"/>
      <c r="R39" s="143"/>
      <c r="S39" s="16"/>
      <c r="T39" s="143"/>
      <c r="U39" s="143"/>
      <c r="V39" s="144"/>
      <c r="W39" s="143"/>
      <c r="X39" s="143"/>
      <c r="Y39" s="143"/>
      <c r="Z39" s="143"/>
      <c r="AA39" s="143"/>
      <c r="AB39" s="16"/>
      <c r="AC39" s="16"/>
      <c r="AD39" s="16"/>
      <c r="AE39" s="16"/>
    </row>
    <row r="40" ht="13.5" customHeight="1" spans="1:31" x14ac:dyDescent="0.25">
      <c r="A40" s="17"/>
      <c r="B40" s="16"/>
      <c r="C40" s="16" t="str">
        <f ca="1">Model!C126</f>
        <v>PP&amp;E, Net</v>
      </c>
      <c r="D40" s="16"/>
      <c r="E40" s="16"/>
      <c r="F40" s="16"/>
      <c r="G40" s="116">
        <f ca="1">Model!P126</f>
        <v>18501</v>
      </c>
      <c r="H40" s="116">
        <f ca="1">Model!Q126</f>
        <v>18612</v>
      </c>
      <c r="I40" s="116">
        <f ca="1">Model!R126</f>
        <v>18683</v>
      </c>
      <c r="J40" s="117">
        <f ca="1">Model!S126</f>
        <v>22987</v>
      </c>
      <c r="K40" s="116">
        <f ca="1">Model!U126</f>
        <v>19059</v>
      </c>
      <c r="L40" s="116">
        <f ca="1">Model!V126</f>
        <v>19031</v>
      </c>
      <c r="M40" s="116">
        <f ca="1">Model!W126</f>
        <v>18925</v>
      </c>
      <c r="N40" s="118">
        <f ca="1">Model!X126</f>
        <v>18963.9382</v>
      </c>
      <c r="O40" s="116">
        <f ca="1">Model!Z126</f>
        <v>19248.6551535</v>
      </c>
      <c r="P40" s="116">
        <f ca="1">Model!AA126</f>
        <v>19556.13592455375</v>
      </c>
      <c r="Q40" s="116">
        <f ca="1">Model!AB126</f>
        <v>19652.04946651726</v>
      </c>
      <c r="R40" s="116">
        <f ca="1">Model!AC126</f>
        <v>19724.377225464246</v>
      </c>
      <c r="S40" s="16"/>
      <c r="T40" s="116">
        <f ca="1">Model!J126</f>
        <v>18432</v>
      </c>
      <c r="U40" s="116">
        <f ca="1">Model!O126</f>
        <v>18669</v>
      </c>
      <c r="V40" s="117">
        <f ca="1">Model!T126</f>
        <v>22987</v>
      </c>
      <c r="W40" s="116">
        <f ca="1">Model!Y126</f>
        <v>18963.9382</v>
      </c>
      <c r="X40" s="116">
        <f ca="1">Model!AD126</f>
        <v>19724.377225464246</v>
      </c>
      <c r="Y40" s="116">
        <f ca="1">Model!AE126</f>
        <v>20451.053220703907</v>
      </c>
      <c r="Z40" s="116">
        <f ca="1">Model!AF126</f>
        <v>21168.345167395775</v>
      </c>
      <c r="AA40" s="116">
        <f ca="1">Model!AG126</f>
        <v>21989.46560620519</v>
      </c>
      <c r="AB40" s="16"/>
      <c r="AC40" s="16"/>
      <c r="AD40" s="16"/>
      <c r="AE40" s="16"/>
    </row>
    <row r="41" ht="13.5" customHeight="1" spans="1:31" x14ac:dyDescent="0.25">
      <c r="A41" s="17"/>
      <c r="B41" s="16"/>
      <c r="C41" s="16" t="str">
        <f ca="1">Model!C127</f>
        <v>Intangible Assets, Net</v>
      </c>
      <c r="D41" s="16"/>
      <c r="E41" s="16"/>
      <c r="F41" s="16"/>
      <c r="G41" s="136">
        <f ca="1">Model!P127</f>
        <v>986</v>
      </c>
      <c r="H41" s="136">
        <f ca="1">Model!Q127</f>
        <v>952</v>
      </c>
      <c r="I41" s="136">
        <f ca="1">Model!R127</f>
        <v>838</v>
      </c>
      <c r="J41" s="137">
        <f ca="1">Model!S127</f>
        <v>807</v>
      </c>
      <c r="K41" s="136">
        <f ca="1">Model!U127</f>
        <v>769</v>
      </c>
      <c r="L41" s="136">
        <f ca="1">Model!V127</f>
        <v>755</v>
      </c>
      <c r="M41" s="136">
        <f ca="1">Model!W127</f>
        <v>1e-12</v>
      </c>
      <c r="N41" s="138">
        <f ca="1">Model!X127</f>
        <v>1e-12</v>
      </c>
      <c r="O41" s="136">
        <f ca="1">Model!Z127</f>
        <v>1e-12</v>
      </c>
      <c r="P41" s="136">
        <f ca="1">Model!AA127</f>
        <v>1e-12</v>
      </c>
      <c r="Q41" s="136">
        <f ca="1">Model!AB127</f>
        <v>1e-12</v>
      </c>
      <c r="R41" s="136">
        <f ca="1">Model!AC127</f>
        <v>1e-12</v>
      </c>
      <c r="S41" s="16"/>
      <c r="T41" s="136">
        <f ca="1">Model!J127</f>
        <v>1676</v>
      </c>
      <c r="U41" s="136">
        <f ca="1">Model!O127</f>
        <v>1112</v>
      </c>
      <c r="V41" s="137">
        <f ca="1">Model!T127</f>
        <v>807</v>
      </c>
      <c r="W41" s="136">
        <f ca="1">Model!Y127</f>
        <v>1e-12</v>
      </c>
      <c r="X41" s="136">
        <f ca="1">Model!AD127</f>
        <v>1e-12</v>
      </c>
      <c r="Y41" s="136">
        <f ca="1">Model!AE127</f>
        <v>1e-12</v>
      </c>
      <c r="Z41" s="136">
        <f ca="1">Model!AF127</f>
        <v>1e-12</v>
      </c>
      <c r="AA41" s="136">
        <f ca="1">Model!AG127</f>
        <v>1e-12</v>
      </c>
      <c r="AB41" s="16"/>
      <c r="AC41" s="16"/>
      <c r="AD41" s="16"/>
      <c r="AE41" s="16"/>
    </row>
    <row r="42" ht="13.5" customHeight="1" spans="1:31" x14ac:dyDescent="0.25">
      <c r="A42" s="17"/>
      <c r="B42" s="16"/>
      <c r="C42" s="16" t="str">
        <f ca="1">Model!C128</f>
        <v>Goodwill</v>
      </c>
      <c r="D42" s="16"/>
      <c r="E42" s="16"/>
      <c r="F42" s="16"/>
      <c r="G42" s="136">
        <f ca="1">Model!P128</f>
        <v>4453</v>
      </c>
      <c r="H42" s="136">
        <f ca="1">Model!Q128</f>
        <v>4622</v>
      </c>
      <c r="I42" s="136">
        <f ca="1">Model!R128</f>
        <v>4724</v>
      </c>
      <c r="J42" s="137">
        <f ca="1">Model!S128</f>
        <v>311</v>
      </c>
      <c r="K42" s="136">
        <f ca="1">Model!U128</f>
        <v>5498</v>
      </c>
      <c r="L42" s="136">
        <f ca="1">Model!V128</f>
        <v>5755</v>
      </c>
      <c r="M42" s="136">
        <f ca="1">Model!W128</f>
        <v>1e-12</v>
      </c>
      <c r="N42" s="138">
        <f ca="1">Model!X128</f>
        <v>1e-12</v>
      </c>
      <c r="O42" s="136">
        <f ca="1">Model!Z128</f>
        <v>1e-12</v>
      </c>
      <c r="P42" s="136">
        <f ca="1">Model!AA128</f>
        <v>1e-12</v>
      </c>
      <c r="Q42" s="136">
        <f ca="1">Model!AB128</f>
        <v>1e-12</v>
      </c>
      <c r="R42" s="136">
        <f ca="1">Model!AC128</f>
        <v>1e-12</v>
      </c>
      <c r="S42" s="16"/>
      <c r="T42" s="136">
        <f ca="1">Model!J128</f>
        <v>303</v>
      </c>
      <c r="U42" s="136">
        <f ca="1">Model!O128</f>
        <v>303</v>
      </c>
      <c r="V42" s="137">
        <f ca="1">Model!T128</f>
        <v>311</v>
      </c>
      <c r="W42" s="136">
        <f ca="1">Model!Y128</f>
        <v>1e-12</v>
      </c>
      <c r="X42" s="136">
        <f ca="1">Model!AD128</f>
        <v>1e-12</v>
      </c>
      <c r="Y42" s="136">
        <f ca="1">Model!AE128</f>
        <v>1e-12</v>
      </c>
      <c r="Z42" s="136">
        <f ca="1">Model!AF128</f>
        <v>1e-12</v>
      </c>
      <c r="AA42" s="136">
        <f ca="1">Model!AG128</f>
        <v>1e-12</v>
      </c>
      <c r="AB42" s="16"/>
      <c r="AC42" s="16"/>
      <c r="AD42" s="16"/>
      <c r="AE42" s="16"/>
    </row>
    <row r="43" ht="13.5" customHeight="1" spans="1:31" x14ac:dyDescent="0.25">
      <c r="A43" s="17"/>
      <c r="B43" s="16"/>
      <c r="C43" s="16" t="str">
        <f ca="1">Model!C129</f>
        <v>Other Non-Current Assets</v>
      </c>
      <c r="D43" s="16"/>
      <c r="E43" s="16"/>
      <c r="F43" s="16"/>
      <c r="G43" s="136">
        <f ca="1">Model!P129</f>
        <v>5405</v>
      </c>
      <c r="H43" s="136">
        <f ca="1">Model!Q129</f>
        <v>5434</v>
      </c>
      <c r="I43" s="136">
        <f ca="1">Model!R129</f>
        <v>5281</v>
      </c>
      <c r="J43" s="137">
        <f ca="1">Model!S129</f>
        <v>1111</v>
      </c>
      <c r="K43" s="136">
        <f ca="1">Model!U129</f>
        <v>5325</v>
      </c>
      <c r="L43" s="136">
        <f ca="1">Model!V129</f>
        <v>5290</v>
      </c>
      <c r="M43" s="136">
        <f ca="1">Model!W129</f>
        <v>5626</v>
      </c>
      <c r="N43" s="138">
        <f ca="1">Model!X129</f>
        <v>5738.52</v>
      </c>
      <c r="O43" s="136">
        <f ca="1">Model!Z129</f>
        <v>5853.290400000001</v>
      </c>
      <c r="P43" s="136">
        <f ca="1">Model!AA129</f>
        <v>5970.356208000001</v>
      </c>
      <c r="Q43" s="136">
        <f ca="1">Model!AB129</f>
        <v>6089.7633321600015</v>
      </c>
      <c r="R43" s="136">
        <f ca="1">Model!AC129</f>
        <v>6211.558598803202</v>
      </c>
      <c r="S43" s="16"/>
      <c r="T43" s="136">
        <f ca="1">Model!J129</f>
        <v>1545</v>
      </c>
      <c r="U43" s="136">
        <f ca="1">Model!O129</f>
        <v>5181</v>
      </c>
      <c r="V43" s="137">
        <f ca="1">Model!T129</f>
        <v>1111</v>
      </c>
      <c r="W43" s="136">
        <f ca="1">Model!Y129</f>
        <v>5738.52</v>
      </c>
      <c r="X43" s="136">
        <f ca="1">Model!AD129</f>
        <v>6211.558598803202</v>
      </c>
      <c r="Y43" s="136">
        <f ca="1">Model!AE129</f>
        <v>6335.789770779265</v>
      </c>
      <c r="Z43" s="136">
        <f ca="1">Model!AF129</f>
        <v>6462.505566194851</v>
      </c>
      <c r="AA43" s="136">
        <f ca="1">Model!AG129</f>
        <v>6591.755677518748</v>
      </c>
      <c r="AB43" s="16"/>
      <c r="AC43" s="16"/>
      <c r="AD43" s="16"/>
      <c r="AE43" s="16"/>
    </row>
    <row r="44" ht="13.5" customHeight="1" spans="1:31" x14ac:dyDescent="0.25">
      <c r="A44" s="17"/>
      <c r="B44" s="16"/>
      <c r="C44" s="139" t="str">
        <f ca="1">Model!C130</f>
        <v>Total Non-Current Assets</v>
      </c>
      <c r="D44" s="16"/>
      <c r="E44" s="16"/>
      <c r="F44" s="16"/>
      <c r="G44" s="140">
        <f t="shared" ref="G44:R44" si="24" ca="1">SUM(G40:G43)</f>
        <v>23906</v>
      </c>
      <c r="H44" s="140">
        <f ca="1">SUM(H40:H43)</f>
        <v>24046</v>
      </c>
      <c r="I44" s="140">
        <f ca="1">SUM(I40:I43)</f>
        <v>23964</v>
      </c>
      <c r="J44" s="141">
        <f ca="1">SUM(J40:J43)</f>
        <v>24409</v>
      </c>
      <c r="K44" s="140">
        <f ca="1">SUM(K40:K43)</f>
        <v>24384</v>
      </c>
      <c r="L44" s="140">
        <f ca="1">SUM(L40:L43)</f>
        <v>24321</v>
      </c>
      <c r="M44" s="140">
        <f ca="1">SUM(M40:M43)</f>
        <v>24551</v>
      </c>
      <c r="N44" s="142">
        <f ca="1">SUM(N40:N43)</f>
        <v>24702.4582</v>
      </c>
      <c r="O44" s="140">
        <f ca="1">SUM(O40:O43)</f>
        <v>25101.9455535</v>
      </c>
      <c r="P44" s="140">
        <f ca="1">SUM(P40:P43)</f>
        <v>25526.49213255375</v>
      </c>
      <c r="Q44" s="140">
        <f ca="1">SUM(Q40:Q43)</f>
        <v>25741.81279867726</v>
      </c>
      <c r="R44" s="140">
        <f ca="1">SUM(R40:R43)</f>
        <v>25935.93582426745</v>
      </c>
      <c r="S44" s="16"/>
      <c r="T44" s="140">
        <f t="shared" ref="T44:AA44" si="25" ca="1">SUM(T40:T43)</f>
        <v>20280</v>
      </c>
      <c r="U44" s="140">
        <f ca="1">SUM(U40:U43)</f>
        <v>24153</v>
      </c>
      <c r="V44" s="141">
        <f ca="1">SUM(V40:V43)</f>
        <v>24409</v>
      </c>
      <c r="W44" s="140">
        <f ca="1">SUM(W40:W43)</f>
        <v>24702.4582</v>
      </c>
      <c r="X44" s="140">
        <f ca="1">SUM(X40:X43)</f>
        <v>25935.93582426745</v>
      </c>
      <c r="Y44" s="140">
        <f ca="1">SUM(Y40:Y43)</f>
        <v>26786.842991483172</v>
      </c>
      <c r="Z44" s="140">
        <f ca="1">SUM(Z40:Z43)</f>
        <v>27630.850733590625</v>
      </c>
      <c r="AA44" s="140">
        <f ca="1">SUM(AA40:AA43)</f>
        <v>28581.22128372394</v>
      </c>
      <c r="AB44" s="16"/>
      <c r="AC44" s="16"/>
      <c r="AD44" s="16"/>
      <c r="AE44" s="16"/>
    </row>
    <row r="45" ht="13.5" customHeight="1" spans="1:31" x14ac:dyDescent="0.25">
      <c r="A45" s="17"/>
      <c r="B45" s="16"/>
      <c r="C45" s="16"/>
      <c r="D45" s="16"/>
      <c r="E45" s="16"/>
      <c r="F45" s="16"/>
      <c r="G45" s="143"/>
      <c r="H45" s="143"/>
      <c r="I45" s="143"/>
      <c r="J45" s="144"/>
      <c r="K45" s="143"/>
      <c r="L45" s="143"/>
      <c r="M45" s="143"/>
      <c r="N45" s="145"/>
      <c r="O45" s="143"/>
      <c r="P45" s="143"/>
      <c r="Q45" s="143"/>
      <c r="R45" s="143"/>
      <c r="S45" s="16"/>
      <c r="T45" s="143"/>
      <c r="U45" s="143"/>
      <c r="V45" s="144"/>
      <c r="W45" s="143"/>
      <c r="X45" s="143"/>
      <c r="Y45" s="143"/>
      <c r="Z45" s="143"/>
      <c r="AA45" s="143"/>
      <c r="AB45" s="16"/>
      <c r="AC45" s="16"/>
      <c r="AD45" s="16"/>
      <c r="AE45" s="16"/>
    </row>
    <row r="46" ht="13.5" customHeight="1" spans="1:31" x14ac:dyDescent="0.25">
      <c r="A46" s="17"/>
      <c r="B46" s="16"/>
      <c r="C46" s="139" t="str">
        <f ca="1">Model!C132</f>
        <v>Total Assets</v>
      </c>
      <c r="D46" s="16"/>
      <c r="E46" s="16"/>
      <c r="F46" s="16"/>
      <c r="G46" s="146">
        <f t="shared" ref="G46:R46" si="26" ca="1">SUM(G38,G44)</f>
        <v>45832</v>
      </c>
      <c r="H46" s="146">
        <f ca="1">SUM(H38,H44)</f>
        <v>51763</v>
      </c>
      <c r="I46" s="146">
        <f ca="1">SUM(I38,I44)</f>
        <v>50880</v>
      </c>
      <c r="J46" s="147">
        <f ca="1">SUM(J38,J44)</f>
        <v>46735</v>
      </c>
      <c r="K46" s="146">
        <f ca="1">SUM(K38,K44)</f>
        <v>51200</v>
      </c>
      <c r="L46" s="146">
        <f ca="1">SUM(L38,L44)</f>
        <v>49404</v>
      </c>
      <c r="M46" s="146">
        <f ca="1">SUM(M38,M44)</f>
        <v>49400</v>
      </c>
      <c r="N46" s="148">
        <f ca="1">SUM(N38,N44)</f>
        <v>50429.3583826087</v>
      </c>
      <c r="O46" s="146">
        <f ca="1">SUM(O38,O44)</f>
        <v>52375.80284766154</v>
      </c>
      <c r="P46" s="146">
        <f ca="1">SUM(P38,P44)</f>
        <v>51295.21768468016</v>
      </c>
      <c r="Q46" s="146">
        <f ca="1">SUM(Q38,Q44)</f>
        <v>49770.079735551444</v>
      </c>
      <c r="R46" s="146">
        <f ca="1">SUM(R38,R44)</f>
        <v>48432.89976894154</v>
      </c>
      <c r="S46" s="149"/>
      <c r="T46" s="146">
        <f t="shared" ref="T46:AA46" si="27" ca="1">SUM(T38,T44)</f>
        <v>34508</v>
      </c>
      <c r="U46" s="146">
        <f ca="1">SUM(U38,U44)</f>
        <v>39471</v>
      </c>
      <c r="V46" s="147">
        <f ca="1">SUM(V38,V44)</f>
        <v>46735</v>
      </c>
      <c r="W46" s="146">
        <f ca="1">SUM(W38,W44)</f>
        <v>50429.3583826087</v>
      </c>
      <c r="X46" s="146">
        <f ca="1">SUM(X38,X44)</f>
        <v>48432.89976894154</v>
      </c>
      <c r="Y46" s="146">
        <f ca="1">SUM(Y38,Y44)</f>
        <v>50055.52221658526</v>
      </c>
      <c r="Z46" s="146">
        <f ca="1">SUM(Z38,Z44)</f>
        <v>51339.70621533162</v>
      </c>
      <c r="AA46" s="146">
        <f ca="1">SUM(AA38,AA44)</f>
        <v>52712.85132625894</v>
      </c>
      <c r="AB46" s="16"/>
      <c r="AC46" s="16"/>
      <c r="AD46" s="16"/>
      <c r="AE46" s="16"/>
    </row>
    <row r="47" ht="13.5" customHeight="1" spans="1:31" x14ac:dyDescent="0.25">
      <c r="A47" s="17"/>
      <c r="B47" s="16"/>
      <c r="C47" s="16"/>
      <c r="D47" s="16"/>
      <c r="E47" s="16"/>
      <c r="F47" s="16"/>
      <c r="G47" s="16"/>
      <c r="H47" s="16"/>
      <c r="I47" s="16"/>
      <c r="J47" s="124"/>
      <c r="K47" s="16"/>
      <c r="L47" s="16"/>
      <c r="M47" s="16"/>
      <c r="N47" s="125"/>
      <c r="O47" s="16"/>
      <c r="P47" s="16"/>
      <c r="Q47" s="16"/>
      <c r="R47" s="16"/>
      <c r="S47" s="16"/>
      <c r="T47" s="16"/>
      <c r="U47" s="16"/>
      <c r="V47" s="124"/>
      <c r="W47" s="16"/>
      <c r="X47" s="16"/>
      <c r="Y47" s="16"/>
      <c r="Z47" s="16"/>
      <c r="AA47" s="16"/>
      <c r="AB47" s="16"/>
      <c r="AC47" s="16"/>
      <c r="AD47" s="16"/>
      <c r="AE47" s="16"/>
    </row>
    <row r="48" ht="13.5" customHeight="1" spans="1:31" x14ac:dyDescent="0.25">
      <c r="A48" s="17"/>
      <c r="B48" s="16"/>
      <c r="C48" s="16" t="str">
        <f ca="1">Model!C134</f>
        <v>Accounts Payable</v>
      </c>
      <c r="D48" s="16"/>
      <c r="E48" s="16"/>
      <c r="F48" s="16"/>
      <c r="G48" s="136">
        <f ca="1">Model!P134</f>
        <v>10841</v>
      </c>
      <c r="H48" s="136">
        <f ca="1">Model!Q134</f>
        <v>12916</v>
      </c>
      <c r="I48" s="136">
        <f ca="1">Model!R134</f>
        <v>12759</v>
      </c>
      <c r="J48" s="137">
        <f ca="1">Model!S134</f>
        <v>10884</v>
      </c>
      <c r="K48" s="136">
        <f ca="1">Model!U134</f>
        <v>13964</v>
      </c>
      <c r="L48" s="136">
        <f ca="1">Model!V134</f>
        <v>12011</v>
      </c>
      <c r="M48" s="136">
        <f ca="1">Model!W134</f>
        <v>11334</v>
      </c>
      <c r="N48" s="138">
        <f ca="1">Model!X134</f>
        <v>11323.858532608696</v>
      </c>
      <c r="O48" s="136">
        <f ca="1">Model!Z134</f>
        <v>14082.098578461539</v>
      </c>
      <c r="P48" s="136">
        <f ca="1">Model!AA134</f>
        <v>13208.488998646155</v>
      </c>
      <c r="Q48" s="136">
        <f ca="1">Model!AB134</f>
        <v>13065.937173145043</v>
      </c>
      <c r="R48" s="136">
        <f ca="1">Model!AC134</f>
        <v>12661.478622679173</v>
      </c>
      <c r="S48" s="16"/>
      <c r="T48" s="136">
        <f ca="1">Model!J134</f>
        <v>8279</v>
      </c>
      <c r="U48" s="136">
        <f ca="1">Model!O134</f>
        <v>7659</v>
      </c>
      <c r="V48" s="137">
        <f ca="1">Model!T134</f>
        <v>10884</v>
      </c>
      <c r="W48" s="136">
        <f ca="1">Model!Y134</f>
        <v>11323.858532608696</v>
      </c>
      <c r="X48" s="136">
        <f ca="1">Model!AD134</f>
        <v>12661.478622679173</v>
      </c>
      <c r="Y48" s="136">
        <f ca="1">Model!AE134</f>
        <v>13673.255855145992</v>
      </c>
      <c r="Z48" s="136">
        <f ca="1">Model!AF134</f>
        <v>13930.522690051177</v>
      </c>
      <c r="AA48" s="136">
        <f ca="1">Model!AG134</f>
        <v>14176.088648168821</v>
      </c>
      <c r="AB48" s="16"/>
      <c r="AC48" s="16"/>
      <c r="AD48" s="16"/>
      <c r="AE48" s="16"/>
    </row>
    <row r="49" ht="13.5" customHeight="1" spans="1:31" x14ac:dyDescent="0.25">
      <c r="A49" s="17"/>
      <c r="B49" s="16"/>
      <c r="C49" s="16" t="str">
        <f ca="1">Model!C135</f>
        <v>Accrued Liabilities</v>
      </c>
      <c r="D49" s="16"/>
      <c r="E49" s="16"/>
      <c r="F49" s="16"/>
      <c r="G49" s="136">
        <f ca="1">Model!P135</f>
        <v>982</v>
      </c>
      <c r="H49" s="136">
        <f ca="1">Model!Q135</f>
        <v>1139</v>
      </c>
      <c r="I49" s="136">
        <f ca="1">Model!R135</f>
        <v>1117</v>
      </c>
      <c r="J49" s="137">
        <f ca="1">Model!S135</f>
        <v>2411</v>
      </c>
      <c r="K49" s="136">
        <f ca="1">Model!U135</f>
        <v>1312</v>
      </c>
      <c r="L49" s="136">
        <f ca="1">Model!V135</f>
        <v>1331</v>
      </c>
      <c r="M49" s="136">
        <f ca="1">Model!W135</f>
        <v>1353</v>
      </c>
      <c r="N49" s="138">
        <f ca="1">Model!X135</f>
        <v>947.08635</v>
      </c>
      <c r="O49" s="136">
        <f ca="1">Model!Z135</f>
        <v>1104.716354</v>
      </c>
      <c r="P49" s="136">
        <f ca="1">Model!AA135</f>
        <v>1252.05468633</v>
      </c>
      <c r="Q49" s="136">
        <f ca="1">Model!AB135</f>
        <v>1134.0247357824</v>
      </c>
      <c r="R49" s="136">
        <f ca="1">Model!AC135</f>
        <v>1058.9600302604401</v>
      </c>
      <c r="S49" s="16"/>
      <c r="T49" s="136">
        <f ca="1">Model!J135</f>
        <v>662</v>
      </c>
      <c r="U49" s="136">
        <f ca="1">Model!O135</f>
        <v>684</v>
      </c>
      <c r="V49" s="137">
        <f ca="1">Model!T135</f>
        <v>2411</v>
      </c>
      <c r="W49" s="136">
        <f ca="1">Model!Y135</f>
        <v>947.08635</v>
      </c>
      <c r="X49" s="136">
        <f ca="1">Model!AD135</f>
        <v>1058.9600302604401</v>
      </c>
      <c r="Y49" s="136">
        <f ca="1">Model!AE135</f>
        <v>1201.4740561605136</v>
      </c>
      <c r="Z49" s="136">
        <f ca="1">Model!AF135</f>
        <v>1224.080188227645</v>
      </c>
      <c r="AA49" s="136">
        <f ca="1">Model!AG135</f>
        <v>1245.6581599177973</v>
      </c>
      <c r="AB49" s="16"/>
      <c r="AC49" s="16"/>
      <c r="AD49" s="16"/>
      <c r="AE49" s="16"/>
    </row>
    <row r="50" ht="13.5" customHeight="1" spans="1:31" x14ac:dyDescent="0.25">
      <c r="A50" s="17"/>
      <c r="B50" s="16"/>
      <c r="C50" s="16" t="str">
        <f ca="1">Model!C136</f>
        <v>Other Current Liabilities</v>
      </c>
      <c r="D50" s="16"/>
      <c r="E50" s="16"/>
      <c r="F50" s="16"/>
      <c r="G50" s="136">
        <f ca="1">Model!P136</f>
        <v>5898</v>
      </c>
      <c r="H50" s="136">
        <f ca="1">Model!Q136</f>
        <v>6706</v>
      </c>
      <c r="I50" s="136">
        <f ca="1">Model!R136</f>
        <v>5079</v>
      </c>
      <c r="J50" s="137">
        <f ca="1">Model!S136</f>
        <v>3614</v>
      </c>
      <c r="K50" s="136">
        <f ca="1">Model!U136</f>
        <v>6278</v>
      </c>
      <c r="L50" s="136">
        <f ca="1">Model!V136</f>
        <v>6978</v>
      </c>
      <c r="M50" s="136">
        <f ca="1">Model!W136</f>
        <v>6795</v>
      </c>
      <c r="N50" s="138">
        <f ca="1">Model!X136</f>
        <v>9470.8635</v>
      </c>
      <c r="O50" s="136">
        <f ca="1">Model!Z136</f>
        <v>9721.503915199999</v>
      </c>
      <c r="P50" s="136">
        <f ca="1">Model!AA136</f>
        <v>11018.081239704</v>
      </c>
      <c r="Q50" s="136">
        <f ca="1">Model!AB136</f>
        <v>11340.247357824</v>
      </c>
      <c r="R50" s="136">
        <f ca="1">Model!AC136</f>
        <v>10589.6003026044</v>
      </c>
      <c r="S50" s="16"/>
      <c r="T50" s="136">
        <f ca="1">Model!J136</f>
        <v>4446</v>
      </c>
      <c r="U50" s="136">
        <f ca="1">Model!O136</f>
        <v>6242</v>
      </c>
      <c r="V50" s="137">
        <f ca="1">Model!T136</f>
        <v>3614</v>
      </c>
      <c r="W50" s="136">
        <f ca="1">Model!Y136</f>
        <v>9470.8635</v>
      </c>
      <c r="X50" s="136">
        <f ca="1">Model!AD136</f>
        <v>10589.6003026044</v>
      </c>
      <c r="Y50" s="136">
        <f ca="1">Model!AE136</f>
        <v>11090.529749173971</v>
      </c>
      <c r="Z50" s="136">
        <f ca="1">Model!AF136</f>
        <v>11299.201737485955</v>
      </c>
      <c r="AA50" s="136">
        <f ca="1">Model!AG136</f>
        <v>11498.383014625822</v>
      </c>
      <c r="AB50" s="16"/>
      <c r="AC50" s="16"/>
      <c r="AD50" s="16"/>
      <c r="AE50" s="16"/>
    </row>
    <row r="51" ht="13.5" customHeight="1" spans="1:31" x14ac:dyDescent="0.25">
      <c r="A51" s="17"/>
      <c r="B51" s="16"/>
      <c r="C51" s="139" t="str">
        <f ca="1">Model!C137</f>
        <v>Total Current Liabilities (Excl. Debt)</v>
      </c>
      <c r="D51" s="16"/>
      <c r="E51" s="16"/>
      <c r="F51" s="16"/>
      <c r="G51" s="140">
        <f t="shared" ref="G51:R51" si="28" ca="1">SUM(G48:G50)</f>
        <v>17721</v>
      </c>
      <c r="H51" s="140">
        <f ca="1">SUM(H48:H50)</f>
        <v>20761</v>
      </c>
      <c r="I51" s="140">
        <f ca="1">SUM(I48:I50)</f>
        <v>18955</v>
      </c>
      <c r="J51" s="141">
        <f ca="1">SUM(J48:J50)</f>
        <v>16909</v>
      </c>
      <c r="K51" s="140">
        <f ca="1">SUM(K48:K50)</f>
        <v>21554</v>
      </c>
      <c r="L51" s="140">
        <f ca="1">SUM(L48:L50)</f>
        <v>20320</v>
      </c>
      <c r="M51" s="140">
        <f ca="1">SUM(M48:M50)</f>
        <v>19482</v>
      </c>
      <c r="N51" s="142">
        <f ca="1">SUM(N48:N50)</f>
        <v>21741.808382608695</v>
      </c>
      <c r="O51" s="140">
        <f ca="1">SUM(O48:O50)</f>
        <v>24908.31884766154</v>
      </c>
      <c r="P51" s="140">
        <f ca="1">SUM(P48:P50)</f>
        <v>25478.624924680156</v>
      </c>
      <c r="Q51" s="140">
        <f ca="1">SUM(Q48:Q50)</f>
        <v>25540.209266751444</v>
      </c>
      <c r="R51" s="140">
        <f ca="1">SUM(R48:R50)</f>
        <v>24310.038955544012</v>
      </c>
      <c r="S51" s="16"/>
      <c r="T51" s="140">
        <f t="shared" ref="T51:AA51" si="29" ca="1">SUM(T48:T50)</f>
        <v>13387</v>
      </c>
      <c r="U51" s="140">
        <f ca="1">SUM(U48:U50)</f>
        <v>14585</v>
      </c>
      <c r="V51" s="141">
        <f ca="1">SUM(V48:V50)</f>
        <v>16909</v>
      </c>
      <c r="W51" s="140">
        <f ca="1">SUM(W48:W50)</f>
        <v>21741.808382608695</v>
      </c>
      <c r="X51" s="140">
        <f ca="1">SUM(X48:X50)</f>
        <v>24310.038955544012</v>
      </c>
      <c r="Y51" s="140">
        <f ca="1">SUM(Y48:Y50)</f>
        <v>25965.25966048048</v>
      </c>
      <c r="Z51" s="140">
        <f ca="1">SUM(Z48:Z50)</f>
        <v>26453.804615764777</v>
      </c>
      <c r="AA51" s="140">
        <f ca="1">SUM(AA48:AA50)</f>
        <v>26920.129822712443</v>
      </c>
      <c r="AB51" s="16"/>
      <c r="AC51" s="16"/>
      <c r="AD51" s="16"/>
      <c r="AE51" s="16"/>
    </row>
    <row r="52" ht="13.5" customHeight="1" spans="1:31" x14ac:dyDescent="0.25">
      <c r="A52" s="17"/>
      <c r="B52" s="16"/>
      <c r="C52" s="16"/>
      <c r="D52" s="16"/>
      <c r="E52" s="16"/>
      <c r="F52" s="16"/>
      <c r="G52" s="143"/>
      <c r="H52" s="143"/>
      <c r="I52" s="143"/>
      <c r="J52" s="144"/>
      <c r="K52" s="143"/>
      <c r="L52" s="143"/>
      <c r="M52" s="143"/>
      <c r="N52" s="145"/>
      <c r="O52" s="143"/>
      <c r="P52" s="143"/>
      <c r="Q52" s="143"/>
      <c r="R52" s="143"/>
      <c r="S52" s="16"/>
      <c r="T52" s="143"/>
      <c r="U52" s="143"/>
      <c r="V52" s="144"/>
      <c r="W52" s="143"/>
      <c r="X52" s="143"/>
      <c r="Y52" s="143"/>
      <c r="Z52" s="143"/>
      <c r="AA52" s="143"/>
      <c r="AB52" s="16"/>
      <c r="AC52" s="16"/>
      <c r="AD52" s="16"/>
      <c r="AE52" s="16"/>
    </row>
    <row r="53" ht="13.5" customHeight="1" spans="1:31" x14ac:dyDescent="0.25">
      <c r="A53" s="17"/>
      <c r="B53" s="16"/>
      <c r="C53" s="16" t="str">
        <f ca="1">Model!C139</f>
        <v>Revolver</v>
      </c>
      <c r="D53" s="16"/>
      <c r="E53" s="16"/>
      <c r="F53" s="16"/>
      <c r="G53" s="116">
        <f ca="1">Model!P139</f>
        <v>1e-12</v>
      </c>
      <c r="H53" s="116">
        <f ca="1">Model!Q139</f>
        <v>1e-12</v>
      </c>
      <c r="I53" s="116">
        <f ca="1">Model!R139</f>
        <v>1e-12</v>
      </c>
      <c r="J53" s="117">
        <f ca="1">Model!S139</f>
        <v>1e-12</v>
      </c>
      <c r="K53" s="116">
        <f ca="1">Model!U139</f>
        <v>1e-12</v>
      </c>
      <c r="L53" s="116">
        <f ca="1">Model!V139</f>
        <v>1e-12</v>
      </c>
      <c r="M53" s="116">
        <f ca="1">Model!W139</f>
        <v>1e-12</v>
      </c>
      <c r="N53" s="118">
        <f ca="1">Model!X139</f>
        <v>1e-12</v>
      </c>
      <c r="O53" s="116">
        <f ca="1">Model!Z139</f>
        <v>1e-12</v>
      </c>
      <c r="P53" s="116">
        <f ca="1">Model!AA139</f>
        <v>1e-12</v>
      </c>
      <c r="Q53" s="116">
        <f ca="1">Model!AB139</f>
        <v>1e-12</v>
      </c>
      <c r="R53" s="116">
        <f ca="1">Model!AC139</f>
        <v>1159.3115212375317</v>
      </c>
      <c r="S53" s="16"/>
      <c r="T53" s="116">
        <f ca="1">Model!J139</f>
        <v>1e-12</v>
      </c>
      <c r="U53" s="116">
        <f ca="1">Model!O139</f>
        <v>1e-12</v>
      </c>
      <c r="V53" s="117">
        <f ca="1">Model!T139</f>
        <v>1e-12</v>
      </c>
      <c r="W53" s="116">
        <f ca="1">Model!Y139</f>
        <v>1e-12</v>
      </c>
      <c r="X53" s="116">
        <f ca="1">Model!AD139</f>
        <v>1159.3115212375317</v>
      </c>
      <c r="Y53" s="116">
        <f ca="1">Model!AE139</f>
        <v>7442.950985941585</v>
      </c>
      <c r="Z53" s="116">
        <f ca="1">Model!AF139</f>
        <v>14666.685205840378</v>
      </c>
      <c r="AA53" s="116">
        <f ca="1">Model!AG139</f>
        <v>22135.04815978551</v>
      </c>
      <c r="AB53" s="16"/>
      <c r="AC53" s="16"/>
      <c r="AD53" s="16"/>
      <c r="AE53" s="16"/>
    </row>
    <row r="54" ht="13.5" customHeight="1" spans="1:31" x14ac:dyDescent="0.25">
      <c r="A54" s="17"/>
      <c r="B54" s="16"/>
      <c r="C54" s="16" t="str">
        <f ca="1">Model!C140</f>
        <v>LT Debt (Incl. Current Portion)</v>
      </c>
      <c r="D54" s="16"/>
      <c r="E54" s="16"/>
      <c r="F54" s="16"/>
      <c r="G54" s="136">
        <f ca="1">Model!P140</f>
        <v>20804</v>
      </c>
      <c r="H54" s="136">
        <f ca="1">Model!Q140</f>
        <v>20806</v>
      </c>
      <c r="I54" s="136">
        <f ca="1">Model!R140</f>
        <v>21794</v>
      </c>
      <c r="J54" s="137">
        <f ca="1">Model!S140</f>
        <v>26211</v>
      </c>
      <c r="K54" s="136">
        <f ca="1">Model!U140</f>
        <v>23244</v>
      </c>
      <c r="L54" s="136">
        <f ca="1">Model!V140</f>
        <v>23311</v>
      </c>
      <c r="M54" s="136">
        <f ca="1">Model!W140</f>
        <v>25233</v>
      </c>
      <c r="N54" s="138">
        <f ca="1">Model!X140</f>
        <v>24733</v>
      </c>
      <c r="O54" s="136">
        <f ca="1">Model!Z140</f>
        <v>24233</v>
      </c>
      <c r="P54" s="136">
        <f ca="1">Model!AA140</f>
        <v>23733</v>
      </c>
      <c r="Q54" s="136">
        <f ca="1">Model!AB140</f>
        <v>23233</v>
      </c>
      <c r="R54" s="136">
        <f ca="1">Model!AC140</f>
        <v>22733</v>
      </c>
      <c r="S54" s="16"/>
      <c r="T54" s="136">
        <f ca="1">Model!J140</f>
        <v>15501</v>
      </c>
      <c r="U54" s="136">
        <f ca="1">Model!O140</f>
        <v>17365</v>
      </c>
      <c r="V54" s="137">
        <f ca="1">Model!T140</f>
        <v>26211</v>
      </c>
      <c r="W54" s="136">
        <f ca="1">Model!Y140</f>
        <v>24733</v>
      </c>
      <c r="X54" s="136">
        <f ca="1">Model!AD140</f>
        <v>22733</v>
      </c>
      <c r="Y54" s="136">
        <f ca="1">Model!AE140</f>
        <v>21333</v>
      </c>
      <c r="Z54" s="136">
        <f ca="1">Model!AF140</f>
        <v>20033</v>
      </c>
      <c r="AA54" s="136">
        <f ca="1">Model!AG140</f>
        <v>18833</v>
      </c>
      <c r="AB54" s="16"/>
      <c r="AC54" s="16"/>
      <c r="AD54" s="16"/>
      <c r="AE54" s="16"/>
    </row>
    <row r="55" ht="13.5" customHeight="1" spans="1:31" x14ac:dyDescent="0.25">
      <c r="A55" s="17"/>
      <c r="B55" s="16"/>
      <c r="C55" s="16" t="str">
        <f ca="1">Model!C141</f>
        <v>Deferred Income Taxes</v>
      </c>
      <c r="D55" s="16"/>
      <c r="E55" s="16"/>
      <c r="F55" s="16"/>
      <c r="G55" s="136">
        <f ca="1">Model!P141</f>
        <v>583</v>
      </c>
      <c r="H55" s="136">
        <f ca="1">Model!Q141</f>
        <v>697</v>
      </c>
      <c r="I55" s="136">
        <f ca="1">Model!R141</f>
        <v>790</v>
      </c>
      <c r="J55" s="137">
        <f ca="1">Model!S141</f>
        <v>168</v>
      </c>
      <c r="K55" s="136">
        <f ca="1">Model!U141</f>
        <v>1082</v>
      </c>
      <c r="L55" s="136">
        <f ca="1">Model!V141</f>
        <v>1351</v>
      </c>
      <c r="M55" s="136">
        <f ca="1">Model!W141</f>
        <v>1e-12</v>
      </c>
      <c r="N55" s="138">
        <f ca="1">Model!X141</f>
        <v>1e-12</v>
      </c>
      <c r="O55" s="136">
        <f ca="1">Model!Z141</f>
        <v>1e-12</v>
      </c>
      <c r="P55" s="136">
        <f ca="1">Model!AA141</f>
        <v>1e-12</v>
      </c>
      <c r="Q55" s="136">
        <f ca="1">Model!AB141</f>
        <v>1e-12</v>
      </c>
      <c r="R55" s="136">
        <f ca="1">Model!AC141</f>
        <v>1e-12</v>
      </c>
      <c r="S55" s="16"/>
      <c r="T55" s="136">
        <f ca="1">Model!J141</f>
        <v>247</v>
      </c>
      <c r="U55" s="136">
        <f ca="1">Model!O141</f>
        <v>462</v>
      </c>
      <c r="V55" s="137">
        <f ca="1">Model!T141</f>
        <v>168</v>
      </c>
      <c r="W55" s="136">
        <f ca="1">Model!Y141</f>
        <v>1e-12</v>
      </c>
      <c r="X55" s="136">
        <f ca="1">Model!AD141</f>
        <v>1e-12</v>
      </c>
      <c r="Y55" s="136">
        <f ca="1">Model!AE141</f>
        <v>1e-12</v>
      </c>
      <c r="Z55" s="136">
        <f ca="1">Model!AF141</f>
        <v>1e-12</v>
      </c>
      <c r="AA55" s="136">
        <f ca="1">Model!AG141</f>
        <v>1e-12</v>
      </c>
      <c r="AB55" s="16"/>
      <c r="AC55" s="16"/>
      <c r="AD55" s="16"/>
      <c r="AE55" s="16"/>
    </row>
    <row r="56" ht="13.5" customHeight="1" spans="1:31" x14ac:dyDescent="0.25">
      <c r="A56" s="17"/>
      <c r="B56" s="16"/>
      <c r="C56" s="16" t="str">
        <f ca="1">Model!C142</f>
        <v>Other Non-Current Liabilities</v>
      </c>
      <c r="D56" s="16"/>
      <c r="E56" s="16"/>
      <c r="F56" s="16"/>
      <c r="G56" s="136">
        <f ca="1">Model!P142</f>
        <v>5591</v>
      </c>
      <c r="H56" s="136">
        <f ca="1">Model!Q142</f>
        <v>5840</v>
      </c>
      <c r="I56" s="136">
        <f ca="1">Model!R142</f>
        <v>6058</v>
      </c>
      <c r="J56" s="137">
        <f ca="1">Model!S142</f>
        <v>2010</v>
      </c>
      <c r="K56" s="136">
        <f ca="1">Model!U142</f>
        <v>5957</v>
      </c>
      <c r="L56" s="136">
        <f ca="1">Model!V142</f>
        <v>5948</v>
      </c>
      <c r="M56" s="150">
        <f ca="1">Model!W142</f>
        <v>6261</v>
      </c>
      <c r="N56" s="138">
        <f ca="1">Model!X142</f>
        <v>6261</v>
      </c>
      <c r="O56" s="136">
        <f ca="1">Model!Z142</f>
        <v>6261</v>
      </c>
      <c r="P56" s="136">
        <f ca="1">Model!AA142</f>
        <v>6261</v>
      </c>
      <c r="Q56" s="136">
        <f ca="1">Model!AB142</f>
        <v>6261</v>
      </c>
      <c r="R56" s="136">
        <f ca="1">Model!AC142</f>
        <v>6261</v>
      </c>
      <c r="S56" s="16"/>
      <c r="T56" s="136">
        <f ca="1">Model!J142</f>
        <v>1976</v>
      </c>
      <c r="U56" s="136">
        <f ca="1">Model!O142</f>
        <v>5549</v>
      </c>
      <c r="V56" s="137">
        <f ca="1">Model!T142</f>
        <v>2010</v>
      </c>
      <c r="W56" s="136">
        <f ca="1">Model!Y142</f>
        <v>6261</v>
      </c>
      <c r="X56" s="136">
        <f ca="1">Model!AD142</f>
        <v>6261</v>
      </c>
      <c r="Y56" s="136">
        <f ca="1">Model!AE142</f>
        <v>6261</v>
      </c>
      <c r="Z56" s="136">
        <f ca="1">Model!AF142</f>
        <v>6261</v>
      </c>
      <c r="AA56" s="136">
        <f ca="1">Model!AG142</f>
        <v>6261</v>
      </c>
      <c r="AB56" s="16"/>
      <c r="AC56" s="16"/>
      <c r="AD56" s="16"/>
      <c r="AE56" s="16"/>
    </row>
    <row r="57" ht="13.5" customHeight="1" spans="1:31" x14ac:dyDescent="0.25">
      <c r="A57" s="17"/>
      <c r="B57" s="16"/>
      <c r="C57" s="139" t="str">
        <f ca="1">Model!C143</f>
        <v>Total Non-Current Liabilities</v>
      </c>
      <c r="D57" s="16"/>
      <c r="E57" s="16"/>
      <c r="F57" s="16"/>
      <c r="G57" s="140">
        <f ca="1">SUM(G53:G56)</f>
        <v>26395</v>
      </c>
      <c r="H57" s="140">
        <f t="array" ref="H57" ca="1">INDEX(Data,MATCH($C57,Line_Items,0),MATCH(H$32,Fiscal_Periods,0))</f>
        <v>26646</v>
      </c>
      <c r="I57" s="140">
        <f t="array" ref="I57" ca="1">INDEX(Data,MATCH($C57,Line_Items,0),MATCH(I$32,Fiscal_Periods,0))</f>
        <v>27852</v>
      </c>
      <c r="J57" s="141">
        <f t="array" ref="J57" ca="1">INDEX(Data,MATCH($C57,Line_Items,0),MATCH(J$32,Fiscal_Periods,0))</f>
        <v>28389</v>
      </c>
      <c r="K57" s="140">
        <f t="array" ref="K57" ca="1">INDEX(Data,MATCH($C57,Line_Items,0),MATCH(K$32,Fiscal_Periods,0))</f>
        <v>29201</v>
      </c>
      <c r="L57" s="140">
        <f t="array" ref="L57" ca="1">INDEX(Data,MATCH($C57,Line_Items,0),MATCH(L$32,Fiscal_Periods,0))</f>
        <v>29259</v>
      </c>
      <c r="M57" s="140">
        <f t="array" ref="M57" ca="1">INDEX(Data,MATCH($C57,Line_Items,0),MATCH(M$32,Fiscal_Periods,0))</f>
        <v>31494</v>
      </c>
      <c r="N57" s="142">
        <f ca="1">INDEX(Data,MATCH($C57,Line_Items,0),MATCH(N$32,Fiscal_Periods,0))</f>
      </c>
      <c r="O57" s="140">
        <f ca="1">INDEX(Data,MATCH($C57,Line_Items,0),MATCH(O$32,Fiscal_Periods,0))</f>
      </c>
      <c r="P57" s="140">
        <f ca="1">INDEX(Data,MATCH($C57,Line_Items,0),MATCH(P$32,Fiscal_Periods,0))</f>
      </c>
      <c r="Q57" s="140">
        <f ca="1">INDEX(Data,MATCH($C57,Line_Items,0),MATCH(Q$32,Fiscal_Periods,0))</f>
      </c>
      <c r="R57" s="140">
        <f ca="1">INDEX(Data,MATCH($C57,Line_Items,0),MATCH(R$32,Fiscal_Periods,0))</f>
      </c>
      <c r="S57" s="16"/>
      <c r="T57" s="140">
        <f t="array" ref="T57" ca="1">INDEX(Data,MATCH($C57,Line_Items,0),MATCH(T$32,Fiscal_Periods,0))</f>
        <v>17477</v>
      </c>
      <c r="U57" s="140">
        <f t="array" ref="U57" ca="1">INDEX(Data,MATCH($C57,Line_Items,0),MATCH(U$32,Fiscal_Periods,0))</f>
        <v>22914</v>
      </c>
      <c r="V57" s="141">
        <f t="array" ref="V57" ca="1">INDEX(Data,MATCH($C57,Line_Items,0),MATCH(V$32,Fiscal_Periods,0))</f>
        <v>28389</v>
      </c>
      <c r="W57" s="140">
        <f ca="1">INDEX(Data,MATCH($C57,Line_Items,0),MATCH(W$32,Fiscal_Periods,0))</f>
      </c>
      <c r="X57" s="140">
        <f ca="1">INDEX(Data,MATCH($C57,Line_Items,0),MATCH(X$32,Fiscal_Periods,0))</f>
      </c>
      <c r="Y57" s="140">
        <f ca="1">INDEX(Data,MATCH($C57,Line_Items,0),MATCH(Y$32,Fiscal_Periods,0))</f>
      </c>
      <c r="Z57" s="140">
        <f ca="1">INDEX(Data,MATCH($C57,Line_Items,0),MATCH(Z$32,Fiscal_Periods,0))</f>
      </c>
      <c r="AA57" s="140">
        <f ca="1">INDEX(Data,MATCH($C57,Line_Items,0),MATCH(AA$32,Fiscal_Periods,0))</f>
      </c>
      <c r="AB57" s="16"/>
      <c r="AC57" s="16"/>
      <c r="AD57" s="16"/>
      <c r="AE57" s="16"/>
    </row>
    <row r="58" ht="13.5" customHeight="1" spans="1:31" x14ac:dyDescent="0.25">
      <c r="A58" s="17"/>
      <c r="B58" s="16"/>
      <c r="C58" s="16"/>
      <c r="D58" s="16"/>
      <c r="E58" s="16"/>
      <c r="F58" s="16"/>
      <c r="G58" s="143"/>
      <c r="H58" s="143"/>
      <c r="I58" s="143"/>
      <c r="J58" s="144"/>
      <c r="K58" s="143"/>
      <c r="L58" s="143"/>
      <c r="M58" s="143"/>
      <c r="N58" s="145"/>
      <c r="O58" s="143"/>
      <c r="P58" s="143"/>
      <c r="Q58" s="143"/>
      <c r="R58" s="143"/>
      <c r="S58" s="16"/>
      <c r="T58" s="143"/>
      <c r="U58" s="143"/>
      <c r="V58" s="144"/>
      <c r="W58" s="143"/>
      <c r="X58" s="143"/>
      <c r="Y58" s="143"/>
      <c r="Z58" s="143"/>
      <c r="AA58" s="143"/>
      <c r="AB58" s="16"/>
      <c r="AC58" s="16"/>
      <c r="AD58" s="16"/>
      <c r="AE58" s="16"/>
    </row>
    <row r="59" ht="13.5" customHeight="1" spans="1:31" x14ac:dyDescent="0.25">
      <c r="A59" s="17"/>
      <c r="B59" s="16"/>
      <c r="C59" s="139" t="str">
        <f ca="1">Model!C145</f>
        <v>Total Liabilities</v>
      </c>
      <c r="D59" s="16"/>
      <c r="E59" s="16"/>
      <c r="F59" s="16"/>
      <c r="G59" s="140">
        <f t="shared" ref="G59:R59" si="30" ca="1">SUM(G51,G57)</f>
        <v>44116</v>
      </c>
      <c r="H59" s="140">
        <f ca="1">SUM(H51,H57)</f>
        <v>47407</v>
      </c>
      <c r="I59" s="140">
        <f ca="1">SUM(I51,I57)</f>
        <v>46807</v>
      </c>
      <c r="J59" s="141">
        <f ca="1">SUM(J51,J57)</f>
        <v>45298</v>
      </c>
      <c r="K59" s="140">
        <f ca="1">SUM(K51,K57)</f>
        <v>50755</v>
      </c>
      <c r="L59" s="140">
        <f ca="1">SUM(L51,L57)</f>
        <v>49579</v>
      </c>
      <c r="M59" s="140">
        <f ca="1">SUM(M51,M57)</f>
        <v>50976</v>
      </c>
      <c r="N59" s="142">
        <f ca="1">SUM(N51,N57)</f>
        <v>21741.808382608695</v>
      </c>
      <c r="O59" s="140">
        <f ca="1">SUM(O51,O57)</f>
        <v>24908.31884766154</v>
      </c>
      <c r="P59" s="140">
        <f ca="1">SUM(P51,P57)</f>
        <v>25478.624924680156</v>
      </c>
      <c r="Q59" s="140">
        <f ca="1">SUM(Q51,Q57)</f>
        <v>25540.209266751444</v>
      </c>
      <c r="R59" s="140">
        <f ca="1">SUM(R51,R57)</f>
        <v>24310.038955544012</v>
      </c>
      <c r="S59" s="16"/>
      <c r="T59" s="140">
        <f t="shared" ref="T59:AA59" si="31" ca="1">SUM(T51,T57)</f>
        <v>30864</v>
      </c>
      <c r="U59" s="140">
        <f ca="1">SUM(U51,U57)</f>
        <v>37499</v>
      </c>
      <c r="V59" s="141">
        <f ca="1">SUM(V51,V57)</f>
        <v>45298</v>
      </c>
      <c r="W59" s="140">
        <f ca="1">SUM(W51,W57)</f>
        <v>21741.808382608695</v>
      </c>
      <c r="X59" s="140">
        <f ca="1">SUM(X51,X57)</f>
        <v>24310.038955544012</v>
      </c>
      <c r="Y59" s="140">
        <f ca="1">SUM(Y51,Y57)</f>
        <v>25965.25966048048</v>
      </c>
      <c r="Z59" s="140">
        <f ca="1">SUM(Z51,Z57)</f>
        <v>26453.804615764777</v>
      </c>
      <c r="AA59" s="140">
        <f ca="1">SUM(AA51,AA57)</f>
        <v>26920.129822712443</v>
      </c>
      <c r="AB59" s="16"/>
      <c r="AC59" s="16"/>
      <c r="AD59" s="16"/>
      <c r="AE59" s="16"/>
    </row>
    <row r="60" ht="13.5" customHeight="1" spans="1:31" x14ac:dyDescent="0.25">
      <c r="A60" s="17"/>
      <c r="B60" s="16"/>
      <c r="C60" s="16"/>
      <c r="D60" s="16"/>
      <c r="E60" s="16"/>
      <c r="F60" s="16"/>
      <c r="G60" s="16"/>
      <c r="H60" s="16"/>
      <c r="I60" s="16"/>
      <c r="J60" s="124"/>
      <c r="K60" s="16"/>
      <c r="L60" s="16"/>
      <c r="M60" s="16"/>
      <c r="N60" s="125"/>
      <c r="O60" s="16"/>
      <c r="P60" s="16"/>
      <c r="Q60" s="16"/>
      <c r="R60" s="16"/>
      <c r="S60" s="16"/>
      <c r="T60" s="16"/>
      <c r="U60" s="16"/>
      <c r="V60" s="124"/>
      <c r="W60" s="16"/>
      <c r="X60" s="16"/>
      <c r="Y60" s="16"/>
      <c r="Z60" s="16"/>
      <c r="AA60" s="16"/>
      <c r="AB60" s="16"/>
      <c r="AC60" s="16"/>
      <c r="AD60" s="16"/>
      <c r="AE60" s="16"/>
    </row>
    <row r="61" ht="13.5" customHeight="1" spans="1:31" x14ac:dyDescent="0.25">
      <c r="A61" s="17"/>
      <c r="B61" s="16"/>
      <c r="C61" s="16" t="str">
        <f ca="1">Model!C147</f>
        <v>Common Stock &amp; APIC</v>
      </c>
      <c r="D61" s="16"/>
      <c r="E61" s="16"/>
      <c r="F61" s="16"/>
      <c r="G61" s="116">
        <f ca="1">Model!P147</f>
        <v>387</v>
      </c>
      <c r="H61" s="116">
        <f ca="1">Model!Q147</f>
        <v>507</v>
      </c>
      <c r="I61" s="116">
        <f ca="1">Model!R147</f>
        <v>376</v>
      </c>
      <c r="J61" s="117">
        <f ca="1">Model!S147</f>
        <v>456</v>
      </c>
      <c r="K61" s="116">
        <f ca="1">Model!U147</f>
        <v>358</v>
      </c>
      <c r="L61" s="116">
        <f ca="1">Model!V147</f>
        <v>350</v>
      </c>
      <c r="M61" s="116">
        <f ca="1">Model!W147</f>
        <v>343</v>
      </c>
      <c r="N61" s="118">
        <f ca="1">Model!X147</f>
        <v>394.3</v>
      </c>
      <c r="O61" s="116">
        <f ca="1">Model!Z147</f>
        <v>454.834</v>
      </c>
      <c r="P61" s="116">
        <f ca="1">Model!AA147</f>
        <v>523.84276</v>
      </c>
      <c r="Q61" s="116">
        <f ca="1">Model!AB147</f>
        <v>584.5704688</v>
      </c>
      <c r="R61" s="116">
        <f ca="1">Model!AC147</f>
        <v>642.2617921599999</v>
      </c>
      <c r="S61" s="16"/>
      <c r="T61" s="116">
        <f ca="1">Model!J147</f>
        <v>401</v>
      </c>
      <c r="U61" s="116">
        <f ca="1">Model!O147</f>
        <v>381</v>
      </c>
      <c r="V61" s="117">
        <f ca="1">Model!T147</f>
        <v>456</v>
      </c>
      <c r="W61" s="116">
        <f ca="1">Model!Y147</f>
        <v>394.3</v>
      </c>
      <c r="X61" s="116">
        <f ca="1">Model!AD147</f>
        <v>642.2617921599999</v>
      </c>
      <c r="Y61" s="116">
        <f ca="1">Model!AE147</f>
        <v>895.1828201632</v>
      </c>
      <c r="Z61" s="116">
        <f ca="1">Model!AF147</f>
        <v>1153.162268726464</v>
      </c>
      <c r="AA61" s="116">
        <f ca="1">Model!AG147</f>
        <v>1416.3013062609932</v>
      </c>
      <c r="AB61" s="16"/>
      <c r="AC61" s="16"/>
      <c r="AD61" s="16"/>
      <c r="AE61" s="16"/>
    </row>
    <row r="62" ht="13.5" customHeight="1" spans="1:31" x14ac:dyDescent="0.25">
      <c r="A62" s="17"/>
      <c r="B62" s="16"/>
      <c r="C62" s="16" t="str">
        <f ca="1">Model!C148</f>
        <v>Retained Earnings</v>
      </c>
      <c r="D62" s="16"/>
      <c r="E62" s="16"/>
      <c r="F62" s="16"/>
      <c r="G62" s="136">
        <f ca="1">Model!P148</f>
        <v>1722</v>
      </c>
      <c r="H62" s="136">
        <f ca="1">Model!Q148</f>
        <v>4134</v>
      </c>
      <c r="I62" s="136">
        <f ca="1">Model!R148</f>
        <v>3942</v>
      </c>
      <c r="J62" s="137">
        <f ca="1">Model!S148</f>
        <v>1117</v>
      </c>
      <c r="K62" s="136">
        <f ca="1">Model!U148</f>
        <v>98</v>
      </c>
      <c r="L62" s="136">
        <f ca="1">Model!V148</f>
        <v>-460</v>
      </c>
      <c r="M62" s="136">
        <f ca="1">Model!W148</f>
        <v>-1913</v>
      </c>
      <c r="N62" s="138">
        <f ca="1">Model!X148</f>
        <v>-4101.326413000001</v>
      </c>
      <c r="O62" s="136">
        <f ca="1">Model!Z148</f>
        <v>-6456.137202860004</v>
      </c>
      <c r="P62" s="136">
        <f ca="1">Model!AA148</f>
        <v>-9371.775587737555</v>
      </c>
      <c r="Q62" s="136">
        <f ca="1">Model!AB148</f>
        <v>-12393.80796670372</v>
      </c>
      <c r="R62" s="136">
        <f ca="1">Model!AC148</f>
        <v>-14718.806500856232</v>
      </c>
      <c r="S62" s="16"/>
      <c r="T62" s="136">
        <f ca="1">Model!J148</f>
        <v>3452</v>
      </c>
      <c r="U62" s="136">
        <f ca="1">Model!O148</f>
        <v>1727</v>
      </c>
      <c r="V62" s="137">
        <f ca="1">Model!T148</f>
        <v>1117</v>
      </c>
      <c r="W62" s="136">
        <f ca="1">Model!Y148</f>
        <v>-4101.326413000001</v>
      </c>
      <c r="X62" s="136">
        <f ca="1">Model!AD148</f>
        <v>-14718.806500856232</v>
      </c>
      <c r="Y62" s="136">
        <f ca="1">Model!AE148</f>
        <v>-24915.177829276316</v>
      </c>
      <c r="Z62" s="136">
        <f ca="1">Model!AF148</f>
        <v>-35297.006532772815</v>
      </c>
      <c r="AA62" s="136">
        <f ca="1">Model!AG148</f>
        <v>-45726.71983604261</v>
      </c>
      <c r="AB62" s="16"/>
      <c r="AC62" s="16"/>
      <c r="AD62" s="16"/>
      <c r="AE62" s="16"/>
    </row>
    <row r="63" ht="13.5" customHeight="1" spans="1:31" x14ac:dyDescent="0.25">
      <c r="A63" s="17"/>
      <c r="B63" s="16"/>
      <c r="C63" s="16" t="str">
        <f ca="1">Model!C149</f>
        <v>Treasury Stock</v>
      </c>
      <c r="D63" s="16"/>
      <c r="E63" s="16"/>
      <c r="F63" s="16"/>
      <c r="G63" s="136">
        <f ca="1">Model!P149</f>
        <v>1e-12</v>
      </c>
      <c r="H63" s="136">
        <f ca="1">Model!Q149</f>
        <v>1e-12</v>
      </c>
      <c r="I63" s="136">
        <f ca="1">Model!R149</f>
        <v>1e-12</v>
      </c>
      <c r="J63" s="137">
        <f ca="1">Model!S149</f>
        <v>1e-12</v>
      </c>
      <c r="K63" s="136">
        <f ca="1">Model!U149</f>
        <v>1e-12</v>
      </c>
      <c r="L63" s="136">
        <f ca="1">Model!V149</f>
        <v>1e-12</v>
      </c>
      <c r="M63" s="136">
        <f ca="1">Model!W149</f>
        <v>1e-12</v>
      </c>
      <c r="N63" s="138">
        <f ca="1">Model!X149</f>
        <v>-500</v>
      </c>
      <c r="O63" s="136">
        <f ca="1">Model!Z149</f>
        <v>-1000</v>
      </c>
      <c r="P63" s="136">
        <f ca="1">Model!AA149</f>
        <v>-1500</v>
      </c>
      <c r="Q63" s="136">
        <f ca="1">Model!AB149</f>
        <v>-2000</v>
      </c>
      <c r="R63" s="136">
        <f ca="1">Model!AC149</f>
        <v>-2500</v>
      </c>
      <c r="S63" s="16"/>
      <c r="T63" s="136">
        <f ca="1">Model!J149</f>
        <v>1e-12</v>
      </c>
      <c r="U63" s="136">
        <f ca="1">Model!O149</f>
        <v>1e-12</v>
      </c>
      <c r="V63" s="137">
        <f ca="1">Model!T149</f>
        <v>1e-12</v>
      </c>
      <c r="W63" s="136">
        <f ca="1">Model!Y149</f>
        <v>-500</v>
      </c>
      <c r="X63" s="136">
        <f ca="1">Model!AD149</f>
        <v>-2500</v>
      </c>
      <c r="Y63" s="136">
        <f ca="1">Model!AE149</f>
        <v>-5500</v>
      </c>
      <c r="Z63" s="136">
        <f ca="1">Model!AF149</f>
        <v>-8500</v>
      </c>
      <c r="AA63" s="136">
        <f ca="1">Model!AG149</f>
        <v>-11500</v>
      </c>
      <c r="AB63" s="16"/>
      <c r="AC63" s="16"/>
      <c r="AD63" s="16"/>
      <c r="AE63" s="16"/>
    </row>
    <row r="64" ht="13.5" customHeight="1" spans="1:31" x14ac:dyDescent="0.25">
      <c r="A64" s="17"/>
      <c r="B64" s="16"/>
      <c r="C64" s="16" t="str">
        <f ca="1">Model!C150</f>
        <v>Accumulated Other Comprehensive Income (AOCI)</v>
      </c>
      <c r="D64" s="16"/>
      <c r="E64" s="16"/>
      <c r="F64" s="16"/>
      <c r="G64" s="136">
        <f ca="1">Model!P150</f>
        <v>-393</v>
      </c>
      <c r="H64" s="136">
        <f ca="1">Model!Q150</f>
        <v>-285</v>
      </c>
      <c r="I64" s="136">
        <f ca="1">Model!R150</f>
        <v>-245</v>
      </c>
      <c r="J64" s="137">
        <f ca="1">Model!S150</f>
        <v>-136</v>
      </c>
      <c r="K64" s="136">
        <f ca="1">Model!U150</f>
        <v>-11</v>
      </c>
      <c r="L64" s="136">
        <f ca="1">Model!V150</f>
        <v>-65</v>
      </c>
      <c r="M64" s="136">
        <f ca="1">Model!W150</f>
        <v>-6</v>
      </c>
      <c r="N64" s="138">
        <f ca="1">Model!X150</f>
        <v>-6</v>
      </c>
      <c r="O64" s="136">
        <f ca="1">Model!Z150</f>
        <v>-6</v>
      </c>
      <c r="P64" s="136">
        <f ca="1">Model!AA150</f>
        <v>-6</v>
      </c>
      <c r="Q64" s="136">
        <f ca="1">Model!AB150</f>
        <v>-6</v>
      </c>
      <c r="R64" s="136">
        <f ca="1">Model!AC150</f>
        <v>-6</v>
      </c>
      <c r="S64" s="16"/>
      <c r="T64" s="136">
        <f ca="1">Model!J150</f>
        <v>-209</v>
      </c>
      <c r="U64" s="136">
        <f ca="1">Model!O150</f>
        <v>-136</v>
      </c>
      <c r="V64" s="137">
        <f ca="1">Model!T150</f>
        <v>-136</v>
      </c>
      <c r="W64" s="136">
        <f ca="1">Model!Y150</f>
        <v>-6</v>
      </c>
      <c r="X64" s="136">
        <f ca="1">Model!AD150</f>
        <v>-6</v>
      </c>
      <c r="Y64" s="136">
        <f ca="1">Model!AE150</f>
        <v>-6</v>
      </c>
      <c r="Z64" s="136">
        <f ca="1">Model!AF150</f>
        <v>-6</v>
      </c>
      <c r="AA64" s="136">
        <f ca="1">Model!AG150</f>
        <v>-6</v>
      </c>
      <c r="AB64" s="16"/>
      <c r="AC64" s="16"/>
      <c r="AD64" s="16"/>
      <c r="AE64" s="16"/>
    </row>
    <row r="65" ht="13.5" customHeight="1" spans="1:31" x14ac:dyDescent="0.25">
      <c r="A65" s="17"/>
      <c r="B65" s="16"/>
      <c r="C65" s="139" t="str">
        <f ca="1">Model!C151</f>
        <v>Total Shareholder's Equity</v>
      </c>
      <c r="D65" s="16"/>
      <c r="E65" s="16"/>
      <c r="F65" s="16"/>
      <c r="G65" s="140">
        <f t="shared" ref="G65:R65" si="32" ca="1">SUM(G61:G64)</f>
        <v>1716</v>
      </c>
      <c r="H65" s="140">
        <f ca="1">SUM(H61:H64)</f>
        <v>4356</v>
      </c>
      <c r="I65" s="140">
        <f ca="1">SUM(I61:I64)</f>
        <v>4073</v>
      </c>
      <c r="J65" s="141">
        <f ca="1">SUM(J61:J64)</f>
        <v>1437</v>
      </c>
      <c r="K65" s="140">
        <f ca="1">SUM(K61:K64)</f>
        <v>445</v>
      </c>
      <c r="L65" s="140">
        <f ca="1">SUM(L61:L64)</f>
        <v>-175</v>
      </c>
      <c r="M65" s="140">
        <f ca="1">SUM(M61:M64)</f>
        <v>-1576</v>
      </c>
      <c r="N65" s="142">
        <f ca="1">SUM(N61:N64)</f>
        <v>-4213.0264130000005</v>
      </c>
      <c r="O65" s="140">
        <f ca="1">SUM(O61:O64)</f>
        <v>-7007.303202860005</v>
      </c>
      <c r="P65" s="140">
        <f ca="1">SUM(P61:P64)</f>
        <v>-10353.932827737555</v>
      </c>
      <c r="Q65" s="140">
        <f ca="1">SUM(Q61:Q64)</f>
        <v>-13815.23749790372</v>
      </c>
      <c r="R65" s="140">
        <f ca="1">SUM(R61:R64)</f>
        <v>-16582.54470869623</v>
      </c>
      <c r="S65" s="16"/>
      <c r="T65" s="140">
        <f t="shared" ref="T65:AA65" si="33" ca="1">SUM(T61:T64)</f>
        <v>3644</v>
      </c>
      <c r="U65" s="140">
        <f ca="1">SUM(U61:U64)</f>
        <v>1972</v>
      </c>
      <c r="V65" s="141">
        <f ca="1">SUM(V61:V64)</f>
        <v>1437</v>
      </c>
      <c r="W65" s="140">
        <f ca="1">SUM(W61:W64)</f>
        <v>-4213.0264130000005</v>
      </c>
      <c r="X65" s="140">
        <f ca="1">SUM(X61:X64)</f>
        <v>-16582.54470869623</v>
      </c>
      <c r="Y65" s="140">
        <f ca="1">SUM(Y61:Y64)</f>
        <v>-29525.995009113114</v>
      </c>
      <c r="Z65" s="140">
        <f ca="1">SUM(Z61:Z64)</f>
        <v>-42649.844264046355</v>
      </c>
      <c r="AA65" s="140">
        <f ca="1">SUM(AA61:AA64)</f>
        <v>-55816.41852978162</v>
      </c>
      <c r="AB65" s="16"/>
      <c r="AC65" s="16"/>
      <c r="AD65" s="16"/>
      <c r="AE65" s="16"/>
    </row>
    <row r="66" ht="13.5" customHeight="1" spans="1:31" x14ac:dyDescent="0.25">
      <c r="A66" s="17"/>
      <c r="B66" s="16"/>
      <c r="C66" s="16"/>
      <c r="D66" s="16"/>
      <c r="E66" s="16"/>
      <c r="F66" s="16"/>
      <c r="G66" s="143"/>
      <c r="H66" s="143"/>
      <c r="I66" s="143"/>
      <c r="J66" s="144"/>
      <c r="K66" s="143"/>
      <c r="L66" s="143"/>
      <c r="M66" s="143"/>
      <c r="N66" s="145"/>
      <c r="O66" s="143"/>
      <c r="P66" s="143"/>
      <c r="Q66" s="143"/>
      <c r="R66" s="143"/>
      <c r="S66" s="16"/>
      <c r="T66" s="143"/>
      <c r="U66" s="143"/>
      <c r="V66" s="144"/>
      <c r="W66" s="143"/>
      <c r="X66" s="143"/>
      <c r="Y66" s="143"/>
      <c r="Z66" s="143"/>
      <c r="AA66" s="143"/>
      <c r="AB66" s="16"/>
      <c r="AC66" s="16"/>
      <c r="AD66" s="16"/>
      <c r="AE66" s="16"/>
    </row>
    <row r="67" ht="13.5" customHeight="1" spans="1:31" x14ac:dyDescent="0.25">
      <c r="A67" s="17"/>
      <c r="B67" s="16"/>
      <c r="C67" s="16" t="str">
        <f ca="1">Model!C153</f>
        <v>Noncontrolling Interests</v>
      </c>
      <c r="D67" s="16"/>
      <c r="E67" s="16"/>
      <c r="F67" s="16"/>
      <c r="G67" s="136">
        <f ca="1">Model!P153</f>
        <v>1e-12</v>
      </c>
      <c r="H67" s="136">
        <f ca="1">Model!Q153</f>
        <v>1e-12</v>
      </c>
      <c r="I67" s="136">
        <f ca="1">Model!R153</f>
        <v>1e-12</v>
      </c>
      <c r="J67" s="137">
        <f ca="1">Model!S153</f>
        <v>1e-12</v>
      </c>
      <c r="K67" s="136">
        <f ca="1">Model!U153</f>
        <v>1e-12</v>
      </c>
      <c r="L67" s="136">
        <f ca="1">Model!V153</f>
        <v>1e-12</v>
      </c>
      <c r="M67" s="136">
        <f ca="1">Model!W153</f>
        <v>1e-12</v>
      </c>
      <c r="N67" s="138">
        <f ca="1">Model!X153</f>
        <v>1e-12</v>
      </c>
      <c r="O67" s="136">
        <f ca="1">Model!Z153</f>
        <v>1e-12</v>
      </c>
      <c r="P67" s="136">
        <f ca="1">Model!AA153</f>
        <v>1e-12</v>
      </c>
      <c r="Q67" s="136">
        <f ca="1">Model!AB153</f>
        <v>1e-12</v>
      </c>
      <c r="R67" s="136">
        <f ca="1">Model!AC153</f>
        <v>1e-12</v>
      </c>
      <c r="S67" s="16"/>
      <c r="T67" s="136">
        <f ca="1">Model!J153</f>
        <v>1e-12</v>
      </c>
      <c r="U67" s="136">
        <f ca="1">Model!O153</f>
        <v>1e-12</v>
      </c>
      <c r="V67" s="137">
        <f ca="1">Model!T153</f>
        <v>1e-12</v>
      </c>
      <c r="W67" s="136">
        <f ca="1">Model!Y153</f>
        <v>1e-12</v>
      </c>
      <c r="X67" s="136">
        <f ca="1">Model!AD153</f>
        <v>1e-12</v>
      </c>
      <c r="Y67" s="136">
        <f ca="1">Model!AE153</f>
        <v>1e-12</v>
      </c>
      <c r="Z67" s="136">
        <f ca="1">Model!AF153</f>
        <v>1e-12</v>
      </c>
      <c r="AA67" s="136">
        <f ca="1">Model!AG153</f>
        <v>1e-12</v>
      </c>
      <c r="AB67" s="16"/>
      <c r="AC67" s="16"/>
      <c r="AD67" s="16"/>
      <c r="AE67" s="16"/>
    </row>
    <row r="68" ht="13.5" customHeight="1" spans="1:31" x14ac:dyDescent="0.25">
      <c r="A68" s="17"/>
      <c r="B68" s="16"/>
      <c r="C68" s="139" t="str">
        <f ca="1">Model!C154</f>
        <v>Total Equity</v>
      </c>
      <c r="D68" s="16"/>
      <c r="E68" s="16"/>
      <c r="F68" s="16"/>
      <c r="G68" s="140">
        <f t="shared" ref="G68:R68" si="34" ca="1">SUM(G65,G67)</f>
        <v>1716</v>
      </c>
      <c r="H68" s="140">
        <f ca="1">SUM(H65,H67)</f>
        <v>4356</v>
      </c>
      <c r="I68" s="140">
        <f ca="1">SUM(I65,I67)</f>
        <v>4073</v>
      </c>
      <c r="J68" s="141">
        <f ca="1">SUM(J65,J67)</f>
        <v>1437</v>
      </c>
      <c r="K68" s="140">
        <f ca="1">SUM(K65,K67)</f>
        <v>445</v>
      </c>
      <c r="L68" s="140">
        <f ca="1">SUM(L65,L67)</f>
        <v>-175</v>
      </c>
      <c r="M68" s="140">
        <f ca="1">SUM(M65,M67)</f>
        <v>-1576</v>
      </c>
      <c r="N68" s="142">
        <f ca="1">SUM(N65,N67)</f>
        <v>-4213.0264130000005</v>
      </c>
      <c r="O68" s="140">
        <f ca="1">SUM(O65,O67)</f>
        <v>-7007.303202860005</v>
      </c>
      <c r="P68" s="140">
        <f ca="1">SUM(P65,P67)</f>
        <v>-10353.932827737555</v>
      </c>
      <c r="Q68" s="140">
        <f ca="1">SUM(Q65,Q67)</f>
        <v>-13815.23749790372</v>
      </c>
      <c r="R68" s="140">
        <f ca="1">SUM(R65,R67)</f>
        <v>-16582.54470869623</v>
      </c>
      <c r="S68" s="16"/>
      <c r="T68" s="140">
        <f t="shared" ref="T68:AA68" si="35" ca="1">SUM(T65,T67)</f>
        <v>3644</v>
      </c>
      <c r="U68" s="140">
        <f ca="1">SUM(U65,U67)</f>
        <v>1972</v>
      </c>
      <c r="V68" s="141">
        <f ca="1">SUM(V65,V67)</f>
        <v>1437</v>
      </c>
      <c r="W68" s="140">
        <f ca="1">SUM(W65,W67)</f>
        <v>-4213.0264130000005</v>
      </c>
      <c r="X68" s="140">
        <f ca="1">SUM(X65,X67)</f>
        <v>-16582.54470869623</v>
      </c>
      <c r="Y68" s="140">
        <f ca="1">SUM(Y65,Y67)</f>
        <v>-29525.995009113114</v>
      </c>
      <c r="Z68" s="140">
        <f ca="1">SUM(Z65,Z67)</f>
        <v>-42649.844264046355</v>
      </c>
      <c r="AA68" s="140">
        <f ca="1">SUM(AA65,AA67)</f>
        <v>-55816.41852978162</v>
      </c>
      <c r="AB68" s="16"/>
      <c r="AC68" s="16"/>
      <c r="AD68" s="16"/>
      <c r="AE68" s="16"/>
    </row>
    <row r="69" ht="13.5" customHeight="1" spans="1:31" x14ac:dyDescent="0.25">
      <c r="A69" s="17"/>
      <c r="B69" s="16"/>
      <c r="C69" s="16"/>
      <c r="D69" s="16"/>
      <c r="E69" s="16"/>
      <c r="F69" s="16"/>
      <c r="G69" s="143"/>
      <c r="H69" s="143"/>
      <c r="I69" s="143"/>
      <c r="J69" s="144"/>
      <c r="K69" s="143"/>
      <c r="L69" s="143"/>
      <c r="M69" s="143"/>
      <c r="N69" s="145"/>
      <c r="O69" s="143"/>
      <c r="P69" s="143"/>
      <c r="Q69" s="143"/>
      <c r="R69" s="143"/>
      <c r="S69" s="16"/>
      <c r="T69" s="143"/>
      <c r="U69" s="143"/>
      <c r="V69" s="144"/>
      <c r="W69" s="143"/>
      <c r="X69" s="143"/>
      <c r="Y69" s="143"/>
      <c r="Z69" s="143"/>
      <c r="AA69" s="143"/>
      <c r="AB69" s="16"/>
      <c r="AC69" s="16"/>
      <c r="AD69" s="16"/>
      <c r="AE69" s="16"/>
    </row>
    <row r="70" ht="13.5" customHeight="1" spans="1:31" x14ac:dyDescent="0.25">
      <c r="A70" s="17"/>
      <c r="B70" s="16"/>
      <c r="C70" s="139" t="str">
        <f ca="1">Model!C156</f>
        <v>Total Liabilities &amp; Shareholder's Equity</v>
      </c>
      <c r="D70" s="16"/>
      <c r="E70" s="16"/>
      <c r="F70" s="16"/>
      <c r="G70" s="146">
        <f t="shared" ref="G70:R70" si="36" ca="1">SUM(G59,G68)</f>
        <v>45832</v>
      </c>
      <c r="H70" s="146">
        <f ca="1">SUM(H59,H68)</f>
        <v>51763</v>
      </c>
      <c r="I70" s="146">
        <f ca="1">SUM(I59,I68)</f>
        <v>50880</v>
      </c>
      <c r="J70" s="147">
        <f ca="1">SUM(J59,J68)</f>
        <v>46735</v>
      </c>
      <c r="K70" s="146">
        <f ca="1">SUM(K59,K68)</f>
        <v>51200</v>
      </c>
      <c r="L70" s="146">
        <f ca="1">SUM(L59,L68)</f>
        <v>49404</v>
      </c>
      <c r="M70" s="146">
        <f ca="1">SUM(M59,M68)</f>
        <v>49400</v>
      </c>
      <c r="N70" s="148">
        <f ca="1">SUM(N59,N68)</f>
        <v>17528.781969608695</v>
      </c>
      <c r="O70" s="146">
        <f ca="1">SUM(O59,O68)</f>
        <v>17901.015644801533</v>
      </c>
      <c r="P70" s="146">
        <f ca="1">SUM(P59,P68)</f>
        <v>15124.692096942601</v>
      </c>
      <c r="Q70" s="146">
        <f ca="1">SUM(Q59,Q68)</f>
        <v>11724.971768847725</v>
      </c>
      <c r="R70" s="146">
        <f ca="1">SUM(R59,R68)</f>
        <v>7727.494246847782</v>
      </c>
      <c r="S70" s="149"/>
      <c r="T70" s="146">
        <f t="shared" ref="T70:AA70" si="37" ca="1">SUM(T59,T68)</f>
        <v>34508</v>
      </c>
      <c r="U70" s="146">
        <f ca="1">SUM(U59,U68)</f>
        <v>39471</v>
      </c>
      <c r="V70" s="147">
        <f ca="1">SUM(V59,V68)</f>
        <v>46735</v>
      </c>
      <c r="W70" s="146">
        <f ca="1">SUM(W59,W68)</f>
        <v>17528.781969608695</v>
      </c>
      <c r="X70" s="146">
        <f ca="1">SUM(X59,X68)</f>
        <v>7727.494246847782</v>
      </c>
      <c r="Y70" s="146">
        <f ca="1">SUM(Y59,Y68)</f>
        <v>-3560.7353486326356</v>
      </c>
      <c r="Z70" s="146">
        <f ca="1">SUM(Z59,Z68)</f>
        <v>-16196.039648281578</v>
      </c>
      <c r="AA70" s="146">
        <f ca="1">SUM(AA59,AA68)</f>
        <v>-28896.28870706918</v>
      </c>
      <c r="AB70" s="16"/>
      <c r="AC70" s="16"/>
      <c r="AD70" s="16"/>
      <c r="AE70" s="16"/>
    </row>
    <row r="71" ht="4.5" customHeight="1" spans="1:31" x14ac:dyDescent="0.25">
      <c r="A71" s="17"/>
      <c r="B71" s="16"/>
      <c r="C71" s="16"/>
      <c r="D71" s="16"/>
      <c r="E71" s="16"/>
      <c r="F71" s="16"/>
      <c r="G71" s="16"/>
      <c r="H71" s="16"/>
      <c r="I71" s="16"/>
      <c r="J71" s="16"/>
      <c r="K71" s="16"/>
      <c r="L71" s="16"/>
      <c r="M71" s="16"/>
      <c r="N71" s="16"/>
      <c r="O71" s="16"/>
      <c r="P71" s="16"/>
      <c r="Q71" s="16"/>
      <c r="R71" s="16"/>
      <c r="S71" s="16"/>
      <c r="T71" s="16"/>
      <c r="U71" s="16"/>
      <c r="V71" s="16"/>
      <c r="W71" s="16"/>
      <c r="X71" s="16"/>
      <c r="Y71" s="16"/>
      <c r="Z71" s="16"/>
      <c r="AA71" s="16"/>
      <c r="AB71" s="16"/>
      <c r="AC71" s="16"/>
      <c r="AD71" s="16"/>
      <c r="AE71" s="16"/>
    </row>
    <row r="72" ht="13.5" customHeight="1" spans="1:31" x14ac:dyDescent="0.25">
      <c r="A72" s="17"/>
      <c r="B72" s="16"/>
      <c r="C72" s="110"/>
      <c r="D72" s="110"/>
      <c r="E72" s="110"/>
      <c r="F72" s="110"/>
      <c r="G72" s="111" t="str">
        <f ca="1">G$5</f>
        <v>Quarterly</v>
      </c>
      <c r="H72" s="112"/>
      <c r="I72" s="112"/>
      <c r="J72" s="112"/>
      <c r="K72" s="112"/>
      <c r="L72" s="112"/>
      <c r="M72" s="112"/>
      <c r="N72" s="112"/>
      <c r="O72" s="112"/>
      <c r="P72" s="112"/>
      <c r="Q72" s="112"/>
      <c r="R72" s="112"/>
      <c r="S72" s="112"/>
      <c r="T72" s="113" t="str">
        <f ca="1">T$31</f>
        <v>Annuals</v>
      </c>
      <c r="U72" s="114"/>
      <c r="V72" s="114"/>
      <c r="W72" s="114"/>
      <c r="X72" s="114"/>
      <c r="Y72" s="114"/>
      <c r="Z72" s="114"/>
      <c r="AA72" s="114"/>
      <c r="AB72" s="16"/>
      <c r="AC72" s="16"/>
      <c r="AD72" s="16"/>
      <c r="AE72" s="16"/>
    </row>
    <row r="73" ht="13.5" customHeight="1" spans="1:31" x14ac:dyDescent="0.25">
      <c r="A73" s="17" t="s">
        <v>1</v>
      </c>
      <c r="B73" s="16"/>
      <c r="C73" s="110" t="s">
        <v>110</v>
      </c>
      <c r="D73" s="110"/>
      <c r="E73" s="110"/>
      <c r="F73" s="110"/>
      <c r="G73" s="111" t="str">
        <f t="shared" ref="G73:R73" si="38" ca="1">G$6</f>
        <v>1Q25</v>
      </c>
      <c r="H73" s="111" t="str">
        <f ca="1">H$6</f>
        <v>2Q25</v>
      </c>
      <c r="I73" s="111" t="str">
        <f ca="1">I$6</f>
        <v>3Q25</v>
      </c>
      <c r="J73" s="111" t="str">
        <f ca="1">J$6</f>
        <v>4Q25</v>
      </c>
      <c r="K73" s="111" t="str">
        <f ca="1">K$6</f>
        <v>1Q26</v>
      </c>
      <c r="L73" s="111" t="str">
        <f ca="1">L$6</f>
        <v>2Q26</v>
      </c>
      <c r="M73" s="111" t="str">
        <f ca="1">M$6</f>
        <v>3Q26e</v>
      </c>
      <c r="N73" s="111" t="str">
        <f ca="1">N$6</f>
        <v>4Q26e</v>
      </c>
      <c r="O73" s="111" t="str">
        <f ca="1">O$6</f>
        <v>1Q27e</v>
      </c>
      <c r="P73" s="111" t="str">
        <f ca="1">P$6</f>
        <v>2Q27e</v>
      </c>
      <c r="Q73" s="111" t="str">
        <f ca="1">Q$6</f>
        <v>3Q27e</v>
      </c>
      <c r="R73" s="111" t="str">
        <f ca="1">R$6</f>
        <v>4Q27e</v>
      </c>
      <c r="S73" s="111"/>
      <c r="T73" s="111">
        <f t="shared" ref="T73:AA73" si="39" ca="1">T$6</f>
        <v>2023</v>
      </c>
      <c r="U73" s="111">
        <f ca="1">U$6</f>
        <v>2024</v>
      </c>
      <c r="V73" s="111">
        <f ca="1">V$6</f>
        <v>2025</v>
      </c>
      <c r="W73" s="111" t="str">
        <f ca="1">W$6</f>
        <v>2026e</v>
      </c>
      <c r="X73" s="111" t="str">
        <f ca="1">X$6</f>
        <v>2027e</v>
      </c>
      <c r="Y73" s="111" t="str">
        <f ca="1">Y$6</f>
        <v>2028e</v>
      </c>
      <c r="Z73" s="111" t="str">
        <f ca="1">Z$6</f>
        <v>2029e</v>
      </c>
      <c r="AA73" s="111" t="str">
        <f ca="1">AA$6</f>
        <v>2030e</v>
      </c>
      <c r="AB73" s="16"/>
      <c r="AC73" s="16"/>
      <c r="AD73" s="16"/>
      <c r="AE73" s="16"/>
    </row>
    <row r="74" ht="4.5" customHeight="1" spans="1:31" x14ac:dyDescent="0.25">
      <c r="A74" s="17"/>
      <c r="B74" s="16"/>
      <c r="C74" s="47"/>
      <c r="D74" s="47"/>
      <c r="E74" s="47"/>
      <c r="F74" s="47"/>
      <c r="G74" s="151"/>
      <c r="H74" s="151"/>
      <c r="I74" s="151"/>
      <c r="J74" s="151"/>
      <c r="K74" s="151"/>
      <c r="L74" s="151"/>
      <c r="M74" s="151"/>
      <c r="N74" s="152"/>
      <c r="O74" s="152"/>
      <c r="P74" s="152"/>
      <c r="Q74" s="152"/>
      <c r="R74" s="152"/>
      <c r="S74" s="16"/>
      <c r="T74" s="16"/>
      <c r="U74" s="16"/>
      <c r="V74" s="16"/>
      <c r="W74" s="16"/>
      <c r="X74" s="16"/>
      <c r="Y74" s="16"/>
      <c r="Z74" s="16"/>
      <c r="AA74" s="16"/>
      <c r="AB74" s="16"/>
      <c r="AC74" s="16"/>
      <c r="AD74" s="16"/>
      <c r="AE74" s="16"/>
    </row>
    <row r="75" ht="13.5" customHeight="1" spans="1:31" x14ac:dyDescent="0.25">
      <c r="A75" s="17"/>
      <c r="B75" s="16"/>
      <c r="C75" s="131" t="s">
        <v>111</v>
      </c>
      <c r="D75" s="131"/>
      <c r="E75" s="131"/>
      <c r="F75" s="16"/>
      <c r="G75" s="16"/>
      <c r="H75" s="16"/>
      <c r="I75" s="16"/>
      <c r="J75" s="124"/>
      <c r="K75" s="16"/>
      <c r="L75" s="16"/>
      <c r="M75" s="16"/>
      <c r="N75" s="125"/>
      <c r="O75" s="16"/>
      <c r="P75" s="16"/>
      <c r="Q75" s="16"/>
      <c r="R75" s="16"/>
      <c r="S75" s="16"/>
      <c r="T75" s="16"/>
      <c r="U75" s="16"/>
      <c r="V75" s="124"/>
      <c r="W75" s="16"/>
      <c r="X75" s="16"/>
      <c r="Y75" s="16"/>
      <c r="Z75" s="16"/>
      <c r="AA75" s="16"/>
      <c r="AB75" s="16"/>
      <c r="AC75" s="16"/>
      <c r="AD75" s="16"/>
      <c r="AE75" s="16"/>
    </row>
    <row r="76" ht="13.5" customHeight="1" spans="1:31" x14ac:dyDescent="0.25">
      <c r="A76" s="17"/>
      <c r="B76" s="16"/>
      <c r="C76" s="139" t="s">
        <v>112</v>
      </c>
      <c r="D76" s="16"/>
      <c r="E76" s="16"/>
      <c r="F76" s="16"/>
      <c r="G76" s="153">
        <f t="shared" ref="G76:R76" si="40" ca="1">G12</f>
        <v>0.3310292249047014</v>
      </c>
      <c r="H76" s="153">
        <f ca="1">H12</f>
        <v>0.3407808951725148</v>
      </c>
      <c r="I76" s="153">
        <f ca="1">I12</f>
        <v>0.3272221973194675</v>
      </c>
      <c r="J76" s="154">
        <f ca="1">J12</f>
        <v>0.31834966274432575</v>
      </c>
      <c r="K76" s="153">
        <f ca="1">K12</f>
        <v>0.3328965686675948</v>
      </c>
      <c r="L76" s="153">
        <f ca="1">L12</f>
        <v>0.33775843307943415</v>
      </c>
      <c r="M76" s="153">
        <f ca="1">M12</f>
        <v>0.33104982982808273</v>
      </c>
      <c r="N76" s="155">
        <f ca="1">N12</f>
        <v>0.12999999999999998</v>
      </c>
      <c r="O76" s="153">
        <f ca="1">O12</f>
        <v>0.13999999999999996</v>
      </c>
      <c r="P76" s="153">
        <f ca="1">P12</f>
        <v>0.145</v>
      </c>
      <c r="Q76" s="153">
        <f ca="1">Q12</f>
        <v>0.11999999999999998</v>
      </c>
      <c r="R76" s="153">
        <f ca="1">R12</f>
        <v>0.13499999999999993</v>
      </c>
      <c r="S76" s="16"/>
      <c r="T76" s="153">
        <f t="shared" ref="T76:AA76" si="41" ca="1">T12</f>
        <v>0.3212497721185264</v>
      </c>
      <c r="U76" s="153">
        <f ca="1">U12</f>
        <v>0.3179991129345235</v>
      </c>
      <c r="V76" s="154">
        <f ca="1">V12</f>
        <v>0.3301784657968459</v>
      </c>
      <c r="W76" s="153">
        <f ca="1">W12</f>
        <v>0.28815440500361494</v>
      </c>
      <c r="X76" s="153">
        <f ca="1">X12</f>
        <v>0.13533005878561802</v>
      </c>
      <c r="Y76" s="153">
        <f ca="1">Y12</f>
        <v>0.13899999999999996</v>
      </c>
      <c r="Z76" s="153">
        <f ca="1">Z12</f>
        <v>0.13999999999999996</v>
      </c>
      <c r="AA76" s="153">
        <f ca="1">AA12</f>
        <v>0.14200000000000007</v>
      </c>
      <c r="AB76" s="16"/>
      <c r="AC76" s="16"/>
      <c r="AD76" s="16"/>
      <c r="AE76" s="16"/>
    </row>
    <row r="77" ht="13.5" customHeight="1" spans="1:31" x14ac:dyDescent="0.25">
      <c r="A77" s="17"/>
      <c r="B77" s="16"/>
      <c r="C77" s="139" t="s">
        <v>113</v>
      </c>
      <c r="D77" s="16"/>
      <c r="E77" s="16"/>
      <c r="F77" s="16"/>
      <c r="G77" s="153">
        <f t="shared" ref="G77:R77" si="42" ca="1">G28</f>
        <v>0.11814790343074968</v>
      </c>
      <c r="H77" s="153">
        <f ca="1">H28</f>
        <v>0.15718738553952094</v>
      </c>
      <c r="I77" s="153">
        <f ca="1">I28</f>
        <v>0.14957102514680176</v>
      </c>
      <c r="J77" s="154">
        <f ca="1">J28</f>
        <v>0.1555314854019989</v>
      </c>
      <c r="K77" s="153">
        <f ca="1">K28</f>
        <v>0.14888215543362543</v>
      </c>
      <c r="L77" s="153">
        <f ca="1">L28</f>
        <v>0.16753717809212912</v>
      </c>
      <c r="M77" s="153">
        <f ca="1">M28</f>
        <v>0.13993367658608954</v>
      </c>
      <c r="N77" s="155">
        <f ca="1">N28</f>
        <v>-0.09000000000000002</v>
      </c>
      <c r="O77" s="153">
        <f ca="1">O28</f>
        <v>-0.08500000000000009</v>
      </c>
      <c r="P77" s="153">
        <f ca="1">P28</f>
        <v>-0.07999999999999997</v>
      </c>
      <c r="Q77" s="153">
        <f ca="1">Q28</f>
        <v>-0.10000000000000003</v>
      </c>
      <c r="R77" s="153">
        <f ca="1">R28</f>
        <v>-0.08500000000000008</v>
      </c>
      <c r="S77" s="16"/>
      <c r="T77" s="153">
        <f t="shared" ref="T77:AA77" si="43" ca="1">T28</f>
        <v>0.10295460601046151</v>
      </c>
      <c r="U77" s="153">
        <f ca="1">U28</f>
        <v>0.10761906081942674</v>
      </c>
      <c r="V77" s="154">
        <f ca="1">V28</f>
        <v>0.14634273468977757</v>
      </c>
      <c r="W77" s="153">
        <f ca="1">W28</f>
        <v>0.3882465934192454</v>
      </c>
      <c r="X77" s="153">
        <f ca="1">X28</f>
        <v>-0.08728209284612236</v>
      </c>
      <c r="Y77" s="153">
        <f ca="1">Y28</f>
        <v>-0.07600000000000003</v>
      </c>
      <c r="Z77" s="153">
        <f ca="1">Z28</f>
        <v>-0.07100000000000006</v>
      </c>
      <c r="AA77" s="153">
        <f ca="1">AA28</f>
        <v>-0.06399999999999993</v>
      </c>
      <c r="AB77" s="16"/>
      <c r="AC77" s="16"/>
      <c r="AD77" s="16"/>
      <c r="AE77" s="16"/>
    </row>
    <row r="78" ht="13.5" customHeight="1" spans="1:31" x14ac:dyDescent="0.25">
      <c r="A78" s="17"/>
      <c r="B78" s="16"/>
      <c r="C78" s="139" t="s">
        <v>114</v>
      </c>
      <c r="D78" s="16"/>
      <c r="E78" s="16"/>
      <c r="F78" s="16"/>
      <c r="G78" s="153">
        <f t="shared" ref="G78:R78" si="44" ca="1">G16</f>
        <v>0.10119440914866581</v>
      </c>
      <c r="H78" s="153">
        <f ca="1">H16</f>
        <v>0.14493443703757966</v>
      </c>
      <c r="I78" s="153">
        <f ca="1">I16</f>
        <v>0.09749428481778655</v>
      </c>
      <c r="J78" s="154">
        <f ca="1">J16</f>
        <v>0.13633006745113485</v>
      </c>
      <c r="K78" s="153">
        <f ca="1">K16</f>
        <v>0.132872000655147</v>
      </c>
      <c r="L78" s="153">
        <f ca="1">L16</f>
        <v>0.15270221254987304</v>
      </c>
      <c r="M78" s="153">
        <f ca="1">M16</f>
        <v>0.1216947377607121</v>
      </c>
      <c r="N78" s="155">
        <f ca="1">N16</f>
        <v>-0.10521155515545128</v>
      </c>
      <c r="O78" s="153">
        <f ca="1">O16</f>
        <v>-0.09791767198324655</v>
      </c>
      <c r="P78" s="153">
        <f ca="1">P16</f>
        <v>-0.09150141466977164</v>
      </c>
      <c r="Q78" s="153">
        <f ca="1">Q16</f>
        <v>-0.11327856808301211</v>
      </c>
      <c r="R78" s="153">
        <f ca="1">R16</f>
        <v>-0.09904599278058888</v>
      </c>
      <c r="S78" s="16"/>
      <c r="T78" s="153">
        <f t="shared" ref="T78:AA78" si="45" ca="1">T16</f>
        <v>0.05634632374595072</v>
      </c>
      <c r="U78" s="153">
        <f ca="1">U16</f>
        <v>0.08751455341797416</v>
      </c>
      <c r="V78" s="154">
        <f ca="1">V16</f>
        <v>0.12156657030927374</v>
      </c>
      <c r="W78" s="153">
        <f ca="1">W16</f>
        <v>0.08226262669098001</v>
      </c>
      <c r="X78" s="153">
        <f ca="1">X16</f>
        <v>-0.10015651845772622</v>
      </c>
      <c r="Y78" s="153">
        <f ca="1">Y16</f>
        <v>-0.08923024548635708</v>
      </c>
      <c r="Z78" s="153">
        <f ca="1">Z16</f>
        <v>-0.08444869393268568</v>
      </c>
      <c r="AA78" s="153">
        <f ca="1">AA16</f>
        <v>-0.07764743918581588</v>
      </c>
      <c r="AB78" s="16"/>
      <c r="AC78" s="16"/>
      <c r="AD78" s="16"/>
      <c r="AE78" s="16"/>
    </row>
    <row r="79" ht="13.5" customHeight="1" spans="1:31" x14ac:dyDescent="0.25">
      <c r="A79" s="17"/>
      <c r="B79" s="16"/>
      <c r="C79" s="139" t="s">
        <v>115</v>
      </c>
      <c r="D79" s="16"/>
      <c r="E79" s="16"/>
      <c r="F79" s="16"/>
      <c r="G79" s="153">
        <f t="shared" ref="G79:R79" si="46" ca="1">G20</f>
        <v>0.06795425667090216</v>
      </c>
      <c r="H79" s="153">
        <f ca="1">H20</f>
        <v>0.10358215515346861</v>
      </c>
      <c r="I79" s="153">
        <f ca="1">I20</f>
        <v>0.03101887130754404</v>
      </c>
      <c r="J79" s="154">
        <f ca="1">J20</f>
        <v>0.04815124809216681</v>
      </c>
      <c r="K79" s="153">
        <f ca="1">K20</f>
        <v>0.09503726148554582</v>
      </c>
      <c r="L79" s="153">
        <f ca="1">L20</f>
        <v>0.10946681175190424</v>
      </c>
      <c r="M79" s="153">
        <f ca="1">M20</f>
        <v>0.08272973208831486</v>
      </c>
      <c r="N79" s="155">
        <f ca="1">N20</f>
        <v>-0.08756970678069641</v>
      </c>
      <c r="O79" s="153">
        <f ca="1">O20</f>
        <v>-0.08073661953227505</v>
      </c>
      <c r="P79" s="153">
        <f ca="1">P20</f>
        <v>-0.07497101922014197</v>
      </c>
      <c r="Q79" s="153">
        <f ca="1">Q20</f>
        <v>-0.09213346180004271</v>
      </c>
      <c r="R79" s="153">
        <f ca="1">R20</f>
        <v>-0.08172418552550267</v>
      </c>
      <c r="S79" s="16"/>
      <c r="T79" s="153">
        <f t="shared" ref="T79:AA79" si="47" ca="1">T20</f>
        <v>0.03245032183875808</v>
      </c>
      <c r="U79" s="153">
        <f ca="1">U20</f>
        <v>0.059336364140378114</v>
      </c>
      <c r="V79" s="154">
        <f ca="1">V20</f>
        <v>0.06512494837996807</v>
      </c>
      <c r="W79" s="153">
        <f ca="1">W20</f>
        <v>0.33349120069286636</v>
      </c>
      <c r="X79" s="153">
        <f ca="1">X20</f>
        <v>-0.08215297152858837</v>
      </c>
      <c r="Y79" s="153">
        <f ca="1">Y20</f>
        <v>-0.0747819646454792</v>
      </c>
      <c r="Z79" s="153">
        <f ca="1">Z20</f>
        <v>-0.07302832890958146</v>
      </c>
      <c r="AA79" s="153">
        <f ca="1">AA20</f>
        <v>-0.06988861068147408</v>
      </c>
      <c r="AB79" s="16"/>
      <c r="AC79" s="16"/>
      <c r="AD79" s="16"/>
      <c r="AE79" s="16"/>
    </row>
    <row r="80" ht="13.5" customHeight="1" spans="1:31" x14ac:dyDescent="0.25">
      <c r="A80" s="17"/>
      <c r="B80" s="16"/>
      <c r="C80" s="139" t="s">
        <v>116</v>
      </c>
      <c r="D80" s="16"/>
      <c r="E80" s="16"/>
      <c r="F80" s="16"/>
      <c r="G80" s="153">
        <f t="shared" ref="G80:R80" si="48" ca="1">G19/G46</f>
        <v>0.029171757723861057</v>
      </c>
      <c r="H80" s="153">
        <f ca="1">H19/H46</f>
        <v>0.054633618607885945</v>
      </c>
      <c r="I80" s="153">
        <f ca="1">I19/I46</f>
        <v>0.01360062893081761</v>
      </c>
      <c r="J80" s="154">
        <f ca="1">J19/J46</f>
        <v>0.020926500481437894</v>
      </c>
      <c r="K80" s="153">
        <f ca="1">K19/K46</f>
        <v>0.04533203125</v>
      </c>
      <c r="L80" s="153">
        <f ca="1">L19/L46</f>
        <v>0.06108817099829973</v>
      </c>
      <c r="M80" s="153">
        <f ca="1">M19/M46</f>
        <v>0.038380566801619435</v>
      </c>
      <c r="N80" s="155">
        <f ca="1">N19/N46</f>
        <v>-0.03780687429204951</v>
      </c>
      <c r="O80" s="153">
        <f ca="1">O19/O46</f>
        <v>-0.03960246291389517</v>
      </c>
      <c r="P80" s="153">
        <f ca="1">P19/P46</f>
        <v>-0.04280590830855036</v>
      </c>
      <c r="Q80" s="153">
        <f ca="1">Q19/Q46</f>
        <v>-0.047711042288525185</v>
      </c>
      <c r="R80" s="153">
        <f ca="1">R19/R46</f>
        <v>-0.041314603166413735</v>
      </c>
      <c r="S80" s="16"/>
      <c r="T80" s="153">
        <f t="shared" ref="T80:AA80" si="49" ca="1">T19/T46</f>
        <v>0.06705691433870407</v>
      </c>
      <c r="U80" s="153">
        <f ca="1">U19/U46</f>
        <v>0.10845937523751616</v>
      </c>
      <c r="V80" s="154">
        <f ca="1">V19/V46</f>
        <v>0.12485289397667701</v>
      </c>
      <c r="W80" s="153">
        <f ca="1">W19/W46</f>
        <v>0.8960340768996021</v>
      </c>
      <c r="X80" s="153">
        <f ca="1">X19/X46</f>
        <v>-0.17850505811341735</v>
      </c>
      <c r="Y80" s="153">
        <f ca="1">Y19/Y46</f>
        <v>-0.16036617385964202</v>
      </c>
      <c r="Z80" s="153">
        <f ca="1">Z19/Z46</f>
        <v>-0.15574210816400658</v>
      </c>
      <c r="AA80" s="153">
        <f ca="1">AA19/AA46</f>
        <v>-0.14806695178490026</v>
      </c>
      <c r="AB80" s="16"/>
      <c r="AC80" s="16"/>
      <c r="AD80" s="16"/>
      <c r="AE80" s="16"/>
    </row>
    <row r="81" ht="13.5" customHeight="1" spans="1:31" x14ac:dyDescent="0.25">
      <c r="A81" s="17"/>
      <c r="B81" s="16"/>
      <c r="C81" s="139" t="s">
        <v>117</v>
      </c>
      <c r="D81" s="16"/>
      <c r="E81" s="16"/>
      <c r="F81" s="16"/>
      <c r="G81" s="153">
        <f t="shared" ref="G81:R81" si="50" ca="1">G19*4/G68</f>
        <v>3.1165501165501164</v>
      </c>
      <c r="H81" s="153">
        <f ca="1">H19*4/H68</f>
        <v>2.596877869605142</v>
      </c>
      <c r="I81" s="153">
        <f ca="1">I19*4/I68</f>
        <v>0.6795973483918487</v>
      </c>
      <c r="J81" s="154">
        <f ca="1">J19*4/J68</f>
        <v>2.722338204592902</v>
      </c>
      <c r="K81" s="153">
        <f ca="1">K19*4/K68</f>
        <v>20.862921348314607</v>
      </c>
      <c r="L81" s="153">
        <f ca="1">L19*4/L68</f>
        <v>-68.98285714285714</v>
      </c>
      <c r="M81" s="153">
        <f ca="1">M19*4/M68</f>
        <v>-4.812182741116751</v>
      </c>
      <c r="N81" s="155">
        <f ca="1">N19*4/N68</f>
        <v>1.8101727604811007</v>
      </c>
      <c r="O81" s="153">
        <f ca="1">O19*4/O68</f>
        <v>1.184027994686127</v>
      </c>
      <c r="P81" s="153">
        <f ca="1">P19*4/P68</f>
        <v>0.8482722155567015</v>
      </c>
      <c r="Q81" s="153">
        <f ca="1">Q19*4/Q68</f>
        <v>0.6875256047755899</v>
      </c>
      <c r="R81" s="153">
        <f ca="1">R19*4/R68</f>
        <v>0.4826728513153118</v>
      </c>
      <c r="S81" s="16"/>
      <c r="T81" s="153">
        <f t="shared" ref="T81:AA81" si="51" ca="1">T19/T68</f>
        <v>0.6350164654226125</v>
      </c>
      <c r="U81" s="153">
        <f ca="1">U19/U68</f>
        <v>2.170892494929006</v>
      </c>
      <c r="V81" s="154">
        <f ca="1">V19/V68</f>
        <v>4.060542797494781</v>
      </c>
      <c r="W81" s="153">
        <f ca="1">W19/W68</f>
        <v>-10.72540714379803</v>
      </c>
      <c r="X81" s="153">
        <f ca="1">X19/X68</f>
        <v>0.5213625375194881</v>
      </c>
      <c r="Y81" s="153">
        <f ca="1">Y19/Y68</f>
        <v>0.27186933330925883</v>
      </c>
      <c r="Z81" s="153">
        <f ca="1">Z19/Z68</f>
        <v>0.18747440269639826</v>
      </c>
      <c r="AA81" s="153">
        <f ca="1">AA19/AA68</f>
        <v>0.1398339668032501</v>
      </c>
      <c r="AB81" s="16"/>
      <c r="AC81" s="16"/>
      <c r="AD81" s="16"/>
      <c r="AE81" s="16"/>
    </row>
    <row r="82" ht="13.5" customHeight="1" spans="1:31" x14ac:dyDescent="0.25">
      <c r="A82" s="17"/>
      <c r="B82" s="16"/>
      <c r="C82" s="139" t="s">
        <v>118</v>
      </c>
      <c r="D82" s="16"/>
      <c r="E82" s="16"/>
      <c r="F82" s="16"/>
      <c r="G82" s="153">
        <f t="shared" ref="G82:S82" si="52" ca="1">G19*4/(G53+G54+G68)</f>
        <v>0.2374777975133215</v>
      </c>
      <c r="H82" s="153">
        <f ca="1">H19*4/(H53+H54+H68)</f>
        <v>0.4495668070900564</v>
      </c>
      <c r="I82" s="153">
        <f ca="1">I19*4/(I53+I54+I68)</f>
        <v>0.10700893029728999</v>
      </c>
      <c r="J82" s="154">
        <f ca="1">J19*4/(J53+J54+J68)</f>
        <v>0.14149305555555555</v>
      </c>
      <c r="K82" s="153">
        <f ca="1">K19*4/(K53+K54+K68)</f>
        <v>0.39191185782430665</v>
      </c>
      <c r="L82" s="153">
        <f ca="1">L19*4/(L53+L54+L68)</f>
        <v>0.5217842323651453</v>
      </c>
      <c r="M82" s="153">
        <f ca="1">M19*4/(M53+M54+M68)</f>
        <v>0.3205816460244325</v>
      </c>
      <c r="N82" s="155">
        <f ca="1">N19*4/(N53+N54+N68)</f>
        <v>-0.37165280060747674</v>
      </c>
      <c r="O82" s="153">
        <f ca="1">O19*4/(O53+O54+O68)</f>
        <v>-0.48165500978848896</v>
      </c>
      <c r="P82" s="153">
        <f ca="1">P19*4/(P53+P54+P68)</f>
        <v>-0.6564697991590226</v>
      </c>
      <c r="Q82" s="153">
        <f ca="1">Q19*4/(Q53+Q54+Q68)</f>
        <v>-1.0085547935351362</v>
      </c>
      <c r="R82" s="153">
        <f ca="1">R19*4/(R53+R54+R68)</f>
        <v>-1.094965727617706</v>
      </c>
      <c r="S82" s="153">
        <f ca="1">S19*4/(S53+S54+S68)</f>
      </c>
      <c r="T82" s="153">
        <f t="shared" ref="T82:AA82" si="53" ca="1">T19/(T53+T54+T68)</f>
        <v>0.12086706711935231</v>
      </c>
      <c r="U82" s="153">
        <f ca="1">U19/(U53+U54+U68)</f>
        <v>0.22138904690489736</v>
      </c>
      <c r="V82" s="154">
        <f ca="1">V19/(V53+V54+V68)</f>
        <v>0.21104600694444445</v>
      </c>
      <c r="W82" s="153">
        <f ca="1">W19/(W53+W54+W68)</f>
        <v>2.2020702607349802</v>
      </c>
      <c r="X82" s="153">
        <f ca="1">X19/(X53+X54+X68)</f>
        <v>-1.1827350734394415</v>
      </c>
      <c r="Y82" s="153">
        <f ca="1">Y19/(Y53+Y54+Y68)</f>
        <v>10.702321904356172</v>
      </c>
      <c r="Z82" s="153">
        <f ca="1">Z19/(Z53+Z54+Z68)</f>
        <v>1.0057351079339043</v>
      </c>
      <c r="AA82" s="153">
        <f ca="1">AA19/(AA53+AA54+AA68)</f>
        <v>0.5256490120654124</v>
      </c>
      <c r="AB82" s="16"/>
      <c r="AC82" s="16"/>
      <c r="AD82" s="16"/>
      <c r="AE82" s="16"/>
    </row>
    <row r="83" ht="13.5" customHeight="1" spans="1:31" x14ac:dyDescent="0.25">
      <c r="A83" s="17"/>
      <c r="B83" s="16"/>
      <c r="C83" s="16"/>
      <c r="D83" s="16"/>
      <c r="E83" s="16"/>
      <c r="F83" s="16"/>
      <c r="G83" s="16"/>
      <c r="H83" s="16"/>
      <c r="I83" s="16"/>
      <c r="J83" s="124"/>
      <c r="K83" s="16"/>
      <c r="L83" s="16"/>
      <c r="M83" s="16"/>
      <c r="N83" s="125"/>
      <c r="O83" s="16"/>
      <c r="P83" s="16"/>
      <c r="Q83" s="16"/>
      <c r="R83" s="16"/>
      <c r="S83" s="16"/>
      <c r="T83" s="16"/>
      <c r="U83" s="16"/>
      <c r="V83" s="124"/>
      <c r="W83" s="16"/>
      <c r="X83" s="16"/>
      <c r="Y83" s="16"/>
      <c r="Z83" s="16"/>
      <c r="AA83" s="16"/>
      <c r="AB83" s="16"/>
      <c r="AC83" s="16"/>
      <c r="AD83" s="16"/>
      <c r="AE83" s="16"/>
    </row>
    <row r="84" ht="13.5" customHeight="1" spans="1:31" x14ac:dyDescent="0.25">
      <c r="A84" s="17"/>
      <c r="B84" s="16"/>
      <c r="C84" s="131" t="s">
        <v>119</v>
      </c>
      <c r="D84" s="131"/>
      <c r="E84" s="131"/>
      <c r="F84" s="16"/>
      <c r="G84" s="16"/>
      <c r="H84" s="16"/>
      <c r="I84" s="16"/>
      <c r="J84" s="124"/>
      <c r="K84" s="16"/>
      <c r="L84" s="16"/>
      <c r="M84" s="16"/>
      <c r="N84" s="125"/>
      <c r="O84" s="16"/>
      <c r="P84" s="16"/>
      <c r="Q84" s="16"/>
      <c r="R84" s="16"/>
      <c r="S84" s="16"/>
      <c r="T84" s="16"/>
      <c r="U84" s="16"/>
      <c r="V84" s="124"/>
      <c r="W84" s="16"/>
      <c r="X84" s="16"/>
      <c r="Y84" s="16"/>
      <c r="Z84" s="16"/>
      <c r="AA84" s="16"/>
      <c r="AB84" s="16"/>
      <c r="AC84" s="16"/>
      <c r="AD84" s="16"/>
      <c r="AE84" s="16"/>
    </row>
    <row r="85" ht="13.5" customHeight="1" spans="1:31" x14ac:dyDescent="0.25">
      <c r="A85" s="17"/>
      <c r="B85" s="16"/>
      <c r="C85" s="139" t="s">
        <v>120</v>
      </c>
      <c r="D85" s="16"/>
      <c r="E85" s="16"/>
      <c r="F85" s="16"/>
      <c r="G85" s="116">
        <f ca="1">-Model!P39</f>
        <v>205</v>
      </c>
      <c r="H85" s="116">
        <f ca="1">-Model!Q39</f>
        <v>219</v>
      </c>
      <c r="I85" s="116">
        <f ca="1">-Model!R39</f>
        <v>221</v>
      </c>
      <c r="J85" s="117">
        <f ca="1">-Model!S39</f>
        <v>204</v>
      </c>
      <c r="K85" s="116">
        <f ca="1">-Model!U39</f>
        <v>211</v>
      </c>
      <c r="L85" s="116">
        <f ca="1">-Model!V39</f>
        <v>216</v>
      </c>
      <c r="M85" s="116">
        <f ca="1">-Model!W39</f>
        <v>223</v>
      </c>
      <c r="N85" s="118">
        <f ca="1">-Model!X39</f>
        <v>217.976675</v>
      </c>
      <c r="O85" s="116">
        <f ca="1">-Model!Z39</f>
        <v>213.614175</v>
      </c>
      <c r="P85" s="116">
        <f ca="1">-Model!AA39</f>
        <v>209.251675</v>
      </c>
      <c r="Q85" s="116">
        <f ca="1">-Model!AB39</f>
        <v>204.889175</v>
      </c>
      <c r="R85" s="116">
        <f ca="1">-Model!AC39</f>
        <v>207.7723720077346</v>
      </c>
      <c r="S85" s="16"/>
      <c r="T85" s="116">
        <f ca="1">-Model!J39</f>
        <v>624</v>
      </c>
      <c r="U85" s="116">
        <f ca="1">-Model!O39</f>
        <v>691</v>
      </c>
      <c r="V85" s="117">
        <f ca="1">-Model!T39</f>
        <v>849</v>
      </c>
      <c r="W85" s="116">
        <f ca="1">-Model!Y39</f>
        <v>565.976675</v>
      </c>
      <c r="X85" s="116">
        <f ca="1">-Model!AD39</f>
        <v>835.5273970077346</v>
      </c>
      <c r="Y85" s="116">
        <f ca="1">-Model!AE39</f>
        <v>984.0082626794779</v>
      </c>
      <c r="Z85" s="116">
        <f ca="1">-Model!AF39</f>
        <v>1274.5776047945492</v>
      </c>
      <c r="AA85" s="116">
        <f ca="1">-Model!AG39</f>
        <v>1598.2550341406472</v>
      </c>
      <c r="AB85" s="16"/>
      <c r="AC85" s="16"/>
      <c r="AD85" s="16"/>
      <c r="AE85" s="16"/>
    </row>
    <row r="86" ht="13.5" customHeight="1" spans="1:31" x14ac:dyDescent="0.25">
      <c r="A86" s="17"/>
      <c r="B86" s="16"/>
      <c r="C86" s="139" t="s">
        <v>121</v>
      </c>
      <c r="D86" s="16"/>
      <c r="E86" s="16"/>
      <c r="F86" s="16"/>
      <c r="G86" s="136">
        <f ca="1">Model!P193</f>
        <v>328</v>
      </c>
      <c r="H86" s="136">
        <f ca="1">Model!Q193</f>
        <v>382</v>
      </c>
      <c r="I86" s="136">
        <f ca="1">Model!R193</f>
        <v>462</v>
      </c>
      <c r="J86" s="137">
        <f ca="1">Model!S193</f>
        <v>557</v>
      </c>
      <c r="K86" s="136">
        <f ca="1">Model!U193</f>
        <v>461</v>
      </c>
      <c r="L86" s="136">
        <f ca="1">Model!V193</f>
        <v>385</v>
      </c>
      <c r="M86" s="136">
        <f ca="1">Model!W193</f>
        <v>410</v>
      </c>
      <c r="N86" s="138">
        <f ca="1">Model!X193</f>
        <v>370.1257</v>
      </c>
      <c r="O86" s="136">
        <f ca="1">Model!Z193</f>
        <v>616.585872</v>
      </c>
      <c r="P86" s="136">
        <f ca="1">Model!AA193</f>
        <v>644.3322362399999</v>
      </c>
      <c r="Q86" s="136">
        <f ca="1">Model!AB193</f>
        <v>438.14592064320004</v>
      </c>
      <c r="R86" s="136">
        <f ca="1">Model!AC193</f>
        <v>416.23862461104</v>
      </c>
      <c r="S86" s="16"/>
      <c r="T86" s="136">
        <f ca="1">Model!J193</f>
        <v>1174</v>
      </c>
      <c r="U86" s="136">
        <f ca="1">Model!O193</f>
        <v>1484</v>
      </c>
      <c r="V86" s="137">
        <f ca="1">Model!T193</f>
        <v>1729</v>
      </c>
      <c r="W86" s="136">
        <f ca="1">Model!Y193</f>
        <v>1626.1257</v>
      </c>
      <c r="X86" s="136">
        <f ca="1">Model!AD193</f>
        <v>2115.30265349424</v>
      </c>
      <c r="Y86" s="136">
        <f ca="1">Model!AE193</f>
        <v>2146.8311554730876</v>
      </c>
      <c r="Z86" s="136">
        <f ca="1">Model!AF193</f>
        <v>2189.7677785825495</v>
      </c>
      <c r="AA86" s="136">
        <f ca="1">Model!AG193</f>
        <v>2345.2412908619103</v>
      </c>
      <c r="AB86" s="16"/>
      <c r="AC86" s="16"/>
      <c r="AD86" s="16"/>
      <c r="AE86" s="16"/>
    </row>
    <row r="87" ht="13.5" customHeight="1" spans="1:31" x14ac:dyDescent="0.25">
      <c r="A87" s="17"/>
      <c r="B87" s="16"/>
      <c r="C87" s="139" t="s">
        <v>122</v>
      </c>
      <c r="D87" s="16"/>
      <c r="E87" s="16"/>
      <c r="F87" s="16"/>
      <c r="G87" s="156">
        <f t="shared" ref="G87:R87" si="54" ca="1">IF(ISERROR(G15/G85),"N/A",(G15/G85))</f>
        <v>9.71219512195122</v>
      </c>
      <c r="H87" s="156">
        <f ca="1">IF(ISERROR(H15/H85),"N/A",(H15/H85))</f>
        <v>18.068493150684933</v>
      </c>
      <c r="I87" s="156">
        <f ca="1">IF(ISERROR(I15/I85),"N/A",(I15/I85))</f>
        <v>9.841628959276019</v>
      </c>
      <c r="J87" s="157">
        <f ca="1">IF(ISERROR(J15/J85),"N/A",(J15/J85))</f>
        <v>13.573529411764707</v>
      </c>
      <c r="K87" s="156">
        <f ca="1">IF(ISERROR(K15/K85),"N/A",(K15/K85))</f>
        <v>15.37914691943128</v>
      </c>
      <c r="L87" s="156">
        <f ca="1">IF(ISERROR(L15/L85),"N/A",(L15/L85))</f>
        <v>19.49074074074074</v>
      </c>
      <c r="M87" s="156">
        <f ca="1">IF(ISERROR(M15/M85),"N/A",(M15/M85))</f>
        <v>12.506726457399104</v>
      </c>
      <c r="N87" s="158" t="str">
        <f ca="1">IF(ISERROR(N15/N85),"N/A",(N15/N85))</f>
        <v>N/A</v>
      </c>
      <c r="O87" s="156" t="str">
        <f ca="1">IF(ISERROR(O15/O85),"N/A",(O15/O85))</f>
        <v>N/A</v>
      </c>
      <c r="P87" s="156" t="str">
        <f ca="1">IF(ISERROR(P15/P85),"N/A",(P15/P85))</f>
        <v>N/A</v>
      </c>
      <c r="Q87" s="156" t="str">
        <f ca="1">IF(ISERROR(Q15/Q85),"N/A",(Q15/Q85))</f>
        <v>N/A</v>
      </c>
      <c r="R87" s="156" t="str">
        <f ca="1">IF(ISERROR(R15/R85),"N/A",(R15/R85))</f>
        <v>N/A</v>
      </c>
      <c r="S87" s="16"/>
      <c r="T87" s="156">
        <f t="shared" ref="T87:AA87" si="55" ca="1">IF(ISERROR(T15/T85),"N/A",(T15/T85))</f>
        <v>6.439102564102564</v>
      </c>
      <c r="U87" s="156">
        <f ca="1">IF(ISERROR(U15/U85),"N/A",(U15/U85))</f>
        <v>9.137481910274964</v>
      </c>
      <c r="V87" s="157">
        <f ca="1">IF(ISERROR(V15/V85),"N/A",(V15/V85))</f>
        <v>12.829210836277975</v>
      </c>
      <c r="W87" s="156" t="str">
        <f ca="1">IF(ISERROR(W15/W85),"N/A",(W15/W85))</f>
        <v>N/A</v>
      </c>
      <c r="X87" s="156" t="str">
        <f ca="1">IF(ISERROR(X15/X85),"N/A",(X15/X85))</f>
        <v>N/A</v>
      </c>
      <c r="Y87" s="156" t="str">
        <f ca="1">IF(ISERROR(Y15/Y85),"N/A",(Y15/Y85))</f>
        <v>N/A</v>
      </c>
      <c r="Z87" s="156" t="str">
        <f ca="1">IF(ISERROR(Z15/Z85),"N/A",(Z15/Z85))</f>
        <v>N/A</v>
      </c>
      <c r="AA87" s="156" t="str">
        <f ca="1">IF(ISERROR(AA15/AA85),"N/A",(AA15/AA85))</f>
        <v>N/A</v>
      </c>
      <c r="AB87" s="16"/>
      <c r="AC87" s="16"/>
      <c r="AD87" s="16"/>
      <c r="AE87" s="16"/>
    </row>
    <row r="88" ht="13.5" customHeight="1" spans="1:31" x14ac:dyDescent="0.25">
      <c r="A88" s="17"/>
      <c r="B88" s="16"/>
      <c r="C88" s="139" t="s">
        <v>123</v>
      </c>
      <c r="D88" s="16"/>
      <c r="E88" s="16"/>
      <c r="F88" s="16"/>
      <c r="G88" s="156">
        <f t="shared" ref="G88:R88" si="56" ca="1">IF(ISERROR(G27/G85),"N/A",(G27/G85))</f>
        <v>11.339317073170731</v>
      </c>
      <c r="H88" s="156">
        <f ca="1">IF(ISERROR(H27/H85),"N/A",(H27/H85))</f>
        <v>19.596027397260276</v>
      </c>
      <c r="I88" s="156">
        <f ca="1">IF(ISERROR(I27/I85),"N/A",(I27/I85))</f>
        <v>15.098552036199097</v>
      </c>
      <c r="J88" s="157">
        <f ca="1">IF(ISERROR(J27/J85),"N/A",(J27/J85))</f>
        <v>15.485294117647058</v>
      </c>
      <c r="K88" s="156">
        <f ca="1">IF(ISERROR(K27/K85),"N/A",(K27/K85))</f>
        <v>17.232227488151658</v>
      </c>
      <c r="L88" s="156">
        <f ca="1">IF(ISERROR(L27/L85),"N/A",(L27/L85))</f>
        <v>21.38425925925926</v>
      </c>
      <c r="M88" s="156">
        <f ca="1">IF(ISERROR(M27/M85),"N/A",(M27/M85))</f>
        <v>14.38116591928251</v>
      </c>
      <c r="N88" s="158" t="str">
        <f ca="1">IF(ISERROR(N27/N85),"N/A",(N27/N85))</f>
        <v>N/A</v>
      </c>
      <c r="O88" s="156" t="str">
        <f ca="1">IF(ISERROR(O27/O85),"N/A",(O27/O85))</f>
        <v>N/A</v>
      </c>
      <c r="P88" s="156" t="str">
        <f ca="1">IF(ISERROR(P27/P85),"N/A",(P27/P85))</f>
        <v>N/A</v>
      </c>
      <c r="Q88" s="156" t="str">
        <f ca="1">IF(ISERROR(Q27/Q85),"N/A",(Q27/Q85))</f>
        <v>N/A</v>
      </c>
      <c r="R88" s="156" t="str">
        <f ca="1">IF(ISERROR(R27/R85),"N/A",(R27/R85))</f>
        <v>N/A</v>
      </c>
      <c r="S88" s="16"/>
      <c r="T88" s="156">
        <f t="shared" ref="T88:AA88" si="57" ca="1">IF(ISERROR(T27/T85),"N/A",(T27/T85))</f>
        <v>11.76536858974359</v>
      </c>
      <c r="U88" s="156">
        <f ca="1">IF(ISERROR(U27/U85),"N/A",(U27/U85))</f>
        <v>11.236613603473227</v>
      </c>
      <c r="V88" s="157">
        <f ca="1">IF(ISERROR(V27/V85),"N/A",(V27/V85))</f>
        <v>15.44389870435807</v>
      </c>
      <c r="W88" s="156" t="str">
        <f ca="1">IF(ISERROR(W27/W85),"N/A",(W27/W85))</f>
        <v>N/A</v>
      </c>
      <c r="X88" s="156" t="str">
        <f ca="1">IF(ISERROR(X27/X85),"N/A",(X27/X85))</f>
        <v>N/A</v>
      </c>
      <c r="Y88" s="156" t="str">
        <f ca="1">IF(ISERROR(Y27/Y85),"N/A",(Y27/Y85))</f>
        <v>N/A</v>
      </c>
      <c r="Z88" s="156" t="str">
        <f ca="1">IF(ISERROR(Z27/Z85),"N/A",(Z27/Z85))</f>
        <v>N/A</v>
      </c>
      <c r="AA88" s="156" t="str">
        <f ca="1">IF(ISERROR(AA27/AA85),"N/A",(AA27/AA85))</f>
        <v>N/A</v>
      </c>
      <c r="AB88" s="16"/>
      <c r="AC88" s="16"/>
      <c r="AD88" s="16"/>
      <c r="AE88" s="16"/>
    </row>
    <row r="89" ht="13.5" customHeight="1" spans="1:31" x14ac:dyDescent="0.25">
      <c r="A89" s="17"/>
      <c r="B89" s="16"/>
      <c r="C89" s="139" t="s">
        <v>124</v>
      </c>
      <c r="D89" s="16"/>
      <c r="E89" s="16"/>
      <c r="F89" s="16"/>
      <c r="G89" s="156">
        <f t="shared" ref="G89:R89" si="58" ca="1">IF(ISERROR((G27-G86)/G85),"N/A",((G27-G86)/G85))</f>
        <v>9.739317073170731</v>
      </c>
      <c r="H89" s="156">
        <f ca="1">IF(ISERROR((H27-H86)/H85),"N/A",((H27-H86)/H85))</f>
        <v>17.851735159817355</v>
      </c>
      <c r="I89" s="156">
        <f ca="1">IF(ISERROR((I27-I86)/I85),"N/A",((I27-I86)/I85))</f>
        <v>13.008054298642534</v>
      </c>
      <c r="J89" s="157">
        <f ca="1">IF(ISERROR((J27-J86)/J85),"N/A",((J27-J86)/J85))</f>
        <v>12.754901960784315</v>
      </c>
      <c r="K89" s="156">
        <f ca="1">IF(ISERROR((K27-K86)/K85),"N/A",((K27-K86)/K85))</f>
        <v>15.04739336492891</v>
      </c>
      <c r="L89" s="156">
        <f ca="1">IF(ISERROR((L27-L86)/L85),"N/A",((L27-L86)/L85))</f>
        <v>19.60185185185185</v>
      </c>
      <c r="M89" s="156">
        <f ca="1">IF(ISERROR((M27-M86)/M85),"N/A",((M27-M86)/M85))</f>
        <v>12.542600896860986</v>
      </c>
      <c r="N89" s="158" t="str">
        <f ca="1">IF(ISERROR((N27-N86)/N85),"N/A",((N27-N86)/N85))</f>
        <v>N/A</v>
      </c>
      <c r="O89" s="156" t="str">
        <f ca="1">IF(ISERROR((O27-O86)/O85),"N/A",((O27-O86)/O85))</f>
        <v>N/A</v>
      </c>
      <c r="P89" s="156" t="str">
        <f ca="1">IF(ISERROR((P27-P86)/P85),"N/A",((P27-P86)/P85))</f>
        <v>N/A</v>
      </c>
      <c r="Q89" s="156" t="str">
        <f ca="1">IF(ISERROR((Q27-Q86)/Q85),"N/A",((Q27-Q86)/Q85))</f>
        <v>N/A</v>
      </c>
      <c r="R89" s="156" t="str">
        <f ca="1">IF(ISERROR((R27-R86)/R85),"N/A",((R27-R86)/R85))</f>
        <v>N/A</v>
      </c>
      <c r="S89" s="16"/>
      <c r="T89" s="156">
        <f t="shared" ref="T89:AA89" si="59" ca="1">IF(ISERROR((T27-T86)/T85),"N/A",((T27-T86)/T85))</f>
        <v>9.883958333333334</v>
      </c>
      <c r="U89" s="156">
        <f ca="1">IF(ISERROR((U27-U86)/U85),"N/A",((U27-U86)/U85))</f>
        <v>9.089001447178003</v>
      </c>
      <c r="V89" s="157">
        <f ca="1">IF(ISERROR((V27-V86)/V85),"N/A",((V27-V86)/V85))</f>
        <v>13.407385159010602</v>
      </c>
      <c r="W89" s="156" t="str">
        <f ca="1">IF(ISERROR((W27-W86)/W85),"N/A",((W27-W86)/W85))</f>
        <v>N/A</v>
      </c>
      <c r="X89" s="156" t="str">
        <f ca="1">IF(ISERROR((X27-X86)/X85),"N/A",((X27-X86)/X85))</f>
        <v>N/A</v>
      </c>
      <c r="Y89" s="156" t="str">
        <f ca="1">IF(ISERROR((Y27-Y86)/Y85),"N/A",((Y27-Y86)/Y85))</f>
        <v>N/A</v>
      </c>
      <c r="Z89" s="156" t="str">
        <f ca="1">IF(ISERROR((Z27-Z86)/Z85),"N/A",((Z27-Z86)/Z85))</f>
        <v>N/A</v>
      </c>
      <c r="AA89" s="156" t="str">
        <f ca="1">IF(ISERROR((AA27-AA86)/AA85),"N/A",((AA27-AA86)/AA85))</f>
        <v>N/A</v>
      </c>
      <c r="AB89" s="16"/>
      <c r="AC89" s="16"/>
      <c r="AD89" s="16"/>
      <c r="AE89" s="16"/>
    </row>
    <row r="90" ht="13.5" customHeight="1" spans="1:31" x14ac:dyDescent="0.25">
      <c r="A90" s="17"/>
      <c r="B90" s="16"/>
      <c r="C90" s="16"/>
      <c r="D90" s="16"/>
      <c r="E90" s="16"/>
      <c r="F90" s="16"/>
      <c r="G90" s="16"/>
      <c r="H90" s="16"/>
      <c r="I90" s="16"/>
      <c r="J90" s="124"/>
      <c r="K90" s="16"/>
      <c r="L90" s="16"/>
      <c r="M90" s="16"/>
      <c r="N90" s="125"/>
      <c r="O90" s="16"/>
      <c r="P90" s="16"/>
      <c r="Q90" s="16"/>
      <c r="R90" s="16"/>
      <c r="S90" s="16"/>
      <c r="T90" s="16"/>
      <c r="U90" s="16"/>
      <c r="V90" s="124"/>
      <c r="W90" s="16"/>
      <c r="X90" s="16"/>
      <c r="Y90" s="16"/>
      <c r="Z90" s="16"/>
      <c r="AA90" s="16"/>
      <c r="AB90" s="16"/>
      <c r="AC90" s="16"/>
      <c r="AD90" s="16"/>
      <c r="AE90" s="16"/>
    </row>
    <row r="91" ht="13.5" customHeight="1" spans="1:31" x14ac:dyDescent="0.25">
      <c r="A91" s="17"/>
      <c r="B91" s="16"/>
      <c r="C91" s="131" t="s">
        <v>125</v>
      </c>
      <c r="D91" s="131"/>
      <c r="E91" s="131"/>
      <c r="F91" s="16"/>
      <c r="G91" s="16"/>
      <c r="H91" s="16"/>
      <c r="I91" s="16"/>
      <c r="J91" s="124"/>
      <c r="K91" s="16"/>
      <c r="L91" s="16"/>
      <c r="M91" s="16"/>
      <c r="N91" s="125"/>
      <c r="O91" s="16"/>
      <c r="P91" s="16"/>
      <c r="Q91" s="16"/>
      <c r="R91" s="16"/>
      <c r="S91" s="16"/>
      <c r="T91" s="16"/>
      <c r="U91" s="16"/>
      <c r="V91" s="124"/>
      <c r="W91" s="16"/>
      <c r="X91" s="16"/>
      <c r="Y91" s="16"/>
      <c r="Z91" s="16"/>
      <c r="AA91" s="16"/>
      <c r="AB91" s="16"/>
      <c r="AC91" s="16"/>
      <c r="AD91" s="16"/>
      <c r="AE91" s="16"/>
    </row>
    <row r="92" ht="13.5" customHeight="1" spans="1:31" x14ac:dyDescent="0.25">
      <c r="A92" s="17"/>
      <c r="B92" s="16"/>
      <c r="C92" s="139" t="s">
        <v>126</v>
      </c>
      <c r="D92" s="16"/>
      <c r="E92" s="16"/>
      <c r="F92" s="16"/>
      <c r="G92" s="156">
        <f t="shared" ref="G92:R92" si="60" ca="1">IF(ISERROR((G53+G54)/G27),"NA",((G53+G54)/G27))</f>
        <v>8.949650686581547</v>
      </c>
      <c r="H92" s="156">
        <f ca="1">IF(ISERROR((H53+H54)/H27),"NA",((H53+H54)/H27))</f>
        <v>4.848154387829049</v>
      </c>
      <c r="I92" s="156">
        <f ca="1">IF(ISERROR((I53+I54)/I27),"NA",((I53+I54)/I27))</f>
        <v>6.531446484335197</v>
      </c>
      <c r="J92" s="157">
        <f ca="1">IF(ISERROR((J53+J54)/J27),"NA",((J53+J54)/J27))</f>
        <v>8.29724596391263</v>
      </c>
      <c r="K92" s="156">
        <f ca="1">IF(ISERROR((K53+K54)/K27),"NA",((K53+K54)/K27))</f>
        <v>6.3927392739273925</v>
      </c>
      <c r="L92" s="156">
        <f ca="1">IF(ISERROR((L53+L54)/L27),"NA",((L53+L54)/L27))</f>
        <v>5.046763368694522</v>
      </c>
      <c r="M92" s="156">
        <f ca="1">IF(ISERROR((M53+M54)/M27),"NA",((M53+M54)/M27))</f>
        <v>7.868101028999065</v>
      </c>
      <c r="N92" s="159" t="str">
        <f ca="1">IF(ISERROR((N53+N54)/N27),"NA",((N53+N54)/N27))</f>
        <v>NA</v>
      </c>
      <c r="O92" s="156" t="str">
        <f ca="1">IF(ISERROR((O53+O54)/O27),"NA",((O53+O54)/O27))</f>
        <v>NA</v>
      </c>
      <c r="P92" s="156" t="str">
        <f ca="1">IF(ISERROR((P53+P54)/P27),"NA",((P53+P54)/P27))</f>
        <v>NA</v>
      </c>
      <c r="Q92" s="156" t="str">
        <f ca="1">IF(ISERROR((Q53+Q54)/Q27),"NA",((Q53+Q54)/Q27))</f>
        <v>NA</v>
      </c>
      <c r="R92" s="156" t="str">
        <f ca="1">IF(ISERROR((R53+R54)/R27),"NA",((R53+R54)/R27))</f>
        <v>NA</v>
      </c>
      <c r="S92" s="156"/>
      <c r="T92" s="156">
        <f t="shared" ref="T92:AA92" si="61" ca="1">IF(ISERROR((T53+T54)/T27),"NA",((T53+T54)/T27))</f>
        <v>2.111395487898398</v>
      </c>
      <c r="U92" s="156">
        <f ca="1">IF(ISERROR((U53+U54)/U27),"NA",((U53+U54)/U27))</f>
        <v>2.236460815248889</v>
      </c>
      <c r="V92" s="157">
        <f ca="1">IF(ISERROR((V53+V54)/V27),"NA",((V53+V54)/V27))</f>
        <v>1.9990283613245097</v>
      </c>
      <c r="W92" s="156" t="str">
        <f ca="1">IF(ISERROR((W53+W54)/W27),"NA",((W53+W54)/W27))</f>
        <v>NA</v>
      </c>
      <c r="X92" s="156" t="str">
        <f ca="1">IF(ISERROR((X53+X54)/X27),"NA",((X53+X54)/X27))</f>
        <v>NA</v>
      </c>
      <c r="Y92" s="156" t="str">
        <f ca="1">IF(ISERROR((Y53+Y54)/Y27),"NA",((Y53+Y54)/Y27))</f>
        <v>NA</v>
      </c>
      <c r="Z92" s="156" t="str">
        <f ca="1">IF(ISERROR((Z53+Z54)/Z27),"NA",((Z53+Z54)/Z27))</f>
        <v>NA</v>
      </c>
      <c r="AA92" s="156" t="str">
        <f ca="1">IF(ISERROR((AA53+AA54)/AA27),"NA",((AA53+AA54)/AA27))</f>
        <v>NA</v>
      </c>
      <c r="AB92" s="16"/>
      <c r="AC92" s="16"/>
      <c r="AD92" s="16"/>
      <c r="AE92" s="16"/>
    </row>
    <row r="93" ht="13.5" customHeight="1" spans="1:31" x14ac:dyDescent="0.25">
      <c r="A93" s="17"/>
      <c r="B93" s="16"/>
      <c r="C93" s="139" t="s">
        <v>127</v>
      </c>
      <c r="D93" s="16"/>
      <c r="E93" s="16"/>
      <c r="F93" s="16"/>
      <c r="G93" s="156">
        <f t="shared" ref="G93:R93" si="62" ca="1">IF(ISERROR((G53+G54)/G68),"NA",((G53+G54)/G68))</f>
        <v>12.123543123543124</v>
      </c>
      <c r="H93" s="156">
        <f ca="1">IF(ISERROR((H53+H54)/H68),"NA",((H53+H54)/H68))</f>
        <v>4.776400367309458</v>
      </c>
      <c r="I93" s="156">
        <f ca="1">IF(ISERROR((I53+I54)/I68),"NA",((I53+I54)/I68))</f>
        <v>5.350847041492758</v>
      </c>
      <c r="J93" s="157">
        <f ca="1">IF(ISERROR((J53+J54)/J68),"NA",((J53+J54)/J68))</f>
        <v>18.24008350730689</v>
      </c>
      <c r="K93" s="156">
        <f ca="1">IF(ISERROR((K53+K54)/K68),"NA",((K53+K54)/K68))</f>
        <v>52.23370786516854</v>
      </c>
      <c r="L93" s="156">
        <f ca="1">IF(ISERROR((L53+L54)/L68),"NA",((L53+L54)/L68))</f>
        <v>-133.2057142857143</v>
      </c>
      <c r="M93" s="156">
        <f ca="1">IF(ISERROR((M53+M54)/M68),"NA",((M53+M54)/M68))</f>
        <v>-16.010786802030456</v>
      </c>
      <c r="N93" s="159" t="str">
        <f ca="1">IF(ISERROR((N53+N54)/N68),"NA",((N53+N54)/N68))</f>
        <v>NA</v>
      </c>
      <c r="O93" s="156" t="str">
        <f ca="1">IF(ISERROR((O53+O54)/O68),"NA",((O53+O54)/O68))</f>
        <v>NA</v>
      </c>
      <c r="P93" s="156" t="str">
        <f ca="1">IF(ISERROR((P53+P54)/P68),"NA",((P53+P54)/P68))</f>
        <v>NA</v>
      </c>
      <c r="Q93" s="156" t="str">
        <f ca="1">IF(ISERROR((Q53+Q54)/Q68),"NA",((Q53+Q54)/Q68))</f>
        <v>NA</v>
      </c>
      <c r="R93" s="156" t="str">
        <f ca="1">IF(ISERROR((R53+R54)/R68),"NA",((R53+R54)/R68))</f>
        <v>NA</v>
      </c>
      <c r="S93" s="156"/>
      <c r="T93" s="156">
        <f t="shared" ref="T93:AA93" si="63" ca="1">IF(ISERROR((T53+T54)/T68),"NA",((T53+T54)/T68))</f>
        <v>4.25384193194292</v>
      </c>
      <c r="U93" s="156">
        <f ca="1">IF(ISERROR((U53+U54)/U68),"NA",((U53+U54)/U68))</f>
        <v>8.80578093306288</v>
      </c>
      <c r="V93" s="157">
        <f ca="1">IF(ISERROR((V53+V54)/V68),"NA",((V53+V54)/V68))</f>
        <v>18.24008350730689</v>
      </c>
      <c r="W93" s="156" t="str">
        <f ca="1">IF(ISERROR((W53+W54)/W68),"NA",((W53+W54)/W68))</f>
        <v>NA</v>
      </c>
      <c r="X93" s="156" t="str">
        <f ca="1">IF(ISERROR((X53+X54)/X68),"NA",((X53+X54)/X68))</f>
        <v>NA</v>
      </c>
      <c r="Y93" s="156" t="str">
        <f ca="1">IF(ISERROR((Y53+Y54)/Y68),"NA",((Y53+Y54)/Y68))</f>
        <v>NA</v>
      </c>
      <c r="Z93" s="156" t="str">
        <f ca="1">IF(ISERROR((Z53+Z54)/Z68),"NA",((Z53+Z54)/Z68))</f>
        <v>NA</v>
      </c>
      <c r="AA93" s="156" t="str">
        <f ca="1">IF(ISERROR((AA53+AA54)/AA68),"NA",((AA53+AA54)/AA68))</f>
        <v>NA</v>
      </c>
      <c r="AB93" s="16"/>
      <c r="AC93" s="16"/>
      <c r="AD93" s="16"/>
      <c r="AE93" s="16"/>
    </row>
    <row r="94" ht="13.5" customHeight="1" spans="1:31" x14ac:dyDescent="0.25">
      <c r="A94" s="17"/>
      <c r="B94" s="16"/>
      <c r="C94" s="139" t="s">
        <v>128</v>
      </c>
      <c r="D94" s="16"/>
      <c r="E94" s="16"/>
      <c r="F94" s="16"/>
      <c r="G94" s="156">
        <f t="shared" ref="G94:R94" si="64" ca="1">IF(ISERROR((G53+G54)/G46),"NA",((G53+G54)/G46))</f>
        <v>0.45391865945191134</v>
      </c>
      <c r="H94" s="156">
        <f ca="1">IF(ISERROR((H53+H54)/H46),"NA",((H53+H54)/H46))</f>
        <v>0.40194733690087514</v>
      </c>
      <c r="I94" s="156">
        <f ca="1">IF(ISERROR((I53+I54)/I46),"NA",((I53+I54)/I46))</f>
        <v>0.42834119496855344</v>
      </c>
      <c r="J94" s="157">
        <f ca="1">IF(ISERROR((J53+J54)/J46),"NA",((J53+J54)/J46))</f>
        <v>0.5608430512463892</v>
      </c>
      <c r="K94" s="156">
        <f ca="1">IF(ISERROR((K53+K54)/K46),"NA",((K53+K54)/K46))</f>
        <v>0.453984375</v>
      </c>
      <c r="L94" s="156">
        <f ca="1">IF(ISERROR((L53+L54)/L46),"NA",((L53+L54)/L46))</f>
        <v>0.4718443850700348</v>
      </c>
      <c r="M94" s="156">
        <f ca="1">IF(ISERROR((M53+M54)/M46),"NA",((M53+M54)/M46))</f>
        <v>0.5107894736842106</v>
      </c>
      <c r="N94" s="159" t="str">
        <f ca="1">IF(ISERROR((N53+N54)/N46),"NA",((N53+N54)/N46))</f>
        <v>NA</v>
      </c>
      <c r="O94" s="156" t="str">
        <f ca="1">IF(ISERROR((O53+O54)/O46),"NA",((O53+O54)/O46))</f>
        <v>NA</v>
      </c>
      <c r="P94" s="156" t="str">
        <f ca="1">IF(ISERROR((P53+P54)/P46),"NA",((P53+P54)/P46))</f>
        <v>NA</v>
      </c>
      <c r="Q94" s="156" t="str">
        <f ca="1">IF(ISERROR((Q53+Q54)/Q46),"NA",((Q53+Q54)/Q46))</f>
        <v>NA</v>
      </c>
      <c r="R94" s="156" t="str">
        <f ca="1">IF(ISERROR((R53+R54)/R46),"NA",((R53+R54)/R46))</f>
        <v>NA</v>
      </c>
      <c r="S94" s="156"/>
      <c r="T94" s="156">
        <f t="shared" ref="T94:AA94" si="65" ca="1">IF(ISERROR((T53+T54)/T46),"NA",((T53+T54)/T46))</f>
        <v>0.4492001854642402</v>
      </c>
      <c r="U94" s="156">
        <f ca="1">IF(ISERROR((U53+U54)/U46),"NA",((U53+U54)/U46))</f>
        <v>0.4399432494742976</v>
      </c>
      <c r="V94" s="157">
        <f ca="1">IF(ISERROR((V53+V54)/V46),"NA",((V53+V54)/V46))</f>
        <v>0.5608430512463892</v>
      </c>
      <c r="W94" s="156" t="str">
        <f ca="1">IF(ISERROR((W53+W54)/W46),"NA",((W53+W54)/W46))</f>
        <v>NA</v>
      </c>
      <c r="X94" s="156" t="str">
        <f ca="1">IF(ISERROR((X53+X54)/X46),"NA",((X53+X54)/X46))</f>
        <v>NA</v>
      </c>
      <c r="Y94" s="156" t="str">
        <f ca="1">IF(ISERROR((Y53+Y54)/Y46),"NA",((Y53+Y54)/Y46))</f>
        <v>NA</v>
      </c>
      <c r="Z94" s="156" t="str">
        <f ca="1">IF(ISERROR((Z53+Z54)/Z46),"NA",((Z53+Z54)/Z46))</f>
        <v>NA</v>
      </c>
      <c r="AA94" s="156" t="str">
        <f ca="1">IF(ISERROR((AA53+AA54)/AA46),"NA",((AA53+AA54)/AA46))</f>
        <v>NA</v>
      </c>
      <c r="AB94" s="16"/>
      <c r="AC94" s="16"/>
      <c r="AD94" s="16"/>
      <c r="AE94" s="16"/>
    </row>
    <row r="95" ht="13.5" customHeight="1" spans="1:31" x14ac:dyDescent="0.25">
      <c r="A95" s="17"/>
      <c r="B95" s="16"/>
      <c r="C95" s="16"/>
      <c r="D95" s="16"/>
      <c r="E95" s="16"/>
      <c r="F95" s="16"/>
      <c r="G95" s="16"/>
      <c r="H95" s="16"/>
      <c r="I95" s="16"/>
      <c r="J95" s="124"/>
      <c r="K95" s="16"/>
      <c r="L95" s="16"/>
      <c r="M95" s="16"/>
      <c r="N95" s="125"/>
      <c r="O95" s="16"/>
      <c r="P95" s="16"/>
      <c r="Q95" s="16"/>
      <c r="R95" s="16"/>
      <c r="S95" s="16"/>
      <c r="T95" s="16"/>
      <c r="U95" s="16"/>
      <c r="V95" s="124"/>
      <c r="W95" s="16"/>
      <c r="X95" s="16"/>
      <c r="Y95" s="16"/>
      <c r="Z95" s="16"/>
      <c r="AA95" s="16"/>
      <c r="AB95" s="16"/>
      <c r="AC95" s="16"/>
      <c r="AD95" s="16"/>
      <c r="AE95" s="16"/>
    </row>
    <row r="96" ht="13.5" customHeight="1" spans="1:31" x14ac:dyDescent="0.25">
      <c r="A96" s="17"/>
      <c r="B96" s="16"/>
      <c r="C96" s="131" t="s">
        <v>129</v>
      </c>
      <c r="D96" s="131"/>
      <c r="E96" s="131"/>
      <c r="F96" s="16"/>
      <c r="G96" s="16"/>
      <c r="H96" s="16"/>
      <c r="I96" s="16"/>
      <c r="J96" s="124"/>
      <c r="K96" s="16"/>
      <c r="L96" s="16"/>
      <c r="M96" s="16"/>
      <c r="N96" s="125"/>
      <c r="O96" s="16"/>
      <c r="P96" s="16"/>
      <c r="Q96" s="16"/>
      <c r="R96" s="16"/>
      <c r="S96" s="16"/>
      <c r="T96" s="16"/>
      <c r="U96" s="16"/>
      <c r="V96" s="124"/>
      <c r="W96" s="16"/>
      <c r="X96" s="16"/>
      <c r="Y96" s="16"/>
      <c r="Z96" s="16"/>
      <c r="AA96" s="16"/>
      <c r="AB96" s="16"/>
      <c r="AC96" s="16"/>
      <c r="AD96" s="16"/>
      <c r="AE96" s="16"/>
    </row>
    <row r="97" ht="13.5" customHeight="1" spans="1:31" x14ac:dyDescent="0.25">
      <c r="A97" s="17"/>
      <c r="B97" s="16"/>
      <c r="C97" s="139" t="s">
        <v>130</v>
      </c>
      <c r="D97" s="16"/>
      <c r="E97" s="16"/>
      <c r="F97" s="16"/>
      <c r="G97" s="156">
        <f t="shared" ref="G97:R97" si="66" ca="1">G8/G46</f>
        <v>0.4292852155699075</v>
      </c>
      <c r="H97" s="156">
        <f ca="1">H8/H46</f>
        <v>0.5274423816239399</v>
      </c>
      <c r="I97" s="156">
        <f ca="1">I8/I46</f>
        <v>0.4384630503144654</v>
      </c>
      <c r="J97" s="157">
        <f ca="1">J8/J46</f>
        <v>0.43459933668556755</v>
      </c>
      <c r="K97" s="156">
        <f ca="1">K8/K46</f>
        <v>0.4769921875</v>
      </c>
      <c r="L97" s="156">
        <f ca="1">L8/L46</f>
        <v>0.5580519795967938</v>
      </c>
      <c r="M97" s="156">
        <f ca="1">M8/M46</f>
        <v>0.4639271255060729</v>
      </c>
      <c r="N97" s="158">
        <f ca="1">N8/N46</f>
        <v>0.4317346224160652</v>
      </c>
      <c r="O97" s="160">
        <f ca="1">O8/O46</f>
        <v>0.4905142566448897</v>
      </c>
      <c r="P97" s="160">
        <f ca="1">P8/P46</f>
        <v>0.5709660713409372</v>
      </c>
      <c r="Q97" s="160">
        <f ca="1">Q8/Q46</f>
        <v>0.5178470596499726</v>
      </c>
      <c r="R97" s="160">
        <f ca="1">R8/R46</f>
        <v>0.5055370439087605</v>
      </c>
      <c r="S97" s="16"/>
      <c r="T97" s="160">
        <f t="shared" ref="T97:AA97" si="67" ca="1">T8/T46</f>
        <v>2.066448359800626</v>
      </c>
      <c r="U97" s="160">
        <f ca="1">U8/U46</f>
        <v>1.8278736287400876</v>
      </c>
      <c r="V97" s="161">
        <f ca="1">V8/V46</f>
        <v>1.9171284904247352</v>
      </c>
      <c r="W97" s="160">
        <f ca="1">W8/W46</f>
        <v>2.6868297425478938</v>
      </c>
      <c r="X97" s="160">
        <f ca="1">X8/X46</f>
        <v>2.1728375102207895</v>
      </c>
      <c r="Y97" s="160">
        <f ca="1">Y8/Y46</f>
        <v>2.1444498632777846</v>
      </c>
      <c r="Z97" s="160">
        <f ca="1">Z8/Z46</f>
        <v>2.132625934201993</v>
      </c>
      <c r="AA97" s="160">
        <f ca="1">AA8/AA46</f>
        <v>2.1186134670745362</v>
      </c>
      <c r="AB97" s="16"/>
      <c r="AC97" s="16"/>
      <c r="AD97" s="16"/>
      <c r="AE97" s="16"/>
    </row>
    <row r="98" ht="13.5" customHeight="1" spans="1:31" x14ac:dyDescent="0.25">
      <c r="A98" s="17"/>
      <c r="B98" s="16"/>
      <c r="C98" s="139" t="str">
        <f ca="1">Model!C182</f>
        <v>Days Sales Outstanding</v>
      </c>
      <c r="D98" s="16"/>
      <c r="E98" s="16"/>
      <c r="F98" s="16"/>
      <c r="G98" s="162">
        <f ca="1">Model!P182</f>
        <v>0</v>
      </c>
      <c r="H98" s="162">
        <f ca="1">Model!Q182</f>
        <v>0</v>
      </c>
      <c r="I98" s="162">
        <f ca="1">Model!R182</f>
        <v>0</v>
      </c>
      <c r="J98" s="163">
        <f ca="1">Model!S182</f>
        <v>0</v>
      </c>
      <c r="K98" s="162">
        <f ca="1">Model!U182</f>
        <v>0</v>
      </c>
      <c r="L98" s="162">
        <f ca="1">Model!V182</f>
        <v>0</v>
      </c>
      <c r="M98" s="162">
        <f ca="1">Model!W182</f>
        <v>1e-12</v>
      </c>
      <c r="N98" s="164">
        <f ca="1">Model!X182</f>
        <v>1e-12</v>
      </c>
      <c r="O98" s="162">
        <f ca="1">Model!Z182</f>
        <v>1e-12</v>
      </c>
      <c r="P98" s="162">
        <f ca="1">Model!AA182</f>
        <v>1e-12</v>
      </c>
      <c r="Q98" s="162">
        <f ca="1">Model!AB182</f>
        <v>1e-12</v>
      </c>
      <c r="R98" s="162">
        <f ca="1">Model!AC182</f>
        <v>1e-12</v>
      </c>
      <c r="S98" s="162"/>
      <c r="T98" s="162">
        <f ca="1">Model!J182</f>
        <v>0</v>
      </c>
      <c r="U98" s="162">
        <f ca="1">Model!O182</f>
        <v>0</v>
      </c>
      <c r="V98" s="163">
        <f ca="1">Model!T182</f>
        <v>0</v>
      </c>
      <c r="W98" s="162">
        <f ca="1">Model!Y182</f>
        <v>1e-12</v>
      </c>
      <c r="X98" s="162">
        <f ca="1">Model!AD182</f>
        <v>1e-12</v>
      </c>
      <c r="Y98" s="162">
        <f ca="1">Model!AE182</f>
        <v>1e-12</v>
      </c>
      <c r="Z98" s="162">
        <f ca="1">Model!AF182</f>
        <v>1e-12</v>
      </c>
      <c r="AA98" s="162">
        <f ca="1">Model!AG182</f>
        <v>1e-12</v>
      </c>
      <c r="AB98" s="16"/>
      <c r="AC98" s="16"/>
      <c r="AD98" s="16"/>
      <c r="AE98" s="16"/>
    </row>
    <row r="99" ht="13.5" customHeight="1" spans="1:31" x14ac:dyDescent="0.25">
      <c r="A99" s="17"/>
      <c r="B99" s="16"/>
      <c r="C99" s="139" t="str">
        <f ca="1">Model!C183</f>
        <v>Days Inventory Outstanding</v>
      </c>
      <c r="D99" s="16"/>
      <c r="E99" s="16"/>
      <c r="F99" s="16"/>
      <c r="G99" s="162">
        <f ca="1">Model!P183</f>
        <v>93.89074608722079</v>
      </c>
      <c r="H99" s="162">
        <f ca="1">Model!Q183</f>
        <v>71.07384153794867</v>
      </c>
      <c r="I99" s="162">
        <f ca="1">Model!R183</f>
        <v>90.54420680924778</v>
      </c>
      <c r="J99" s="163">
        <f ca="1">Model!S183</f>
        <v>106.00433369447454</v>
      </c>
      <c r="K99" s="162">
        <f ca="1">Model!U183</f>
        <v>95.49932482199853</v>
      </c>
      <c r="L99" s="162">
        <f ca="1">Model!V183</f>
        <v>88.97644868003067</v>
      </c>
      <c r="M99" s="162">
        <f ca="1">Model!W183</f>
        <v>102.03652729763225</v>
      </c>
      <c r="N99" s="164">
        <f ca="1">Model!X183</f>
        <v>90</v>
      </c>
      <c r="O99" s="162">
        <f ca="1">Model!Z183</f>
        <v>95</v>
      </c>
      <c r="P99" s="162">
        <f ca="1">Model!AA183</f>
        <v>80</v>
      </c>
      <c r="Q99" s="162">
        <f ca="1">Model!AB183</f>
        <v>85</v>
      </c>
      <c r="R99" s="162">
        <f ca="1">Model!AC183</f>
        <v>90</v>
      </c>
      <c r="S99" s="162"/>
      <c r="T99" s="162">
        <f ca="1">Model!J183</f>
        <v>94.5511972893122</v>
      </c>
      <c r="U99" s="162">
        <f ca="1">Model!O183</f>
        <v>95.46895640686921</v>
      </c>
      <c r="V99" s="163">
        <f ca="1">Model!T183</f>
        <v>89.31899223514513</v>
      </c>
      <c r="W99" s="162">
        <f ca="1">Model!Y183</f>
        <v>92.07624734938022</v>
      </c>
      <c r="X99" s="162">
        <f ca="1">Model!AD183</f>
        <v>78.93300806770992</v>
      </c>
      <c r="Y99" s="162">
        <f ca="1">Model!AE183</f>
        <v>84</v>
      </c>
      <c r="Z99" s="162">
        <f ca="1">Model!AF183</f>
        <v>84</v>
      </c>
      <c r="AA99" s="162">
        <f ca="1">Model!AG183</f>
        <v>84</v>
      </c>
      <c r="AB99" s="16"/>
      <c r="AC99" s="16"/>
      <c r="AD99" s="16"/>
      <c r="AE99" s="16"/>
    </row>
    <row r="100" ht="13.5" customHeight="1" spans="1:31" x14ac:dyDescent="0.25">
      <c r="A100" s="17"/>
      <c r="B100" s="16"/>
      <c r="C100" s="139" t="str">
        <f ca="1">Model!C184</f>
        <v>Days Payables Outstanding</v>
      </c>
      <c r="D100" s="16"/>
      <c r="E100" s="16"/>
      <c r="F100" s="16"/>
      <c r="G100" s="162">
        <f ca="1">Model!P184</f>
        <v>63.250265917033886</v>
      </c>
      <c r="H100" s="162">
        <f ca="1">Model!Q184</f>
        <v>60.05908989887765</v>
      </c>
      <c r="I100" s="162">
        <f ca="1">Model!R184</f>
        <v>78.68945299486974</v>
      </c>
      <c r="J100" s="163">
        <f ca="1">Model!S184</f>
        <v>78.55384615384615</v>
      </c>
      <c r="K100" s="162">
        <f ca="1">Model!U184</f>
        <v>68.63245764792536</v>
      </c>
      <c r="L100" s="162">
        <f ca="1">Model!V184</f>
        <v>64.7312137145361</v>
      </c>
      <c r="M100" s="162">
        <f ca="1">Model!W184</f>
        <v>70.04565912204032</v>
      </c>
      <c r="N100" s="164">
        <f ca="1">Model!X184</f>
        <v>55</v>
      </c>
      <c r="O100" s="162">
        <f ca="1">Model!Z184</f>
        <v>58</v>
      </c>
      <c r="P100" s="162">
        <f ca="1">Model!AA184</f>
        <v>48</v>
      </c>
      <c r="Q100" s="162">
        <f ca="1">Model!AB184</f>
        <v>53</v>
      </c>
      <c r="R100" s="162">
        <f ca="1">Model!AC184</f>
        <v>55</v>
      </c>
      <c r="S100" s="162"/>
      <c r="T100" s="162">
        <f ca="1">Model!J184</f>
        <v>69.28524204045371</v>
      </c>
      <c r="U100" s="162">
        <f ca="1">Model!O184</f>
        <v>59.11360634081902</v>
      </c>
      <c r="V100" s="163">
        <f ca="1">Model!T184</f>
        <v>56.38846769087213</v>
      </c>
      <c r="W100" s="162">
        <f ca="1">Model!Y184</f>
        <v>58.889473853616515</v>
      </c>
      <c r="X100" s="162">
        <f ca="1">Model!AD184</f>
        <v>48.236838263600504</v>
      </c>
      <c r="Y100" s="162">
        <f ca="1">Model!AE184</f>
        <v>54</v>
      </c>
      <c r="Z100" s="162">
        <f ca="1">Model!AF184</f>
        <v>54</v>
      </c>
      <c r="AA100" s="162">
        <f ca="1">Model!AG184</f>
        <v>54</v>
      </c>
      <c r="AB100" s="16"/>
      <c r="AC100" s="16"/>
      <c r="AD100" s="16"/>
      <c r="AE100" s="16"/>
    </row>
    <row r="101" ht="13.5" customHeight="1" spans="1:31" x14ac:dyDescent="0.25">
      <c r="A101" s="17"/>
      <c r="B101" s="16"/>
      <c r="C101" s="139" t="s">
        <v>131</v>
      </c>
      <c r="D101" s="16"/>
      <c r="E101" s="16"/>
      <c r="F101" s="16"/>
      <c r="G101" s="162">
        <f t="shared" ref="G101:R101" si="68" ca="1">G98+G99-G100</f>
        <v>30.640480170186905</v>
      </c>
      <c r="H101" s="162">
        <f ca="1">H98+H99-H100</f>
        <v>11.014751639071015</v>
      </c>
      <c r="I101" s="162">
        <f ca="1">I98+I99-I100</f>
        <v>11.854753814378043</v>
      </c>
      <c r="J101" s="163">
        <f ca="1">J98+J99-J100</f>
        <v>27.450487540628387</v>
      </c>
      <c r="K101" s="162">
        <f ca="1">K98+K99-K100</f>
        <v>26.866867174073164</v>
      </c>
      <c r="L101" s="162">
        <f ca="1">L98+L99-L100</f>
        <v>24.245234965494575</v>
      </c>
      <c r="M101" s="162">
        <f ca="1">M98+M99-M100</f>
        <v>31.990868175591928</v>
      </c>
      <c r="N101" s="164">
        <f ca="1">N98+N99-N100</f>
        <v>35</v>
      </c>
      <c r="O101" s="162">
        <f ca="1">O98+O99-O100</f>
        <v>37</v>
      </c>
      <c r="P101" s="162">
        <f ca="1">P98+P99-P100</f>
        <v>32</v>
      </c>
      <c r="Q101" s="162">
        <f ca="1">Q98+Q99-Q100</f>
        <v>32</v>
      </c>
      <c r="R101" s="162">
        <f ca="1">R98+R99-R100</f>
        <v>35</v>
      </c>
      <c r="S101" s="162"/>
      <c r="T101" s="162">
        <f t="shared" ref="T101:AA101" si="69" ca="1">T98+T99-T100</f>
        <v>25.26595524885849</v>
      </c>
      <c r="U101" s="162">
        <f ca="1">U98+U99-U100</f>
        <v>36.35535006605019</v>
      </c>
      <c r="V101" s="163">
        <f ca="1">V98+V99-V100</f>
        <v>32.930524544273</v>
      </c>
      <c r="W101" s="162">
        <f ca="1">W98+W99-W100</f>
        <v>33.18677349576371</v>
      </c>
      <c r="X101" s="162">
        <f ca="1">X98+X99-X100</f>
        <v>30.696169804109417</v>
      </c>
      <c r="Y101" s="162">
        <f ca="1">Y98+Y99-Y100</f>
        <v>30</v>
      </c>
      <c r="Z101" s="162">
        <f ca="1">Z98+Z99-Z100</f>
        <v>30</v>
      </c>
      <c r="AA101" s="162">
        <f ca="1">AA98+AA99-AA100</f>
        <v>30</v>
      </c>
      <c r="AB101" s="16"/>
      <c r="AC101" s="16"/>
      <c r="AD101" s="16"/>
      <c r="AE101" s="16"/>
    </row>
    <row r="102" ht="13.5" customHeight="1" spans="1:31" x14ac:dyDescent="0.25">
      <c r="A102" s="17"/>
      <c r="B102" s="16"/>
      <c r="C102" s="16"/>
      <c r="D102" s="16"/>
      <c r="E102" s="16"/>
      <c r="F102" s="16"/>
      <c r="G102" s="16"/>
      <c r="H102" s="16"/>
      <c r="I102" s="16"/>
      <c r="J102" s="124"/>
      <c r="K102" s="16"/>
      <c r="L102" s="16"/>
      <c r="M102" s="16"/>
      <c r="N102" s="125"/>
      <c r="O102" s="16"/>
      <c r="P102" s="16"/>
      <c r="Q102" s="16"/>
      <c r="R102" s="16"/>
      <c r="S102" s="16"/>
      <c r="T102" s="16"/>
      <c r="U102" s="16"/>
      <c r="V102" s="124"/>
      <c r="W102" s="16"/>
      <c r="X102" s="16"/>
      <c r="Y102" s="16"/>
      <c r="Z102" s="16"/>
      <c r="AA102" s="16"/>
      <c r="AB102" s="16"/>
      <c r="AC102" s="16"/>
      <c r="AD102" s="16"/>
      <c r="AE102" s="16"/>
    </row>
    <row r="103" ht="13.5" customHeight="1" spans="1:31" x14ac:dyDescent="0.25">
      <c r="A103" s="17"/>
      <c r="B103" s="16"/>
      <c r="C103" s="131" t="s">
        <v>132</v>
      </c>
      <c r="D103" s="131"/>
      <c r="E103" s="131"/>
      <c r="F103" s="16"/>
      <c r="G103" s="16"/>
      <c r="H103" s="16"/>
      <c r="I103" s="16"/>
      <c r="J103" s="124"/>
      <c r="K103" s="16"/>
      <c r="L103" s="16"/>
      <c r="M103" s="16"/>
      <c r="N103" s="125"/>
      <c r="O103" s="16"/>
      <c r="P103" s="16"/>
      <c r="Q103" s="16"/>
      <c r="R103" s="16"/>
      <c r="S103" s="16"/>
      <c r="T103" s="16"/>
      <c r="U103" s="16"/>
      <c r="V103" s="124"/>
      <c r="W103" s="16"/>
      <c r="X103" s="16"/>
      <c r="Y103" s="16"/>
      <c r="Z103" s="16"/>
      <c r="AA103" s="16"/>
      <c r="AB103" s="16"/>
      <c r="AC103" s="16"/>
      <c r="AD103" s="16"/>
      <c r="AE103" s="16"/>
    </row>
    <row r="104" ht="13.5" customHeight="1" spans="1:31" x14ac:dyDescent="0.25">
      <c r="A104" s="17"/>
      <c r="B104" s="16"/>
      <c r="C104" s="139" t="s">
        <v>133</v>
      </c>
      <c r="D104" s="16"/>
      <c r="E104" s="16"/>
      <c r="F104" s="16"/>
      <c r="G104" s="156">
        <f t="shared" ref="G104:R104" si="70" ca="1">IF(ISERROR(G38/G51),"NA",(G38/G51))</f>
        <v>1.2372890920376953</v>
      </c>
      <c r="H104" s="156">
        <f ca="1">IF(ISERROR(H38/H51),"NA",(H38/H51))</f>
        <v>1.3350512981070275</v>
      </c>
      <c r="I104" s="156">
        <f ca="1">IF(ISERROR(I38/I51),"NA",(I38/I51))</f>
        <v>1.419994724347138</v>
      </c>
      <c r="J104" s="157">
        <f ca="1">IF(ISERROR(J38/J51),"NA",(J38/J51))</f>
        <v>1.320361937429771</v>
      </c>
      <c r="K104" s="156">
        <f ca="1">IF(ISERROR(K38/K51),"NA",(K38/K51))</f>
        <v>1.244131019764313</v>
      </c>
      <c r="L104" s="156">
        <f ca="1">IF(ISERROR(L38/L51),"NA",(L38/L51))</f>
        <v>1.2343996062992126</v>
      </c>
      <c r="M104" s="156">
        <f ca="1">IF(ISERROR(M38/M51),"NA",(M38/M51))</f>
        <v>1.2754850631352017</v>
      </c>
      <c r="N104" s="158" t="str">
        <f ca="1">IF(ISERROR(N38/N51),"NA",(N38/N51))</f>
        <v>NA</v>
      </c>
      <c r="O104" s="160" t="str">
        <f ca="1">IF(ISERROR(O38/O51),"NA",(O38/O51))</f>
        <v>NA</v>
      </c>
      <c r="P104" s="160" t="str">
        <f ca="1">IF(ISERROR(P38/P51),"NA",(P38/P51))</f>
        <v>NA</v>
      </c>
      <c r="Q104" s="160" t="str">
        <f ca="1">IF(ISERROR(Q38/Q51),"NA",(Q38/Q51))</f>
        <v>NA</v>
      </c>
      <c r="R104" s="160" t="str">
        <f ca="1">IF(ISERROR(R38/R51),"NA",(R38/R51))</f>
        <v>NA</v>
      </c>
      <c r="S104" s="16"/>
      <c r="T104" s="160">
        <f t="shared" ref="T104:AA104" si="71" ca="1">IF(ISERROR(T38/T51),"NA",(T38/T51))</f>
        <v>1.0628221408829461</v>
      </c>
      <c r="U104" s="160">
        <f ca="1">IF(ISERROR(U38/U51),"NA",(U38/U51))</f>
        <v>1.0502571134727459</v>
      </c>
      <c r="V104" s="161">
        <f ca="1">IF(ISERROR(V38/V51),"NA",(V38/V51))</f>
        <v>1.320361937429771</v>
      </c>
      <c r="W104" s="160" t="str">
        <f ca="1">IF(ISERROR(W38/W51),"NA",(W38/W51))</f>
        <v>NA</v>
      </c>
      <c r="X104" s="160" t="str">
        <f ca="1">IF(ISERROR(X38/X51),"NA",(X38/X51))</f>
        <v>NA</v>
      </c>
      <c r="Y104" s="160" t="str">
        <f ca="1">IF(ISERROR(Y38/Y51),"NA",(Y38/Y51))</f>
        <v>NA</v>
      </c>
      <c r="Z104" s="160" t="str">
        <f ca="1">IF(ISERROR(Z38/Z51),"NA",(Z38/Z51))</f>
        <v>NA</v>
      </c>
      <c r="AA104" s="160" t="str">
        <f ca="1">IF(ISERROR(AA38/AA51),"NA",(AA38/AA51))</f>
        <v>NA</v>
      </c>
      <c r="AB104" s="16"/>
      <c r="AC104" s="16"/>
      <c r="AD104" s="16"/>
      <c r="AE104" s="16"/>
    </row>
    <row r="105" ht="13.5" customHeight="1" spans="1:31" x14ac:dyDescent="0.25">
      <c r="A105" s="17"/>
      <c r="B105" s="16"/>
      <c r="C105" s="139" t="s">
        <v>134</v>
      </c>
      <c r="D105" s="16"/>
      <c r="E105" s="16"/>
      <c r="F105" s="16"/>
      <c r="G105" s="156">
        <f t="shared" ref="G105:R105" si="72" ca="1">IF(ISERROR((G34+G35)/G51),"NA",((G34+G35)/G51))</f>
        <v>0.34738445911630267</v>
      </c>
      <c r="H105" s="156">
        <f ca="1">IF(ISERROR((H34+H35)/H51),"NA",((H34+H35)/H51))</f>
        <v>0.6129762535523336</v>
      </c>
      <c r="I105" s="156">
        <f ca="1">IF(ISERROR((I34+I35)/I51),"NA",((I34+I35)/I51))</f>
        <v>0.5328936955948299</v>
      </c>
      <c r="J105" s="157">
        <f ca="1">IF(ISERROR((J34+J35)/J51),"NA",((J34+J35)/J51))</f>
        <v>0.307291974688036</v>
      </c>
      <c r="K105" s="156">
        <f ca="1">IF(ISERROR((K34+K35)/K51),"NA",((K34+K35)/K51))</f>
        <v>0.33153938944047506</v>
      </c>
      <c r="L105" s="156">
        <f ca="1">IF(ISERROR((L34+L35)/L51),"NA",((L34+L35)/L51))</f>
        <v>0.3078248031496063</v>
      </c>
      <c r="M105" s="156">
        <f ca="1">IF(ISERROR((M34+M35)/M51),"NA",((M34+M35)/M51))</f>
        <v>0.34252130171440304</v>
      </c>
      <c r="N105" s="158" t="str">
        <f ca="1">IF(ISERROR((N34+N35)/N51),"NA",((N34+N35)/N51))</f>
        <v>NA</v>
      </c>
      <c r="O105" s="160" t="str">
        <f ca="1">IF(ISERROR((O34+O35)/O51),"NA",((O34+O35)/O51))</f>
        <v>NA</v>
      </c>
      <c r="P105" s="160" t="str">
        <f ca="1">IF(ISERROR((P34+P35)/P51),"NA",((P34+P35)/P51))</f>
        <v>NA</v>
      </c>
      <c r="Q105" s="160" t="str">
        <f ca="1">IF(ISERROR((Q34+Q35)/Q51),"NA",((Q34+Q35)/Q51))</f>
        <v>NA</v>
      </c>
      <c r="R105" s="160" t="str">
        <f ca="1">IF(ISERROR((R34+R35)/R51),"NA",((R34+R35)/R51))</f>
        <v>NA</v>
      </c>
      <c r="S105" s="16"/>
      <c r="T105" s="160">
        <f t="shared" ref="T105:AA105" si="73" ca="1">IF(ISERROR((T34+T35)/T51),"NA",((T34+T35)/T51))</f>
        <v>0.054455815343243445</v>
      </c>
      <c r="U105" s="160">
        <f ca="1">IF(ISERROR((U34+U35)/U51),"NA",((U34+U35)/U51))</f>
        <v>0.060061707233459036</v>
      </c>
      <c r="V105" s="161">
        <f ca="1">IF(ISERROR((V34+V35)/V51),"NA",((V34+V35)/V51))</f>
        <v>0.307291974688036</v>
      </c>
      <c r="W105" s="160" t="str">
        <f ca="1">IF(ISERROR((W34+W35)/W51),"NA",((W34+W35)/W51))</f>
        <v>NA</v>
      </c>
      <c r="X105" s="160" t="str">
        <f ca="1">IF(ISERROR((X34+X35)/X51),"NA",((X34+X35)/X51))</f>
        <v>NA</v>
      </c>
      <c r="Y105" s="160" t="str">
        <f ca="1">IF(ISERROR((Y34+Y35)/Y51),"NA",((Y34+Y35)/Y51))</f>
        <v>NA</v>
      </c>
      <c r="Z105" s="160" t="str">
        <f ca="1">IF(ISERROR((Z34+Z35)/Z51),"NA",((Z34+Z35)/Z51))</f>
        <v>NA</v>
      </c>
      <c r="AA105" s="160" t="str">
        <f ca="1">IF(ISERROR((AA34+AA35)/AA51),"NA",((AA34+AA35)/AA51))</f>
        <v>NA</v>
      </c>
      <c r="AB105" s="16"/>
      <c r="AC105" s="16"/>
      <c r="AD105" s="16"/>
      <c r="AE105" s="16"/>
    </row>
    <row r="106" ht="13.5" customHeight="1" spans="1:31" x14ac:dyDescent="0.25">
      <c r="A106" s="17"/>
      <c r="B106" s="16"/>
      <c r="C106" s="139" t="s">
        <v>135</v>
      </c>
      <c r="D106" s="16"/>
      <c r="E106" s="16"/>
      <c r="F106" s="16"/>
      <c r="G106" s="156">
        <f t="shared" ref="G106:R106" si="74" ca="1">IF(ISERROR(G34/G51),"NA",(G34/G51))</f>
        <v>0.34738445911630267</v>
      </c>
      <c r="H106" s="156">
        <f ca="1">IF(ISERROR(H34/H51),"NA",(H34/H51))</f>
        <v>0.6129762535523336</v>
      </c>
      <c r="I106" s="156">
        <f ca="1">IF(ISERROR(I34/I51),"NA",(I34/I51))</f>
        <v>0.5328936955948299</v>
      </c>
      <c r="J106" s="157">
        <f ca="1">IF(ISERROR(J34/J51),"NA",(J34/J51))</f>
        <v>0.307291974688036</v>
      </c>
      <c r="K106" s="156">
        <f ca="1">IF(ISERROR(K34/K51),"NA",(K34/K51))</f>
        <v>0.33153938944047506</v>
      </c>
      <c r="L106" s="156">
        <f ca="1">IF(ISERROR(L34/L51),"NA",(L34/L51))</f>
        <v>0.3078248031496063</v>
      </c>
      <c r="M106" s="156">
        <f ca="1">IF(ISERROR(M34/M51),"NA",(M34/M51))</f>
        <v>0.34252130171440304</v>
      </c>
      <c r="N106" s="158" t="str">
        <f ca="1">IF(ISERROR(N34/N51),"NA",(N34/N51))</f>
        <v>NA</v>
      </c>
      <c r="O106" s="160" t="str">
        <f ca="1">IF(ISERROR(O34/O51),"NA",(O34/O51))</f>
        <v>NA</v>
      </c>
      <c r="P106" s="160" t="str">
        <f ca="1">IF(ISERROR(P34/P51),"NA",(P34/P51))</f>
        <v>NA</v>
      </c>
      <c r="Q106" s="160" t="str">
        <f ca="1">IF(ISERROR(Q34/Q51),"NA",(Q34/Q51))</f>
        <v>NA</v>
      </c>
      <c r="R106" s="160" t="str">
        <f ca="1">IF(ISERROR(R34/R51),"NA",(R34/R51))</f>
        <v>NA</v>
      </c>
      <c r="S106" s="16"/>
      <c r="T106" s="160">
        <f t="shared" ref="T106:AA106" si="75" ca="1">IF(ISERROR(T34/T51),"NA",(T34/T51))</f>
        <v>0.054455815343243445</v>
      </c>
      <c r="U106" s="160">
        <f ca="1">IF(ISERROR(U34/U51),"NA",(U34/U51))</f>
        <v>0.060061707233459036</v>
      </c>
      <c r="V106" s="161">
        <f ca="1">IF(ISERROR(V34/V51),"NA",(V34/V51))</f>
        <v>0.307291974688036</v>
      </c>
      <c r="W106" s="160" t="str">
        <f ca="1">IF(ISERROR(W34/W51),"NA",(W34/W51))</f>
        <v>NA</v>
      </c>
      <c r="X106" s="160" t="str">
        <f ca="1">IF(ISERROR(X34/X51),"NA",(X34/X51))</f>
        <v>NA</v>
      </c>
      <c r="Y106" s="160" t="str">
        <f ca="1">IF(ISERROR(Y34/Y51),"NA",(Y34/Y51))</f>
        <v>NA</v>
      </c>
      <c r="Z106" s="160" t="str">
        <f ca="1">IF(ISERROR(Z34/Z51),"NA",(Z34/Z51))</f>
        <v>NA</v>
      </c>
      <c r="AA106" s="160" t="str">
        <f ca="1">IF(ISERROR(AA34/AA51),"NA",(AA34/AA51))</f>
        <v>NA</v>
      </c>
      <c r="AB106" s="16"/>
      <c r="AC106" s="16"/>
      <c r="AD106" s="16"/>
      <c r="AE106" s="16"/>
    </row>
    <row r="107" ht="13.5" customHeight="1" spans="1:31" x14ac:dyDescent="0.25">
      <c r="A107" s="17"/>
      <c r="B107" s="16"/>
      <c r="C107" s="16"/>
      <c r="D107" s="16"/>
      <c r="E107" s="16"/>
      <c r="F107" s="16"/>
      <c r="G107" s="16"/>
      <c r="H107" s="16"/>
      <c r="I107" s="16"/>
      <c r="J107" s="16"/>
      <c r="K107" s="16"/>
      <c r="L107" s="16"/>
      <c r="M107" s="16"/>
      <c r="N107" s="16"/>
      <c r="O107" s="16"/>
      <c r="P107" s="16"/>
      <c r="Q107" s="16"/>
      <c r="R107" s="16"/>
      <c r="S107" s="16"/>
      <c r="T107" s="16"/>
      <c r="U107" s="16"/>
      <c r="V107" s="16"/>
      <c r="W107" s="16"/>
      <c r="X107" s="16"/>
      <c r="Y107" s="16"/>
      <c r="Z107" s="16"/>
      <c r="AA107" s="16"/>
      <c r="AB107" s="16"/>
      <c r="AC107" s="16"/>
      <c r="AD107" s="16"/>
      <c r="AE107" s="16"/>
    </row>
    <row r="108" ht="13.5" customHeight="1" spans="1:31" x14ac:dyDescent="0.25">
      <c r="A108" s="17"/>
      <c r="B108" s="16"/>
      <c r="C108" s="16"/>
      <c r="D108" s="16"/>
      <c r="E108" s="16"/>
      <c r="F108" s="16"/>
      <c r="G108" s="16"/>
      <c r="H108" s="16"/>
      <c r="I108" s="16"/>
      <c r="J108" s="16"/>
      <c r="K108" s="16"/>
      <c r="L108" s="16"/>
      <c r="M108" s="16"/>
      <c r="N108" s="16"/>
      <c r="O108" s="16"/>
      <c r="P108" s="16"/>
      <c r="Q108" s="16"/>
      <c r="R108" s="16"/>
      <c r="S108" s="16"/>
      <c r="T108" s="16"/>
      <c r="U108" s="16"/>
      <c r="V108" s="16"/>
      <c r="W108" s="16"/>
      <c r="X108" s="16"/>
      <c r="Y108" s="16"/>
      <c r="Z108" s="16"/>
      <c r="AA108" s="16"/>
      <c r="AB108" s="16"/>
      <c r="AC108" s="16"/>
      <c r="AD108" s="16"/>
      <c r="AE108" s="16"/>
    </row>
    <row r="109" ht="13.5" customHeight="1" spans="1:31" x14ac:dyDescent="0.25">
      <c r="A109" s="17"/>
      <c r="B109" s="16"/>
      <c r="C109" s="16"/>
      <c r="D109" s="16"/>
      <c r="E109" s="16"/>
      <c r="F109" s="16"/>
      <c r="G109" s="16"/>
      <c r="H109" s="16"/>
      <c r="I109" s="16"/>
      <c r="J109" s="16"/>
      <c r="K109" s="16"/>
      <c r="L109" s="16"/>
      <c r="M109" s="16"/>
      <c r="N109" s="16"/>
      <c r="O109" s="16"/>
      <c r="P109" s="16"/>
      <c r="Q109" s="16"/>
      <c r="R109" s="16"/>
      <c r="S109" s="16"/>
      <c r="T109" s="16"/>
      <c r="U109" s="16"/>
      <c r="V109" s="16"/>
      <c r="W109" s="16"/>
      <c r="X109" s="16"/>
      <c r="Y109" s="16"/>
      <c r="Z109" s="16"/>
      <c r="AA109" s="16"/>
      <c r="AB109" s="16"/>
      <c r="AC109" s="16"/>
      <c r="AD109" s="16"/>
      <c r="AE109" s="16"/>
    </row>
    <row r="110" ht="13.5" customHeight="1" spans="1:31" x14ac:dyDescent="0.25">
      <c r="A110" s="17" t="s">
        <v>1</v>
      </c>
      <c r="B110" s="16"/>
      <c r="C110" s="16"/>
      <c r="D110" s="16"/>
      <c r="E110" s="16"/>
      <c r="F110" s="16"/>
      <c r="G110" s="16"/>
      <c r="H110" s="16"/>
      <c r="I110" s="16"/>
      <c r="J110" s="16"/>
      <c r="K110" s="16"/>
      <c r="L110" s="16"/>
      <c r="M110" s="16"/>
      <c r="N110" s="16"/>
      <c r="O110" s="16"/>
      <c r="P110" s="16"/>
      <c r="Q110" s="16"/>
      <c r="R110" s="16"/>
      <c r="S110" s="16"/>
      <c r="T110" s="16"/>
      <c r="U110" s="16"/>
      <c r="V110" s="16"/>
      <c r="W110" s="16"/>
      <c r="X110" s="16"/>
      <c r="Y110" s="16"/>
      <c r="Z110" s="16"/>
      <c r="AA110" s="16"/>
      <c r="AB110" s="16"/>
      <c r="AC110" s="16"/>
      <c r="AD110" s="16"/>
      <c r="AE110" s="16"/>
    </row>
    <row r="111" ht="13.5" customHeight="1" spans="1:31" x14ac:dyDescent="0.25">
      <c r="A111" s="1"/>
      <c r="B111" s="4"/>
      <c r="C111" s="4"/>
      <c r="D111" s="4"/>
      <c r="E111" s="4"/>
      <c r="F111" s="4"/>
      <c r="G111" s="4"/>
      <c r="H111" s="4"/>
      <c r="I111" s="4"/>
      <c r="J111" s="165"/>
      <c r="K111" s="4"/>
      <c r="L111" s="4"/>
      <c r="M111" s="4"/>
      <c r="N111" s="4"/>
      <c r="O111" s="4"/>
      <c r="P111" s="4"/>
      <c r="Q111" s="4"/>
      <c r="R111" s="4"/>
      <c r="S111" s="4"/>
      <c r="T111" s="4"/>
      <c r="U111" s="4"/>
      <c r="V111" s="4"/>
      <c r="W111" s="4"/>
      <c r="X111" s="4"/>
      <c r="Y111" s="4"/>
      <c r="Z111" s="4"/>
      <c r="AA111" s="4"/>
      <c r="AB111" s="4"/>
      <c r="AC111" s="4"/>
      <c r="AD111" s="4"/>
      <c r="AE111" s="4"/>
    </row>
    <row r="112" ht="13.5" customHeight="1" spans="1:31" x14ac:dyDescent="0.25">
      <c r="A112" s="1"/>
      <c r="B112" s="4"/>
      <c r="C112" s="4"/>
      <c r="D112" s="165"/>
      <c r="E112" s="4"/>
      <c r="F112" s="4"/>
      <c r="G112" s="4"/>
      <c r="H112" s="4"/>
      <c r="I112" s="4"/>
      <c r="J112" s="4"/>
      <c r="K112" s="4"/>
      <c r="L112" s="4"/>
      <c r="M112" s="4"/>
      <c r="N112" s="4"/>
      <c r="O112" s="4"/>
      <c r="P112" s="4"/>
      <c r="Q112" s="4"/>
      <c r="R112" s="4"/>
      <c r="S112" s="4"/>
      <c r="T112" s="4"/>
      <c r="U112" s="4"/>
      <c r="V112" s="4"/>
      <c r="W112" s="4"/>
      <c r="X112" s="4"/>
      <c r="Y112" s="4"/>
      <c r="Z112" s="4"/>
      <c r="AA112" s="4"/>
      <c r="AB112" s="4"/>
      <c r="AC112" s="4"/>
      <c r="AD112" s="4"/>
      <c r="AE112" s="4"/>
    </row>
    <row r="113" ht="13.5" customHeight="1" spans="1:31" x14ac:dyDescent="0.25">
      <c r="A113" s="1"/>
      <c r="B113" s="4"/>
      <c r="I113" s="4"/>
      <c r="J113" s="4"/>
      <c r="K113" s="4"/>
      <c r="L113" s="4"/>
      <c r="M113" s="4"/>
      <c r="N113" s="4"/>
      <c r="O113" s="4"/>
      <c r="P113" s="4"/>
      <c r="Q113" s="4"/>
      <c r="R113" s="4"/>
      <c r="S113" s="4"/>
      <c r="T113" s="4"/>
      <c r="U113" s="4"/>
      <c r="V113" s="4"/>
      <c r="W113" s="4"/>
      <c r="X113" s="4"/>
      <c r="Y113" s="4"/>
      <c r="Z113" s="4"/>
      <c r="AA113" s="4"/>
      <c r="AB113" s="4"/>
      <c r="AC113" s="4"/>
      <c r="AD113" s="4"/>
      <c r="AE113" s="4"/>
    </row>
    <row r="114" ht="13.5" customHeight="1" spans="1:31" x14ac:dyDescent="0.25">
      <c r="A114" s="1"/>
      <c r="B114" s="4"/>
      <c r="I114" s="4"/>
      <c r="J114" s="4"/>
      <c r="K114" s="4"/>
      <c r="L114" s="4"/>
      <c r="M114" s="4"/>
      <c r="N114" s="4"/>
      <c r="O114" s="4"/>
      <c r="P114" s="4"/>
      <c r="Q114" s="4"/>
      <c r="R114" s="4"/>
      <c r="S114" s="4"/>
      <c r="T114" s="4"/>
      <c r="U114" s="4"/>
      <c r="V114" s="4"/>
      <c r="W114" s="4"/>
      <c r="X114" s="4"/>
      <c r="Y114" s="4"/>
      <c r="Z114" s="4"/>
      <c r="AA114" s="4"/>
      <c r="AB114" s="4"/>
      <c r="AC114" s="4"/>
      <c r="AD114" s="4"/>
      <c r="AE114" s="4"/>
    </row>
    <row r="115" ht="13.5" customHeight="1" spans="1:31" x14ac:dyDescent="0.25">
      <c r="A115" s="1"/>
      <c r="B115" s="4"/>
      <c r="I115" s="4"/>
      <c r="J115" s="4"/>
      <c r="K115" s="4"/>
      <c r="L115" s="4"/>
      <c r="M115" s="4"/>
      <c r="N115" s="4"/>
      <c r="O115" s="4"/>
      <c r="P115" s="4"/>
      <c r="Q115" s="4"/>
      <c r="R115" s="4"/>
      <c r="S115" s="4"/>
      <c r="T115" s="4"/>
      <c r="U115" s="4"/>
      <c r="V115" s="4"/>
      <c r="W115" s="4"/>
      <c r="X115" s="4"/>
      <c r="Y115" s="4"/>
      <c r="Z115" s="4"/>
      <c r="AA115" s="4"/>
      <c r="AB115" s="4"/>
      <c r="AC115" s="4"/>
      <c r="AD115" s="4"/>
      <c r="AE115" s="4"/>
    </row>
    <row r="116" ht="13.5" customHeight="1" spans="1:31" x14ac:dyDescent="0.25">
      <c r="A116" s="1"/>
      <c r="B116" s="4"/>
      <c r="I116" s="4"/>
      <c r="J116" s="4"/>
      <c r="K116" s="4"/>
      <c r="L116" s="4"/>
      <c r="M116" s="4"/>
      <c r="N116" s="4"/>
      <c r="O116" s="4"/>
      <c r="P116" s="4"/>
      <c r="Q116" s="4"/>
      <c r="R116" s="4"/>
      <c r="S116" s="4"/>
      <c r="T116" s="4"/>
      <c r="U116" s="4"/>
      <c r="V116" s="4"/>
      <c r="W116" s="4"/>
      <c r="X116" s="4"/>
      <c r="Y116" s="4"/>
      <c r="Z116" s="4"/>
      <c r="AA116" s="4"/>
      <c r="AB116" s="4"/>
      <c r="AC116" s="4"/>
      <c r="AD116" s="4"/>
      <c r="AE116" s="4"/>
    </row>
    <row r="117" ht="13.5" customHeight="1" spans="1:31" x14ac:dyDescent="0.25">
      <c r="A117" s="1"/>
      <c r="B117" s="4"/>
      <c r="I117" s="4"/>
      <c r="J117" s="4"/>
      <c r="K117" s="4"/>
      <c r="L117" s="4"/>
      <c r="M117" s="4"/>
      <c r="N117" s="4"/>
      <c r="O117" s="4"/>
      <c r="P117" s="4"/>
      <c r="Q117" s="4"/>
      <c r="R117" s="4"/>
      <c r="S117" s="4"/>
      <c r="T117" s="4"/>
      <c r="U117" s="4"/>
      <c r="V117" s="4"/>
      <c r="W117" s="4"/>
      <c r="X117" s="4"/>
      <c r="Y117" s="4"/>
      <c r="Z117" s="4"/>
      <c r="AA117" s="4"/>
      <c r="AB117" s="4"/>
      <c r="AC117" s="4"/>
      <c r="AD117" s="4"/>
      <c r="AE117" s="4"/>
    </row>
    <row r="118" ht="13.5" customHeight="1" spans="1:31" x14ac:dyDescent="0.25">
      <c r="A118" s="1"/>
      <c r="B118" s="4"/>
      <c r="I118" s="4"/>
      <c r="J118" s="4"/>
      <c r="K118" s="4"/>
      <c r="L118" s="4"/>
      <c r="M118" s="4"/>
      <c r="N118" s="4"/>
      <c r="O118" s="4"/>
      <c r="P118" s="4"/>
      <c r="Q118" s="4"/>
      <c r="R118" s="4"/>
      <c r="S118" s="4"/>
      <c r="T118" s="4"/>
      <c r="U118" s="4"/>
      <c r="V118" s="4"/>
      <c r="W118" s="4"/>
      <c r="X118" s="4"/>
      <c r="Y118" s="4"/>
      <c r="Z118" s="4"/>
      <c r="AA118" s="4"/>
      <c r="AB118" s="4"/>
      <c r="AC118" s="4"/>
      <c r="AD118" s="4"/>
      <c r="AE118" s="4"/>
    </row>
    <row r="119" ht="13.5" customHeight="1" spans="1:31" x14ac:dyDescent="0.25">
      <c r="A119" s="1"/>
      <c r="B119" s="4"/>
      <c r="C119" s="4"/>
      <c r="D119" s="4"/>
      <c r="E119" s="4"/>
      <c r="F119" s="4"/>
      <c r="G119" s="4"/>
      <c r="H119" s="4"/>
      <c r="I119" s="4"/>
      <c r="J119" s="4"/>
      <c r="K119" s="4"/>
      <c r="L119" s="4"/>
      <c r="M119" s="4"/>
      <c r="N119" s="4"/>
      <c r="O119" s="4"/>
      <c r="P119" s="4"/>
      <c r="Q119" s="4"/>
      <c r="R119" s="4"/>
      <c r="S119" s="4"/>
      <c r="T119" s="4"/>
      <c r="U119" s="4"/>
      <c r="V119" s="4"/>
      <c r="W119" s="4"/>
      <c r="X119" s="4"/>
      <c r="Y119" s="4"/>
      <c r="Z119" s="4"/>
      <c r="AA119" s="4"/>
      <c r="AB119" s="4"/>
      <c r="AC119" s="4"/>
      <c r="AD119" s="4"/>
      <c r="AE119" s="4"/>
    </row>
    <row r="120" ht="13.5" customHeight="1" spans="1:31" x14ac:dyDescent="0.25">
      <c r="A120" s="1"/>
      <c r="B120" s="4"/>
      <c r="C120" s="4"/>
      <c r="D120" s="4"/>
      <c r="E120" s="4"/>
      <c r="F120" s="4"/>
      <c r="G120" s="4"/>
      <c r="H120" s="4"/>
      <c r="I120" s="4"/>
      <c r="J120" s="4"/>
      <c r="K120" s="4"/>
      <c r="L120" s="4"/>
      <c r="M120" s="4"/>
      <c r="N120" s="4"/>
      <c r="O120" s="4"/>
      <c r="P120" s="4"/>
      <c r="Q120" s="4"/>
      <c r="R120" s="4"/>
      <c r="S120" s="4"/>
      <c r="T120" s="4"/>
      <c r="U120" s="4"/>
      <c r="V120" s="4"/>
      <c r="W120" s="4"/>
      <c r="X120" s="4"/>
      <c r="Y120" s="4"/>
      <c r="Z120" s="4"/>
      <c r="AA120" s="4"/>
      <c r="AB120" s="4"/>
      <c r="AC120" s="4"/>
      <c r="AD120" s="4"/>
      <c r="AE120" s="4"/>
    </row>
    <row r="121" ht="13.5" customHeight="1" spans="1:31" x14ac:dyDescent="0.25">
      <c r="A121" s="1"/>
      <c r="B121" s="4"/>
      <c r="C121" s="4"/>
      <c r="D121" s="4"/>
      <c r="E121" s="4"/>
      <c r="F121" s="4"/>
      <c r="G121" s="4"/>
      <c r="H121" s="4"/>
      <c r="I121" s="4"/>
      <c r="J121" s="4"/>
      <c r="K121" s="4"/>
      <c r="L121" s="4"/>
      <c r="M121" s="4"/>
      <c r="N121" s="4"/>
      <c r="O121" s="4"/>
      <c r="P121" s="4"/>
      <c r="Q121" s="4"/>
      <c r="R121" s="4"/>
      <c r="S121" s="4"/>
      <c r="T121" s="4"/>
      <c r="U121" s="4"/>
      <c r="V121" s="4"/>
      <c r="W121" s="4"/>
      <c r="X121" s="4"/>
      <c r="Y121" s="4"/>
      <c r="Z121" s="4"/>
      <c r="AA121" s="4"/>
      <c r="AB121" s="4"/>
      <c r="AC121" s="4"/>
      <c r="AD121" s="4"/>
      <c r="AE121" s="4"/>
    </row>
    <row r="122" ht="13.5" customHeight="1" spans="1:31" x14ac:dyDescent="0.25">
      <c r="A122" s="1"/>
      <c r="B122" s="4"/>
      <c r="C122" s="4"/>
      <c r="D122" s="4"/>
      <c r="E122" s="4"/>
      <c r="F122" s="4"/>
      <c r="G122" s="4"/>
      <c r="H122" s="4"/>
      <c r="I122" s="4"/>
      <c r="J122" s="4"/>
      <c r="K122" s="4"/>
      <c r="L122" s="4"/>
      <c r="M122" s="4"/>
      <c r="N122" s="4"/>
      <c r="O122" s="4"/>
      <c r="P122" s="4"/>
      <c r="Q122" s="4"/>
      <c r="R122" s="4"/>
      <c r="S122" s="4"/>
      <c r="T122" s="4"/>
      <c r="U122" s="4"/>
      <c r="V122" s="4"/>
      <c r="W122" s="4"/>
      <c r="X122" s="4"/>
      <c r="Y122" s="4"/>
      <c r="Z122" s="4"/>
      <c r="AA122" s="4"/>
      <c r="AB122" s="4"/>
      <c r="AC122" s="4"/>
      <c r="AD122" s="4"/>
      <c r="AE122" s="4"/>
    </row>
    <row r="123" ht="13.5" customHeight="1" spans="1:31" x14ac:dyDescent="0.25">
      <c r="A123" s="1"/>
      <c r="B123" s="4"/>
      <c r="C123" s="4"/>
      <c r="D123" s="4"/>
      <c r="E123" s="4"/>
      <c r="F123" s="4"/>
      <c r="G123" s="4"/>
      <c r="H123" s="4"/>
      <c r="I123" s="4"/>
      <c r="J123" s="4"/>
      <c r="K123" s="4"/>
      <c r="L123" s="4"/>
      <c r="M123" s="4"/>
      <c r="N123" s="4"/>
      <c r="O123" s="4"/>
      <c r="P123" s="4"/>
      <c r="Q123" s="4"/>
      <c r="R123" s="4"/>
      <c r="S123" s="4"/>
      <c r="T123" s="4"/>
      <c r="U123" s="4"/>
      <c r="V123" s="4"/>
      <c r="W123" s="4"/>
      <c r="X123" s="4"/>
      <c r="Y123" s="4"/>
      <c r="Z123" s="4"/>
      <c r="AA123" s="4"/>
      <c r="AB123" s="4"/>
      <c r="AC123" s="4"/>
      <c r="AD123" s="4"/>
      <c r="AE123" s="4"/>
    </row>
    <row r="124" ht="13.5" customHeight="1" spans="1:31" x14ac:dyDescent="0.25">
      <c r="A124" s="1"/>
      <c r="B124" s="4"/>
      <c r="C124" s="4"/>
      <c r="D124" s="4"/>
      <c r="E124" s="4"/>
      <c r="F124" s="4"/>
      <c r="G124" s="4"/>
      <c r="H124" s="4"/>
      <c r="I124" s="4"/>
      <c r="J124" s="4"/>
      <c r="K124" s="4"/>
      <c r="L124" s="4"/>
      <c r="M124" s="4"/>
      <c r="N124" s="4"/>
      <c r="O124" s="4"/>
      <c r="P124" s="4"/>
      <c r="Q124" s="4"/>
      <c r="R124" s="4"/>
      <c r="S124" s="4"/>
      <c r="T124" s="4"/>
      <c r="U124" s="4"/>
      <c r="V124" s="4"/>
      <c r="W124" s="4"/>
      <c r="X124" s="4"/>
      <c r="Y124" s="4"/>
      <c r="Z124" s="4"/>
      <c r="AA124" s="4"/>
      <c r="AB124" s="4"/>
      <c r="AC124" s="4"/>
      <c r="AD124" s="4"/>
      <c r="AE124" s="4"/>
    </row>
    <row r="125" ht="13.5" customHeight="1" spans="1:31" x14ac:dyDescent="0.25">
      <c r="A125" s="1"/>
      <c r="B125" s="4"/>
      <c r="C125" s="4"/>
      <c r="D125" s="4"/>
      <c r="E125" s="4"/>
      <c r="F125" s="4"/>
      <c r="G125" s="4"/>
      <c r="H125" s="4"/>
      <c r="I125" s="4"/>
      <c r="J125" s="4"/>
      <c r="K125" s="4"/>
      <c r="L125" s="4"/>
      <c r="M125" s="4"/>
      <c r="N125" s="4"/>
      <c r="O125" s="4"/>
      <c r="P125" s="4"/>
      <c r="Q125" s="4"/>
      <c r="R125" s="4"/>
      <c r="S125" s="4"/>
      <c r="T125" s="4"/>
      <c r="U125" s="4"/>
      <c r="V125" s="4"/>
      <c r="W125" s="4"/>
      <c r="X125" s="4"/>
      <c r="Y125" s="4"/>
      <c r="Z125" s="4"/>
      <c r="AA125" s="4"/>
      <c r="AB125" s="4"/>
      <c r="AC125" s="4"/>
      <c r="AD125" s="4"/>
      <c r="AE125" s="4"/>
    </row>
    <row r="126" ht="13.5" customHeight="1" spans="1:31" x14ac:dyDescent="0.25">
      <c r="A126" s="1"/>
      <c r="B126" s="4"/>
      <c r="C126" s="4"/>
      <c r="D126" s="4"/>
      <c r="E126" s="4"/>
      <c r="F126" s="4"/>
      <c r="G126" s="4"/>
      <c r="H126" s="4"/>
      <c r="I126" s="4"/>
      <c r="J126" s="4"/>
      <c r="K126" s="4"/>
      <c r="L126" s="4"/>
      <c r="M126" s="4"/>
      <c r="N126" s="4"/>
      <c r="O126" s="4"/>
      <c r="P126" s="4"/>
      <c r="Q126" s="4"/>
      <c r="R126" s="4"/>
      <c r="S126" s="4"/>
      <c r="T126" s="4"/>
      <c r="U126" s="4"/>
      <c r="V126" s="4"/>
      <c r="W126" s="4"/>
      <c r="X126" s="4"/>
      <c r="Y126" s="4"/>
      <c r="Z126" s="4"/>
      <c r="AA126" s="4"/>
      <c r="AB126" s="4"/>
      <c r="AC126" s="4"/>
      <c r="AD126" s="4"/>
      <c r="AE126" s="4"/>
    </row>
    <row r="127" ht="13.5" customHeight="1" spans="1:31" x14ac:dyDescent="0.25">
      <c r="A127" s="1"/>
      <c r="B127" s="4"/>
      <c r="C127" s="4"/>
      <c r="D127" s="4"/>
      <c r="E127" s="4"/>
      <c r="F127" s="4"/>
      <c r="G127" s="4"/>
      <c r="H127" s="4"/>
      <c r="I127" s="4"/>
      <c r="J127" s="4"/>
      <c r="K127" s="4"/>
      <c r="L127" s="4"/>
      <c r="M127" s="4"/>
      <c r="N127" s="4"/>
      <c r="O127" s="4"/>
      <c r="P127" s="4"/>
      <c r="Q127" s="4"/>
      <c r="R127" s="4"/>
      <c r="S127" s="4"/>
      <c r="T127" s="4"/>
      <c r="U127" s="4"/>
      <c r="V127" s="4"/>
      <c r="W127" s="4"/>
      <c r="X127" s="4"/>
      <c r="Y127" s="4"/>
      <c r="Z127" s="4"/>
      <c r="AA127" s="4"/>
      <c r="AB127" s="4"/>
      <c r="AC127" s="4"/>
      <c r="AD127" s="4"/>
      <c r="AE127" s="4"/>
    </row>
    <row r="128" ht="13.5" customHeight="1" spans="1:31" x14ac:dyDescent="0.25">
      <c r="A128" s="1"/>
      <c r="B128" s="4"/>
      <c r="C128" s="4"/>
      <c r="D128" s="4"/>
      <c r="E128" s="4"/>
      <c r="F128" s="4"/>
      <c r="G128" s="4"/>
      <c r="H128" s="4"/>
      <c r="I128" s="4"/>
      <c r="J128" s="4"/>
      <c r="K128" s="4"/>
      <c r="L128" s="4"/>
      <c r="M128" s="4"/>
      <c r="N128" s="4"/>
      <c r="O128" s="4"/>
      <c r="P128" s="4"/>
      <c r="Q128" s="4"/>
      <c r="R128" s="4"/>
      <c r="S128" s="4"/>
      <c r="T128" s="4"/>
      <c r="U128" s="4"/>
      <c r="V128" s="4"/>
      <c r="W128" s="4"/>
      <c r="X128" s="4"/>
      <c r="Y128" s="4"/>
      <c r="Z128" s="4"/>
      <c r="AA128" s="4"/>
      <c r="AB128" s="4"/>
      <c r="AC128" s="4"/>
      <c r="AD128" s="4"/>
      <c r="AE128" s="4"/>
    </row>
    <row r="129" ht="13.5" customHeight="1" spans="1:31" x14ac:dyDescent="0.25">
      <c r="A129" s="1"/>
      <c r="B129" s="4"/>
      <c r="C129" s="4"/>
      <c r="D129" s="4"/>
      <c r="E129" s="4"/>
      <c r="F129" s="4"/>
      <c r="G129" s="4"/>
      <c r="H129" s="4"/>
      <c r="I129" s="4"/>
      <c r="J129" s="4"/>
      <c r="K129" s="4"/>
      <c r="L129" s="4"/>
      <c r="M129" s="4"/>
      <c r="N129" s="4"/>
      <c r="O129" s="4"/>
      <c r="P129" s="4"/>
      <c r="Q129" s="4"/>
      <c r="R129" s="4"/>
      <c r="S129" s="4"/>
      <c r="T129" s="4"/>
      <c r="U129" s="4"/>
      <c r="V129" s="4"/>
      <c r="W129" s="4"/>
      <c r="X129" s="4"/>
      <c r="Y129" s="4"/>
      <c r="Z129" s="4"/>
      <c r="AA129" s="4"/>
      <c r="AB129" s="4"/>
      <c r="AC129" s="4"/>
      <c r="AD129" s="4"/>
      <c r="AE129" s="4"/>
    </row>
    <row r="130" ht="13.5" customHeight="1" spans="1:31" x14ac:dyDescent="0.25">
      <c r="A130" s="1"/>
      <c r="B130" s="4"/>
      <c r="C130" s="4"/>
      <c r="D130" s="4"/>
      <c r="E130" s="4"/>
      <c r="F130" s="4"/>
      <c r="G130" s="4"/>
      <c r="H130" s="4"/>
      <c r="I130" s="4"/>
      <c r="J130" s="4"/>
      <c r="K130" s="4"/>
      <c r="L130" s="4"/>
      <c r="M130" s="4"/>
      <c r="N130" s="4"/>
      <c r="O130" s="4"/>
      <c r="P130" s="4"/>
      <c r="Q130" s="4"/>
      <c r="R130" s="4"/>
      <c r="S130" s="4"/>
      <c r="T130" s="4"/>
      <c r="U130" s="4"/>
      <c r="V130" s="4"/>
      <c r="W130" s="4"/>
      <c r="X130" s="4"/>
      <c r="Y130" s="4"/>
      <c r="Z130" s="4"/>
      <c r="AA130" s="4"/>
      <c r="AB130" s="4"/>
      <c r="AC130" s="4"/>
      <c r="AD130" s="4"/>
      <c r="AE130" s="4"/>
    </row>
    <row r="131" ht="13.5" customHeight="1" spans="1:31" x14ac:dyDescent="0.25">
      <c r="A131" s="1"/>
      <c r="B131" s="4"/>
      <c r="C131" s="4"/>
      <c r="D131" s="4"/>
      <c r="E131" s="4"/>
      <c r="F131" s="4"/>
      <c r="G131" s="4"/>
      <c r="H131" s="4"/>
      <c r="I131" s="4"/>
      <c r="J131" s="4"/>
      <c r="K131" s="4"/>
      <c r="L131" s="4"/>
      <c r="M131" s="4"/>
      <c r="N131" s="4"/>
      <c r="O131" s="4"/>
      <c r="P131" s="4"/>
      <c r="Q131" s="4"/>
      <c r="R131" s="4"/>
      <c r="S131" s="4"/>
      <c r="T131" s="4"/>
      <c r="U131" s="4"/>
      <c r="V131" s="4"/>
      <c r="W131" s="4"/>
      <c r="X131" s="4"/>
      <c r="Y131" s="4"/>
      <c r="Z131" s="4"/>
      <c r="AA131" s="4"/>
      <c r="AB131" s="4"/>
      <c r="AC131" s="4"/>
      <c r="AD131" s="4"/>
      <c r="AE131" s="4"/>
    </row>
    <row r="132" ht="13.5" customHeight="1" spans="1:31" x14ac:dyDescent="0.25">
      <c r="A132" s="1"/>
      <c r="B132" s="4"/>
      <c r="C132" s="4"/>
      <c r="D132" s="4"/>
      <c r="E132" s="4"/>
      <c r="F132" s="4"/>
      <c r="G132" s="4"/>
      <c r="H132" s="4"/>
      <c r="I132" s="4"/>
      <c r="J132" s="4"/>
      <c r="K132" s="4"/>
      <c r="L132" s="4"/>
      <c r="M132" s="4"/>
      <c r="N132" s="4"/>
      <c r="O132" s="4"/>
      <c r="P132" s="4"/>
      <c r="Q132" s="4"/>
      <c r="R132" s="4"/>
      <c r="S132" s="4"/>
      <c r="T132" s="4"/>
      <c r="U132" s="4"/>
      <c r="V132" s="4"/>
      <c r="W132" s="4"/>
      <c r="X132" s="4"/>
      <c r="Y132" s="4"/>
      <c r="Z132" s="4"/>
      <c r="AA132" s="4"/>
      <c r="AB132" s="4"/>
      <c r="AC132" s="4"/>
      <c r="AD132" s="4"/>
      <c r="AE132" s="4"/>
    </row>
    <row r="133" ht="13.5" customHeight="1" spans="1:31" x14ac:dyDescent="0.25">
      <c r="A133" s="1"/>
      <c r="B133" s="4"/>
      <c r="C133" s="4"/>
      <c r="D133" s="4"/>
      <c r="E133" s="4"/>
      <c r="F133" s="4"/>
      <c r="G133" s="4"/>
      <c r="H133" s="4"/>
      <c r="I133" s="4"/>
      <c r="J133" s="4"/>
      <c r="K133" s="4"/>
      <c r="L133" s="4"/>
      <c r="M133" s="4"/>
      <c r="N133" s="4"/>
      <c r="O133" s="4"/>
      <c r="P133" s="4"/>
      <c r="Q133" s="4"/>
      <c r="R133" s="4"/>
      <c r="S133" s="4"/>
      <c r="T133" s="4"/>
      <c r="U133" s="4"/>
      <c r="V133" s="4"/>
      <c r="W133" s="4"/>
      <c r="X133" s="4"/>
      <c r="Y133" s="4"/>
      <c r="Z133" s="4"/>
      <c r="AA133" s="4"/>
      <c r="AB133" s="4"/>
      <c r="AC133" s="4"/>
      <c r="AD133" s="4"/>
      <c r="AE133" s="4"/>
    </row>
    <row r="134" ht="13.5" customHeight="1" spans="1:31" x14ac:dyDescent="0.25">
      <c r="A134" s="1"/>
      <c r="B134" s="4"/>
      <c r="C134" s="4"/>
      <c r="D134" s="4"/>
      <c r="E134" s="4"/>
      <c r="F134" s="4"/>
      <c r="G134" s="4"/>
      <c r="H134" s="4"/>
      <c r="I134" s="4"/>
      <c r="J134" s="4"/>
      <c r="K134" s="4"/>
      <c r="L134" s="4"/>
      <c r="M134" s="4"/>
      <c r="N134" s="4"/>
      <c r="O134" s="4"/>
      <c r="P134" s="4"/>
      <c r="Q134" s="4"/>
      <c r="R134" s="4"/>
      <c r="S134" s="4"/>
      <c r="T134" s="4"/>
      <c r="U134" s="4"/>
      <c r="V134" s="4"/>
      <c r="W134" s="4"/>
      <c r="X134" s="4"/>
      <c r="Y134" s="4"/>
      <c r="Z134" s="4"/>
      <c r="AA134" s="4"/>
      <c r="AB134" s="4"/>
      <c r="AC134" s="4"/>
      <c r="AD134" s="4"/>
      <c r="AE134" s="4"/>
    </row>
    <row r="135" ht="13.5" customHeight="1" spans="1:31" x14ac:dyDescent="0.25">
      <c r="A135" s="1"/>
      <c r="B135" s="4"/>
      <c r="C135" s="4"/>
      <c r="D135" s="4"/>
      <c r="E135" s="4"/>
      <c r="F135" s="4"/>
      <c r="G135" s="4"/>
      <c r="H135" s="4"/>
      <c r="I135" s="4"/>
      <c r="J135" s="4"/>
      <c r="K135" s="4"/>
      <c r="L135" s="4"/>
      <c r="M135" s="4"/>
      <c r="N135" s="4"/>
      <c r="O135" s="4"/>
      <c r="P135" s="4"/>
      <c r="Q135" s="4"/>
      <c r="R135" s="4"/>
      <c r="S135" s="4"/>
      <c r="T135" s="4"/>
      <c r="U135" s="4"/>
      <c r="V135" s="4"/>
      <c r="W135" s="4"/>
      <c r="X135" s="4"/>
      <c r="Y135" s="4"/>
      <c r="Z135" s="4"/>
      <c r="AA135" s="4"/>
      <c r="AB135" s="4"/>
      <c r="AC135" s="4"/>
      <c r="AD135" s="4"/>
      <c r="AE135" s="4"/>
    </row>
    <row r="136" ht="13.5" customHeight="1" spans="1:31" x14ac:dyDescent="0.25">
      <c r="A136" s="1"/>
      <c r="B136" s="4"/>
      <c r="C136" s="4"/>
      <c r="D136" s="4"/>
      <c r="E136" s="4"/>
      <c r="F136" s="4"/>
      <c r="G136" s="4"/>
      <c r="H136" s="4"/>
      <c r="I136" s="4"/>
      <c r="J136" s="4"/>
      <c r="K136" s="4"/>
      <c r="L136" s="4"/>
      <c r="M136" s="4"/>
      <c r="N136" s="4"/>
      <c r="O136" s="4"/>
      <c r="P136" s="4"/>
      <c r="Q136" s="4"/>
      <c r="R136" s="4"/>
      <c r="S136" s="4"/>
      <c r="T136" s="4"/>
      <c r="U136" s="4"/>
      <c r="V136" s="4"/>
      <c r="W136" s="4"/>
      <c r="X136" s="4"/>
      <c r="Y136" s="4"/>
      <c r="Z136" s="4"/>
      <c r="AA136" s="4"/>
      <c r="AB136" s="4"/>
      <c r="AC136" s="4"/>
      <c r="AD136" s="4"/>
      <c r="AE136" s="4"/>
    </row>
    <row r="137" ht="13.5" customHeight="1" spans="1:31" x14ac:dyDescent="0.25">
      <c r="A137" s="1"/>
      <c r="B137" s="4"/>
      <c r="C137" s="4"/>
      <c r="D137" s="4"/>
      <c r="E137" s="4"/>
      <c r="F137" s="4"/>
      <c r="G137" s="4"/>
      <c r="H137" s="4"/>
      <c r="I137" s="4"/>
      <c r="J137" s="4"/>
      <c r="K137" s="4"/>
      <c r="L137" s="4"/>
      <c r="M137" s="4"/>
      <c r="N137" s="4"/>
      <c r="O137" s="4"/>
      <c r="P137" s="4"/>
      <c r="Q137" s="4"/>
      <c r="R137" s="4"/>
      <c r="S137" s="4"/>
      <c r="T137" s="4"/>
      <c r="U137" s="4"/>
      <c r="V137" s="4"/>
      <c r="W137" s="4"/>
      <c r="X137" s="4"/>
      <c r="Y137" s="4"/>
      <c r="Z137" s="4"/>
      <c r="AA137" s="4"/>
      <c r="AB137" s="4"/>
      <c r="AC137" s="4"/>
      <c r="AD137" s="4"/>
      <c r="AE137" s="4"/>
    </row>
    <row r="138" ht="13.5" customHeight="1" spans="1:31" x14ac:dyDescent="0.25">
      <c r="A138" s="1"/>
      <c r="B138" s="4"/>
      <c r="C138" s="4"/>
      <c r="D138" s="4"/>
      <c r="E138" s="4"/>
      <c r="F138" s="4"/>
      <c r="G138" s="4"/>
      <c r="H138" s="4"/>
      <c r="I138" s="4"/>
      <c r="J138" s="4"/>
      <c r="K138" s="4"/>
      <c r="L138" s="4"/>
      <c r="M138" s="4"/>
      <c r="N138" s="4"/>
      <c r="O138" s="4"/>
      <c r="P138" s="4"/>
      <c r="Q138" s="4"/>
      <c r="R138" s="4"/>
      <c r="S138" s="4"/>
      <c r="T138" s="4"/>
      <c r="U138" s="4"/>
      <c r="V138" s="4"/>
      <c r="W138" s="4"/>
      <c r="X138" s="4"/>
      <c r="Y138" s="4"/>
      <c r="Z138" s="4"/>
      <c r="AA138" s="4"/>
      <c r="AB138" s="4"/>
      <c r="AC138" s="4"/>
      <c r="AD138" s="4"/>
      <c r="AE138" s="4"/>
    </row>
    <row r="139" ht="13.5" customHeight="1" spans="1:31" x14ac:dyDescent="0.25">
      <c r="A139" s="1"/>
      <c r="B139" s="4"/>
      <c r="C139" s="4"/>
      <c r="D139" s="4"/>
      <c r="E139" s="4"/>
      <c r="F139" s="4"/>
      <c r="G139" s="4"/>
      <c r="H139" s="4"/>
      <c r="I139" s="4"/>
      <c r="J139" s="4"/>
      <c r="K139" s="4"/>
      <c r="L139" s="4"/>
      <c r="M139" s="4"/>
      <c r="N139" s="4"/>
      <c r="O139" s="4"/>
      <c r="P139" s="4"/>
      <c r="Q139" s="4"/>
      <c r="R139" s="4"/>
      <c r="S139" s="4"/>
      <c r="T139" s="4"/>
      <c r="U139" s="4"/>
      <c r="V139" s="4"/>
      <c r="W139" s="4"/>
      <c r="X139" s="4"/>
      <c r="Y139" s="4"/>
      <c r="Z139" s="4"/>
      <c r="AA139" s="4"/>
      <c r="AB139" s="4"/>
      <c r="AC139" s="4"/>
      <c r="AD139" s="4"/>
      <c r="AE139" s="4"/>
    </row>
    <row r="140" ht="13.5" customHeight="1" spans="1:31" x14ac:dyDescent="0.25">
      <c r="A140" s="1"/>
      <c r="B140" s="4"/>
      <c r="C140" s="4"/>
      <c r="D140" s="4"/>
      <c r="E140" s="4"/>
      <c r="F140" s="4"/>
      <c r="G140" s="4"/>
      <c r="H140" s="4"/>
      <c r="I140" s="4"/>
      <c r="J140" s="4"/>
      <c r="K140" s="4"/>
      <c r="L140" s="4"/>
      <c r="M140" s="4"/>
      <c r="N140" s="4"/>
      <c r="O140" s="4"/>
      <c r="P140" s="4"/>
      <c r="Q140" s="4"/>
      <c r="R140" s="4"/>
      <c r="S140" s="4"/>
      <c r="T140" s="4"/>
      <c r="U140" s="4"/>
      <c r="V140" s="4"/>
      <c r="W140" s="4"/>
      <c r="X140" s="4"/>
      <c r="Y140" s="4"/>
      <c r="Z140" s="4"/>
      <c r="AA140" s="4"/>
      <c r="AB140" s="4"/>
      <c r="AC140" s="4"/>
      <c r="AD140" s="4"/>
      <c r="AE140" s="4"/>
    </row>
    <row r="141" ht="13.5" customHeight="1" spans="1:31" x14ac:dyDescent="0.25">
      <c r="A141" s="1"/>
      <c r="B141" s="4"/>
      <c r="C141" s="4"/>
      <c r="D141" s="4"/>
      <c r="E141" s="4"/>
      <c r="F141" s="4"/>
      <c r="G141" s="4"/>
      <c r="H141" s="4"/>
      <c r="I141" s="4"/>
      <c r="J141" s="4"/>
      <c r="K141" s="4"/>
      <c r="L141" s="4"/>
      <c r="M141" s="4"/>
      <c r="N141" s="4"/>
      <c r="O141" s="4"/>
      <c r="P141" s="4"/>
      <c r="Q141" s="4"/>
      <c r="R141" s="4"/>
      <c r="S141" s="4"/>
      <c r="T141" s="4"/>
      <c r="U141" s="4"/>
      <c r="V141" s="4"/>
      <c r="W141" s="4"/>
      <c r="X141" s="4"/>
      <c r="Y141" s="4"/>
      <c r="Z141" s="4"/>
      <c r="AA141" s="4"/>
      <c r="AB141" s="4"/>
      <c r="AC141" s="4"/>
      <c r="AD141" s="4"/>
      <c r="AE141" s="4"/>
    </row>
    <row r="142" ht="13.5" customHeight="1" spans="1:31" x14ac:dyDescent="0.25">
      <c r="A142" s="1"/>
      <c r="B142" s="4"/>
      <c r="C142" s="4"/>
      <c r="D142" s="4"/>
      <c r="E142" s="4"/>
      <c r="F142" s="4"/>
      <c r="G142" s="4"/>
      <c r="H142" s="4"/>
      <c r="I142" s="4"/>
      <c r="J142" s="4"/>
      <c r="K142" s="4"/>
      <c r="L142" s="4"/>
      <c r="M142" s="4"/>
      <c r="N142" s="4"/>
      <c r="O142" s="4"/>
      <c r="P142" s="4"/>
      <c r="Q142" s="4"/>
      <c r="R142" s="4"/>
      <c r="S142" s="4"/>
      <c r="T142" s="4"/>
      <c r="U142" s="4"/>
      <c r="V142" s="4"/>
      <c r="W142" s="4"/>
      <c r="X142" s="4"/>
      <c r="Y142" s="4"/>
      <c r="Z142" s="4"/>
      <c r="AA142" s="4"/>
      <c r="AB142" s="4"/>
      <c r="AC142" s="4"/>
      <c r="AD142" s="4"/>
      <c r="AE142" s="4"/>
    </row>
    <row r="143" ht="13.5" customHeight="1" spans="1:31" x14ac:dyDescent="0.25">
      <c r="A143" s="1"/>
      <c r="B143" s="4"/>
      <c r="C143" s="4"/>
      <c r="D143" s="4"/>
      <c r="E143" s="4"/>
      <c r="F143" s="4"/>
      <c r="G143" s="4"/>
      <c r="H143" s="4"/>
      <c r="I143" s="4"/>
      <c r="J143" s="4"/>
      <c r="K143" s="4"/>
      <c r="L143" s="4"/>
      <c r="M143" s="4"/>
      <c r="N143" s="4"/>
      <c r="O143" s="4"/>
      <c r="P143" s="4"/>
      <c r="Q143" s="4"/>
      <c r="R143" s="4"/>
      <c r="S143" s="4"/>
      <c r="T143" s="4"/>
      <c r="U143" s="4"/>
      <c r="V143" s="4"/>
      <c r="W143" s="4"/>
      <c r="X143" s="4"/>
      <c r="Y143" s="4"/>
      <c r="Z143" s="4"/>
      <c r="AA143" s="4"/>
      <c r="AB143" s="4"/>
      <c r="AC143" s="4"/>
      <c r="AD143" s="4"/>
      <c r="AE143" s="4"/>
    </row>
    <row r="144" ht="13.5" customHeight="1" spans="1:31" x14ac:dyDescent="0.25">
      <c r="A144" s="1"/>
      <c r="B144" s="4"/>
      <c r="C144" s="4"/>
      <c r="D144" s="4"/>
      <c r="E144" s="4"/>
      <c r="F144" s="4"/>
      <c r="G144" s="4"/>
      <c r="H144" s="4"/>
      <c r="I144" s="4"/>
      <c r="J144" s="4"/>
      <c r="K144" s="4"/>
      <c r="L144" s="4"/>
      <c r="M144" s="4"/>
      <c r="N144" s="4"/>
      <c r="O144" s="4"/>
      <c r="P144" s="4"/>
      <c r="Q144" s="4"/>
      <c r="R144" s="4"/>
      <c r="S144" s="4"/>
      <c r="T144" s="4"/>
      <c r="U144" s="4"/>
      <c r="V144" s="4"/>
      <c r="W144" s="4"/>
      <c r="X144" s="4"/>
      <c r="Y144" s="4"/>
      <c r="Z144" s="4"/>
      <c r="AA144" s="4"/>
      <c r="AB144" s="4"/>
      <c r="AC144" s="4"/>
      <c r="AD144" s="4"/>
      <c r="AE144" s="4"/>
    </row>
    <row r="145" ht="13.5" customHeight="1" spans="1:31" x14ac:dyDescent="0.25">
      <c r="A145" s="1"/>
      <c r="B145" s="4"/>
      <c r="C145" s="4"/>
      <c r="D145" s="4"/>
      <c r="E145" s="4"/>
      <c r="F145" s="4"/>
      <c r="G145" s="4"/>
      <c r="H145" s="4"/>
      <c r="I145" s="4"/>
      <c r="J145" s="4"/>
      <c r="K145" s="4"/>
      <c r="L145" s="4"/>
      <c r="M145" s="4"/>
      <c r="N145" s="4"/>
      <c r="O145" s="4"/>
      <c r="P145" s="4"/>
      <c r="Q145" s="4"/>
      <c r="R145" s="4"/>
      <c r="S145" s="4"/>
      <c r="T145" s="4"/>
      <c r="U145" s="4"/>
      <c r="V145" s="4"/>
      <c r="W145" s="4"/>
      <c r="X145" s="4"/>
      <c r="Y145" s="4"/>
      <c r="Z145" s="4"/>
      <c r="AA145" s="4"/>
      <c r="AB145" s="4"/>
      <c r="AC145" s="4"/>
      <c r="AD145" s="4"/>
      <c r="AE145" s="4"/>
    </row>
    <row r="146" ht="13.5" customHeight="1" spans="1:31" x14ac:dyDescent="0.25">
      <c r="A146" s="1"/>
      <c r="B146" s="4"/>
      <c r="C146" s="4"/>
      <c r="D146" s="4"/>
      <c r="E146" s="4"/>
      <c r="F146" s="4"/>
      <c r="G146" s="4"/>
      <c r="H146" s="4"/>
      <c r="I146" s="4"/>
      <c r="J146" s="4"/>
      <c r="K146" s="4"/>
      <c r="L146" s="4"/>
      <c r="M146" s="4"/>
      <c r="N146" s="4"/>
      <c r="O146" s="4"/>
      <c r="P146" s="4"/>
      <c r="Q146" s="4"/>
      <c r="R146" s="4"/>
      <c r="S146" s="4"/>
      <c r="T146" s="4"/>
      <c r="U146" s="4"/>
      <c r="V146" s="4"/>
      <c r="W146" s="4"/>
      <c r="X146" s="4"/>
      <c r="Y146" s="4"/>
      <c r="Z146" s="4"/>
      <c r="AA146" s="4"/>
      <c r="AB146" s="4"/>
      <c r="AC146" s="4"/>
      <c r="AD146" s="4"/>
      <c r="AE146" s="4"/>
    </row>
    <row r="147" ht="13.5" customHeight="1" spans="1:31" x14ac:dyDescent="0.25">
      <c r="A147" s="1"/>
      <c r="B147" s="4"/>
      <c r="C147" s="4"/>
      <c r="D147" s="4"/>
      <c r="E147" s="4"/>
      <c r="F147" s="4"/>
      <c r="G147" s="4"/>
      <c r="H147" s="4"/>
      <c r="I147" s="4"/>
      <c r="J147" s="4"/>
      <c r="K147" s="4"/>
      <c r="L147" s="4"/>
      <c r="M147" s="4"/>
      <c r="N147" s="4"/>
      <c r="O147" s="4"/>
      <c r="P147" s="4"/>
      <c r="Q147" s="4"/>
      <c r="R147" s="4"/>
      <c r="S147" s="4"/>
      <c r="T147" s="4"/>
      <c r="U147" s="4"/>
      <c r="V147" s="4"/>
      <c r="W147" s="4"/>
      <c r="X147" s="4"/>
      <c r="Y147" s="4"/>
      <c r="Z147" s="4"/>
      <c r="AA147" s="4"/>
      <c r="AB147" s="4"/>
      <c r="AC147" s="4"/>
      <c r="AD147" s="4"/>
      <c r="AE147" s="4"/>
    </row>
    <row r="148" ht="13.5" customHeight="1" spans="1:31" x14ac:dyDescent="0.25">
      <c r="A148" s="1"/>
      <c r="B148" s="4"/>
      <c r="C148" s="4"/>
      <c r="D148" s="4"/>
      <c r="E148" s="4"/>
      <c r="F148" s="4"/>
      <c r="G148" s="4"/>
      <c r="H148" s="4"/>
      <c r="I148" s="4"/>
      <c r="J148" s="4"/>
      <c r="K148" s="4"/>
      <c r="L148" s="4"/>
      <c r="M148" s="4"/>
      <c r="N148" s="4"/>
      <c r="O148" s="4"/>
      <c r="P148" s="4"/>
      <c r="Q148" s="4"/>
      <c r="R148" s="4"/>
      <c r="S148" s="4"/>
      <c r="T148" s="4"/>
      <c r="U148" s="4"/>
      <c r="V148" s="4"/>
      <c r="W148" s="4"/>
      <c r="X148" s="4"/>
      <c r="Y148" s="4"/>
      <c r="Z148" s="4"/>
      <c r="AA148" s="4"/>
      <c r="AB148" s="4"/>
      <c r="AC148" s="4"/>
      <c r="AD148" s="4"/>
      <c r="AE148" s="4"/>
    </row>
    <row r="149" ht="13.5" customHeight="1" spans="1:31" x14ac:dyDescent="0.25">
      <c r="A149" s="1"/>
      <c r="B149" s="4"/>
      <c r="C149" s="4"/>
      <c r="D149" s="4"/>
      <c r="E149" s="4"/>
      <c r="F149" s="4"/>
      <c r="G149" s="4"/>
      <c r="H149" s="4"/>
      <c r="I149" s="4"/>
      <c r="J149" s="4"/>
      <c r="K149" s="4"/>
      <c r="L149" s="4"/>
      <c r="M149" s="4"/>
      <c r="N149" s="4"/>
      <c r="O149" s="4"/>
      <c r="P149" s="4"/>
      <c r="Q149" s="4"/>
      <c r="R149" s="4"/>
      <c r="S149" s="4"/>
      <c r="T149" s="4"/>
      <c r="U149" s="4"/>
      <c r="V149" s="4"/>
      <c r="W149" s="4"/>
      <c r="X149" s="4"/>
      <c r="Y149" s="4"/>
      <c r="Z149" s="4"/>
      <c r="AA149" s="4"/>
      <c r="AB149" s="4"/>
      <c r="AC149" s="4"/>
      <c r="AD149" s="4"/>
      <c r="AE149" s="4"/>
    </row>
    <row r="150" ht="13.5" customHeight="1" spans="1:31" x14ac:dyDescent="0.25">
      <c r="A150" s="1"/>
      <c r="B150" s="4"/>
      <c r="C150" s="4"/>
      <c r="D150" s="4"/>
      <c r="E150" s="4"/>
      <c r="F150" s="4"/>
      <c r="G150" s="4"/>
      <c r="H150" s="4"/>
      <c r="I150" s="4"/>
      <c r="J150" s="4"/>
      <c r="K150" s="4"/>
      <c r="L150" s="4"/>
      <c r="M150" s="4"/>
      <c r="N150" s="4"/>
      <c r="O150" s="4"/>
      <c r="P150" s="4"/>
      <c r="Q150" s="4"/>
      <c r="R150" s="4"/>
      <c r="S150" s="4"/>
      <c r="T150" s="4"/>
      <c r="U150" s="4"/>
      <c r="V150" s="4"/>
      <c r="W150" s="4"/>
      <c r="X150" s="4"/>
      <c r="Y150" s="4"/>
      <c r="Z150" s="4"/>
      <c r="AA150" s="4"/>
      <c r="AB150" s="4"/>
      <c r="AC150" s="4"/>
      <c r="AD150" s="4"/>
      <c r="AE150" s="4"/>
    </row>
    <row r="151" ht="13.5" customHeight="1" spans="1:31" x14ac:dyDescent="0.25">
      <c r="A151" s="1"/>
      <c r="B151" s="4"/>
      <c r="C151" s="4"/>
      <c r="D151" s="4"/>
      <c r="E151" s="4"/>
      <c r="F151" s="4"/>
      <c r="G151" s="4"/>
      <c r="H151" s="4"/>
      <c r="I151" s="4"/>
      <c r="J151" s="4"/>
      <c r="K151" s="4"/>
      <c r="L151" s="4"/>
      <c r="M151" s="4"/>
      <c r="N151" s="4"/>
      <c r="O151" s="4"/>
      <c r="P151" s="4"/>
      <c r="Q151" s="4"/>
      <c r="R151" s="4"/>
      <c r="S151" s="4"/>
      <c r="T151" s="4"/>
      <c r="U151" s="4"/>
      <c r="V151" s="4"/>
      <c r="W151" s="4"/>
      <c r="X151" s="4"/>
      <c r="Y151" s="4"/>
      <c r="Z151" s="4"/>
      <c r="AA151" s="4"/>
      <c r="AB151" s="4"/>
      <c r="AC151" s="4"/>
      <c r="AD151" s="4"/>
      <c r="AE151" s="4"/>
    </row>
    <row r="152" ht="13.5" customHeight="1" spans="1:31" x14ac:dyDescent="0.25">
      <c r="A152" s="1"/>
      <c r="B152" s="4"/>
      <c r="C152" s="4"/>
      <c r="D152" s="4"/>
      <c r="E152" s="4"/>
      <c r="F152" s="4"/>
      <c r="G152" s="4"/>
      <c r="H152" s="4"/>
      <c r="I152" s="4"/>
      <c r="J152" s="4"/>
      <c r="K152" s="4"/>
      <c r="L152" s="4"/>
      <c r="M152" s="4"/>
      <c r="N152" s="4"/>
      <c r="O152" s="4"/>
      <c r="P152" s="4"/>
      <c r="Q152" s="4"/>
      <c r="R152" s="4"/>
      <c r="S152" s="4"/>
      <c r="T152" s="4"/>
      <c r="U152" s="4"/>
      <c r="V152" s="4"/>
      <c r="W152" s="4"/>
      <c r="X152" s="4"/>
      <c r="Y152" s="4"/>
      <c r="Z152" s="4"/>
      <c r="AA152" s="4"/>
      <c r="AB152" s="4"/>
      <c r="AC152" s="4"/>
      <c r="AD152" s="4"/>
      <c r="AE152" s="4"/>
    </row>
    <row r="153" ht="13.5" customHeight="1" spans="1:31" x14ac:dyDescent="0.25">
      <c r="A153" s="1"/>
      <c r="B153" s="4"/>
      <c r="C153" s="4"/>
      <c r="D153" s="4"/>
      <c r="E153" s="4"/>
      <c r="F153" s="4"/>
      <c r="G153" s="4"/>
      <c r="H153" s="4"/>
      <c r="I153" s="4"/>
      <c r="J153" s="4"/>
      <c r="K153" s="4"/>
      <c r="L153" s="4"/>
      <c r="M153" s="4"/>
      <c r="N153" s="4"/>
      <c r="O153" s="4"/>
      <c r="P153" s="4"/>
      <c r="Q153" s="4"/>
      <c r="R153" s="4"/>
      <c r="S153" s="4"/>
      <c r="T153" s="4"/>
      <c r="U153" s="4"/>
      <c r="V153" s="4"/>
      <c r="W153" s="4"/>
      <c r="X153" s="4"/>
      <c r="Y153" s="4"/>
      <c r="Z153" s="4"/>
      <c r="AA153" s="4"/>
      <c r="AB153" s="4"/>
      <c r="AC153" s="4"/>
      <c r="AD153" s="4"/>
      <c r="AE153" s="4"/>
    </row>
    <row r="154" ht="13.5" customHeight="1" spans="1:31" x14ac:dyDescent="0.25">
      <c r="A154" s="1"/>
      <c r="B154" s="4"/>
      <c r="C154" s="4"/>
      <c r="D154" s="4"/>
      <c r="E154" s="4"/>
      <c r="F154" s="4"/>
      <c r="G154" s="4"/>
      <c r="H154" s="4"/>
      <c r="I154" s="4"/>
      <c r="J154" s="4"/>
      <c r="K154" s="4"/>
      <c r="L154" s="4"/>
      <c r="M154" s="4"/>
      <c r="N154" s="4"/>
      <c r="O154" s="4"/>
      <c r="P154" s="4"/>
      <c r="Q154" s="4"/>
      <c r="R154" s="4"/>
      <c r="S154" s="4"/>
      <c r="T154" s="4"/>
      <c r="U154" s="4"/>
      <c r="V154" s="4"/>
      <c r="W154" s="4"/>
      <c r="X154" s="4"/>
      <c r="Y154" s="4"/>
      <c r="Z154" s="4"/>
      <c r="AA154" s="4"/>
      <c r="AB154" s="4"/>
      <c r="AC154" s="4"/>
      <c r="AD154" s="4"/>
      <c r="AE154" s="4"/>
    </row>
    <row r="155" ht="13.5" customHeight="1" spans="1:31" x14ac:dyDescent="0.25">
      <c r="A155" s="1"/>
      <c r="B155" s="4"/>
      <c r="C155" s="4"/>
      <c r="D155" s="4"/>
      <c r="E155" s="4"/>
      <c r="F155" s="4"/>
      <c r="G155" s="4"/>
      <c r="H155" s="4"/>
      <c r="I155" s="4"/>
      <c r="J155" s="4"/>
      <c r="K155" s="4"/>
      <c r="L155" s="4"/>
      <c r="M155" s="4"/>
      <c r="N155" s="4"/>
      <c r="O155" s="4"/>
      <c r="P155" s="4"/>
      <c r="Q155" s="4"/>
      <c r="R155" s="4"/>
      <c r="S155" s="4"/>
      <c r="T155" s="4"/>
      <c r="U155" s="4"/>
      <c r="V155" s="4"/>
      <c r="W155" s="4"/>
      <c r="X155" s="4"/>
      <c r="Y155" s="4"/>
      <c r="Z155" s="4"/>
      <c r="AA155" s="4"/>
      <c r="AB155" s="4"/>
      <c r="AC155" s="4"/>
      <c r="AD155" s="4"/>
      <c r="AE155" s="4"/>
    </row>
    <row r="156" ht="13.5" customHeight="1" spans="1:31" x14ac:dyDescent="0.25">
      <c r="A156" s="1"/>
      <c r="B156" s="4"/>
      <c r="C156" s="4"/>
      <c r="D156" s="4"/>
      <c r="E156" s="4"/>
      <c r="F156" s="4"/>
      <c r="G156" s="4"/>
      <c r="H156" s="4"/>
      <c r="I156" s="4"/>
      <c r="J156" s="4"/>
      <c r="K156" s="4"/>
      <c r="L156" s="4"/>
      <c r="M156" s="4"/>
      <c r="N156" s="4"/>
      <c r="O156" s="4"/>
      <c r="P156" s="4"/>
      <c r="Q156" s="4"/>
      <c r="R156" s="4"/>
      <c r="S156" s="4"/>
      <c r="T156" s="4"/>
      <c r="U156" s="4"/>
      <c r="V156" s="4"/>
      <c r="W156" s="4"/>
      <c r="X156" s="4"/>
      <c r="Y156" s="4"/>
      <c r="Z156" s="4"/>
      <c r="AA156" s="4"/>
      <c r="AB156" s="4"/>
      <c r="AC156" s="4"/>
      <c r="AD156" s="4"/>
      <c r="AE156" s="4"/>
    </row>
    <row r="157" ht="13.5" customHeight="1" spans="1:31" x14ac:dyDescent="0.25">
      <c r="A157" s="1"/>
      <c r="B157" s="4"/>
      <c r="C157" s="4"/>
      <c r="D157" s="4"/>
      <c r="E157" s="4"/>
      <c r="F157" s="4"/>
      <c r="G157" s="4"/>
      <c r="H157" s="4"/>
      <c r="I157" s="4"/>
      <c r="J157" s="4"/>
      <c r="K157" s="4"/>
      <c r="L157" s="4"/>
      <c r="M157" s="4"/>
      <c r="N157" s="4"/>
      <c r="O157" s="4"/>
      <c r="P157" s="4"/>
      <c r="Q157" s="4"/>
      <c r="R157" s="4"/>
      <c r="S157" s="4"/>
      <c r="T157" s="4"/>
      <c r="U157" s="4"/>
      <c r="V157" s="4"/>
      <c r="W157" s="4"/>
      <c r="X157" s="4"/>
      <c r="Y157" s="4"/>
      <c r="Z157" s="4"/>
      <c r="AA157" s="4"/>
      <c r="AB157" s="4"/>
      <c r="AC157" s="4"/>
      <c r="AD157" s="4"/>
      <c r="AE157" s="4"/>
    </row>
    <row r="158" ht="13.5" customHeight="1" spans="1:31" x14ac:dyDescent="0.25">
      <c r="A158" s="1"/>
      <c r="B158" s="4"/>
      <c r="C158" s="4"/>
      <c r="D158" s="4"/>
      <c r="E158" s="4"/>
      <c r="F158" s="4"/>
      <c r="G158" s="4"/>
      <c r="H158" s="4"/>
      <c r="I158" s="4"/>
      <c r="J158" s="4"/>
      <c r="K158" s="4"/>
      <c r="L158" s="4"/>
      <c r="M158" s="4"/>
      <c r="N158" s="4"/>
      <c r="O158" s="4"/>
      <c r="P158" s="4"/>
      <c r="Q158" s="4"/>
      <c r="R158" s="4"/>
      <c r="S158" s="4"/>
      <c r="T158" s="4"/>
      <c r="U158" s="4"/>
      <c r="V158" s="4"/>
      <c r="W158" s="4"/>
      <c r="X158" s="4"/>
      <c r="Y158" s="4"/>
      <c r="Z158" s="4"/>
      <c r="AA158" s="4"/>
      <c r="AB158" s="4"/>
      <c r="AC158" s="4"/>
      <c r="AD158" s="4"/>
      <c r="AE158" s="4"/>
    </row>
    <row r="159" ht="13.5" customHeight="1" spans="1:31" x14ac:dyDescent="0.25">
      <c r="A159" s="1"/>
      <c r="B159" s="4"/>
      <c r="C159" s="4"/>
      <c r="D159" s="4"/>
      <c r="E159" s="4"/>
      <c r="F159" s="4"/>
      <c r="G159" s="4"/>
      <c r="H159" s="4"/>
      <c r="I159" s="4"/>
      <c r="J159" s="4"/>
      <c r="K159" s="4"/>
      <c r="L159" s="4"/>
      <c r="M159" s="4"/>
      <c r="N159" s="4"/>
      <c r="O159" s="4"/>
      <c r="P159" s="4"/>
      <c r="Q159" s="4"/>
      <c r="R159" s="4"/>
      <c r="S159" s="4"/>
      <c r="T159" s="4"/>
      <c r="U159" s="4"/>
      <c r="V159" s="4"/>
      <c r="W159" s="4"/>
      <c r="X159" s="4"/>
      <c r="Y159" s="4"/>
      <c r="Z159" s="4"/>
      <c r="AA159" s="4"/>
      <c r="AB159" s="4"/>
      <c r="AC159" s="4"/>
      <c r="AD159" s="4"/>
      <c r="AE159" s="4"/>
    </row>
    <row r="160" ht="13.5" customHeight="1" spans="1:31" x14ac:dyDescent="0.25">
      <c r="A160" s="1"/>
      <c r="B160" s="4"/>
      <c r="C160" s="4"/>
      <c r="D160" s="4"/>
      <c r="E160" s="4"/>
      <c r="F160" s="4"/>
      <c r="G160" s="4"/>
      <c r="H160" s="4"/>
      <c r="I160" s="4"/>
      <c r="J160" s="4"/>
      <c r="K160" s="4"/>
      <c r="L160" s="4"/>
      <c r="M160" s="4"/>
      <c r="N160" s="4"/>
      <c r="O160" s="4"/>
      <c r="P160" s="4"/>
      <c r="Q160" s="4"/>
      <c r="R160" s="4"/>
      <c r="S160" s="4"/>
      <c r="T160" s="4"/>
      <c r="U160" s="4"/>
      <c r="V160" s="4"/>
      <c r="W160" s="4"/>
      <c r="X160" s="4"/>
      <c r="Y160" s="4"/>
      <c r="Z160" s="4"/>
      <c r="AA160" s="4"/>
      <c r="AB160" s="4"/>
      <c r="AC160" s="4"/>
      <c r="AD160" s="4"/>
      <c r="AE160" s="4"/>
    </row>
    <row r="161" ht="13.5" customHeight="1" spans="1:31" x14ac:dyDescent="0.25">
      <c r="A161" s="1"/>
      <c r="B161" s="4"/>
      <c r="C161" s="4"/>
      <c r="D161" s="4"/>
      <c r="E161" s="4"/>
      <c r="F161" s="4"/>
      <c r="G161" s="4"/>
      <c r="H161" s="4"/>
      <c r="I161" s="4"/>
      <c r="J161" s="4"/>
      <c r="K161" s="4"/>
      <c r="L161" s="4"/>
      <c r="M161" s="4"/>
      <c r="N161" s="4"/>
      <c r="O161" s="4"/>
      <c r="P161" s="4"/>
      <c r="Q161" s="4"/>
      <c r="R161" s="4"/>
      <c r="S161" s="4"/>
      <c r="T161" s="4"/>
      <c r="U161" s="4"/>
      <c r="V161" s="4"/>
      <c r="W161" s="4"/>
      <c r="X161" s="4"/>
      <c r="Y161" s="4"/>
      <c r="Z161" s="4"/>
      <c r="AA161" s="4"/>
      <c r="AB161" s="4"/>
      <c r="AC161" s="4"/>
      <c r="AD161" s="4"/>
      <c r="AE161" s="4"/>
    </row>
    <row r="162" ht="13.5" customHeight="1" spans="1:31" x14ac:dyDescent="0.25">
      <c r="A162" s="1"/>
      <c r="B162" s="4"/>
      <c r="C162" s="4"/>
      <c r="D162" s="4"/>
      <c r="E162" s="4"/>
      <c r="F162" s="4"/>
      <c r="G162" s="4"/>
      <c r="H162" s="4"/>
      <c r="I162" s="4"/>
      <c r="J162" s="4"/>
      <c r="K162" s="4"/>
      <c r="L162" s="4"/>
      <c r="M162" s="4"/>
      <c r="N162" s="4"/>
      <c r="O162" s="4"/>
      <c r="P162" s="4"/>
      <c r="Q162" s="4"/>
      <c r="R162" s="4"/>
      <c r="S162" s="4"/>
      <c r="T162" s="4"/>
      <c r="U162" s="4"/>
      <c r="V162" s="4"/>
      <c r="W162" s="4"/>
      <c r="X162" s="4"/>
      <c r="Y162" s="4"/>
      <c r="Z162" s="4"/>
      <c r="AA162" s="4"/>
      <c r="AB162" s="4"/>
      <c r="AC162" s="4"/>
      <c r="AD162" s="4"/>
      <c r="AE162" s="4"/>
    </row>
    <row r="163" ht="13.5" customHeight="1" spans="1:31" x14ac:dyDescent="0.25">
      <c r="A163" s="1"/>
      <c r="B163" s="4"/>
      <c r="C163" s="4"/>
      <c r="D163" s="4"/>
      <c r="E163" s="4"/>
      <c r="F163" s="4"/>
      <c r="G163" s="4"/>
      <c r="H163" s="4"/>
      <c r="I163" s="4"/>
      <c r="J163" s="4"/>
      <c r="K163" s="4"/>
      <c r="L163" s="4"/>
      <c r="M163" s="4"/>
      <c r="N163" s="4"/>
      <c r="O163" s="4"/>
      <c r="P163" s="4"/>
      <c r="Q163" s="4"/>
      <c r="R163" s="4"/>
      <c r="S163" s="4"/>
      <c r="T163" s="4"/>
      <c r="U163" s="4"/>
      <c r="V163" s="4"/>
      <c r="W163" s="4"/>
      <c r="X163" s="4"/>
      <c r="Y163" s="4"/>
      <c r="Z163" s="4"/>
      <c r="AA163" s="4"/>
      <c r="AB163" s="4"/>
      <c r="AC163" s="4"/>
      <c r="AD163" s="4"/>
      <c r="AE163" s="4"/>
    </row>
    <row r="164" ht="13.5" customHeight="1" spans="1:31" x14ac:dyDescent="0.25">
      <c r="A164" s="1"/>
      <c r="B164" s="4"/>
      <c r="C164" s="4"/>
      <c r="D164" s="4"/>
      <c r="E164" s="4"/>
      <c r="F164" s="4"/>
      <c r="G164" s="4"/>
      <c r="H164" s="4"/>
      <c r="I164" s="4"/>
      <c r="J164" s="4"/>
      <c r="K164" s="4"/>
      <c r="L164" s="4"/>
      <c r="M164" s="4"/>
      <c r="N164" s="4"/>
      <c r="O164" s="4"/>
      <c r="P164" s="4"/>
      <c r="Q164" s="4"/>
      <c r="R164" s="4"/>
      <c r="S164" s="4"/>
      <c r="T164" s="4"/>
      <c r="U164" s="4"/>
      <c r="V164" s="4"/>
      <c r="W164" s="4"/>
      <c r="X164" s="4"/>
      <c r="Y164" s="4"/>
      <c r="Z164" s="4"/>
      <c r="AA164" s="4"/>
      <c r="AB164" s="4"/>
      <c r="AC164" s="4"/>
      <c r="AD164" s="4"/>
      <c r="AE164" s="4"/>
    </row>
    <row r="165" ht="13.5" customHeight="1" spans="1:31" x14ac:dyDescent="0.25">
      <c r="A165" s="1"/>
      <c r="B165" s="4"/>
      <c r="C165" s="4"/>
      <c r="D165" s="4"/>
      <c r="E165" s="4"/>
      <c r="F165" s="4"/>
      <c r="G165" s="4"/>
      <c r="H165" s="4"/>
      <c r="I165" s="4"/>
      <c r="J165" s="4"/>
      <c r="K165" s="4"/>
      <c r="L165" s="4"/>
      <c r="M165" s="4"/>
      <c r="N165" s="4"/>
      <c r="O165" s="4"/>
      <c r="P165" s="4"/>
      <c r="Q165" s="4"/>
      <c r="R165" s="4"/>
      <c r="S165" s="4"/>
      <c r="T165" s="4"/>
      <c r="U165" s="4"/>
      <c r="V165" s="4"/>
      <c r="W165" s="4"/>
      <c r="X165" s="4"/>
      <c r="Y165" s="4"/>
      <c r="Z165" s="4"/>
      <c r="AA165" s="4"/>
      <c r="AB165" s="4"/>
      <c r="AC165" s="4"/>
      <c r="AD165" s="4"/>
      <c r="AE165" s="4"/>
    </row>
    <row r="166" ht="13.5" customHeight="1" spans="1:31" x14ac:dyDescent="0.25">
      <c r="A166" s="1"/>
      <c r="B166" s="4"/>
      <c r="C166" s="4"/>
      <c r="D166" s="4"/>
      <c r="E166" s="4"/>
      <c r="F166" s="4"/>
      <c r="G166" s="4"/>
      <c r="H166" s="4"/>
      <c r="I166" s="4"/>
      <c r="J166" s="4"/>
      <c r="K166" s="4"/>
      <c r="L166" s="4"/>
      <c r="M166" s="4"/>
      <c r="N166" s="4"/>
      <c r="O166" s="4"/>
      <c r="P166" s="4"/>
      <c r="Q166" s="4"/>
      <c r="R166" s="4"/>
      <c r="S166" s="4"/>
      <c r="T166" s="4"/>
      <c r="U166" s="4"/>
      <c r="V166" s="4"/>
      <c r="W166" s="4"/>
      <c r="X166" s="4"/>
      <c r="Y166" s="4"/>
      <c r="Z166" s="4"/>
      <c r="AA166" s="4"/>
      <c r="AB166" s="4"/>
      <c r="AC166" s="4"/>
      <c r="AD166" s="4"/>
      <c r="AE166" s="4"/>
    </row>
    <row r="167" ht="13.5" customHeight="1" spans="1:31" x14ac:dyDescent="0.25">
      <c r="A167" s="1"/>
      <c r="B167" s="4"/>
      <c r="C167" s="4"/>
      <c r="D167" s="4"/>
      <c r="E167" s="4"/>
      <c r="F167" s="4"/>
      <c r="G167" s="4"/>
      <c r="H167" s="4"/>
      <c r="I167" s="4"/>
      <c r="J167" s="4"/>
      <c r="K167" s="4"/>
      <c r="L167" s="4"/>
      <c r="M167" s="4"/>
      <c r="N167" s="4"/>
      <c r="O167" s="4"/>
      <c r="P167" s="4"/>
      <c r="Q167" s="4"/>
      <c r="R167" s="4"/>
      <c r="S167" s="4"/>
      <c r="T167" s="4"/>
      <c r="U167" s="4"/>
      <c r="V167" s="4"/>
      <c r="W167" s="4"/>
      <c r="X167" s="4"/>
      <c r="Y167" s="4"/>
      <c r="Z167" s="4"/>
      <c r="AA167" s="4"/>
      <c r="AB167" s="4"/>
      <c r="AC167" s="4"/>
      <c r="AD167" s="4"/>
      <c r="AE167" s="4"/>
    </row>
    <row r="168" ht="13.5" customHeight="1" spans="1:31" x14ac:dyDescent="0.25">
      <c r="A168" s="1"/>
      <c r="B168" s="4"/>
      <c r="C168" s="4"/>
      <c r="D168" s="4"/>
      <c r="E168" s="4"/>
      <c r="F168" s="4"/>
      <c r="G168" s="4"/>
      <c r="H168" s="4"/>
      <c r="I168" s="4"/>
      <c r="J168" s="4"/>
      <c r="K168" s="4"/>
      <c r="L168" s="4"/>
      <c r="M168" s="4"/>
      <c r="N168" s="4"/>
      <c r="O168" s="4"/>
      <c r="P168" s="4"/>
      <c r="Q168" s="4"/>
      <c r="R168" s="4"/>
      <c r="S168" s="4"/>
      <c r="T168" s="4"/>
      <c r="U168" s="4"/>
      <c r="V168" s="4"/>
      <c r="W168" s="4"/>
      <c r="X168" s="4"/>
      <c r="Y168" s="4"/>
      <c r="Z168" s="4"/>
      <c r="AA168" s="4"/>
      <c r="AB168" s="4"/>
      <c r="AC168" s="4"/>
      <c r="AD168" s="4"/>
      <c r="AE168" s="4"/>
    </row>
    <row r="169" ht="13.5" customHeight="1" spans="1:31" x14ac:dyDescent="0.25">
      <c r="A169" s="1"/>
      <c r="B169" s="4"/>
      <c r="C169" s="4"/>
      <c r="D169" s="4"/>
      <c r="E169" s="4"/>
      <c r="F169" s="4"/>
      <c r="G169" s="4"/>
      <c r="H169" s="4"/>
      <c r="I169" s="4"/>
      <c r="J169" s="4"/>
      <c r="K169" s="4"/>
      <c r="L169" s="4"/>
      <c r="M169" s="4"/>
      <c r="N169" s="4"/>
      <c r="O169" s="4"/>
      <c r="P169" s="4"/>
      <c r="Q169" s="4"/>
      <c r="R169" s="4"/>
      <c r="S169" s="4"/>
      <c r="T169" s="4"/>
      <c r="U169" s="4"/>
      <c r="V169" s="4"/>
      <c r="W169" s="4"/>
      <c r="X169" s="4"/>
      <c r="Y169" s="4"/>
      <c r="Z169" s="4"/>
      <c r="AA169" s="4"/>
      <c r="AB169" s="4"/>
      <c r="AC169" s="4"/>
      <c r="AD169" s="4"/>
      <c r="AE169" s="4"/>
    </row>
    <row r="170" ht="13.5" customHeight="1" spans="1:31" x14ac:dyDescent="0.25">
      <c r="A170" s="1"/>
      <c r="B170" s="4"/>
      <c r="C170" s="4"/>
      <c r="D170" s="4"/>
      <c r="E170" s="4"/>
      <c r="F170" s="4"/>
      <c r="G170" s="4"/>
      <c r="H170" s="4"/>
      <c r="I170" s="4"/>
      <c r="J170" s="4"/>
      <c r="K170" s="4"/>
      <c r="L170" s="4"/>
      <c r="M170" s="4"/>
      <c r="N170" s="4"/>
      <c r="O170" s="4"/>
      <c r="P170" s="4"/>
      <c r="Q170" s="4"/>
      <c r="R170" s="4"/>
      <c r="S170" s="4"/>
      <c r="T170" s="4"/>
      <c r="U170" s="4"/>
      <c r="V170" s="4"/>
      <c r="W170" s="4"/>
      <c r="X170" s="4"/>
      <c r="Y170" s="4"/>
      <c r="Z170" s="4"/>
      <c r="AA170" s="4"/>
      <c r="AB170" s="4"/>
      <c r="AC170" s="4"/>
      <c r="AD170" s="4"/>
      <c r="AE170" s="4"/>
    </row>
    <row r="171" ht="13.5" customHeight="1" spans="1:31" x14ac:dyDescent="0.25">
      <c r="A171" s="1"/>
      <c r="B171" s="4"/>
      <c r="C171" s="4"/>
      <c r="D171" s="4"/>
      <c r="E171" s="4"/>
      <c r="F171" s="4"/>
      <c r="G171" s="4"/>
      <c r="H171" s="4"/>
      <c r="I171" s="4"/>
      <c r="J171" s="4"/>
      <c r="K171" s="4"/>
      <c r="L171" s="4"/>
      <c r="M171" s="4"/>
      <c r="N171" s="4"/>
      <c r="O171" s="4"/>
      <c r="P171" s="4"/>
      <c r="Q171" s="4"/>
      <c r="R171" s="4"/>
      <c r="S171" s="4"/>
      <c r="T171" s="4"/>
      <c r="U171" s="4"/>
      <c r="V171" s="4"/>
      <c r="W171" s="4"/>
      <c r="X171" s="4"/>
      <c r="Y171" s="4"/>
      <c r="Z171" s="4"/>
      <c r="AA171" s="4"/>
      <c r="AB171" s="4"/>
      <c r="AC171" s="4"/>
      <c r="AD171" s="4"/>
      <c r="AE171" s="4"/>
    </row>
    <row r="172" ht="13.5" customHeight="1" spans="1:31" x14ac:dyDescent="0.25">
      <c r="A172" s="1"/>
      <c r="B172" s="4"/>
      <c r="C172" s="4"/>
      <c r="D172" s="4"/>
      <c r="E172" s="4"/>
      <c r="F172" s="4"/>
      <c r="G172" s="4"/>
      <c r="H172" s="4"/>
      <c r="I172" s="4"/>
      <c r="J172" s="4"/>
      <c r="K172" s="4"/>
      <c r="L172" s="4"/>
      <c r="M172" s="4"/>
      <c r="N172" s="4"/>
      <c r="O172" s="4"/>
      <c r="P172" s="4"/>
      <c r="Q172" s="4"/>
      <c r="R172" s="4"/>
      <c r="S172" s="4"/>
      <c r="T172" s="4"/>
      <c r="U172" s="4"/>
      <c r="V172" s="4"/>
      <c r="W172" s="4"/>
      <c r="X172" s="4"/>
      <c r="Y172" s="4"/>
      <c r="Z172" s="4"/>
      <c r="AA172" s="4"/>
      <c r="AB172" s="4"/>
      <c r="AC172" s="4"/>
      <c r="AD172" s="4"/>
      <c r="AE172" s="4"/>
    </row>
    <row r="173" ht="13.5" customHeight="1" spans="1:31" x14ac:dyDescent="0.25">
      <c r="A173" s="1"/>
      <c r="B173" s="4"/>
      <c r="C173" s="4"/>
      <c r="D173" s="4"/>
      <c r="E173" s="4"/>
      <c r="F173" s="4"/>
      <c r="G173" s="4"/>
      <c r="H173" s="4"/>
      <c r="I173" s="4"/>
      <c r="J173" s="4"/>
      <c r="K173" s="4"/>
      <c r="L173" s="4"/>
      <c r="M173" s="4"/>
      <c r="N173" s="4"/>
      <c r="O173" s="4"/>
      <c r="P173" s="4"/>
      <c r="Q173" s="4"/>
      <c r="R173" s="4"/>
      <c r="S173" s="4"/>
      <c r="T173" s="4"/>
      <c r="U173" s="4"/>
      <c r="V173" s="4"/>
      <c r="W173" s="4"/>
      <c r="X173" s="4"/>
      <c r="Y173" s="4"/>
      <c r="Z173" s="4"/>
      <c r="AA173" s="4"/>
      <c r="AB173" s="4"/>
      <c r="AC173" s="4"/>
      <c r="AD173" s="4"/>
      <c r="AE173" s="4"/>
    </row>
    <row r="174" ht="13.5" customHeight="1" spans="1:31" x14ac:dyDescent="0.25">
      <c r="A174" s="1"/>
      <c r="B174" s="4"/>
      <c r="C174" s="4"/>
      <c r="D174" s="4"/>
      <c r="E174" s="4"/>
      <c r="F174" s="4"/>
      <c r="G174" s="4"/>
      <c r="H174" s="4"/>
      <c r="I174" s="4"/>
      <c r="J174" s="4"/>
      <c r="K174" s="4"/>
      <c r="L174" s="4"/>
      <c r="M174" s="4"/>
      <c r="N174" s="4"/>
      <c r="O174" s="4"/>
      <c r="P174" s="4"/>
      <c r="Q174" s="4"/>
      <c r="R174" s="4"/>
      <c r="S174" s="4"/>
      <c r="T174" s="4"/>
      <c r="U174" s="4"/>
      <c r="V174" s="4"/>
      <c r="W174" s="4"/>
      <c r="X174" s="4"/>
      <c r="Y174" s="4"/>
      <c r="Z174" s="4"/>
      <c r="AA174" s="4"/>
      <c r="AB174" s="4"/>
      <c r="AC174" s="4"/>
      <c r="AD174" s="4"/>
      <c r="AE174" s="4"/>
    </row>
    <row r="175" ht="13.5" customHeight="1" spans="1:31" x14ac:dyDescent="0.25">
      <c r="A175" s="1"/>
      <c r="B175" s="4"/>
      <c r="C175" s="4"/>
      <c r="D175" s="4"/>
      <c r="E175" s="4"/>
      <c r="F175" s="4"/>
      <c r="G175" s="4"/>
      <c r="H175" s="4"/>
      <c r="I175" s="4"/>
      <c r="J175" s="4"/>
      <c r="K175" s="4"/>
      <c r="L175" s="4"/>
      <c r="M175" s="4"/>
      <c r="N175" s="4"/>
      <c r="O175" s="4"/>
      <c r="P175" s="4"/>
      <c r="Q175" s="4"/>
      <c r="R175" s="4"/>
      <c r="S175" s="4"/>
      <c r="T175" s="4"/>
      <c r="U175" s="4"/>
      <c r="V175" s="4"/>
      <c r="W175" s="4"/>
      <c r="X175" s="4"/>
      <c r="Y175" s="4"/>
      <c r="Z175" s="4"/>
      <c r="AA175" s="4"/>
      <c r="AB175" s="4"/>
      <c r="AC175" s="4"/>
      <c r="AD175" s="4"/>
      <c r="AE175" s="4"/>
    </row>
    <row r="176" ht="13.5" customHeight="1" spans="1:31" x14ac:dyDescent="0.25">
      <c r="A176" s="1"/>
      <c r="B176" s="4"/>
      <c r="C176" s="4"/>
      <c r="D176" s="4"/>
      <c r="E176" s="4"/>
      <c r="F176" s="4"/>
      <c r="G176" s="4"/>
      <c r="H176" s="4"/>
      <c r="I176" s="4"/>
      <c r="J176" s="4"/>
      <c r="K176" s="4"/>
      <c r="L176" s="4"/>
      <c r="M176" s="4"/>
      <c r="N176" s="4"/>
      <c r="O176" s="4"/>
      <c r="P176" s="4"/>
      <c r="Q176" s="4"/>
      <c r="R176" s="4"/>
      <c r="S176" s="4"/>
      <c r="T176" s="4"/>
      <c r="U176" s="4"/>
      <c r="V176" s="4"/>
      <c r="W176" s="4"/>
      <c r="X176" s="4"/>
      <c r="Y176" s="4"/>
      <c r="Z176" s="4"/>
      <c r="AA176" s="4"/>
      <c r="AB176" s="4"/>
      <c r="AC176" s="4"/>
      <c r="AD176" s="4"/>
      <c r="AE176" s="4"/>
    </row>
    <row r="177" ht="13.5" customHeight="1" spans="1:31" x14ac:dyDescent="0.25">
      <c r="A177" s="1"/>
      <c r="B177" s="4"/>
      <c r="C177" s="4"/>
      <c r="D177" s="4"/>
      <c r="E177" s="4"/>
      <c r="F177" s="4"/>
      <c r="G177" s="4"/>
      <c r="H177" s="4"/>
      <c r="I177" s="4"/>
      <c r="J177" s="4"/>
      <c r="K177" s="4"/>
      <c r="L177" s="4"/>
      <c r="M177" s="4"/>
      <c r="N177" s="4"/>
      <c r="O177" s="4"/>
      <c r="P177" s="4"/>
      <c r="Q177" s="4"/>
      <c r="R177" s="4"/>
      <c r="S177" s="4"/>
      <c r="T177" s="4"/>
      <c r="U177" s="4"/>
      <c r="V177" s="4"/>
      <c r="W177" s="4"/>
      <c r="X177" s="4"/>
      <c r="Y177" s="4"/>
      <c r="Z177" s="4"/>
      <c r="AA177" s="4"/>
      <c r="AB177" s="4"/>
      <c r="AC177" s="4"/>
      <c r="AD177" s="4"/>
      <c r="AE177" s="4"/>
    </row>
    <row r="178" ht="13.5" customHeight="1" spans="1:31" x14ac:dyDescent="0.25">
      <c r="A178" s="1"/>
      <c r="B178" s="4"/>
      <c r="C178" s="4"/>
      <c r="D178" s="4"/>
      <c r="E178" s="4"/>
      <c r="F178" s="4"/>
      <c r="G178" s="4"/>
      <c r="H178" s="4"/>
      <c r="I178" s="4"/>
      <c r="J178" s="4"/>
      <c r="K178" s="4"/>
      <c r="L178" s="4"/>
      <c r="M178" s="4"/>
      <c r="N178" s="4"/>
      <c r="O178" s="4"/>
      <c r="P178" s="4"/>
      <c r="Q178" s="4"/>
      <c r="R178" s="4"/>
      <c r="S178" s="4"/>
      <c r="T178" s="4"/>
      <c r="U178" s="4"/>
      <c r="V178" s="4"/>
      <c r="W178" s="4"/>
      <c r="X178" s="4"/>
      <c r="Y178" s="4"/>
      <c r="Z178" s="4"/>
      <c r="AA178" s="4"/>
      <c r="AB178" s="4"/>
      <c r="AC178" s="4"/>
      <c r="AD178" s="4"/>
      <c r="AE178" s="4"/>
    </row>
    <row r="179" ht="13.5" customHeight="1" spans="1:31" x14ac:dyDescent="0.25">
      <c r="A179" s="1"/>
      <c r="B179" s="4"/>
      <c r="C179" s="4"/>
      <c r="D179" s="4"/>
      <c r="E179" s="4"/>
      <c r="F179" s="4"/>
      <c r="G179" s="4"/>
      <c r="H179" s="4"/>
      <c r="I179" s="4"/>
      <c r="J179" s="4"/>
      <c r="K179" s="4"/>
      <c r="L179" s="4"/>
      <c r="M179" s="4"/>
      <c r="N179" s="4"/>
      <c r="O179" s="4"/>
      <c r="P179" s="4"/>
      <c r="Q179" s="4"/>
      <c r="R179" s="4"/>
      <c r="S179" s="4"/>
      <c r="T179" s="4"/>
      <c r="U179" s="4"/>
      <c r="V179" s="4"/>
      <c r="W179" s="4"/>
      <c r="X179" s="4"/>
      <c r="Y179" s="4"/>
      <c r="Z179" s="4"/>
      <c r="AA179" s="4"/>
      <c r="AB179" s="4"/>
      <c r="AC179" s="4"/>
      <c r="AD179" s="4"/>
      <c r="AE179" s="4"/>
    </row>
    <row r="180" ht="13.5" customHeight="1" spans="1:31" x14ac:dyDescent="0.25">
      <c r="A180" s="1"/>
      <c r="B180" s="4"/>
      <c r="C180" s="4"/>
      <c r="D180" s="4"/>
      <c r="E180" s="4"/>
      <c r="F180" s="4"/>
      <c r="G180" s="4"/>
      <c r="H180" s="4"/>
      <c r="I180" s="4"/>
      <c r="J180" s="4"/>
      <c r="K180" s="4"/>
      <c r="L180" s="4"/>
      <c r="M180" s="4"/>
      <c r="N180" s="4"/>
      <c r="O180" s="4"/>
      <c r="P180" s="4"/>
      <c r="Q180" s="4"/>
      <c r="R180" s="4"/>
      <c r="S180" s="4"/>
      <c r="T180" s="4"/>
      <c r="U180" s="4"/>
      <c r="V180" s="4"/>
      <c r="W180" s="4"/>
      <c r="X180" s="4"/>
      <c r="Y180" s="4"/>
      <c r="Z180" s="4"/>
      <c r="AA180" s="4"/>
      <c r="AB180" s="4"/>
      <c r="AC180" s="4"/>
      <c r="AD180" s="4"/>
      <c r="AE180" s="4"/>
    </row>
    <row r="181" ht="13.5" customHeight="1" spans="1:31" x14ac:dyDescent="0.25">
      <c r="A181" s="1"/>
      <c r="B181" s="4"/>
      <c r="C181" s="4"/>
      <c r="D181" s="4"/>
      <c r="E181" s="4"/>
      <c r="F181" s="4"/>
      <c r="G181" s="4"/>
      <c r="H181" s="4"/>
      <c r="I181" s="4"/>
      <c r="J181" s="4"/>
      <c r="K181" s="4"/>
      <c r="L181" s="4"/>
      <c r="M181" s="4"/>
      <c r="N181" s="4"/>
      <c r="O181" s="4"/>
      <c r="P181" s="4"/>
      <c r="Q181" s="4"/>
      <c r="R181" s="4"/>
      <c r="S181" s="4"/>
      <c r="T181" s="4"/>
      <c r="U181" s="4"/>
      <c r="V181" s="4"/>
      <c r="W181" s="4"/>
      <c r="X181" s="4"/>
      <c r="Y181" s="4"/>
      <c r="Z181" s="4"/>
      <c r="AA181" s="4"/>
      <c r="AB181" s="4"/>
      <c r="AC181" s="4"/>
      <c r="AD181" s="4"/>
      <c r="AE181" s="4"/>
    </row>
    <row r="182" ht="13.5" customHeight="1" spans="1:31" x14ac:dyDescent="0.25">
      <c r="A182" s="1"/>
      <c r="B182" s="4"/>
      <c r="C182" s="4"/>
      <c r="D182" s="4"/>
      <c r="E182" s="4"/>
      <c r="F182" s="4"/>
      <c r="G182" s="4"/>
      <c r="H182" s="4"/>
      <c r="I182" s="4"/>
      <c r="J182" s="4"/>
      <c r="K182" s="4"/>
      <c r="L182" s="4"/>
      <c r="M182" s="4"/>
      <c r="N182" s="4"/>
      <c r="O182" s="4"/>
      <c r="P182" s="4"/>
      <c r="Q182" s="4"/>
      <c r="R182" s="4"/>
      <c r="S182" s="4"/>
      <c r="T182" s="4"/>
      <c r="U182" s="4"/>
      <c r="V182" s="4"/>
      <c r="W182" s="4"/>
      <c r="X182" s="4"/>
      <c r="Y182" s="4"/>
      <c r="Z182" s="4"/>
      <c r="AA182" s="4"/>
      <c r="AB182" s="4"/>
      <c r="AC182" s="4"/>
      <c r="AD182" s="4"/>
      <c r="AE182" s="4"/>
    </row>
    <row r="183" ht="13.5" customHeight="1" spans="1:31" x14ac:dyDescent="0.25">
      <c r="A183" s="1"/>
      <c r="B183" s="4"/>
      <c r="C183" s="4"/>
      <c r="D183" s="4"/>
      <c r="E183" s="4"/>
      <c r="F183" s="4"/>
      <c r="G183" s="4"/>
      <c r="H183" s="4"/>
      <c r="I183" s="4"/>
      <c r="J183" s="4"/>
      <c r="K183" s="4"/>
      <c r="L183" s="4"/>
      <c r="M183" s="4"/>
      <c r="N183" s="4"/>
      <c r="O183" s="4"/>
      <c r="P183" s="4"/>
      <c r="Q183" s="4"/>
      <c r="R183" s="4"/>
      <c r="S183" s="4"/>
      <c r="T183" s="4"/>
      <c r="U183" s="4"/>
      <c r="V183" s="4"/>
      <c r="W183" s="4"/>
      <c r="X183" s="4"/>
      <c r="Y183" s="4"/>
      <c r="Z183" s="4"/>
      <c r="AA183" s="4"/>
      <c r="AB183" s="4"/>
      <c r="AC183" s="4"/>
      <c r="AD183" s="4"/>
      <c r="AE183" s="4"/>
    </row>
    <row r="184" ht="13.5" customHeight="1" spans="1:31" x14ac:dyDescent="0.25">
      <c r="A184" s="1"/>
      <c r="B184" s="4"/>
      <c r="C184" s="4"/>
      <c r="D184" s="4"/>
      <c r="E184" s="4"/>
      <c r="F184" s="4"/>
      <c r="G184" s="4"/>
      <c r="H184" s="4"/>
      <c r="I184" s="4"/>
      <c r="J184" s="4"/>
      <c r="K184" s="4"/>
      <c r="L184" s="4"/>
      <c r="M184" s="4"/>
      <c r="N184" s="4"/>
      <c r="O184" s="4"/>
      <c r="P184" s="4"/>
      <c r="Q184" s="4"/>
      <c r="R184" s="4"/>
      <c r="S184" s="4"/>
      <c r="T184" s="4"/>
      <c r="U184" s="4"/>
      <c r="V184" s="4"/>
      <c r="W184" s="4"/>
      <c r="X184" s="4"/>
      <c r="Y184" s="4"/>
      <c r="Z184" s="4"/>
      <c r="AA184" s="4"/>
      <c r="AB184" s="4"/>
      <c r="AC184" s="4"/>
      <c r="AD184" s="4"/>
      <c r="AE184" s="4"/>
    </row>
    <row r="185" ht="13.5" customHeight="1" spans="1:31" x14ac:dyDescent="0.25">
      <c r="A185" s="1"/>
      <c r="B185" s="4"/>
      <c r="C185" s="4"/>
      <c r="D185" s="4"/>
      <c r="E185" s="4"/>
      <c r="F185" s="4"/>
      <c r="G185" s="4"/>
      <c r="H185" s="4"/>
      <c r="I185" s="4"/>
      <c r="J185" s="4"/>
      <c r="K185" s="4"/>
      <c r="L185" s="4"/>
      <c r="M185" s="4"/>
      <c r="N185" s="4"/>
      <c r="O185" s="4"/>
      <c r="P185" s="4"/>
      <c r="Q185" s="4"/>
      <c r="R185" s="4"/>
      <c r="S185" s="4"/>
      <c r="T185" s="4"/>
      <c r="U185" s="4"/>
      <c r="V185" s="4"/>
      <c r="W185" s="4"/>
      <c r="X185" s="4"/>
      <c r="Y185" s="4"/>
      <c r="Z185" s="4"/>
      <c r="AA185" s="4"/>
      <c r="AB185" s="4"/>
      <c r="AC185" s="4"/>
      <c r="AD185" s="4"/>
      <c r="AE185" s="4"/>
    </row>
    <row r="186" ht="13.5" customHeight="1" spans="1:31" x14ac:dyDescent="0.25">
      <c r="A186" s="1"/>
      <c r="B186" s="4"/>
      <c r="C186" s="4"/>
      <c r="D186" s="4"/>
      <c r="E186" s="4"/>
      <c r="F186" s="4"/>
      <c r="G186" s="4"/>
      <c r="H186" s="4"/>
      <c r="I186" s="4"/>
      <c r="J186" s="4"/>
      <c r="K186" s="4"/>
      <c r="L186" s="4"/>
      <c r="M186" s="4"/>
      <c r="N186" s="4"/>
      <c r="O186" s="4"/>
      <c r="P186" s="4"/>
      <c r="Q186" s="4"/>
      <c r="R186" s="4"/>
      <c r="S186" s="4"/>
      <c r="T186" s="4"/>
      <c r="U186" s="4"/>
      <c r="V186" s="4"/>
      <c r="W186" s="4"/>
      <c r="X186" s="4"/>
      <c r="Y186" s="4"/>
      <c r="Z186" s="4"/>
      <c r="AA186" s="4"/>
      <c r="AB186" s="4"/>
      <c r="AC186" s="4"/>
      <c r="AD186" s="4"/>
      <c r="AE186" s="4"/>
    </row>
    <row r="187" ht="13.5" customHeight="1" spans="1:31" x14ac:dyDescent="0.25">
      <c r="A187" s="1"/>
      <c r="B187" s="4"/>
      <c r="C187" s="4"/>
      <c r="D187" s="4"/>
      <c r="E187" s="4"/>
      <c r="F187" s="4"/>
      <c r="G187" s="4"/>
      <c r="H187" s="4"/>
      <c r="I187" s="4"/>
      <c r="J187" s="4"/>
      <c r="K187" s="4"/>
      <c r="L187" s="4"/>
      <c r="M187" s="4"/>
      <c r="N187" s="4"/>
      <c r="O187" s="4"/>
      <c r="P187" s="4"/>
      <c r="Q187" s="4"/>
      <c r="R187" s="4"/>
      <c r="S187" s="4"/>
      <c r="T187" s="4"/>
      <c r="U187" s="4"/>
      <c r="V187" s="4"/>
      <c r="W187" s="4"/>
      <c r="X187" s="4"/>
      <c r="Y187" s="4"/>
      <c r="Z187" s="4"/>
      <c r="AA187" s="4"/>
      <c r="AB187" s="4"/>
      <c r="AC187" s="4"/>
      <c r="AD187" s="4"/>
      <c r="AE187" s="4"/>
    </row>
    <row r="188" ht="13.5" customHeight="1" spans="1:31" x14ac:dyDescent="0.25">
      <c r="A188" s="1"/>
      <c r="B188" s="4"/>
      <c r="C188" s="4"/>
      <c r="D188" s="4"/>
      <c r="E188" s="4"/>
      <c r="F188" s="4"/>
      <c r="G188" s="4"/>
      <c r="H188" s="4"/>
      <c r="I188" s="4"/>
      <c r="J188" s="4"/>
      <c r="K188" s="4"/>
      <c r="L188" s="4"/>
      <c r="M188" s="4"/>
      <c r="N188" s="4"/>
      <c r="O188" s="4"/>
      <c r="P188" s="4"/>
      <c r="Q188" s="4"/>
      <c r="R188" s="4"/>
      <c r="S188" s="4"/>
      <c r="T188" s="4"/>
      <c r="U188" s="4"/>
      <c r="V188" s="4"/>
      <c r="W188" s="4"/>
      <c r="X188" s="4"/>
      <c r="Y188" s="4"/>
      <c r="Z188" s="4"/>
      <c r="AA188" s="4"/>
      <c r="AB188" s="4"/>
      <c r="AC188" s="4"/>
      <c r="AD188" s="4"/>
      <c r="AE188" s="4"/>
    </row>
    <row r="189" ht="13.5" customHeight="1" spans="1:31" x14ac:dyDescent="0.25">
      <c r="A189" s="1"/>
      <c r="B189" s="4"/>
      <c r="C189" s="4"/>
      <c r="D189" s="4"/>
      <c r="E189" s="4"/>
      <c r="F189" s="4"/>
      <c r="G189" s="4"/>
      <c r="H189" s="4"/>
      <c r="I189" s="4"/>
      <c r="J189" s="4"/>
      <c r="K189" s="4"/>
      <c r="L189" s="4"/>
      <c r="M189" s="4"/>
      <c r="N189" s="4"/>
      <c r="O189" s="4"/>
      <c r="P189" s="4"/>
      <c r="Q189" s="4"/>
      <c r="R189" s="4"/>
      <c r="S189" s="4"/>
      <c r="T189" s="4"/>
      <c r="U189" s="4"/>
      <c r="V189" s="4"/>
      <c r="W189" s="4"/>
      <c r="X189" s="4"/>
      <c r="Y189" s="4"/>
      <c r="Z189" s="4"/>
      <c r="AA189" s="4"/>
      <c r="AB189" s="4"/>
      <c r="AC189" s="4"/>
      <c r="AD189" s="4"/>
      <c r="AE189" s="4"/>
    </row>
    <row r="190" ht="13.5" customHeight="1" spans="1:31" x14ac:dyDescent="0.25">
      <c r="A190" s="1"/>
      <c r="B190" s="4"/>
      <c r="C190" s="4"/>
      <c r="D190" s="4"/>
      <c r="E190" s="4"/>
      <c r="F190" s="4"/>
      <c r="G190" s="4"/>
      <c r="H190" s="4"/>
      <c r="I190" s="4"/>
      <c r="J190" s="4"/>
      <c r="K190" s="4"/>
      <c r="L190" s="4"/>
      <c r="M190" s="4"/>
      <c r="N190" s="4"/>
      <c r="O190" s="4"/>
      <c r="P190" s="4"/>
      <c r="Q190" s="4"/>
      <c r="R190" s="4"/>
      <c r="S190" s="4"/>
      <c r="T190" s="4"/>
      <c r="U190" s="4"/>
      <c r="V190" s="4"/>
      <c r="W190" s="4"/>
      <c r="X190" s="4"/>
      <c r="Y190" s="4"/>
      <c r="Z190" s="4"/>
      <c r="AA190" s="4"/>
      <c r="AB190" s="4"/>
      <c r="AC190" s="4"/>
      <c r="AD190" s="4"/>
      <c r="AE190" s="4"/>
    </row>
    <row r="191" ht="13.5" customHeight="1" spans="1:31" x14ac:dyDescent="0.25">
      <c r="A191" s="1"/>
      <c r="B191" s="4"/>
      <c r="C191" s="4"/>
      <c r="D191" s="4"/>
      <c r="E191" s="4"/>
      <c r="F191" s="4"/>
      <c r="G191" s="4"/>
      <c r="H191" s="4"/>
      <c r="I191" s="4"/>
      <c r="J191" s="4"/>
      <c r="K191" s="4"/>
      <c r="L191" s="4"/>
      <c r="M191" s="4"/>
      <c r="N191" s="4"/>
      <c r="O191" s="4"/>
      <c r="P191" s="4"/>
      <c r="Q191" s="4"/>
      <c r="R191" s="4"/>
      <c r="S191" s="4"/>
      <c r="T191" s="4"/>
      <c r="U191" s="4"/>
      <c r="V191" s="4"/>
      <c r="W191" s="4"/>
      <c r="X191" s="4"/>
      <c r="Y191" s="4"/>
      <c r="Z191" s="4"/>
      <c r="AA191" s="4"/>
      <c r="AB191" s="4"/>
      <c r="AC191" s="4"/>
      <c r="AD191" s="4"/>
      <c r="AE191" s="4"/>
    </row>
    <row r="192" ht="13.5" customHeight="1" spans="1:31" x14ac:dyDescent="0.25">
      <c r="A192" s="1"/>
      <c r="B192" s="4"/>
      <c r="C192" s="4"/>
      <c r="D192" s="4"/>
      <c r="E192" s="4"/>
      <c r="F192" s="4"/>
      <c r="G192" s="4"/>
      <c r="H192" s="4"/>
      <c r="I192" s="4"/>
      <c r="J192" s="4"/>
      <c r="K192" s="4"/>
      <c r="L192" s="4"/>
      <c r="M192" s="4"/>
      <c r="N192" s="4"/>
      <c r="O192" s="4"/>
      <c r="P192" s="4"/>
      <c r="Q192" s="4"/>
      <c r="R192" s="4"/>
      <c r="S192" s="4"/>
      <c r="T192" s="4"/>
      <c r="U192" s="4"/>
      <c r="V192" s="4"/>
      <c r="W192" s="4"/>
      <c r="X192" s="4"/>
      <c r="Y192" s="4"/>
      <c r="Z192" s="4"/>
      <c r="AA192" s="4"/>
      <c r="AB192" s="4"/>
      <c r="AC192" s="4"/>
      <c r="AD192" s="4"/>
      <c r="AE192" s="4"/>
    </row>
    <row r="193" ht="13.5" customHeight="1" spans="1:31" x14ac:dyDescent="0.25">
      <c r="A193" s="1"/>
      <c r="B193" s="4"/>
      <c r="C193" s="4"/>
      <c r="D193" s="4"/>
      <c r="E193" s="4"/>
      <c r="F193" s="4"/>
      <c r="G193" s="4"/>
      <c r="H193" s="4"/>
      <c r="I193" s="4"/>
      <c r="J193" s="4"/>
      <c r="K193" s="4"/>
      <c r="L193" s="4"/>
      <c r="M193" s="4"/>
      <c r="N193" s="4"/>
      <c r="O193" s="4"/>
      <c r="P193" s="4"/>
      <c r="Q193" s="4"/>
      <c r="R193" s="4"/>
      <c r="S193" s="4"/>
      <c r="T193" s="4"/>
      <c r="U193" s="4"/>
      <c r="V193" s="4"/>
      <c r="W193" s="4"/>
      <c r="X193" s="4"/>
      <c r="Y193" s="4"/>
      <c r="Z193" s="4"/>
      <c r="AA193" s="4"/>
      <c r="AB193" s="4"/>
      <c r="AC193" s="4"/>
      <c r="AD193" s="4"/>
      <c r="AE193" s="4"/>
    </row>
    <row r="194" ht="13.5" customHeight="1" spans="1:31" x14ac:dyDescent="0.25">
      <c r="A194" s="1"/>
      <c r="B194" s="4"/>
      <c r="C194" s="4"/>
      <c r="D194" s="4"/>
      <c r="E194" s="4"/>
      <c r="F194" s="4"/>
      <c r="G194" s="4"/>
      <c r="H194" s="4"/>
      <c r="I194" s="4"/>
      <c r="J194" s="4"/>
      <c r="K194" s="4"/>
      <c r="L194" s="4"/>
      <c r="M194" s="4"/>
      <c r="N194" s="4"/>
      <c r="O194" s="4"/>
      <c r="P194" s="4"/>
      <c r="Q194" s="4"/>
      <c r="R194" s="4"/>
      <c r="S194" s="4"/>
      <c r="T194" s="4"/>
      <c r="U194" s="4"/>
      <c r="V194" s="4"/>
      <c r="W194" s="4"/>
      <c r="X194" s="4"/>
      <c r="Y194" s="4"/>
      <c r="Z194" s="4"/>
      <c r="AA194" s="4"/>
      <c r="AB194" s="4"/>
      <c r="AC194" s="4"/>
      <c r="AD194" s="4"/>
      <c r="AE194" s="4"/>
    </row>
    <row r="195" ht="13.5" customHeight="1" spans="1:31" x14ac:dyDescent="0.25">
      <c r="A195" s="1"/>
      <c r="B195" s="4"/>
      <c r="C195" s="4"/>
      <c r="D195" s="4"/>
      <c r="E195" s="4"/>
      <c r="F195" s="4"/>
      <c r="G195" s="4"/>
      <c r="H195" s="4"/>
      <c r="I195" s="4"/>
      <c r="J195" s="4"/>
      <c r="K195" s="4"/>
      <c r="L195" s="4"/>
      <c r="M195" s="4"/>
      <c r="N195" s="4"/>
      <c r="O195" s="4"/>
      <c r="P195" s="4"/>
      <c r="Q195" s="4"/>
      <c r="R195" s="4"/>
      <c r="S195" s="4"/>
      <c r="T195" s="4"/>
      <c r="U195" s="4"/>
      <c r="V195" s="4"/>
      <c r="W195" s="4"/>
      <c r="X195" s="4"/>
      <c r="Y195" s="4"/>
      <c r="Z195" s="4"/>
      <c r="AA195" s="4"/>
      <c r="AB195" s="4"/>
      <c r="AC195" s="4"/>
      <c r="AD195" s="4"/>
      <c r="AE195" s="4"/>
    </row>
    <row r="196" ht="13.5" customHeight="1" spans="1:31" x14ac:dyDescent="0.25">
      <c r="A196" s="1"/>
      <c r="B196" s="4"/>
      <c r="C196" s="4"/>
      <c r="D196" s="4"/>
      <c r="E196" s="4"/>
      <c r="F196" s="4"/>
      <c r="G196" s="4"/>
      <c r="H196" s="4"/>
      <c r="I196" s="4"/>
      <c r="J196" s="4"/>
      <c r="K196" s="4"/>
      <c r="L196" s="4"/>
      <c r="M196" s="4"/>
      <c r="N196" s="4"/>
      <c r="O196" s="4"/>
      <c r="P196" s="4"/>
      <c r="Q196" s="4"/>
      <c r="R196" s="4"/>
      <c r="S196" s="4"/>
      <c r="T196" s="4"/>
      <c r="U196" s="4"/>
      <c r="V196" s="4"/>
      <c r="W196" s="4"/>
      <c r="X196" s="4"/>
      <c r="Y196" s="4"/>
      <c r="Z196" s="4"/>
      <c r="AA196" s="4"/>
      <c r="AB196" s="4"/>
      <c r="AC196" s="4"/>
      <c r="AD196" s="4"/>
      <c r="AE196" s="4"/>
    </row>
    <row r="197" ht="13.5" customHeight="1" spans="1:31" x14ac:dyDescent="0.25">
      <c r="A197" s="1"/>
      <c r="B197" s="4"/>
      <c r="C197" s="4"/>
      <c r="D197" s="4"/>
      <c r="E197" s="4"/>
      <c r="F197" s="4"/>
      <c r="G197" s="4"/>
      <c r="H197" s="4"/>
      <c r="I197" s="4"/>
      <c r="J197" s="4"/>
      <c r="K197" s="4"/>
      <c r="L197" s="4"/>
      <c r="M197" s="4"/>
      <c r="N197" s="4"/>
      <c r="O197" s="4"/>
      <c r="P197" s="4"/>
      <c r="Q197" s="4"/>
      <c r="R197" s="4"/>
      <c r="S197" s="4"/>
      <c r="T197" s="4"/>
      <c r="U197" s="4"/>
      <c r="V197" s="4"/>
      <c r="W197" s="4"/>
      <c r="X197" s="4"/>
      <c r="Y197" s="4"/>
      <c r="Z197" s="4"/>
      <c r="AA197" s="4"/>
      <c r="AB197" s="4"/>
      <c r="AC197" s="4"/>
      <c r="AD197" s="4"/>
      <c r="AE197" s="4"/>
    </row>
    <row r="198" ht="13.5" customHeight="1" spans="1:31" x14ac:dyDescent="0.25">
      <c r="A198" s="1"/>
      <c r="B198" s="4"/>
      <c r="C198" s="4"/>
      <c r="D198" s="4"/>
      <c r="E198" s="4"/>
      <c r="F198" s="4"/>
      <c r="G198" s="4"/>
      <c r="H198" s="4"/>
      <c r="I198" s="4"/>
      <c r="J198" s="4"/>
      <c r="K198" s="4"/>
      <c r="L198" s="4"/>
      <c r="M198" s="4"/>
      <c r="N198" s="4"/>
      <c r="O198" s="4"/>
      <c r="P198" s="4"/>
      <c r="Q198" s="4"/>
      <c r="R198" s="4"/>
      <c r="S198" s="4"/>
      <c r="T198" s="4"/>
      <c r="U198" s="4"/>
      <c r="V198" s="4"/>
      <c r="W198" s="4"/>
      <c r="X198" s="4"/>
      <c r="Y198" s="4"/>
      <c r="Z198" s="4"/>
      <c r="AA198" s="4"/>
      <c r="AB198" s="4"/>
      <c r="AC198" s="4"/>
      <c r="AD198" s="4"/>
      <c r="AE198" s="4"/>
    </row>
    <row r="199" ht="13.5" customHeight="1" spans="1:31" x14ac:dyDescent="0.25">
      <c r="A199" s="1"/>
      <c r="B199" s="4"/>
      <c r="C199" s="4"/>
      <c r="D199" s="4"/>
      <c r="E199" s="4"/>
      <c r="F199" s="4"/>
      <c r="G199" s="4"/>
      <c r="H199" s="4"/>
      <c r="I199" s="4"/>
      <c r="J199" s="4"/>
      <c r="K199" s="4"/>
      <c r="L199" s="4"/>
      <c r="M199" s="4"/>
      <c r="N199" s="4"/>
      <c r="O199" s="4"/>
      <c r="P199" s="4"/>
      <c r="Q199" s="4"/>
      <c r="R199" s="4"/>
      <c r="S199" s="4"/>
      <c r="T199" s="4"/>
      <c r="U199" s="4"/>
      <c r="V199" s="4"/>
      <c r="W199" s="4"/>
      <c r="X199" s="4"/>
      <c r="Y199" s="4"/>
      <c r="Z199" s="4"/>
      <c r="AA199" s="4"/>
      <c r="AB199" s="4"/>
      <c r="AC199" s="4"/>
      <c r="AD199" s="4"/>
      <c r="AE199" s="4"/>
    </row>
    <row r="200" ht="13.5" customHeight="1" spans="1:31" x14ac:dyDescent="0.25">
      <c r="A200" s="1"/>
      <c r="B200" s="4"/>
      <c r="C200" s="4"/>
      <c r="D200" s="4"/>
      <c r="E200" s="4"/>
      <c r="F200" s="4"/>
      <c r="G200" s="4"/>
      <c r="H200" s="4"/>
      <c r="I200" s="4"/>
      <c r="J200" s="4"/>
      <c r="K200" s="4"/>
      <c r="L200" s="4"/>
      <c r="M200" s="4"/>
      <c r="N200" s="4"/>
      <c r="O200" s="4"/>
      <c r="P200" s="4"/>
      <c r="Q200" s="4"/>
      <c r="R200" s="4"/>
      <c r="S200" s="4"/>
      <c r="T200" s="4"/>
      <c r="U200" s="4"/>
      <c r="V200" s="4"/>
      <c r="W200" s="4"/>
      <c r="X200" s="4"/>
      <c r="Y200" s="4"/>
      <c r="Z200" s="4"/>
      <c r="AA200" s="4"/>
      <c r="AB200" s="4"/>
      <c r="AC200" s="4"/>
      <c r="AD200" s="4"/>
      <c r="AE200" s="4"/>
    </row>
    <row r="201" ht="13.5" customHeight="1" spans="1:31" x14ac:dyDescent="0.25">
      <c r="A201" s="1"/>
      <c r="B201" s="4"/>
      <c r="C201" s="4"/>
      <c r="D201" s="4"/>
      <c r="E201" s="4"/>
      <c r="F201" s="4"/>
      <c r="G201" s="4"/>
      <c r="H201" s="4"/>
      <c r="I201" s="4"/>
      <c r="J201" s="4"/>
      <c r="K201" s="4"/>
      <c r="L201" s="4"/>
      <c r="M201" s="4"/>
      <c r="N201" s="4"/>
      <c r="O201" s="4"/>
      <c r="P201" s="4"/>
      <c r="Q201" s="4"/>
      <c r="R201" s="4"/>
      <c r="S201" s="4"/>
      <c r="T201" s="4"/>
      <c r="U201" s="4"/>
      <c r="V201" s="4"/>
      <c r="W201" s="4"/>
      <c r="X201" s="4"/>
      <c r="Y201" s="4"/>
      <c r="Z201" s="4"/>
      <c r="AA201" s="4"/>
      <c r="AB201" s="4"/>
      <c r="AC201" s="4"/>
      <c r="AD201" s="4"/>
      <c r="AE201" s="4"/>
    </row>
    <row r="202" ht="13.5" customHeight="1" spans="1:31" x14ac:dyDescent="0.25">
      <c r="A202" s="1"/>
      <c r="B202" s="4"/>
      <c r="C202" s="4"/>
      <c r="D202" s="4"/>
      <c r="E202" s="4"/>
      <c r="F202" s="4"/>
      <c r="G202" s="4"/>
      <c r="H202" s="4"/>
      <c r="I202" s="4"/>
      <c r="J202" s="4"/>
      <c r="K202" s="4"/>
      <c r="L202" s="4"/>
      <c r="M202" s="4"/>
      <c r="N202" s="4"/>
      <c r="O202" s="4"/>
      <c r="P202" s="4"/>
      <c r="Q202" s="4"/>
      <c r="R202" s="4"/>
      <c r="S202" s="4"/>
      <c r="T202" s="4"/>
      <c r="U202" s="4"/>
      <c r="V202" s="4"/>
      <c r="W202" s="4"/>
      <c r="X202" s="4"/>
      <c r="Y202" s="4"/>
      <c r="Z202" s="4"/>
      <c r="AA202" s="4"/>
      <c r="AB202" s="4"/>
      <c r="AC202" s="4"/>
      <c r="AD202" s="4"/>
      <c r="AE202" s="4"/>
    </row>
    <row r="203" ht="13.5" customHeight="1" spans="1:31" x14ac:dyDescent="0.25">
      <c r="A203" s="1"/>
      <c r="B203" s="4"/>
      <c r="C203" s="4"/>
      <c r="D203" s="4"/>
      <c r="E203" s="4"/>
      <c r="F203" s="4"/>
      <c r="G203" s="4"/>
      <c r="H203" s="4"/>
      <c r="I203" s="4"/>
      <c r="J203" s="4"/>
      <c r="K203" s="4"/>
      <c r="L203" s="4"/>
      <c r="M203" s="4"/>
      <c r="N203" s="4"/>
      <c r="O203" s="4"/>
      <c r="P203" s="4"/>
      <c r="Q203" s="4"/>
      <c r="R203" s="4"/>
      <c r="S203" s="4"/>
      <c r="T203" s="4"/>
      <c r="U203" s="4"/>
      <c r="V203" s="4"/>
      <c r="W203" s="4"/>
      <c r="X203" s="4"/>
      <c r="Y203" s="4"/>
      <c r="Z203" s="4"/>
      <c r="AA203" s="4"/>
      <c r="AB203" s="4"/>
      <c r="AC203" s="4"/>
      <c r="AD203" s="4"/>
      <c r="AE203" s="4"/>
    </row>
    <row r="204" ht="13.5" customHeight="1" spans="1:31" x14ac:dyDescent="0.25">
      <c r="A204" s="1"/>
      <c r="B204" s="4"/>
      <c r="C204" s="4"/>
      <c r="D204" s="4"/>
      <c r="E204" s="4"/>
      <c r="F204" s="4"/>
      <c r="G204" s="4"/>
      <c r="H204" s="4"/>
      <c r="I204" s="4"/>
      <c r="J204" s="4"/>
      <c r="K204" s="4"/>
      <c r="L204" s="4"/>
      <c r="M204" s="4"/>
      <c r="N204" s="4"/>
      <c r="O204" s="4"/>
      <c r="P204" s="4"/>
      <c r="Q204" s="4"/>
      <c r="R204" s="4"/>
      <c r="S204" s="4"/>
      <c r="T204" s="4"/>
      <c r="U204" s="4"/>
      <c r="V204" s="4"/>
      <c r="W204" s="4"/>
      <c r="X204" s="4"/>
      <c r="Y204" s="4"/>
      <c r="Z204" s="4"/>
      <c r="AA204" s="4"/>
      <c r="AB204" s="4"/>
      <c r="AC204" s="4"/>
      <c r="AD204" s="4"/>
      <c r="AE204" s="4"/>
    </row>
    <row r="205" ht="13.5" customHeight="1" spans="1:31" x14ac:dyDescent="0.25">
      <c r="A205" s="1"/>
      <c r="B205" s="4"/>
      <c r="C205" s="4"/>
      <c r="D205" s="4"/>
      <c r="E205" s="4"/>
      <c r="F205" s="4"/>
      <c r="G205" s="4"/>
      <c r="H205" s="4"/>
      <c r="I205" s="4"/>
      <c r="J205" s="4"/>
      <c r="K205" s="4"/>
      <c r="L205" s="4"/>
      <c r="M205" s="4"/>
      <c r="N205" s="4"/>
      <c r="O205" s="4"/>
      <c r="P205" s="4"/>
      <c r="Q205" s="4"/>
      <c r="R205" s="4"/>
      <c r="S205" s="4"/>
      <c r="T205" s="4"/>
      <c r="U205" s="4"/>
      <c r="V205" s="4"/>
      <c r="W205" s="4"/>
      <c r="X205" s="4"/>
      <c r="Y205" s="4"/>
      <c r="Z205" s="4"/>
      <c r="AA205" s="4"/>
      <c r="AB205" s="4"/>
      <c r="AC205" s="4"/>
      <c r="AD205" s="4"/>
      <c r="AE205" s="4"/>
    </row>
    <row r="206" ht="13.5" customHeight="1" spans="1:31" x14ac:dyDescent="0.25">
      <c r="A206" s="1"/>
      <c r="B206" s="4"/>
      <c r="C206" s="4"/>
      <c r="D206" s="4"/>
      <c r="E206" s="4"/>
      <c r="F206" s="4"/>
      <c r="G206" s="4"/>
      <c r="H206" s="4"/>
      <c r="I206" s="4"/>
      <c r="J206" s="4"/>
      <c r="K206" s="4"/>
      <c r="L206" s="4"/>
      <c r="M206" s="4"/>
      <c r="N206" s="4"/>
      <c r="O206" s="4"/>
      <c r="P206" s="4"/>
      <c r="Q206" s="4"/>
      <c r="R206" s="4"/>
      <c r="S206" s="4"/>
      <c r="T206" s="4"/>
      <c r="U206" s="4"/>
      <c r="V206" s="4"/>
      <c r="W206" s="4"/>
      <c r="X206" s="4"/>
      <c r="Y206" s="4"/>
      <c r="Z206" s="4"/>
      <c r="AA206" s="4"/>
      <c r="AB206" s="4"/>
      <c r="AC206" s="4"/>
      <c r="AD206" s="4"/>
      <c r="AE206" s="4"/>
    </row>
    <row r="207" ht="13.5" customHeight="1" spans="1:31" x14ac:dyDescent="0.25">
      <c r="A207" s="1"/>
      <c r="B207" s="4"/>
      <c r="C207" s="4"/>
      <c r="D207" s="4"/>
      <c r="E207" s="4"/>
      <c r="F207" s="4"/>
      <c r="G207" s="4"/>
      <c r="H207" s="4"/>
      <c r="I207" s="4"/>
      <c r="J207" s="4"/>
      <c r="K207" s="4"/>
      <c r="L207" s="4"/>
      <c r="M207" s="4"/>
      <c r="N207" s="4"/>
      <c r="O207" s="4"/>
      <c r="P207" s="4"/>
      <c r="Q207" s="4"/>
      <c r="R207" s="4"/>
      <c r="S207" s="4"/>
      <c r="T207" s="4"/>
      <c r="U207" s="4"/>
      <c r="V207" s="4"/>
      <c r="W207" s="4"/>
      <c r="X207" s="4"/>
      <c r="Y207" s="4"/>
      <c r="Z207" s="4"/>
      <c r="AA207" s="4"/>
      <c r="AB207" s="4"/>
      <c r="AC207" s="4"/>
      <c r="AD207" s="4"/>
      <c r="AE207" s="4"/>
    </row>
    <row r="208" ht="13.5" customHeight="1" spans="1:31" x14ac:dyDescent="0.25">
      <c r="A208" s="1"/>
      <c r="B208" s="4"/>
      <c r="C208" s="4"/>
      <c r="D208" s="4"/>
      <c r="E208" s="4"/>
      <c r="F208" s="4"/>
      <c r="G208" s="4"/>
      <c r="H208" s="4"/>
      <c r="I208" s="4"/>
      <c r="J208" s="4"/>
      <c r="K208" s="4"/>
      <c r="L208" s="4"/>
      <c r="M208" s="4"/>
      <c r="N208" s="4"/>
      <c r="O208" s="4"/>
      <c r="P208" s="4"/>
      <c r="Q208" s="4"/>
      <c r="R208" s="4"/>
      <c r="S208" s="4"/>
      <c r="T208" s="4"/>
      <c r="U208" s="4"/>
      <c r="V208" s="4"/>
      <c r="W208" s="4"/>
      <c r="X208" s="4"/>
      <c r="Y208" s="4"/>
      <c r="Z208" s="4"/>
      <c r="AA208" s="4"/>
      <c r="AB208" s="4"/>
      <c r="AC208" s="4"/>
      <c r="AD208" s="4"/>
      <c r="AE208" s="4"/>
    </row>
    <row r="209" ht="13.5" customHeight="1" spans="1:31" x14ac:dyDescent="0.25">
      <c r="A209" s="1"/>
      <c r="B209" s="4"/>
      <c r="C209" s="4"/>
      <c r="D209" s="4"/>
      <c r="E209" s="4"/>
      <c r="F209" s="4"/>
      <c r="G209" s="4"/>
      <c r="H209" s="4"/>
      <c r="I209" s="4"/>
      <c r="J209" s="4"/>
      <c r="K209" s="4"/>
      <c r="L209" s="4"/>
      <c r="M209" s="4"/>
      <c r="N209" s="4"/>
      <c r="O209" s="4"/>
      <c r="P209" s="4"/>
      <c r="Q209" s="4"/>
      <c r="R209" s="4"/>
      <c r="S209" s="4"/>
      <c r="T209" s="4"/>
      <c r="U209" s="4"/>
      <c r="V209" s="4"/>
      <c r="W209" s="4"/>
      <c r="X209" s="4"/>
      <c r="Y209" s="4"/>
      <c r="Z209" s="4"/>
      <c r="AA209" s="4"/>
      <c r="AB209" s="4"/>
      <c r="AC209" s="4"/>
      <c r="AD209" s="4"/>
      <c r="AE209" s="4"/>
    </row>
    <row r="210" ht="13.5" customHeight="1" spans="1:31" x14ac:dyDescent="0.25">
      <c r="A210" s="1"/>
      <c r="B210" s="4"/>
      <c r="C210" s="4"/>
      <c r="D210" s="4"/>
      <c r="E210" s="4"/>
      <c r="F210" s="4"/>
      <c r="G210" s="4"/>
      <c r="H210" s="4"/>
      <c r="I210" s="4"/>
      <c r="J210" s="4"/>
      <c r="K210" s="4"/>
      <c r="L210" s="4"/>
      <c r="M210" s="4"/>
      <c r="N210" s="4"/>
      <c r="O210" s="4"/>
      <c r="P210" s="4"/>
      <c r="Q210" s="4"/>
      <c r="R210" s="4"/>
      <c r="S210" s="4"/>
      <c r="T210" s="4"/>
      <c r="U210" s="4"/>
      <c r="V210" s="4"/>
      <c r="W210" s="4"/>
      <c r="X210" s="4"/>
      <c r="Y210" s="4"/>
      <c r="Z210" s="4"/>
      <c r="AA210" s="4"/>
      <c r="AB210" s="4"/>
      <c r="AC210" s="4"/>
      <c r="AD210" s="4"/>
      <c r="AE210" s="4"/>
    </row>
    <row r="211" ht="13.5" customHeight="1" spans="1:31" x14ac:dyDescent="0.25">
      <c r="A211" s="1"/>
      <c r="B211" s="4"/>
      <c r="C211" s="4"/>
      <c r="D211" s="4"/>
      <c r="E211" s="4"/>
      <c r="F211" s="4"/>
      <c r="G211" s="4"/>
      <c r="H211" s="4"/>
      <c r="I211" s="4"/>
      <c r="J211" s="4"/>
      <c r="K211" s="4"/>
      <c r="L211" s="4"/>
      <c r="M211" s="4"/>
      <c r="N211" s="4"/>
      <c r="O211" s="4"/>
      <c r="P211" s="4"/>
      <c r="Q211" s="4"/>
      <c r="R211" s="4"/>
      <c r="S211" s="4"/>
      <c r="T211" s="4"/>
      <c r="U211" s="4"/>
      <c r="V211" s="4"/>
      <c r="W211" s="4"/>
      <c r="X211" s="4"/>
      <c r="Y211" s="4"/>
      <c r="Z211" s="4"/>
      <c r="AA211" s="4"/>
      <c r="AB211" s="4"/>
      <c r="AC211" s="4"/>
      <c r="AD211" s="4"/>
      <c r="AE211" s="4"/>
    </row>
    <row r="212" ht="13.5" customHeight="1" spans="1:31" x14ac:dyDescent="0.25">
      <c r="A212" s="1"/>
      <c r="B212" s="4"/>
      <c r="C212" s="4"/>
      <c r="D212" s="4"/>
      <c r="E212" s="4"/>
      <c r="F212" s="4"/>
      <c r="G212" s="4"/>
      <c r="H212" s="4"/>
      <c r="I212" s="4"/>
      <c r="J212" s="4"/>
      <c r="K212" s="4"/>
      <c r="L212" s="4"/>
      <c r="M212" s="4"/>
      <c r="N212" s="4"/>
      <c r="O212" s="4"/>
      <c r="P212" s="4"/>
      <c r="Q212" s="4"/>
      <c r="R212" s="4"/>
      <c r="S212" s="4"/>
      <c r="T212" s="4"/>
      <c r="U212" s="4"/>
      <c r="V212" s="4"/>
      <c r="W212" s="4"/>
      <c r="X212" s="4"/>
      <c r="Y212" s="4"/>
      <c r="Z212" s="4"/>
      <c r="AA212" s="4"/>
      <c r="AB212" s="4"/>
      <c r="AC212" s="4"/>
      <c r="AD212" s="4"/>
      <c r="AE212" s="4"/>
    </row>
    <row r="213" ht="13.5" customHeight="1" spans="1:31" x14ac:dyDescent="0.25">
      <c r="A213" s="1"/>
      <c r="B213" s="4"/>
      <c r="C213" s="4"/>
      <c r="D213" s="4"/>
      <c r="E213" s="4"/>
      <c r="F213" s="4"/>
      <c r="G213" s="4"/>
      <c r="H213" s="4"/>
      <c r="I213" s="4"/>
      <c r="J213" s="4"/>
      <c r="K213" s="4"/>
      <c r="L213" s="4"/>
      <c r="M213" s="4"/>
      <c r="N213" s="4"/>
      <c r="O213" s="4"/>
      <c r="P213" s="4"/>
      <c r="Q213" s="4"/>
      <c r="R213" s="4"/>
      <c r="S213" s="4"/>
      <c r="T213" s="4"/>
      <c r="U213" s="4"/>
      <c r="V213" s="4"/>
      <c r="W213" s="4"/>
      <c r="X213" s="4"/>
      <c r="Y213" s="4"/>
      <c r="Z213" s="4"/>
      <c r="AA213" s="4"/>
      <c r="AB213" s="4"/>
      <c r="AC213" s="4"/>
      <c r="AD213" s="4"/>
      <c r="AE213" s="4"/>
    </row>
    <row r="214" ht="13.5" customHeight="1" spans="1:31" x14ac:dyDescent="0.25">
      <c r="A214" s="1"/>
      <c r="B214" s="4"/>
      <c r="C214" s="4"/>
      <c r="D214" s="4"/>
      <c r="E214" s="4"/>
      <c r="F214" s="4"/>
      <c r="G214" s="4"/>
      <c r="H214" s="4"/>
      <c r="I214" s="4"/>
      <c r="J214" s="4"/>
      <c r="K214" s="4"/>
      <c r="L214" s="4"/>
      <c r="M214" s="4"/>
      <c r="N214" s="4"/>
      <c r="O214" s="4"/>
      <c r="P214" s="4"/>
      <c r="Q214" s="4"/>
      <c r="R214" s="4"/>
      <c r="S214" s="4"/>
      <c r="T214" s="4"/>
      <c r="U214" s="4"/>
      <c r="V214" s="4"/>
      <c r="W214" s="4"/>
      <c r="X214" s="4"/>
      <c r="Y214" s="4"/>
      <c r="Z214" s="4"/>
      <c r="AA214" s="4"/>
      <c r="AB214" s="4"/>
      <c r="AC214" s="4"/>
      <c r="AD214" s="4"/>
      <c r="AE214" s="4"/>
    </row>
    <row r="215" ht="13.5" customHeight="1" spans="1:31" x14ac:dyDescent="0.25">
      <c r="A215" s="1"/>
      <c r="B215" s="4"/>
      <c r="C215" s="4"/>
      <c r="D215" s="4"/>
      <c r="E215" s="4"/>
      <c r="F215" s="4"/>
      <c r="G215" s="4"/>
      <c r="H215" s="4"/>
      <c r="I215" s="4"/>
      <c r="J215" s="4"/>
      <c r="K215" s="4"/>
      <c r="L215" s="4"/>
      <c r="M215" s="4"/>
      <c r="N215" s="4"/>
      <c r="O215" s="4"/>
      <c r="P215" s="4"/>
      <c r="Q215" s="4"/>
      <c r="R215" s="4"/>
      <c r="S215" s="4"/>
      <c r="T215" s="4"/>
      <c r="U215" s="4"/>
      <c r="V215" s="4"/>
      <c r="W215" s="4"/>
      <c r="X215" s="4"/>
      <c r="Y215" s="4"/>
      <c r="Z215" s="4"/>
      <c r="AA215" s="4"/>
      <c r="AB215" s="4"/>
      <c r="AC215" s="4"/>
      <c r="AD215" s="4"/>
      <c r="AE215" s="4"/>
    </row>
    <row r="216" ht="13.5" customHeight="1" spans="1:31" x14ac:dyDescent="0.25">
      <c r="A216" s="1"/>
      <c r="B216" s="4"/>
      <c r="C216" s="4"/>
      <c r="D216" s="4"/>
      <c r="E216" s="4"/>
      <c r="F216" s="4"/>
      <c r="G216" s="4"/>
      <c r="H216" s="4"/>
      <c r="I216" s="4"/>
      <c r="J216" s="4"/>
      <c r="K216" s="4"/>
      <c r="L216" s="4"/>
      <c r="M216" s="4"/>
      <c r="N216" s="4"/>
      <c r="O216" s="4"/>
      <c r="P216" s="4"/>
      <c r="Q216" s="4"/>
      <c r="R216" s="4"/>
      <c r="S216" s="4"/>
      <c r="T216" s="4"/>
      <c r="U216" s="4"/>
      <c r="V216" s="4"/>
      <c r="W216" s="4"/>
      <c r="X216" s="4"/>
      <c r="Y216" s="4"/>
      <c r="Z216" s="4"/>
      <c r="AA216" s="4"/>
      <c r="AB216" s="4"/>
      <c r="AC216" s="4"/>
      <c r="AD216" s="4"/>
      <c r="AE216" s="4"/>
    </row>
    <row r="217" ht="13.5" customHeight="1" spans="1:31" x14ac:dyDescent="0.25">
      <c r="A217" s="1"/>
      <c r="B217" s="4"/>
      <c r="C217" s="4"/>
      <c r="D217" s="4"/>
      <c r="E217" s="4"/>
      <c r="F217" s="4"/>
      <c r="G217" s="4"/>
      <c r="H217" s="4"/>
      <c r="I217" s="4"/>
      <c r="J217" s="4"/>
      <c r="K217" s="4"/>
      <c r="L217" s="4"/>
      <c r="M217" s="4"/>
      <c r="N217" s="4"/>
      <c r="O217" s="4"/>
      <c r="P217" s="4"/>
      <c r="Q217" s="4"/>
      <c r="R217" s="4"/>
      <c r="S217" s="4"/>
      <c r="T217" s="4"/>
      <c r="U217" s="4"/>
      <c r="V217" s="4"/>
      <c r="W217" s="4"/>
      <c r="X217" s="4"/>
      <c r="Y217" s="4"/>
      <c r="Z217" s="4"/>
      <c r="AA217" s="4"/>
      <c r="AB217" s="4"/>
      <c r="AC217" s="4"/>
      <c r="AD217" s="4"/>
      <c r="AE217" s="4"/>
    </row>
    <row r="218" ht="13.5" customHeight="1" spans="1:31" x14ac:dyDescent="0.25">
      <c r="A218" s="1"/>
      <c r="B218" s="4"/>
      <c r="C218" s="4"/>
      <c r="D218" s="4"/>
      <c r="E218" s="4"/>
      <c r="F218" s="4"/>
      <c r="G218" s="4"/>
      <c r="H218" s="4"/>
      <c r="I218" s="4"/>
      <c r="J218" s="4"/>
      <c r="K218" s="4"/>
      <c r="L218" s="4"/>
      <c r="M218" s="4"/>
      <c r="N218" s="4"/>
      <c r="O218" s="4"/>
      <c r="P218" s="4"/>
      <c r="Q218" s="4"/>
      <c r="R218" s="4"/>
      <c r="S218" s="4"/>
      <c r="T218" s="4"/>
      <c r="U218" s="4"/>
      <c r="V218" s="4"/>
      <c r="W218" s="4"/>
      <c r="X218" s="4"/>
      <c r="Y218" s="4"/>
      <c r="Z218" s="4"/>
      <c r="AA218" s="4"/>
      <c r="AB218" s="4"/>
      <c r="AC218" s="4"/>
      <c r="AD218" s="4"/>
      <c r="AE218" s="4"/>
    </row>
    <row r="219" ht="13.5" customHeight="1" spans="1:31" x14ac:dyDescent="0.25">
      <c r="A219" s="1"/>
      <c r="B219" s="4"/>
      <c r="C219" s="4"/>
      <c r="D219" s="4"/>
      <c r="E219" s="4"/>
      <c r="F219" s="4"/>
      <c r="G219" s="4"/>
      <c r="H219" s="4"/>
      <c r="I219" s="4"/>
      <c r="J219" s="4"/>
      <c r="K219" s="4"/>
      <c r="L219" s="4"/>
      <c r="M219" s="4"/>
      <c r="N219" s="4"/>
      <c r="O219" s="4"/>
      <c r="P219" s="4"/>
      <c r="Q219" s="4"/>
      <c r="R219" s="4"/>
      <c r="S219" s="4"/>
      <c r="T219" s="4"/>
      <c r="U219" s="4"/>
      <c r="V219" s="4"/>
      <c r="W219" s="4"/>
      <c r="X219" s="4"/>
      <c r="Y219" s="4"/>
      <c r="Z219" s="4"/>
      <c r="AA219" s="4"/>
      <c r="AB219" s="4"/>
      <c r="AC219" s="4"/>
      <c r="AD219" s="4"/>
      <c r="AE219" s="4"/>
    </row>
    <row r="220" ht="13.5" customHeight="1" spans="1:31" x14ac:dyDescent="0.25">
      <c r="A220" s="1"/>
      <c r="B220" s="4"/>
      <c r="C220" s="4"/>
      <c r="D220" s="4"/>
      <c r="E220" s="4"/>
      <c r="F220" s="4"/>
      <c r="G220" s="4"/>
      <c r="H220" s="4"/>
      <c r="I220" s="4"/>
      <c r="J220" s="4"/>
      <c r="K220" s="4"/>
      <c r="L220" s="4"/>
      <c r="M220" s="4"/>
      <c r="N220" s="4"/>
      <c r="O220" s="4"/>
      <c r="P220" s="4"/>
      <c r="Q220" s="4"/>
      <c r="R220" s="4"/>
      <c r="S220" s="4"/>
      <c r="T220" s="4"/>
      <c r="U220" s="4"/>
      <c r="V220" s="4"/>
      <c r="W220" s="4"/>
      <c r="X220" s="4"/>
      <c r="Y220" s="4"/>
      <c r="Z220" s="4"/>
      <c r="AA220" s="4"/>
      <c r="AB220" s="4"/>
      <c r="AC220" s="4"/>
      <c r="AD220" s="4"/>
      <c r="AE220" s="4"/>
    </row>
    <row r="221" ht="13.5" customHeight="1" spans="1:31" x14ac:dyDescent="0.25">
      <c r="A221" s="1"/>
      <c r="B221" s="4"/>
      <c r="C221" s="4"/>
      <c r="D221" s="4"/>
      <c r="E221" s="4"/>
      <c r="F221" s="4"/>
      <c r="G221" s="4"/>
      <c r="H221" s="4"/>
      <c r="I221" s="4"/>
      <c r="J221" s="4"/>
      <c r="K221" s="4"/>
      <c r="L221" s="4"/>
      <c r="M221" s="4"/>
      <c r="N221" s="4"/>
      <c r="O221" s="4"/>
      <c r="P221" s="4"/>
      <c r="Q221" s="4"/>
      <c r="R221" s="4"/>
      <c r="S221" s="4"/>
      <c r="T221" s="4"/>
      <c r="U221" s="4"/>
      <c r="V221" s="4"/>
      <c r="W221" s="4"/>
      <c r="X221" s="4"/>
      <c r="Y221" s="4"/>
      <c r="Z221" s="4"/>
      <c r="AA221" s="4"/>
      <c r="AB221" s="4"/>
      <c r="AC221" s="4"/>
      <c r="AD221" s="4"/>
      <c r="AE221" s="4"/>
    </row>
    <row r="222" ht="13.5" customHeight="1" spans="1:31" x14ac:dyDescent="0.25">
      <c r="A222" s="1"/>
      <c r="B222" s="4"/>
      <c r="C222" s="4"/>
      <c r="D222" s="4"/>
      <c r="E222" s="4"/>
      <c r="F222" s="4"/>
      <c r="G222" s="4"/>
      <c r="H222" s="4"/>
      <c r="I222" s="4"/>
      <c r="J222" s="4"/>
      <c r="K222" s="4"/>
      <c r="L222" s="4"/>
      <c r="M222" s="4"/>
      <c r="N222" s="4"/>
      <c r="O222" s="4"/>
      <c r="P222" s="4"/>
      <c r="Q222" s="4"/>
      <c r="R222" s="4"/>
      <c r="S222" s="4"/>
      <c r="T222" s="4"/>
      <c r="U222" s="4"/>
      <c r="V222" s="4"/>
      <c r="W222" s="4"/>
      <c r="X222" s="4"/>
      <c r="Y222" s="4"/>
      <c r="Z222" s="4"/>
      <c r="AA222" s="4"/>
      <c r="AB222" s="4"/>
      <c r="AC222" s="4"/>
      <c r="AD222" s="4"/>
      <c r="AE222" s="4"/>
    </row>
    <row r="223" ht="13.5" customHeight="1" spans="1:31" x14ac:dyDescent="0.25">
      <c r="A223" s="1"/>
      <c r="B223" s="4"/>
      <c r="C223" s="4"/>
      <c r="D223" s="4"/>
      <c r="E223" s="4"/>
      <c r="F223" s="4"/>
      <c r="G223" s="4"/>
      <c r="H223" s="4"/>
      <c r="I223" s="4"/>
      <c r="J223" s="4"/>
      <c r="K223" s="4"/>
      <c r="L223" s="4"/>
      <c r="M223" s="4"/>
      <c r="N223" s="4"/>
      <c r="O223" s="4"/>
      <c r="P223" s="4"/>
      <c r="Q223" s="4"/>
      <c r="R223" s="4"/>
      <c r="S223" s="4"/>
      <c r="T223" s="4"/>
      <c r="U223" s="4"/>
      <c r="V223" s="4"/>
      <c r="W223" s="4"/>
      <c r="X223" s="4"/>
      <c r="Y223" s="4"/>
      <c r="Z223" s="4"/>
      <c r="AA223" s="4"/>
      <c r="AB223" s="4"/>
      <c r="AC223" s="4"/>
      <c r="AD223" s="4"/>
      <c r="AE223" s="4"/>
    </row>
    <row r="224" ht="13.5" customHeight="1" spans="1:31" x14ac:dyDescent="0.25">
      <c r="A224" s="1"/>
      <c r="B224" s="4"/>
      <c r="C224" s="4"/>
      <c r="D224" s="4"/>
      <c r="E224" s="4"/>
      <c r="F224" s="4"/>
      <c r="G224" s="4"/>
      <c r="H224" s="4"/>
      <c r="I224" s="4"/>
      <c r="J224" s="4"/>
      <c r="K224" s="4"/>
      <c r="L224" s="4"/>
      <c r="M224" s="4"/>
      <c r="N224" s="4"/>
      <c r="O224" s="4"/>
      <c r="P224" s="4"/>
      <c r="Q224" s="4"/>
      <c r="R224" s="4"/>
      <c r="S224" s="4"/>
      <c r="T224" s="4"/>
      <c r="U224" s="4"/>
      <c r="V224" s="4"/>
      <c r="W224" s="4"/>
      <c r="X224" s="4"/>
      <c r="Y224" s="4"/>
      <c r="Z224" s="4"/>
      <c r="AA224" s="4"/>
      <c r="AB224" s="4"/>
      <c r="AC224" s="4"/>
      <c r="AD224" s="4"/>
      <c r="AE224" s="4"/>
    </row>
    <row r="225" ht="13.5" customHeight="1" spans="1:31" x14ac:dyDescent="0.25">
      <c r="A225" s="1"/>
      <c r="B225" s="4"/>
      <c r="C225" s="4"/>
      <c r="D225" s="4"/>
      <c r="E225" s="4"/>
      <c r="F225" s="4"/>
      <c r="G225" s="4"/>
      <c r="H225" s="4"/>
      <c r="I225" s="4"/>
      <c r="J225" s="4"/>
      <c r="K225" s="4"/>
      <c r="L225" s="4"/>
      <c r="M225" s="4"/>
      <c r="N225" s="4"/>
      <c r="O225" s="4"/>
      <c r="P225" s="4"/>
      <c r="Q225" s="4"/>
      <c r="R225" s="4"/>
      <c r="S225" s="4"/>
      <c r="T225" s="4"/>
      <c r="U225" s="4"/>
      <c r="V225" s="4"/>
      <c r="W225" s="4"/>
      <c r="X225" s="4"/>
      <c r="Y225" s="4"/>
      <c r="Z225" s="4"/>
      <c r="AA225" s="4"/>
      <c r="AB225" s="4"/>
      <c r="AC225" s="4"/>
      <c r="AD225" s="4"/>
      <c r="AE225" s="4"/>
    </row>
    <row r="226" ht="13.5" customHeight="1" spans="1:31" x14ac:dyDescent="0.25">
      <c r="A226" s="1"/>
      <c r="B226" s="4"/>
      <c r="C226" s="4"/>
      <c r="D226" s="4"/>
      <c r="E226" s="4"/>
      <c r="F226" s="4"/>
      <c r="G226" s="4"/>
      <c r="H226" s="4"/>
      <c r="I226" s="4"/>
      <c r="J226" s="4"/>
      <c r="K226" s="4"/>
      <c r="L226" s="4"/>
      <c r="M226" s="4"/>
      <c r="N226" s="4"/>
      <c r="O226" s="4"/>
      <c r="P226" s="4"/>
      <c r="Q226" s="4"/>
      <c r="R226" s="4"/>
      <c r="S226" s="4"/>
      <c r="T226" s="4"/>
      <c r="U226" s="4"/>
      <c r="V226" s="4"/>
      <c r="W226" s="4"/>
      <c r="X226" s="4"/>
      <c r="Y226" s="4"/>
      <c r="Z226" s="4"/>
      <c r="AA226" s="4"/>
      <c r="AB226" s="4"/>
      <c r="AC226" s="4"/>
      <c r="AD226" s="4"/>
      <c r="AE226" s="4"/>
    </row>
    <row r="227" ht="13.5" customHeight="1" spans="1:31" x14ac:dyDescent="0.25">
      <c r="A227" s="1"/>
      <c r="B227" s="4"/>
      <c r="C227" s="4"/>
      <c r="D227" s="4"/>
      <c r="E227" s="4"/>
      <c r="F227" s="4"/>
      <c r="G227" s="4"/>
      <c r="H227" s="4"/>
      <c r="I227" s="4"/>
      <c r="J227" s="4"/>
      <c r="K227" s="4"/>
      <c r="L227" s="4"/>
      <c r="M227" s="4"/>
      <c r="N227" s="4"/>
      <c r="O227" s="4"/>
      <c r="P227" s="4"/>
      <c r="Q227" s="4"/>
      <c r="R227" s="4"/>
      <c r="S227" s="4"/>
      <c r="T227" s="4"/>
      <c r="U227" s="4"/>
      <c r="V227" s="4"/>
      <c r="W227" s="4"/>
      <c r="X227" s="4"/>
      <c r="Y227" s="4"/>
      <c r="Z227" s="4"/>
      <c r="AA227" s="4"/>
      <c r="AB227" s="4"/>
      <c r="AC227" s="4"/>
      <c r="AD227" s="4"/>
      <c r="AE227" s="4"/>
    </row>
    <row r="228" ht="13.5" customHeight="1" spans="1:31" x14ac:dyDescent="0.25">
      <c r="A228" s="1"/>
      <c r="B228" s="4"/>
      <c r="C228" s="4"/>
      <c r="D228" s="4"/>
      <c r="E228" s="4"/>
      <c r="F228" s="4"/>
      <c r="G228" s="4"/>
      <c r="H228" s="4"/>
      <c r="I228" s="4"/>
      <c r="J228" s="4"/>
      <c r="K228" s="4"/>
      <c r="L228" s="4"/>
      <c r="M228" s="4"/>
      <c r="N228" s="4"/>
      <c r="O228" s="4"/>
      <c r="P228" s="4"/>
      <c r="Q228" s="4"/>
      <c r="R228" s="4"/>
      <c r="S228" s="4"/>
      <c r="T228" s="4"/>
      <c r="U228" s="4"/>
      <c r="V228" s="4"/>
      <c r="W228" s="4"/>
      <c r="X228" s="4"/>
      <c r="Y228" s="4"/>
      <c r="Z228" s="4"/>
      <c r="AA228" s="4"/>
      <c r="AB228" s="4"/>
      <c r="AC228" s="4"/>
      <c r="AD228" s="4"/>
      <c r="AE228" s="4"/>
    </row>
    <row r="229" ht="13.5" customHeight="1" spans="1:31" x14ac:dyDescent="0.25">
      <c r="A229" s="1"/>
      <c r="B229" s="4"/>
      <c r="C229" s="4"/>
      <c r="D229" s="4"/>
      <c r="E229" s="4"/>
      <c r="F229" s="4"/>
      <c r="G229" s="4"/>
      <c r="H229" s="4"/>
      <c r="I229" s="4"/>
      <c r="J229" s="4"/>
      <c r="K229" s="4"/>
      <c r="L229" s="4"/>
      <c r="M229" s="4"/>
      <c r="N229" s="4"/>
      <c r="O229" s="4"/>
      <c r="P229" s="4"/>
      <c r="Q229" s="4"/>
      <c r="R229" s="4"/>
      <c r="S229" s="4"/>
      <c r="T229" s="4"/>
      <c r="U229" s="4"/>
      <c r="V229" s="4"/>
      <c r="W229" s="4"/>
      <c r="X229" s="4"/>
      <c r="Y229" s="4"/>
      <c r="Z229" s="4"/>
      <c r="AA229" s="4"/>
      <c r="AB229" s="4"/>
      <c r="AC229" s="4"/>
      <c r="AD229" s="4"/>
      <c r="AE229" s="4"/>
    </row>
    <row r="230" ht="13.5" customHeight="1" spans="1:31" x14ac:dyDescent="0.25">
      <c r="A230" s="1"/>
      <c r="B230" s="4"/>
      <c r="C230" s="4"/>
      <c r="D230" s="4"/>
      <c r="E230" s="4"/>
      <c r="F230" s="4"/>
      <c r="G230" s="4"/>
      <c r="H230" s="4"/>
      <c r="I230" s="4"/>
      <c r="J230" s="4"/>
      <c r="K230" s="4"/>
      <c r="L230" s="4"/>
      <c r="M230" s="4"/>
      <c r="N230" s="4"/>
      <c r="O230" s="4"/>
      <c r="P230" s="4"/>
      <c r="Q230" s="4"/>
      <c r="R230" s="4"/>
      <c r="S230" s="4"/>
      <c r="T230" s="4"/>
      <c r="U230" s="4"/>
      <c r="V230" s="4"/>
      <c r="W230" s="4"/>
      <c r="X230" s="4"/>
      <c r="Y230" s="4"/>
      <c r="Z230" s="4"/>
      <c r="AA230" s="4"/>
      <c r="AB230" s="4"/>
      <c r="AC230" s="4"/>
      <c r="AD230" s="4"/>
      <c r="AE230" s="4"/>
    </row>
    <row r="231" ht="13.5" customHeight="1" spans="1:31" x14ac:dyDescent="0.25">
      <c r="A231" s="1"/>
      <c r="B231" s="4"/>
      <c r="C231" s="4"/>
      <c r="D231" s="4"/>
      <c r="E231" s="4"/>
      <c r="F231" s="4"/>
      <c r="G231" s="4"/>
      <c r="H231" s="4"/>
      <c r="I231" s="4"/>
      <c r="J231" s="4"/>
      <c r="K231" s="4"/>
      <c r="L231" s="4"/>
      <c r="M231" s="4"/>
      <c r="N231" s="4"/>
      <c r="O231" s="4"/>
      <c r="P231" s="4"/>
      <c r="Q231" s="4"/>
      <c r="R231" s="4"/>
      <c r="S231" s="4"/>
      <c r="T231" s="4"/>
      <c r="U231" s="4"/>
      <c r="V231" s="4"/>
      <c r="W231" s="4"/>
      <c r="X231" s="4"/>
      <c r="Y231" s="4"/>
      <c r="Z231" s="4"/>
      <c r="AA231" s="4"/>
      <c r="AB231" s="4"/>
      <c r="AC231" s="4"/>
      <c r="AD231" s="4"/>
      <c r="AE231" s="4"/>
    </row>
    <row r="232" ht="13.5" customHeight="1" spans="1:31" x14ac:dyDescent="0.25">
      <c r="A232" s="1"/>
      <c r="B232" s="4"/>
      <c r="C232" s="4"/>
      <c r="D232" s="4"/>
      <c r="E232" s="4"/>
      <c r="F232" s="4"/>
      <c r="G232" s="4"/>
      <c r="H232" s="4"/>
      <c r="I232" s="4"/>
      <c r="J232" s="4"/>
      <c r="K232" s="4"/>
      <c r="L232" s="4"/>
      <c r="M232" s="4"/>
      <c r="N232" s="4"/>
      <c r="O232" s="4"/>
      <c r="P232" s="4"/>
      <c r="Q232" s="4"/>
      <c r="R232" s="4"/>
      <c r="S232" s="4"/>
      <c r="T232" s="4"/>
      <c r="U232" s="4"/>
      <c r="V232" s="4"/>
      <c r="W232" s="4"/>
      <c r="X232" s="4"/>
      <c r="Y232" s="4"/>
      <c r="Z232" s="4"/>
      <c r="AA232" s="4"/>
      <c r="AB232" s="4"/>
      <c r="AC232" s="4"/>
      <c r="AD232" s="4"/>
      <c r="AE232" s="4"/>
    </row>
    <row r="233" ht="13.5" customHeight="1" spans="1:31" x14ac:dyDescent="0.25">
      <c r="A233" s="1"/>
      <c r="B233" s="4"/>
      <c r="C233" s="4"/>
      <c r="D233" s="4"/>
      <c r="E233" s="4"/>
      <c r="F233" s="4"/>
      <c r="G233" s="4"/>
      <c r="H233" s="4"/>
      <c r="I233" s="4"/>
      <c r="J233" s="4"/>
      <c r="K233" s="4"/>
      <c r="L233" s="4"/>
      <c r="M233" s="4"/>
      <c r="N233" s="4"/>
      <c r="O233" s="4"/>
      <c r="P233" s="4"/>
      <c r="Q233" s="4"/>
      <c r="R233" s="4"/>
      <c r="S233" s="4"/>
      <c r="T233" s="4"/>
      <c r="U233" s="4"/>
      <c r="V233" s="4"/>
      <c r="W233" s="4"/>
      <c r="X233" s="4"/>
      <c r="Y233" s="4"/>
      <c r="Z233" s="4"/>
      <c r="AA233" s="4"/>
      <c r="AB233" s="4"/>
      <c r="AC233" s="4"/>
      <c r="AD233" s="4"/>
      <c r="AE233" s="4"/>
    </row>
    <row r="234" ht="13.5" customHeight="1" spans="1:31" x14ac:dyDescent="0.25">
      <c r="A234" s="1"/>
      <c r="B234" s="4"/>
      <c r="C234" s="4"/>
      <c r="D234" s="4"/>
      <c r="E234" s="4"/>
      <c r="F234" s="4"/>
      <c r="G234" s="4"/>
      <c r="H234" s="4"/>
      <c r="I234" s="4"/>
      <c r="J234" s="4"/>
      <c r="K234" s="4"/>
      <c r="L234" s="4"/>
      <c r="M234" s="4"/>
      <c r="N234" s="4"/>
      <c r="O234" s="4"/>
      <c r="P234" s="4"/>
      <c r="Q234" s="4"/>
      <c r="R234" s="4"/>
      <c r="S234" s="4"/>
      <c r="T234" s="4"/>
      <c r="U234" s="4"/>
      <c r="V234" s="4"/>
      <c r="W234" s="4"/>
      <c r="X234" s="4"/>
      <c r="Y234" s="4"/>
      <c r="Z234" s="4"/>
      <c r="AA234" s="4"/>
      <c r="AB234" s="4"/>
      <c r="AC234" s="4"/>
      <c r="AD234" s="4"/>
      <c r="AE234" s="4"/>
    </row>
    <row r="235" ht="13.5" customHeight="1" spans="1:31" x14ac:dyDescent="0.25">
      <c r="A235" s="1"/>
      <c r="B235" s="4"/>
      <c r="C235" s="4"/>
      <c r="D235" s="4"/>
      <c r="E235" s="4"/>
      <c r="F235" s="4"/>
      <c r="G235" s="4"/>
      <c r="H235" s="4"/>
      <c r="I235" s="4"/>
      <c r="J235" s="4"/>
      <c r="K235" s="4"/>
      <c r="L235" s="4"/>
      <c r="M235" s="4"/>
      <c r="N235" s="4"/>
      <c r="O235" s="4"/>
      <c r="P235" s="4"/>
      <c r="Q235" s="4"/>
      <c r="R235" s="4"/>
      <c r="S235" s="4"/>
      <c r="T235" s="4"/>
      <c r="U235" s="4"/>
      <c r="V235" s="4"/>
      <c r="W235" s="4"/>
      <c r="X235" s="4"/>
      <c r="Y235" s="4"/>
      <c r="Z235" s="4"/>
      <c r="AA235" s="4"/>
      <c r="AB235" s="4"/>
      <c r="AC235" s="4"/>
      <c r="AD235" s="4"/>
      <c r="AE235" s="4"/>
    </row>
    <row r="236" ht="13.5" customHeight="1" spans="1:31" x14ac:dyDescent="0.25">
      <c r="A236" s="1"/>
      <c r="B236" s="4"/>
      <c r="C236" s="4"/>
      <c r="D236" s="4"/>
      <c r="E236" s="4"/>
      <c r="F236" s="4"/>
      <c r="G236" s="4"/>
      <c r="H236" s="4"/>
      <c r="I236" s="4"/>
      <c r="J236" s="4"/>
      <c r="K236" s="4"/>
      <c r="L236" s="4"/>
      <c r="M236" s="4"/>
      <c r="N236" s="4"/>
      <c r="O236" s="4"/>
      <c r="P236" s="4"/>
      <c r="Q236" s="4"/>
      <c r="R236" s="4"/>
      <c r="S236" s="4"/>
      <c r="T236" s="4"/>
      <c r="U236" s="4"/>
      <c r="V236" s="4"/>
      <c r="W236" s="4"/>
      <c r="X236" s="4"/>
      <c r="Y236" s="4"/>
      <c r="Z236" s="4"/>
      <c r="AA236" s="4"/>
      <c r="AB236" s="4"/>
      <c r="AC236" s="4"/>
      <c r="AD236" s="4"/>
      <c r="AE236" s="4"/>
    </row>
    <row r="237" ht="13.5" customHeight="1" spans="1:31" x14ac:dyDescent="0.25">
      <c r="A237" s="1"/>
      <c r="B237" s="4"/>
      <c r="C237" s="4"/>
      <c r="D237" s="4"/>
      <c r="E237" s="4"/>
      <c r="F237" s="4"/>
      <c r="G237" s="4"/>
      <c r="H237" s="4"/>
      <c r="I237" s="4"/>
      <c r="J237" s="4"/>
      <c r="K237" s="4"/>
      <c r="L237" s="4"/>
      <c r="M237" s="4"/>
      <c r="N237" s="4"/>
      <c r="O237" s="4"/>
      <c r="P237" s="4"/>
      <c r="Q237" s="4"/>
      <c r="R237" s="4"/>
      <c r="S237" s="4"/>
      <c r="T237" s="4"/>
      <c r="U237" s="4"/>
      <c r="V237" s="4"/>
      <c r="W237" s="4"/>
      <c r="X237" s="4"/>
      <c r="Y237" s="4"/>
      <c r="Z237" s="4"/>
      <c r="AA237" s="4"/>
      <c r="AB237" s="4"/>
      <c r="AC237" s="4"/>
      <c r="AD237" s="4"/>
      <c r="AE237" s="4"/>
    </row>
    <row r="238" ht="13.5" customHeight="1" spans="1:31" x14ac:dyDescent="0.25">
      <c r="A238" s="1"/>
      <c r="B238" s="4"/>
      <c r="C238" s="4"/>
      <c r="D238" s="4"/>
      <c r="E238" s="4"/>
      <c r="F238" s="4"/>
      <c r="G238" s="4"/>
      <c r="H238" s="4"/>
      <c r="I238" s="4"/>
      <c r="J238" s="4"/>
      <c r="K238" s="4"/>
      <c r="L238" s="4"/>
      <c r="M238" s="4"/>
      <c r="N238" s="4"/>
      <c r="O238" s="4"/>
      <c r="P238" s="4"/>
      <c r="Q238" s="4"/>
      <c r="R238" s="4"/>
      <c r="S238" s="4"/>
      <c r="T238" s="4"/>
      <c r="U238" s="4"/>
      <c r="V238" s="4"/>
      <c r="W238" s="4"/>
      <c r="X238" s="4"/>
      <c r="Y238" s="4"/>
      <c r="Z238" s="4"/>
      <c r="AA238" s="4"/>
      <c r="AB238" s="4"/>
      <c r="AC238" s="4"/>
      <c r="AD238" s="4"/>
      <c r="AE238" s="4"/>
    </row>
    <row r="239" ht="13.5" customHeight="1" spans="1:31" x14ac:dyDescent="0.25">
      <c r="A239" s="1"/>
      <c r="B239" s="4"/>
      <c r="C239" s="4"/>
      <c r="D239" s="4"/>
      <c r="E239" s="4"/>
      <c r="F239" s="4"/>
      <c r="G239" s="4"/>
      <c r="H239" s="4"/>
      <c r="I239" s="4"/>
      <c r="J239" s="4"/>
      <c r="K239" s="4"/>
      <c r="L239" s="4"/>
      <c r="M239" s="4"/>
      <c r="N239" s="4"/>
      <c r="O239" s="4"/>
      <c r="P239" s="4"/>
      <c r="Q239" s="4"/>
      <c r="R239" s="4"/>
      <c r="S239" s="4"/>
      <c r="T239" s="4"/>
      <c r="U239" s="4"/>
      <c r="V239" s="4"/>
      <c r="W239" s="4"/>
      <c r="X239" s="4"/>
      <c r="Y239" s="4"/>
      <c r="Z239" s="4"/>
      <c r="AA239" s="4"/>
      <c r="AB239" s="4"/>
      <c r="AC239" s="4"/>
      <c r="AD239" s="4"/>
      <c r="AE239" s="4"/>
    </row>
    <row r="240" ht="13.5" customHeight="1" spans="1:31" x14ac:dyDescent="0.25">
      <c r="A240" s="1"/>
      <c r="B240" s="4"/>
      <c r="C240" s="4"/>
      <c r="D240" s="4"/>
      <c r="E240" s="4"/>
      <c r="F240" s="4"/>
      <c r="G240" s="4"/>
      <c r="H240" s="4"/>
      <c r="I240" s="4"/>
      <c r="J240" s="4"/>
      <c r="K240" s="4"/>
      <c r="L240" s="4"/>
      <c r="M240" s="4"/>
      <c r="N240" s="4"/>
      <c r="O240" s="4"/>
      <c r="P240" s="4"/>
      <c r="Q240" s="4"/>
      <c r="R240" s="4"/>
      <c r="S240" s="4"/>
      <c r="T240" s="4"/>
      <c r="U240" s="4"/>
      <c r="V240" s="4"/>
      <c r="W240" s="4"/>
      <c r="X240" s="4"/>
      <c r="Y240" s="4"/>
      <c r="Z240" s="4"/>
      <c r="AA240" s="4"/>
      <c r="AB240" s="4"/>
      <c r="AC240" s="4"/>
      <c r="AD240" s="4"/>
      <c r="AE240" s="4"/>
    </row>
    <row r="241" ht="13.5" customHeight="1" spans="1:31" x14ac:dyDescent="0.25">
      <c r="A241" s="1"/>
      <c r="B241" s="4"/>
      <c r="C241" s="4"/>
      <c r="D241" s="4"/>
      <c r="E241" s="4"/>
      <c r="F241" s="4"/>
      <c r="G241" s="4"/>
      <c r="H241" s="4"/>
      <c r="I241" s="4"/>
      <c r="J241" s="4"/>
      <c r="K241" s="4"/>
      <c r="L241" s="4"/>
      <c r="M241" s="4"/>
      <c r="N241" s="4"/>
      <c r="O241" s="4"/>
      <c r="P241" s="4"/>
      <c r="Q241" s="4"/>
      <c r="R241" s="4"/>
      <c r="S241" s="4"/>
      <c r="T241" s="4"/>
      <c r="U241" s="4"/>
      <c r="V241" s="4"/>
      <c r="W241" s="4"/>
      <c r="X241" s="4"/>
      <c r="Y241" s="4"/>
      <c r="Z241" s="4"/>
      <c r="AA241" s="4"/>
      <c r="AB241" s="4"/>
      <c r="AC241" s="4"/>
      <c r="AD241" s="4"/>
      <c r="AE241" s="4"/>
    </row>
    <row r="242" ht="13.5" customHeight="1" spans="1:31" x14ac:dyDescent="0.25">
      <c r="A242" s="1"/>
      <c r="B242" s="4"/>
      <c r="C242" s="4"/>
      <c r="D242" s="4"/>
      <c r="E242" s="4"/>
      <c r="F242" s="4"/>
      <c r="G242" s="4"/>
      <c r="H242" s="4"/>
      <c r="I242" s="4"/>
      <c r="J242" s="4"/>
      <c r="K242" s="4"/>
      <c r="L242" s="4"/>
      <c r="M242" s="4"/>
      <c r="N242" s="4"/>
      <c r="O242" s="4"/>
      <c r="P242" s="4"/>
      <c r="Q242" s="4"/>
      <c r="R242" s="4"/>
      <c r="S242" s="4"/>
      <c r="T242" s="4"/>
      <c r="U242" s="4"/>
      <c r="V242" s="4"/>
      <c r="W242" s="4"/>
      <c r="X242" s="4"/>
      <c r="Y242" s="4"/>
      <c r="Z242" s="4"/>
      <c r="AA242" s="4"/>
      <c r="AB242" s="4"/>
      <c r="AC242" s="4"/>
      <c r="AD242" s="4"/>
      <c r="AE242" s="4"/>
    </row>
    <row r="243" ht="13.5" customHeight="1" spans="1:31" x14ac:dyDescent="0.25">
      <c r="A243" s="1"/>
      <c r="B243" s="4"/>
      <c r="C243" s="4"/>
      <c r="D243" s="4"/>
      <c r="E243" s="4"/>
      <c r="F243" s="4"/>
      <c r="G243" s="4"/>
      <c r="H243" s="4"/>
      <c r="I243" s="4"/>
      <c r="J243" s="4"/>
      <c r="K243" s="4"/>
      <c r="L243" s="4"/>
      <c r="M243" s="4"/>
      <c r="N243" s="4"/>
      <c r="O243" s="4"/>
      <c r="P243" s="4"/>
      <c r="Q243" s="4"/>
      <c r="R243" s="4"/>
      <c r="S243" s="4"/>
      <c r="T243" s="4"/>
      <c r="U243" s="4"/>
      <c r="V243" s="4"/>
      <c r="W243" s="4"/>
      <c r="X243" s="4"/>
      <c r="Y243" s="4"/>
      <c r="Z243" s="4"/>
      <c r="AA243" s="4"/>
      <c r="AB243" s="4"/>
      <c r="AC243" s="4"/>
      <c r="AD243" s="4"/>
      <c r="AE243" s="4"/>
    </row>
    <row r="244" ht="13.5" customHeight="1" spans="1:31" x14ac:dyDescent="0.25">
      <c r="A244" s="1"/>
      <c r="B244" s="4"/>
      <c r="C244" s="4"/>
      <c r="D244" s="4"/>
      <c r="E244" s="4"/>
      <c r="F244" s="4"/>
      <c r="G244" s="4"/>
      <c r="H244" s="4"/>
      <c r="I244" s="4"/>
      <c r="J244" s="4"/>
      <c r="K244" s="4"/>
      <c r="L244" s="4"/>
      <c r="M244" s="4"/>
      <c r="N244" s="4"/>
      <c r="O244" s="4"/>
      <c r="P244" s="4"/>
      <c r="Q244" s="4"/>
      <c r="R244" s="4"/>
      <c r="S244" s="4"/>
      <c r="T244" s="4"/>
      <c r="U244" s="4"/>
      <c r="V244" s="4"/>
      <c r="W244" s="4"/>
      <c r="X244" s="4"/>
      <c r="Y244" s="4"/>
      <c r="Z244" s="4"/>
      <c r="AA244" s="4"/>
      <c r="AB244" s="4"/>
      <c r="AC244" s="4"/>
      <c r="AD244" s="4"/>
      <c r="AE244" s="4"/>
    </row>
    <row r="245" ht="13.5" customHeight="1" spans="1:31" x14ac:dyDescent="0.25">
      <c r="A245" s="1"/>
      <c r="B245" s="4"/>
      <c r="C245" s="4"/>
      <c r="D245" s="4"/>
      <c r="E245" s="4"/>
      <c r="F245" s="4"/>
      <c r="G245" s="4"/>
      <c r="H245" s="4"/>
      <c r="I245" s="4"/>
      <c r="J245" s="4"/>
      <c r="K245" s="4"/>
      <c r="L245" s="4"/>
      <c r="M245" s="4"/>
      <c r="N245" s="4"/>
      <c r="O245" s="4"/>
      <c r="P245" s="4"/>
      <c r="Q245" s="4"/>
      <c r="R245" s="4"/>
      <c r="S245" s="4"/>
      <c r="T245" s="4"/>
      <c r="U245" s="4"/>
      <c r="V245" s="4"/>
      <c r="W245" s="4"/>
      <c r="X245" s="4"/>
      <c r="Y245" s="4"/>
      <c r="Z245" s="4"/>
      <c r="AA245" s="4"/>
      <c r="AB245" s="4"/>
      <c r="AC245" s="4"/>
      <c r="AD245" s="4"/>
      <c r="AE245" s="4"/>
    </row>
    <row r="246" ht="13.5" customHeight="1" spans="1:31" x14ac:dyDescent="0.25">
      <c r="A246" s="1"/>
      <c r="B246" s="4"/>
      <c r="C246" s="4"/>
      <c r="D246" s="4"/>
      <c r="E246" s="4"/>
      <c r="F246" s="4"/>
      <c r="G246" s="4"/>
      <c r="H246" s="4"/>
      <c r="I246" s="4"/>
      <c r="J246" s="4"/>
      <c r="K246" s="4"/>
      <c r="L246" s="4"/>
      <c r="M246" s="4"/>
      <c r="N246" s="4"/>
      <c r="O246" s="4"/>
      <c r="P246" s="4"/>
      <c r="Q246" s="4"/>
      <c r="R246" s="4"/>
      <c r="S246" s="4"/>
      <c r="T246" s="4"/>
      <c r="U246" s="4"/>
      <c r="V246" s="4"/>
      <c r="W246" s="4"/>
      <c r="X246" s="4"/>
      <c r="Y246" s="4"/>
      <c r="Z246" s="4"/>
      <c r="AA246" s="4"/>
      <c r="AB246" s="4"/>
      <c r="AC246" s="4"/>
      <c r="AD246" s="4"/>
      <c r="AE246" s="4"/>
    </row>
    <row r="247" ht="13.5" customHeight="1" spans="1:31" x14ac:dyDescent="0.25">
      <c r="A247" s="1"/>
      <c r="B247" s="4"/>
      <c r="C247" s="4"/>
      <c r="D247" s="4"/>
      <c r="E247" s="4"/>
      <c r="F247" s="4"/>
      <c r="G247" s="4"/>
      <c r="H247" s="4"/>
      <c r="I247" s="4"/>
      <c r="J247" s="4"/>
      <c r="K247" s="4"/>
      <c r="L247" s="4"/>
      <c r="M247" s="4"/>
      <c r="N247" s="4"/>
      <c r="O247" s="4"/>
      <c r="P247" s="4"/>
      <c r="Q247" s="4"/>
      <c r="R247" s="4"/>
      <c r="S247" s="4"/>
      <c r="T247" s="4"/>
      <c r="U247" s="4"/>
      <c r="V247" s="4"/>
      <c r="W247" s="4"/>
      <c r="X247" s="4"/>
      <c r="Y247" s="4"/>
      <c r="Z247" s="4"/>
      <c r="AA247" s="4"/>
      <c r="AB247" s="4"/>
      <c r="AC247" s="4"/>
      <c r="AD247" s="4"/>
      <c r="AE247" s="4"/>
    </row>
    <row r="248" ht="13.5" customHeight="1" spans="1:31" x14ac:dyDescent="0.25">
      <c r="A248" s="1"/>
      <c r="B248" s="4"/>
      <c r="C248" s="4"/>
      <c r="D248" s="4"/>
      <c r="E248" s="4"/>
      <c r="F248" s="4"/>
      <c r="G248" s="4"/>
      <c r="H248" s="4"/>
      <c r="I248" s="4"/>
      <c r="J248" s="4"/>
      <c r="K248" s="4"/>
      <c r="L248" s="4"/>
      <c r="M248" s="4"/>
      <c r="N248" s="4"/>
      <c r="O248" s="4"/>
      <c r="P248" s="4"/>
      <c r="Q248" s="4"/>
      <c r="R248" s="4"/>
      <c r="S248" s="4"/>
      <c r="T248" s="4"/>
      <c r="U248" s="4"/>
      <c r="V248" s="4"/>
      <c r="W248" s="4"/>
      <c r="X248" s="4"/>
      <c r="Y248" s="4"/>
      <c r="Z248" s="4"/>
      <c r="AA248" s="4"/>
      <c r="AB248" s="4"/>
      <c r="AC248" s="4"/>
      <c r="AD248" s="4"/>
      <c r="AE248" s="4"/>
    </row>
    <row r="249" ht="13.5" customHeight="1" spans="1:31" x14ac:dyDescent="0.25">
      <c r="A249" s="1"/>
      <c r="B249" s="4"/>
      <c r="C249" s="4"/>
      <c r="D249" s="4"/>
      <c r="E249" s="4"/>
      <c r="F249" s="4"/>
      <c r="G249" s="4"/>
      <c r="H249" s="4"/>
      <c r="I249" s="4"/>
      <c r="J249" s="4"/>
      <c r="K249" s="4"/>
      <c r="L249" s="4"/>
      <c r="M249" s="4"/>
      <c r="N249" s="4"/>
      <c r="O249" s="4"/>
      <c r="P249" s="4"/>
      <c r="Q249" s="4"/>
      <c r="R249" s="4"/>
      <c r="S249" s="4"/>
      <c r="T249" s="4"/>
      <c r="U249" s="4"/>
      <c r="V249" s="4"/>
      <c r="W249" s="4"/>
      <c r="X249" s="4"/>
      <c r="Y249" s="4"/>
      <c r="Z249" s="4"/>
      <c r="AA249" s="4"/>
      <c r="AB249" s="4"/>
      <c r="AC249" s="4"/>
      <c r="AD249" s="4"/>
      <c r="AE249" s="4"/>
    </row>
    <row r="250" ht="13.5" customHeight="1" spans="1:31" x14ac:dyDescent="0.25">
      <c r="A250" s="1"/>
      <c r="B250" s="4"/>
      <c r="C250" s="4"/>
      <c r="D250" s="4"/>
      <c r="E250" s="4"/>
      <c r="F250" s="4"/>
      <c r="G250" s="4"/>
      <c r="H250" s="4"/>
      <c r="I250" s="4"/>
      <c r="J250" s="4"/>
      <c r="K250" s="4"/>
      <c r="L250" s="4"/>
      <c r="M250" s="4"/>
      <c r="N250" s="4"/>
      <c r="O250" s="4"/>
      <c r="P250" s="4"/>
      <c r="Q250" s="4"/>
      <c r="R250" s="4"/>
      <c r="S250" s="4"/>
      <c r="T250" s="4"/>
      <c r="U250" s="4"/>
      <c r="V250" s="4"/>
      <c r="W250" s="4"/>
      <c r="X250" s="4"/>
      <c r="Y250" s="4"/>
      <c r="Z250" s="4"/>
      <c r="AA250" s="4"/>
      <c r="AB250" s="4"/>
      <c r="AC250" s="4"/>
      <c r="AD250" s="4"/>
      <c r="AE250" s="4"/>
    </row>
    <row r="251" ht="13.5" customHeight="1" spans="1:31" x14ac:dyDescent="0.25">
      <c r="A251" s="1"/>
      <c r="B251" s="4"/>
      <c r="C251" s="4"/>
      <c r="D251" s="4"/>
      <c r="E251" s="4"/>
      <c r="F251" s="4"/>
      <c r="G251" s="4"/>
      <c r="H251" s="4"/>
      <c r="I251" s="4"/>
      <c r="J251" s="4"/>
      <c r="K251" s="4"/>
      <c r="L251" s="4"/>
      <c r="M251" s="4"/>
      <c r="N251" s="4"/>
      <c r="O251" s="4"/>
      <c r="P251" s="4"/>
      <c r="Q251" s="4"/>
      <c r="R251" s="4"/>
      <c r="S251" s="4"/>
      <c r="T251" s="4"/>
      <c r="U251" s="4"/>
      <c r="V251" s="4"/>
      <c r="W251" s="4"/>
      <c r="X251" s="4"/>
      <c r="Y251" s="4"/>
      <c r="Z251" s="4"/>
      <c r="AA251" s="4"/>
      <c r="AB251" s="4"/>
      <c r="AC251" s="4"/>
      <c r="AD251" s="4"/>
      <c r="AE251" s="4"/>
    </row>
    <row r="252" ht="13.5" customHeight="1" spans="1:31" x14ac:dyDescent="0.25">
      <c r="A252" s="1"/>
      <c r="B252" s="4"/>
      <c r="C252" s="4"/>
      <c r="D252" s="4"/>
      <c r="E252" s="4"/>
      <c r="F252" s="4"/>
      <c r="G252" s="4"/>
      <c r="H252" s="4"/>
      <c r="I252" s="4"/>
      <c r="J252" s="4"/>
      <c r="K252" s="4"/>
      <c r="L252" s="4"/>
      <c r="M252" s="4"/>
      <c r="N252" s="4"/>
      <c r="O252" s="4"/>
      <c r="P252" s="4"/>
      <c r="Q252" s="4"/>
      <c r="R252" s="4"/>
      <c r="S252" s="4"/>
      <c r="T252" s="4"/>
      <c r="U252" s="4"/>
      <c r="V252" s="4"/>
      <c r="W252" s="4"/>
      <c r="X252" s="4"/>
      <c r="Y252" s="4"/>
      <c r="Z252" s="4"/>
      <c r="AA252" s="4"/>
      <c r="AB252" s="4"/>
      <c r="AC252" s="4"/>
      <c r="AD252" s="4"/>
      <c r="AE252" s="4"/>
    </row>
    <row r="253" ht="13.5" customHeight="1" spans="1:31" x14ac:dyDescent="0.25">
      <c r="A253" s="1"/>
      <c r="B253" s="4"/>
      <c r="C253" s="4"/>
      <c r="D253" s="4"/>
      <c r="E253" s="4"/>
      <c r="F253" s="4"/>
      <c r="G253" s="4"/>
      <c r="H253" s="4"/>
      <c r="I253" s="4"/>
      <c r="J253" s="4"/>
      <c r="K253" s="4"/>
      <c r="L253" s="4"/>
      <c r="M253" s="4"/>
      <c r="N253" s="4"/>
      <c r="O253" s="4"/>
      <c r="P253" s="4"/>
      <c r="Q253" s="4"/>
      <c r="R253" s="4"/>
      <c r="S253" s="4"/>
      <c r="T253" s="4"/>
      <c r="U253" s="4"/>
      <c r="V253" s="4"/>
      <c r="W253" s="4"/>
      <c r="X253" s="4"/>
      <c r="Y253" s="4"/>
      <c r="Z253" s="4"/>
      <c r="AA253" s="4"/>
      <c r="AB253" s="4"/>
      <c r="AC253" s="4"/>
      <c r="AD253" s="4"/>
      <c r="AE253" s="4"/>
    </row>
    <row r="254" ht="13.5" customHeight="1" spans="1:31" x14ac:dyDescent="0.25">
      <c r="A254" s="1"/>
      <c r="B254" s="4"/>
      <c r="C254" s="4"/>
      <c r="D254" s="4"/>
      <c r="E254" s="4"/>
      <c r="F254" s="4"/>
      <c r="G254" s="4"/>
      <c r="H254" s="4"/>
      <c r="I254" s="4"/>
      <c r="J254" s="4"/>
      <c r="K254" s="4"/>
      <c r="L254" s="4"/>
      <c r="M254" s="4"/>
      <c r="N254" s="4"/>
      <c r="O254" s="4"/>
      <c r="P254" s="4"/>
      <c r="Q254" s="4"/>
      <c r="R254" s="4"/>
      <c r="S254" s="4"/>
      <c r="T254" s="4"/>
      <c r="U254" s="4"/>
      <c r="V254" s="4"/>
      <c r="W254" s="4"/>
      <c r="X254" s="4"/>
      <c r="Y254" s="4"/>
      <c r="Z254" s="4"/>
      <c r="AA254" s="4"/>
      <c r="AB254" s="4"/>
      <c r="AC254" s="4"/>
      <c r="AD254" s="4"/>
      <c r="AE254" s="4"/>
    </row>
    <row r="255" ht="13.5" customHeight="1" spans="1:31" x14ac:dyDescent="0.25">
      <c r="A255" s="1"/>
      <c r="B255" s="4"/>
      <c r="C255" s="4"/>
      <c r="D255" s="4"/>
      <c r="E255" s="4"/>
      <c r="F255" s="4"/>
      <c r="G255" s="4"/>
      <c r="H255" s="4"/>
      <c r="I255" s="4"/>
      <c r="J255" s="4"/>
      <c r="K255" s="4"/>
      <c r="L255" s="4"/>
      <c r="M255" s="4"/>
      <c r="N255" s="4"/>
      <c r="O255" s="4"/>
      <c r="P255" s="4"/>
      <c r="Q255" s="4"/>
      <c r="R255" s="4"/>
      <c r="S255" s="4"/>
      <c r="T255" s="4"/>
      <c r="U255" s="4"/>
      <c r="V255" s="4"/>
      <c r="W255" s="4"/>
      <c r="X255" s="4"/>
      <c r="Y255" s="4"/>
      <c r="Z255" s="4"/>
      <c r="AA255" s="4"/>
      <c r="AB255" s="4"/>
      <c r="AC255" s="4"/>
      <c r="AD255" s="4"/>
      <c r="AE255" s="4"/>
    </row>
    <row r="256" ht="13.5" customHeight="1" spans="1:31" x14ac:dyDescent="0.25">
      <c r="A256" s="1"/>
      <c r="B256" s="4"/>
      <c r="C256" s="4"/>
      <c r="D256" s="4"/>
      <c r="E256" s="4"/>
      <c r="F256" s="4"/>
      <c r="G256" s="4"/>
      <c r="H256" s="4"/>
      <c r="I256" s="4"/>
      <c r="J256" s="4"/>
      <c r="K256" s="4"/>
      <c r="L256" s="4"/>
      <c r="M256" s="4"/>
      <c r="N256" s="4"/>
      <c r="O256" s="4"/>
      <c r="P256" s="4"/>
      <c r="Q256" s="4"/>
      <c r="R256" s="4"/>
      <c r="S256" s="4"/>
      <c r="T256" s="4"/>
      <c r="U256" s="4"/>
      <c r="V256" s="4"/>
      <c r="W256" s="4"/>
      <c r="X256" s="4"/>
      <c r="Y256" s="4"/>
      <c r="Z256" s="4"/>
      <c r="AA256" s="4"/>
      <c r="AB256" s="4"/>
      <c r="AC256" s="4"/>
      <c r="AD256" s="4"/>
      <c r="AE256" s="4"/>
    </row>
    <row r="257" ht="13.5" customHeight="1" spans="1:31" x14ac:dyDescent="0.25">
      <c r="A257" s="1"/>
      <c r="B257" s="4"/>
      <c r="C257" s="4"/>
      <c r="D257" s="4"/>
      <c r="E257" s="4"/>
      <c r="F257" s="4"/>
      <c r="G257" s="4"/>
      <c r="H257" s="4"/>
      <c r="I257" s="4"/>
      <c r="J257" s="4"/>
      <c r="K257" s="4"/>
      <c r="L257" s="4"/>
      <c r="M257" s="4"/>
      <c r="N257" s="4"/>
      <c r="O257" s="4"/>
      <c r="P257" s="4"/>
      <c r="Q257" s="4"/>
      <c r="R257" s="4"/>
      <c r="S257" s="4"/>
      <c r="T257" s="4"/>
      <c r="U257" s="4"/>
      <c r="V257" s="4"/>
      <c r="W257" s="4"/>
      <c r="X257" s="4"/>
      <c r="Y257" s="4"/>
      <c r="Z257" s="4"/>
      <c r="AA257" s="4"/>
      <c r="AB257" s="4"/>
      <c r="AC257" s="4"/>
      <c r="AD257" s="4"/>
      <c r="AE257" s="4"/>
    </row>
    <row r="258" ht="13.5" customHeight="1" spans="1:31" x14ac:dyDescent="0.25">
      <c r="A258" s="1"/>
      <c r="B258" s="4"/>
      <c r="C258" s="4"/>
      <c r="D258" s="4"/>
      <c r="E258" s="4"/>
      <c r="F258" s="4"/>
      <c r="G258" s="4"/>
      <c r="H258" s="4"/>
      <c r="I258" s="4"/>
      <c r="J258" s="4"/>
      <c r="K258" s="4"/>
      <c r="L258" s="4"/>
      <c r="M258" s="4"/>
      <c r="N258" s="4"/>
      <c r="O258" s="4"/>
      <c r="P258" s="4"/>
      <c r="Q258" s="4"/>
      <c r="R258" s="4"/>
      <c r="S258" s="4"/>
      <c r="T258" s="4"/>
      <c r="U258" s="4"/>
      <c r="V258" s="4"/>
      <c r="W258" s="4"/>
      <c r="X258" s="4"/>
      <c r="Y258" s="4"/>
      <c r="Z258" s="4"/>
      <c r="AA258" s="4"/>
      <c r="AB258" s="4"/>
      <c r="AC258" s="4"/>
      <c r="AD258" s="4"/>
      <c r="AE258" s="4"/>
    </row>
    <row r="259" ht="13.5" customHeight="1" spans="1:31" x14ac:dyDescent="0.25">
      <c r="A259" s="1"/>
      <c r="B259" s="4"/>
      <c r="C259" s="4"/>
      <c r="D259" s="4"/>
      <c r="E259" s="4"/>
      <c r="F259" s="4"/>
      <c r="G259" s="4"/>
      <c r="H259" s="4"/>
      <c r="I259" s="4"/>
      <c r="J259" s="4"/>
      <c r="K259" s="4"/>
      <c r="L259" s="4"/>
      <c r="M259" s="4"/>
      <c r="N259" s="4"/>
      <c r="O259" s="4"/>
      <c r="P259" s="4"/>
      <c r="Q259" s="4"/>
      <c r="R259" s="4"/>
      <c r="S259" s="4"/>
      <c r="T259" s="4"/>
      <c r="U259" s="4"/>
      <c r="V259" s="4"/>
      <c r="W259" s="4"/>
      <c r="X259" s="4"/>
      <c r="Y259" s="4"/>
      <c r="Z259" s="4"/>
      <c r="AA259" s="4"/>
      <c r="AB259" s="4"/>
      <c r="AC259" s="4"/>
      <c r="AD259" s="4"/>
      <c r="AE259" s="4"/>
    </row>
    <row r="260" ht="13.5" customHeight="1" spans="1:31" x14ac:dyDescent="0.25">
      <c r="A260" s="1"/>
      <c r="B260" s="4"/>
      <c r="C260" s="4"/>
      <c r="D260" s="4"/>
      <c r="E260" s="4"/>
      <c r="F260" s="4"/>
      <c r="G260" s="4"/>
      <c r="H260" s="4"/>
      <c r="I260" s="4"/>
      <c r="J260" s="4"/>
      <c r="K260" s="4"/>
      <c r="L260" s="4"/>
      <c r="M260" s="4"/>
      <c r="N260" s="4"/>
      <c r="O260" s="4"/>
      <c r="P260" s="4"/>
      <c r="Q260" s="4"/>
      <c r="R260" s="4"/>
      <c r="S260" s="4"/>
      <c r="T260" s="4"/>
      <c r="U260" s="4"/>
      <c r="V260" s="4"/>
      <c r="W260" s="4"/>
      <c r="X260" s="4"/>
      <c r="Y260" s="4"/>
      <c r="Z260" s="4"/>
      <c r="AA260" s="4"/>
      <c r="AB260" s="4"/>
      <c r="AC260" s="4"/>
      <c r="AD260" s="4"/>
      <c r="AE260" s="4"/>
    </row>
    <row r="261" ht="13.5" customHeight="1" spans="1:31" x14ac:dyDescent="0.25">
      <c r="A261" s="1"/>
      <c r="B261" s="4"/>
      <c r="C261" s="4"/>
      <c r="D261" s="4"/>
      <c r="E261" s="4"/>
      <c r="F261" s="4"/>
      <c r="G261" s="4"/>
      <c r="H261" s="4"/>
      <c r="I261" s="4"/>
      <c r="J261" s="4"/>
      <c r="K261" s="4"/>
      <c r="L261" s="4"/>
      <c r="M261" s="4"/>
      <c r="N261" s="4"/>
      <c r="O261" s="4"/>
      <c r="P261" s="4"/>
      <c r="Q261" s="4"/>
      <c r="R261" s="4"/>
      <c r="S261" s="4"/>
      <c r="T261" s="4"/>
      <c r="U261" s="4"/>
      <c r="V261" s="4"/>
      <c r="W261" s="4"/>
      <c r="X261" s="4"/>
      <c r="Y261" s="4"/>
      <c r="Z261" s="4"/>
      <c r="AA261" s="4"/>
      <c r="AB261" s="4"/>
      <c r="AC261" s="4"/>
      <c r="AD261" s="4"/>
      <c r="AE261" s="4"/>
    </row>
    <row r="262" ht="13.5" customHeight="1" spans="1:31" x14ac:dyDescent="0.25">
      <c r="A262" s="1"/>
      <c r="B262" s="4"/>
      <c r="C262" s="4"/>
      <c r="D262" s="4"/>
      <c r="E262" s="4"/>
      <c r="F262" s="4"/>
      <c r="G262" s="4"/>
      <c r="H262" s="4"/>
      <c r="I262" s="4"/>
      <c r="J262" s="4"/>
      <c r="K262" s="4"/>
      <c r="L262" s="4"/>
      <c r="M262" s="4"/>
      <c r="N262" s="4"/>
      <c r="O262" s="4"/>
      <c r="P262" s="4"/>
      <c r="Q262" s="4"/>
      <c r="R262" s="4"/>
      <c r="S262" s="4"/>
      <c r="T262" s="4"/>
      <c r="U262" s="4"/>
      <c r="V262" s="4"/>
      <c r="W262" s="4"/>
      <c r="X262" s="4"/>
      <c r="Y262" s="4"/>
      <c r="Z262" s="4"/>
      <c r="AA262" s="4"/>
      <c r="AB262" s="4"/>
      <c r="AC262" s="4"/>
      <c r="AD262" s="4"/>
      <c r="AE262" s="4"/>
    </row>
    <row r="263" ht="13.5" customHeight="1" spans="1:31" x14ac:dyDescent="0.25">
      <c r="A263" s="1"/>
      <c r="B263" s="4"/>
      <c r="C263" s="4"/>
      <c r="D263" s="4"/>
      <c r="E263" s="4"/>
      <c r="F263" s="4"/>
      <c r="G263" s="4"/>
      <c r="H263" s="4"/>
      <c r="I263" s="4"/>
      <c r="J263" s="4"/>
      <c r="K263" s="4"/>
      <c r="L263" s="4"/>
      <c r="M263" s="4"/>
      <c r="N263" s="4"/>
      <c r="O263" s="4"/>
      <c r="P263" s="4"/>
      <c r="Q263" s="4"/>
      <c r="R263" s="4"/>
      <c r="S263" s="4"/>
      <c r="T263" s="4"/>
      <c r="U263" s="4"/>
      <c r="V263" s="4"/>
      <c r="W263" s="4"/>
      <c r="X263" s="4"/>
      <c r="Y263" s="4"/>
      <c r="Z263" s="4"/>
      <c r="AA263" s="4"/>
      <c r="AB263" s="4"/>
      <c r="AC263" s="4"/>
      <c r="AD263" s="4"/>
      <c r="AE263" s="4"/>
    </row>
    <row r="264" ht="13.5" customHeight="1" spans="1:31" x14ac:dyDescent="0.25">
      <c r="A264" s="1"/>
      <c r="B264" s="4"/>
      <c r="C264" s="4"/>
      <c r="D264" s="4"/>
      <c r="E264" s="4"/>
      <c r="F264" s="4"/>
      <c r="G264" s="4"/>
      <c r="H264" s="4"/>
      <c r="I264" s="4"/>
      <c r="J264" s="4"/>
      <c r="K264" s="4"/>
      <c r="L264" s="4"/>
      <c r="M264" s="4"/>
      <c r="N264" s="4"/>
      <c r="O264" s="4"/>
      <c r="P264" s="4"/>
      <c r="Q264" s="4"/>
      <c r="R264" s="4"/>
      <c r="S264" s="4"/>
      <c r="T264" s="4"/>
      <c r="U264" s="4"/>
      <c r="V264" s="4"/>
      <c r="W264" s="4"/>
      <c r="X264" s="4"/>
      <c r="Y264" s="4"/>
      <c r="Z264" s="4"/>
      <c r="AA264" s="4"/>
      <c r="AB264" s="4"/>
      <c r="AC264" s="4"/>
      <c r="AD264" s="4"/>
      <c r="AE264" s="4"/>
    </row>
    <row r="265" ht="13.5" customHeight="1" spans="1:31" x14ac:dyDescent="0.25">
      <c r="A265" s="1"/>
      <c r="B265" s="4"/>
      <c r="C265" s="4"/>
      <c r="D265" s="4"/>
      <c r="E265" s="4"/>
      <c r="F265" s="4"/>
      <c r="G265" s="4"/>
      <c r="H265" s="4"/>
      <c r="I265" s="4"/>
      <c r="J265" s="4"/>
      <c r="K265" s="4"/>
      <c r="L265" s="4"/>
      <c r="M265" s="4"/>
      <c r="N265" s="4"/>
      <c r="O265" s="4"/>
      <c r="P265" s="4"/>
      <c r="Q265" s="4"/>
      <c r="R265" s="4"/>
      <c r="S265" s="4"/>
      <c r="T265" s="4"/>
      <c r="U265" s="4"/>
      <c r="V265" s="4"/>
      <c r="W265" s="4"/>
      <c r="X265" s="4"/>
      <c r="Y265" s="4"/>
      <c r="Z265" s="4"/>
      <c r="AA265" s="4"/>
      <c r="AB265" s="4"/>
      <c r="AC265" s="4"/>
      <c r="AD265" s="4"/>
      <c r="AE265" s="4"/>
    </row>
    <row r="266" ht="13.5" customHeight="1" spans="1:31" x14ac:dyDescent="0.25">
      <c r="A266" s="1"/>
      <c r="B266" s="4"/>
      <c r="C266" s="4"/>
      <c r="D266" s="4"/>
      <c r="E266" s="4"/>
      <c r="F266" s="4"/>
      <c r="G266" s="4"/>
      <c r="H266" s="4"/>
      <c r="I266" s="4"/>
      <c r="J266" s="4"/>
      <c r="K266" s="4"/>
      <c r="L266" s="4"/>
      <c r="M266" s="4"/>
      <c r="N266" s="4"/>
      <c r="O266" s="4"/>
      <c r="P266" s="4"/>
      <c r="Q266" s="4"/>
      <c r="R266" s="4"/>
      <c r="S266" s="4"/>
      <c r="T266" s="4"/>
      <c r="U266" s="4"/>
      <c r="V266" s="4"/>
      <c r="W266" s="4"/>
      <c r="X266" s="4"/>
      <c r="Y266" s="4"/>
      <c r="Z266" s="4"/>
      <c r="AA266" s="4"/>
      <c r="AB266" s="4"/>
      <c r="AC266" s="4"/>
      <c r="AD266" s="4"/>
      <c r="AE266" s="4"/>
    </row>
    <row r="267" ht="13.5" customHeight="1" spans="1:31" x14ac:dyDescent="0.25">
      <c r="A267" s="1"/>
      <c r="B267" s="4"/>
      <c r="C267" s="4"/>
      <c r="D267" s="4"/>
      <c r="E267" s="4"/>
      <c r="F267" s="4"/>
      <c r="G267" s="4"/>
      <c r="H267" s="4"/>
      <c r="I267" s="4"/>
      <c r="J267" s="4"/>
      <c r="K267" s="4"/>
      <c r="L267" s="4"/>
      <c r="M267" s="4"/>
      <c r="N267" s="4"/>
      <c r="O267" s="4"/>
      <c r="P267" s="4"/>
      <c r="Q267" s="4"/>
      <c r="R267" s="4"/>
      <c r="S267" s="4"/>
      <c r="T267" s="4"/>
      <c r="U267" s="4"/>
      <c r="V267" s="4"/>
      <c r="W267" s="4"/>
      <c r="X267" s="4"/>
      <c r="Y267" s="4"/>
      <c r="Z267" s="4"/>
      <c r="AA267" s="4"/>
      <c r="AB267" s="4"/>
      <c r="AC267" s="4"/>
      <c r="AD267" s="4"/>
      <c r="AE267" s="4"/>
    </row>
    <row r="268" ht="13.5" customHeight="1" spans="1:31" x14ac:dyDescent="0.25">
      <c r="A268" s="1"/>
      <c r="B268" s="4"/>
      <c r="C268" s="4"/>
      <c r="D268" s="4"/>
      <c r="E268" s="4"/>
      <c r="F268" s="4"/>
      <c r="G268" s="4"/>
      <c r="H268" s="4"/>
      <c r="I268" s="4"/>
      <c r="J268" s="4"/>
      <c r="K268" s="4"/>
      <c r="L268" s="4"/>
      <c r="M268" s="4"/>
      <c r="N268" s="4"/>
      <c r="O268" s="4"/>
      <c r="P268" s="4"/>
      <c r="Q268" s="4"/>
      <c r="R268" s="4"/>
      <c r="S268" s="4"/>
      <c r="T268" s="4"/>
      <c r="U268" s="4"/>
      <c r="V268" s="4"/>
      <c r="W268" s="4"/>
      <c r="X268" s="4"/>
      <c r="Y268" s="4"/>
      <c r="Z268" s="4"/>
      <c r="AA268" s="4"/>
      <c r="AB268" s="4"/>
      <c r="AC268" s="4"/>
      <c r="AD268" s="4"/>
      <c r="AE268" s="4"/>
    </row>
    <row r="269" ht="13.5" customHeight="1" spans="1:31" x14ac:dyDescent="0.25">
      <c r="A269" s="1"/>
      <c r="B269" s="4"/>
      <c r="C269" s="4"/>
      <c r="D269" s="4"/>
      <c r="E269" s="4"/>
      <c r="F269" s="4"/>
      <c r="G269" s="4"/>
      <c r="H269" s="4"/>
      <c r="I269" s="4"/>
      <c r="J269" s="4"/>
      <c r="K269" s="4"/>
      <c r="L269" s="4"/>
      <c r="M269" s="4"/>
      <c r="N269" s="4"/>
      <c r="O269" s="4"/>
      <c r="P269" s="4"/>
      <c r="Q269" s="4"/>
      <c r="R269" s="4"/>
      <c r="S269" s="4"/>
      <c r="T269" s="4"/>
      <c r="U269" s="4"/>
      <c r="V269" s="4"/>
      <c r="W269" s="4"/>
      <c r="X269" s="4"/>
      <c r="Y269" s="4"/>
      <c r="Z269" s="4"/>
      <c r="AA269" s="4"/>
      <c r="AB269" s="4"/>
      <c r="AC269" s="4"/>
      <c r="AD269" s="4"/>
      <c r="AE269" s="4"/>
    </row>
    <row r="270" ht="13.5" customHeight="1" spans="1:31" x14ac:dyDescent="0.25">
      <c r="A270" s="1"/>
      <c r="B270" s="4"/>
      <c r="C270" s="4"/>
      <c r="D270" s="4"/>
      <c r="E270" s="4"/>
      <c r="F270" s="4"/>
      <c r="G270" s="4"/>
      <c r="H270" s="4"/>
      <c r="I270" s="4"/>
      <c r="J270" s="4"/>
      <c r="K270" s="4"/>
      <c r="L270" s="4"/>
      <c r="M270" s="4"/>
      <c r="N270" s="4"/>
      <c r="O270" s="4"/>
      <c r="P270" s="4"/>
      <c r="Q270" s="4"/>
      <c r="R270" s="4"/>
      <c r="S270" s="4"/>
      <c r="T270" s="4"/>
      <c r="U270" s="4"/>
      <c r="V270" s="4"/>
      <c r="W270" s="4"/>
      <c r="X270" s="4"/>
      <c r="Y270" s="4"/>
      <c r="Z270" s="4"/>
      <c r="AA270" s="4"/>
      <c r="AB270" s="4"/>
      <c r="AC270" s="4"/>
      <c r="AD270" s="4"/>
      <c r="AE270" s="4"/>
    </row>
    <row r="271" ht="13.5" customHeight="1" spans="1:31" x14ac:dyDescent="0.25">
      <c r="A271" s="1"/>
      <c r="B271" s="4"/>
      <c r="C271" s="4"/>
      <c r="D271" s="4"/>
      <c r="E271" s="4"/>
      <c r="F271" s="4"/>
      <c r="G271" s="4"/>
      <c r="H271" s="4"/>
      <c r="I271" s="4"/>
      <c r="J271" s="4"/>
      <c r="K271" s="4"/>
      <c r="L271" s="4"/>
      <c r="M271" s="4"/>
      <c r="N271" s="4"/>
      <c r="O271" s="4"/>
      <c r="P271" s="4"/>
      <c r="Q271" s="4"/>
      <c r="R271" s="4"/>
      <c r="S271" s="4"/>
      <c r="T271" s="4"/>
      <c r="U271" s="4"/>
      <c r="V271" s="4"/>
      <c r="W271" s="4"/>
      <c r="X271" s="4"/>
      <c r="Y271" s="4"/>
      <c r="Z271" s="4"/>
      <c r="AA271" s="4"/>
      <c r="AB271" s="4"/>
      <c r="AC271" s="4"/>
      <c r="AD271" s="4"/>
      <c r="AE271" s="4"/>
    </row>
    <row r="272" ht="13.5" customHeight="1" spans="1:31" x14ac:dyDescent="0.25">
      <c r="A272" s="1"/>
      <c r="B272" s="4"/>
      <c r="C272" s="4"/>
      <c r="D272" s="4"/>
      <c r="E272" s="4"/>
      <c r="F272" s="4"/>
      <c r="G272" s="4"/>
      <c r="H272" s="4"/>
      <c r="I272" s="4"/>
      <c r="J272" s="4"/>
      <c r="K272" s="4"/>
      <c r="L272" s="4"/>
      <c r="M272" s="4"/>
      <c r="N272" s="4"/>
      <c r="O272" s="4"/>
      <c r="P272" s="4"/>
      <c r="Q272" s="4"/>
      <c r="R272" s="4"/>
      <c r="S272" s="4"/>
      <c r="T272" s="4"/>
      <c r="U272" s="4"/>
      <c r="V272" s="4"/>
      <c r="W272" s="4"/>
      <c r="X272" s="4"/>
      <c r="Y272" s="4"/>
      <c r="Z272" s="4"/>
      <c r="AA272" s="4"/>
      <c r="AB272" s="4"/>
      <c r="AC272" s="4"/>
      <c r="AD272" s="4"/>
      <c r="AE272" s="4"/>
    </row>
    <row r="273" ht="13.5" customHeight="1" spans="1:31" x14ac:dyDescent="0.25">
      <c r="A273" s="1"/>
      <c r="B273" s="4"/>
      <c r="C273" s="4"/>
      <c r="D273" s="4"/>
      <c r="E273" s="4"/>
      <c r="F273" s="4"/>
      <c r="G273" s="4"/>
      <c r="H273" s="4"/>
      <c r="I273" s="4"/>
      <c r="J273" s="4"/>
      <c r="K273" s="4"/>
      <c r="L273" s="4"/>
      <c r="M273" s="4"/>
      <c r="N273" s="4"/>
      <c r="O273" s="4"/>
      <c r="P273" s="4"/>
      <c r="Q273" s="4"/>
      <c r="R273" s="4"/>
      <c r="S273" s="4"/>
      <c r="T273" s="4"/>
      <c r="U273" s="4"/>
      <c r="V273" s="4"/>
      <c r="W273" s="4"/>
      <c r="X273" s="4"/>
      <c r="Y273" s="4"/>
      <c r="Z273" s="4"/>
      <c r="AA273" s="4"/>
      <c r="AB273" s="4"/>
      <c r="AC273" s="4"/>
      <c r="AD273" s="4"/>
      <c r="AE273" s="4"/>
    </row>
    <row r="274" ht="13.5" customHeight="1" spans="1:31" x14ac:dyDescent="0.25">
      <c r="A274" s="1"/>
      <c r="B274" s="4"/>
      <c r="C274" s="4"/>
      <c r="D274" s="4"/>
      <c r="E274" s="4"/>
      <c r="F274" s="4"/>
      <c r="G274" s="4"/>
      <c r="H274" s="4"/>
      <c r="I274" s="4"/>
      <c r="J274" s="4"/>
      <c r="K274" s="4"/>
      <c r="L274" s="4"/>
      <c r="M274" s="4"/>
      <c r="N274" s="4"/>
      <c r="O274" s="4"/>
      <c r="P274" s="4"/>
      <c r="Q274" s="4"/>
      <c r="R274" s="4"/>
      <c r="S274" s="4"/>
      <c r="T274" s="4"/>
      <c r="U274" s="4"/>
      <c r="V274" s="4"/>
      <c r="W274" s="4"/>
      <c r="X274" s="4"/>
      <c r="Y274" s="4"/>
      <c r="Z274" s="4"/>
      <c r="AA274" s="4"/>
      <c r="AB274" s="4"/>
      <c r="AC274" s="4"/>
      <c r="AD274" s="4"/>
      <c r="AE274" s="4"/>
    </row>
    <row r="275" ht="13.5" customHeight="1" spans="1:31" x14ac:dyDescent="0.25">
      <c r="A275" s="1"/>
      <c r="B275" s="4"/>
      <c r="C275" s="4"/>
      <c r="D275" s="4"/>
      <c r="E275" s="4"/>
      <c r="F275" s="4"/>
      <c r="G275" s="4"/>
      <c r="H275" s="4"/>
      <c r="I275" s="4"/>
      <c r="J275" s="4"/>
      <c r="K275" s="4"/>
      <c r="L275" s="4"/>
      <c r="M275" s="4"/>
      <c r="N275" s="4"/>
      <c r="O275" s="4"/>
      <c r="P275" s="4"/>
      <c r="Q275" s="4"/>
      <c r="R275" s="4"/>
      <c r="S275" s="4"/>
      <c r="T275" s="4"/>
      <c r="U275" s="4"/>
      <c r="V275" s="4"/>
      <c r="W275" s="4"/>
      <c r="X275" s="4"/>
      <c r="Y275" s="4"/>
      <c r="Z275" s="4"/>
      <c r="AA275" s="4"/>
      <c r="AB275" s="4"/>
      <c r="AC275" s="4"/>
      <c r="AD275" s="4"/>
      <c r="AE275" s="4"/>
    </row>
    <row r="276" ht="13.5" customHeight="1" spans="1:31" x14ac:dyDescent="0.25">
      <c r="A276" s="1"/>
      <c r="B276" s="4"/>
      <c r="C276" s="4"/>
      <c r="D276" s="4"/>
      <c r="E276" s="4"/>
      <c r="F276" s="4"/>
      <c r="G276" s="4"/>
      <c r="H276" s="4"/>
      <c r="I276" s="4"/>
      <c r="J276" s="4"/>
      <c r="K276" s="4"/>
      <c r="L276" s="4"/>
      <c r="M276" s="4"/>
      <c r="N276" s="4"/>
      <c r="O276" s="4"/>
      <c r="P276" s="4"/>
      <c r="Q276" s="4"/>
      <c r="R276" s="4"/>
      <c r="S276" s="4"/>
      <c r="T276" s="4"/>
      <c r="U276" s="4"/>
      <c r="V276" s="4"/>
      <c r="W276" s="4"/>
      <c r="X276" s="4"/>
      <c r="Y276" s="4"/>
      <c r="Z276" s="4"/>
      <c r="AA276" s="4"/>
      <c r="AB276" s="4"/>
      <c r="AC276" s="4"/>
      <c r="AD276" s="4"/>
      <c r="AE276" s="4"/>
    </row>
    <row r="277" ht="13.5" customHeight="1" spans="1:31" x14ac:dyDescent="0.25">
      <c r="A277" s="1"/>
      <c r="B277" s="4"/>
      <c r="C277" s="4"/>
      <c r="D277" s="4"/>
      <c r="E277" s="4"/>
      <c r="F277" s="4"/>
      <c r="G277" s="4"/>
      <c r="H277" s="4"/>
      <c r="I277" s="4"/>
      <c r="J277" s="4"/>
      <c r="K277" s="4"/>
      <c r="L277" s="4"/>
      <c r="M277" s="4"/>
      <c r="N277" s="4"/>
      <c r="O277" s="4"/>
      <c r="P277" s="4"/>
      <c r="Q277" s="4"/>
      <c r="R277" s="4"/>
      <c r="S277" s="4"/>
      <c r="T277" s="4"/>
      <c r="U277" s="4"/>
      <c r="V277" s="4"/>
      <c r="W277" s="4"/>
      <c r="X277" s="4"/>
      <c r="Y277" s="4"/>
      <c r="Z277" s="4"/>
      <c r="AA277" s="4"/>
      <c r="AB277" s="4"/>
      <c r="AC277" s="4"/>
      <c r="AD277" s="4"/>
      <c r="AE277" s="4"/>
    </row>
    <row r="278" ht="13.5" customHeight="1" spans="1:31" x14ac:dyDescent="0.25">
      <c r="A278" s="1"/>
      <c r="B278" s="4"/>
      <c r="C278" s="4"/>
      <c r="D278" s="4"/>
      <c r="E278" s="4"/>
      <c r="F278" s="4"/>
      <c r="G278" s="4"/>
      <c r="H278" s="4"/>
      <c r="I278" s="4"/>
      <c r="J278" s="4"/>
      <c r="K278" s="4"/>
      <c r="L278" s="4"/>
      <c r="M278" s="4"/>
      <c r="N278" s="4"/>
      <c r="O278" s="4"/>
      <c r="P278" s="4"/>
      <c r="Q278" s="4"/>
      <c r="R278" s="4"/>
      <c r="S278" s="4"/>
      <c r="T278" s="4"/>
      <c r="U278" s="4"/>
      <c r="V278" s="4"/>
      <c r="W278" s="4"/>
      <c r="X278" s="4"/>
      <c r="Y278" s="4"/>
      <c r="Z278" s="4"/>
      <c r="AA278" s="4"/>
      <c r="AB278" s="4"/>
      <c r="AC278" s="4"/>
      <c r="AD278" s="4"/>
      <c r="AE278" s="4"/>
    </row>
    <row r="279" ht="13.5" customHeight="1" spans="1:31" x14ac:dyDescent="0.25">
      <c r="A279" s="1"/>
      <c r="B279" s="4"/>
      <c r="C279" s="4"/>
      <c r="D279" s="4"/>
      <c r="E279" s="4"/>
      <c r="F279" s="4"/>
      <c r="G279" s="4"/>
      <c r="H279" s="4"/>
      <c r="I279" s="4"/>
      <c r="J279" s="4"/>
      <c r="K279" s="4"/>
      <c r="L279" s="4"/>
      <c r="M279" s="4"/>
      <c r="N279" s="4"/>
      <c r="O279" s="4"/>
      <c r="P279" s="4"/>
      <c r="Q279" s="4"/>
      <c r="R279" s="4"/>
      <c r="S279" s="4"/>
      <c r="T279" s="4"/>
      <c r="U279" s="4"/>
      <c r="V279" s="4"/>
      <c r="W279" s="4"/>
      <c r="X279" s="4"/>
      <c r="Y279" s="4"/>
      <c r="Z279" s="4"/>
      <c r="AA279" s="4"/>
      <c r="AB279" s="4"/>
      <c r="AC279" s="4"/>
      <c r="AD279" s="4"/>
      <c r="AE279" s="4"/>
    </row>
    <row r="280" ht="13.5" customHeight="1" spans="1:31" x14ac:dyDescent="0.25">
      <c r="A280" s="1"/>
      <c r="B280" s="4"/>
      <c r="C280" s="4"/>
      <c r="D280" s="4"/>
      <c r="E280" s="4"/>
      <c r="F280" s="4"/>
      <c r="G280" s="4"/>
      <c r="H280" s="4"/>
      <c r="I280" s="4"/>
      <c r="J280" s="4"/>
      <c r="K280" s="4"/>
      <c r="L280" s="4"/>
      <c r="M280" s="4"/>
      <c r="N280" s="4"/>
      <c r="O280" s="4"/>
      <c r="P280" s="4"/>
      <c r="Q280" s="4"/>
      <c r="R280" s="4"/>
      <c r="S280" s="4"/>
      <c r="T280" s="4"/>
      <c r="U280" s="4"/>
      <c r="V280" s="4"/>
      <c r="W280" s="4"/>
      <c r="X280" s="4"/>
      <c r="Y280" s="4"/>
      <c r="Z280" s="4"/>
      <c r="AA280" s="4"/>
      <c r="AB280" s="4"/>
      <c r="AC280" s="4"/>
      <c r="AD280" s="4"/>
      <c r="AE280" s="4"/>
    </row>
    <row r="281" ht="13.5" customHeight="1" spans="1:31" x14ac:dyDescent="0.25">
      <c r="A281" s="1"/>
      <c r="B281" s="4"/>
      <c r="C281" s="4"/>
      <c r="D281" s="4"/>
      <c r="E281" s="4"/>
      <c r="F281" s="4"/>
      <c r="G281" s="4"/>
      <c r="H281" s="4"/>
      <c r="I281" s="4"/>
      <c r="J281" s="4"/>
      <c r="K281" s="4"/>
      <c r="L281" s="4"/>
      <c r="M281" s="4"/>
      <c r="N281" s="4"/>
      <c r="O281" s="4"/>
      <c r="P281" s="4"/>
      <c r="Q281" s="4"/>
      <c r="R281" s="4"/>
      <c r="S281" s="4"/>
      <c r="T281" s="4"/>
      <c r="U281" s="4"/>
      <c r="V281" s="4"/>
      <c r="W281" s="4"/>
      <c r="X281" s="4"/>
      <c r="Y281" s="4"/>
      <c r="Z281" s="4"/>
      <c r="AA281" s="4"/>
      <c r="AB281" s="4"/>
      <c r="AC281" s="4"/>
      <c r="AD281" s="4"/>
      <c r="AE281" s="4"/>
    </row>
    <row r="282" ht="13.5" customHeight="1" spans="1:31" x14ac:dyDescent="0.25">
      <c r="A282" s="1"/>
      <c r="B282" s="4"/>
      <c r="C282" s="4"/>
      <c r="D282" s="4"/>
      <c r="E282" s="4"/>
      <c r="F282" s="4"/>
      <c r="G282" s="4"/>
      <c r="H282" s="4"/>
      <c r="I282" s="4"/>
      <c r="J282" s="4"/>
      <c r="K282" s="4"/>
      <c r="L282" s="4"/>
      <c r="M282" s="4"/>
      <c r="N282" s="4"/>
      <c r="O282" s="4"/>
      <c r="P282" s="4"/>
      <c r="Q282" s="4"/>
      <c r="R282" s="4"/>
      <c r="S282" s="4"/>
      <c r="T282" s="4"/>
      <c r="U282" s="4"/>
      <c r="V282" s="4"/>
      <c r="W282" s="4"/>
      <c r="X282" s="4"/>
      <c r="Y282" s="4"/>
      <c r="Z282" s="4"/>
      <c r="AA282" s="4"/>
      <c r="AB282" s="4"/>
      <c r="AC282" s="4"/>
      <c r="AD282" s="4"/>
      <c r="AE282" s="4"/>
    </row>
    <row r="283" ht="13.5" customHeight="1" spans="1:31" x14ac:dyDescent="0.25">
      <c r="A283" s="1"/>
      <c r="B283" s="4"/>
      <c r="C283" s="4"/>
      <c r="D283" s="4"/>
      <c r="E283" s="4"/>
      <c r="F283" s="4"/>
      <c r="G283" s="4"/>
      <c r="H283" s="4"/>
      <c r="I283" s="4"/>
      <c r="J283" s="4"/>
      <c r="K283" s="4"/>
      <c r="L283" s="4"/>
      <c r="M283" s="4"/>
      <c r="N283" s="4"/>
      <c r="O283" s="4"/>
      <c r="P283" s="4"/>
      <c r="Q283" s="4"/>
      <c r="R283" s="4"/>
      <c r="S283" s="4"/>
      <c r="T283" s="4"/>
      <c r="U283" s="4"/>
      <c r="V283" s="4"/>
      <c r="W283" s="4"/>
      <c r="X283" s="4"/>
      <c r="Y283" s="4"/>
      <c r="Z283" s="4"/>
      <c r="AA283" s="4"/>
      <c r="AB283" s="4"/>
      <c r="AC283" s="4"/>
      <c r="AD283" s="4"/>
      <c r="AE283" s="4"/>
    </row>
    <row r="284" ht="13.5" customHeight="1" spans="1:31" x14ac:dyDescent="0.25">
      <c r="A284" s="1"/>
      <c r="B284" s="4"/>
      <c r="C284" s="4"/>
      <c r="D284" s="4"/>
      <c r="E284" s="4"/>
      <c r="F284" s="4"/>
      <c r="G284" s="4"/>
      <c r="H284" s="4"/>
      <c r="I284" s="4"/>
      <c r="J284" s="4"/>
      <c r="K284" s="4"/>
      <c r="L284" s="4"/>
      <c r="M284" s="4"/>
      <c r="N284" s="4"/>
      <c r="O284" s="4"/>
      <c r="P284" s="4"/>
      <c r="Q284" s="4"/>
      <c r="R284" s="4"/>
      <c r="S284" s="4"/>
      <c r="T284" s="4"/>
      <c r="U284" s="4"/>
      <c r="V284" s="4"/>
      <c r="W284" s="4"/>
      <c r="X284" s="4"/>
      <c r="Y284" s="4"/>
      <c r="Z284" s="4"/>
      <c r="AA284" s="4"/>
      <c r="AB284" s="4"/>
      <c r="AC284" s="4"/>
      <c r="AD284" s="4"/>
      <c r="AE284" s="4"/>
    </row>
    <row r="285" ht="13.5" customHeight="1" spans="1:31" x14ac:dyDescent="0.25">
      <c r="A285" s="1"/>
      <c r="B285" s="4"/>
      <c r="C285" s="4"/>
      <c r="D285" s="4"/>
      <c r="E285" s="4"/>
      <c r="F285" s="4"/>
      <c r="G285" s="4"/>
      <c r="H285" s="4"/>
      <c r="I285" s="4"/>
      <c r="J285" s="4"/>
      <c r="K285" s="4"/>
      <c r="L285" s="4"/>
      <c r="M285" s="4"/>
      <c r="N285" s="4"/>
      <c r="O285" s="4"/>
      <c r="P285" s="4"/>
      <c r="Q285" s="4"/>
      <c r="R285" s="4"/>
      <c r="S285" s="4"/>
      <c r="T285" s="4"/>
      <c r="U285" s="4"/>
      <c r="V285" s="4"/>
      <c r="W285" s="4"/>
      <c r="X285" s="4"/>
      <c r="Y285" s="4"/>
      <c r="Z285" s="4"/>
      <c r="AA285" s="4"/>
      <c r="AB285" s="4"/>
      <c r="AC285" s="4"/>
      <c r="AD285" s="4"/>
      <c r="AE285" s="4"/>
    </row>
    <row r="286" ht="13.5" customHeight="1" spans="1:31" x14ac:dyDescent="0.25">
      <c r="A286" s="1"/>
      <c r="B286" s="4"/>
      <c r="C286" s="4"/>
      <c r="D286" s="4"/>
      <c r="E286" s="4"/>
      <c r="F286" s="4"/>
      <c r="G286" s="4"/>
      <c r="H286" s="4"/>
      <c r="I286" s="4"/>
      <c r="J286" s="4"/>
      <c r="K286" s="4"/>
      <c r="L286" s="4"/>
      <c r="M286" s="4"/>
      <c r="N286" s="4"/>
      <c r="O286" s="4"/>
      <c r="P286" s="4"/>
      <c r="Q286" s="4"/>
      <c r="R286" s="4"/>
      <c r="S286" s="4"/>
      <c r="T286" s="4"/>
      <c r="U286" s="4"/>
      <c r="V286" s="4"/>
      <c r="W286" s="4"/>
      <c r="X286" s="4"/>
      <c r="Y286" s="4"/>
      <c r="Z286" s="4"/>
      <c r="AA286" s="4"/>
      <c r="AB286" s="4"/>
      <c r="AC286" s="4"/>
      <c r="AD286" s="4"/>
      <c r="AE286" s="4"/>
    </row>
    <row r="287" ht="13.5" customHeight="1" spans="1:31" x14ac:dyDescent="0.25">
      <c r="A287" s="1"/>
      <c r="B287" s="4"/>
      <c r="C287" s="4"/>
      <c r="D287" s="4"/>
      <c r="E287" s="4"/>
      <c r="F287" s="4"/>
      <c r="G287" s="4"/>
      <c r="H287" s="4"/>
      <c r="I287" s="4"/>
      <c r="J287" s="4"/>
      <c r="K287" s="4"/>
      <c r="L287" s="4"/>
      <c r="M287" s="4"/>
      <c r="N287" s="4"/>
      <c r="O287" s="4"/>
      <c r="P287" s="4"/>
      <c r="Q287" s="4"/>
      <c r="R287" s="4"/>
      <c r="S287" s="4"/>
      <c r="T287" s="4"/>
      <c r="U287" s="4"/>
      <c r="V287" s="4"/>
      <c r="W287" s="4"/>
      <c r="X287" s="4"/>
      <c r="Y287" s="4"/>
      <c r="Z287" s="4"/>
      <c r="AA287" s="4"/>
      <c r="AB287" s="4"/>
      <c r="AC287" s="4"/>
      <c r="AD287" s="4"/>
      <c r="AE287" s="4"/>
    </row>
    <row r="288" ht="13.5" customHeight="1" spans="1:31" x14ac:dyDescent="0.25">
      <c r="A288" s="1"/>
      <c r="B288" s="4"/>
      <c r="C288" s="4"/>
      <c r="D288" s="4"/>
      <c r="E288" s="4"/>
      <c r="F288" s="4"/>
      <c r="G288" s="4"/>
      <c r="H288" s="4"/>
      <c r="I288" s="4"/>
      <c r="J288" s="4"/>
      <c r="K288" s="4"/>
      <c r="L288" s="4"/>
      <c r="M288" s="4"/>
      <c r="N288" s="4"/>
      <c r="O288" s="4"/>
      <c r="P288" s="4"/>
      <c r="Q288" s="4"/>
      <c r="R288" s="4"/>
      <c r="S288" s="4"/>
      <c r="T288" s="4"/>
      <c r="U288" s="4"/>
      <c r="V288" s="4"/>
      <c r="W288" s="4"/>
      <c r="X288" s="4"/>
      <c r="Y288" s="4"/>
      <c r="Z288" s="4"/>
      <c r="AA288" s="4"/>
      <c r="AB288" s="4"/>
      <c r="AC288" s="4"/>
      <c r="AD288" s="4"/>
      <c r="AE288" s="4"/>
    </row>
    <row r="289" ht="13.5" customHeight="1" spans="1:31" x14ac:dyDescent="0.25">
      <c r="A289" s="1"/>
      <c r="B289" s="4"/>
      <c r="C289" s="4"/>
      <c r="D289" s="4"/>
      <c r="E289" s="4"/>
      <c r="F289" s="4"/>
      <c r="G289" s="4"/>
      <c r="H289" s="4"/>
      <c r="I289" s="4"/>
      <c r="J289" s="4"/>
      <c r="K289" s="4"/>
      <c r="L289" s="4"/>
      <c r="M289" s="4"/>
      <c r="N289" s="4"/>
      <c r="O289" s="4"/>
      <c r="P289" s="4"/>
      <c r="Q289" s="4"/>
      <c r="R289" s="4"/>
      <c r="S289" s="4"/>
      <c r="T289" s="4"/>
      <c r="U289" s="4"/>
      <c r="V289" s="4"/>
      <c r="W289" s="4"/>
      <c r="X289" s="4"/>
      <c r="Y289" s="4"/>
      <c r="Z289" s="4"/>
      <c r="AA289" s="4"/>
      <c r="AB289" s="4"/>
      <c r="AC289" s="4"/>
      <c r="AD289" s="4"/>
      <c r="AE289" s="4"/>
    </row>
    <row r="290" ht="13.5" customHeight="1" spans="1:31" x14ac:dyDescent="0.25">
      <c r="A290" s="1"/>
      <c r="B290" s="4"/>
      <c r="C290" s="4"/>
      <c r="D290" s="4"/>
      <c r="E290" s="4"/>
      <c r="F290" s="4"/>
      <c r="G290" s="4"/>
      <c r="H290" s="4"/>
      <c r="I290" s="4"/>
      <c r="J290" s="4"/>
      <c r="K290" s="4"/>
      <c r="L290" s="4"/>
      <c r="M290" s="4"/>
      <c r="N290" s="4"/>
      <c r="O290" s="4"/>
      <c r="P290" s="4"/>
      <c r="Q290" s="4"/>
      <c r="R290" s="4"/>
      <c r="S290" s="4"/>
      <c r="T290" s="4"/>
      <c r="U290" s="4"/>
      <c r="V290" s="4"/>
      <c r="W290" s="4"/>
      <c r="X290" s="4"/>
      <c r="Y290" s="4"/>
      <c r="Z290" s="4"/>
      <c r="AA290" s="4"/>
      <c r="AB290" s="4"/>
      <c r="AC290" s="4"/>
      <c r="AD290" s="4"/>
      <c r="AE290" s="4"/>
    </row>
    <row r="291" ht="13.5" customHeight="1" spans="1:31" x14ac:dyDescent="0.25">
      <c r="A291" s="1"/>
      <c r="B291" s="4"/>
      <c r="C291" s="4"/>
      <c r="D291" s="4"/>
      <c r="E291" s="4"/>
      <c r="F291" s="4"/>
      <c r="G291" s="4"/>
      <c r="H291" s="4"/>
      <c r="I291" s="4"/>
      <c r="J291" s="4"/>
      <c r="K291" s="4"/>
      <c r="L291" s="4"/>
      <c r="M291" s="4"/>
      <c r="N291" s="4"/>
      <c r="O291" s="4"/>
      <c r="P291" s="4"/>
      <c r="Q291" s="4"/>
      <c r="R291" s="4"/>
      <c r="S291" s="4"/>
      <c r="T291" s="4"/>
      <c r="U291" s="4"/>
      <c r="V291" s="4"/>
      <c r="W291" s="4"/>
      <c r="X291" s="4"/>
      <c r="Y291" s="4"/>
      <c r="Z291" s="4"/>
      <c r="AA291" s="4"/>
      <c r="AB291" s="4"/>
      <c r="AC291" s="4"/>
      <c r="AD291" s="4"/>
      <c r="AE291" s="4"/>
    </row>
    <row r="292" ht="13.5" customHeight="1" spans="1:31" x14ac:dyDescent="0.25">
      <c r="A292" s="1"/>
      <c r="B292" s="4"/>
      <c r="C292" s="4"/>
      <c r="D292" s="4"/>
      <c r="E292" s="4"/>
      <c r="F292" s="4"/>
      <c r="G292" s="4"/>
      <c r="H292" s="4"/>
      <c r="I292" s="4"/>
      <c r="J292" s="4"/>
      <c r="K292" s="4"/>
      <c r="L292" s="4"/>
      <c r="M292" s="4"/>
      <c r="N292" s="4"/>
      <c r="O292" s="4"/>
      <c r="P292" s="4"/>
      <c r="Q292" s="4"/>
      <c r="R292" s="4"/>
      <c r="S292" s="4"/>
      <c r="T292" s="4"/>
      <c r="U292" s="4"/>
      <c r="V292" s="4"/>
      <c r="W292" s="4"/>
      <c r="X292" s="4"/>
      <c r="Y292" s="4"/>
      <c r="Z292" s="4"/>
      <c r="AA292" s="4"/>
      <c r="AB292" s="4"/>
      <c r="AC292" s="4"/>
      <c r="AD292" s="4"/>
      <c r="AE292" s="4"/>
    </row>
    <row r="293" ht="13.5" customHeight="1" spans="1:31" x14ac:dyDescent="0.25">
      <c r="A293" s="1"/>
      <c r="B293" s="4"/>
      <c r="C293" s="4"/>
      <c r="D293" s="4"/>
      <c r="E293" s="4"/>
      <c r="F293" s="4"/>
      <c r="G293" s="4"/>
      <c r="H293" s="4"/>
      <c r="I293" s="4"/>
      <c r="J293" s="4"/>
      <c r="K293" s="4"/>
      <c r="L293" s="4"/>
      <c r="M293" s="4"/>
      <c r="N293" s="4"/>
      <c r="O293" s="4"/>
      <c r="P293" s="4"/>
      <c r="Q293" s="4"/>
      <c r="R293" s="4"/>
      <c r="S293" s="4"/>
      <c r="T293" s="4"/>
      <c r="U293" s="4"/>
      <c r="V293" s="4"/>
      <c r="W293" s="4"/>
      <c r="X293" s="4"/>
      <c r="Y293" s="4"/>
      <c r="Z293" s="4"/>
      <c r="AA293" s="4"/>
      <c r="AB293" s="4"/>
      <c r="AC293" s="4"/>
      <c r="AD293" s="4"/>
      <c r="AE293" s="4"/>
    </row>
    <row r="294" ht="13.5" customHeight="1" spans="1:31" x14ac:dyDescent="0.25">
      <c r="A294" s="1"/>
      <c r="B294" s="4"/>
      <c r="C294" s="4"/>
      <c r="D294" s="4"/>
      <c r="E294" s="4"/>
      <c r="F294" s="4"/>
      <c r="G294" s="4"/>
      <c r="H294" s="4"/>
      <c r="I294" s="4"/>
      <c r="J294" s="4"/>
      <c r="K294" s="4"/>
      <c r="L294" s="4"/>
      <c r="M294" s="4"/>
      <c r="N294" s="4"/>
      <c r="O294" s="4"/>
      <c r="P294" s="4"/>
      <c r="Q294" s="4"/>
      <c r="R294" s="4"/>
      <c r="S294" s="4"/>
      <c r="T294" s="4"/>
      <c r="U294" s="4"/>
      <c r="V294" s="4"/>
      <c r="W294" s="4"/>
      <c r="X294" s="4"/>
      <c r="Y294" s="4"/>
      <c r="Z294" s="4"/>
      <c r="AA294" s="4"/>
      <c r="AB294" s="4"/>
      <c r="AC294" s="4"/>
      <c r="AD294" s="4"/>
      <c r="AE294" s="4"/>
    </row>
    <row r="295" ht="13.5" customHeight="1" spans="1:31" x14ac:dyDescent="0.25">
      <c r="A295" s="1"/>
      <c r="B295" s="4"/>
      <c r="C295" s="4"/>
      <c r="D295" s="4"/>
      <c r="E295" s="4"/>
      <c r="F295" s="4"/>
      <c r="G295" s="4"/>
      <c r="H295" s="4"/>
      <c r="I295" s="4"/>
      <c r="J295" s="4"/>
      <c r="K295" s="4"/>
      <c r="L295" s="4"/>
      <c r="M295" s="4"/>
      <c r="N295" s="4"/>
      <c r="O295" s="4"/>
      <c r="P295" s="4"/>
      <c r="Q295" s="4"/>
      <c r="R295" s="4"/>
      <c r="S295" s="4"/>
      <c r="T295" s="4"/>
      <c r="U295" s="4"/>
      <c r="V295" s="4"/>
      <c r="W295" s="4"/>
      <c r="X295" s="4"/>
      <c r="Y295" s="4"/>
      <c r="Z295" s="4"/>
      <c r="AA295" s="4"/>
      <c r="AB295" s="4"/>
      <c r="AC295" s="4"/>
      <c r="AD295" s="4"/>
      <c r="AE295" s="4"/>
    </row>
    <row r="296" ht="13.5" customHeight="1" spans="1:31" x14ac:dyDescent="0.25">
      <c r="A296" s="1"/>
      <c r="B296" s="4"/>
      <c r="C296" s="4"/>
      <c r="D296" s="4"/>
      <c r="E296" s="4"/>
      <c r="F296" s="4"/>
      <c r="G296" s="4"/>
      <c r="H296" s="4"/>
      <c r="I296" s="4"/>
      <c r="J296" s="4"/>
      <c r="K296" s="4"/>
      <c r="L296" s="4"/>
      <c r="M296" s="4"/>
      <c r="N296" s="4"/>
      <c r="O296" s="4"/>
      <c r="P296" s="4"/>
      <c r="Q296" s="4"/>
      <c r="R296" s="4"/>
      <c r="S296" s="4"/>
      <c r="T296" s="4"/>
      <c r="U296" s="4"/>
      <c r="V296" s="4"/>
      <c r="W296" s="4"/>
      <c r="X296" s="4"/>
      <c r="Y296" s="4"/>
      <c r="Z296" s="4"/>
      <c r="AA296" s="4"/>
      <c r="AB296" s="4"/>
      <c r="AC296" s="4"/>
      <c r="AD296" s="4"/>
      <c r="AE296" s="4"/>
    </row>
    <row r="297" ht="13.5" customHeight="1" spans="1:31" x14ac:dyDescent="0.25">
      <c r="A297" s="1"/>
      <c r="B297" s="4"/>
      <c r="C297" s="4"/>
      <c r="D297" s="4"/>
      <c r="E297" s="4"/>
      <c r="F297" s="4"/>
      <c r="G297" s="4"/>
      <c r="H297" s="4"/>
      <c r="I297" s="4"/>
      <c r="J297" s="4"/>
      <c r="K297" s="4"/>
      <c r="L297" s="4"/>
      <c r="M297" s="4"/>
      <c r="N297" s="4"/>
      <c r="O297" s="4"/>
      <c r="P297" s="4"/>
      <c r="Q297" s="4"/>
      <c r="R297" s="4"/>
      <c r="S297" s="4"/>
      <c r="T297" s="4"/>
      <c r="U297" s="4"/>
      <c r="V297" s="4"/>
      <c r="W297" s="4"/>
      <c r="X297" s="4"/>
      <c r="Y297" s="4"/>
      <c r="Z297" s="4"/>
      <c r="AA297" s="4"/>
      <c r="AB297" s="4"/>
      <c r="AC297" s="4"/>
      <c r="AD297" s="4"/>
      <c r="AE297" s="4"/>
    </row>
    <row r="298" ht="13.5" customHeight="1" spans="1:31" x14ac:dyDescent="0.25">
      <c r="A298" s="1"/>
      <c r="B298" s="4"/>
      <c r="C298" s="4"/>
      <c r="D298" s="4"/>
      <c r="E298" s="4"/>
      <c r="F298" s="4"/>
      <c r="G298" s="4"/>
      <c r="H298" s="4"/>
      <c r="I298" s="4"/>
      <c r="J298" s="4"/>
      <c r="K298" s="4"/>
      <c r="L298" s="4"/>
      <c r="M298" s="4"/>
      <c r="N298" s="4"/>
      <c r="O298" s="4"/>
      <c r="P298" s="4"/>
      <c r="Q298" s="4"/>
      <c r="R298" s="4"/>
      <c r="S298" s="4"/>
      <c r="T298" s="4"/>
      <c r="U298" s="4"/>
      <c r="V298" s="4"/>
      <c r="W298" s="4"/>
      <c r="X298" s="4"/>
      <c r="Y298" s="4"/>
      <c r="Z298" s="4"/>
      <c r="AA298" s="4"/>
      <c r="AB298" s="4"/>
      <c r="AC298" s="4"/>
      <c r="AD298" s="4"/>
      <c r="AE298" s="4"/>
    </row>
    <row r="299" ht="13.5" customHeight="1" spans="1:31" x14ac:dyDescent="0.25">
      <c r="A299" s="1"/>
      <c r="B299" s="4"/>
      <c r="C299" s="4"/>
      <c r="D299" s="4"/>
      <c r="E299" s="4"/>
      <c r="F299" s="4"/>
      <c r="G299" s="4"/>
      <c r="H299" s="4"/>
      <c r="I299" s="4"/>
      <c r="J299" s="4"/>
      <c r="K299" s="4"/>
      <c r="L299" s="4"/>
      <c r="M299" s="4"/>
      <c r="N299" s="4"/>
      <c r="O299" s="4"/>
      <c r="P299" s="4"/>
      <c r="Q299" s="4"/>
      <c r="R299" s="4"/>
      <c r="S299" s="4"/>
      <c r="T299" s="4"/>
      <c r="U299" s="4"/>
      <c r="V299" s="4"/>
      <c r="W299" s="4"/>
      <c r="X299" s="4"/>
      <c r="Y299" s="4"/>
      <c r="Z299" s="4"/>
      <c r="AA299" s="4"/>
      <c r="AB299" s="4"/>
      <c r="AC299" s="4"/>
      <c r="AD299" s="4"/>
      <c r="AE299" s="4"/>
    </row>
    <row r="300" ht="13.5" customHeight="1" spans="1:31" x14ac:dyDescent="0.25">
      <c r="A300" s="1"/>
      <c r="B300" s="4"/>
      <c r="C300" s="4"/>
      <c r="D300" s="4"/>
      <c r="E300" s="4"/>
      <c r="F300" s="4"/>
      <c r="G300" s="4"/>
      <c r="H300" s="4"/>
      <c r="I300" s="4"/>
      <c r="J300" s="4"/>
      <c r="K300" s="4"/>
      <c r="L300" s="4"/>
      <c r="M300" s="4"/>
      <c r="N300" s="4"/>
      <c r="O300" s="4"/>
      <c r="P300" s="4"/>
      <c r="Q300" s="4"/>
      <c r="R300" s="4"/>
      <c r="S300" s="4"/>
      <c r="T300" s="4"/>
      <c r="U300" s="4"/>
      <c r="V300" s="4"/>
      <c r="W300" s="4"/>
      <c r="X300" s="4"/>
      <c r="Y300" s="4"/>
      <c r="Z300" s="4"/>
      <c r="AA300" s="4"/>
      <c r="AB300" s="4"/>
      <c r="AC300" s="4"/>
      <c r="AD300" s="4"/>
      <c r="AE300" s="4"/>
    </row>
    <row r="301" ht="13.5" customHeight="1" spans="1:31" x14ac:dyDescent="0.25">
      <c r="A301" s="1"/>
      <c r="B301" s="4"/>
      <c r="C301" s="4"/>
      <c r="D301" s="4"/>
      <c r="E301" s="4"/>
      <c r="F301" s="4"/>
      <c r="G301" s="4"/>
      <c r="H301" s="4"/>
      <c r="I301" s="4"/>
      <c r="J301" s="4"/>
      <c r="K301" s="4"/>
      <c r="L301" s="4"/>
      <c r="M301" s="4"/>
      <c r="N301" s="4"/>
      <c r="O301" s="4"/>
      <c r="P301" s="4"/>
      <c r="Q301" s="4"/>
      <c r="R301" s="4"/>
      <c r="S301" s="4"/>
      <c r="T301" s="4"/>
      <c r="U301" s="4"/>
      <c r="V301" s="4"/>
      <c r="W301" s="4"/>
      <c r="X301" s="4"/>
      <c r="Y301" s="4"/>
      <c r="Z301" s="4"/>
      <c r="AA301" s="4"/>
      <c r="AB301" s="4"/>
      <c r="AC301" s="4"/>
      <c r="AD301" s="4"/>
      <c r="AE301" s="4"/>
    </row>
    <row r="302" ht="13.5" customHeight="1" spans="1:31" x14ac:dyDescent="0.25">
      <c r="A302" s="1"/>
      <c r="B302" s="4"/>
      <c r="C302" s="4"/>
      <c r="D302" s="4"/>
      <c r="E302" s="4"/>
      <c r="F302" s="4"/>
      <c r="G302" s="4"/>
      <c r="H302" s="4"/>
      <c r="I302" s="4"/>
      <c r="J302" s="4"/>
      <c r="K302" s="4"/>
      <c r="L302" s="4"/>
      <c r="M302" s="4"/>
      <c r="N302" s="4"/>
      <c r="O302" s="4"/>
      <c r="P302" s="4"/>
      <c r="Q302" s="4"/>
      <c r="R302" s="4"/>
      <c r="S302" s="4"/>
      <c r="T302" s="4"/>
      <c r="U302" s="4"/>
      <c r="V302" s="4"/>
      <c r="W302" s="4"/>
      <c r="X302" s="4"/>
      <c r="Y302" s="4"/>
      <c r="Z302" s="4"/>
      <c r="AA302" s="4"/>
      <c r="AB302" s="4"/>
      <c r="AC302" s="4"/>
      <c r="AD302" s="4"/>
      <c r="AE302" s="4"/>
    </row>
    <row r="303" ht="13.5" customHeight="1" spans="1:31" x14ac:dyDescent="0.25">
      <c r="A303" s="1"/>
      <c r="B303" s="4"/>
      <c r="C303" s="4"/>
      <c r="D303" s="4"/>
      <c r="E303" s="4"/>
      <c r="F303" s="4"/>
      <c r="G303" s="4"/>
      <c r="H303" s="4"/>
      <c r="I303" s="4"/>
      <c r="J303" s="4"/>
      <c r="K303" s="4"/>
      <c r="L303" s="4"/>
      <c r="M303" s="4"/>
      <c r="N303" s="4"/>
      <c r="O303" s="4"/>
      <c r="P303" s="4"/>
      <c r="Q303" s="4"/>
      <c r="R303" s="4"/>
      <c r="S303" s="4"/>
      <c r="T303" s="4"/>
      <c r="U303" s="4"/>
      <c r="V303" s="4"/>
      <c r="W303" s="4"/>
      <c r="X303" s="4"/>
      <c r="Y303" s="4"/>
      <c r="Z303" s="4"/>
      <c r="AA303" s="4"/>
      <c r="AB303" s="4"/>
      <c r="AC303" s="4"/>
      <c r="AD303" s="4"/>
      <c r="AE303" s="4"/>
    </row>
    <row r="304" ht="13.5" customHeight="1" spans="1:31" x14ac:dyDescent="0.25">
      <c r="A304" s="1"/>
      <c r="B304" s="4"/>
      <c r="C304" s="4"/>
      <c r="D304" s="4"/>
      <c r="E304" s="4"/>
      <c r="F304" s="4"/>
      <c r="G304" s="4"/>
      <c r="H304" s="4"/>
      <c r="I304" s="4"/>
      <c r="J304" s="4"/>
      <c r="K304" s="4"/>
      <c r="L304" s="4"/>
      <c r="M304" s="4"/>
      <c r="N304" s="4"/>
      <c r="O304" s="4"/>
      <c r="P304" s="4"/>
      <c r="Q304" s="4"/>
      <c r="R304" s="4"/>
      <c r="S304" s="4"/>
      <c r="T304" s="4"/>
      <c r="U304" s="4"/>
      <c r="V304" s="4"/>
      <c r="W304" s="4"/>
      <c r="X304" s="4"/>
      <c r="Y304" s="4"/>
      <c r="Z304" s="4"/>
      <c r="AA304" s="4"/>
      <c r="AB304" s="4"/>
      <c r="AC304" s="4"/>
      <c r="AD304" s="4"/>
      <c r="AE304" s="4"/>
    </row>
    <row r="305" ht="13.5" customHeight="1" spans="1:31" x14ac:dyDescent="0.25">
      <c r="A305" s="1"/>
      <c r="B305" s="4"/>
      <c r="C305" s="4"/>
      <c r="D305" s="4"/>
      <c r="E305" s="4"/>
      <c r="F305" s="4"/>
      <c r="G305" s="4"/>
      <c r="H305" s="4"/>
      <c r="I305" s="4"/>
      <c r="J305" s="4"/>
      <c r="K305" s="4"/>
      <c r="L305" s="4"/>
      <c r="M305" s="4"/>
      <c r="N305" s="4"/>
      <c r="O305" s="4"/>
      <c r="P305" s="4"/>
      <c r="Q305" s="4"/>
      <c r="R305" s="4"/>
      <c r="S305" s="4"/>
      <c r="T305" s="4"/>
      <c r="U305" s="4"/>
      <c r="V305" s="4"/>
      <c r="W305" s="4"/>
      <c r="X305" s="4"/>
      <c r="Y305" s="4"/>
      <c r="Z305" s="4"/>
      <c r="AA305" s="4"/>
      <c r="AB305" s="4"/>
      <c r="AC305" s="4"/>
      <c r="AD305" s="4"/>
      <c r="AE305" s="4"/>
    </row>
    <row r="306" ht="13.5" customHeight="1" spans="1:31" x14ac:dyDescent="0.25">
      <c r="A306" s="1"/>
      <c r="B306" s="4"/>
      <c r="C306" s="4"/>
      <c r="D306" s="4"/>
      <c r="E306" s="4"/>
      <c r="F306" s="4"/>
      <c r="G306" s="4"/>
      <c r="H306" s="4"/>
      <c r="I306" s="4"/>
      <c r="J306" s="4"/>
      <c r="K306" s="4"/>
      <c r="L306" s="4"/>
      <c r="M306" s="4"/>
      <c r="N306" s="4"/>
      <c r="O306" s="4"/>
      <c r="P306" s="4"/>
      <c r="Q306" s="4"/>
      <c r="R306" s="4"/>
      <c r="S306" s="4"/>
      <c r="T306" s="4"/>
      <c r="U306" s="4"/>
      <c r="V306" s="4"/>
      <c r="W306" s="4"/>
      <c r="X306" s="4"/>
      <c r="Y306" s="4"/>
      <c r="Z306" s="4"/>
      <c r="AA306" s="4"/>
      <c r="AB306" s="4"/>
      <c r="AC306" s="4"/>
      <c r="AD306" s="4"/>
      <c r="AE306" s="4"/>
    </row>
    <row r="307" ht="13.5" customHeight="1" spans="1:31" x14ac:dyDescent="0.25">
      <c r="A307" s="1"/>
      <c r="B307" s="4"/>
      <c r="C307" s="4"/>
      <c r="D307" s="4"/>
      <c r="E307" s="4"/>
      <c r="F307" s="4"/>
      <c r="G307" s="4"/>
      <c r="H307" s="4"/>
      <c r="I307" s="4"/>
      <c r="J307" s="4"/>
      <c r="K307" s="4"/>
      <c r="L307" s="4"/>
      <c r="M307" s="4"/>
      <c r="N307" s="4"/>
      <c r="O307" s="4"/>
      <c r="P307" s="4"/>
      <c r="Q307" s="4"/>
      <c r="R307" s="4"/>
      <c r="S307" s="4"/>
      <c r="T307" s="4"/>
      <c r="U307" s="4"/>
      <c r="V307" s="4"/>
      <c r="W307" s="4"/>
      <c r="X307" s="4"/>
      <c r="Y307" s="4"/>
      <c r="Z307" s="4"/>
      <c r="AA307" s="4"/>
      <c r="AB307" s="4"/>
      <c r="AC307" s="4"/>
      <c r="AD307" s="4"/>
      <c r="AE307" s="4"/>
    </row>
    <row r="308" ht="13.5" customHeight="1" spans="1:31" x14ac:dyDescent="0.25">
      <c r="A308" s="1"/>
      <c r="B308" s="4"/>
      <c r="C308" s="4"/>
      <c r="D308" s="4"/>
      <c r="E308" s="4"/>
      <c r="F308" s="4"/>
      <c r="G308" s="4"/>
      <c r="H308" s="4"/>
      <c r="I308" s="4"/>
      <c r="J308" s="4"/>
      <c r="K308" s="4"/>
      <c r="L308" s="4"/>
      <c r="M308" s="4"/>
      <c r="N308" s="4"/>
      <c r="O308" s="4"/>
      <c r="P308" s="4"/>
      <c r="Q308" s="4"/>
      <c r="R308" s="4"/>
      <c r="S308" s="4"/>
      <c r="T308" s="4"/>
      <c r="U308" s="4"/>
      <c r="V308" s="4"/>
      <c r="W308" s="4"/>
      <c r="X308" s="4"/>
      <c r="Y308" s="4"/>
      <c r="Z308" s="4"/>
      <c r="AA308" s="4"/>
      <c r="AB308" s="4"/>
      <c r="AC308" s="4"/>
      <c r="AD308" s="4"/>
      <c r="AE308" s="4"/>
    </row>
    <row r="309" ht="13.5" customHeight="1" spans="1:31" x14ac:dyDescent="0.25">
      <c r="A309" s="1"/>
      <c r="B309" s="4"/>
      <c r="C309" s="4"/>
      <c r="D309" s="4"/>
      <c r="E309" s="4"/>
      <c r="F309" s="4"/>
      <c r="G309" s="4"/>
      <c r="H309" s="4"/>
      <c r="I309" s="4"/>
      <c r="J309" s="4"/>
      <c r="K309" s="4"/>
      <c r="L309" s="4"/>
      <c r="M309" s="4"/>
      <c r="N309" s="4"/>
      <c r="O309" s="4"/>
      <c r="P309" s="4"/>
      <c r="Q309" s="4"/>
      <c r="R309" s="4"/>
      <c r="S309" s="4"/>
      <c r="T309" s="4"/>
      <c r="U309" s="4"/>
      <c r="V309" s="4"/>
      <c r="W309" s="4"/>
      <c r="X309" s="4"/>
      <c r="Y309" s="4"/>
      <c r="Z309" s="4"/>
      <c r="AA309" s="4"/>
      <c r="AB309" s="4"/>
      <c r="AC309" s="4"/>
      <c r="AD309" s="4"/>
      <c r="AE309" s="4"/>
    </row>
    <row r="310" ht="13.5" customHeight="1" spans="1:31" x14ac:dyDescent="0.25">
      <c r="A310" s="1"/>
      <c r="B310" s="4"/>
      <c r="C310" s="4"/>
      <c r="D310" s="4"/>
      <c r="E310" s="4"/>
      <c r="F310" s="4"/>
      <c r="G310" s="4"/>
      <c r="H310" s="4"/>
      <c r="I310" s="4"/>
      <c r="J310" s="4"/>
      <c r="K310" s="4"/>
      <c r="L310" s="4"/>
      <c r="M310" s="4"/>
      <c r="N310" s="4"/>
      <c r="O310" s="4"/>
      <c r="P310" s="4"/>
      <c r="Q310" s="4"/>
      <c r="R310" s="4"/>
      <c r="S310" s="4"/>
      <c r="T310" s="4"/>
      <c r="U310" s="4"/>
      <c r="V310" s="4"/>
      <c r="W310" s="4"/>
      <c r="X310" s="4"/>
      <c r="Y310" s="4"/>
      <c r="Z310" s="4"/>
      <c r="AA310" s="4"/>
      <c r="AB310" s="4"/>
      <c r="AC310" s="4"/>
      <c r="AD310" s="4"/>
      <c r="AE310" s="4"/>
    </row>
    <row r="311" ht="13.5" customHeight="1" spans="1:31" x14ac:dyDescent="0.25">
      <c r="A311" s="1"/>
      <c r="B311" s="4"/>
      <c r="C311" s="4"/>
      <c r="D311" s="4"/>
      <c r="E311" s="4"/>
      <c r="F311" s="4"/>
      <c r="G311" s="4"/>
      <c r="H311" s="4"/>
      <c r="I311" s="4"/>
      <c r="J311" s="4"/>
      <c r="K311" s="4"/>
      <c r="L311" s="4"/>
      <c r="M311" s="4"/>
      <c r="N311" s="4"/>
      <c r="O311" s="4"/>
      <c r="P311" s="4"/>
      <c r="Q311" s="4"/>
      <c r="R311" s="4"/>
      <c r="S311" s="4"/>
      <c r="T311" s="4"/>
      <c r="U311" s="4"/>
      <c r="V311" s="4"/>
      <c r="W311" s="4"/>
      <c r="X311" s="4"/>
      <c r="Y311" s="4"/>
      <c r="Z311" s="4"/>
      <c r="AA311" s="4"/>
      <c r="AB311" s="4"/>
      <c r="AC311" s="4"/>
      <c r="AD311" s="4"/>
      <c r="AE311" s="4"/>
    </row>
    <row r="312" ht="13.5" customHeight="1" spans="1:31" x14ac:dyDescent="0.25">
      <c r="A312" s="1"/>
      <c r="B312" s="4"/>
      <c r="C312" s="4"/>
      <c r="D312" s="4"/>
      <c r="E312" s="4"/>
      <c r="F312" s="4"/>
      <c r="G312" s="4"/>
      <c r="H312" s="4"/>
      <c r="I312" s="4"/>
      <c r="J312" s="4"/>
      <c r="K312" s="4"/>
      <c r="L312" s="4"/>
      <c r="M312" s="4"/>
      <c r="N312" s="4"/>
      <c r="O312" s="4"/>
      <c r="P312" s="4"/>
      <c r="Q312" s="4"/>
      <c r="R312" s="4"/>
      <c r="S312" s="4"/>
      <c r="T312" s="4"/>
      <c r="U312" s="4"/>
      <c r="V312" s="4"/>
      <c r="W312" s="4"/>
      <c r="X312" s="4"/>
      <c r="Y312" s="4"/>
      <c r="Z312" s="4"/>
      <c r="AA312" s="4"/>
      <c r="AB312" s="4"/>
      <c r="AC312" s="4"/>
      <c r="AD312" s="4"/>
      <c r="AE312" s="4"/>
    </row>
    <row r="313" ht="13.5" customHeight="1" spans="1:31" x14ac:dyDescent="0.25">
      <c r="A313" s="1"/>
      <c r="B313" s="4"/>
      <c r="C313" s="4"/>
      <c r="D313" s="4"/>
      <c r="E313" s="4"/>
      <c r="F313" s="4"/>
      <c r="G313" s="4"/>
      <c r="H313" s="4"/>
      <c r="I313" s="4"/>
      <c r="J313" s="4"/>
      <c r="K313" s="4"/>
      <c r="L313" s="4"/>
      <c r="M313" s="4"/>
      <c r="N313" s="4"/>
      <c r="O313" s="4"/>
      <c r="P313" s="4"/>
      <c r="Q313" s="4"/>
      <c r="R313" s="4"/>
      <c r="S313" s="4"/>
      <c r="T313" s="4"/>
      <c r="U313" s="4"/>
      <c r="V313" s="4"/>
      <c r="W313" s="4"/>
      <c r="X313" s="4"/>
      <c r="Y313" s="4"/>
      <c r="Z313" s="4"/>
      <c r="AA313" s="4"/>
      <c r="AB313" s="4"/>
      <c r="AC313" s="4"/>
      <c r="AD313" s="4"/>
      <c r="AE313" s="4"/>
    </row>
    <row r="314" ht="13.5" customHeight="1" spans="1:31" x14ac:dyDescent="0.25">
      <c r="A314" s="1"/>
      <c r="B314" s="4"/>
      <c r="C314" s="4"/>
      <c r="D314" s="4"/>
      <c r="E314" s="4"/>
      <c r="F314" s="4"/>
      <c r="G314" s="4"/>
      <c r="H314" s="4"/>
      <c r="I314" s="4"/>
      <c r="J314" s="4"/>
      <c r="K314" s="4"/>
      <c r="L314" s="4"/>
      <c r="M314" s="4"/>
      <c r="N314" s="4"/>
      <c r="O314" s="4"/>
      <c r="P314" s="4"/>
      <c r="Q314" s="4"/>
      <c r="R314" s="4"/>
      <c r="S314" s="4"/>
      <c r="T314" s="4"/>
      <c r="U314" s="4"/>
      <c r="V314" s="4"/>
      <c r="W314" s="4"/>
      <c r="X314" s="4"/>
      <c r="Y314" s="4"/>
      <c r="Z314" s="4"/>
      <c r="AA314" s="4"/>
      <c r="AB314" s="4"/>
      <c r="AC314" s="4"/>
      <c r="AD314" s="4"/>
      <c r="AE314" s="4"/>
    </row>
    <row r="315" ht="13.5" customHeight="1" spans="1:31" x14ac:dyDescent="0.25">
      <c r="A315" s="1"/>
      <c r="B315" s="4"/>
      <c r="C315" s="4"/>
      <c r="D315" s="4"/>
      <c r="E315" s="4"/>
      <c r="F315" s="4"/>
      <c r="G315" s="4"/>
      <c r="H315" s="4"/>
      <c r="I315" s="4"/>
      <c r="J315" s="4"/>
      <c r="K315" s="4"/>
      <c r="L315" s="4"/>
      <c r="M315" s="4"/>
      <c r="N315" s="4"/>
      <c r="O315" s="4"/>
      <c r="P315" s="4"/>
      <c r="Q315" s="4"/>
      <c r="R315" s="4"/>
      <c r="S315" s="4"/>
      <c r="T315" s="4"/>
      <c r="U315" s="4"/>
      <c r="V315" s="4"/>
      <c r="W315" s="4"/>
      <c r="X315" s="4"/>
      <c r="Y315" s="4"/>
      <c r="Z315" s="4"/>
      <c r="AA315" s="4"/>
      <c r="AB315" s="4"/>
      <c r="AC315" s="4"/>
      <c r="AD315" s="4"/>
      <c r="AE315" s="4"/>
    </row>
    <row r="316" ht="13.5" customHeight="1" spans="1:31" x14ac:dyDescent="0.25">
      <c r="A316" s="1"/>
      <c r="B316" s="4"/>
      <c r="C316" s="4"/>
      <c r="D316" s="4"/>
      <c r="E316" s="4"/>
      <c r="F316" s="4"/>
      <c r="G316" s="4"/>
      <c r="H316" s="4"/>
      <c r="I316" s="4"/>
      <c r="J316" s="4"/>
      <c r="K316" s="4"/>
      <c r="L316" s="4"/>
      <c r="M316" s="4"/>
      <c r="N316" s="4"/>
      <c r="O316" s="4"/>
      <c r="P316" s="4"/>
      <c r="Q316" s="4"/>
      <c r="R316" s="4"/>
      <c r="S316" s="4"/>
      <c r="T316" s="4"/>
      <c r="U316" s="4"/>
      <c r="V316" s="4"/>
      <c r="W316" s="4"/>
      <c r="X316" s="4"/>
      <c r="Y316" s="4"/>
      <c r="Z316" s="4"/>
      <c r="AA316" s="4"/>
      <c r="AB316" s="4"/>
      <c r="AC316" s="4"/>
      <c r="AD316" s="4"/>
      <c r="AE316" s="4"/>
    </row>
    <row r="317" ht="13.5" customHeight="1" spans="1:31" x14ac:dyDescent="0.25">
      <c r="A317" s="1"/>
      <c r="B317" s="4"/>
      <c r="C317" s="4"/>
      <c r="D317" s="4"/>
      <c r="E317" s="4"/>
      <c r="F317" s="4"/>
      <c r="G317" s="4"/>
      <c r="H317" s="4"/>
      <c r="I317" s="4"/>
      <c r="J317" s="4"/>
      <c r="K317" s="4"/>
      <c r="L317" s="4"/>
      <c r="M317" s="4"/>
      <c r="N317" s="4"/>
      <c r="O317" s="4"/>
      <c r="P317" s="4"/>
      <c r="Q317" s="4"/>
      <c r="R317" s="4"/>
      <c r="S317" s="4"/>
      <c r="T317" s="4"/>
      <c r="U317" s="4"/>
      <c r="V317" s="4"/>
      <c r="W317" s="4"/>
      <c r="X317" s="4"/>
      <c r="Y317" s="4"/>
      <c r="Z317" s="4"/>
      <c r="AA317" s="4"/>
      <c r="AB317" s="4"/>
      <c r="AC317" s="4"/>
      <c r="AD317" s="4"/>
      <c r="AE317" s="4"/>
    </row>
    <row r="318" ht="13.5" customHeight="1" spans="1:31" x14ac:dyDescent="0.25">
      <c r="A318" s="1"/>
      <c r="B318" s="4"/>
      <c r="C318" s="4"/>
      <c r="D318" s="4"/>
      <c r="E318" s="4"/>
      <c r="F318" s="4"/>
      <c r="G318" s="4"/>
      <c r="H318" s="4"/>
      <c r="I318" s="4"/>
      <c r="J318" s="4"/>
      <c r="K318" s="4"/>
      <c r="L318" s="4"/>
      <c r="M318" s="4"/>
      <c r="N318" s="4"/>
      <c r="O318" s="4"/>
      <c r="P318" s="4"/>
      <c r="Q318" s="4"/>
      <c r="R318" s="4"/>
      <c r="S318" s="4"/>
      <c r="T318" s="4"/>
      <c r="U318" s="4"/>
      <c r="V318" s="4"/>
      <c r="W318" s="4"/>
      <c r="X318" s="4"/>
      <c r="Y318" s="4"/>
      <c r="Z318" s="4"/>
      <c r="AA318" s="4"/>
      <c r="AB318" s="4"/>
      <c r="AC318" s="4"/>
      <c r="AD318" s="4"/>
      <c r="AE318" s="4"/>
    </row>
    <row r="319" ht="13.5" customHeight="1" spans="1:31" x14ac:dyDescent="0.25">
      <c r="A319" s="1"/>
      <c r="B319" s="4"/>
      <c r="C319" s="4"/>
      <c r="D319" s="4"/>
      <c r="E319" s="4"/>
      <c r="F319" s="4"/>
      <c r="G319" s="4"/>
      <c r="H319" s="4"/>
      <c r="I319" s="4"/>
      <c r="J319" s="4"/>
      <c r="K319" s="4"/>
      <c r="L319" s="4"/>
      <c r="M319" s="4"/>
      <c r="N319" s="4"/>
      <c r="O319" s="4"/>
      <c r="P319" s="4"/>
      <c r="Q319" s="4"/>
      <c r="R319" s="4"/>
      <c r="S319" s="4"/>
      <c r="T319" s="4"/>
      <c r="U319" s="4"/>
      <c r="V319" s="4"/>
      <c r="W319" s="4"/>
      <c r="X319" s="4"/>
      <c r="Y319" s="4"/>
      <c r="Z319" s="4"/>
      <c r="AA319" s="4"/>
      <c r="AB319" s="4"/>
      <c r="AC319" s="4"/>
      <c r="AD319" s="4"/>
      <c r="AE319" s="4"/>
    </row>
    <row r="320" ht="13.5" customHeight="1" spans="1:31" x14ac:dyDescent="0.25">
      <c r="A320" s="1"/>
      <c r="B320" s="4"/>
      <c r="C320" s="4"/>
      <c r="D320" s="4"/>
      <c r="E320" s="4"/>
      <c r="F320" s="4"/>
      <c r="G320" s="4"/>
      <c r="H320" s="4"/>
      <c r="I320" s="4"/>
      <c r="J320" s="4"/>
      <c r="K320" s="4"/>
      <c r="L320" s="4"/>
      <c r="M320" s="4"/>
      <c r="N320" s="4"/>
      <c r="O320" s="4"/>
      <c r="P320" s="4"/>
      <c r="Q320" s="4"/>
      <c r="R320" s="4"/>
      <c r="S320" s="4"/>
      <c r="T320" s="4"/>
      <c r="U320" s="4"/>
      <c r="V320" s="4"/>
      <c r="W320" s="4"/>
      <c r="X320" s="4"/>
      <c r="Y320" s="4"/>
      <c r="Z320" s="4"/>
      <c r="AA320" s="4"/>
      <c r="AB320" s="4"/>
      <c r="AC320" s="4"/>
      <c r="AD320" s="4"/>
      <c r="AE320" s="4"/>
    </row>
    <row r="321" ht="13.5" customHeight="1" spans="1:31" x14ac:dyDescent="0.25">
      <c r="A321" s="1"/>
      <c r="B321" s="4"/>
      <c r="C321" s="4"/>
      <c r="D321" s="4"/>
      <c r="E321" s="4"/>
      <c r="F321" s="4"/>
      <c r="G321" s="4"/>
      <c r="H321" s="4"/>
      <c r="I321" s="4"/>
      <c r="J321" s="4"/>
      <c r="K321" s="4"/>
      <c r="L321" s="4"/>
      <c r="M321" s="4"/>
      <c r="N321" s="4"/>
      <c r="O321" s="4"/>
      <c r="P321" s="4"/>
      <c r="Q321" s="4"/>
      <c r="R321" s="4"/>
      <c r="S321" s="4"/>
      <c r="T321" s="4"/>
      <c r="U321" s="4"/>
      <c r="V321" s="4"/>
      <c r="W321" s="4"/>
      <c r="X321" s="4"/>
      <c r="Y321" s="4"/>
      <c r="Z321" s="4"/>
      <c r="AA321" s="4"/>
      <c r="AB321" s="4"/>
      <c r="AC321" s="4"/>
      <c r="AD321" s="4"/>
      <c r="AE321" s="4"/>
    </row>
    <row r="322" ht="13.5" customHeight="1" spans="1:31" x14ac:dyDescent="0.25">
      <c r="A322" s="1"/>
      <c r="B322" s="4"/>
      <c r="C322" s="4"/>
      <c r="D322" s="4"/>
      <c r="E322" s="4"/>
      <c r="F322" s="4"/>
      <c r="G322" s="4"/>
      <c r="H322" s="4"/>
      <c r="I322" s="4"/>
      <c r="J322" s="4"/>
      <c r="K322" s="4"/>
      <c r="L322" s="4"/>
      <c r="M322" s="4"/>
      <c r="N322" s="4"/>
      <c r="O322" s="4"/>
      <c r="P322" s="4"/>
      <c r="Q322" s="4"/>
      <c r="R322" s="4"/>
      <c r="S322" s="4"/>
      <c r="T322" s="4"/>
      <c r="U322" s="4"/>
      <c r="V322" s="4"/>
      <c r="W322" s="4"/>
      <c r="X322" s="4"/>
      <c r="Y322" s="4"/>
      <c r="Z322" s="4"/>
      <c r="AA322" s="4"/>
      <c r="AB322" s="4"/>
      <c r="AC322" s="4"/>
      <c r="AD322" s="4"/>
      <c r="AE322" s="4"/>
    </row>
    <row r="323" ht="13.5" customHeight="1" spans="1:31" x14ac:dyDescent="0.25">
      <c r="A323" s="1"/>
      <c r="B323" s="4"/>
      <c r="C323" s="4"/>
      <c r="D323" s="4"/>
      <c r="E323" s="4"/>
      <c r="F323" s="4"/>
      <c r="G323" s="4"/>
      <c r="H323" s="4"/>
      <c r="I323" s="4"/>
      <c r="J323" s="4"/>
      <c r="K323" s="4"/>
      <c r="L323" s="4"/>
      <c r="M323" s="4"/>
      <c r="N323" s="4"/>
      <c r="O323" s="4"/>
      <c r="P323" s="4"/>
      <c r="Q323" s="4"/>
      <c r="R323" s="4"/>
      <c r="S323" s="4"/>
      <c r="T323" s="4"/>
      <c r="U323" s="4"/>
      <c r="V323" s="4"/>
      <c r="W323" s="4"/>
      <c r="X323" s="4"/>
      <c r="Y323" s="4"/>
      <c r="Z323" s="4"/>
      <c r="AA323" s="4"/>
      <c r="AB323" s="4"/>
      <c r="AC323" s="4"/>
      <c r="AD323" s="4"/>
      <c r="AE323" s="4"/>
    </row>
    <row r="324" ht="13.5" customHeight="1" spans="1:31" x14ac:dyDescent="0.25">
      <c r="A324" s="1"/>
      <c r="B324" s="4"/>
      <c r="C324" s="4"/>
      <c r="D324" s="4"/>
      <c r="E324" s="4"/>
      <c r="F324" s="4"/>
      <c r="G324" s="4"/>
      <c r="H324" s="4"/>
      <c r="I324" s="4"/>
      <c r="J324" s="4"/>
      <c r="K324" s="4"/>
      <c r="L324" s="4"/>
      <c r="M324" s="4"/>
      <c r="N324" s="4"/>
      <c r="O324" s="4"/>
      <c r="P324" s="4"/>
      <c r="Q324" s="4"/>
      <c r="R324" s="4"/>
      <c r="S324" s="4"/>
      <c r="T324" s="4"/>
      <c r="U324" s="4"/>
      <c r="V324" s="4"/>
      <c r="W324" s="4"/>
      <c r="X324" s="4"/>
      <c r="Y324" s="4"/>
      <c r="Z324" s="4"/>
      <c r="AA324" s="4"/>
      <c r="AB324" s="4"/>
      <c r="AC324" s="4"/>
      <c r="AD324" s="4"/>
      <c r="AE324" s="4"/>
    </row>
    <row r="325" ht="13.5" customHeight="1" spans="1:31" x14ac:dyDescent="0.25">
      <c r="A325" s="1"/>
      <c r="B325" s="4"/>
      <c r="C325" s="4"/>
      <c r="D325" s="4"/>
      <c r="E325" s="4"/>
      <c r="F325" s="4"/>
      <c r="G325" s="4"/>
      <c r="H325" s="4"/>
      <c r="I325" s="4"/>
      <c r="J325" s="4"/>
      <c r="K325" s="4"/>
      <c r="L325" s="4"/>
      <c r="M325" s="4"/>
      <c r="N325" s="4"/>
      <c r="O325" s="4"/>
      <c r="P325" s="4"/>
      <c r="Q325" s="4"/>
      <c r="R325" s="4"/>
      <c r="S325" s="4"/>
      <c r="T325" s="4"/>
      <c r="U325" s="4"/>
      <c r="V325" s="4"/>
      <c r="W325" s="4"/>
      <c r="X325" s="4"/>
      <c r="Y325" s="4"/>
      <c r="Z325" s="4"/>
      <c r="AA325" s="4"/>
      <c r="AB325" s="4"/>
      <c r="AC325" s="4"/>
      <c r="AD325" s="4"/>
      <c r="AE325" s="4"/>
    </row>
    <row r="326" ht="13.5" customHeight="1" spans="1:31" x14ac:dyDescent="0.25">
      <c r="A326" s="1"/>
      <c r="B326" s="4"/>
      <c r="C326" s="4"/>
      <c r="D326" s="4"/>
      <c r="E326" s="4"/>
      <c r="F326" s="4"/>
      <c r="G326" s="4"/>
      <c r="H326" s="4"/>
      <c r="I326" s="4"/>
      <c r="J326" s="4"/>
      <c r="K326" s="4"/>
      <c r="L326" s="4"/>
      <c r="M326" s="4"/>
      <c r="N326" s="4"/>
      <c r="O326" s="4"/>
      <c r="P326" s="4"/>
      <c r="Q326" s="4"/>
      <c r="R326" s="4"/>
      <c r="S326" s="4"/>
      <c r="T326" s="4"/>
      <c r="U326" s="4"/>
      <c r="V326" s="4"/>
      <c r="W326" s="4"/>
      <c r="X326" s="4"/>
      <c r="Y326" s="4"/>
      <c r="Z326" s="4"/>
      <c r="AA326" s="4"/>
      <c r="AB326" s="4"/>
      <c r="AC326" s="4"/>
      <c r="AD326" s="4"/>
      <c r="AE326" s="4"/>
    </row>
    <row r="327" ht="13.5" customHeight="1" spans="1:31" x14ac:dyDescent="0.25">
      <c r="A327" s="1"/>
      <c r="B327" s="4"/>
      <c r="C327" s="4"/>
      <c r="D327" s="4"/>
      <c r="E327" s="4"/>
      <c r="F327" s="4"/>
      <c r="G327" s="4"/>
      <c r="H327" s="4"/>
      <c r="I327" s="4"/>
      <c r="J327" s="4"/>
      <c r="K327" s="4"/>
      <c r="L327" s="4"/>
      <c r="M327" s="4"/>
      <c r="N327" s="4"/>
      <c r="O327" s="4"/>
      <c r="P327" s="4"/>
      <c r="Q327" s="4"/>
      <c r="R327" s="4"/>
      <c r="S327" s="4"/>
      <c r="T327" s="4"/>
      <c r="U327" s="4"/>
      <c r="V327" s="4"/>
      <c r="W327" s="4"/>
      <c r="X327" s="4"/>
      <c r="Y327" s="4"/>
      <c r="Z327" s="4"/>
      <c r="AA327" s="4"/>
      <c r="AB327" s="4"/>
      <c r="AC327" s="4"/>
      <c r="AD327" s="4"/>
      <c r="AE327" s="4"/>
    </row>
    <row r="328" ht="13.5" customHeight="1" spans="1:31" x14ac:dyDescent="0.25">
      <c r="A328" s="1"/>
      <c r="B328" s="4"/>
      <c r="C328" s="4"/>
      <c r="D328" s="4"/>
      <c r="E328" s="4"/>
      <c r="F328" s="4"/>
      <c r="G328" s="4"/>
      <c r="H328" s="4"/>
      <c r="I328" s="4"/>
      <c r="J328" s="4"/>
      <c r="K328" s="4"/>
      <c r="L328" s="4"/>
      <c r="M328" s="4"/>
      <c r="N328" s="4"/>
      <c r="O328" s="4"/>
      <c r="P328" s="4"/>
      <c r="Q328" s="4"/>
      <c r="R328" s="4"/>
      <c r="S328" s="4"/>
      <c r="T328" s="4"/>
      <c r="U328" s="4"/>
      <c r="V328" s="4"/>
      <c r="W328" s="4"/>
      <c r="X328" s="4"/>
      <c r="Y328" s="4"/>
      <c r="Z328" s="4"/>
      <c r="AA328" s="4"/>
      <c r="AB328" s="4"/>
      <c r="AC328" s="4"/>
      <c r="AD328" s="4"/>
      <c r="AE328" s="4"/>
    </row>
    <row r="329" ht="13.5" customHeight="1" spans="1:31" x14ac:dyDescent="0.25">
      <c r="A329" s="1"/>
      <c r="B329" s="4"/>
      <c r="C329" s="4"/>
      <c r="D329" s="4"/>
      <c r="E329" s="4"/>
      <c r="F329" s="4"/>
      <c r="G329" s="4"/>
      <c r="H329" s="4"/>
      <c r="I329" s="4"/>
      <c r="J329" s="4"/>
      <c r="K329" s="4"/>
      <c r="L329" s="4"/>
      <c r="M329" s="4"/>
      <c r="N329" s="4"/>
      <c r="O329" s="4"/>
      <c r="P329" s="4"/>
      <c r="Q329" s="4"/>
      <c r="R329" s="4"/>
      <c r="S329" s="4"/>
      <c r="T329" s="4"/>
      <c r="U329" s="4"/>
      <c r="V329" s="4"/>
      <c r="W329" s="4"/>
      <c r="X329" s="4"/>
      <c r="Y329" s="4"/>
      <c r="Z329" s="4"/>
      <c r="AA329" s="4"/>
      <c r="AB329" s="4"/>
      <c r="AC329" s="4"/>
      <c r="AD329" s="4"/>
      <c r="AE329" s="4"/>
    </row>
    <row r="330" ht="13.5" customHeight="1" spans="1:31" x14ac:dyDescent="0.25">
      <c r="A330" s="1"/>
      <c r="B330" s="4"/>
      <c r="C330" s="4"/>
      <c r="D330" s="4"/>
      <c r="E330" s="4"/>
      <c r="F330" s="4"/>
      <c r="G330" s="4"/>
      <c r="H330" s="4"/>
      <c r="I330" s="4"/>
      <c r="J330" s="4"/>
      <c r="K330" s="4"/>
      <c r="L330" s="4"/>
      <c r="M330" s="4"/>
      <c r="N330" s="4"/>
      <c r="O330" s="4"/>
      <c r="P330" s="4"/>
      <c r="Q330" s="4"/>
      <c r="R330" s="4"/>
      <c r="S330" s="4"/>
      <c r="T330" s="4"/>
      <c r="U330" s="4"/>
      <c r="V330" s="4"/>
      <c r="W330" s="4"/>
      <c r="X330" s="4"/>
      <c r="Y330" s="4"/>
      <c r="Z330" s="4"/>
      <c r="AA330" s="4"/>
      <c r="AB330" s="4"/>
      <c r="AC330" s="4"/>
      <c r="AD330" s="4"/>
      <c r="AE330" s="4"/>
    </row>
    <row r="331" ht="13.5" customHeight="1" spans="1:31" x14ac:dyDescent="0.25">
      <c r="A331" s="1"/>
      <c r="B331" s="4"/>
      <c r="C331" s="4"/>
      <c r="D331" s="4"/>
      <c r="E331" s="4"/>
      <c r="F331" s="4"/>
      <c r="G331" s="4"/>
      <c r="H331" s="4"/>
      <c r="I331" s="4"/>
      <c r="J331" s="4"/>
      <c r="K331" s="4"/>
      <c r="L331" s="4"/>
      <c r="M331" s="4"/>
      <c r="N331" s="4"/>
      <c r="O331" s="4"/>
      <c r="P331" s="4"/>
      <c r="Q331" s="4"/>
      <c r="R331" s="4"/>
      <c r="S331" s="4"/>
      <c r="T331" s="4"/>
      <c r="U331" s="4"/>
      <c r="V331" s="4"/>
      <c r="W331" s="4"/>
      <c r="X331" s="4"/>
      <c r="Y331" s="4"/>
      <c r="Z331" s="4"/>
      <c r="AA331" s="4"/>
      <c r="AB331" s="4"/>
      <c r="AC331" s="4"/>
      <c r="AD331" s="4"/>
      <c r="AE331" s="4"/>
    </row>
    <row r="332" ht="13.5" customHeight="1" spans="1:31" x14ac:dyDescent="0.25">
      <c r="A332" s="1"/>
      <c r="B332" s="4"/>
      <c r="C332" s="4"/>
      <c r="D332" s="4"/>
      <c r="E332" s="4"/>
      <c r="F332" s="4"/>
      <c r="G332" s="4"/>
      <c r="H332" s="4"/>
      <c r="I332" s="4"/>
      <c r="J332" s="4"/>
      <c r="K332" s="4"/>
      <c r="L332" s="4"/>
      <c r="M332" s="4"/>
      <c r="N332" s="4"/>
      <c r="O332" s="4"/>
      <c r="P332" s="4"/>
      <c r="Q332" s="4"/>
      <c r="R332" s="4"/>
      <c r="S332" s="4"/>
      <c r="T332" s="4"/>
      <c r="U332" s="4"/>
      <c r="V332" s="4"/>
      <c r="W332" s="4"/>
      <c r="X332" s="4"/>
      <c r="Y332" s="4"/>
      <c r="Z332" s="4"/>
      <c r="AA332" s="4"/>
      <c r="AB332" s="4"/>
      <c r="AC332" s="4"/>
      <c r="AD332" s="4"/>
      <c r="AE332" s="4"/>
    </row>
    <row r="333" ht="13.5" customHeight="1" spans="1:31" x14ac:dyDescent="0.25">
      <c r="A333" s="1"/>
      <c r="B333" s="4"/>
      <c r="C333" s="4"/>
      <c r="D333" s="4"/>
      <c r="E333" s="4"/>
      <c r="F333" s="4"/>
      <c r="G333" s="4"/>
      <c r="H333" s="4"/>
      <c r="I333" s="4"/>
      <c r="J333" s="4"/>
      <c r="K333" s="4"/>
      <c r="L333" s="4"/>
      <c r="M333" s="4"/>
      <c r="N333" s="4"/>
      <c r="O333" s="4"/>
      <c r="P333" s="4"/>
      <c r="Q333" s="4"/>
      <c r="R333" s="4"/>
      <c r="S333" s="4"/>
      <c r="T333" s="4"/>
      <c r="U333" s="4"/>
      <c r="V333" s="4"/>
      <c r="W333" s="4"/>
      <c r="X333" s="4"/>
      <c r="Y333" s="4"/>
      <c r="Z333" s="4"/>
      <c r="AA333" s="4"/>
      <c r="AB333" s="4"/>
      <c r="AC333" s="4"/>
      <c r="AD333" s="4"/>
      <c r="AE333" s="4"/>
    </row>
    <row r="334" ht="13.5" customHeight="1" spans="1:31" x14ac:dyDescent="0.25">
      <c r="A334" s="1"/>
      <c r="B334" s="4"/>
      <c r="C334" s="4"/>
      <c r="D334" s="4"/>
      <c r="E334" s="4"/>
      <c r="F334" s="4"/>
      <c r="G334" s="4"/>
      <c r="H334" s="4"/>
      <c r="I334" s="4"/>
      <c r="J334" s="4"/>
      <c r="K334" s="4"/>
      <c r="L334" s="4"/>
      <c r="M334" s="4"/>
      <c r="N334" s="4"/>
      <c r="O334" s="4"/>
      <c r="P334" s="4"/>
      <c r="Q334" s="4"/>
      <c r="R334" s="4"/>
      <c r="S334" s="4"/>
      <c r="T334" s="4"/>
      <c r="U334" s="4"/>
      <c r="V334" s="4"/>
      <c r="W334" s="4"/>
      <c r="X334" s="4"/>
      <c r="Y334" s="4"/>
      <c r="Z334" s="4"/>
      <c r="AA334" s="4"/>
      <c r="AB334" s="4"/>
      <c r="AC334" s="4"/>
      <c r="AD334" s="4"/>
      <c r="AE334" s="4"/>
    </row>
    <row r="335" ht="13.5" customHeight="1" spans="1:31" x14ac:dyDescent="0.25">
      <c r="A335" s="1"/>
      <c r="B335" s="4"/>
      <c r="C335" s="4"/>
      <c r="D335" s="4"/>
      <c r="E335" s="4"/>
      <c r="F335" s="4"/>
      <c r="G335" s="4"/>
      <c r="H335" s="4"/>
      <c r="I335" s="4"/>
      <c r="J335" s="4"/>
      <c r="K335" s="4"/>
      <c r="L335" s="4"/>
      <c r="M335" s="4"/>
      <c r="N335" s="4"/>
      <c r="O335" s="4"/>
      <c r="P335" s="4"/>
      <c r="Q335" s="4"/>
      <c r="R335" s="4"/>
      <c r="S335" s="4"/>
      <c r="T335" s="4"/>
      <c r="U335" s="4"/>
      <c r="V335" s="4"/>
      <c r="W335" s="4"/>
      <c r="X335" s="4"/>
      <c r="Y335" s="4"/>
      <c r="Z335" s="4"/>
      <c r="AA335" s="4"/>
      <c r="AB335" s="4"/>
      <c r="AC335" s="4"/>
      <c r="AD335" s="4"/>
      <c r="AE335" s="4"/>
    </row>
    <row r="336" ht="13.5" customHeight="1" spans="1:31" x14ac:dyDescent="0.25">
      <c r="A336" s="1"/>
      <c r="B336" s="4"/>
      <c r="C336" s="4"/>
      <c r="D336" s="4"/>
      <c r="E336" s="4"/>
      <c r="F336" s="4"/>
      <c r="G336" s="4"/>
      <c r="H336" s="4"/>
      <c r="I336" s="4"/>
      <c r="J336" s="4"/>
      <c r="K336" s="4"/>
      <c r="L336" s="4"/>
      <c r="M336" s="4"/>
      <c r="N336" s="4"/>
      <c r="O336" s="4"/>
      <c r="P336" s="4"/>
      <c r="Q336" s="4"/>
      <c r="R336" s="4"/>
      <c r="S336" s="4"/>
      <c r="T336" s="4"/>
      <c r="U336" s="4"/>
      <c r="V336" s="4"/>
      <c r="W336" s="4"/>
      <c r="X336" s="4"/>
      <c r="Y336" s="4"/>
      <c r="Z336" s="4"/>
      <c r="AA336" s="4"/>
      <c r="AB336" s="4"/>
      <c r="AC336" s="4"/>
      <c r="AD336" s="4"/>
      <c r="AE336" s="4"/>
    </row>
    <row r="337" ht="13.5" customHeight="1" spans="1:31" x14ac:dyDescent="0.25">
      <c r="A337" s="1"/>
      <c r="B337" s="4"/>
      <c r="C337" s="4"/>
      <c r="D337" s="4"/>
      <c r="E337" s="4"/>
      <c r="F337" s="4"/>
      <c r="G337" s="4"/>
      <c r="H337" s="4"/>
      <c r="I337" s="4"/>
      <c r="J337" s="4"/>
      <c r="K337" s="4"/>
      <c r="L337" s="4"/>
      <c r="M337" s="4"/>
      <c r="N337" s="4"/>
      <c r="O337" s="4"/>
      <c r="P337" s="4"/>
      <c r="Q337" s="4"/>
      <c r="R337" s="4"/>
      <c r="S337" s="4"/>
      <c r="T337" s="4"/>
      <c r="U337" s="4"/>
      <c r="V337" s="4"/>
      <c r="W337" s="4"/>
      <c r="X337" s="4"/>
      <c r="Y337" s="4"/>
      <c r="Z337" s="4"/>
      <c r="AA337" s="4"/>
      <c r="AB337" s="4"/>
      <c r="AC337" s="4"/>
      <c r="AD337" s="4"/>
      <c r="AE337" s="4"/>
    </row>
    <row r="338" ht="13.5" customHeight="1" spans="1:31" x14ac:dyDescent="0.25">
      <c r="A338" s="1"/>
      <c r="B338" s="4"/>
      <c r="C338" s="4"/>
      <c r="D338" s="4"/>
      <c r="E338" s="4"/>
      <c r="F338" s="4"/>
      <c r="G338" s="4"/>
      <c r="H338" s="4"/>
      <c r="I338" s="4"/>
      <c r="J338" s="4"/>
      <c r="K338" s="4"/>
      <c r="L338" s="4"/>
      <c r="M338" s="4"/>
      <c r="N338" s="4"/>
      <c r="O338" s="4"/>
      <c r="P338" s="4"/>
      <c r="Q338" s="4"/>
      <c r="R338" s="4"/>
      <c r="S338" s="4"/>
      <c r="T338" s="4"/>
      <c r="U338" s="4"/>
      <c r="V338" s="4"/>
      <c r="W338" s="4"/>
      <c r="X338" s="4"/>
      <c r="Y338" s="4"/>
      <c r="Z338" s="4"/>
      <c r="AA338" s="4"/>
      <c r="AB338" s="4"/>
      <c r="AC338" s="4"/>
      <c r="AD338" s="4"/>
      <c r="AE338" s="4"/>
    </row>
    <row r="339" ht="13.5" customHeight="1" spans="1:31" x14ac:dyDescent="0.25">
      <c r="A339" s="1"/>
      <c r="B339" s="4"/>
      <c r="C339" s="4"/>
      <c r="D339" s="4"/>
      <c r="E339" s="4"/>
      <c r="F339" s="4"/>
      <c r="G339" s="4"/>
      <c r="H339" s="4"/>
      <c r="I339" s="4"/>
      <c r="J339" s="4"/>
      <c r="K339" s="4"/>
      <c r="L339" s="4"/>
      <c r="M339" s="4"/>
      <c r="N339" s="4"/>
      <c r="O339" s="4"/>
      <c r="P339" s="4"/>
      <c r="Q339" s="4"/>
      <c r="R339" s="4"/>
      <c r="S339" s="4"/>
      <c r="T339" s="4"/>
      <c r="U339" s="4"/>
      <c r="V339" s="4"/>
      <c r="W339" s="4"/>
      <c r="X339" s="4"/>
      <c r="Y339" s="4"/>
      <c r="Z339" s="4"/>
      <c r="AA339" s="4"/>
      <c r="AB339" s="4"/>
      <c r="AC339" s="4"/>
      <c r="AD339" s="4"/>
      <c r="AE339" s="4"/>
    </row>
    <row r="340" ht="13.5" customHeight="1" spans="1:31" x14ac:dyDescent="0.25">
      <c r="A340" s="1"/>
      <c r="B340" s="4"/>
      <c r="C340" s="4"/>
      <c r="D340" s="4"/>
      <c r="E340" s="4"/>
      <c r="F340" s="4"/>
      <c r="G340" s="4"/>
      <c r="H340" s="4"/>
      <c r="I340" s="4"/>
      <c r="J340" s="4"/>
      <c r="K340" s="4"/>
      <c r="L340" s="4"/>
      <c r="M340" s="4"/>
      <c r="N340" s="4"/>
      <c r="O340" s="4"/>
      <c r="P340" s="4"/>
      <c r="Q340" s="4"/>
      <c r="R340" s="4"/>
      <c r="S340" s="4"/>
      <c r="T340" s="4"/>
      <c r="U340" s="4"/>
      <c r="V340" s="4"/>
      <c r="W340" s="4"/>
      <c r="X340" s="4"/>
      <c r="Y340" s="4"/>
      <c r="Z340" s="4"/>
      <c r="AA340" s="4"/>
      <c r="AB340" s="4"/>
      <c r="AC340" s="4"/>
      <c r="AD340" s="4"/>
      <c r="AE340" s="4"/>
    </row>
    <row r="341" ht="13.5" customHeight="1" spans="1:31" x14ac:dyDescent="0.25">
      <c r="A341" s="1"/>
      <c r="B341" s="4"/>
      <c r="C341" s="4"/>
      <c r="D341" s="4"/>
      <c r="E341" s="4"/>
      <c r="F341" s="4"/>
      <c r="G341" s="4"/>
      <c r="H341" s="4"/>
      <c r="I341" s="4"/>
      <c r="J341" s="4"/>
      <c r="K341" s="4"/>
      <c r="L341" s="4"/>
      <c r="M341" s="4"/>
      <c r="N341" s="4"/>
      <c r="O341" s="4"/>
      <c r="P341" s="4"/>
      <c r="Q341" s="4"/>
      <c r="R341" s="4"/>
      <c r="S341" s="4"/>
      <c r="T341" s="4"/>
      <c r="U341" s="4"/>
      <c r="V341" s="4"/>
      <c r="W341" s="4"/>
      <c r="X341" s="4"/>
      <c r="Y341" s="4"/>
      <c r="Z341" s="4"/>
      <c r="AA341" s="4"/>
      <c r="AB341" s="4"/>
      <c r="AC341" s="4"/>
      <c r="AD341" s="4"/>
      <c r="AE341" s="4"/>
    </row>
    <row r="342" ht="13.5" customHeight="1" spans="1:31" x14ac:dyDescent="0.25">
      <c r="A342" s="1"/>
      <c r="B342" s="4"/>
      <c r="C342" s="4"/>
      <c r="D342" s="4"/>
      <c r="E342" s="4"/>
      <c r="F342" s="4"/>
      <c r="G342" s="4"/>
      <c r="H342" s="4"/>
      <c r="I342" s="4"/>
      <c r="J342" s="4"/>
      <c r="K342" s="4"/>
      <c r="L342" s="4"/>
      <c r="M342" s="4"/>
      <c r="N342" s="4"/>
      <c r="O342" s="4"/>
      <c r="P342" s="4"/>
      <c r="Q342" s="4"/>
      <c r="R342" s="4"/>
      <c r="S342" s="4"/>
      <c r="T342" s="4"/>
      <c r="U342" s="4"/>
      <c r="V342" s="4"/>
      <c r="W342" s="4"/>
      <c r="X342" s="4"/>
      <c r="Y342" s="4"/>
      <c r="Z342" s="4"/>
      <c r="AA342" s="4"/>
      <c r="AB342" s="4"/>
      <c r="AC342" s="4"/>
      <c r="AD342" s="4"/>
      <c r="AE342" s="4"/>
    </row>
    <row r="343" ht="13.5" customHeight="1" spans="1:31" x14ac:dyDescent="0.25">
      <c r="A343" s="1"/>
      <c r="B343" s="4"/>
      <c r="C343" s="4"/>
      <c r="D343" s="4"/>
      <c r="E343" s="4"/>
      <c r="F343" s="4"/>
      <c r="G343" s="4"/>
      <c r="H343" s="4"/>
      <c r="I343" s="4"/>
      <c r="J343" s="4"/>
      <c r="K343" s="4"/>
      <c r="L343" s="4"/>
      <c r="M343" s="4"/>
      <c r="N343" s="4"/>
      <c r="O343" s="4"/>
      <c r="P343" s="4"/>
      <c r="Q343" s="4"/>
      <c r="R343" s="4"/>
      <c r="S343" s="4"/>
      <c r="T343" s="4"/>
      <c r="U343" s="4"/>
      <c r="V343" s="4"/>
      <c r="W343" s="4"/>
      <c r="X343" s="4"/>
      <c r="Y343" s="4"/>
      <c r="Z343" s="4"/>
      <c r="AA343" s="4"/>
      <c r="AB343" s="4"/>
      <c r="AC343" s="4"/>
      <c r="AD343" s="4"/>
      <c r="AE343" s="4"/>
    </row>
    <row r="344" ht="13.5" customHeight="1" spans="1:31" x14ac:dyDescent="0.25">
      <c r="A344" s="1"/>
      <c r="B344" s="4"/>
      <c r="C344" s="4"/>
      <c r="D344" s="4"/>
      <c r="E344" s="4"/>
      <c r="F344" s="4"/>
      <c r="G344" s="4"/>
      <c r="H344" s="4"/>
      <c r="I344" s="4"/>
      <c r="J344" s="4"/>
      <c r="K344" s="4"/>
      <c r="L344" s="4"/>
      <c r="M344" s="4"/>
      <c r="N344" s="4"/>
      <c r="O344" s="4"/>
      <c r="P344" s="4"/>
      <c r="Q344" s="4"/>
      <c r="R344" s="4"/>
      <c r="S344" s="4"/>
      <c r="T344" s="4"/>
      <c r="U344" s="4"/>
      <c r="V344" s="4"/>
      <c r="W344" s="4"/>
      <c r="X344" s="4"/>
      <c r="Y344" s="4"/>
      <c r="Z344" s="4"/>
      <c r="AA344" s="4"/>
      <c r="AB344" s="4"/>
      <c r="AC344" s="4"/>
      <c r="AD344" s="4"/>
      <c r="AE344" s="4"/>
    </row>
    <row r="345" ht="13.5" customHeight="1" spans="1:31" x14ac:dyDescent="0.25">
      <c r="A345" s="1"/>
      <c r="B345" s="4"/>
      <c r="C345" s="4"/>
      <c r="D345" s="4"/>
      <c r="E345" s="4"/>
      <c r="F345" s="4"/>
      <c r="G345" s="4"/>
      <c r="H345" s="4"/>
      <c r="I345" s="4"/>
      <c r="J345" s="4"/>
      <c r="K345" s="4"/>
      <c r="L345" s="4"/>
      <c r="M345" s="4"/>
      <c r="N345" s="4"/>
      <c r="O345" s="4"/>
      <c r="P345" s="4"/>
      <c r="Q345" s="4"/>
      <c r="R345" s="4"/>
      <c r="S345" s="4"/>
      <c r="T345" s="4"/>
      <c r="U345" s="4"/>
      <c r="V345" s="4"/>
      <c r="W345" s="4"/>
      <c r="X345" s="4"/>
      <c r="Y345" s="4"/>
      <c r="Z345" s="4"/>
      <c r="AA345" s="4"/>
      <c r="AB345" s="4"/>
      <c r="AC345" s="4"/>
      <c r="AD345" s="4"/>
      <c r="AE345" s="4"/>
    </row>
    <row r="346" ht="13.5" customHeight="1" spans="1:31" x14ac:dyDescent="0.25">
      <c r="A346" s="1"/>
      <c r="B346" s="4"/>
      <c r="C346" s="4"/>
      <c r="D346" s="4"/>
      <c r="E346" s="4"/>
      <c r="F346" s="4"/>
      <c r="G346" s="4"/>
      <c r="H346" s="4"/>
      <c r="I346" s="4"/>
      <c r="J346" s="4"/>
      <c r="K346" s="4"/>
      <c r="L346" s="4"/>
      <c r="M346" s="4"/>
      <c r="N346" s="4"/>
      <c r="O346" s="4"/>
      <c r="P346" s="4"/>
      <c r="Q346" s="4"/>
      <c r="R346" s="4"/>
      <c r="S346" s="4"/>
      <c r="T346" s="4"/>
      <c r="U346" s="4"/>
      <c r="V346" s="4"/>
      <c r="W346" s="4"/>
      <c r="X346" s="4"/>
      <c r="Y346" s="4"/>
      <c r="Z346" s="4"/>
      <c r="AA346" s="4"/>
      <c r="AB346" s="4"/>
      <c r="AC346" s="4"/>
      <c r="AD346" s="4"/>
      <c r="AE346" s="4"/>
    </row>
    <row r="347" ht="13.5" customHeight="1" spans="1:31" x14ac:dyDescent="0.25">
      <c r="A347" s="1"/>
      <c r="B347" s="4"/>
      <c r="C347" s="4"/>
      <c r="D347" s="4"/>
      <c r="E347" s="4"/>
      <c r="F347" s="4"/>
      <c r="G347" s="4"/>
      <c r="H347" s="4"/>
      <c r="I347" s="4"/>
      <c r="J347" s="4"/>
      <c r="K347" s="4"/>
      <c r="L347" s="4"/>
      <c r="M347" s="4"/>
      <c r="N347" s="4"/>
      <c r="O347" s="4"/>
      <c r="P347" s="4"/>
      <c r="Q347" s="4"/>
      <c r="R347" s="4"/>
      <c r="S347" s="4"/>
      <c r="T347" s="4"/>
      <c r="U347" s="4"/>
      <c r="V347" s="4"/>
      <c r="W347" s="4"/>
      <c r="X347" s="4"/>
      <c r="Y347" s="4"/>
      <c r="Z347" s="4"/>
      <c r="AA347" s="4"/>
      <c r="AB347" s="4"/>
      <c r="AC347" s="4"/>
      <c r="AD347" s="4"/>
      <c r="AE347" s="4"/>
    </row>
    <row r="348" ht="13.5" customHeight="1" spans="1:31" x14ac:dyDescent="0.25">
      <c r="A348" s="1"/>
      <c r="B348" s="4"/>
      <c r="C348" s="4"/>
      <c r="D348" s="4"/>
      <c r="E348" s="4"/>
      <c r="F348" s="4"/>
      <c r="G348" s="4"/>
      <c r="H348" s="4"/>
      <c r="I348" s="4"/>
      <c r="J348" s="4"/>
      <c r="K348" s="4"/>
      <c r="L348" s="4"/>
      <c r="M348" s="4"/>
      <c r="N348" s="4"/>
      <c r="O348" s="4"/>
      <c r="P348" s="4"/>
      <c r="Q348" s="4"/>
      <c r="R348" s="4"/>
      <c r="S348" s="4"/>
      <c r="T348" s="4"/>
      <c r="U348" s="4"/>
      <c r="V348" s="4"/>
      <c r="W348" s="4"/>
      <c r="X348" s="4"/>
      <c r="Y348" s="4"/>
      <c r="Z348" s="4"/>
      <c r="AA348" s="4"/>
      <c r="AB348" s="4"/>
      <c r="AC348" s="4"/>
      <c r="AD348" s="4"/>
      <c r="AE348" s="4"/>
    </row>
    <row r="349" ht="13.5" customHeight="1" spans="1:31" x14ac:dyDescent="0.25">
      <c r="A349" s="1"/>
      <c r="B349" s="4"/>
      <c r="C349" s="4"/>
      <c r="D349" s="4"/>
      <c r="E349" s="4"/>
      <c r="F349" s="4"/>
      <c r="G349" s="4"/>
      <c r="H349" s="4"/>
      <c r="I349" s="4"/>
      <c r="J349" s="4"/>
      <c r="K349" s="4"/>
      <c r="L349" s="4"/>
      <c r="M349" s="4"/>
      <c r="N349" s="4"/>
      <c r="O349" s="4"/>
      <c r="P349" s="4"/>
      <c r="Q349" s="4"/>
      <c r="R349" s="4"/>
      <c r="S349" s="4"/>
      <c r="T349" s="4"/>
      <c r="U349" s="4"/>
      <c r="V349" s="4"/>
      <c r="W349" s="4"/>
      <c r="X349" s="4"/>
      <c r="Y349" s="4"/>
      <c r="Z349" s="4"/>
      <c r="AA349" s="4"/>
      <c r="AB349" s="4"/>
      <c r="AC349" s="4"/>
      <c r="AD349" s="4"/>
      <c r="AE349" s="4"/>
    </row>
    <row r="350" ht="13.5" customHeight="1" spans="1:31" x14ac:dyDescent="0.25">
      <c r="A350" s="1"/>
      <c r="B350" s="4"/>
      <c r="C350" s="4"/>
      <c r="D350" s="4"/>
      <c r="E350" s="4"/>
      <c r="F350" s="4"/>
      <c r="G350" s="4"/>
      <c r="H350" s="4"/>
      <c r="I350" s="4"/>
      <c r="J350" s="4"/>
      <c r="K350" s="4"/>
      <c r="L350" s="4"/>
      <c r="M350" s="4"/>
      <c r="N350" s="4"/>
      <c r="O350" s="4"/>
      <c r="P350" s="4"/>
      <c r="Q350" s="4"/>
      <c r="R350" s="4"/>
      <c r="S350" s="4"/>
      <c r="T350" s="4"/>
      <c r="U350" s="4"/>
      <c r="V350" s="4"/>
      <c r="W350" s="4"/>
      <c r="X350" s="4"/>
      <c r="Y350" s="4"/>
      <c r="Z350" s="4"/>
      <c r="AA350" s="4"/>
      <c r="AB350" s="4"/>
      <c r="AC350" s="4"/>
      <c r="AD350" s="4"/>
      <c r="AE350" s="4"/>
    </row>
    <row r="351" ht="13.5" customHeight="1" spans="1:31" x14ac:dyDescent="0.25">
      <c r="A351" s="1"/>
      <c r="B351" s="4"/>
      <c r="C351" s="4"/>
      <c r="D351" s="4"/>
      <c r="E351" s="4"/>
      <c r="F351" s="4"/>
      <c r="G351" s="4"/>
      <c r="H351" s="4"/>
      <c r="I351" s="4"/>
      <c r="J351" s="4"/>
      <c r="K351" s="4"/>
      <c r="L351" s="4"/>
      <c r="M351" s="4"/>
      <c r="N351" s="4"/>
      <c r="O351" s="4"/>
      <c r="P351" s="4"/>
      <c r="Q351" s="4"/>
      <c r="R351" s="4"/>
      <c r="S351" s="4"/>
      <c r="T351" s="4"/>
      <c r="U351" s="4"/>
      <c r="V351" s="4"/>
      <c r="W351" s="4"/>
      <c r="X351" s="4"/>
      <c r="Y351" s="4"/>
      <c r="Z351" s="4"/>
      <c r="AA351" s="4"/>
      <c r="AB351" s="4"/>
      <c r="AC351" s="4"/>
      <c r="AD351" s="4"/>
      <c r="AE351" s="4"/>
    </row>
    <row r="352" ht="13.5" customHeight="1" spans="1:31" x14ac:dyDescent="0.25">
      <c r="A352" s="1"/>
      <c r="B352" s="4"/>
      <c r="C352" s="4"/>
      <c r="D352" s="4"/>
      <c r="E352" s="4"/>
      <c r="F352" s="4"/>
      <c r="G352" s="4"/>
      <c r="H352" s="4"/>
      <c r="I352" s="4"/>
      <c r="J352" s="4"/>
      <c r="K352" s="4"/>
      <c r="L352" s="4"/>
      <c r="M352" s="4"/>
      <c r="N352" s="4"/>
      <c r="O352" s="4"/>
      <c r="P352" s="4"/>
      <c r="Q352" s="4"/>
      <c r="R352" s="4"/>
      <c r="S352" s="4"/>
      <c r="T352" s="4"/>
      <c r="U352" s="4"/>
      <c r="V352" s="4"/>
      <c r="W352" s="4"/>
      <c r="X352" s="4"/>
      <c r="Y352" s="4"/>
      <c r="Z352" s="4"/>
      <c r="AA352" s="4"/>
      <c r="AB352" s="4"/>
      <c r="AC352" s="4"/>
      <c r="AD352" s="4"/>
      <c r="AE352" s="4"/>
    </row>
    <row r="353" ht="13.5" customHeight="1" spans="1:31" x14ac:dyDescent="0.25">
      <c r="A353" s="1"/>
      <c r="B353" s="4"/>
      <c r="C353" s="4"/>
      <c r="D353" s="4"/>
      <c r="E353" s="4"/>
      <c r="F353" s="4"/>
      <c r="G353" s="4"/>
      <c r="H353" s="4"/>
      <c r="I353" s="4"/>
      <c r="J353" s="4"/>
      <c r="K353" s="4"/>
      <c r="L353" s="4"/>
      <c r="M353" s="4"/>
      <c r="N353" s="4"/>
      <c r="O353" s="4"/>
      <c r="P353" s="4"/>
      <c r="Q353" s="4"/>
      <c r="R353" s="4"/>
      <c r="S353" s="4"/>
      <c r="T353" s="4"/>
      <c r="U353" s="4"/>
      <c r="V353" s="4"/>
      <c r="W353" s="4"/>
      <c r="X353" s="4"/>
      <c r="Y353" s="4"/>
      <c r="Z353" s="4"/>
      <c r="AA353" s="4"/>
      <c r="AB353" s="4"/>
      <c r="AC353" s="4"/>
      <c r="AD353" s="4"/>
      <c r="AE353" s="4"/>
    </row>
    <row r="354" ht="13.5" customHeight="1" spans="1:31" x14ac:dyDescent="0.25">
      <c r="A354" s="1"/>
      <c r="B354" s="4"/>
      <c r="C354" s="4"/>
      <c r="D354" s="4"/>
      <c r="E354" s="4"/>
      <c r="F354" s="4"/>
      <c r="G354" s="4"/>
      <c r="H354" s="4"/>
      <c r="I354" s="4"/>
      <c r="J354" s="4"/>
      <c r="K354" s="4"/>
      <c r="L354" s="4"/>
      <c r="M354" s="4"/>
      <c r="N354" s="4"/>
      <c r="O354" s="4"/>
      <c r="P354" s="4"/>
      <c r="Q354" s="4"/>
      <c r="R354" s="4"/>
      <c r="S354" s="4"/>
      <c r="T354" s="4"/>
      <c r="U354" s="4"/>
      <c r="V354" s="4"/>
      <c r="W354" s="4"/>
      <c r="X354" s="4"/>
      <c r="Y354" s="4"/>
      <c r="Z354" s="4"/>
      <c r="AA354" s="4"/>
      <c r="AB354" s="4"/>
      <c r="AC354" s="4"/>
      <c r="AD354" s="4"/>
      <c r="AE354" s="4"/>
    </row>
    <row r="355" ht="13.5" customHeight="1" spans="1:31" x14ac:dyDescent="0.25">
      <c r="A355" s="1"/>
      <c r="B355" s="4"/>
      <c r="C355" s="4"/>
      <c r="D355" s="4"/>
      <c r="E355" s="4"/>
      <c r="F355" s="4"/>
      <c r="G355" s="4"/>
      <c r="H355" s="4"/>
      <c r="I355" s="4"/>
      <c r="J355" s="4"/>
      <c r="K355" s="4"/>
      <c r="L355" s="4"/>
      <c r="M355" s="4"/>
      <c r="N355" s="4"/>
      <c r="O355" s="4"/>
      <c r="P355" s="4"/>
      <c r="Q355" s="4"/>
      <c r="R355" s="4"/>
      <c r="S355" s="4"/>
      <c r="T355" s="4"/>
      <c r="U355" s="4"/>
      <c r="V355" s="4"/>
      <c r="W355" s="4"/>
      <c r="X355" s="4"/>
      <c r="Y355" s="4"/>
      <c r="Z355" s="4"/>
      <c r="AA355" s="4"/>
      <c r="AB355" s="4"/>
      <c r="AC355" s="4"/>
      <c r="AD355" s="4"/>
      <c r="AE355" s="4"/>
    </row>
    <row r="356" ht="13.5" customHeight="1" spans="1:31" x14ac:dyDescent="0.25">
      <c r="A356" s="1"/>
      <c r="B356" s="4"/>
      <c r="C356" s="4"/>
      <c r="D356" s="4"/>
      <c r="E356" s="4"/>
      <c r="F356" s="4"/>
      <c r="G356" s="4"/>
      <c r="H356" s="4"/>
      <c r="I356" s="4"/>
      <c r="J356" s="4"/>
      <c r="K356" s="4"/>
      <c r="L356" s="4"/>
      <c r="M356" s="4"/>
      <c r="N356" s="4"/>
      <c r="O356" s="4"/>
      <c r="P356" s="4"/>
      <c r="Q356" s="4"/>
      <c r="R356" s="4"/>
      <c r="S356" s="4"/>
      <c r="T356" s="4"/>
      <c r="U356" s="4"/>
      <c r="V356" s="4"/>
      <c r="W356" s="4"/>
      <c r="X356" s="4"/>
      <c r="Y356" s="4"/>
      <c r="Z356" s="4"/>
      <c r="AA356" s="4"/>
      <c r="AB356" s="4"/>
      <c r="AC356" s="4"/>
      <c r="AD356" s="4"/>
      <c r="AE356" s="4"/>
    </row>
    <row r="357" ht="13.5" customHeight="1" spans="1:31" x14ac:dyDescent="0.25">
      <c r="A357" s="1"/>
      <c r="B357" s="4"/>
      <c r="C357" s="4"/>
      <c r="D357" s="4"/>
      <c r="E357" s="4"/>
      <c r="F357" s="4"/>
      <c r="G357" s="4"/>
      <c r="H357" s="4"/>
      <c r="I357" s="4"/>
      <c r="J357" s="4"/>
      <c r="K357" s="4"/>
      <c r="L357" s="4"/>
      <c r="M357" s="4"/>
      <c r="N357" s="4"/>
      <c r="O357" s="4"/>
      <c r="P357" s="4"/>
      <c r="Q357" s="4"/>
      <c r="R357" s="4"/>
      <c r="S357" s="4"/>
      <c r="T357" s="4"/>
      <c r="U357" s="4"/>
      <c r="V357" s="4"/>
      <c r="W357" s="4"/>
      <c r="X357" s="4"/>
      <c r="Y357" s="4"/>
      <c r="Z357" s="4"/>
      <c r="AA357" s="4"/>
      <c r="AB357" s="4"/>
      <c r="AC357" s="4"/>
      <c r="AD357" s="4"/>
      <c r="AE357" s="4"/>
    </row>
    <row r="358" ht="13.5" customHeight="1" spans="1:31" x14ac:dyDescent="0.25">
      <c r="A358" s="1"/>
      <c r="B358" s="4"/>
      <c r="C358" s="4"/>
      <c r="D358" s="4"/>
      <c r="E358" s="4"/>
      <c r="F358" s="4"/>
      <c r="G358" s="4"/>
      <c r="H358" s="4"/>
      <c r="I358" s="4"/>
      <c r="J358" s="4"/>
      <c r="K358" s="4"/>
      <c r="L358" s="4"/>
      <c r="M358" s="4"/>
      <c r="N358" s="4"/>
      <c r="O358" s="4"/>
      <c r="P358" s="4"/>
      <c r="Q358" s="4"/>
      <c r="R358" s="4"/>
      <c r="S358" s="4"/>
      <c r="T358" s="4"/>
      <c r="U358" s="4"/>
      <c r="V358" s="4"/>
      <c r="W358" s="4"/>
      <c r="X358" s="4"/>
      <c r="Y358" s="4"/>
      <c r="Z358" s="4"/>
      <c r="AA358" s="4"/>
      <c r="AB358" s="4"/>
      <c r="AC358" s="4"/>
      <c r="AD358" s="4"/>
      <c r="AE358" s="4"/>
    </row>
    <row r="359" ht="13.5" customHeight="1" spans="1:31" x14ac:dyDescent="0.25">
      <c r="A359" s="1"/>
      <c r="B359" s="4"/>
      <c r="C359" s="4"/>
      <c r="D359" s="4"/>
      <c r="E359" s="4"/>
      <c r="F359" s="4"/>
      <c r="G359" s="4"/>
      <c r="H359" s="4"/>
      <c r="I359" s="4"/>
      <c r="J359" s="4"/>
      <c r="K359" s="4"/>
      <c r="L359" s="4"/>
      <c r="M359" s="4"/>
      <c r="N359" s="4"/>
      <c r="O359" s="4"/>
      <c r="P359" s="4"/>
      <c r="Q359" s="4"/>
      <c r="R359" s="4"/>
      <c r="S359" s="4"/>
      <c r="T359" s="4"/>
      <c r="U359" s="4"/>
      <c r="V359" s="4"/>
      <c r="W359" s="4"/>
      <c r="X359" s="4"/>
      <c r="Y359" s="4"/>
      <c r="Z359" s="4"/>
      <c r="AA359" s="4"/>
      <c r="AB359" s="4"/>
      <c r="AC359" s="4"/>
      <c r="AD359" s="4"/>
      <c r="AE359" s="4"/>
    </row>
    <row r="360" ht="13.5" customHeight="1" spans="1:31" x14ac:dyDescent="0.25">
      <c r="A360" s="1"/>
      <c r="B360" s="4"/>
      <c r="C360" s="4"/>
      <c r="D360" s="4"/>
      <c r="E360" s="4"/>
      <c r="F360" s="4"/>
      <c r="G360" s="4"/>
      <c r="H360" s="4"/>
      <c r="I360" s="4"/>
      <c r="J360" s="4"/>
      <c r="K360" s="4"/>
      <c r="L360" s="4"/>
      <c r="M360" s="4"/>
      <c r="N360" s="4"/>
      <c r="O360" s="4"/>
      <c r="P360" s="4"/>
      <c r="Q360" s="4"/>
      <c r="R360" s="4"/>
      <c r="S360" s="4"/>
      <c r="T360" s="4"/>
      <c r="U360" s="4"/>
      <c r="V360" s="4"/>
      <c r="W360" s="4"/>
      <c r="X360" s="4"/>
      <c r="Y360" s="4"/>
      <c r="Z360" s="4"/>
      <c r="AA360" s="4"/>
      <c r="AB360" s="4"/>
      <c r="AC360" s="4"/>
      <c r="AD360" s="4"/>
      <c r="AE360" s="4"/>
    </row>
    <row r="361" ht="13.5" customHeight="1" spans="1:31" x14ac:dyDescent="0.25">
      <c r="A361" s="1"/>
      <c r="B361" s="4"/>
      <c r="C361" s="4"/>
      <c r="D361" s="4"/>
      <c r="E361" s="4"/>
      <c r="F361" s="4"/>
      <c r="G361" s="4"/>
      <c r="H361" s="4"/>
      <c r="I361" s="4"/>
      <c r="J361" s="4"/>
      <c r="K361" s="4"/>
      <c r="L361" s="4"/>
      <c r="M361" s="4"/>
      <c r="N361" s="4"/>
      <c r="O361" s="4"/>
      <c r="P361" s="4"/>
      <c r="Q361" s="4"/>
      <c r="R361" s="4"/>
      <c r="S361" s="4"/>
      <c r="T361" s="4"/>
      <c r="U361" s="4"/>
      <c r="V361" s="4"/>
      <c r="W361" s="4"/>
      <c r="X361" s="4"/>
      <c r="Y361" s="4"/>
      <c r="Z361" s="4"/>
      <c r="AA361" s="4"/>
      <c r="AB361" s="4"/>
      <c r="AC361" s="4"/>
      <c r="AD361" s="4"/>
      <c r="AE361" s="4"/>
    </row>
    <row r="362" ht="13.5" customHeight="1" spans="1:31" x14ac:dyDescent="0.25">
      <c r="A362" s="1"/>
      <c r="B362" s="4"/>
      <c r="C362" s="4"/>
      <c r="D362" s="4"/>
      <c r="E362" s="4"/>
      <c r="F362" s="4"/>
      <c r="G362" s="4"/>
      <c r="H362" s="4"/>
      <c r="I362" s="4"/>
      <c r="J362" s="4"/>
      <c r="K362" s="4"/>
      <c r="L362" s="4"/>
      <c r="M362" s="4"/>
      <c r="N362" s="4"/>
      <c r="O362" s="4"/>
      <c r="P362" s="4"/>
      <c r="Q362" s="4"/>
      <c r="R362" s="4"/>
      <c r="S362" s="4"/>
      <c r="T362" s="4"/>
      <c r="U362" s="4"/>
      <c r="V362" s="4"/>
      <c r="W362" s="4"/>
      <c r="X362" s="4"/>
      <c r="Y362" s="4"/>
      <c r="Z362" s="4"/>
      <c r="AA362" s="4"/>
      <c r="AB362" s="4"/>
      <c r="AC362" s="4"/>
      <c r="AD362" s="4"/>
      <c r="AE362" s="4"/>
    </row>
    <row r="363" ht="13.5" customHeight="1" spans="1:31" x14ac:dyDescent="0.25">
      <c r="A363" s="1"/>
      <c r="B363" s="4"/>
      <c r="C363" s="4"/>
      <c r="D363" s="4"/>
      <c r="E363" s="4"/>
      <c r="F363" s="4"/>
      <c r="G363" s="4"/>
      <c r="H363" s="4"/>
      <c r="I363" s="4"/>
      <c r="J363" s="4"/>
      <c r="K363" s="4"/>
      <c r="L363" s="4"/>
      <c r="M363" s="4"/>
      <c r="N363" s="4"/>
      <c r="O363" s="4"/>
      <c r="P363" s="4"/>
      <c r="Q363" s="4"/>
      <c r="R363" s="4"/>
      <c r="S363" s="4"/>
      <c r="T363" s="4"/>
      <c r="U363" s="4"/>
      <c r="V363" s="4"/>
      <c r="W363" s="4"/>
      <c r="X363" s="4"/>
      <c r="Y363" s="4"/>
      <c r="Z363" s="4"/>
      <c r="AA363" s="4"/>
      <c r="AB363" s="4"/>
      <c r="AC363" s="4"/>
      <c r="AD363" s="4"/>
      <c r="AE363" s="4"/>
    </row>
    <row r="364" ht="13.5" customHeight="1" spans="1:31" x14ac:dyDescent="0.25">
      <c r="A364" s="1"/>
      <c r="B364" s="4"/>
      <c r="C364" s="4"/>
      <c r="D364" s="4"/>
      <c r="E364" s="4"/>
      <c r="F364" s="4"/>
      <c r="G364" s="4"/>
      <c r="H364" s="4"/>
      <c r="I364" s="4"/>
      <c r="J364" s="4"/>
      <c r="K364" s="4"/>
      <c r="L364" s="4"/>
      <c r="M364" s="4"/>
      <c r="N364" s="4"/>
      <c r="O364" s="4"/>
      <c r="P364" s="4"/>
      <c r="Q364" s="4"/>
      <c r="R364" s="4"/>
      <c r="S364" s="4"/>
      <c r="T364" s="4"/>
      <c r="U364" s="4"/>
      <c r="V364" s="4"/>
      <c r="W364" s="4"/>
      <c r="X364" s="4"/>
      <c r="Y364" s="4"/>
      <c r="Z364" s="4"/>
      <c r="AA364" s="4"/>
      <c r="AB364" s="4"/>
      <c r="AC364" s="4"/>
      <c r="AD364" s="4"/>
      <c r="AE364" s="4"/>
    </row>
    <row r="365" ht="13.5" customHeight="1" spans="1:31" x14ac:dyDescent="0.25">
      <c r="A365" s="1"/>
      <c r="B365" s="4"/>
      <c r="C365" s="4"/>
      <c r="D365" s="4"/>
      <c r="E365" s="4"/>
      <c r="F365" s="4"/>
      <c r="G365" s="4"/>
      <c r="H365" s="4"/>
      <c r="I365" s="4"/>
      <c r="J365" s="4"/>
      <c r="K365" s="4"/>
      <c r="L365" s="4"/>
      <c r="M365" s="4"/>
      <c r="N365" s="4"/>
      <c r="O365" s="4"/>
      <c r="P365" s="4"/>
      <c r="Q365" s="4"/>
      <c r="R365" s="4"/>
      <c r="S365" s="4"/>
      <c r="T365" s="4"/>
      <c r="U365" s="4"/>
      <c r="V365" s="4"/>
      <c r="W365" s="4"/>
      <c r="X365" s="4"/>
      <c r="Y365" s="4"/>
      <c r="Z365" s="4"/>
      <c r="AA365" s="4"/>
      <c r="AB365" s="4"/>
      <c r="AC365" s="4"/>
      <c r="AD365" s="4"/>
      <c r="AE365" s="4"/>
    </row>
    <row r="366" ht="13.5" customHeight="1" spans="1:31" x14ac:dyDescent="0.25">
      <c r="A366" s="1"/>
      <c r="B366" s="4"/>
      <c r="C366" s="4"/>
      <c r="D366" s="4"/>
      <c r="E366" s="4"/>
      <c r="F366" s="4"/>
      <c r="G366" s="4"/>
      <c r="H366" s="4"/>
      <c r="I366" s="4"/>
      <c r="J366" s="4"/>
      <c r="K366" s="4"/>
      <c r="L366" s="4"/>
      <c r="M366" s="4"/>
      <c r="N366" s="4"/>
      <c r="O366" s="4"/>
      <c r="P366" s="4"/>
      <c r="Q366" s="4"/>
      <c r="R366" s="4"/>
      <c r="S366" s="4"/>
      <c r="T366" s="4"/>
      <c r="U366" s="4"/>
      <c r="V366" s="4"/>
      <c r="W366" s="4"/>
      <c r="X366" s="4"/>
      <c r="Y366" s="4"/>
      <c r="Z366" s="4"/>
      <c r="AA366" s="4"/>
      <c r="AB366" s="4"/>
      <c r="AC366" s="4"/>
      <c r="AD366" s="4"/>
      <c r="AE366" s="4"/>
    </row>
    <row r="367" ht="13.5" customHeight="1" spans="1:31" x14ac:dyDescent="0.25">
      <c r="A367" s="1"/>
      <c r="B367" s="4"/>
      <c r="C367" s="4"/>
      <c r="D367" s="4"/>
      <c r="E367" s="4"/>
      <c r="F367" s="4"/>
      <c r="G367" s="4"/>
      <c r="H367" s="4"/>
      <c r="I367" s="4"/>
      <c r="J367" s="4"/>
      <c r="K367" s="4"/>
      <c r="L367" s="4"/>
      <c r="M367" s="4"/>
      <c r="N367" s="4"/>
      <c r="O367" s="4"/>
      <c r="P367" s="4"/>
      <c r="Q367" s="4"/>
      <c r="R367" s="4"/>
      <c r="S367" s="4"/>
      <c r="T367" s="4"/>
      <c r="U367" s="4"/>
      <c r="V367" s="4"/>
      <c r="W367" s="4"/>
      <c r="X367" s="4"/>
      <c r="Y367" s="4"/>
      <c r="Z367" s="4"/>
      <c r="AA367" s="4"/>
      <c r="AB367" s="4"/>
      <c r="AC367" s="4"/>
      <c r="AD367" s="4"/>
      <c r="AE367" s="4"/>
    </row>
    <row r="368" ht="13.5" customHeight="1" spans="1:31" x14ac:dyDescent="0.25">
      <c r="A368" s="1"/>
      <c r="B368" s="4"/>
      <c r="C368" s="4"/>
      <c r="D368" s="4"/>
      <c r="E368" s="4"/>
      <c r="F368" s="4"/>
      <c r="G368" s="4"/>
      <c r="H368" s="4"/>
      <c r="I368" s="4"/>
      <c r="J368" s="4"/>
      <c r="K368" s="4"/>
      <c r="L368" s="4"/>
      <c r="M368" s="4"/>
      <c r="N368" s="4"/>
      <c r="O368" s="4"/>
      <c r="P368" s="4"/>
      <c r="Q368" s="4"/>
      <c r="R368" s="4"/>
      <c r="S368" s="4"/>
      <c r="T368" s="4"/>
      <c r="U368" s="4"/>
      <c r="V368" s="4"/>
      <c r="W368" s="4"/>
      <c r="X368" s="4"/>
      <c r="Y368" s="4"/>
      <c r="Z368" s="4"/>
      <c r="AA368" s="4"/>
      <c r="AB368" s="4"/>
      <c r="AC368" s="4"/>
      <c r="AD368" s="4"/>
      <c r="AE368" s="4"/>
    </row>
    <row r="369" ht="13.5" customHeight="1" spans="1:31" x14ac:dyDescent="0.25">
      <c r="A369" s="1"/>
      <c r="B369" s="4"/>
      <c r="C369" s="4"/>
      <c r="D369" s="4"/>
      <c r="E369" s="4"/>
      <c r="F369" s="4"/>
      <c r="G369" s="4"/>
      <c r="H369" s="4"/>
      <c r="I369" s="4"/>
      <c r="J369" s="4"/>
      <c r="K369" s="4"/>
      <c r="L369" s="4"/>
      <c r="M369" s="4"/>
      <c r="N369" s="4"/>
      <c r="O369" s="4"/>
      <c r="P369" s="4"/>
      <c r="Q369" s="4"/>
      <c r="R369" s="4"/>
      <c r="S369" s="4"/>
      <c r="T369" s="4"/>
      <c r="U369" s="4"/>
      <c r="V369" s="4"/>
      <c r="W369" s="4"/>
      <c r="X369" s="4"/>
      <c r="Y369" s="4"/>
      <c r="Z369" s="4"/>
      <c r="AA369" s="4"/>
      <c r="AB369" s="4"/>
      <c r="AC369" s="4"/>
      <c r="AD369" s="4"/>
      <c r="AE369" s="4"/>
    </row>
    <row r="370" ht="13.5" customHeight="1" spans="1:31" x14ac:dyDescent="0.25">
      <c r="A370" s="1"/>
      <c r="B370" s="4"/>
      <c r="C370" s="4"/>
      <c r="D370" s="4"/>
      <c r="E370" s="4"/>
      <c r="F370" s="4"/>
      <c r="G370" s="4"/>
      <c r="H370" s="4"/>
      <c r="I370" s="4"/>
      <c r="J370" s="4"/>
      <c r="K370" s="4"/>
      <c r="L370" s="4"/>
      <c r="M370" s="4"/>
      <c r="N370" s="4"/>
      <c r="O370" s="4"/>
      <c r="P370" s="4"/>
      <c r="Q370" s="4"/>
      <c r="R370" s="4"/>
      <c r="S370" s="4"/>
      <c r="T370" s="4"/>
      <c r="U370" s="4"/>
      <c r="V370" s="4"/>
      <c r="W370" s="4"/>
      <c r="X370" s="4"/>
      <c r="Y370" s="4"/>
      <c r="Z370" s="4"/>
      <c r="AA370" s="4"/>
      <c r="AB370" s="4"/>
      <c r="AC370" s="4"/>
      <c r="AD370" s="4"/>
      <c r="AE370" s="4"/>
    </row>
    <row r="371" ht="13.5" customHeight="1" spans="1:31" x14ac:dyDescent="0.25">
      <c r="A371" s="1"/>
      <c r="B371" s="4"/>
      <c r="C371" s="4"/>
      <c r="D371" s="4"/>
      <c r="E371" s="4"/>
      <c r="F371" s="4"/>
      <c r="G371" s="4"/>
      <c r="H371" s="4"/>
      <c r="I371" s="4"/>
      <c r="J371" s="4"/>
      <c r="K371" s="4"/>
      <c r="L371" s="4"/>
      <c r="M371" s="4"/>
      <c r="N371" s="4"/>
      <c r="O371" s="4"/>
      <c r="P371" s="4"/>
      <c r="Q371" s="4"/>
      <c r="R371" s="4"/>
      <c r="S371" s="4"/>
      <c r="T371" s="4"/>
      <c r="U371" s="4"/>
      <c r="V371" s="4"/>
      <c r="W371" s="4"/>
      <c r="X371" s="4"/>
      <c r="Y371" s="4"/>
      <c r="Z371" s="4"/>
      <c r="AA371" s="4"/>
      <c r="AB371" s="4"/>
      <c r="AC371" s="4"/>
      <c r="AD371" s="4"/>
      <c r="AE371" s="4"/>
    </row>
    <row r="372" ht="13.5" customHeight="1" spans="1:31" x14ac:dyDescent="0.25">
      <c r="A372" s="1"/>
      <c r="B372" s="4"/>
      <c r="C372" s="4"/>
      <c r="D372" s="4"/>
      <c r="E372" s="4"/>
      <c r="F372" s="4"/>
      <c r="G372" s="4"/>
      <c r="H372" s="4"/>
      <c r="I372" s="4"/>
      <c r="J372" s="4"/>
      <c r="K372" s="4"/>
      <c r="L372" s="4"/>
      <c r="M372" s="4"/>
      <c r="N372" s="4"/>
      <c r="O372" s="4"/>
      <c r="P372" s="4"/>
      <c r="Q372" s="4"/>
      <c r="R372" s="4"/>
      <c r="S372" s="4"/>
      <c r="T372" s="4"/>
      <c r="U372" s="4"/>
      <c r="V372" s="4"/>
      <c r="W372" s="4"/>
      <c r="X372" s="4"/>
      <c r="Y372" s="4"/>
      <c r="Z372" s="4"/>
      <c r="AA372" s="4"/>
      <c r="AB372" s="4"/>
      <c r="AC372" s="4"/>
      <c r="AD372" s="4"/>
      <c r="AE372" s="4"/>
    </row>
    <row r="373" ht="13.5" customHeight="1" spans="1:31" x14ac:dyDescent="0.25">
      <c r="A373" s="1"/>
      <c r="B373" s="4"/>
      <c r="C373" s="4"/>
      <c r="D373" s="4"/>
      <c r="E373" s="4"/>
      <c r="F373" s="4"/>
      <c r="G373" s="4"/>
      <c r="H373" s="4"/>
      <c r="I373" s="4"/>
      <c r="J373" s="4"/>
      <c r="K373" s="4"/>
      <c r="L373" s="4"/>
      <c r="M373" s="4"/>
      <c r="N373" s="4"/>
      <c r="O373" s="4"/>
      <c r="P373" s="4"/>
      <c r="Q373" s="4"/>
      <c r="R373" s="4"/>
      <c r="S373" s="4"/>
      <c r="T373" s="4"/>
      <c r="U373" s="4"/>
      <c r="V373" s="4"/>
      <c r="W373" s="4"/>
      <c r="X373" s="4"/>
      <c r="Y373" s="4"/>
      <c r="Z373" s="4"/>
      <c r="AA373" s="4"/>
      <c r="AB373" s="4"/>
      <c r="AC373" s="4"/>
      <c r="AD373" s="4"/>
      <c r="AE373" s="4"/>
    </row>
    <row r="374" ht="13.5" customHeight="1" spans="1:31" x14ac:dyDescent="0.25">
      <c r="A374" s="1"/>
      <c r="B374" s="4"/>
      <c r="C374" s="4"/>
      <c r="D374" s="4"/>
      <c r="E374" s="4"/>
      <c r="F374" s="4"/>
      <c r="G374" s="4"/>
      <c r="H374" s="4"/>
      <c r="I374" s="4"/>
      <c r="J374" s="4"/>
      <c r="K374" s="4"/>
      <c r="L374" s="4"/>
      <c r="M374" s="4"/>
      <c r="N374" s="4"/>
      <c r="O374" s="4"/>
      <c r="P374" s="4"/>
      <c r="Q374" s="4"/>
      <c r="R374" s="4"/>
      <c r="S374" s="4"/>
      <c r="T374" s="4"/>
      <c r="U374" s="4"/>
      <c r="V374" s="4"/>
      <c r="W374" s="4"/>
      <c r="X374" s="4"/>
      <c r="Y374" s="4"/>
      <c r="Z374" s="4"/>
      <c r="AA374" s="4"/>
      <c r="AB374" s="4"/>
      <c r="AC374" s="4"/>
      <c r="AD374" s="4"/>
      <c r="AE374" s="4"/>
    </row>
    <row r="375" ht="13.5" customHeight="1" spans="1:31" x14ac:dyDescent="0.25">
      <c r="A375" s="1"/>
      <c r="B375" s="4"/>
      <c r="C375" s="4"/>
      <c r="D375" s="4"/>
      <c r="E375" s="4"/>
      <c r="F375" s="4"/>
      <c r="G375" s="4"/>
      <c r="H375" s="4"/>
      <c r="I375" s="4"/>
      <c r="J375" s="4"/>
      <c r="K375" s="4"/>
      <c r="L375" s="4"/>
      <c r="M375" s="4"/>
      <c r="N375" s="4"/>
      <c r="O375" s="4"/>
      <c r="P375" s="4"/>
      <c r="Q375" s="4"/>
      <c r="R375" s="4"/>
      <c r="S375" s="4"/>
      <c r="T375" s="4"/>
      <c r="U375" s="4"/>
      <c r="V375" s="4"/>
      <c r="W375" s="4"/>
      <c r="X375" s="4"/>
      <c r="Y375" s="4"/>
      <c r="Z375" s="4"/>
      <c r="AA375" s="4"/>
      <c r="AB375" s="4"/>
      <c r="AC375" s="4"/>
      <c r="AD375" s="4"/>
      <c r="AE375" s="4"/>
    </row>
    <row r="376" ht="13.5" customHeight="1" spans="1:31" x14ac:dyDescent="0.25">
      <c r="A376" s="1"/>
      <c r="B376" s="4"/>
      <c r="C376" s="4"/>
      <c r="D376" s="4"/>
      <c r="E376" s="4"/>
      <c r="F376" s="4"/>
      <c r="G376" s="4"/>
      <c r="H376" s="4"/>
      <c r="I376" s="4"/>
      <c r="J376" s="4"/>
      <c r="K376" s="4"/>
      <c r="L376" s="4"/>
      <c r="M376" s="4"/>
      <c r="N376" s="4"/>
      <c r="O376" s="4"/>
      <c r="P376" s="4"/>
      <c r="Q376" s="4"/>
      <c r="R376" s="4"/>
      <c r="S376" s="4"/>
      <c r="T376" s="4"/>
      <c r="U376" s="4"/>
      <c r="V376" s="4"/>
      <c r="W376" s="4"/>
      <c r="X376" s="4"/>
      <c r="Y376" s="4"/>
      <c r="Z376" s="4"/>
      <c r="AA376" s="4"/>
      <c r="AB376" s="4"/>
      <c r="AC376" s="4"/>
      <c r="AD376" s="4"/>
      <c r="AE376" s="4"/>
    </row>
    <row r="377" ht="13.5" customHeight="1" spans="1:31" x14ac:dyDescent="0.25">
      <c r="A377" s="1"/>
      <c r="B377" s="4"/>
      <c r="C377" s="4"/>
      <c r="D377" s="4"/>
      <c r="E377" s="4"/>
      <c r="F377" s="4"/>
      <c r="G377" s="4"/>
      <c r="H377" s="4"/>
      <c r="I377" s="4"/>
      <c r="J377" s="4"/>
      <c r="K377" s="4"/>
      <c r="L377" s="4"/>
      <c r="M377" s="4"/>
      <c r="N377" s="4"/>
      <c r="O377" s="4"/>
      <c r="P377" s="4"/>
      <c r="Q377" s="4"/>
      <c r="R377" s="4"/>
      <c r="S377" s="4"/>
      <c r="T377" s="4"/>
      <c r="U377" s="4"/>
      <c r="V377" s="4"/>
      <c r="W377" s="4"/>
      <c r="X377" s="4"/>
      <c r="Y377" s="4"/>
      <c r="Z377" s="4"/>
      <c r="AA377" s="4"/>
      <c r="AB377" s="4"/>
      <c r="AC377" s="4"/>
      <c r="AD377" s="4"/>
      <c r="AE377" s="4"/>
    </row>
    <row r="378" ht="13.5" customHeight="1" spans="1:31" x14ac:dyDescent="0.25">
      <c r="A378" s="1"/>
      <c r="B378" s="4"/>
      <c r="C378" s="4"/>
      <c r="D378" s="4"/>
      <c r="E378" s="4"/>
      <c r="F378" s="4"/>
      <c r="G378" s="4"/>
      <c r="H378" s="4"/>
      <c r="I378" s="4"/>
      <c r="J378" s="4"/>
      <c r="K378" s="4"/>
      <c r="L378" s="4"/>
      <c r="M378" s="4"/>
      <c r="N378" s="4"/>
      <c r="O378" s="4"/>
      <c r="P378" s="4"/>
      <c r="Q378" s="4"/>
      <c r="R378" s="4"/>
      <c r="S378" s="4"/>
      <c r="T378" s="4"/>
      <c r="U378" s="4"/>
      <c r="V378" s="4"/>
      <c r="W378" s="4"/>
      <c r="X378" s="4"/>
      <c r="Y378" s="4"/>
      <c r="Z378" s="4"/>
      <c r="AA378" s="4"/>
      <c r="AB378" s="4"/>
      <c r="AC378" s="4"/>
      <c r="AD378" s="4"/>
      <c r="AE378" s="4"/>
    </row>
    <row r="379" ht="13.5" customHeight="1" spans="1:31" x14ac:dyDescent="0.25">
      <c r="A379" s="1"/>
      <c r="B379" s="4"/>
      <c r="C379" s="4"/>
      <c r="D379" s="4"/>
      <c r="E379" s="4"/>
      <c r="F379" s="4"/>
      <c r="G379" s="4"/>
      <c r="H379" s="4"/>
      <c r="I379" s="4"/>
      <c r="J379" s="4"/>
      <c r="K379" s="4"/>
      <c r="L379" s="4"/>
      <c r="M379" s="4"/>
      <c r="N379" s="4"/>
      <c r="O379" s="4"/>
      <c r="P379" s="4"/>
      <c r="Q379" s="4"/>
      <c r="R379" s="4"/>
      <c r="S379" s="4"/>
      <c r="T379" s="4"/>
      <c r="U379" s="4"/>
      <c r="V379" s="4"/>
      <c r="W379" s="4"/>
      <c r="X379" s="4"/>
      <c r="Y379" s="4"/>
      <c r="Z379" s="4"/>
      <c r="AA379" s="4"/>
      <c r="AB379" s="4"/>
      <c r="AC379" s="4"/>
      <c r="AD379" s="4"/>
      <c r="AE379" s="4"/>
    </row>
    <row r="380" ht="13.5" customHeight="1" spans="1:31" x14ac:dyDescent="0.25">
      <c r="A380" s="1"/>
      <c r="B380" s="4"/>
      <c r="C380" s="4"/>
      <c r="D380" s="4"/>
      <c r="E380" s="4"/>
      <c r="F380" s="4"/>
      <c r="G380" s="4"/>
      <c r="H380" s="4"/>
      <c r="I380" s="4"/>
      <c r="J380" s="4"/>
      <c r="K380" s="4"/>
      <c r="L380" s="4"/>
      <c r="M380" s="4"/>
      <c r="N380" s="4"/>
      <c r="O380" s="4"/>
      <c r="P380" s="4"/>
      <c r="Q380" s="4"/>
      <c r="R380" s="4"/>
      <c r="S380" s="4"/>
      <c r="T380" s="4"/>
      <c r="U380" s="4"/>
      <c r="V380" s="4"/>
      <c r="W380" s="4"/>
      <c r="X380" s="4"/>
      <c r="Y380" s="4"/>
      <c r="Z380" s="4"/>
      <c r="AA380" s="4"/>
      <c r="AB380" s="4"/>
      <c r="AC380" s="4"/>
      <c r="AD380" s="4"/>
      <c r="AE380" s="4"/>
    </row>
    <row r="381" ht="13.5" customHeight="1" spans="1:31" x14ac:dyDescent="0.25">
      <c r="A381" s="1"/>
      <c r="B381" s="4"/>
      <c r="C381" s="4"/>
      <c r="D381" s="4"/>
      <c r="E381" s="4"/>
      <c r="F381" s="4"/>
      <c r="G381" s="4"/>
      <c r="H381" s="4"/>
      <c r="I381" s="4"/>
      <c r="J381" s="4"/>
      <c r="K381" s="4"/>
      <c r="L381" s="4"/>
      <c r="M381" s="4"/>
      <c r="N381" s="4"/>
      <c r="O381" s="4"/>
      <c r="P381" s="4"/>
      <c r="Q381" s="4"/>
      <c r="R381" s="4"/>
      <c r="S381" s="4"/>
      <c r="T381" s="4"/>
      <c r="U381" s="4"/>
      <c r="V381" s="4"/>
      <c r="W381" s="4"/>
      <c r="X381" s="4"/>
      <c r="Y381" s="4"/>
      <c r="Z381" s="4"/>
      <c r="AA381" s="4"/>
      <c r="AB381" s="4"/>
      <c r="AC381" s="4"/>
      <c r="AD381" s="4"/>
      <c r="AE381" s="4"/>
    </row>
    <row r="382" ht="13.5" customHeight="1" spans="1:31" x14ac:dyDescent="0.25">
      <c r="A382" s="1"/>
      <c r="B382" s="4"/>
      <c r="C382" s="4"/>
      <c r="D382" s="4"/>
      <c r="E382" s="4"/>
      <c r="F382" s="4"/>
      <c r="G382" s="4"/>
      <c r="H382" s="4"/>
      <c r="I382" s="4"/>
      <c r="J382" s="4"/>
      <c r="K382" s="4"/>
      <c r="L382" s="4"/>
      <c r="M382" s="4"/>
      <c r="N382" s="4"/>
      <c r="O382" s="4"/>
      <c r="P382" s="4"/>
      <c r="Q382" s="4"/>
      <c r="R382" s="4"/>
      <c r="S382" s="4"/>
      <c r="T382" s="4"/>
      <c r="U382" s="4"/>
      <c r="V382" s="4"/>
      <c r="W382" s="4"/>
      <c r="X382" s="4"/>
      <c r="Y382" s="4"/>
      <c r="Z382" s="4"/>
      <c r="AA382" s="4"/>
      <c r="AB382" s="4"/>
      <c r="AC382" s="4"/>
      <c r="AD382" s="4"/>
      <c r="AE382" s="4"/>
    </row>
    <row r="383" ht="13.5" customHeight="1" spans="1:31" x14ac:dyDescent="0.25">
      <c r="A383" s="1"/>
      <c r="B383" s="4"/>
      <c r="C383" s="4"/>
      <c r="D383" s="4"/>
      <c r="E383" s="4"/>
      <c r="F383" s="4"/>
      <c r="G383" s="4"/>
      <c r="H383" s="4"/>
      <c r="I383" s="4"/>
      <c r="J383" s="4"/>
      <c r="K383" s="4"/>
      <c r="L383" s="4"/>
      <c r="M383" s="4"/>
      <c r="N383" s="4"/>
      <c r="O383" s="4"/>
      <c r="P383" s="4"/>
      <c r="Q383" s="4"/>
      <c r="R383" s="4"/>
      <c r="S383" s="4"/>
      <c r="T383" s="4"/>
      <c r="U383" s="4"/>
      <c r="V383" s="4"/>
      <c r="W383" s="4"/>
      <c r="X383" s="4"/>
      <c r="Y383" s="4"/>
      <c r="Z383" s="4"/>
      <c r="AA383" s="4"/>
      <c r="AB383" s="4"/>
      <c r="AC383" s="4"/>
      <c r="AD383" s="4"/>
      <c r="AE383" s="4"/>
    </row>
    <row r="384" ht="13.5" customHeight="1" spans="1:31" x14ac:dyDescent="0.25">
      <c r="A384" s="1"/>
      <c r="B384" s="4"/>
      <c r="C384" s="4"/>
      <c r="D384" s="4"/>
      <c r="E384" s="4"/>
      <c r="F384" s="4"/>
      <c r="G384" s="4"/>
      <c r="H384" s="4"/>
      <c r="I384" s="4"/>
      <c r="J384" s="4"/>
      <c r="K384" s="4"/>
      <c r="L384" s="4"/>
      <c r="M384" s="4"/>
      <c r="N384" s="4"/>
      <c r="O384" s="4"/>
      <c r="P384" s="4"/>
      <c r="Q384" s="4"/>
      <c r="R384" s="4"/>
      <c r="S384" s="4"/>
      <c r="T384" s="4"/>
      <c r="U384" s="4"/>
      <c r="V384" s="4"/>
      <c r="W384" s="4"/>
      <c r="X384" s="4"/>
      <c r="Y384" s="4"/>
      <c r="Z384" s="4"/>
      <c r="AA384" s="4"/>
      <c r="AB384" s="4"/>
      <c r="AC384" s="4"/>
      <c r="AD384" s="4"/>
      <c r="AE384" s="4"/>
    </row>
    <row r="385" ht="13.5" customHeight="1" spans="1:31" x14ac:dyDescent="0.25">
      <c r="A385" s="1"/>
      <c r="B385" s="4"/>
      <c r="C385" s="4"/>
      <c r="D385" s="4"/>
      <c r="E385" s="4"/>
      <c r="F385" s="4"/>
      <c r="G385" s="4"/>
      <c r="H385" s="4"/>
      <c r="I385" s="4"/>
      <c r="J385" s="4"/>
      <c r="K385" s="4"/>
      <c r="L385" s="4"/>
      <c r="M385" s="4"/>
      <c r="N385" s="4"/>
      <c r="O385" s="4"/>
      <c r="P385" s="4"/>
      <c r="Q385" s="4"/>
      <c r="R385" s="4"/>
      <c r="S385" s="4"/>
      <c r="T385" s="4"/>
      <c r="U385" s="4"/>
      <c r="V385" s="4"/>
      <c r="W385" s="4"/>
      <c r="X385" s="4"/>
      <c r="Y385" s="4"/>
      <c r="Z385" s="4"/>
      <c r="AA385" s="4"/>
      <c r="AB385" s="4"/>
      <c r="AC385" s="4"/>
      <c r="AD385" s="4"/>
      <c r="AE385" s="4"/>
    </row>
    <row r="386" ht="13.5" customHeight="1" spans="1:31" x14ac:dyDescent="0.25">
      <c r="A386" s="1"/>
      <c r="B386" s="4"/>
      <c r="C386" s="4"/>
      <c r="D386" s="4"/>
      <c r="E386" s="4"/>
      <c r="F386" s="4"/>
      <c r="G386" s="4"/>
      <c r="H386" s="4"/>
      <c r="I386" s="4"/>
      <c r="J386" s="4"/>
      <c r="K386" s="4"/>
      <c r="L386" s="4"/>
      <c r="M386" s="4"/>
      <c r="N386" s="4"/>
      <c r="O386" s="4"/>
      <c r="P386" s="4"/>
      <c r="Q386" s="4"/>
      <c r="R386" s="4"/>
      <c r="S386" s="4"/>
      <c r="T386" s="4"/>
      <c r="U386" s="4"/>
      <c r="V386" s="4"/>
      <c r="W386" s="4"/>
      <c r="X386" s="4"/>
      <c r="Y386" s="4"/>
      <c r="Z386" s="4"/>
      <c r="AA386" s="4"/>
      <c r="AB386" s="4"/>
      <c r="AC386" s="4"/>
      <c r="AD386" s="4"/>
      <c r="AE386" s="4"/>
    </row>
    <row r="387" ht="13.5" customHeight="1" spans="1:31" x14ac:dyDescent="0.25">
      <c r="A387" s="1"/>
      <c r="B387" s="4"/>
      <c r="C387" s="4"/>
      <c r="D387" s="4"/>
      <c r="E387" s="4"/>
      <c r="F387" s="4"/>
      <c r="G387" s="4"/>
      <c r="H387" s="4"/>
      <c r="I387" s="4"/>
      <c r="J387" s="4"/>
      <c r="K387" s="4"/>
      <c r="L387" s="4"/>
      <c r="M387" s="4"/>
      <c r="N387" s="4"/>
      <c r="O387" s="4"/>
      <c r="P387" s="4"/>
      <c r="Q387" s="4"/>
      <c r="R387" s="4"/>
      <c r="S387" s="4"/>
      <c r="T387" s="4"/>
      <c r="U387" s="4"/>
      <c r="V387" s="4"/>
      <c r="W387" s="4"/>
      <c r="X387" s="4"/>
      <c r="Y387" s="4"/>
      <c r="Z387" s="4"/>
      <c r="AA387" s="4"/>
      <c r="AB387" s="4"/>
      <c r="AC387" s="4"/>
      <c r="AD387" s="4"/>
      <c r="AE387" s="4"/>
    </row>
    <row r="388" ht="13.5" customHeight="1" spans="1:31" x14ac:dyDescent="0.25">
      <c r="A388" s="1"/>
      <c r="B388" s="4"/>
      <c r="C388" s="4"/>
      <c r="D388" s="4"/>
      <c r="E388" s="4"/>
      <c r="F388" s="4"/>
      <c r="G388" s="4"/>
      <c r="H388" s="4"/>
      <c r="I388" s="4"/>
      <c r="J388" s="4"/>
      <c r="K388" s="4"/>
      <c r="L388" s="4"/>
      <c r="M388" s="4"/>
      <c r="N388" s="4"/>
      <c r="O388" s="4"/>
      <c r="P388" s="4"/>
      <c r="Q388" s="4"/>
      <c r="R388" s="4"/>
      <c r="S388" s="4"/>
      <c r="T388" s="4"/>
      <c r="U388" s="4"/>
      <c r="V388" s="4"/>
      <c r="W388" s="4"/>
      <c r="X388" s="4"/>
      <c r="Y388" s="4"/>
      <c r="Z388" s="4"/>
      <c r="AA388" s="4"/>
      <c r="AB388" s="4"/>
      <c r="AC388" s="4"/>
      <c r="AD388" s="4"/>
      <c r="AE388" s="4"/>
    </row>
    <row r="389" ht="13.5" customHeight="1" spans="1:31" x14ac:dyDescent="0.25">
      <c r="A389" s="1"/>
      <c r="B389" s="4"/>
      <c r="C389" s="4"/>
      <c r="D389" s="4"/>
      <c r="E389" s="4"/>
      <c r="F389" s="4"/>
      <c r="G389" s="4"/>
      <c r="H389" s="4"/>
      <c r="I389" s="4"/>
      <c r="J389" s="4"/>
      <c r="K389" s="4"/>
      <c r="L389" s="4"/>
      <c r="M389" s="4"/>
      <c r="N389" s="4"/>
      <c r="O389" s="4"/>
      <c r="P389" s="4"/>
      <c r="Q389" s="4"/>
      <c r="R389" s="4"/>
      <c r="S389" s="4"/>
      <c r="T389" s="4"/>
      <c r="U389" s="4"/>
      <c r="V389" s="4"/>
      <c r="W389" s="4"/>
      <c r="X389" s="4"/>
      <c r="Y389" s="4"/>
      <c r="Z389" s="4"/>
      <c r="AA389" s="4"/>
      <c r="AB389" s="4"/>
      <c r="AC389" s="4"/>
      <c r="AD389" s="4"/>
      <c r="AE389" s="4"/>
    </row>
    <row r="390" ht="13.5" customHeight="1" spans="1:31" x14ac:dyDescent="0.25">
      <c r="A390" s="1"/>
      <c r="B390" s="4"/>
      <c r="C390" s="4"/>
      <c r="D390" s="4"/>
      <c r="E390" s="4"/>
      <c r="F390" s="4"/>
      <c r="G390" s="4"/>
      <c r="H390" s="4"/>
      <c r="I390" s="4"/>
      <c r="J390" s="4"/>
      <c r="K390" s="4"/>
      <c r="L390" s="4"/>
      <c r="M390" s="4"/>
      <c r="N390" s="4"/>
      <c r="O390" s="4"/>
      <c r="P390" s="4"/>
      <c r="Q390" s="4"/>
      <c r="R390" s="4"/>
      <c r="S390" s="4"/>
      <c r="T390" s="4"/>
      <c r="U390" s="4"/>
      <c r="V390" s="4"/>
      <c r="W390" s="4"/>
      <c r="X390" s="4"/>
      <c r="Y390" s="4"/>
      <c r="Z390" s="4"/>
      <c r="AA390" s="4"/>
      <c r="AB390" s="4"/>
      <c r="AC390" s="4"/>
      <c r="AD390" s="4"/>
      <c r="AE390" s="4"/>
    </row>
    <row r="391" ht="13.5" customHeight="1" spans="1:31" x14ac:dyDescent="0.25">
      <c r="A391" s="1"/>
      <c r="B391" s="4"/>
      <c r="C391" s="4"/>
      <c r="D391" s="4"/>
      <c r="E391" s="4"/>
      <c r="F391" s="4"/>
      <c r="G391" s="4"/>
      <c r="H391" s="4"/>
      <c r="I391" s="4"/>
      <c r="J391" s="4"/>
      <c r="K391" s="4"/>
      <c r="L391" s="4"/>
      <c r="M391" s="4"/>
      <c r="N391" s="4"/>
      <c r="O391" s="4"/>
      <c r="P391" s="4"/>
      <c r="Q391" s="4"/>
      <c r="R391" s="4"/>
      <c r="S391" s="4"/>
      <c r="T391" s="4"/>
      <c r="U391" s="4"/>
      <c r="V391" s="4"/>
      <c r="W391" s="4"/>
      <c r="X391" s="4"/>
      <c r="Y391" s="4"/>
      <c r="Z391" s="4"/>
      <c r="AA391" s="4"/>
      <c r="AB391" s="4"/>
      <c r="AC391" s="4"/>
      <c r="AD391" s="4"/>
      <c r="AE391" s="4"/>
    </row>
    <row r="392" ht="13.5" customHeight="1" spans="1:31" x14ac:dyDescent="0.25">
      <c r="A392" s="1"/>
      <c r="B392" s="4"/>
      <c r="C392" s="4"/>
      <c r="D392" s="4"/>
      <c r="E392" s="4"/>
      <c r="F392" s="4"/>
      <c r="G392" s="4"/>
      <c r="H392" s="4"/>
      <c r="I392" s="4"/>
      <c r="J392" s="4"/>
      <c r="K392" s="4"/>
      <c r="L392" s="4"/>
      <c r="M392" s="4"/>
      <c r="N392" s="4"/>
      <c r="O392" s="4"/>
      <c r="P392" s="4"/>
      <c r="Q392" s="4"/>
      <c r="R392" s="4"/>
      <c r="S392" s="4"/>
      <c r="T392" s="4"/>
      <c r="U392" s="4"/>
      <c r="V392" s="4"/>
      <c r="W392" s="4"/>
      <c r="X392" s="4"/>
      <c r="Y392" s="4"/>
      <c r="Z392" s="4"/>
      <c r="AA392" s="4"/>
      <c r="AB392" s="4"/>
      <c r="AC392" s="4"/>
      <c r="AD392" s="4"/>
      <c r="AE392" s="4"/>
    </row>
    <row r="393" ht="13.5" customHeight="1" spans="1:31" x14ac:dyDescent="0.25">
      <c r="A393" s="1"/>
      <c r="B393" s="4"/>
      <c r="C393" s="4"/>
      <c r="D393" s="4"/>
      <c r="E393" s="4"/>
      <c r="F393" s="4"/>
      <c r="G393" s="4"/>
      <c r="H393" s="4"/>
      <c r="I393" s="4"/>
      <c r="J393" s="4"/>
      <c r="K393" s="4"/>
      <c r="L393" s="4"/>
      <c r="M393" s="4"/>
      <c r="N393" s="4"/>
      <c r="O393" s="4"/>
      <c r="P393" s="4"/>
      <c r="Q393" s="4"/>
      <c r="R393" s="4"/>
      <c r="S393" s="4"/>
      <c r="T393" s="4"/>
      <c r="U393" s="4"/>
      <c r="V393" s="4"/>
      <c r="W393" s="4"/>
      <c r="X393" s="4"/>
      <c r="Y393" s="4"/>
      <c r="Z393" s="4"/>
      <c r="AA393" s="4"/>
      <c r="AB393" s="4"/>
      <c r="AC393" s="4"/>
      <c r="AD393" s="4"/>
      <c r="AE393" s="4"/>
    </row>
    <row r="394" ht="13.5" customHeight="1" spans="1:31" x14ac:dyDescent="0.25">
      <c r="A394" s="1"/>
      <c r="B394" s="4"/>
      <c r="C394" s="4"/>
      <c r="D394" s="4"/>
      <c r="E394" s="4"/>
      <c r="F394" s="4"/>
      <c r="G394" s="4"/>
      <c r="H394" s="4"/>
      <c r="I394" s="4"/>
      <c r="J394" s="4"/>
      <c r="K394" s="4"/>
      <c r="L394" s="4"/>
      <c r="M394" s="4"/>
      <c r="N394" s="4"/>
      <c r="O394" s="4"/>
      <c r="P394" s="4"/>
      <c r="Q394" s="4"/>
      <c r="R394" s="4"/>
      <c r="S394" s="4"/>
      <c r="T394" s="4"/>
      <c r="U394" s="4"/>
      <c r="V394" s="4"/>
      <c r="W394" s="4"/>
      <c r="X394" s="4"/>
      <c r="Y394" s="4"/>
      <c r="Z394" s="4"/>
      <c r="AA394" s="4"/>
      <c r="AB394" s="4"/>
      <c r="AC394" s="4"/>
      <c r="AD394" s="4"/>
      <c r="AE394" s="4"/>
    </row>
    <row r="395" ht="13.5" customHeight="1" spans="1:31" x14ac:dyDescent="0.25">
      <c r="A395" s="1"/>
      <c r="B395" s="4"/>
      <c r="C395" s="4"/>
      <c r="D395" s="4"/>
      <c r="E395" s="4"/>
      <c r="F395" s="4"/>
      <c r="G395" s="4"/>
      <c r="H395" s="4"/>
      <c r="I395" s="4"/>
      <c r="J395" s="4"/>
      <c r="K395" s="4"/>
      <c r="L395" s="4"/>
      <c r="M395" s="4"/>
      <c r="N395" s="4"/>
      <c r="O395" s="4"/>
      <c r="P395" s="4"/>
      <c r="Q395" s="4"/>
      <c r="R395" s="4"/>
      <c r="S395" s="4"/>
      <c r="T395" s="4"/>
      <c r="U395" s="4"/>
      <c r="V395" s="4"/>
      <c r="W395" s="4"/>
      <c r="X395" s="4"/>
      <c r="Y395" s="4"/>
      <c r="Z395" s="4"/>
      <c r="AA395" s="4"/>
      <c r="AB395" s="4"/>
      <c r="AC395" s="4"/>
      <c r="AD395" s="4"/>
      <c r="AE395" s="4"/>
    </row>
    <row r="396" ht="13.5" customHeight="1" spans="1:31" x14ac:dyDescent="0.25">
      <c r="A396" s="1"/>
      <c r="B396" s="4"/>
      <c r="C396" s="4"/>
      <c r="D396" s="4"/>
      <c r="E396" s="4"/>
      <c r="F396" s="4"/>
      <c r="G396" s="4"/>
      <c r="H396" s="4"/>
      <c r="I396" s="4"/>
      <c r="J396" s="4"/>
      <c r="K396" s="4"/>
      <c r="L396" s="4"/>
      <c r="M396" s="4"/>
      <c r="N396" s="4"/>
      <c r="O396" s="4"/>
      <c r="P396" s="4"/>
      <c r="Q396" s="4"/>
      <c r="R396" s="4"/>
      <c r="S396" s="4"/>
      <c r="T396" s="4"/>
      <c r="U396" s="4"/>
      <c r="V396" s="4"/>
      <c r="W396" s="4"/>
      <c r="X396" s="4"/>
      <c r="Y396" s="4"/>
      <c r="Z396" s="4"/>
      <c r="AA396" s="4"/>
      <c r="AB396" s="4"/>
      <c r="AC396" s="4"/>
      <c r="AD396" s="4"/>
      <c r="AE396" s="4"/>
    </row>
    <row r="397" ht="13.5" customHeight="1" spans="1:31" x14ac:dyDescent="0.25">
      <c r="A397" s="1"/>
      <c r="B397" s="4"/>
      <c r="C397" s="4"/>
      <c r="D397" s="4"/>
      <c r="E397" s="4"/>
      <c r="F397" s="4"/>
      <c r="G397" s="4"/>
      <c r="H397" s="4"/>
      <c r="I397" s="4"/>
      <c r="J397" s="4"/>
      <c r="K397" s="4"/>
      <c r="L397" s="4"/>
      <c r="M397" s="4"/>
      <c r="N397" s="4"/>
      <c r="O397" s="4"/>
      <c r="P397" s="4"/>
      <c r="Q397" s="4"/>
      <c r="R397" s="4"/>
      <c r="S397" s="4"/>
      <c r="T397" s="4"/>
      <c r="U397" s="4"/>
      <c r="V397" s="4"/>
      <c r="W397" s="4"/>
      <c r="X397" s="4"/>
      <c r="Y397" s="4"/>
      <c r="Z397" s="4"/>
      <c r="AA397" s="4"/>
      <c r="AB397" s="4"/>
      <c r="AC397" s="4"/>
      <c r="AD397" s="4"/>
      <c r="AE397" s="4"/>
    </row>
    <row r="398" ht="13.5" customHeight="1" spans="1:31" x14ac:dyDescent="0.25">
      <c r="A398" s="1"/>
      <c r="B398" s="4"/>
      <c r="C398" s="4"/>
      <c r="D398" s="4"/>
      <c r="E398" s="4"/>
      <c r="F398" s="4"/>
      <c r="G398" s="4"/>
      <c r="H398" s="4"/>
      <c r="I398" s="4"/>
      <c r="J398" s="4"/>
      <c r="K398" s="4"/>
      <c r="L398" s="4"/>
      <c r="M398" s="4"/>
      <c r="N398" s="4"/>
      <c r="O398" s="4"/>
      <c r="P398" s="4"/>
      <c r="Q398" s="4"/>
      <c r="R398" s="4"/>
      <c r="S398" s="4"/>
      <c r="T398" s="4"/>
      <c r="U398" s="4"/>
      <c r="V398" s="4"/>
      <c r="W398" s="4"/>
      <c r="X398" s="4"/>
      <c r="Y398" s="4"/>
      <c r="Z398" s="4"/>
      <c r="AA398" s="4"/>
      <c r="AB398" s="4"/>
      <c r="AC398" s="4"/>
      <c r="AD398" s="4"/>
      <c r="AE398" s="4"/>
    </row>
    <row r="399" ht="13.5" customHeight="1" spans="1:31" x14ac:dyDescent="0.25">
      <c r="A399" s="1"/>
      <c r="B399" s="4"/>
      <c r="C399" s="4"/>
      <c r="D399" s="4"/>
      <c r="E399" s="4"/>
      <c r="F399" s="4"/>
      <c r="G399" s="4"/>
      <c r="H399" s="4"/>
      <c r="I399" s="4"/>
      <c r="J399" s="4"/>
      <c r="K399" s="4"/>
      <c r="L399" s="4"/>
      <c r="M399" s="4"/>
      <c r="N399" s="4"/>
      <c r="O399" s="4"/>
      <c r="P399" s="4"/>
      <c r="Q399" s="4"/>
      <c r="R399" s="4"/>
      <c r="S399" s="4"/>
      <c r="T399" s="4"/>
      <c r="U399" s="4"/>
      <c r="V399" s="4"/>
      <c r="W399" s="4"/>
      <c r="X399" s="4"/>
      <c r="Y399" s="4"/>
      <c r="Z399" s="4"/>
      <c r="AA399" s="4"/>
      <c r="AB399" s="4"/>
      <c r="AC399" s="4"/>
      <c r="AD399" s="4"/>
      <c r="AE399" s="4"/>
    </row>
    <row r="400" ht="13.5" customHeight="1" spans="1:31" x14ac:dyDescent="0.25">
      <c r="A400" s="1"/>
      <c r="B400" s="4"/>
      <c r="C400" s="4"/>
      <c r="D400" s="4"/>
      <c r="E400" s="4"/>
      <c r="F400" s="4"/>
      <c r="G400" s="4"/>
      <c r="H400" s="4"/>
      <c r="I400" s="4"/>
      <c r="J400" s="4"/>
      <c r="K400" s="4"/>
      <c r="L400" s="4"/>
      <c r="M400" s="4"/>
      <c r="N400" s="4"/>
      <c r="O400" s="4"/>
      <c r="P400" s="4"/>
      <c r="Q400" s="4"/>
      <c r="R400" s="4"/>
      <c r="S400" s="4"/>
      <c r="T400" s="4"/>
      <c r="U400" s="4"/>
      <c r="V400" s="4"/>
      <c r="W400" s="4"/>
      <c r="X400" s="4"/>
      <c r="Y400" s="4"/>
      <c r="Z400" s="4"/>
      <c r="AA400" s="4"/>
      <c r="AB400" s="4"/>
      <c r="AC400" s="4"/>
      <c r="AD400" s="4"/>
      <c r="AE400" s="4"/>
    </row>
    <row r="401" ht="13.5" customHeight="1" spans="1:31" x14ac:dyDescent="0.25">
      <c r="A401" s="1"/>
      <c r="B401" s="4"/>
      <c r="C401" s="4"/>
      <c r="D401" s="4"/>
      <c r="E401" s="4"/>
      <c r="F401" s="4"/>
      <c r="G401" s="4"/>
      <c r="H401" s="4"/>
      <c r="I401" s="4"/>
      <c r="J401" s="4"/>
      <c r="K401" s="4"/>
      <c r="L401" s="4"/>
      <c r="M401" s="4"/>
      <c r="N401" s="4"/>
      <c r="O401" s="4"/>
      <c r="P401" s="4"/>
      <c r="Q401" s="4"/>
      <c r="R401" s="4"/>
      <c r="S401" s="4"/>
      <c r="T401" s="4"/>
      <c r="U401" s="4"/>
      <c r="V401" s="4"/>
      <c r="W401" s="4"/>
      <c r="X401" s="4"/>
      <c r="Y401" s="4"/>
      <c r="Z401" s="4"/>
      <c r="AA401" s="4"/>
      <c r="AB401" s="4"/>
      <c r="AC401" s="4"/>
      <c r="AD401" s="4"/>
      <c r="AE401" s="4"/>
    </row>
    <row r="402" ht="13.5" customHeight="1" spans="1:31" x14ac:dyDescent="0.25">
      <c r="A402" s="1"/>
      <c r="B402" s="4"/>
      <c r="C402" s="4"/>
      <c r="D402" s="4"/>
      <c r="E402" s="4"/>
      <c r="F402" s="4"/>
      <c r="G402" s="4"/>
      <c r="H402" s="4"/>
      <c r="I402" s="4"/>
      <c r="J402" s="4"/>
      <c r="K402" s="4"/>
      <c r="L402" s="4"/>
      <c r="M402" s="4"/>
      <c r="N402" s="4"/>
      <c r="O402" s="4"/>
      <c r="P402" s="4"/>
      <c r="Q402" s="4"/>
      <c r="R402" s="4"/>
      <c r="S402" s="4"/>
      <c r="T402" s="4"/>
      <c r="U402" s="4"/>
      <c r="V402" s="4"/>
      <c r="W402" s="4"/>
      <c r="X402" s="4"/>
      <c r="Y402" s="4"/>
      <c r="Z402" s="4"/>
      <c r="AA402" s="4"/>
      <c r="AB402" s="4"/>
      <c r="AC402" s="4"/>
      <c r="AD402" s="4"/>
      <c r="AE402" s="4"/>
    </row>
    <row r="403" ht="13.5" customHeight="1" spans="1:31" x14ac:dyDescent="0.25">
      <c r="A403" s="1"/>
      <c r="B403" s="4"/>
      <c r="C403" s="4"/>
      <c r="D403" s="4"/>
      <c r="E403" s="4"/>
      <c r="F403" s="4"/>
      <c r="G403" s="4"/>
      <c r="H403" s="4"/>
      <c r="I403" s="4"/>
      <c r="J403" s="4"/>
      <c r="K403" s="4"/>
      <c r="L403" s="4"/>
      <c r="M403" s="4"/>
      <c r="N403" s="4"/>
      <c r="O403" s="4"/>
      <c r="P403" s="4"/>
      <c r="Q403" s="4"/>
      <c r="R403" s="4"/>
      <c r="S403" s="4"/>
      <c r="T403" s="4"/>
      <c r="U403" s="4"/>
      <c r="V403" s="4"/>
      <c r="W403" s="4"/>
      <c r="X403" s="4"/>
      <c r="Y403" s="4"/>
      <c r="Z403" s="4"/>
      <c r="AA403" s="4"/>
      <c r="AB403" s="4"/>
      <c r="AC403" s="4"/>
      <c r="AD403" s="4"/>
      <c r="AE403" s="4"/>
    </row>
    <row r="404" ht="13.5" customHeight="1" spans="1:31" x14ac:dyDescent="0.25">
      <c r="A404" s="1"/>
      <c r="B404" s="4"/>
      <c r="C404" s="4"/>
      <c r="D404" s="4"/>
      <c r="E404" s="4"/>
      <c r="F404" s="4"/>
      <c r="G404" s="4"/>
      <c r="H404" s="4"/>
      <c r="I404" s="4"/>
      <c r="J404" s="4"/>
      <c r="K404" s="4"/>
      <c r="L404" s="4"/>
      <c r="M404" s="4"/>
      <c r="N404" s="4"/>
      <c r="O404" s="4"/>
      <c r="P404" s="4"/>
      <c r="Q404" s="4"/>
      <c r="R404" s="4"/>
      <c r="S404" s="4"/>
      <c r="T404" s="4"/>
      <c r="U404" s="4"/>
      <c r="V404" s="4"/>
      <c r="W404" s="4"/>
      <c r="X404" s="4"/>
      <c r="Y404" s="4"/>
      <c r="Z404" s="4"/>
      <c r="AA404" s="4"/>
      <c r="AB404" s="4"/>
      <c r="AC404" s="4"/>
      <c r="AD404" s="4"/>
      <c r="AE404" s="4"/>
    </row>
    <row r="405" ht="13.5" customHeight="1" spans="1:31" x14ac:dyDescent="0.25">
      <c r="A405" s="1"/>
      <c r="B405" s="4"/>
      <c r="C405" s="4"/>
      <c r="D405" s="4"/>
      <c r="E405" s="4"/>
      <c r="F405" s="4"/>
      <c r="G405" s="4"/>
      <c r="H405" s="4"/>
      <c r="I405" s="4"/>
      <c r="J405" s="4"/>
      <c r="K405" s="4"/>
      <c r="L405" s="4"/>
      <c r="M405" s="4"/>
      <c r="N405" s="4"/>
      <c r="O405" s="4"/>
      <c r="P405" s="4"/>
      <c r="Q405" s="4"/>
      <c r="R405" s="4"/>
      <c r="S405" s="4"/>
      <c r="T405" s="4"/>
      <c r="U405" s="4"/>
      <c r="V405" s="4"/>
      <c r="W405" s="4"/>
      <c r="X405" s="4"/>
      <c r="Y405" s="4"/>
      <c r="Z405" s="4"/>
      <c r="AA405" s="4"/>
      <c r="AB405" s="4"/>
      <c r="AC405" s="4"/>
      <c r="AD405" s="4"/>
      <c r="AE405" s="4"/>
    </row>
    <row r="406" ht="13.5" customHeight="1" spans="1:31" x14ac:dyDescent="0.25">
      <c r="A406" s="1"/>
      <c r="B406" s="4"/>
      <c r="C406" s="4"/>
      <c r="D406" s="4"/>
      <c r="E406" s="4"/>
      <c r="F406" s="4"/>
      <c r="G406" s="4"/>
      <c r="H406" s="4"/>
      <c r="I406" s="4"/>
      <c r="J406" s="4"/>
      <c r="K406" s="4"/>
      <c r="L406" s="4"/>
      <c r="M406" s="4"/>
      <c r="N406" s="4"/>
      <c r="O406" s="4"/>
      <c r="P406" s="4"/>
      <c r="Q406" s="4"/>
      <c r="R406" s="4"/>
      <c r="S406" s="4"/>
      <c r="T406" s="4"/>
      <c r="U406" s="4"/>
      <c r="V406" s="4"/>
      <c r="W406" s="4"/>
      <c r="X406" s="4"/>
      <c r="Y406" s="4"/>
      <c r="Z406" s="4"/>
      <c r="AA406" s="4"/>
      <c r="AB406" s="4"/>
      <c r="AC406" s="4"/>
      <c r="AD406" s="4"/>
      <c r="AE406" s="4"/>
    </row>
    <row r="407" ht="13.5" customHeight="1" spans="1:31" x14ac:dyDescent="0.25">
      <c r="A407" s="1"/>
      <c r="B407" s="4"/>
      <c r="C407" s="4"/>
      <c r="D407" s="4"/>
      <c r="E407" s="4"/>
      <c r="F407" s="4"/>
      <c r="G407" s="4"/>
      <c r="H407" s="4"/>
      <c r="I407" s="4"/>
      <c r="J407" s="4"/>
      <c r="K407" s="4"/>
      <c r="L407" s="4"/>
      <c r="M407" s="4"/>
      <c r="N407" s="4"/>
      <c r="O407" s="4"/>
      <c r="P407" s="4"/>
      <c r="Q407" s="4"/>
      <c r="R407" s="4"/>
      <c r="S407" s="4"/>
      <c r="T407" s="4"/>
      <c r="U407" s="4"/>
      <c r="V407" s="4"/>
      <c r="W407" s="4"/>
      <c r="X407" s="4"/>
      <c r="Y407" s="4"/>
      <c r="Z407" s="4"/>
      <c r="AA407" s="4"/>
      <c r="AB407" s="4"/>
      <c r="AC407" s="4"/>
      <c r="AD407" s="4"/>
      <c r="AE407" s="4"/>
    </row>
    <row r="408" ht="13.5" customHeight="1" spans="1:31" x14ac:dyDescent="0.25">
      <c r="A408" s="1"/>
      <c r="B408" s="4"/>
      <c r="C408" s="4"/>
      <c r="D408" s="4"/>
      <c r="E408" s="4"/>
      <c r="F408" s="4"/>
      <c r="G408" s="4"/>
      <c r="H408" s="4"/>
      <c r="I408" s="4"/>
      <c r="J408" s="4"/>
      <c r="K408" s="4"/>
      <c r="L408" s="4"/>
      <c r="M408" s="4"/>
      <c r="N408" s="4"/>
      <c r="O408" s="4"/>
      <c r="P408" s="4"/>
      <c r="Q408" s="4"/>
      <c r="R408" s="4"/>
      <c r="S408" s="4"/>
      <c r="T408" s="4"/>
      <c r="U408" s="4"/>
      <c r="V408" s="4"/>
      <c r="W408" s="4"/>
      <c r="X408" s="4"/>
      <c r="Y408" s="4"/>
      <c r="Z408" s="4"/>
      <c r="AA408" s="4"/>
      <c r="AB408" s="4"/>
      <c r="AC408" s="4"/>
      <c r="AD408" s="4"/>
      <c r="AE408" s="4"/>
    </row>
    <row r="409" ht="13.5" customHeight="1" spans="1:31" x14ac:dyDescent="0.25">
      <c r="A409" s="1"/>
      <c r="B409" s="4"/>
      <c r="C409" s="4"/>
      <c r="D409" s="4"/>
      <c r="E409" s="4"/>
      <c r="F409" s="4"/>
      <c r="G409" s="4"/>
      <c r="H409" s="4"/>
      <c r="I409" s="4"/>
      <c r="J409" s="4"/>
      <c r="K409" s="4"/>
      <c r="L409" s="4"/>
      <c r="M409" s="4"/>
      <c r="N409" s="4"/>
      <c r="O409" s="4"/>
      <c r="P409" s="4"/>
      <c r="Q409" s="4"/>
      <c r="R409" s="4"/>
      <c r="S409" s="4"/>
      <c r="T409" s="4"/>
      <c r="U409" s="4"/>
      <c r="V409" s="4"/>
      <c r="W409" s="4"/>
      <c r="X409" s="4"/>
      <c r="Y409" s="4"/>
      <c r="Z409" s="4"/>
      <c r="AA409" s="4"/>
      <c r="AB409" s="4"/>
      <c r="AC409" s="4"/>
      <c r="AD409" s="4"/>
      <c r="AE409" s="4"/>
    </row>
    <row r="410" ht="13.5" customHeight="1" spans="1:31" x14ac:dyDescent="0.25">
      <c r="A410" s="1"/>
      <c r="B410" s="4"/>
      <c r="C410" s="4"/>
      <c r="D410" s="4"/>
      <c r="E410" s="4"/>
      <c r="F410" s="4"/>
      <c r="G410" s="4"/>
      <c r="H410" s="4"/>
      <c r="I410" s="4"/>
      <c r="J410" s="4"/>
      <c r="K410" s="4"/>
      <c r="L410" s="4"/>
      <c r="M410" s="4"/>
      <c r="N410" s="4"/>
      <c r="O410" s="4"/>
      <c r="P410" s="4"/>
      <c r="Q410" s="4"/>
      <c r="R410" s="4"/>
      <c r="S410" s="4"/>
      <c r="T410" s="4"/>
      <c r="U410" s="4"/>
      <c r="V410" s="4"/>
      <c r="W410" s="4"/>
      <c r="X410" s="4"/>
      <c r="Y410" s="4"/>
      <c r="Z410" s="4"/>
      <c r="AA410" s="4"/>
      <c r="AB410" s="4"/>
      <c r="AC410" s="4"/>
      <c r="AD410" s="4"/>
      <c r="AE410" s="4"/>
    </row>
    <row r="411" ht="13.5" customHeight="1" spans="1:31" x14ac:dyDescent="0.25">
      <c r="A411" s="1"/>
      <c r="B411" s="4"/>
      <c r="C411" s="4"/>
      <c r="D411" s="4"/>
      <c r="E411" s="4"/>
      <c r="F411" s="4"/>
      <c r="G411" s="4"/>
      <c r="H411" s="4"/>
      <c r="I411" s="4"/>
      <c r="J411" s="4"/>
      <c r="K411" s="4"/>
      <c r="L411" s="4"/>
      <c r="M411" s="4"/>
      <c r="N411" s="4"/>
      <c r="O411" s="4"/>
      <c r="P411" s="4"/>
      <c r="Q411" s="4"/>
      <c r="R411" s="4"/>
      <c r="S411" s="4"/>
      <c r="T411" s="4"/>
      <c r="U411" s="4"/>
      <c r="V411" s="4"/>
      <c r="W411" s="4"/>
      <c r="X411" s="4"/>
      <c r="Y411" s="4"/>
      <c r="Z411" s="4"/>
      <c r="AA411" s="4"/>
      <c r="AB411" s="4"/>
      <c r="AC411" s="4"/>
      <c r="AD411" s="4"/>
      <c r="AE411" s="4"/>
    </row>
    <row r="412" ht="13.5" customHeight="1" spans="1:31" x14ac:dyDescent="0.25">
      <c r="A412" s="1"/>
      <c r="B412" s="4"/>
      <c r="C412" s="4"/>
      <c r="D412" s="4"/>
      <c r="E412" s="4"/>
      <c r="F412" s="4"/>
      <c r="G412" s="4"/>
      <c r="H412" s="4"/>
      <c r="I412" s="4"/>
      <c r="J412" s="4"/>
      <c r="K412" s="4"/>
      <c r="L412" s="4"/>
      <c r="M412" s="4"/>
      <c r="N412" s="4"/>
      <c r="O412" s="4"/>
      <c r="P412" s="4"/>
      <c r="Q412" s="4"/>
      <c r="R412" s="4"/>
      <c r="S412" s="4"/>
      <c r="T412" s="4"/>
      <c r="U412" s="4"/>
      <c r="V412" s="4"/>
      <c r="W412" s="4"/>
      <c r="X412" s="4"/>
      <c r="Y412" s="4"/>
      <c r="Z412" s="4"/>
      <c r="AA412" s="4"/>
      <c r="AB412" s="4"/>
      <c r="AC412" s="4"/>
      <c r="AD412" s="4"/>
      <c r="AE412" s="4"/>
    </row>
    <row r="413" ht="13.5" customHeight="1" spans="1:31" x14ac:dyDescent="0.25">
      <c r="A413" s="1"/>
      <c r="B413" s="4"/>
      <c r="C413" s="4"/>
      <c r="D413" s="4"/>
      <c r="E413" s="4"/>
      <c r="F413" s="4"/>
      <c r="G413" s="4"/>
      <c r="H413" s="4"/>
      <c r="I413" s="4"/>
      <c r="J413" s="4"/>
      <c r="K413" s="4"/>
      <c r="L413" s="4"/>
      <c r="M413" s="4"/>
      <c r="N413" s="4"/>
      <c r="O413" s="4"/>
      <c r="P413" s="4"/>
      <c r="Q413" s="4"/>
      <c r="R413" s="4"/>
      <c r="S413" s="4"/>
      <c r="T413" s="4"/>
      <c r="U413" s="4"/>
      <c r="V413" s="4"/>
      <c r="W413" s="4"/>
      <c r="X413" s="4"/>
      <c r="Y413" s="4"/>
      <c r="Z413" s="4"/>
      <c r="AA413" s="4"/>
      <c r="AB413" s="4"/>
      <c r="AC413" s="4"/>
      <c r="AD413" s="4"/>
      <c r="AE413" s="4"/>
    </row>
    <row r="414" ht="13.5" customHeight="1" spans="1:31" x14ac:dyDescent="0.25">
      <c r="A414" s="1"/>
      <c r="B414" s="4"/>
      <c r="C414" s="4"/>
      <c r="D414" s="4"/>
      <c r="E414" s="4"/>
      <c r="F414" s="4"/>
      <c r="G414" s="4"/>
      <c r="H414" s="4"/>
      <c r="I414" s="4"/>
      <c r="J414" s="4"/>
      <c r="K414" s="4"/>
      <c r="L414" s="4"/>
      <c r="M414" s="4"/>
      <c r="N414" s="4"/>
      <c r="O414" s="4"/>
      <c r="P414" s="4"/>
      <c r="Q414" s="4"/>
      <c r="R414" s="4"/>
      <c r="S414" s="4"/>
      <c r="T414" s="4"/>
      <c r="U414" s="4"/>
      <c r="V414" s="4"/>
      <c r="W414" s="4"/>
      <c r="X414" s="4"/>
      <c r="Y414" s="4"/>
      <c r="Z414" s="4"/>
      <c r="AA414" s="4"/>
      <c r="AB414" s="4"/>
      <c r="AC414" s="4"/>
      <c r="AD414" s="4"/>
      <c r="AE414" s="4"/>
    </row>
    <row r="415" ht="13.5" customHeight="1" spans="1:31" x14ac:dyDescent="0.25">
      <c r="A415" s="1"/>
      <c r="B415" s="4"/>
      <c r="C415" s="4"/>
      <c r="D415" s="4"/>
      <c r="E415" s="4"/>
      <c r="F415" s="4"/>
      <c r="G415" s="4"/>
      <c r="H415" s="4"/>
      <c r="I415" s="4"/>
      <c r="J415" s="4"/>
      <c r="K415" s="4"/>
      <c r="L415" s="4"/>
      <c r="M415" s="4"/>
      <c r="N415" s="4"/>
      <c r="O415" s="4"/>
      <c r="P415" s="4"/>
      <c r="Q415" s="4"/>
      <c r="R415" s="4"/>
      <c r="S415" s="4"/>
      <c r="T415" s="4"/>
      <c r="U415" s="4"/>
      <c r="V415" s="4"/>
      <c r="W415" s="4"/>
      <c r="X415" s="4"/>
      <c r="Y415" s="4"/>
      <c r="Z415" s="4"/>
      <c r="AA415" s="4"/>
      <c r="AB415" s="4"/>
      <c r="AC415" s="4"/>
      <c r="AD415" s="4"/>
      <c r="AE415" s="4"/>
    </row>
    <row r="416" ht="13.5" customHeight="1" spans="1:31" x14ac:dyDescent="0.25">
      <c r="A416" s="1"/>
      <c r="B416" s="4"/>
      <c r="C416" s="4"/>
      <c r="D416" s="4"/>
      <c r="E416" s="4"/>
      <c r="F416" s="4"/>
      <c r="G416" s="4"/>
      <c r="H416" s="4"/>
      <c r="I416" s="4"/>
      <c r="J416" s="4"/>
      <c r="K416" s="4"/>
      <c r="L416" s="4"/>
      <c r="M416" s="4"/>
      <c r="N416" s="4"/>
      <c r="O416" s="4"/>
      <c r="P416" s="4"/>
      <c r="Q416" s="4"/>
      <c r="R416" s="4"/>
      <c r="S416" s="4"/>
      <c r="T416" s="4"/>
      <c r="U416" s="4"/>
      <c r="V416" s="4"/>
      <c r="W416" s="4"/>
      <c r="X416" s="4"/>
      <c r="Y416" s="4"/>
      <c r="Z416" s="4"/>
      <c r="AA416" s="4"/>
      <c r="AB416" s="4"/>
      <c r="AC416" s="4"/>
      <c r="AD416" s="4"/>
      <c r="AE416" s="4"/>
    </row>
    <row r="417" ht="13.5" customHeight="1" spans="1:31" x14ac:dyDescent="0.25">
      <c r="A417" s="1"/>
      <c r="B417" s="4"/>
      <c r="C417" s="4"/>
      <c r="D417" s="4"/>
      <c r="E417" s="4"/>
      <c r="F417" s="4"/>
      <c r="G417" s="4"/>
      <c r="H417" s="4"/>
      <c r="I417" s="4"/>
      <c r="J417" s="4"/>
      <c r="K417" s="4"/>
      <c r="L417" s="4"/>
      <c r="M417" s="4"/>
      <c r="N417" s="4"/>
      <c r="O417" s="4"/>
      <c r="P417" s="4"/>
      <c r="Q417" s="4"/>
      <c r="R417" s="4"/>
      <c r="S417" s="4"/>
      <c r="T417" s="4"/>
      <c r="U417" s="4"/>
      <c r="V417" s="4"/>
      <c r="W417" s="4"/>
      <c r="X417" s="4"/>
      <c r="Y417" s="4"/>
      <c r="Z417" s="4"/>
      <c r="AA417" s="4"/>
      <c r="AB417" s="4"/>
      <c r="AC417" s="4"/>
      <c r="AD417" s="4"/>
      <c r="AE417" s="4"/>
    </row>
    <row r="418" ht="13.5" customHeight="1" spans="1:31" x14ac:dyDescent="0.25">
      <c r="A418" s="1"/>
      <c r="B418" s="4"/>
      <c r="C418" s="4"/>
      <c r="D418" s="4"/>
      <c r="E418" s="4"/>
      <c r="F418" s="4"/>
      <c r="G418" s="4"/>
      <c r="H418" s="4"/>
      <c r="I418" s="4"/>
      <c r="J418" s="4"/>
      <c r="K418" s="4"/>
      <c r="L418" s="4"/>
      <c r="M418" s="4"/>
      <c r="N418" s="4"/>
      <c r="O418" s="4"/>
      <c r="P418" s="4"/>
      <c r="Q418" s="4"/>
      <c r="R418" s="4"/>
      <c r="S418" s="4"/>
      <c r="T418" s="4"/>
      <c r="U418" s="4"/>
      <c r="V418" s="4"/>
      <c r="W418" s="4"/>
      <c r="X418" s="4"/>
      <c r="Y418" s="4"/>
      <c r="Z418" s="4"/>
      <c r="AA418" s="4"/>
      <c r="AB418" s="4"/>
      <c r="AC418" s="4"/>
      <c r="AD418" s="4"/>
      <c r="AE418" s="4"/>
    </row>
    <row r="419" ht="13.5" customHeight="1" spans="1:31" x14ac:dyDescent="0.25">
      <c r="A419" s="1"/>
      <c r="B419" s="4"/>
      <c r="C419" s="4"/>
      <c r="D419" s="4"/>
      <c r="E419" s="4"/>
      <c r="F419" s="4"/>
      <c r="G419" s="4"/>
      <c r="H419" s="4"/>
      <c r="I419" s="4"/>
      <c r="J419" s="4"/>
      <c r="K419" s="4"/>
      <c r="L419" s="4"/>
      <c r="M419" s="4"/>
      <c r="N419" s="4"/>
      <c r="O419" s="4"/>
      <c r="P419" s="4"/>
      <c r="Q419" s="4"/>
      <c r="R419" s="4"/>
      <c r="S419" s="4"/>
      <c r="T419" s="4"/>
      <c r="U419" s="4"/>
      <c r="V419" s="4"/>
      <c r="W419" s="4"/>
      <c r="X419" s="4"/>
      <c r="Y419" s="4"/>
      <c r="Z419" s="4"/>
      <c r="AA419" s="4"/>
      <c r="AB419" s="4"/>
      <c r="AC419" s="4"/>
      <c r="AD419" s="4"/>
      <c r="AE419" s="4"/>
    </row>
    <row r="420" ht="13.5" customHeight="1" spans="1:31" x14ac:dyDescent="0.25">
      <c r="A420" s="1"/>
      <c r="B420" s="4"/>
      <c r="C420" s="4"/>
      <c r="D420" s="4"/>
      <c r="E420" s="4"/>
      <c r="F420" s="4"/>
      <c r="G420" s="4"/>
      <c r="H420" s="4"/>
      <c r="I420" s="4"/>
      <c r="J420" s="4"/>
      <c r="K420" s="4"/>
      <c r="L420" s="4"/>
      <c r="M420" s="4"/>
      <c r="N420" s="4"/>
      <c r="O420" s="4"/>
      <c r="P420" s="4"/>
      <c r="Q420" s="4"/>
      <c r="R420" s="4"/>
      <c r="S420" s="4"/>
      <c r="T420" s="4"/>
      <c r="U420" s="4"/>
      <c r="V420" s="4"/>
      <c r="W420" s="4"/>
      <c r="X420" s="4"/>
      <c r="Y420" s="4"/>
      <c r="Z420" s="4"/>
      <c r="AA420" s="4"/>
      <c r="AB420" s="4"/>
      <c r="AC420" s="4"/>
      <c r="AD420" s="4"/>
      <c r="AE420" s="4"/>
    </row>
    <row r="421" ht="13.5" customHeight="1" spans="1:31" x14ac:dyDescent="0.25">
      <c r="A421" s="1"/>
      <c r="B421" s="4"/>
      <c r="C421" s="4"/>
      <c r="D421" s="4"/>
      <c r="E421" s="4"/>
      <c r="F421" s="4"/>
      <c r="G421" s="4"/>
      <c r="H421" s="4"/>
      <c r="I421" s="4"/>
      <c r="J421" s="4"/>
      <c r="K421" s="4"/>
      <c r="L421" s="4"/>
      <c r="M421" s="4"/>
      <c r="N421" s="4"/>
      <c r="O421" s="4"/>
      <c r="P421" s="4"/>
      <c r="Q421" s="4"/>
      <c r="R421" s="4"/>
      <c r="S421" s="4"/>
      <c r="T421" s="4"/>
      <c r="U421" s="4"/>
      <c r="V421" s="4"/>
      <c r="W421" s="4"/>
      <c r="X421" s="4"/>
      <c r="Y421" s="4"/>
      <c r="Z421" s="4"/>
      <c r="AA421" s="4"/>
      <c r="AB421" s="4"/>
      <c r="AC421" s="4"/>
      <c r="AD421" s="4"/>
      <c r="AE421" s="4"/>
    </row>
    <row r="422" ht="13.5" customHeight="1" spans="1:31" x14ac:dyDescent="0.25">
      <c r="A422" s="1"/>
      <c r="B422" s="4"/>
      <c r="C422" s="4"/>
      <c r="D422" s="4"/>
      <c r="E422" s="4"/>
      <c r="F422" s="4"/>
      <c r="G422" s="4"/>
      <c r="H422" s="4"/>
      <c r="I422" s="4"/>
      <c r="J422" s="4"/>
      <c r="K422" s="4"/>
      <c r="L422" s="4"/>
      <c r="M422" s="4"/>
      <c r="N422" s="4"/>
      <c r="O422" s="4"/>
      <c r="P422" s="4"/>
      <c r="Q422" s="4"/>
      <c r="R422" s="4"/>
      <c r="S422" s="4"/>
      <c r="T422" s="4"/>
      <c r="U422" s="4"/>
      <c r="V422" s="4"/>
      <c r="W422" s="4"/>
      <c r="X422" s="4"/>
      <c r="Y422" s="4"/>
      <c r="Z422" s="4"/>
      <c r="AA422" s="4"/>
      <c r="AB422" s="4"/>
      <c r="AC422" s="4"/>
      <c r="AD422" s="4"/>
      <c r="AE422" s="4"/>
    </row>
    <row r="423" ht="13.5" customHeight="1" spans="1:31" x14ac:dyDescent="0.25">
      <c r="A423" s="1"/>
      <c r="B423" s="4"/>
      <c r="C423" s="4"/>
      <c r="D423" s="4"/>
      <c r="E423" s="4"/>
      <c r="F423" s="4"/>
      <c r="G423" s="4"/>
      <c r="H423" s="4"/>
      <c r="I423" s="4"/>
      <c r="J423" s="4"/>
      <c r="K423" s="4"/>
      <c r="L423" s="4"/>
      <c r="M423" s="4"/>
      <c r="N423" s="4"/>
      <c r="O423" s="4"/>
      <c r="P423" s="4"/>
      <c r="Q423" s="4"/>
      <c r="R423" s="4"/>
      <c r="S423" s="4"/>
      <c r="T423" s="4"/>
      <c r="U423" s="4"/>
      <c r="V423" s="4"/>
      <c r="W423" s="4"/>
      <c r="X423" s="4"/>
      <c r="Y423" s="4"/>
      <c r="Z423" s="4"/>
      <c r="AA423" s="4"/>
      <c r="AB423" s="4"/>
      <c r="AC423" s="4"/>
      <c r="AD423" s="4"/>
      <c r="AE423" s="4"/>
    </row>
    <row r="424" ht="13.5" customHeight="1" spans="1:31" x14ac:dyDescent="0.25">
      <c r="A424" s="1"/>
      <c r="B424" s="4"/>
      <c r="C424" s="4"/>
      <c r="D424" s="4"/>
      <c r="E424" s="4"/>
      <c r="F424" s="4"/>
      <c r="G424" s="4"/>
      <c r="H424" s="4"/>
      <c r="I424" s="4"/>
      <c r="J424" s="4"/>
      <c r="K424" s="4"/>
      <c r="L424" s="4"/>
      <c r="M424" s="4"/>
      <c r="N424" s="4"/>
      <c r="O424" s="4"/>
      <c r="P424" s="4"/>
      <c r="Q424" s="4"/>
      <c r="R424" s="4"/>
      <c r="S424" s="4"/>
      <c r="T424" s="4"/>
      <c r="U424" s="4"/>
      <c r="V424" s="4"/>
      <c r="W424" s="4"/>
      <c r="X424" s="4"/>
      <c r="Y424" s="4"/>
      <c r="Z424" s="4"/>
      <c r="AA424" s="4"/>
      <c r="AB424" s="4"/>
      <c r="AC424" s="4"/>
      <c r="AD424" s="4"/>
      <c r="AE424" s="4"/>
    </row>
    <row r="425" ht="13.5" customHeight="1" spans="1:31" x14ac:dyDescent="0.25">
      <c r="A425" s="1"/>
      <c r="B425" s="4"/>
      <c r="C425" s="4"/>
      <c r="D425" s="4"/>
      <c r="E425" s="4"/>
      <c r="F425" s="4"/>
      <c r="G425" s="4"/>
      <c r="H425" s="4"/>
      <c r="I425" s="4"/>
      <c r="J425" s="4"/>
      <c r="K425" s="4"/>
      <c r="L425" s="4"/>
      <c r="M425" s="4"/>
      <c r="N425" s="4"/>
      <c r="O425" s="4"/>
      <c r="P425" s="4"/>
      <c r="Q425" s="4"/>
      <c r="R425" s="4"/>
      <c r="S425" s="4"/>
      <c r="T425" s="4"/>
      <c r="U425" s="4"/>
      <c r="V425" s="4"/>
      <c r="W425" s="4"/>
      <c r="X425" s="4"/>
      <c r="Y425" s="4"/>
      <c r="Z425" s="4"/>
      <c r="AA425" s="4"/>
      <c r="AB425" s="4"/>
      <c r="AC425" s="4"/>
      <c r="AD425" s="4"/>
      <c r="AE425" s="4"/>
    </row>
    <row r="426" ht="13.5" customHeight="1" spans="1:31" x14ac:dyDescent="0.25">
      <c r="A426" s="1"/>
      <c r="B426" s="4"/>
      <c r="C426" s="4"/>
      <c r="D426" s="4"/>
      <c r="E426" s="4"/>
      <c r="F426" s="4"/>
      <c r="G426" s="4"/>
      <c r="H426" s="4"/>
      <c r="I426" s="4"/>
      <c r="J426" s="4"/>
      <c r="K426" s="4"/>
      <c r="L426" s="4"/>
      <c r="M426" s="4"/>
      <c r="N426" s="4"/>
      <c r="O426" s="4"/>
      <c r="P426" s="4"/>
      <c r="Q426" s="4"/>
      <c r="R426" s="4"/>
      <c r="S426" s="4"/>
      <c r="T426" s="4"/>
      <c r="U426" s="4"/>
      <c r="V426" s="4"/>
      <c r="W426" s="4"/>
      <c r="X426" s="4"/>
      <c r="Y426" s="4"/>
      <c r="Z426" s="4"/>
      <c r="AA426" s="4"/>
      <c r="AB426" s="4"/>
      <c r="AC426" s="4"/>
      <c r="AD426" s="4"/>
      <c r="AE426" s="4"/>
    </row>
    <row r="427" ht="13.5" customHeight="1" spans="1:31" x14ac:dyDescent="0.25">
      <c r="A427" s="1"/>
      <c r="B427" s="4"/>
      <c r="C427" s="4"/>
      <c r="D427" s="4"/>
      <c r="E427" s="4"/>
      <c r="F427" s="4"/>
      <c r="G427" s="4"/>
      <c r="H427" s="4"/>
      <c r="I427" s="4"/>
      <c r="J427" s="4"/>
      <c r="K427" s="4"/>
      <c r="L427" s="4"/>
      <c r="M427" s="4"/>
      <c r="N427" s="4"/>
      <c r="O427" s="4"/>
      <c r="P427" s="4"/>
      <c r="Q427" s="4"/>
      <c r="R427" s="4"/>
      <c r="S427" s="4"/>
      <c r="T427" s="4"/>
      <c r="U427" s="4"/>
      <c r="V427" s="4"/>
      <c r="W427" s="4"/>
      <c r="X427" s="4"/>
      <c r="Y427" s="4"/>
      <c r="Z427" s="4"/>
      <c r="AA427" s="4"/>
      <c r="AB427" s="4"/>
      <c r="AC427" s="4"/>
      <c r="AD427" s="4"/>
      <c r="AE427" s="4"/>
    </row>
    <row r="428" ht="13.5" customHeight="1" spans="1:31" x14ac:dyDescent="0.25">
      <c r="A428" s="1"/>
      <c r="B428" s="4"/>
      <c r="C428" s="4"/>
      <c r="D428" s="4"/>
      <c r="E428" s="4"/>
      <c r="F428" s="4"/>
      <c r="G428" s="4"/>
      <c r="H428" s="4"/>
      <c r="I428" s="4"/>
      <c r="J428" s="4"/>
      <c r="K428" s="4"/>
      <c r="L428" s="4"/>
      <c r="M428" s="4"/>
      <c r="N428" s="4"/>
      <c r="O428" s="4"/>
      <c r="P428" s="4"/>
      <c r="Q428" s="4"/>
      <c r="R428" s="4"/>
      <c r="S428" s="4"/>
      <c r="T428" s="4"/>
      <c r="U428" s="4"/>
      <c r="V428" s="4"/>
      <c r="W428" s="4"/>
      <c r="X428" s="4"/>
      <c r="Y428" s="4"/>
      <c r="Z428" s="4"/>
      <c r="AA428" s="4"/>
      <c r="AB428" s="4"/>
      <c r="AC428" s="4"/>
      <c r="AD428" s="4"/>
      <c r="AE428" s="4"/>
    </row>
    <row r="429" ht="13.5" customHeight="1" spans="1:31" x14ac:dyDescent="0.25">
      <c r="A429" s="1"/>
      <c r="B429" s="4"/>
      <c r="C429" s="4"/>
      <c r="D429" s="4"/>
      <c r="E429" s="4"/>
      <c r="F429" s="4"/>
      <c r="G429" s="4"/>
      <c r="H429" s="4"/>
      <c r="I429" s="4"/>
      <c r="J429" s="4"/>
      <c r="K429" s="4"/>
      <c r="L429" s="4"/>
      <c r="M429" s="4"/>
      <c r="N429" s="4"/>
      <c r="O429" s="4"/>
      <c r="P429" s="4"/>
      <c r="Q429" s="4"/>
      <c r="R429" s="4"/>
      <c r="S429" s="4"/>
      <c r="T429" s="4"/>
      <c r="U429" s="4"/>
      <c r="V429" s="4"/>
      <c r="W429" s="4"/>
      <c r="X429" s="4"/>
      <c r="Y429" s="4"/>
      <c r="Z429" s="4"/>
      <c r="AA429" s="4"/>
      <c r="AB429" s="4"/>
      <c r="AC429" s="4"/>
      <c r="AD429" s="4"/>
      <c r="AE429" s="4"/>
    </row>
    <row r="430" ht="13.5" customHeight="1" spans="1:31" x14ac:dyDescent="0.25">
      <c r="A430" s="1"/>
      <c r="B430" s="4"/>
      <c r="C430" s="4"/>
      <c r="D430" s="4"/>
      <c r="E430" s="4"/>
      <c r="F430" s="4"/>
      <c r="G430" s="4"/>
      <c r="H430" s="4"/>
      <c r="I430" s="4"/>
      <c r="J430" s="4"/>
      <c r="K430" s="4"/>
      <c r="L430" s="4"/>
      <c r="M430" s="4"/>
      <c r="N430" s="4"/>
      <c r="O430" s="4"/>
      <c r="P430" s="4"/>
      <c r="Q430" s="4"/>
      <c r="R430" s="4"/>
      <c r="S430" s="4"/>
      <c r="T430" s="4"/>
      <c r="U430" s="4"/>
      <c r="V430" s="4"/>
      <c r="W430" s="4"/>
      <c r="X430" s="4"/>
      <c r="Y430" s="4"/>
      <c r="Z430" s="4"/>
      <c r="AA430" s="4"/>
      <c r="AB430" s="4"/>
      <c r="AC430" s="4"/>
      <c r="AD430" s="4"/>
      <c r="AE430" s="4"/>
    </row>
    <row r="431" ht="13.5" customHeight="1" spans="1:31" x14ac:dyDescent="0.25">
      <c r="A431" s="1"/>
      <c r="B431" s="4"/>
      <c r="C431" s="4"/>
      <c r="D431" s="4"/>
      <c r="E431" s="4"/>
      <c r="F431" s="4"/>
      <c r="G431" s="4"/>
      <c r="H431" s="4"/>
      <c r="I431" s="4"/>
      <c r="J431" s="4"/>
      <c r="K431" s="4"/>
      <c r="L431" s="4"/>
      <c r="M431" s="4"/>
      <c r="N431" s="4"/>
      <c r="O431" s="4"/>
      <c r="P431" s="4"/>
      <c r="Q431" s="4"/>
      <c r="R431" s="4"/>
      <c r="S431" s="4"/>
      <c r="T431" s="4"/>
      <c r="U431" s="4"/>
      <c r="V431" s="4"/>
      <c r="W431" s="4"/>
      <c r="X431" s="4"/>
      <c r="Y431" s="4"/>
      <c r="Z431" s="4"/>
      <c r="AA431" s="4"/>
      <c r="AB431" s="4"/>
      <c r="AC431" s="4"/>
      <c r="AD431" s="4"/>
      <c r="AE431" s="4"/>
    </row>
    <row r="432" ht="13.5" customHeight="1" spans="1:31" x14ac:dyDescent="0.25">
      <c r="A432" s="1"/>
      <c r="B432" s="4"/>
      <c r="C432" s="4"/>
      <c r="D432" s="4"/>
      <c r="E432" s="4"/>
      <c r="F432" s="4"/>
      <c r="G432" s="4"/>
      <c r="H432" s="4"/>
      <c r="I432" s="4"/>
      <c r="J432" s="4"/>
      <c r="K432" s="4"/>
      <c r="L432" s="4"/>
      <c r="M432" s="4"/>
      <c r="N432" s="4"/>
      <c r="O432" s="4"/>
      <c r="P432" s="4"/>
      <c r="Q432" s="4"/>
      <c r="R432" s="4"/>
      <c r="S432" s="4"/>
      <c r="T432" s="4"/>
      <c r="U432" s="4"/>
      <c r="V432" s="4"/>
      <c r="W432" s="4"/>
      <c r="X432" s="4"/>
      <c r="Y432" s="4"/>
      <c r="Z432" s="4"/>
      <c r="AA432" s="4"/>
      <c r="AB432" s="4"/>
      <c r="AC432" s="4"/>
      <c r="AD432" s="4"/>
      <c r="AE432" s="4"/>
    </row>
    <row r="433" ht="13.5" customHeight="1" spans="1:31" x14ac:dyDescent="0.25">
      <c r="A433" s="1"/>
      <c r="B433" s="4"/>
      <c r="C433" s="4"/>
      <c r="D433" s="4"/>
      <c r="E433" s="4"/>
      <c r="F433" s="4"/>
      <c r="G433" s="4"/>
      <c r="H433" s="4"/>
      <c r="I433" s="4"/>
      <c r="J433" s="4"/>
      <c r="K433" s="4"/>
      <c r="L433" s="4"/>
      <c r="M433" s="4"/>
      <c r="N433" s="4"/>
      <c r="O433" s="4"/>
      <c r="P433" s="4"/>
      <c r="Q433" s="4"/>
      <c r="R433" s="4"/>
      <c r="S433" s="4"/>
      <c r="T433" s="4"/>
      <c r="U433" s="4"/>
      <c r="V433" s="4"/>
      <c r="W433" s="4"/>
      <c r="X433" s="4"/>
      <c r="Y433" s="4"/>
      <c r="Z433" s="4"/>
      <c r="AA433" s="4"/>
      <c r="AB433" s="4"/>
      <c r="AC433" s="4"/>
      <c r="AD433" s="4"/>
      <c r="AE433" s="4"/>
    </row>
    <row r="434" ht="13.5" customHeight="1" spans="1:31" x14ac:dyDescent="0.25">
      <c r="A434" s="1"/>
      <c r="B434" s="4"/>
      <c r="C434" s="4"/>
      <c r="D434" s="4"/>
      <c r="E434" s="4"/>
      <c r="F434" s="4"/>
      <c r="G434" s="4"/>
      <c r="H434" s="4"/>
      <c r="I434" s="4"/>
      <c r="J434" s="4"/>
      <c r="K434" s="4"/>
      <c r="L434" s="4"/>
      <c r="M434" s="4"/>
      <c r="N434" s="4"/>
      <c r="O434" s="4"/>
      <c r="P434" s="4"/>
      <c r="Q434" s="4"/>
      <c r="R434" s="4"/>
      <c r="S434" s="4"/>
      <c r="T434" s="4"/>
      <c r="U434" s="4"/>
      <c r="V434" s="4"/>
      <c r="W434" s="4"/>
      <c r="X434" s="4"/>
      <c r="Y434" s="4"/>
      <c r="Z434" s="4"/>
      <c r="AA434" s="4"/>
      <c r="AB434" s="4"/>
      <c r="AC434" s="4"/>
      <c r="AD434" s="4"/>
      <c r="AE434" s="4"/>
    </row>
    <row r="435" ht="13.5" customHeight="1" spans="1:31" x14ac:dyDescent="0.25">
      <c r="A435" s="1"/>
      <c r="B435" s="4"/>
      <c r="C435" s="4"/>
      <c r="D435" s="4"/>
      <c r="E435" s="4"/>
      <c r="F435" s="4"/>
      <c r="G435" s="4"/>
      <c r="H435" s="4"/>
      <c r="I435" s="4"/>
      <c r="J435" s="4"/>
      <c r="K435" s="4"/>
      <c r="L435" s="4"/>
      <c r="M435" s="4"/>
      <c r="N435" s="4"/>
      <c r="O435" s="4"/>
      <c r="P435" s="4"/>
      <c r="Q435" s="4"/>
      <c r="R435" s="4"/>
      <c r="S435" s="4"/>
      <c r="T435" s="4"/>
      <c r="U435" s="4"/>
      <c r="V435" s="4"/>
      <c r="W435" s="4"/>
      <c r="X435" s="4"/>
      <c r="Y435" s="4"/>
      <c r="Z435" s="4"/>
      <c r="AA435" s="4"/>
      <c r="AB435" s="4"/>
      <c r="AC435" s="4"/>
      <c r="AD435" s="4"/>
      <c r="AE435" s="4"/>
    </row>
    <row r="436" ht="13.5" customHeight="1" spans="1:31" x14ac:dyDescent="0.25">
      <c r="A436" s="1"/>
      <c r="B436" s="4"/>
      <c r="C436" s="4"/>
      <c r="D436" s="4"/>
      <c r="E436" s="4"/>
      <c r="F436" s="4"/>
      <c r="G436" s="4"/>
      <c r="H436" s="4"/>
      <c r="I436" s="4"/>
      <c r="J436" s="4"/>
      <c r="K436" s="4"/>
      <c r="L436" s="4"/>
      <c r="M436" s="4"/>
      <c r="N436" s="4"/>
      <c r="O436" s="4"/>
      <c r="P436" s="4"/>
      <c r="Q436" s="4"/>
      <c r="R436" s="4"/>
      <c r="S436" s="4"/>
      <c r="T436" s="4"/>
      <c r="U436" s="4"/>
      <c r="V436" s="4"/>
      <c r="W436" s="4"/>
      <c r="X436" s="4"/>
      <c r="Y436" s="4"/>
      <c r="Z436" s="4"/>
      <c r="AA436" s="4"/>
      <c r="AB436" s="4"/>
      <c r="AC436" s="4"/>
      <c r="AD436" s="4"/>
      <c r="AE436" s="4"/>
    </row>
    <row r="437" ht="13.5" customHeight="1" spans="1:31" x14ac:dyDescent="0.25">
      <c r="A437" s="1"/>
      <c r="B437" s="4"/>
      <c r="C437" s="4"/>
      <c r="D437" s="4"/>
      <c r="E437" s="4"/>
      <c r="F437" s="4"/>
      <c r="G437" s="4"/>
      <c r="H437" s="4"/>
      <c r="I437" s="4"/>
      <c r="J437" s="4"/>
      <c r="K437" s="4"/>
      <c r="L437" s="4"/>
      <c r="M437" s="4"/>
      <c r="N437" s="4"/>
      <c r="O437" s="4"/>
      <c r="P437" s="4"/>
      <c r="Q437" s="4"/>
      <c r="R437" s="4"/>
      <c r="S437" s="4"/>
      <c r="T437" s="4"/>
      <c r="U437" s="4"/>
      <c r="V437" s="4"/>
      <c r="W437" s="4"/>
      <c r="X437" s="4"/>
      <c r="Y437" s="4"/>
      <c r="Z437" s="4"/>
      <c r="AA437" s="4"/>
      <c r="AB437" s="4"/>
      <c r="AC437" s="4"/>
      <c r="AD437" s="4"/>
      <c r="AE437" s="4"/>
    </row>
    <row r="438" ht="13.5" customHeight="1" spans="1:31" x14ac:dyDescent="0.25">
      <c r="A438" s="1"/>
      <c r="B438" s="4"/>
      <c r="C438" s="4"/>
      <c r="D438" s="4"/>
      <c r="E438" s="4"/>
      <c r="F438" s="4"/>
      <c r="G438" s="4"/>
      <c r="H438" s="4"/>
      <c r="I438" s="4"/>
      <c r="J438" s="4"/>
      <c r="K438" s="4"/>
      <c r="L438" s="4"/>
      <c r="M438" s="4"/>
      <c r="N438" s="4"/>
      <c r="O438" s="4"/>
      <c r="P438" s="4"/>
      <c r="Q438" s="4"/>
      <c r="R438" s="4"/>
      <c r="S438" s="4"/>
      <c r="T438" s="4"/>
      <c r="U438" s="4"/>
      <c r="V438" s="4"/>
      <c r="W438" s="4"/>
      <c r="X438" s="4"/>
      <c r="Y438" s="4"/>
      <c r="Z438" s="4"/>
      <c r="AA438" s="4"/>
      <c r="AB438" s="4"/>
      <c r="AC438" s="4"/>
      <c r="AD438" s="4"/>
      <c r="AE438" s="4"/>
    </row>
    <row r="439" ht="13.5" customHeight="1" spans="1:31" x14ac:dyDescent="0.25">
      <c r="A439" s="1"/>
      <c r="B439" s="4"/>
      <c r="C439" s="4"/>
      <c r="D439" s="4"/>
      <c r="E439" s="4"/>
      <c r="F439" s="4"/>
      <c r="G439" s="4"/>
      <c r="H439" s="4"/>
      <c r="I439" s="4"/>
      <c r="J439" s="4"/>
      <c r="K439" s="4"/>
      <c r="L439" s="4"/>
      <c r="M439" s="4"/>
      <c r="N439" s="4"/>
      <c r="O439" s="4"/>
      <c r="P439" s="4"/>
      <c r="Q439" s="4"/>
      <c r="R439" s="4"/>
      <c r="S439" s="4"/>
      <c r="T439" s="4"/>
      <c r="U439" s="4"/>
      <c r="V439" s="4"/>
      <c r="W439" s="4"/>
      <c r="X439" s="4"/>
      <c r="Y439" s="4"/>
      <c r="Z439" s="4"/>
      <c r="AA439" s="4"/>
      <c r="AB439" s="4"/>
      <c r="AC439" s="4"/>
      <c r="AD439" s="4"/>
      <c r="AE439" s="4"/>
    </row>
    <row r="440" ht="13.5" customHeight="1" spans="1:31" x14ac:dyDescent="0.25">
      <c r="A440" s="1"/>
      <c r="B440" s="4"/>
      <c r="C440" s="4"/>
      <c r="D440" s="4"/>
      <c r="E440" s="4"/>
      <c r="F440" s="4"/>
      <c r="G440" s="4"/>
      <c r="H440" s="4"/>
      <c r="I440" s="4"/>
      <c r="J440" s="4"/>
      <c r="K440" s="4"/>
      <c r="L440" s="4"/>
      <c r="M440" s="4"/>
      <c r="N440" s="4"/>
      <c r="O440" s="4"/>
      <c r="P440" s="4"/>
      <c r="Q440" s="4"/>
      <c r="R440" s="4"/>
      <c r="S440" s="4"/>
      <c r="T440" s="4"/>
      <c r="U440" s="4"/>
      <c r="V440" s="4"/>
      <c r="W440" s="4"/>
      <c r="X440" s="4"/>
      <c r="Y440" s="4"/>
      <c r="Z440" s="4"/>
      <c r="AA440" s="4"/>
      <c r="AB440" s="4"/>
      <c r="AC440" s="4"/>
      <c r="AD440" s="4"/>
      <c r="AE440" s="4"/>
    </row>
    <row r="441" ht="13.5" customHeight="1" spans="1:31" x14ac:dyDescent="0.25">
      <c r="A441" s="1"/>
      <c r="B441" s="4"/>
      <c r="C441" s="4"/>
      <c r="D441" s="4"/>
      <c r="E441" s="4"/>
      <c r="F441" s="4"/>
      <c r="G441" s="4"/>
      <c r="H441" s="4"/>
      <c r="I441" s="4"/>
      <c r="J441" s="4"/>
      <c r="K441" s="4"/>
      <c r="L441" s="4"/>
      <c r="M441" s="4"/>
      <c r="N441" s="4"/>
      <c r="O441" s="4"/>
      <c r="P441" s="4"/>
      <c r="Q441" s="4"/>
      <c r="R441" s="4"/>
      <c r="S441" s="4"/>
      <c r="T441" s="4"/>
      <c r="U441" s="4"/>
      <c r="V441" s="4"/>
      <c r="W441" s="4"/>
      <c r="X441" s="4"/>
      <c r="Y441" s="4"/>
      <c r="Z441" s="4"/>
      <c r="AA441" s="4"/>
      <c r="AB441" s="4"/>
      <c r="AC441" s="4"/>
      <c r="AD441" s="4"/>
      <c r="AE441" s="4"/>
    </row>
    <row r="442" ht="13.5" customHeight="1" spans="1:31" x14ac:dyDescent="0.25">
      <c r="A442" s="1"/>
      <c r="B442" s="4"/>
      <c r="C442" s="4"/>
      <c r="D442" s="4"/>
      <c r="E442" s="4"/>
      <c r="F442" s="4"/>
      <c r="G442" s="4"/>
      <c r="H442" s="4"/>
      <c r="I442" s="4"/>
      <c r="J442" s="4"/>
      <c r="K442" s="4"/>
      <c r="L442" s="4"/>
      <c r="M442" s="4"/>
      <c r="N442" s="4"/>
      <c r="O442" s="4"/>
      <c r="P442" s="4"/>
      <c r="Q442" s="4"/>
      <c r="R442" s="4"/>
      <c r="S442" s="4"/>
      <c r="T442" s="4"/>
      <c r="U442" s="4"/>
      <c r="V442" s="4"/>
      <c r="W442" s="4"/>
      <c r="X442" s="4"/>
      <c r="Y442" s="4"/>
      <c r="Z442" s="4"/>
      <c r="AA442" s="4"/>
      <c r="AB442" s="4"/>
      <c r="AC442" s="4"/>
      <c r="AD442" s="4"/>
      <c r="AE442" s="4"/>
    </row>
    <row r="443" ht="13.5" customHeight="1" spans="1:31" x14ac:dyDescent="0.25">
      <c r="A443" s="1"/>
      <c r="B443" s="4"/>
      <c r="C443" s="4"/>
      <c r="D443" s="4"/>
      <c r="E443" s="4"/>
      <c r="F443" s="4"/>
      <c r="G443" s="4"/>
      <c r="H443" s="4"/>
      <c r="I443" s="4"/>
      <c r="J443" s="4"/>
      <c r="K443" s="4"/>
      <c r="L443" s="4"/>
      <c r="M443" s="4"/>
      <c r="N443" s="4"/>
      <c r="O443" s="4"/>
      <c r="P443" s="4"/>
      <c r="Q443" s="4"/>
      <c r="R443" s="4"/>
      <c r="S443" s="4"/>
      <c r="T443" s="4"/>
      <c r="U443" s="4"/>
      <c r="V443" s="4"/>
      <c r="W443" s="4"/>
      <c r="X443" s="4"/>
      <c r="Y443" s="4"/>
      <c r="Z443" s="4"/>
      <c r="AA443" s="4"/>
      <c r="AB443" s="4"/>
      <c r="AC443" s="4"/>
      <c r="AD443" s="4"/>
      <c r="AE443" s="4"/>
    </row>
    <row r="444" ht="13.5" customHeight="1" spans="1:31" x14ac:dyDescent="0.25">
      <c r="A444" s="1"/>
      <c r="B444" s="4"/>
      <c r="C444" s="4"/>
      <c r="D444" s="4"/>
      <c r="E444" s="4"/>
      <c r="F444" s="4"/>
      <c r="G444" s="4"/>
      <c r="H444" s="4"/>
      <c r="I444" s="4"/>
      <c r="J444" s="4"/>
      <c r="K444" s="4"/>
      <c r="L444" s="4"/>
      <c r="M444" s="4"/>
      <c r="N444" s="4"/>
      <c r="O444" s="4"/>
      <c r="P444" s="4"/>
      <c r="Q444" s="4"/>
      <c r="R444" s="4"/>
      <c r="S444" s="4"/>
      <c r="T444" s="4"/>
      <c r="U444" s="4"/>
      <c r="V444" s="4"/>
      <c r="W444" s="4"/>
      <c r="X444" s="4"/>
      <c r="Y444" s="4"/>
      <c r="Z444" s="4"/>
      <c r="AA444" s="4"/>
      <c r="AB444" s="4"/>
      <c r="AC444" s="4"/>
      <c r="AD444" s="4"/>
      <c r="AE444" s="4"/>
    </row>
    <row r="445" ht="13.5" customHeight="1" spans="1:31" x14ac:dyDescent="0.25">
      <c r="A445" s="1"/>
      <c r="B445" s="4"/>
      <c r="C445" s="4"/>
      <c r="D445" s="4"/>
      <c r="E445" s="4"/>
      <c r="F445" s="4"/>
      <c r="G445" s="4"/>
      <c r="H445" s="4"/>
      <c r="I445" s="4"/>
      <c r="J445" s="4"/>
      <c r="K445" s="4"/>
      <c r="L445" s="4"/>
      <c r="M445" s="4"/>
      <c r="N445" s="4"/>
      <c r="O445" s="4"/>
      <c r="P445" s="4"/>
      <c r="Q445" s="4"/>
      <c r="R445" s="4"/>
      <c r="S445" s="4"/>
      <c r="T445" s="4"/>
      <c r="U445" s="4"/>
      <c r="V445" s="4"/>
      <c r="W445" s="4"/>
      <c r="X445" s="4"/>
      <c r="Y445" s="4"/>
      <c r="Z445" s="4"/>
      <c r="AA445" s="4"/>
      <c r="AB445" s="4"/>
      <c r="AC445" s="4"/>
      <c r="AD445" s="4"/>
      <c r="AE445" s="4"/>
    </row>
    <row r="446" ht="13.5" customHeight="1" spans="1:31" x14ac:dyDescent="0.25">
      <c r="A446" s="1"/>
      <c r="B446" s="4"/>
      <c r="C446" s="4"/>
      <c r="D446" s="4"/>
      <c r="E446" s="4"/>
      <c r="F446" s="4"/>
      <c r="G446" s="4"/>
      <c r="H446" s="4"/>
      <c r="I446" s="4"/>
      <c r="J446" s="4"/>
      <c r="K446" s="4"/>
      <c r="L446" s="4"/>
      <c r="M446" s="4"/>
      <c r="N446" s="4"/>
      <c r="O446" s="4"/>
      <c r="P446" s="4"/>
      <c r="Q446" s="4"/>
      <c r="R446" s="4"/>
      <c r="S446" s="4"/>
      <c r="T446" s="4"/>
      <c r="U446" s="4"/>
      <c r="V446" s="4"/>
      <c r="W446" s="4"/>
      <c r="X446" s="4"/>
      <c r="Y446" s="4"/>
      <c r="Z446" s="4"/>
      <c r="AA446" s="4"/>
      <c r="AB446" s="4"/>
      <c r="AC446" s="4"/>
      <c r="AD446" s="4"/>
      <c r="AE446" s="4"/>
    </row>
    <row r="447" ht="13.5" customHeight="1" spans="1:31" x14ac:dyDescent="0.25">
      <c r="A447" s="1"/>
      <c r="B447" s="4"/>
      <c r="C447" s="4"/>
      <c r="D447" s="4"/>
      <c r="E447" s="4"/>
      <c r="F447" s="4"/>
      <c r="G447" s="4"/>
      <c r="H447" s="4"/>
      <c r="I447" s="4"/>
      <c r="J447" s="4"/>
      <c r="K447" s="4"/>
      <c r="L447" s="4"/>
      <c r="M447" s="4"/>
      <c r="N447" s="4"/>
      <c r="O447" s="4"/>
      <c r="P447" s="4"/>
      <c r="Q447" s="4"/>
      <c r="R447" s="4"/>
      <c r="S447" s="4"/>
      <c r="T447" s="4"/>
      <c r="U447" s="4"/>
      <c r="V447" s="4"/>
      <c r="W447" s="4"/>
      <c r="X447" s="4"/>
      <c r="Y447" s="4"/>
      <c r="Z447" s="4"/>
      <c r="AA447" s="4"/>
      <c r="AB447" s="4"/>
      <c r="AC447" s="4"/>
      <c r="AD447" s="4"/>
      <c r="AE447" s="4"/>
    </row>
    <row r="448" ht="13.5" customHeight="1" spans="1:31" x14ac:dyDescent="0.25">
      <c r="A448" s="1"/>
      <c r="B448" s="4"/>
      <c r="C448" s="4"/>
      <c r="D448" s="4"/>
      <c r="E448" s="4"/>
      <c r="F448" s="4"/>
      <c r="G448" s="4"/>
      <c r="H448" s="4"/>
      <c r="I448" s="4"/>
      <c r="J448" s="4"/>
      <c r="K448" s="4"/>
      <c r="L448" s="4"/>
      <c r="M448" s="4"/>
      <c r="N448" s="4"/>
      <c r="O448" s="4"/>
      <c r="P448" s="4"/>
      <c r="Q448" s="4"/>
      <c r="R448" s="4"/>
      <c r="S448" s="4"/>
      <c r="T448" s="4"/>
      <c r="U448" s="4"/>
      <c r="V448" s="4"/>
      <c r="W448" s="4"/>
      <c r="X448" s="4"/>
      <c r="Y448" s="4"/>
      <c r="Z448" s="4"/>
      <c r="AA448" s="4"/>
      <c r="AB448" s="4"/>
      <c r="AC448" s="4"/>
      <c r="AD448" s="4"/>
      <c r="AE448" s="4"/>
    </row>
    <row r="449" ht="13.5" customHeight="1" spans="1:31" x14ac:dyDescent="0.25">
      <c r="A449" s="1"/>
      <c r="B449" s="4"/>
      <c r="C449" s="4"/>
      <c r="D449" s="4"/>
      <c r="E449" s="4"/>
      <c r="F449" s="4"/>
      <c r="G449" s="4"/>
      <c r="H449" s="4"/>
      <c r="I449" s="4"/>
      <c r="J449" s="4"/>
      <c r="K449" s="4"/>
      <c r="L449" s="4"/>
      <c r="M449" s="4"/>
      <c r="N449" s="4"/>
      <c r="O449" s="4"/>
      <c r="P449" s="4"/>
      <c r="Q449" s="4"/>
      <c r="R449" s="4"/>
      <c r="S449" s="4"/>
      <c r="T449" s="4"/>
      <c r="U449" s="4"/>
      <c r="V449" s="4"/>
      <c r="W449" s="4"/>
      <c r="X449" s="4"/>
      <c r="Y449" s="4"/>
      <c r="Z449" s="4"/>
      <c r="AA449" s="4"/>
      <c r="AB449" s="4"/>
      <c r="AC449" s="4"/>
      <c r="AD449" s="4"/>
      <c r="AE449" s="4"/>
    </row>
    <row r="450" ht="13.5" customHeight="1" spans="1:31" x14ac:dyDescent="0.25">
      <c r="A450" s="1"/>
      <c r="B450" s="4"/>
      <c r="C450" s="4"/>
      <c r="D450" s="4"/>
      <c r="E450" s="4"/>
      <c r="F450" s="4"/>
      <c r="G450" s="4"/>
      <c r="H450" s="4"/>
      <c r="I450" s="4"/>
      <c r="J450" s="4"/>
      <c r="K450" s="4"/>
      <c r="L450" s="4"/>
      <c r="M450" s="4"/>
      <c r="N450" s="4"/>
      <c r="O450" s="4"/>
      <c r="P450" s="4"/>
      <c r="Q450" s="4"/>
      <c r="R450" s="4"/>
      <c r="S450" s="4"/>
      <c r="T450" s="4"/>
      <c r="U450" s="4"/>
      <c r="V450" s="4"/>
      <c r="W450" s="4"/>
      <c r="X450" s="4"/>
      <c r="Y450" s="4"/>
      <c r="Z450" s="4"/>
      <c r="AA450" s="4"/>
      <c r="AB450" s="4"/>
      <c r="AC450" s="4"/>
      <c r="AD450" s="4"/>
      <c r="AE450" s="4"/>
    </row>
    <row r="451" ht="13.5" customHeight="1" spans="1:31" x14ac:dyDescent="0.25">
      <c r="A451" s="1"/>
      <c r="B451" s="4"/>
      <c r="C451" s="4"/>
      <c r="D451" s="4"/>
      <c r="E451" s="4"/>
      <c r="F451" s="4"/>
      <c r="G451" s="4"/>
      <c r="H451" s="4"/>
      <c r="I451" s="4"/>
      <c r="J451" s="4"/>
      <c r="K451" s="4"/>
      <c r="L451" s="4"/>
      <c r="M451" s="4"/>
      <c r="N451" s="4"/>
      <c r="O451" s="4"/>
      <c r="P451" s="4"/>
      <c r="Q451" s="4"/>
      <c r="R451" s="4"/>
      <c r="S451" s="4"/>
      <c r="T451" s="4"/>
      <c r="U451" s="4"/>
      <c r="V451" s="4"/>
      <c r="W451" s="4"/>
      <c r="X451" s="4"/>
      <c r="Y451" s="4"/>
      <c r="Z451" s="4"/>
      <c r="AA451" s="4"/>
      <c r="AB451" s="4"/>
      <c r="AC451" s="4"/>
      <c r="AD451" s="4"/>
      <c r="AE451" s="4"/>
    </row>
    <row r="452" ht="13.5" customHeight="1" spans="1:31" x14ac:dyDescent="0.25">
      <c r="A452" s="1"/>
      <c r="B452" s="4"/>
      <c r="C452" s="4"/>
      <c r="D452" s="4"/>
      <c r="E452" s="4"/>
      <c r="F452" s="4"/>
      <c r="G452" s="4"/>
      <c r="H452" s="4"/>
      <c r="I452" s="4"/>
      <c r="J452" s="4"/>
      <c r="K452" s="4"/>
      <c r="L452" s="4"/>
      <c r="M452" s="4"/>
      <c r="N452" s="4"/>
      <c r="O452" s="4"/>
      <c r="P452" s="4"/>
      <c r="Q452" s="4"/>
      <c r="R452" s="4"/>
      <c r="S452" s="4"/>
      <c r="T452" s="4"/>
      <c r="U452" s="4"/>
      <c r="V452" s="4"/>
      <c r="W452" s="4"/>
      <c r="X452" s="4"/>
      <c r="Y452" s="4"/>
      <c r="Z452" s="4"/>
      <c r="AA452" s="4"/>
      <c r="AB452" s="4"/>
      <c r="AC452" s="4"/>
      <c r="AD452" s="4"/>
      <c r="AE452" s="4"/>
    </row>
    <row r="453" ht="13.5" customHeight="1" spans="1:31" x14ac:dyDescent="0.25">
      <c r="A453" s="1"/>
      <c r="B453" s="4"/>
      <c r="C453" s="4"/>
      <c r="D453" s="4"/>
      <c r="E453" s="4"/>
      <c r="F453" s="4"/>
      <c r="G453" s="4"/>
      <c r="H453" s="4"/>
      <c r="I453" s="4"/>
      <c r="J453" s="4"/>
      <c r="K453" s="4"/>
      <c r="L453" s="4"/>
      <c r="M453" s="4"/>
      <c r="N453" s="4"/>
      <c r="O453" s="4"/>
      <c r="P453" s="4"/>
      <c r="Q453" s="4"/>
      <c r="R453" s="4"/>
      <c r="S453" s="4"/>
      <c r="T453" s="4"/>
      <c r="U453" s="4"/>
      <c r="V453" s="4"/>
      <c r="W453" s="4"/>
      <c r="X453" s="4"/>
      <c r="Y453" s="4"/>
      <c r="Z453" s="4"/>
      <c r="AA453" s="4"/>
      <c r="AB453" s="4"/>
      <c r="AC453" s="4"/>
      <c r="AD453" s="4"/>
      <c r="AE453" s="4"/>
    </row>
    <row r="454" ht="13.5" customHeight="1" spans="1:31" x14ac:dyDescent="0.25">
      <c r="A454" s="1"/>
      <c r="B454" s="4"/>
      <c r="C454" s="4"/>
      <c r="D454" s="4"/>
      <c r="E454" s="4"/>
      <c r="F454" s="4"/>
      <c r="G454" s="4"/>
      <c r="H454" s="4"/>
      <c r="I454" s="4"/>
      <c r="J454" s="4"/>
      <c r="K454" s="4"/>
      <c r="L454" s="4"/>
      <c r="M454" s="4"/>
      <c r="N454" s="4"/>
      <c r="O454" s="4"/>
      <c r="P454" s="4"/>
      <c r="Q454" s="4"/>
      <c r="R454" s="4"/>
      <c r="S454" s="4"/>
      <c r="T454" s="4"/>
      <c r="U454" s="4"/>
      <c r="V454" s="4"/>
      <c r="W454" s="4"/>
      <c r="X454" s="4"/>
      <c r="Y454" s="4"/>
      <c r="Z454" s="4"/>
      <c r="AA454" s="4"/>
      <c r="AB454" s="4"/>
      <c r="AC454" s="4"/>
      <c r="AD454" s="4"/>
      <c r="AE454" s="4"/>
    </row>
    <row r="455" ht="13.5" customHeight="1" spans="1:31" x14ac:dyDescent="0.25">
      <c r="A455" s="1"/>
      <c r="B455" s="4"/>
      <c r="C455" s="4"/>
      <c r="D455" s="4"/>
      <c r="E455" s="4"/>
      <c r="F455" s="4"/>
      <c r="G455" s="4"/>
      <c r="H455" s="4"/>
      <c r="I455" s="4"/>
      <c r="J455" s="4"/>
      <c r="K455" s="4"/>
      <c r="L455" s="4"/>
      <c r="M455" s="4"/>
      <c r="N455" s="4"/>
      <c r="O455" s="4"/>
      <c r="P455" s="4"/>
      <c r="Q455" s="4"/>
      <c r="R455" s="4"/>
      <c r="S455" s="4"/>
      <c r="T455" s="4"/>
      <c r="U455" s="4"/>
      <c r="V455" s="4"/>
      <c r="W455" s="4"/>
      <c r="X455" s="4"/>
      <c r="Y455" s="4"/>
      <c r="Z455" s="4"/>
      <c r="AA455" s="4"/>
      <c r="AB455" s="4"/>
      <c r="AC455" s="4"/>
      <c r="AD455" s="4"/>
      <c r="AE455" s="4"/>
    </row>
    <row r="456" ht="13.5" customHeight="1" spans="1:31" x14ac:dyDescent="0.25">
      <c r="A456" s="1"/>
      <c r="B456" s="4"/>
      <c r="C456" s="4"/>
      <c r="D456" s="4"/>
      <c r="E456" s="4"/>
      <c r="F456" s="4"/>
      <c r="G456" s="4"/>
      <c r="H456" s="4"/>
      <c r="I456" s="4"/>
      <c r="J456" s="4"/>
      <c r="K456" s="4"/>
      <c r="L456" s="4"/>
      <c r="M456" s="4"/>
      <c r="N456" s="4"/>
      <c r="O456" s="4"/>
      <c r="P456" s="4"/>
      <c r="Q456" s="4"/>
      <c r="R456" s="4"/>
      <c r="S456" s="4"/>
      <c r="T456" s="4"/>
      <c r="U456" s="4"/>
      <c r="V456" s="4"/>
      <c r="W456" s="4"/>
      <c r="X456" s="4"/>
      <c r="Y456" s="4"/>
      <c r="Z456" s="4"/>
      <c r="AA456" s="4"/>
      <c r="AB456" s="4"/>
      <c r="AC456" s="4"/>
      <c r="AD456" s="4"/>
      <c r="AE456" s="4"/>
    </row>
    <row r="457" ht="13.5" customHeight="1" spans="1:31" x14ac:dyDescent="0.25">
      <c r="A457" s="1"/>
      <c r="B457" s="4"/>
      <c r="C457" s="4"/>
      <c r="D457" s="4"/>
      <c r="E457" s="4"/>
      <c r="F457" s="4"/>
      <c r="G457" s="4"/>
      <c r="H457" s="4"/>
      <c r="I457" s="4"/>
      <c r="J457" s="4"/>
      <c r="K457" s="4"/>
      <c r="L457" s="4"/>
      <c r="M457" s="4"/>
      <c r="N457" s="4"/>
      <c r="O457" s="4"/>
      <c r="P457" s="4"/>
      <c r="Q457" s="4"/>
      <c r="R457" s="4"/>
      <c r="S457" s="4"/>
      <c r="T457" s="4"/>
      <c r="U457" s="4"/>
      <c r="V457" s="4"/>
      <c r="W457" s="4"/>
      <c r="X457" s="4"/>
      <c r="Y457" s="4"/>
      <c r="Z457" s="4"/>
      <c r="AA457" s="4"/>
      <c r="AB457" s="4"/>
      <c r="AC457" s="4"/>
      <c r="AD457" s="4"/>
      <c r="AE457" s="4"/>
    </row>
    <row r="458" ht="13.5" customHeight="1" spans="1:31" x14ac:dyDescent="0.25">
      <c r="A458" s="1"/>
      <c r="B458" s="4"/>
      <c r="C458" s="4"/>
      <c r="D458" s="4"/>
      <c r="E458" s="4"/>
      <c r="F458" s="4"/>
      <c r="G458" s="4"/>
      <c r="H458" s="4"/>
      <c r="I458" s="4"/>
      <c r="J458" s="4"/>
      <c r="K458" s="4"/>
      <c r="L458" s="4"/>
      <c r="M458" s="4"/>
      <c r="N458" s="4"/>
      <c r="O458" s="4"/>
      <c r="P458" s="4"/>
      <c r="Q458" s="4"/>
      <c r="R458" s="4"/>
      <c r="S458" s="4"/>
      <c r="T458" s="4"/>
      <c r="U458" s="4"/>
      <c r="V458" s="4"/>
      <c r="W458" s="4"/>
      <c r="X458" s="4"/>
      <c r="Y458" s="4"/>
      <c r="Z458" s="4"/>
      <c r="AA458" s="4"/>
      <c r="AB458" s="4"/>
      <c r="AC458" s="4"/>
      <c r="AD458" s="4"/>
      <c r="AE458" s="4"/>
    </row>
    <row r="459" ht="13.5" customHeight="1" spans="1:31" x14ac:dyDescent="0.25">
      <c r="A459" s="1"/>
      <c r="B459" s="4"/>
      <c r="C459" s="4"/>
      <c r="D459" s="4"/>
      <c r="E459" s="4"/>
      <c r="F459" s="4"/>
      <c r="G459" s="4"/>
      <c r="H459" s="4"/>
      <c r="I459" s="4"/>
      <c r="J459" s="4"/>
      <c r="K459" s="4"/>
      <c r="L459" s="4"/>
      <c r="M459" s="4"/>
      <c r="N459" s="4"/>
      <c r="O459" s="4"/>
      <c r="P459" s="4"/>
      <c r="Q459" s="4"/>
      <c r="R459" s="4"/>
      <c r="S459" s="4"/>
      <c r="T459" s="4"/>
      <c r="U459" s="4"/>
      <c r="V459" s="4"/>
      <c r="W459" s="4"/>
      <c r="X459" s="4"/>
      <c r="Y459" s="4"/>
      <c r="Z459" s="4"/>
      <c r="AA459" s="4"/>
      <c r="AB459" s="4"/>
      <c r="AC459" s="4"/>
      <c r="AD459" s="4"/>
      <c r="AE459" s="4"/>
    </row>
    <row r="460" ht="13.5" customHeight="1" spans="1:31" x14ac:dyDescent="0.25">
      <c r="A460" s="1"/>
      <c r="B460" s="4"/>
      <c r="C460" s="4"/>
      <c r="D460" s="4"/>
      <c r="E460" s="4"/>
      <c r="F460" s="4"/>
      <c r="G460" s="4"/>
      <c r="H460" s="4"/>
      <c r="I460" s="4"/>
      <c r="J460" s="4"/>
      <c r="K460" s="4"/>
      <c r="L460" s="4"/>
      <c r="M460" s="4"/>
      <c r="N460" s="4"/>
      <c r="O460" s="4"/>
      <c r="P460" s="4"/>
      <c r="Q460" s="4"/>
      <c r="R460" s="4"/>
      <c r="S460" s="4"/>
      <c r="T460" s="4"/>
      <c r="U460" s="4"/>
      <c r="V460" s="4"/>
      <c r="W460" s="4"/>
      <c r="X460" s="4"/>
      <c r="Y460" s="4"/>
      <c r="Z460" s="4"/>
      <c r="AA460" s="4"/>
      <c r="AB460" s="4"/>
      <c r="AC460" s="4"/>
      <c r="AD460" s="4"/>
      <c r="AE460" s="4"/>
    </row>
    <row r="461" ht="13.5" customHeight="1" spans="1:31" x14ac:dyDescent="0.25">
      <c r="A461" s="1"/>
      <c r="B461" s="4"/>
      <c r="C461" s="4"/>
      <c r="D461" s="4"/>
      <c r="E461" s="4"/>
      <c r="F461" s="4"/>
      <c r="G461" s="4"/>
      <c r="H461" s="4"/>
      <c r="I461" s="4"/>
      <c r="J461" s="4"/>
      <c r="K461" s="4"/>
      <c r="L461" s="4"/>
      <c r="M461" s="4"/>
      <c r="N461" s="4"/>
      <c r="O461" s="4"/>
      <c r="P461" s="4"/>
      <c r="Q461" s="4"/>
      <c r="R461" s="4"/>
      <c r="S461" s="4"/>
      <c r="T461" s="4"/>
      <c r="U461" s="4"/>
      <c r="V461" s="4"/>
      <c r="W461" s="4"/>
      <c r="X461" s="4"/>
      <c r="Y461" s="4"/>
      <c r="Z461" s="4"/>
      <c r="AA461" s="4"/>
      <c r="AB461" s="4"/>
      <c r="AC461" s="4"/>
      <c r="AD461" s="4"/>
      <c r="AE461" s="4"/>
    </row>
    <row r="462" ht="13.5" customHeight="1" spans="1:31" x14ac:dyDescent="0.25">
      <c r="A462" s="1"/>
      <c r="B462" s="4"/>
      <c r="C462" s="4"/>
      <c r="D462" s="4"/>
      <c r="E462" s="4"/>
      <c r="F462" s="4"/>
      <c r="G462" s="4"/>
      <c r="H462" s="4"/>
      <c r="I462" s="4"/>
      <c r="J462" s="4"/>
      <c r="K462" s="4"/>
      <c r="L462" s="4"/>
      <c r="M462" s="4"/>
      <c r="N462" s="4"/>
      <c r="O462" s="4"/>
      <c r="P462" s="4"/>
      <c r="Q462" s="4"/>
      <c r="R462" s="4"/>
      <c r="S462" s="4"/>
      <c r="T462" s="4"/>
      <c r="U462" s="4"/>
      <c r="V462" s="4"/>
      <c r="W462" s="4"/>
      <c r="X462" s="4"/>
      <c r="Y462" s="4"/>
      <c r="Z462" s="4"/>
      <c r="AA462" s="4"/>
      <c r="AB462" s="4"/>
      <c r="AC462" s="4"/>
      <c r="AD462" s="4"/>
      <c r="AE462" s="4"/>
    </row>
    <row r="463" ht="13.5" customHeight="1" spans="1:31" x14ac:dyDescent="0.25">
      <c r="A463" s="1"/>
      <c r="B463" s="4"/>
      <c r="C463" s="4"/>
      <c r="D463" s="4"/>
      <c r="E463" s="4"/>
      <c r="F463" s="4"/>
      <c r="G463" s="4"/>
      <c r="H463" s="4"/>
      <c r="I463" s="4"/>
      <c r="J463" s="4"/>
      <c r="K463" s="4"/>
      <c r="L463" s="4"/>
      <c r="M463" s="4"/>
      <c r="N463" s="4"/>
      <c r="O463" s="4"/>
      <c r="P463" s="4"/>
      <c r="Q463" s="4"/>
      <c r="R463" s="4"/>
      <c r="S463" s="4"/>
      <c r="T463" s="4"/>
      <c r="U463" s="4"/>
      <c r="V463" s="4"/>
      <c r="W463" s="4"/>
      <c r="X463" s="4"/>
      <c r="Y463" s="4"/>
      <c r="Z463" s="4"/>
      <c r="AA463" s="4"/>
      <c r="AB463" s="4"/>
      <c r="AC463" s="4"/>
      <c r="AD463" s="4"/>
      <c r="AE463" s="4"/>
    </row>
    <row r="464" ht="13.5" customHeight="1" spans="1:31" x14ac:dyDescent="0.25">
      <c r="A464" s="1"/>
      <c r="B464" s="4"/>
      <c r="C464" s="4"/>
      <c r="D464" s="4"/>
      <c r="E464" s="4"/>
      <c r="F464" s="4"/>
      <c r="G464" s="4"/>
      <c r="H464" s="4"/>
      <c r="I464" s="4"/>
      <c r="J464" s="4"/>
      <c r="K464" s="4"/>
      <c r="L464" s="4"/>
      <c r="M464" s="4"/>
      <c r="N464" s="4"/>
      <c r="O464" s="4"/>
      <c r="P464" s="4"/>
      <c r="Q464" s="4"/>
      <c r="R464" s="4"/>
      <c r="S464" s="4"/>
      <c r="T464" s="4"/>
      <c r="U464" s="4"/>
      <c r="V464" s="4"/>
      <c r="W464" s="4"/>
      <c r="X464" s="4"/>
      <c r="Y464" s="4"/>
      <c r="Z464" s="4"/>
      <c r="AA464" s="4"/>
      <c r="AB464" s="4"/>
      <c r="AC464" s="4"/>
      <c r="AD464" s="4"/>
      <c r="AE464" s="4"/>
    </row>
    <row r="465" ht="13.5" customHeight="1" spans="1:31" x14ac:dyDescent="0.25">
      <c r="A465" s="1"/>
      <c r="B465" s="4"/>
      <c r="C465" s="4"/>
      <c r="D465" s="4"/>
      <c r="E465" s="4"/>
      <c r="F465" s="4"/>
      <c r="G465" s="4"/>
      <c r="H465" s="4"/>
      <c r="I465" s="4"/>
      <c r="J465" s="4"/>
      <c r="K465" s="4"/>
      <c r="L465" s="4"/>
      <c r="M465" s="4"/>
      <c r="N465" s="4"/>
      <c r="O465" s="4"/>
      <c r="P465" s="4"/>
      <c r="Q465" s="4"/>
      <c r="R465" s="4"/>
      <c r="S465" s="4"/>
      <c r="T465" s="4"/>
      <c r="U465" s="4"/>
      <c r="V465" s="4"/>
      <c r="W465" s="4"/>
      <c r="X465" s="4"/>
      <c r="Y465" s="4"/>
      <c r="Z465" s="4"/>
      <c r="AA465" s="4"/>
      <c r="AB465" s="4"/>
      <c r="AC465" s="4"/>
      <c r="AD465" s="4"/>
      <c r="AE465" s="4"/>
    </row>
    <row r="466" ht="13.5" customHeight="1" spans="1:31" x14ac:dyDescent="0.25">
      <c r="A466" s="1"/>
      <c r="B466" s="4"/>
      <c r="C466" s="4"/>
      <c r="D466" s="4"/>
      <c r="E466" s="4"/>
      <c r="F466" s="4"/>
      <c r="G466" s="4"/>
      <c r="H466" s="4"/>
      <c r="I466" s="4"/>
      <c r="J466" s="4"/>
      <c r="K466" s="4"/>
      <c r="L466" s="4"/>
      <c r="M466" s="4"/>
      <c r="N466" s="4"/>
      <c r="O466" s="4"/>
      <c r="P466" s="4"/>
      <c r="Q466" s="4"/>
      <c r="R466" s="4"/>
      <c r="S466" s="4"/>
      <c r="T466" s="4"/>
      <c r="U466" s="4"/>
      <c r="V466" s="4"/>
      <c r="W466" s="4"/>
      <c r="X466" s="4"/>
      <c r="Y466" s="4"/>
      <c r="Z466" s="4"/>
      <c r="AA466" s="4"/>
      <c r="AB466" s="4"/>
      <c r="AC466" s="4"/>
      <c r="AD466" s="4"/>
      <c r="AE466" s="4"/>
    </row>
    <row r="467" ht="13.5" customHeight="1" spans="1:31" x14ac:dyDescent="0.25">
      <c r="A467" s="1"/>
      <c r="B467" s="4"/>
      <c r="C467" s="4"/>
      <c r="D467" s="4"/>
      <c r="E467" s="4"/>
      <c r="F467" s="4"/>
      <c r="G467" s="4"/>
      <c r="H467" s="4"/>
      <c r="I467" s="4"/>
      <c r="J467" s="4"/>
      <c r="K467" s="4"/>
      <c r="L467" s="4"/>
      <c r="M467" s="4"/>
      <c r="N467" s="4"/>
      <c r="O467" s="4"/>
      <c r="P467" s="4"/>
      <c r="Q467" s="4"/>
      <c r="R467" s="4"/>
      <c r="S467" s="4"/>
      <c r="T467" s="4"/>
      <c r="U467" s="4"/>
      <c r="V467" s="4"/>
      <c r="W467" s="4"/>
      <c r="X467" s="4"/>
      <c r="Y467" s="4"/>
      <c r="Z467" s="4"/>
      <c r="AA467" s="4"/>
      <c r="AB467" s="4"/>
      <c r="AC467" s="4"/>
      <c r="AD467" s="4"/>
      <c r="AE467" s="4"/>
    </row>
    <row r="468" ht="13.5" customHeight="1" spans="1:31" x14ac:dyDescent="0.25">
      <c r="A468" s="1"/>
      <c r="B468" s="4"/>
      <c r="C468" s="4"/>
      <c r="D468" s="4"/>
      <c r="E468" s="4"/>
      <c r="F468" s="4"/>
      <c r="G468" s="4"/>
      <c r="H468" s="4"/>
      <c r="I468" s="4"/>
      <c r="J468" s="4"/>
      <c r="K468" s="4"/>
      <c r="L468" s="4"/>
      <c r="M468" s="4"/>
      <c r="N468" s="4"/>
      <c r="O468" s="4"/>
      <c r="P468" s="4"/>
      <c r="Q468" s="4"/>
      <c r="R468" s="4"/>
      <c r="S468" s="4"/>
      <c r="T468" s="4"/>
      <c r="U468" s="4"/>
      <c r="V468" s="4"/>
      <c r="W468" s="4"/>
      <c r="X468" s="4"/>
      <c r="Y468" s="4"/>
      <c r="Z468" s="4"/>
      <c r="AA468" s="4"/>
      <c r="AB468" s="4"/>
      <c r="AC468" s="4"/>
      <c r="AD468" s="4"/>
      <c r="AE468" s="4"/>
    </row>
    <row r="469" ht="13.5" customHeight="1" spans="1:31" x14ac:dyDescent="0.25">
      <c r="A469" s="1"/>
      <c r="B469" s="4"/>
      <c r="C469" s="4"/>
      <c r="D469" s="4"/>
      <c r="E469" s="4"/>
      <c r="F469" s="4"/>
      <c r="G469" s="4"/>
      <c r="H469" s="4"/>
      <c r="I469" s="4"/>
      <c r="J469" s="4"/>
      <c r="K469" s="4"/>
      <c r="L469" s="4"/>
      <c r="M469" s="4"/>
      <c r="N469" s="4"/>
      <c r="O469" s="4"/>
      <c r="P469" s="4"/>
      <c r="Q469" s="4"/>
      <c r="R469" s="4"/>
      <c r="S469" s="4"/>
      <c r="T469" s="4"/>
      <c r="U469" s="4"/>
      <c r="V469" s="4"/>
      <c r="W469" s="4"/>
      <c r="X469" s="4"/>
      <c r="Y469" s="4"/>
      <c r="Z469" s="4"/>
      <c r="AA469" s="4"/>
      <c r="AB469" s="4"/>
      <c r="AC469" s="4"/>
      <c r="AD469" s="4"/>
      <c r="AE469" s="4"/>
    </row>
    <row r="470" ht="13.5" customHeight="1" spans="1:31" x14ac:dyDescent="0.25">
      <c r="A470" s="1"/>
      <c r="B470" s="4"/>
      <c r="C470" s="4"/>
      <c r="D470" s="4"/>
      <c r="E470" s="4"/>
      <c r="F470" s="4"/>
      <c r="G470" s="4"/>
      <c r="H470" s="4"/>
      <c r="I470" s="4"/>
      <c r="J470" s="4"/>
      <c r="K470" s="4"/>
      <c r="L470" s="4"/>
      <c r="M470" s="4"/>
      <c r="N470" s="4"/>
      <c r="O470" s="4"/>
      <c r="P470" s="4"/>
      <c r="Q470" s="4"/>
      <c r="R470" s="4"/>
      <c r="S470" s="4"/>
      <c r="T470" s="4"/>
      <c r="U470" s="4"/>
      <c r="V470" s="4"/>
      <c r="W470" s="4"/>
      <c r="X470" s="4"/>
      <c r="Y470" s="4"/>
      <c r="Z470" s="4"/>
      <c r="AA470" s="4"/>
      <c r="AB470" s="4"/>
      <c r="AC470" s="4"/>
      <c r="AD470" s="4"/>
      <c r="AE470" s="4"/>
    </row>
    <row r="471" ht="13.5" customHeight="1" spans="1:31" x14ac:dyDescent="0.25">
      <c r="A471" s="1"/>
      <c r="B471" s="4"/>
      <c r="C471" s="4"/>
      <c r="D471" s="4"/>
      <c r="E471" s="4"/>
      <c r="F471" s="4"/>
      <c r="G471" s="4"/>
      <c r="H471" s="4"/>
      <c r="I471" s="4"/>
      <c r="J471" s="4"/>
      <c r="K471" s="4"/>
      <c r="L471" s="4"/>
      <c r="M471" s="4"/>
      <c r="N471" s="4"/>
      <c r="O471" s="4"/>
      <c r="P471" s="4"/>
      <c r="Q471" s="4"/>
      <c r="R471" s="4"/>
      <c r="S471" s="4"/>
      <c r="T471" s="4"/>
      <c r="U471" s="4"/>
      <c r="V471" s="4"/>
      <c r="W471" s="4"/>
      <c r="X471" s="4"/>
      <c r="Y471" s="4"/>
      <c r="Z471" s="4"/>
      <c r="AA471" s="4"/>
      <c r="AB471" s="4"/>
      <c r="AC471" s="4"/>
      <c r="AD471" s="4"/>
      <c r="AE471" s="4"/>
    </row>
    <row r="472" ht="13.5" customHeight="1" spans="1:31" x14ac:dyDescent="0.25">
      <c r="A472" s="1"/>
      <c r="B472" s="4"/>
      <c r="C472" s="4"/>
      <c r="D472" s="4"/>
      <c r="E472" s="4"/>
      <c r="F472" s="4"/>
      <c r="G472" s="4"/>
      <c r="H472" s="4"/>
      <c r="I472" s="4"/>
      <c r="J472" s="4"/>
      <c r="K472" s="4"/>
      <c r="L472" s="4"/>
      <c r="M472" s="4"/>
      <c r="N472" s="4"/>
      <c r="O472" s="4"/>
      <c r="P472" s="4"/>
      <c r="Q472" s="4"/>
      <c r="R472" s="4"/>
      <c r="S472" s="4"/>
      <c r="T472" s="4"/>
      <c r="U472" s="4"/>
      <c r="V472" s="4"/>
      <c r="W472" s="4"/>
      <c r="X472" s="4"/>
      <c r="Y472" s="4"/>
      <c r="Z472" s="4"/>
      <c r="AA472" s="4"/>
      <c r="AB472" s="4"/>
      <c r="AC472" s="4"/>
      <c r="AD472" s="4"/>
      <c r="AE472" s="4"/>
    </row>
    <row r="473" ht="13.5" customHeight="1" spans="1:31" x14ac:dyDescent="0.25">
      <c r="A473" s="1"/>
      <c r="B473" s="4"/>
      <c r="C473" s="4"/>
      <c r="D473" s="4"/>
      <c r="E473" s="4"/>
      <c r="F473" s="4"/>
      <c r="G473" s="4"/>
      <c r="H473" s="4"/>
      <c r="I473" s="4"/>
      <c r="J473" s="4"/>
      <c r="K473" s="4"/>
      <c r="L473" s="4"/>
      <c r="M473" s="4"/>
      <c r="N473" s="4"/>
      <c r="O473" s="4"/>
      <c r="P473" s="4"/>
      <c r="Q473" s="4"/>
      <c r="R473" s="4"/>
      <c r="S473" s="4"/>
      <c r="T473" s="4"/>
      <c r="U473" s="4"/>
      <c r="V473" s="4"/>
      <c r="W473" s="4"/>
      <c r="X473" s="4"/>
      <c r="Y473" s="4"/>
      <c r="Z473" s="4"/>
      <c r="AA473" s="4"/>
      <c r="AB473" s="4"/>
      <c r="AC473" s="4"/>
      <c r="AD473" s="4"/>
      <c r="AE473" s="4"/>
    </row>
    <row r="474" ht="13.5" customHeight="1" spans="1:31" x14ac:dyDescent="0.25">
      <c r="A474" s="1"/>
      <c r="B474" s="4"/>
      <c r="C474" s="4"/>
      <c r="D474" s="4"/>
      <c r="E474" s="4"/>
      <c r="F474" s="4"/>
      <c r="G474" s="4"/>
      <c r="H474" s="4"/>
      <c r="I474" s="4"/>
      <c r="J474" s="4"/>
      <c r="K474" s="4"/>
      <c r="L474" s="4"/>
      <c r="M474" s="4"/>
      <c r="N474" s="4"/>
      <c r="O474" s="4"/>
      <c r="P474" s="4"/>
      <c r="Q474" s="4"/>
      <c r="R474" s="4"/>
      <c r="S474" s="4"/>
      <c r="T474" s="4"/>
      <c r="U474" s="4"/>
      <c r="V474" s="4"/>
      <c r="W474" s="4"/>
      <c r="X474" s="4"/>
      <c r="Y474" s="4"/>
      <c r="Z474" s="4"/>
      <c r="AA474" s="4"/>
      <c r="AB474" s="4"/>
      <c r="AC474" s="4"/>
      <c r="AD474" s="4"/>
      <c r="AE474" s="4"/>
    </row>
    <row r="475" ht="13.5" customHeight="1" spans="1:31" x14ac:dyDescent="0.25">
      <c r="A475" s="1"/>
      <c r="B475" s="4"/>
      <c r="C475" s="4"/>
      <c r="D475" s="4"/>
      <c r="E475" s="4"/>
      <c r="F475" s="4"/>
      <c r="G475" s="4"/>
      <c r="H475" s="4"/>
      <c r="I475" s="4"/>
      <c r="J475" s="4"/>
      <c r="K475" s="4"/>
      <c r="L475" s="4"/>
      <c r="M475" s="4"/>
      <c r="N475" s="4"/>
      <c r="O475" s="4"/>
      <c r="P475" s="4"/>
      <c r="Q475" s="4"/>
      <c r="R475" s="4"/>
      <c r="S475" s="4"/>
      <c r="T475" s="4"/>
      <c r="U475" s="4"/>
      <c r="V475" s="4"/>
      <c r="W475" s="4"/>
      <c r="X475" s="4"/>
      <c r="Y475" s="4"/>
      <c r="Z475" s="4"/>
      <c r="AA475" s="4"/>
      <c r="AB475" s="4"/>
      <c r="AC475" s="4"/>
      <c r="AD475" s="4"/>
      <c r="AE475" s="4"/>
    </row>
    <row r="476" ht="13.5" customHeight="1" spans="1:31" x14ac:dyDescent="0.25">
      <c r="A476" s="1"/>
      <c r="B476" s="4"/>
      <c r="C476" s="4"/>
      <c r="D476" s="4"/>
      <c r="E476" s="4"/>
      <c r="F476" s="4"/>
      <c r="G476" s="4"/>
      <c r="H476" s="4"/>
      <c r="I476" s="4"/>
      <c r="J476" s="4"/>
      <c r="K476" s="4"/>
      <c r="L476" s="4"/>
      <c r="M476" s="4"/>
      <c r="N476" s="4"/>
      <c r="O476" s="4"/>
      <c r="P476" s="4"/>
      <c r="Q476" s="4"/>
      <c r="R476" s="4"/>
      <c r="S476" s="4"/>
      <c r="T476" s="4"/>
      <c r="U476" s="4"/>
      <c r="V476" s="4"/>
      <c r="W476" s="4"/>
      <c r="X476" s="4"/>
      <c r="Y476" s="4"/>
      <c r="Z476" s="4"/>
      <c r="AA476" s="4"/>
      <c r="AB476" s="4"/>
      <c r="AC476" s="4"/>
      <c r="AD476" s="4"/>
      <c r="AE476" s="4"/>
    </row>
    <row r="477" ht="13.5" customHeight="1" spans="1:31" x14ac:dyDescent="0.25">
      <c r="A477" s="1"/>
      <c r="B477" s="4"/>
      <c r="C477" s="4"/>
      <c r="D477" s="4"/>
      <c r="E477" s="4"/>
      <c r="F477" s="4"/>
      <c r="G477" s="4"/>
      <c r="H477" s="4"/>
      <c r="I477" s="4"/>
      <c r="J477" s="4"/>
      <c r="K477" s="4"/>
      <c r="L477" s="4"/>
      <c r="M477" s="4"/>
      <c r="N477" s="4"/>
      <c r="O477" s="4"/>
      <c r="P477" s="4"/>
      <c r="Q477" s="4"/>
      <c r="R477" s="4"/>
      <c r="S477" s="4"/>
      <c r="T477" s="4"/>
      <c r="U477" s="4"/>
      <c r="V477" s="4"/>
      <c r="W477" s="4"/>
      <c r="X477" s="4"/>
      <c r="Y477" s="4"/>
      <c r="Z477" s="4"/>
      <c r="AA477" s="4"/>
      <c r="AB477" s="4"/>
      <c r="AC477" s="4"/>
      <c r="AD477" s="4"/>
      <c r="AE477" s="4"/>
    </row>
    <row r="478" ht="13.5" customHeight="1" spans="1:31" x14ac:dyDescent="0.25">
      <c r="A478" s="1"/>
      <c r="B478" s="4"/>
      <c r="C478" s="4"/>
      <c r="D478" s="4"/>
      <c r="E478" s="4"/>
      <c r="F478" s="4"/>
      <c r="G478" s="4"/>
      <c r="H478" s="4"/>
      <c r="I478" s="4"/>
      <c r="J478" s="4"/>
      <c r="K478" s="4"/>
      <c r="L478" s="4"/>
      <c r="M478" s="4"/>
      <c r="N478" s="4"/>
      <c r="O478" s="4"/>
      <c r="P478" s="4"/>
      <c r="Q478" s="4"/>
      <c r="R478" s="4"/>
      <c r="S478" s="4"/>
      <c r="T478" s="4"/>
      <c r="U478" s="4"/>
      <c r="V478" s="4"/>
      <c r="W478" s="4"/>
      <c r="X478" s="4"/>
      <c r="Y478" s="4"/>
      <c r="Z478" s="4"/>
      <c r="AA478" s="4"/>
      <c r="AB478" s="4"/>
      <c r="AC478" s="4"/>
      <c r="AD478" s="4"/>
      <c r="AE478" s="4"/>
    </row>
    <row r="479" ht="13.5" customHeight="1" spans="1:31" x14ac:dyDescent="0.25">
      <c r="A479" s="1"/>
      <c r="B479" s="4"/>
      <c r="C479" s="4"/>
      <c r="D479" s="4"/>
      <c r="E479" s="4"/>
      <c r="F479" s="4"/>
      <c r="G479" s="4"/>
      <c r="H479" s="4"/>
      <c r="I479" s="4"/>
      <c r="J479" s="4"/>
      <c r="K479" s="4"/>
      <c r="L479" s="4"/>
      <c r="M479" s="4"/>
      <c r="N479" s="4"/>
      <c r="O479" s="4"/>
      <c r="P479" s="4"/>
      <c r="Q479" s="4"/>
      <c r="R479" s="4"/>
      <c r="S479" s="4"/>
      <c r="T479" s="4"/>
      <c r="U479" s="4"/>
      <c r="V479" s="4"/>
      <c r="W479" s="4"/>
      <c r="X479" s="4"/>
      <c r="Y479" s="4"/>
      <c r="Z479" s="4"/>
      <c r="AA479" s="4"/>
      <c r="AB479" s="4"/>
      <c r="AC479" s="4"/>
      <c r="AD479" s="4"/>
      <c r="AE479" s="4"/>
    </row>
    <row r="480" ht="13.5" customHeight="1" spans="1:31" x14ac:dyDescent="0.25">
      <c r="A480" s="1"/>
      <c r="B480" s="4"/>
      <c r="C480" s="4"/>
      <c r="D480" s="4"/>
      <c r="E480" s="4"/>
      <c r="F480" s="4"/>
      <c r="G480" s="4"/>
      <c r="H480" s="4"/>
      <c r="I480" s="4"/>
      <c r="J480" s="4"/>
      <c r="K480" s="4"/>
      <c r="L480" s="4"/>
      <c r="M480" s="4"/>
      <c r="N480" s="4"/>
      <c r="O480" s="4"/>
      <c r="P480" s="4"/>
      <c r="Q480" s="4"/>
      <c r="R480" s="4"/>
      <c r="S480" s="4"/>
      <c r="T480" s="4"/>
      <c r="U480" s="4"/>
      <c r="V480" s="4"/>
      <c r="W480" s="4"/>
      <c r="X480" s="4"/>
      <c r="Y480" s="4"/>
      <c r="Z480" s="4"/>
      <c r="AA480" s="4"/>
      <c r="AB480" s="4"/>
      <c r="AC480" s="4"/>
      <c r="AD480" s="4"/>
      <c r="AE480" s="4"/>
    </row>
    <row r="481" ht="13.5" customHeight="1" spans="1:31" x14ac:dyDescent="0.25">
      <c r="A481" s="1"/>
      <c r="B481" s="4"/>
      <c r="C481" s="4"/>
      <c r="D481" s="4"/>
      <c r="E481" s="4"/>
      <c r="F481" s="4"/>
      <c r="G481" s="4"/>
      <c r="H481" s="4"/>
      <c r="I481" s="4"/>
      <c r="J481" s="4"/>
      <c r="K481" s="4"/>
      <c r="L481" s="4"/>
      <c r="M481" s="4"/>
      <c r="N481" s="4"/>
      <c r="O481" s="4"/>
      <c r="P481" s="4"/>
      <c r="Q481" s="4"/>
      <c r="R481" s="4"/>
      <c r="S481" s="4"/>
      <c r="T481" s="4"/>
      <c r="U481" s="4"/>
      <c r="V481" s="4"/>
      <c r="W481" s="4"/>
      <c r="X481" s="4"/>
      <c r="Y481" s="4"/>
      <c r="Z481" s="4"/>
      <c r="AA481" s="4"/>
      <c r="AB481" s="4"/>
      <c r="AC481" s="4"/>
      <c r="AD481" s="4"/>
      <c r="AE481" s="4"/>
    </row>
    <row r="482" ht="13.5" customHeight="1" spans="1:31" x14ac:dyDescent="0.25">
      <c r="A482" s="1"/>
      <c r="B482" s="4"/>
      <c r="C482" s="4"/>
      <c r="D482" s="4"/>
      <c r="E482" s="4"/>
      <c r="F482" s="4"/>
      <c r="G482" s="4"/>
      <c r="H482" s="4"/>
      <c r="I482" s="4"/>
      <c r="J482" s="4"/>
      <c r="K482" s="4"/>
      <c r="L482" s="4"/>
      <c r="M482" s="4"/>
      <c r="N482" s="4"/>
      <c r="O482" s="4"/>
      <c r="P482" s="4"/>
      <c r="Q482" s="4"/>
      <c r="R482" s="4"/>
      <c r="S482" s="4"/>
      <c r="T482" s="4"/>
      <c r="U482" s="4"/>
      <c r="V482" s="4"/>
      <c r="W482" s="4"/>
      <c r="X482" s="4"/>
      <c r="Y482" s="4"/>
      <c r="Z482" s="4"/>
      <c r="AA482" s="4"/>
      <c r="AB482" s="4"/>
      <c r="AC482" s="4"/>
      <c r="AD482" s="4"/>
      <c r="AE482" s="4"/>
    </row>
    <row r="483" ht="13.5" customHeight="1" spans="1:31" x14ac:dyDescent="0.25">
      <c r="A483" s="1"/>
      <c r="B483" s="4"/>
      <c r="C483" s="4"/>
      <c r="D483" s="4"/>
      <c r="E483" s="4"/>
      <c r="F483" s="4"/>
      <c r="G483" s="4"/>
      <c r="H483" s="4"/>
      <c r="I483" s="4"/>
      <c r="J483" s="4"/>
      <c r="K483" s="4"/>
      <c r="L483" s="4"/>
      <c r="M483" s="4"/>
      <c r="N483" s="4"/>
      <c r="O483" s="4"/>
      <c r="P483" s="4"/>
      <c r="Q483" s="4"/>
      <c r="R483" s="4"/>
      <c r="S483" s="4"/>
      <c r="T483" s="4"/>
      <c r="U483" s="4"/>
      <c r="V483" s="4"/>
      <c r="W483" s="4"/>
      <c r="X483" s="4"/>
      <c r="Y483" s="4"/>
      <c r="Z483" s="4"/>
      <c r="AA483" s="4"/>
      <c r="AB483" s="4"/>
      <c r="AC483" s="4"/>
      <c r="AD483" s="4"/>
      <c r="AE483" s="4"/>
    </row>
    <row r="484" ht="13.5" customHeight="1" spans="1:31" x14ac:dyDescent="0.25">
      <c r="A484" s="1"/>
      <c r="B484" s="4"/>
      <c r="C484" s="4"/>
      <c r="D484" s="4"/>
      <c r="E484" s="4"/>
      <c r="F484" s="4"/>
      <c r="G484" s="4"/>
      <c r="H484" s="4"/>
      <c r="I484" s="4"/>
      <c r="J484" s="4"/>
      <c r="K484" s="4"/>
      <c r="L484" s="4"/>
      <c r="M484" s="4"/>
      <c r="N484" s="4"/>
      <c r="O484" s="4"/>
      <c r="P484" s="4"/>
      <c r="Q484" s="4"/>
      <c r="R484" s="4"/>
      <c r="S484" s="4"/>
      <c r="T484" s="4"/>
      <c r="U484" s="4"/>
      <c r="V484" s="4"/>
      <c r="W484" s="4"/>
      <c r="X484" s="4"/>
      <c r="Y484" s="4"/>
      <c r="Z484" s="4"/>
      <c r="AA484" s="4"/>
      <c r="AB484" s="4"/>
      <c r="AC484" s="4"/>
      <c r="AD484" s="4"/>
      <c r="AE484" s="4"/>
    </row>
    <row r="485" ht="13.5" customHeight="1" spans="1:31" x14ac:dyDescent="0.25">
      <c r="A485" s="1"/>
      <c r="B485" s="4"/>
      <c r="C485" s="4"/>
      <c r="D485" s="4"/>
      <c r="E485" s="4"/>
      <c r="F485" s="4"/>
      <c r="G485" s="4"/>
      <c r="H485" s="4"/>
      <c r="I485" s="4"/>
      <c r="J485" s="4"/>
      <c r="K485" s="4"/>
      <c r="L485" s="4"/>
      <c r="M485" s="4"/>
      <c r="N485" s="4"/>
      <c r="O485" s="4"/>
      <c r="P485" s="4"/>
      <c r="Q485" s="4"/>
      <c r="R485" s="4"/>
      <c r="S485" s="4"/>
      <c r="T485" s="4"/>
      <c r="U485" s="4"/>
      <c r="V485" s="4"/>
      <c r="W485" s="4"/>
      <c r="X485" s="4"/>
      <c r="Y485" s="4"/>
      <c r="Z485" s="4"/>
      <c r="AA485" s="4"/>
      <c r="AB485" s="4"/>
      <c r="AC485" s="4"/>
      <c r="AD485" s="4"/>
      <c r="AE485" s="4"/>
    </row>
    <row r="486" ht="13.5" customHeight="1" spans="1:31" x14ac:dyDescent="0.25">
      <c r="A486" s="1"/>
      <c r="B486" s="4"/>
      <c r="C486" s="4"/>
      <c r="D486" s="4"/>
      <c r="E486" s="4"/>
      <c r="F486" s="4"/>
      <c r="G486" s="4"/>
      <c r="H486" s="4"/>
      <c r="I486" s="4"/>
      <c r="J486" s="4"/>
      <c r="K486" s="4"/>
      <c r="L486" s="4"/>
      <c r="M486" s="4"/>
      <c r="N486" s="4"/>
      <c r="O486" s="4"/>
      <c r="P486" s="4"/>
      <c r="Q486" s="4"/>
      <c r="R486" s="4"/>
      <c r="S486" s="4"/>
      <c r="T486" s="4"/>
      <c r="U486" s="4"/>
      <c r="V486" s="4"/>
      <c r="W486" s="4"/>
      <c r="X486" s="4"/>
      <c r="Y486" s="4"/>
      <c r="Z486" s="4"/>
      <c r="AA486" s="4"/>
      <c r="AB486" s="4"/>
      <c r="AC486" s="4"/>
      <c r="AD486" s="4"/>
      <c r="AE486" s="4"/>
    </row>
    <row r="487" ht="13.5" customHeight="1" spans="1:31" x14ac:dyDescent="0.25">
      <c r="A487" s="1"/>
      <c r="B487" s="4"/>
      <c r="C487" s="4"/>
      <c r="D487" s="4"/>
      <c r="E487" s="4"/>
      <c r="F487" s="4"/>
      <c r="G487" s="4"/>
      <c r="H487" s="4"/>
      <c r="I487" s="4"/>
      <c r="J487" s="4"/>
      <c r="K487" s="4"/>
      <c r="L487" s="4"/>
      <c r="M487" s="4"/>
      <c r="N487" s="4"/>
      <c r="O487" s="4"/>
      <c r="P487" s="4"/>
      <c r="Q487" s="4"/>
      <c r="R487" s="4"/>
      <c r="S487" s="4"/>
      <c r="T487" s="4"/>
      <c r="U487" s="4"/>
      <c r="V487" s="4"/>
      <c r="W487" s="4"/>
      <c r="X487" s="4"/>
      <c r="Y487" s="4"/>
      <c r="Z487" s="4"/>
      <c r="AA487" s="4"/>
      <c r="AB487" s="4"/>
      <c r="AC487" s="4"/>
      <c r="AD487" s="4"/>
      <c r="AE487" s="4"/>
    </row>
    <row r="488" ht="13.5" customHeight="1" spans="1:31" x14ac:dyDescent="0.25">
      <c r="A488" s="1"/>
      <c r="B488" s="4"/>
      <c r="C488" s="4"/>
      <c r="D488" s="4"/>
      <c r="E488" s="4"/>
      <c r="F488" s="4"/>
      <c r="G488" s="4"/>
      <c r="H488" s="4"/>
      <c r="I488" s="4"/>
      <c r="J488" s="4"/>
      <c r="K488" s="4"/>
      <c r="L488" s="4"/>
      <c r="M488" s="4"/>
      <c r="N488" s="4"/>
      <c r="O488" s="4"/>
      <c r="P488" s="4"/>
      <c r="Q488" s="4"/>
      <c r="R488" s="4"/>
      <c r="S488" s="4"/>
      <c r="T488" s="4"/>
      <c r="U488" s="4"/>
      <c r="V488" s="4"/>
      <c r="W488" s="4"/>
      <c r="X488" s="4"/>
      <c r="Y488" s="4"/>
      <c r="Z488" s="4"/>
      <c r="AA488" s="4"/>
      <c r="AB488" s="4"/>
      <c r="AC488" s="4"/>
      <c r="AD488" s="4"/>
      <c r="AE488" s="4"/>
    </row>
    <row r="489" ht="13.5" customHeight="1" spans="1:31" x14ac:dyDescent="0.25">
      <c r="A489" s="1"/>
      <c r="B489" s="4"/>
      <c r="C489" s="4"/>
      <c r="D489" s="4"/>
      <c r="E489" s="4"/>
      <c r="F489" s="4"/>
      <c r="G489" s="4"/>
      <c r="H489" s="4"/>
      <c r="I489" s="4"/>
      <c r="J489" s="4"/>
      <c r="K489" s="4"/>
      <c r="L489" s="4"/>
      <c r="M489" s="4"/>
      <c r="N489" s="4"/>
      <c r="O489" s="4"/>
      <c r="P489" s="4"/>
      <c r="Q489" s="4"/>
      <c r="R489" s="4"/>
      <c r="S489" s="4"/>
      <c r="T489" s="4"/>
      <c r="U489" s="4"/>
      <c r="V489" s="4"/>
      <c r="W489" s="4"/>
      <c r="X489" s="4"/>
      <c r="Y489" s="4"/>
      <c r="Z489" s="4"/>
      <c r="AA489" s="4"/>
      <c r="AB489" s="4"/>
      <c r="AC489" s="4"/>
      <c r="AD489" s="4"/>
      <c r="AE489" s="4"/>
    </row>
    <row r="490" ht="13.5" customHeight="1" spans="1:31" x14ac:dyDescent="0.25">
      <c r="A490" s="1"/>
      <c r="B490" s="4"/>
      <c r="C490" s="4"/>
      <c r="D490" s="4"/>
      <c r="E490" s="4"/>
      <c r="F490" s="4"/>
      <c r="G490" s="4"/>
      <c r="H490" s="4"/>
      <c r="I490" s="4"/>
      <c r="J490" s="4"/>
      <c r="K490" s="4"/>
      <c r="L490" s="4"/>
      <c r="M490" s="4"/>
      <c r="N490" s="4"/>
      <c r="O490" s="4"/>
      <c r="P490" s="4"/>
      <c r="Q490" s="4"/>
      <c r="R490" s="4"/>
      <c r="S490" s="4"/>
      <c r="T490" s="4"/>
      <c r="U490" s="4"/>
      <c r="V490" s="4"/>
      <c r="W490" s="4"/>
      <c r="X490" s="4"/>
      <c r="Y490" s="4"/>
      <c r="Z490" s="4"/>
      <c r="AA490" s="4"/>
      <c r="AB490" s="4"/>
      <c r="AC490" s="4"/>
      <c r="AD490" s="4"/>
      <c r="AE490" s="4"/>
    </row>
    <row r="491" ht="13.5" customHeight="1" spans="1:31" x14ac:dyDescent="0.25">
      <c r="A491" s="1"/>
      <c r="B491" s="4"/>
      <c r="C491" s="4"/>
      <c r="D491" s="4"/>
      <c r="E491" s="4"/>
      <c r="F491" s="4"/>
      <c r="G491" s="4"/>
      <c r="H491" s="4"/>
      <c r="I491" s="4"/>
      <c r="J491" s="4"/>
      <c r="K491" s="4"/>
      <c r="L491" s="4"/>
      <c r="M491" s="4"/>
      <c r="N491" s="4"/>
      <c r="O491" s="4"/>
      <c r="P491" s="4"/>
      <c r="Q491" s="4"/>
      <c r="R491" s="4"/>
      <c r="S491" s="4"/>
      <c r="T491" s="4"/>
      <c r="U491" s="4"/>
      <c r="V491" s="4"/>
      <c r="W491" s="4"/>
      <c r="X491" s="4"/>
      <c r="Y491" s="4"/>
      <c r="Z491" s="4"/>
      <c r="AA491" s="4"/>
      <c r="AB491" s="4"/>
      <c r="AC491" s="4"/>
      <c r="AD491" s="4"/>
      <c r="AE491" s="4"/>
    </row>
    <row r="492" ht="13.5" customHeight="1" spans="1:31" x14ac:dyDescent="0.25">
      <c r="A492" s="1"/>
      <c r="B492" s="4"/>
      <c r="C492" s="4"/>
      <c r="D492" s="4"/>
      <c r="E492" s="4"/>
      <c r="F492" s="4"/>
      <c r="G492" s="4"/>
      <c r="H492" s="4"/>
      <c r="I492" s="4"/>
      <c r="J492" s="4"/>
      <c r="K492" s="4"/>
      <c r="L492" s="4"/>
      <c r="M492" s="4"/>
      <c r="N492" s="4"/>
      <c r="O492" s="4"/>
      <c r="P492" s="4"/>
      <c r="Q492" s="4"/>
      <c r="R492" s="4"/>
      <c r="S492" s="4"/>
      <c r="T492" s="4"/>
      <c r="U492" s="4"/>
      <c r="V492" s="4"/>
      <c r="W492" s="4"/>
      <c r="X492" s="4"/>
      <c r="Y492" s="4"/>
      <c r="Z492" s="4"/>
      <c r="AA492" s="4"/>
      <c r="AB492" s="4"/>
      <c r="AC492" s="4"/>
      <c r="AD492" s="4"/>
      <c r="AE492" s="4"/>
    </row>
    <row r="493" ht="13.5" customHeight="1" spans="1:31" x14ac:dyDescent="0.25">
      <c r="A493" s="1"/>
      <c r="B493" s="4"/>
      <c r="C493" s="4"/>
      <c r="D493" s="4"/>
      <c r="E493" s="4"/>
      <c r="F493" s="4"/>
      <c r="G493" s="4"/>
      <c r="H493" s="4"/>
      <c r="I493" s="4"/>
      <c r="J493" s="4"/>
      <c r="K493" s="4"/>
      <c r="L493" s="4"/>
      <c r="M493" s="4"/>
      <c r="N493" s="4"/>
      <c r="O493" s="4"/>
      <c r="P493" s="4"/>
      <c r="Q493" s="4"/>
      <c r="R493" s="4"/>
      <c r="S493" s="4"/>
      <c r="T493" s="4"/>
      <c r="U493" s="4"/>
      <c r="V493" s="4"/>
      <c r="W493" s="4"/>
      <c r="X493" s="4"/>
      <c r="Y493" s="4"/>
      <c r="Z493" s="4"/>
      <c r="AA493" s="4"/>
      <c r="AB493" s="4"/>
      <c r="AC493" s="4"/>
      <c r="AD493" s="4"/>
      <c r="AE493" s="4"/>
    </row>
    <row r="494" ht="13.5" customHeight="1" spans="1:31" x14ac:dyDescent="0.25">
      <c r="A494" s="1"/>
      <c r="B494" s="4"/>
      <c r="C494" s="4"/>
      <c r="D494" s="4"/>
      <c r="E494" s="4"/>
      <c r="F494" s="4"/>
      <c r="G494" s="4"/>
      <c r="H494" s="4"/>
      <c r="I494" s="4"/>
      <c r="J494" s="4"/>
      <c r="K494" s="4"/>
      <c r="L494" s="4"/>
      <c r="M494" s="4"/>
      <c r="N494" s="4"/>
      <c r="O494" s="4"/>
      <c r="P494" s="4"/>
      <c r="Q494" s="4"/>
      <c r="R494" s="4"/>
      <c r="S494" s="4"/>
      <c r="T494" s="4"/>
      <c r="U494" s="4"/>
      <c r="V494" s="4"/>
      <c r="W494" s="4"/>
      <c r="X494" s="4"/>
      <c r="Y494" s="4"/>
      <c r="Z494" s="4"/>
      <c r="AA494" s="4"/>
      <c r="AB494" s="4"/>
      <c r="AC494" s="4"/>
      <c r="AD494" s="4"/>
      <c r="AE494" s="4"/>
    </row>
    <row r="495" ht="13.5" customHeight="1" spans="1:31" x14ac:dyDescent="0.25">
      <c r="A495" s="1"/>
      <c r="B495" s="4"/>
      <c r="C495" s="4"/>
      <c r="D495" s="4"/>
      <c r="E495" s="4"/>
      <c r="F495" s="4"/>
      <c r="G495" s="4"/>
      <c r="H495" s="4"/>
      <c r="I495" s="4"/>
      <c r="J495" s="4"/>
      <c r="K495" s="4"/>
      <c r="L495" s="4"/>
      <c r="M495" s="4"/>
      <c r="N495" s="4"/>
      <c r="O495" s="4"/>
      <c r="P495" s="4"/>
      <c r="Q495" s="4"/>
      <c r="R495" s="4"/>
      <c r="S495" s="4"/>
      <c r="T495" s="4"/>
      <c r="U495" s="4"/>
      <c r="V495" s="4"/>
      <c r="W495" s="4"/>
      <c r="X495" s="4"/>
      <c r="Y495" s="4"/>
      <c r="Z495" s="4"/>
      <c r="AA495" s="4"/>
      <c r="AB495" s="4"/>
      <c r="AC495" s="4"/>
      <c r="AD495" s="4"/>
      <c r="AE495" s="4"/>
    </row>
    <row r="496" ht="13.5" customHeight="1" spans="1:31" x14ac:dyDescent="0.25">
      <c r="A496" s="1"/>
      <c r="B496" s="4"/>
      <c r="C496" s="4"/>
      <c r="D496" s="4"/>
      <c r="E496" s="4"/>
      <c r="F496" s="4"/>
      <c r="G496" s="4"/>
      <c r="H496" s="4"/>
      <c r="I496" s="4"/>
      <c r="J496" s="4"/>
      <c r="K496" s="4"/>
      <c r="L496" s="4"/>
      <c r="M496" s="4"/>
      <c r="N496" s="4"/>
      <c r="O496" s="4"/>
      <c r="P496" s="4"/>
      <c r="Q496" s="4"/>
      <c r="R496" s="4"/>
      <c r="S496" s="4"/>
      <c r="T496" s="4"/>
      <c r="U496" s="4"/>
      <c r="V496" s="4"/>
      <c r="W496" s="4"/>
      <c r="X496" s="4"/>
      <c r="Y496" s="4"/>
      <c r="Z496" s="4"/>
      <c r="AA496" s="4"/>
      <c r="AB496" s="4"/>
      <c r="AC496" s="4"/>
      <c r="AD496" s="4"/>
      <c r="AE496" s="4"/>
    </row>
    <row r="497" ht="13.5" customHeight="1" spans="1:31" x14ac:dyDescent="0.25">
      <c r="A497" s="1"/>
      <c r="B497" s="4"/>
      <c r="C497" s="4"/>
      <c r="D497" s="4"/>
      <c r="E497" s="4"/>
      <c r="F497" s="4"/>
      <c r="G497" s="4"/>
      <c r="H497" s="4"/>
      <c r="I497" s="4"/>
      <c r="J497" s="4"/>
      <c r="K497" s="4"/>
      <c r="L497" s="4"/>
      <c r="M497" s="4"/>
      <c r="N497" s="4"/>
      <c r="O497" s="4"/>
      <c r="P497" s="4"/>
      <c r="Q497" s="4"/>
      <c r="R497" s="4"/>
      <c r="S497" s="4"/>
      <c r="T497" s="4"/>
      <c r="U497" s="4"/>
      <c r="V497" s="4"/>
      <c r="W497" s="4"/>
      <c r="X497" s="4"/>
      <c r="Y497" s="4"/>
      <c r="Z497" s="4"/>
      <c r="AA497" s="4"/>
      <c r="AB497" s="4"/>
      <c r="AC497" s="4"/>
      <c r="AD497" s="4"/>
      <c r="AE497" s="4"/>
    </row>
    <row r="498" ht="13.5" customHeight="1" spans="1:31" x14ac:dyDescent="0.25">
      <c r="A498" s="1"/>
      <c r="B498" s="4"/>
      <c r="C498" s="4"/>
      <c r="D498" s="4"/>
      <c r="E498" s="4"/>
      <c r="F498" s="4"/>
      <c r="G498" s="4"/>
      <c r="H498" s="4"/>
      <c r="I498" s="4"/>
      <c r="J498" s="4"/>
      <c r="K498" s="4"/>
      <c r="L498" s="4"/>
      <c r="M498" s="4"/>
      <c r="N498" s="4"/>
      <c r="O498" s="4"/>
      <c r="P498" s="4"/>
      <c r="Q498" s="4"/>
      <c r="R498" s="4"/>
      <c r="S498" s="4"/>
      <c r="T498" s="4"/>
      <c r="U498" s="4"/>
      <c r="V498" s="4"/>
      <c r="W498" s="4"/>
      <c r="X498" s="4"/>
      <c r="Y498" s="4"/>
      <c r="Z498" s="4"/>
      <c r="AA498" s="4"/>
      <c r="AB498" s="4"/>
      <c r="AC498" s="4"/>
      <c r="AD498" s="4"/>
      <c r="AE498" s="4"/>
    </row>
    <row r="499" ht="13.5" customHeight="1" spans="1:31" x14ac:dyDescent="0.25">
      <c r="A499" s="1"/>
      <c r="B499" s="4"/>
      <c r="C499" s="4"/>
      <c r="D499" s="4"/>
      <c r="E499" s="4"/>
      <c r="F499" s="4"/>
      <c r="G499" s="4"/>
      <c r="H499" s="4"/>
      <c r="I499" s="4"/>
      <c r="J499" s="4"/>
      <c r="K499" s="4"/>
      <c r="L499" s="4"/>
      <c r="M499" s="4"/>
      <c r="N499" s="4"/>
      <c r="O499" s="4"/>
      <c r="P499" s="4"/>
      <c r="Q499" s="4"/>
      <c r="R499" s="4"/>
      <c r="S499" s="4"/>
      <c r="T499" s="4"/>
      <c r="U499" s="4"/>
      <c r="V499" s="4"/>
      <c r="W499" s="4"/>
      <c r="X499" s="4"/>
      <c r="Y499" s="4"/>
      <c r="Z499" s="4"/>
      <c r="AA499" s="4"/>
      <c r="AB499" s="4"/>
      <c r="AC499" s="4"/>
      <c r="AD499" s="4"/>
      <c r="AE499" s="4"/>
    </row>
    <row r="500" ht="13.5" customHeight="1" spans="1:31" x14ac:dyDescent="0.25">
      <c r="A500" s="1"/>
      <c r="B500" s="4"/>
      <c r="C500" s="4"/>
      <c r="D500" s="4"/>
      <c r="E500" s="4"/>
      <c r="F500" s="4"/>
      <c r="G500" s="4"/>
      <c r="H500" s="4"/>
      <c r="I500" s="4"/>
      <c r="J500" s="4"/>
      <c r="K500" s="4"/>
      <c r="L500" s="4"/>
      <c r="M500" s="4"/>
      <c r="N500" s="4"/>
      <c r="O500" s="4"/>
      <c r="P500" s="4"/>
      <c r="Q500" s="4"/>
      <c r="R500" s="4"/>
      <c r="S500" s="4"/>
      <c r="T500" s="4"/>
      <c r="U500" s="4"/>
      <c r="V500" s="4"/>
      <c r="W500" s="4"/>
      <c r="X500" s="4"/>
      <c r="Y500" s="4"/>
      <c r="Z500" s="4"/>
      <c r="AA500" s="4"/>
      <c r="AB500" s="4"/>
      <c r="AC500" s="4"/>
      <c r="AD500" s="4"/>
      <c r="AE500" s="4"/>
    </row>
    <row r="501" ht="13.5" customHeight="1" spans="1:31" x14ac:dyDescent="0.25">
      <c r="A501" s="1"/>
      <c r="B501" s="4"/>
      <c r="C501" s="4"/>
      <c r="D501" s="4"/>
      <c r="E501" s="4"/>
      <c r="F501" s="4"/>
      <c r="G501" s="4"/>
      <c r="H501" s="4"/>
      <c r="I501" s="4"/>
      <c r="J501" s="4"/>
      <c r="K501" s="4"/>
      <c r="L501" s="4"/>
      <c r="M501" s="4"/>
      <c r="N501" s="4"/>
      <c r="O501" s="4"/>
      <c r="P501" s="4"/>
      <c r="Q501" s="4"/>
      <c r="R501" s="4"/>
      <c r="S501" s="4"/>
      <c r="T501" s="4"/>
      <c r="U501" s="4"/>
      <c r="V501" s="4"/>
      <c r="W501" s="4"/>
      <c r="X501" s="4"/>
      <c r="Y501" s="4"/>
      <c r="Z501" s="4"/>
      <c r="AA501" s="4"/>
      <c r="AB501" s="4"/>
      <c r="AC501" s="4"/>
      <c r="AD501" s="4"/>
      <c r="AE501" s="4"/>
    </row>
    <row r="502" ht="13.5" customHeight="1" spans="1:31" x14ac:dyDescent="0.25">
      <c r="A502" s="1"/>
      <c r="B502" s="4"/>
      <c r="C502" s="4"/>
      <c r="D502" s="4"/>
      <c r="E502" s="4"/>
      <c r="F502" s="4"/>
      <c r="G502" s="4"/>
      <c r="H502" s="4"/>
      <c r="I502" s="4"/>
      <c r="J502" s="4"/>
      <c r="K502" s="4"/>
      <c r="L502" s="4"/>
      <c r="M502" s="4"/>
      <c r="N502" s="4"/>
      <c r="O502" s="4"/>
      <c r="P502" s="4"/>
      <c r="Q502" s="4"/>
      <c r="R502" s="4"/>
      <c r="S502" s="4"/>
      <c r="T502" s="4"/>
      <c r="U502" s="4"/>
      <c r="V502" s="4"/>
      <c r="W502" s="4"/>
      <c r="X502" s="4"/>
      <c r="Y502" s="4"/>
      <c r="Z502" s="4"/>
      <c r="AA502" s="4"/>
      <c r="AB502" s="4"/>
      <c r="AC502" s="4"/>
      <c r="AD502" s="4"/>
      <c r="AE502" s="4"/>
    </row>
    <row r="503" ht="13.5" customHeight="1" spans="1:31" x14ac:dyDescent="0.25">
      <c r="A503" s="1"/>
      <c r="B503" s="4"/>
      <c r="C503" s="4"/>
      <c r="D503" s="4"/>
      <c r="E503" s="4"/>
      <c r="F503" s="4"/>
      <c r="G503" s="4"/>
      <c r="H503" s="4"/>
      <c r="I503" s="4"/>
      <c r="J503" s="4"/>
      <c r="K503" s="4"/>
      <c r="L503" s="4"/>
      <c r="M503" s="4"/>
      <c r="N503" s="4"/>
      <c r="O503" s="4"/>
      <c r="P503" s="4"/>
      <c r="Q503" s="4"/>
      <c r="R503" s="4"/>
      <c r="S503" s="4"/>
      <c r="T503" s="4"/>
      <c r="U503" s="4"/>
      <c r="V503" s="4"/>
      <c r="W503" s="4"/>
      <c r="X503" s="4"/>
      <c r="Y503" s="4"/>
      <c r="Z503" s="4"/>
      <c r="AA503" s="4"/>
      <c r="AB503" s="4"/>
      <c r="AC503" s="4"/>
      <c r="AD503" s="4"/>
      <c r="AE503" s="4"/>
    </row>
    <row r="504" ht="13.5" customHeight="1" spans="1:31" x14ac:dyDescent="0.25">
      <c r="A504" s="1"/>
      <c r="B504" s="4"/>
      <c r="C504" s="4"/>
      <c r="D504" s="4"/>
      <c r="E504" s="4"/>
      <c r="F504" s="4"/>
      <c r="G504" s="4"/>
      <c r="H504" s="4"/>
      <c r="I504" s="4"/>
      <c r="J504" s="4"/>
      <c r="K504" s="4"/>
      <c r="L504" s="4"/>
      <c r="M504" s="4"/>
      <c r="N504" s="4"/>
      <c r="O504" s="4"/>
      <c r="P504" s="4"/>
      <c r="Q504" s="4"/>
      <c r="R504" s="4"/>
      <c r="S504" s="4"/>
      <c r="T504" s="4"/>
      <c r="U504" s="4"/>
      <c r="V504" s="4"/>
      <c r="W504" s="4"/>
      <c r="X504" s="4"/>
      <c r="Y504" s="4"/>
      <c r="Z504" s="4"/>
      <c r="AA504" s="4"/>
      <c r="AB504" s="4"/>
      <c r="AC504" s="4"/>
      <c r="AD504" s="4"/>
      <c r="AE504" s="4"/>
    </row>
    <row r="505" ht="13.5" customHeight="1" spans="1:31" x14ac:dyDescent="0.25">
      <c r="A505" s="1"/>
      <c r="B505" s="4"/>
      <c r="C505" s="4"/>
      <c r="D505" s="4"/>
      <c r="E505" s="4"/>
      <c r="F505" s="4"/>
      <c r="G505" s="4"/>
      <c r="H505" s="4"/>
      <c r="I505" s="4"/>
      <c r="J505" s="4"/>
      <c r="K505" s="4"/>
      <c r="L505" s="4"/>
      <c r="M505" s="4"/>
      <c r="N505" s="4"/>
      <c r="O505" s="4"/>
      <c r="P505" s="4"/>
      <c r="Q505" s="4"/>
      <c r="R505" s="4"/>
      <c r="S505" s="4"/>
      <c r="T505" s="4"/>
      <c r="U505" s="4"/>
      <c r="V505" s="4"/>
      <c r="W505" s="4"/>
      <c r="X505" s="4"/>
      <c r="Y505" s="4"/>
      <c r="Z505" s="4"/>
      <c r="AA505" s="4"/>
      <c r="AB505" s="4"/>
      <c r="AC505" s="4"/>
      <c r="AD505" s="4"/>
      <c r="AE505" s="4"/>
    </row>
    <row r="506" ht="13.5" customHeight="1" spans="1:31" x14ac:dyDescent="0.25">
      <c r="A506" s="1"/>
      <c r="B506" s="4"/>
      <c r="C506" s="4"/>
      <c r="D506" s="4"/>
      <c r="E506" s="4"/>
      <c r="F506" s="4"/>
      <c r="G506" s="4"/>
      <c r="H506" s="4"/>
      <c r="I506" s="4"/>
      <c r="J506" s="4"/>
      <c r="K506" s="4"/>
      <c r="L506" s="4"/>
      <c r="M506" s="4"/>
      <c r="N506" s="4"/>
      <c r="O506" s="4"/>
      <c r="P506" s="4"/>
      <c r="Q506" s="4"/>
      <c r="R506" s="4"/>
      <c r="S506" s="4"/>
      <c r="T506" s="4"/>
      <c r="U506" s="4"/>
      <c r="V506" s="4"/>
      <c r="W506" s="4"/>
      <c r="X506" s="4"/>
      <c r="Y506" s="4"/>
      <c r="Z506" s="4"/>
      <c r="AA506" s="4"/>
      <c r="AB506" s="4"/>
      <c r="AC506" s="4"/>
      <c r="AD506" s="4"/>
      <c r="AE506" s="4"/>
    </row>
    <row r="507" ht="13.5" customHeight="1" spans="1:31" x14ac:dyDescent="0.25">
      <c r="A507" s="1"/>
      <c r="B507" s="4"/>
      <c r="C507" s="4"/>
      <c r="D507" s="4"/>
      <c r="E507" s="4"/>
      <c r="F507" s="4"/>
      <c r="G507" s="4"/>
      <c r="H507" s="4"/>
      <c r="I507" s="4"/>
      <c r="J507" s="4"/>
      <c r="K507" s="4"/>
      <c r="L507" s="4"/>
      <c r="M507" s="4"/>
      <c r="N507" s="4"/>
      <c r="O507" s="4"/>
      <c r="P507" s="4"/>
      <c r="Q507" s="4"/>
      <c r="R507" s="4"/>
      <c r="S507" s="4"/>
      <c r="T507" s="4"/>
      <c r="U507" s="4"/>
      <c r="V507" s="4"/>
      <c r="W507" s="4"/>
      <c r="X507" s="4"/>
      <c r="Y507" s="4"/>
      <c r="Z507" s="4"/>
      <c r="AA507" s="4"/>
      <c r="AB507" s="4"/>
      <c r="AC507" s="4"/>
      <c r="AD507" s="4"/>
      <c r="AE507" s="4"/>
    </row>
    <row r="508" ht="13.5" customHeight="1" spans="1:31" x14ac:dyDescent="0.25">
      <c r="A508" s="1"/>
      <c r="B508" s="4"/>
      <c r="C508" s="4"/>
      <c r="D508" s="4"/>
      <c r="E508" s="4"/>
      <c r="F508" s="4"/>
      <c r="G508" s="4"/>
      <c r="H508" s="4"/>
      <c r="I508" s="4"/>
      <c r="J508" s="4"/>
      <c r="K508" s="4"/>
      <c r="L508" s="4"/>
      <c r="M508" s="4"/>
      <c r="N508" s="4"/>
      <c r="O508" s="4"/>
      <c r="P508" s="4"/>
      <c r="Q508" s="4"/>
      <c r="R508" s="4"/>
      <c r="S508" s="4"/>
      <c r="T508" s="4"/>
      <c r="U508" s="4"/>
      <c r="V508" s="4"/>
      <c r="W508" s="4"/>
      <c r="X508" s="4"/>
      <c r="Y508" s="4"/>
      <c r="Z508" s="4"/>
      <c r="AA508" s="4"/>
      <c r="AB508" s="4"/>
      <c r="AC508" s="4"/>
      <c r="AD508" s="4"/>
      <c r="AE508" s="4"/>
    </row>
    <row r="509" ht="13.5" customHeight="1" spans="1:31" x14ac:dyDescent="0.25">
      <c r="A509" s="1"/>
      <c r="B509" s="4"/>
      <c r="C509" s="4"/>
      <c r="D509" s="4"/>
      <c r="E509" s="4"/>
      <c r="F509" s="4"/>
      <c r="G509" s="4"/>
      <c r="H509" s="4"/>
      <c r="I509" s="4"/>
      <c r="J509" s="4"/>
      <c r="K509" s="4"/>
      <c r="L509" s="4"/>
      <c r="M509" s="4"/>
      <c r="N509" s="4"/>
      <c r="O509" s="4"/>
      <c r="P509" s="4"/>
      <c r="Q509" s="4"/>
      <c r="R509" s="4"/>
      <c r="S509" s="4"/>
      <c r="T509" s="4"/>
      <c r="U509" s="4"/>
      <c r="V509" s="4"/>
      <c r="W509" s="4"/>
      <c r="X509" s="4"/>
      <c r="Y509" s="4"/>
      <c r="Z509" s="4"/>
      <c r="AA509" s="4"/>
      <c r="AB509" s="4"/>
      <c r="AC509" s="4"/>
      <c r="AD509" s="4"/>
      <c r="AE509" s="4"/>
    </row>
    <row r="510" ht="13.5" customHeight="1" spans="1:31" x14ac:dyDescent="0.25">
      <c r="A510" s="1"/>
      <c r="B510" s="4"/>
      <c r="C510" s="4"/>
      <c r="D510" s="4"/>
      <c r="E510" s="4"/>
      <c r="F510" s="4"/>
      <c r="G510" s="4"/>
      <c r="H510" s="4"/>
      <c r="I510" s="4"/>
      <c r="J510" s="4"/>
      <c r="K510" s="4"/>
      <c r="L510" s="4"/>
      <c r="M510" s="4"/>
      <c r="N510" s="4"/>
      <c r="O510" s="4"/>
      <c r="P510" s="4"/>
      <c r="Q510" s="4"/>
      <c r="R510" s="4"/>
      <c r="S510" s="4"/>
      <c r="T510" s="4"/>
      <c r="U510" s="4"/>
      <c r="V510" s="4"/>
      <c r="W510" s="4"/>
      <c r="X510" s="4"/>
      <c r="Y510" s="4"/>
      <c r="Z510" s="4"/>
      <c r="AA510" s="4"/>
      <c r="AB510" s="4"/>
      <c r="AC510" s="4"/>
      <c r="AD510" s="4"/>
      <c r="AE510" s="4"/>
    </row>
    <row r="511" ht="13.5" customHeight="1" spans="1:31" x14ac:dyDescent="0.25">
      <c r="A511" s="1"/>
      <c r="B511" s="4"/>
      <c r="C511" s="4"/>
      <c r="D511" s="4"/>
      <c r="E511" s="4"/>
      <c r="F511" s="4"/>
      <c r="G511" s="4"/>
      <c r="H511" s="4"/>
      <c r="I511" s="4"/>
      <c r="J511" s="4"/>
      <c r="K511" s="4"/>
      <c r="L511" s="4"/>
      <c r="M511" s="4"/>
      <c r="N511" s="4"/>
      <c r="O511" s="4"/>
      <c r="P511" s="4"/>
      <c r="Q511" s="4"/>
      <c r="R511" s="4"/>
      <c r="S511" s="4"/>
      <c r="T511" s="4"/>
      <c r="U511" s="4"/>
      <c r="V511" s="4"/>
      <c r="W511" s="4"/>
      <c r="X511" s="4"/>
      <c r="Y511" s="4"/>
      <c r="Z511" s="4"/>
      <c r="AA511" s="4"/>
      <c r="AB511" s="4"/>
      <c r="AC511" s="4"/>
      <c r="AD511" s="4"/>
      <c r="AE511" s="4"/>
    </row>
    <row r="512" ht="13.5" customHeight="1" spans="1:31" x14ac:dyDescent="0.25">
      <c r="A512" s="1"/>
      <c r="B512" s="4"/>
      <c r="C512" s="4"/>
      <c r="D512" s="4"/>
      <c r="E512" s="4"/>
      <c r="F512" s="4"/>
      <c r="G512" s="4"/>
      <c r="H512" s="4"/>
      <c r="I512" s="4"/>
      <c r="J512" s="4"/>
      <c r="K512" s="4"/>
      <c r="L512" s="4"/>
      <c r="M512" s="4"/>
      <c r="N512" s="4"/>
      <c r="O512" s="4"/>
      <c r="P512" s="4"/>
      <c r="Q512" s="4"/>
      <c r="R512" s="4"/>
      <c r="S512" s="4"/>
      <c r="T512" s="4"/>
      <c r="U512" s="4"/>
      <c r="V512" s="4"/>
      <c r="W512" s="4"/>
      <c r="X512" s="4"/>
      <c r="Y512" s="4"/>
      <c r="Z512" s="4"/>
      <c r="AA512" s="4"/>
      <c r="AB512" s="4"/>
      <c r="AC512" s="4"/>
      <c r="AD512" s="4"/>
      <c r="AE512" s="4"/>
    </row>
    <row r="513" ht="13.5" customHeight="1" spans="1:31" x14ac:dyDescent="0.25">
      <c r="A513" s="1"/>
      <c r="B513" s="4"/>
      <c r="C513" s="4"/>
      <c r="D513" s="4"/>
      <c r="E513" s="4"/>
      <c r="F513" s="4"/>
      <c r="G513" s="4"/>
      <c r="H513" s="4"/>
      <c r="I513" s="4"/>
      <c r="J513" s="4"/>
      <c r="K513" s="4"/>
      <c r="L513" s="4"/>
      <c r="M513" s="4"/>
      <c r="N513" s="4"/>
      <c r="O513" s="4"/>
      <c r="P513" s="4"/>
      <c r="Q513" s="4"/>
      <c r="R513" s="4"/>
      <c r="S513" s="4"/>
      <c r="T513" s="4"/>
      <c r="U513" s="4"/>
      <c r="V513" s="4"/>
      <c r="W513" s="4"/>
      <c r="X513" s="4"/>
      <c r="Y513" s="4"/>
      <c r="Z513" s="4"/>
      <c r="AA513" s="4"/>
      <c r="AB513" s="4"/>
      <c r="AC513" s="4"/>
      <c r="AD513" s="4"/>
      <c r="AE513" s="4"/>
    </row>
    <row r="514" ht="13.5" customHeight="1" spans="1:31" x14ac:dyDescent="0.25">
      <c r="A514" s="1"/>
      <c r="B514" s="4"/>
      <c r="C514" s="4"/>
      <c r="D514" s="4"/>
      <c r="E514" s="4"/>
      <c r="F514" s="4"/>
      <c r="G514" s="4"/>
      <c r="H514" s="4"/>
      <c r="I514" s="4"/>
      <c r="J514" s="4"/>
      <c r="K514" s="4"/>
      <c r="L514" s="4"/>
      <c r="M514" s="4"/>
      <c r="N514" s="4"/>
      <c r="O514" s="4"/>
      <c r="P514" s="4"/>
      <c r="Q514" s="4"/>
      <c r="R514" s="4"/>
      <c r="S514" s="4"/>
      <c r="T514" s="4"/>
      <c r="U514" s="4"/>
      <c r="V514" s="4"/>
      <c r="W514" s="4"/>
      <c r="X514" s="4"/>
      <c r="Y514" s="4"/>
      <c r="Z514" s="4"/>
      <c r="AA514" s="4"/>
      <c r="AB514" s="4"/>
      <c r="AC514" s="4"/>
      <c r="AD514" s="4"/>
      <c r="AE514" s="4"/>
    </row>
    <row r="515" ht="13.5" customHeight="1" spans="1:31" x14ac:dyDescent="0.25">
      <c r="A515" s="1"/>
      <c r="B515" s="4"/>
      <c r="C515" s="4"/>
      <c r="D515" s="4"/>
      <c r="E515" s="4"/>
      <c r="F515" s="4"/>
      <c r="G515" s="4"/>
      <c r="H515" s="4"/>
      <c r="I515" s="4"/>
      <c r="J515" s="4"/>
      <c r="K515" s="4"/>
      <c r="L515" s="4"/>
      <c r="M515" s="4"/>
      <c r="N515" s="4"/>
      <c r="O515" s="4"/>
      <c r="P515" s="4"/>
      <c r="Q515" s="4"/>
      <c r="R515" s="4"/>
      <c r="S515" s="4"/>
      <c r="T515" s="4"/>
      <c r="U515" s="4"/>
      <c r="V515" s="4"/>
      <c r="W515" s="4"/>
      <c r="X515" s="4"/>
      <c r="Y515" s="4"/>
      <c r="Z515" s="4"/>
      <c r="AA515" s="4"/>
      <c r="AB515" s="4"/>
      <c r="AC515" s="4"/>
      <c r="AD515" s="4"/>
      <c r="AE515" s="4"/>
    </row>
    <row r="516" ht="13.5" customHeight="1" spans="1:31" x14ac:dyDescent="0.25">
      <c r="A516" s="1"/>
      <c r="B516" s="4"/>
      <c r="C516" s="4"/>
      <c r="D516" s="4"/>
      <c r="E516" s="4"/>
      <c r="F516" s="4"/>
      <c r="G516" s="4"/>
      <c r="H516" s="4"/>
      <c r="I516" s="4"/>
      <c r="J516" s="4"/>
      <c r="K516" s="4"/>
      <c r="L516" s="4"/>
      <c r="M516" s="4"/>
      <c r="N516" s="4"/>
      <c r="O516" s="4"/>
      <c r="P516" s="4"/>
      <c r="Q516" s="4"/>
      <c r="R516" s="4"/>
      <c r="S516" s="4"/>
      <c r="T516" s="4"/>
      <c r="U516" s="4"/>
      <c r="V516" s="4"/>
      <c r="W516" s="4"/>
      <c r="X516" s="4"/>
      <c r="Y516" s="4"/>
      <c r="Z516" s="4"/>
      <c r="AA516" s="4"/>
      <c r="AB516" s="4"/>
      <c r="AC516" s="4"/>
      <c r="AD516" s="4"/>
      <c r="AE516" s="4"/>
    </row>
    <row r="517" ht="13.5" customHeight="1" spans="1:31" x14ac:dyDescent="0.25">
      <c r="A517" s="1"/>
      <c r="B517" s="4"/>
      <c r="C517" s="4"/>
      <c r="D517" s="4"/>
      <c r="E517" s="4"/>
      <c r="F517" s="4"/>
      <c r="G517" s="4"/>
      <c r="H517" s="4"/>
      <c r="I517" s="4"/>
      <c r="J517" s="4"/>
      <c r="K517" s="4"/>
      <c r="L517" s="4"/>
      <c r="M517" s="4"/>
      <c r="N517" s="4"/>
      <c r="O517" s="4"/>
      <c r="P517" s="4"/>
      <c r="Q517" s="4"/>
      <c r="R517" s="4"/>
      <c r="S517" s="4"/>
      <c r="T517" s="4"/>
      <c r="U517" s="4"/>
      <c r="V517" s="4"/>
      <c r="W517" s="4"/>
      <c r="X517" s="4"/>
      <c r="Y517" s="4"/>
      <c r="Z517" s="4"/>
      <c r="AA517" s="4"/>
      <c r="AB517" s="4"/>
      <c r="AC517" s="4"/>
      <c r="AD517" s="4"/>
      <c r="AE517" s="4"/>
    </row>
    <row r="518" ht="13.5" customHeight="1" spans="1:31" x14ac:dyDescent="0.25">
      <c r="A518" s="1"/>
      <c r="B518" s="4"/>
      <c r="C518" s="4"/>
      <c r="D518" s="4"/>
      <c r="E518" s="4"/>
      <c r="F518" s="4"/>
      <c r="G518" s="4"/>
      <c r="H518" s="4"/>
      <c r="I518" s="4"/>
      <c r="J518" s="4"/>
      <c r="K518" s="4"/>
      <c r="L518" s="4"/>
      <c r="M518" s="4"/>
      <c r="N518" s="4"/>
      <c r="O518" s="4"/>
      <c r="P518" s="4"/>
      <c r="Q518" s="4"/>
      <c r="R518" s="4"/>
      <c r="S518" s="4"/>
      <c r="T518" s="4"/>
      <c r="U518" s="4"/>
      <c r="V518" s="4"/>
      <c r="W518" s="4"/>
      <c r="X518" s="4"/>
      <c r="Y518" s="4"/>
      <c r="Z518" s="4"/>
      <c r="AA518" s="4"/>
      <c r="AB518" s="4"/>
      <c r="AC518" s="4"/>
      <c r="AD518" s="4"/>
      <c r="AE518" s="4"/>
    </row>
    <row r="519" ht="13.5" customHeight="1" spans="1:31" x14ac:dyDescent="0.25">
      <c r="A519" s="1"/>
      <c r="B519" s="4"/>
      <c r="C519" s="4"/>
      <c r="D519" s="4"/>
      <c r="E519" s="4"/>
      <c r="F519" s="4"/>
      <c r="G519" s="4"/>
      <c r="H519" s="4"/>
      <c r="I519" s="4"/>
      <c r="J519" s="4"/>
      <c r="K519" s="4"/>
      <c r="L519" s="4"/>
      <c r="M519" s="4"/>
      <c r="N519" s="4"/>
      <c r="O519" s="4"/>
      <c r="P519" s="4"/>
      <c r="Q519" s="4"/>
      <c r="R519" s="4"/>
      <c r="S519" s="4"/>
      <c r="T519" s="4"/>
      <c r="U519" s="4"/>
      <c r="V519" s="4"/>
      <c r="W519" s="4"/>
      <c r="X519" s="4"/>
      <c r="Y519" s="4"/>
      <c r="Z519" s="4"/>
      <c r="AA519" s="4"/>
      <c r="AB519" s="4"/>
      <c r="AC519" s="4"/>
      <c r="AD519" s="4"/>
      <c r="AE519" s="4"/>
    </row>
    <row r="520" ht="13.5" customHeight="1" spans="1:31" x14ac:dyDescent="0.25">
      <c r="A520" s="1"/>
      <c r="B520" s="4"/>
      <c r="C520" s="4"/>
      <c r="D520" s="4"/>
      <c r="E520" s="4"/>
      <c r="F520" s="4"/>
      <c r="G520" s="4"/>
      <c r="H520" s="4"/>
      <c r="I520" s="4"/>
      <c r="J520" s="4"/>
      <c r="K520" s="4"/>
      <c r="L520" s="4"/>
      <c r="M520" s="4"/>
      <c r="N520" s="4"/>
      <c r="O520" s="4"/>
      <c r="P520" s="4"/>
      <c r="Q520" s="4"/>
      <c r="R520" s="4"/>
      <c r="S520" s="4"/>
      <c r="T520" s="4"/>
      <c r="U520" s="4"/>
      <c r="V520" s="4"/>
      <c r="W520" s="4"/>
      <c r="X520" s="4"/>
      <c r="Y520" s="4"/>
      <c r="Z520" s="4"/>
      <c r="AA520" s="4"/>
      <c r="AB520" s="4"/>
      <c r="AC520" s="4"/>
      <c r="AD520" s="4"/>
      <c r="AE520" s="4"/>
    </row>
    <row r="521" ht="13.5" customHeight="1" spans="1:31" x14ac:dyDescent="0.25">
      <c r="A521" s="1"/>
      <c r="B521" s="4"/>
      <c r="C521" s="4"/>
      <c r="D521" s="4"/>
      <c r="E521" s="4"/>
      <c r="F521" s="4"/>
      <c r="G521" s="4"/>
      <c r="H521" s="4"/>
      <c r="I521" s="4"/>
      <c r="J521" s="4"/>
      <c r="K521" s="4"/>
      <c r="L521" s="4"/>
      <c r="M521" s="4"/>
      <c r="N521" s="4"/>
      <c r="O521" s="4"/>
      <c r="P521" s="4"/>
      <c r="Q521" s="4"/>
      <c r="R521" s="4"/>
      <c r="S521" s="4"/>
      <c r="T521" s="4"/>
      <c r="U521" s="4"/>
      <c r="V521" s="4"/>
      <c r="W521" s="4"/>
      <c r="X521" s="4"/>
      <c r="Y521" s="4"/>
      <c r="Z521" s="4"/>
      <c r="AA521" s="4"/>
      <c r="AB521" s="4"/>
      <c r="AC521" s="4"/>
      <c r="AD521" s="4"/>
      <c r="AE521" s="4"/>
    </row>
    <row r="522" ht="13.5" customHeight="1" spans="1:31" x14ac:dyDescent="0.25">
      <c r="A522" s="1"/>
      <c r="B522" s="4"/>
      <c r="C522" s="4"/>
      <c r="D522" s="4"/>
      <c r="E522" s="4"/>
      <c r="F522" s="4"/>
      <c r="G522" s="4"/>
      <c r="H522" s="4"/>
      <c r="I522" s="4"/>
      <c r="J522" s="4"/>
      <c r="K522" s="4"/>
      <c r="L522" s="4"/>
      <c r="M522" s="4"/>
      <c r="N522" s="4"/>
      <c r="O522" s="4"/>
      <c r="P522" s="4"/>
      <c r="Q522" s="4"/>
      <c r="R522" s="4"/>
      <c r="S522" s="4"/>
      <c r="T522" s="4"/>
      <c r="U522" s="4"/>
      <c r="V522" s="4"/>
      <c r="W522" s="4"/>
      <c r="X522" s="4"/>
      <c r="Y522" s="4"/>
      <c r="Z522" s="4"/>
      <c r="AA522" s="4"/>
      <c r="AB522" s="4"/>
      <c r="AC522" s="4"/>
      <c r="AD522" s="4"/>
      <c r="AE522" s="4"/>
    </row>
    <row r="523" ht="13.5" customHeight="1" spans="1:31" x14ac:dyDescent="0.25">
      <c r="A523" s="1"/>
      <c r="B523" s="4"/>
      <c r="C523" s="4"/>
      <c r="D523" s="4"/>
      <c r="E523" s="4"/>
      <c r="F523" s="4"/>
      <c r="G523" s="4"/>
      <c r="H523" s="4"/>
      <c r="I523" s="4"/>
      <c r="J523" s="4"/>
      <c r="K523" s="4"/>
      <c r="L523" s="4"/>
      <c r="M523" s="4"/>
      <c r="N523" s="4"/>
      <c r="O523" s="4"/>
      <c r="P523" s="4"/>
      <c r="Q523" s="4"/>
      <c r="R523" s="4"/>
      <c r="S523" s="4"/>
      <c r="T523" s="4"/>
      <c r="U523" s="4"/>
      <c r="V523" s="4"/>
      <c r="W523" s="4"/>
      <c r="X523" s="4"/>
      <c r="Y523" s="4"/>
      <c r="Z523" s="4"/>
      <c r="AA523" s="4"/>
      <c r="AB523" s="4"/>
      <c r="AC523" s="4"/>
      <c r="AD523" s="4"/>
      <c r="AE523" s="4"/>
    </row>
    <row r="524" ht="13.5" customHeight="1" spans="1:31" x14ac:dyDescent="0.25">
      <c r="A524" s="1"/>
      <c r="B524" s="4"/>
      <c r="C524" s="4"/>
      <c r="D524" s="4"/>
      <c r="E524" s="4"/>
      <c r="F524" s="4"/>
      <c r="G524" s="4"/>
      <c r="H524" s="4"/>
      <c r="I524" s="4"/>
      <c r="J524" s="4"/>
      <c r="K524" s="4"/>
      <c r="L524" s="4"/>
      <c r="M524" s="4"/>
      <c r="N524" s="4"/>
      <c r="O524" s="4"/>
      <c r="P524" s="4"/>
      <c r="Q524" s="4"/>
      <c r="R524" s="4"/>
      <c r="S524" s="4"/>
      <c r="T524" s="4"/>
      <c r="U524" s="4"/>
      <c r="V524" s="4"/>
      <c r="W524" s="4"/>
      <c r="X524" s="4"/>
      <c r="Y524" s="4"/>
      <c r="Z524" s="4"/>
      <c r="AA524" s="4"/>
      <c r="AB524" s="4"/>
      <c r="AC524" s="4"/>
      <c r="AD524" s="4"/>
      <c r="AE524" s="4"/>
    </row>
    <row r="525" ht="13.5" customHeight="1" spans="1:31" x14ac:dyDescent="0.25">
      <c r="A525" s="1"/>
      <c r="B525" s="4"/>
      <c r="C525" s="4"/>
      <c r="D525" s="4"/>
      <c r="E525" s="4"/>
      <c r="F525" s="4"/>
      <c r="G525" s="4"/>
      <c r="H525" s="4"/>
      <c r="I525" s="4"/>
      <c r="J525" s="4"/>
      <c r="K525" s="4"/>
      <c r="L525" s="4"/>
      <c r="M525" s="4"/>
      <c r="N525" s="4"/>
      <c r="O525" s="4"/>
      <c r="P525" s="4"/>
      <c r="Q525" s="4"/>
      <c r="R525" s="4"/>
      <c r="S525" s="4"/>
      <c r="T525" s="4"/>
      <c r="U525" s="4"/>
      <c r="V525" s="4"/>
      <c r="W525" s="4"/>
      <c r="X525" s="4"/>
      <c r="Y525" s="4"/>
      <c r="Z525" s="4"/>
      <c r="AA525" s="4"/>
      <c r="AB525" s="4"/>
      <c r="AC525" s="4"/>
      <c r="AD525" s="4"/>
      <c r="AE525" s="4"/>
    </row>
    <row r="526" ht="13.5" customHeight="1" spans="1:31" x14ac:dyDescent="0.25">
      <c r="A526" s="1"/>
      <c r="B526" s="4"/>
      <c r="C526" s="4"/>
      <c r="D526" s="4"/>
      <c r="E526" s="4"/>
      <c r="F526" s="4"/>
      <c r="G526" s="4"/>
      <c r="H526" s="4"/>
      <c r="I526" s="4"/>
      <c r="J526" s="4"/>
      <c r="K526" s="4"/>
      <c r="L526" s="4"/>
      <c r="M526" s="4"/>
      <c r="N526" s="4"/>
      <c r="O526" s="4"/>
      <c r="P526" s="4"/>
      <c r="Q526" s="4"/>
      <c r="R526" s="4"/>
      <c r="S526" s="4"/>
      <c r="T526" s="4"/>
      <c r="U526" s="4"/>
      <c r="V526" s="4"/>
      <c r="W526" s="4"/>
      <c r="X526" s="4"/>
      <c r="Y526" s="4"/>
      <c r="Z526" s="4"/>
      <c r="AA526" s="4"/>
      <c r="AB526" s="4"/>
      <c r="AC526" s="4"/>
      <c r="AD526" s="4"/>
      <c r="AE526" s="4"/>
    </row>
    <row r="527" ht="13.5" customHeight="1" spans="1:31" x14ac:dyDescent="0.25">
      <c r="A527" s="1"/>
      <c r="B527" s="4"/>
      <c r="C527" s="4"/>
      <c r="D527" s="4"/>
      <c r="E527" s="4"/>
      <c r="F527" s="4"/>
      <c r="G527" s="4"/>
      <c r="H527" s="4"/>
      <c r="I527" s="4"/>
      <c r="J527" s="4"/>
      <c r="K527" s="4"/>
      <c r="L527" s="4"/>
      <c r="M527" s="4"/>
      <c r="N527" s="4"/>
      <c r="O527" s="4"/>
      <c r="P527" s="4"/>
      <c r="Q527" s="4"/>
      <c r="R527" s="4"/>
      <c r="S527" s="4"/>
      <c r="T527" s="4"/>
      <c r="U527" s="4"/>
      <c r="V527" s="4"/>
      <c r="W527" s="4"/>
      <c r="X527" s="4"/>
      <c r="Y527" s="4"/>
      <c r="Z527" s="4"/>
      <c r="AA527" s="4"/>
      <c r="AB527" s="4"/>
      <c r="AC527" s="4"/>
      <c r="AD527" s="4"/>
      <c r="AE527" s="4"/>
    </row>
    <row r="528" ht="13.5" customHeight="1" spans="1:31" x14ac:dyDescent="0.25">
      <c r="A528" s="1"/>
      <c r="B528" s="4"/>
      <c r="C528" s="4"/>
      <c r="D528" s="4"/>
      <c r="E528" s="4"/>
      <c r="F528" s="4"/>
      <c r="G528" s="4"/>
      <c r="H528" s="4"/>
      <c r="I528" s="4"/>
      <c r="J528" s="4"/>
      <c r="K528" s="4"/>
      <c r="L528" s="4"/>
      <c r="M528" s="4"/>
      <c r="N528" s="4"/>
      <c r="O528" s="4"/>
      <c r="P528" s="4"/>
      <c r="Q528" s="4"/>
      <c r="R528" s="4"/>
      <c r="S528" s="4"/>
      <c r="T528" s="4"/>
      <c r="U528" s="4"/>
      <c r="V528" s="4"/>
      <c r="W528" s="4"/>
      <c r="X528" s="4"/>
      <c r="Y528" s="4"/>
      <c r="Z528" s="4"/>
      <c r="AA528" s="4"/>
      <c r="AB528" s="4"/>
      <c r="AC528" s="4"/>
      <c r="AD528" s="4"/>
      <c r="AE528" s="4"/>
    </row>
    <row r="529" ht="13.5" customHeight="1" spans="1:31" x14ac:dyDescent="0.25">
      <c r="A529" s="1"/>
      <c r="B529" s="4"/>
      <c r="C529" s="4"/>
      <c r="D529" s="4"/>
      <c r="E529" s="4"/>
      <c r="F529" s="4"/>
      <c r="G529" s="4"/>
      <c r="H529" s="4"/>
      <c r="I529" s="4"/>
      <c r="J529" s="4"/>
      <c r="K529" s="4"/>
      <c r="L529" s="4"/>
      <c r="M529" s="4"/>
      <c r="N529" s="4"/>
      <c r="O529" s="4"/>
      <c r="P529" s="4"/>
      <c r="Q529" s="4"/>
      <c r="R529" s="4"/>
      <c r="S529" s="4"/>
      <c r="T529" s="4"/>
      <c r="U529" s="4"/>
      <c r="V529" s="4"/>
      <c r="W529" s="4"/>
      <c r="X529" s="4"/>
      <c r="Y529" s="4"/>
      <c r="Z529" s="4"/>
      <c r="AA529" s="4"/>
      <c r="AB529" s="4"/>
      <c r="AC529" s="4"/>
      <c r="AD529" s="4"/>
      <c r="AE529" s="4"/>
    </row>
    <row r="530" ht="13.5" customHeight="1" spans="1:31" x14ac:dyDescent="0.25">
      <c r="A530" s="1"/>
      <c r="B530" s="4"/>
      <c r="C530" s="4"/>
      <c r="D530" s="4"/>
      <c r="E530" s="4"/>
      <c r="F530" s="4"/>
      <c r="G530" s="4"/>
      <c r="H530" s="4"/>
      <c r="I530" s="4"/>
      <c r="J530" s="4"/>
      <c r="K530" s="4"/>
      <c r="L530" s="4"/>
      <c r="M530" s="4"/>
      <c r="N530" s="4"/>
      <c r="O530" s="4"/>
      <c r="P530" s="4"/>
      <c r="Q530" s="4"/>
      <c r="R530" s="4"/>
      <c r="S530" s="4"/>
      <c r="T530" s="4"/>
      <c r="U530" s="4"/>
      <c r="V530" s="4"/>
      <c r="W530" s="4"/>
      <c r="X530" s="4"/>
      <c r="Y530" s="4"/>
      <c r="Z530" s="4"/>
      <c r="AA530" s="4"/>
      <c r="AB530" s="4"/>
      <c r="AC530" s="4"/>
      <c r="AD530" s="4"/>
      <c r="AE530" s="4"/>
    </row>
    <row r="531" ht="13.5" customHeight="1" spans="1:31" x14ac:dyDescent="0.25">
      <c r="A531" s="1"/>
      <c r="B531" s="4"/>
      <c r="C531" s="4"/>
      <c r="D531" s="4"/>
      <c r="E531" s="4"/>
      <c r="F531" s="4"/>
      <c r="G531" s="4"/>
      <c r="H531" s="4"/>
      <c r="I531" s="4"/>
      <c r="J531" s="4"/>
      <c r="K531" s="4"/>
      <c r="L531" s="4"/>
      <c r="M531" s="4"/>
      <c r="N531" s="4"/>
      <c r="O531" s="4"/>
      <c r="P531" s="4"/>
      <c r="Q531" s="4"/>
      <c r="R531" s="4"/>
      <c r="S531" s="4"/>
      <c r="T531" s="4"/>
      <c r="U531" s="4"/>
      <c r="V531" s="4"/>
      <c r="W531" s="4"/>
      <c r="X531" s="4"/>
      <c r="Y531" s="4"/>
      <c r="Z531" s="4"/>
      <c r="AA531" s="4"/>
      <c r="AB531" s="4"/>
      <c r="AC531" s="4"/>
      <c r="AD531" s="4"/>
      <c r="AE531" s="4"/>
    </row>
    <row r="532" ht="13.5" customHeight="1" spans="1:31" x14ac:dyDescent="0.25">
      <c r="A532" s="1"/>
      <c r="B532" s="4"/>
      <c r="C532" s="4"/>
      <c r="D532" s="4"/>
      <c r="E532" s="4"/>
      <c r="F532" s="4"/>
      <c r="G532" s="4"/>
      <c r="H532" s="4"/>
      <c r="I532" s="4"/>
      <c r="J532" s="4"/>
      <c r="K532" s="4"/>
      <c r="L532" s="4"/>
      <c r="M532" s="4"/>
      <c r="N532" s="4"/>
      <c r="O532" s="4"/>
      <c r="P532" s="4"/>
      <c r="Q532" s="4"/>
      <c r="R532" s="4"/>
      <c r="S532" s="4"/>
      <c r="T532" s="4"/>
      <c r="U532" s="4"/>
      <c r="V532" s="4"/>
      <c r="W532" s="4"/>
      <c r="X532" s="4"/>
      <c r="Y532" s="4"/>
      <c r="Z532" s="4"/>
      <c r="AA532" s="4"/>
      <c r="AB532" s="4"/>
      <c r="AC532" s="4"/>
      <c r="AD532" s="4"/>
      <c r="AE532" s="4"/>
    </row>
    <row r="533" ht="13.5" customHeight="1" spans="1:31" x14ac:dyDescent="0.25">
      <c r="A533" s="1"/>
      <c r="B533" s="4"/>
      <c r="C533" s="4"/>
      <c r="D533" s="4"/>
      <c r="E533" s="4"/>
      <c r="F533" s="4"/>
      <c r="G533" s="4"/>
      <c r="H533" s="4"/>
      <c r="I533" s="4"/>
      <c r="J533" s="4"/>
      <c r="K533" s="4"/>
      <c r="L533" s="4"/>
      <c r="M533" s="4"/>
      <c r="N533" s="4"/>
      <c r="O533" s="4"/>
      <c r="P533" s="4"/>
      <c r="Q533" s="4"/>
      <c r="R533" s="4"/>
      <c r="S533" s="4"/>
      <c r="T533" s="4"/>
      <c r="U533" s="4"/>
      <c r="V533" s="4"/>
      <c r="W533" s="4"/>
      <c r="X533" s="4"/>
      <c r="Y533" s="4"/>
      <c r="Z533" s="4"/>
      <c r="AA533" s="4"/>
      <c r="AB533" s="4"/>
      <c r="AC533" s="4"/>
      <c r="AD533" s="4"/>
      <c r="AE533" s="4"/>
    </row>
    <row r="534" ht="13.5" customHeight="1" spans="1:31" x14ac:dyDescent="0.25">
      <c r="A534" s="1"/>
      <c r="B534" s="4"/>
      <c r="C534" s="4"/>
      <c r="D534" s="4"/>
      <c r="E534" s="4"/>
      <c r="F534" s="4"/>
      <c r="G534" s="4"/>
      <c r="H534" s="4"/>
      <c r="I534" s="4"/>
      <c r="J534" s="4"/>
      <c r="K534" s="4"/>
      <c r="L534" s="4"/>
      <c r="M534" s="4"/>
      <c r="N534" s="4"/>
      <c r="O534" s="4"/>
      <c r="P534" s="4"/>
      <c r="Q534" s="4"/>
      <c r="R534" s="4"/>
      <c r="S534" s="4"/>
      <c r="T534" s="4"/>
      <c r="U534" s="4"/>
      <c r="V534" s="4"/>
      <c r="W534" s="4"/>
      <c r="X534" s="4"/>
      <c r="Y534" s="4"/>
      <c r="Z534" s="4"/>
      <c r="AA534" s="4"/>
      <c r="AB534" s="4"/>
      <c r="AC534" s="4"/>
      <c r="AD534" s="4"/>
      <c r="AE534" s="4"/>
    </row>
    <row r="535" ht="13.5" customHeight="1" spans="1:31" x14ac:dyDescent="0.25">
      <c r="A535" s="1"/>
      <c r="B535" s="4"/>
      <c r="C535" s="4"/>
      <c r="D535" s="4"/>
      <c r="E535" s="4"/>
      <c r="F535" s="4"/>
      <c r="G535" s="4"/>
      <c r="H535" s="4"/>
      <c r="I535" s="4"/>
      <c r="J535" s="4"/>
      <c r="K535" s="4"/>
      <c r="L535" s="4"/>
      <c r="M535" s="4"/>
      <c r="N535" s="4"/>
      <c r="O535" s="4"/>
      <c r="P535" s="4"/>
      <c r="Q535" s="4"/>
      <c r="R535" s="4"/>
      <c r="S535" s="4"/>
      <c r="T535" s="4"/>
      <c r="U535" s="4"/>
      <c r="V535" s="4"/>
      <c r="W535" s="4"/>
      <c r="X535" s="4"/>
      <c r="Y535" s="4"/>
      <c r="Z535" s="4"/>
      <c r="AA535" s="4"/>
      <c r="AB535" s="4"/>
      <c r="AC535" s="4"/>
      <c r="AD535" s="4"/>
      <c r="AE535" s="4"/>
    </row>
    <row r="536" ht="13.5" customHeight="1" spans="1:31" x14ac:dyDescent="0.25">
      <c r="A536" s="1"/>
      <c r="B536" s="4"/>
      <c r="C536" s="4"/>
      <c r="D536" s="4"/>
      <c r="E536" s="4"/>
      <c r="F536" s="4"/>
      <c r="G536" s="4"/>
      <c r="H536" s="4"/>
      <c r="I536" s="4"/>
      <c r="J536" s="4"/>
      <c r="K536" s="4"/>
      <c r="L536" s="4"/>
      <c r="M536" s="4"/>
      <c r="N536" s="4"/>
      <c r="O536" s="4"/>
      <c r="P536" s="4"/>
      <c r="Q536" s="4"/>
      <c r="R536" s="4"/>
      <c r="S536" s="4"/>
      <c r="T536" s="4"/>
      <c r="U536" s="4"/>
      <c r="V536" s="4"/>
      <c r="W536" s="4"/>
      <c r="X536" s="4"/>
      <c r="Y536" s="4"/>
      <c r="Z536" s="4"/>
      <c r="AA536" s="4"/>
      <c r="AB536" s="4"/>
      <c r="AC536" s="4"/>
      <c r="AD536" s="4"/>
      <c r="AE536" s="4"/>
    </row>
    <row r="537" ht="13.5" customHeight="1" spans="1:31" x14ac:dyDescent="0.25">
      <c r="A537" s="1"/>
      <c r="B537" s="4"/>
      <c r="C537" s="4"/>
      <c r="D537" s="4"/>
      <c r="E537" s="4"/>
      <c r="F537" s="4"/>
      <c r="G537" s="4"/>
      <c r="H537" s="4"/>
      <c r="I537" s="4"/>
      <c r="J537" s="4"/>
      <c r="K537" s="4"/>
      <c r="L537" s="4"/>
      <c r="M537" s="4"/>
      <c r="N537" s="4"/>
      <c r="O537" s="4"/>
      <c r="P537" s="4"/>
      <c r="Q537" s="4"/>
      <c r="R537" s="4"/>
      <c r="S537" s="4"/>
      <c r="T537" s="4"/>
      <c r="U537" s="4"/>
      <c r="V537" s="4"/>
      <c r="W537" s="4"/>
      <c r="X537" s="4"/>
      <c r="Y537" s="4"/>
      <c r="Z537" s="4"/>
      <c r="AA537" s="4"/>
      <c r="AB537" s="4"/>
      <c r="AC537" s="4"/>
      <c r="AD537" s="4"/>
      <c r="AE537" s="4"/>
    </row>
    <row r="538" ht="13.5" customHeight="1" spans="1:31" x14ac:dyDescent="0.25">
      <c r="A538" s="1"/>
      <c r="B538" s="4"/>
      <c r="C538" s="4"/>
      <c r="D538" s="4"/>
      <c r="E538" s="4"/>
      <c r="F538" s="4"/>
      <c r="G538" s="4"/>
      <c r="H538" s="4"/>
      <c r="I538" s="4"/>
      <c r="J538" s="4"/>
      <c r="K538" s="4"/>
      <c r="L538" s="4"/>
      <c r="M538" s="4"/>
      <c r="N538" s="4"/>
      <c r="O538" s="4"/>
      <c r="P538" s="4"/>
      <c r="Q538" s="4"/>
      <c r="R538" s="4"/>
      <c r="S538" s="4"/>
      <c r="T538" s="4"/>
      <c r="U538" s="4"/>
      <c r="V538" s="4"/>
      <c r="W538" s="4"/>
      <c r="X538" s="4"/>
      <c r="Y538" s="4"/>
      <c r="Z538" s="4"/>
      <c r="AA538" s="4"/>
      <c r="AB538" s="4"/>
      <c r="AC538" s="4"/>
      <c r="AD538" s="4"/>
      <c r="AE538" s="4"/>
    </row>
    <row r="539" ht="13.5" customHeight="1" spans="1:31" x14ac:dyDescent="0.25">
      <c r="A539" s="1"/>
      <c r="B539" s="4"/>
      <c r="C539" s="4"/>
      <c r="D539" s="4"/>
      <c r="E539" s="4"/>
      <c r="F539" s="4"/>
      <c r="G539" s="4"/>
      <c r="H539" s="4"/>
      <c r="I539" s="4"/>
      <c r="J539" s="4"/>
      <c r="K539" s="4"/>
      <c r="L539" s="4"/>
      <c r="M539" s="4"/>
      <c r="N539" s="4"/>
      <c r="O539" s="4"/>
      <c r="P539" s="4"/>
      <c r="Q539" s="4"/>
      <c r="R539" s="4"/>
      <c r="S539" s="4"/>
      <c r="T539" s="4"/>
      <c r="U539" s="4"/>
      <c r="V539" s="4"/>
      <c r="W539" s="4"/>
      <c r="X539" s="4"/>
      <c r="Y539" s="4"/>
      <c r="Z539" s="4"/>
      <c r="AA539" s="4"/>
      <c r="AB539" s="4"/>
      <c r="AC539" s="4"/>
      <c r="AD539" s="4"/>
      <c r="AE539" s="4"/>
    </row>
    <row r="540" ht="13.5" customHeight="1" spans="1:31" x14ac:dyDescent="0.25">
      <c r="A540" s="1"/>
      <c r="B540" s="4"/>
      <c r="C540" s="4"/>
      <c r="D540" s="4"/>
      <c r="E540" s="4"/>
      <c r="F540" s="4"/>
      <c r="G540" s="4"/>
      <c r="H540" s="4"/>
      <c r="I540" s="4"/>
      <c r="J540" s="4"/>
      <c r="K540" s="4"/>
      <c r="L540" s="4"/>
      <c r="M540" s="4"/>
      <c r="N540" s="4"/>
      <c r="O540" s="4"/>
      <c r="P540" s="4"/>
      <c r="Q540" s="4"/>
      <c r="R540" s="4"/>
      <c r="S540" s="4"/>
      <c r="T540" s="4"/>
      <c r="U540" s="4"/>
      <c r="V540" s="4"/>
      <c r="W540" s="4"/>
      <c r="X540" s="4"/>
      <c r="Y540" s="4"/>
      <c r="Z540" s="4"/>
      <c r="AA540" s="4"/>
      <c r="AB540" s="4"/>
      <c r="AC540" s="4"/>
      <c r="AD540" s="4"/>
      <c r="AE540" s="4"/>
    </row>
    <row r="541" ht="13.5" customHeight="1" spans="1:31" x14ac:dyDescent="0.25">
      <c r="A541" s="1"/>
      <c r="B541" s="4"/>
      <c r="C541" s="4"/>
      <c r="D541" s="4"/>
      <c r="E541" s="4"/>
      <c r="F541" s="4"/>
      <c r="G541" s="4"/>
      <c r="H541" s="4"/>
      <c r="I541" s="4"/>
      <c r="J541" s="4"/>
      <c r="K541" s="4"/>
      <c r="L541" s="4"/>
      <c r="M541" s="4"/>
      <c r="N541" s="4"/>
      <c r="O541" s="4"/>
      <c r="P541" s="4"/>
      <c r="Q541" s="4"/>
      <c r="R541" s="4"/>
      <c r="S541" s="4"/>
      <c r="T541" s="4"/>
      <c r="U541" s="4"/>
      <c r="V541" s="4"/>
      <c r="W541" s="4"/>
      <c r="X541" s="4"/>
      <c r="Y541" s="4"/>
      <c r="Z541" s="4"/>
      <c r="AA541" s="4"/>
      <c r="AB541" s="4"/>
      <c r="AC541" s="4"/>
      <c r="AD541" s="4"/>
      <c r="AE541" s="4"/>
    </row>
    <row r="542" ht="13.5" customHeight="1" spans="1:31" x14ac:dyDescent="0.25">
      <c r="A542" s="1"/>
      <c r="B542" s="4"/>
      <c r="C542" s="4"/>
      <c r="D542" s="4"/>
      <c r="E542" s="4"/>
      <c r="F542" s="4"/>
      <c r="G542" s="4"/>
      <c r="H542" s="4"/>
      <c r="I542" s="4"/>
      <c r="J542" s="4"/>
      <c r="K542" s="4"/>
      <c r="L542" s="4"/>
      <c r="M542" s="4"/>
      <c r="N542" s="4"/>
      <c r="O542" s="4"/>
      <c r="P542" s="4"/>
      <c r="Q542" s="4"/>
      <c r="R542" s="4"/>
      <c r="S542" s="4"/>
      <c r="T542" s="4"/>
      <c r="U542" s="4"/>
      <c r="V542" s="4"/>
      <c r="W542" s="4"/>
      <c r="X542" s="4"/>
      <c r="Y542" s="4"/>
      <c r="Z542" s="4"/>
      <c r="AA542" s="4"/>
      <c r="AB542" s="4"/>
      <c r="AC542" s="4"/>
      <c r="AD542" s="4"/>
      <c r="AE542" s="4"/>
    </row>
    <row r="543" ht="13.5" customHeight="1" spans="1:31" x14ac:dyDescent="0.25">
      <c r="A543" s="1"/>
      <c r="B543" s="4"/>
      <c r="C543" s="4"/>
      <c r="D543" s="4"/>
      <c r="E543" s="4"/>
      <c r="F543" s="4"/>
      <c r="G543" s="4"/>
      <c r="H543" s="4"/>
      <c r="I543" s="4"/>
      <c r="J543" s="4"/>
      <c r="K543" s="4"/>
      <c r="L543" s="4"/>
      <c r="M543" s="4"/>
      <c r="N543" s="4"/>
      <c r="O543" s="4"/>
      <c r="P543" s="4"/>
      <c r="Q543" s="4"/>
      <c r="R543" s="4"/>
      <c r="S543" s="4"/>
      <c r="T543" s="4"/>
      <c r="U543" s="4"/>
      <c r="V543" s="4"/>
      <c r="W543" s="4"/>
      <c r="X543" s="4"/>
      <c r="Y543" s="4"/>
      <c r="Z543" s="4"/>
      <c r="AA543" s="4"/>
      <c r="AB543" s="4"/>
      <c r="AC543" s="4"/>
      <c r="AD543" s="4"/>
      <c r="AE543" s="4"/>
    </row>
    <row r="544" ht="13.5" customHeight="1" spans="1:31" x14ac:dyDescent="0.25">
      <c r="A544" s="1"/>
      <c r="B544" s="4"/>
      <c r="C544" s="4"/>
      <c r="D544" s="4"/>
      <c r="E544" s="4"/>
      <c r="F544" s="4"/>
      <c r="G544" s="4"/>
      <c r="H544" s="4"/>
      <c r="I544" s="4"/>
      <c r="J544" s="4"/>
      <c r="K544" s="4"/>
      <c r="L544" s="4"/>
      <c r="M544" s="4"/>
      <c r="N544" s="4"/>
      <c r="O544" s="4"/>
      <c r="P544" s="4"/>
      <c r="Q544" s="4"/>
      <c r="R544" s="4"/>
      <c r="S544" s="4"/>
      <c r="T544" s="4"/>
      <c r="U544" s="4"/>
      <c r="V544" s="4"/>
      <c r="W544" s="4"/>
      <c r="X544" s="4"/>
      <c r="Y544" s="4"/>
      <c r="Z544" s="4"/>
      <c r="AA544" s="4"/>
      <c r="AB544" s="4"/>
      <c r="AC544" s="4"/>
      <c r="AD544" s="4"/>
      <c r="AE544" s="4"/>
    </row>
    <row r="545" ht="13.5" customHeight="1" spans="1:31" x14ac:dyDescent="0.25">
      <c r="A545" s="1"/>
      <c r="B545" s="4"/>
      <c r="C545" s="4"/>
      <c r="D545" s="4"/>
      <c r="E545" s="4"/>
      <c r="F545" s="4"/>
      <c r="G545" s="4"/>
      <c r="H545" s="4"/>
      <c r="I545" s="4"/>
      <c r="J545" s="4"/>
      <c r="K545" s="4"/>
      <c r="L545" s="4"/>
      <c r="M545" s="4"/>
      <c r="N545" s="4"/>
      <c r="O545" s="4"/>
      <c r="P545" s="4"/>
      <c r="Q545" s="4"/>
      <c r="R545" s="4"/>
      <c r="S545" s="4"/>
      <c r="T545" s="4"/>
      <c r="U545" s="4"/>
      <c r="V545" s="4"/>
      <c r="W545" s="4"/>
      <c r="X545" s="4"/>
      <c r="Y545" s="4"/>
      <c r="Z545" s="4"/>
      <c r="AA545" s="4"/>
      <c r="AB545" s="4"/>
      <c r="AC545" s="4"/>
      <c r="AD545" s="4"/>
      <c r="AE545" s="4"/>
    </row>
    <row r="546" ht="13.5" customHeight="1" spans="1:31" x14ac:dyDescent="0.25">
      <c r="A546" s="1"/>
      <c r="B546" s="4"/>
      <c r="C546" s="4"/>
      <c r="D546" s="4"/>
      <c r="E546" s="4"/>
      <c r="F546" s="4"/>
      <c r="G546" s="4"/>
      <c r="H546" s="4"/>
      <c r="I546" s="4"/>
      <c r="J546" s="4"/>
      <c r="K546" s="4"/>
      <c r="L546" s="4"/>
      <c r="M546" s="4"/>
      <c r="N546" s="4"/>
      <c r="O546" s="4"/>
      <c r="P546" s="4"/>
      <c r="Q546" s="4"/>
      <c r="R546" s="4"/>
      <c r="S546" s="4"/>
      <c r="T546" s="4"/>
      <c r="U546" s="4"/>
      <c r="V546" s="4"/>
      <c r="W546" s="4"/>
      <c r="X546" s="4"/>
      <c r="Y546" s="4"/>
      <c r="Z546" s="4"/>
      <c r="AA546" s="4"/>
      <c r="AB546" s="4"/>
      <c r="AC546" s="4"/>
      <c r="AD546" s="4"/>
      <c r="AE546" s="4"/>
    </row>
    <row r="547" ht="13.5" customHeight="1" spans="1:31" x14ac:dyDescent="0.25">
      <c r="A547" s="1"/>
      <c r="B547" s="4"/>
      <c r="C547" s="4"/>
      <c r="D547" s="4"/>
      <c r="E547" s="4"/>
      <c r="F547" s="4"/>
      <c r="G547" s="4"/>
      <c r="H547" s="4"/>
      <c r="I547" s="4"/>
      <c r="J547" s="4"/>
      <c r="K547" s="4"/>
      <c r="L547" s="4"/>
      <c r="M547" s="4"/>
      <c r="N547" s="4"/>
      <c r="O547" s="4"/>
      <c r="P547" s="4"/>
      <c r="Q547" s="4"/>
      <c r="R547" s="4"/>
      <c r="S547" s="4"/>
      <c r="T547" s="4"/>
      <c r="U547" s="4"/>
      <c r="V547" s="4"/>
      <c r="W547" s="4"/>
      <c r="X547" s="4"/>
      <c r="Y547" s="4"/>
      <c r="Z547" s="4"/>
      <c r="AA547" s="4"/>
      <c r="AB547" s="4"/>
      <c r="AC547" s="4"/>
      <c r="AD547" s="4"/>
      <c r="AE547" s="4"/>
    </row>
    <row r="548" ht="13.5" customHeight="1" spans="1:31" x14ac:dyDescent="0.25">
      <c r="A548" s="1"/>
      <c r="B548" s="4"/>
      <c r="C548" s="4"/>
      <c r="D548" s="4"/>
      <c r="E548" s="4"/>
      <c r="F548" s="4"/>
      <c r="G548" s="4"/>
      <c r="H548" s="4"/>
      <c r="I548" s="4"/>
      <c r="J548" s="4"/>
      <c r="K548" s="4"/>
      <c r="L548" s="4"/>
      <c r="M548" s="4"/>
      <c r="N548" s="4"/>
      <c r="O548" s="4"/>
      <c r="P548" s="4"/>
      <c r="Q548" s="4"/>
      <c r="R548" s="4"/>
      <c r="S548" s="4"/>
      <c r="T548" s="4"/>
      <c r="U548" s="4"/>
      <c r="V548" s="4"/>
      <c r="W548" s="4"/>
      <c r="X548" s="4"/>
      <c r="Y548" s="4"/>
      <c r="Z548" s="4"/>
      <c r="AA548" s="4"/>
      <c r="AB548" s="4"/>
      <c r="AC548" s="4"/>
      <c r="AD548" s="4"/>
      <c r="AE548" s="4"/>
    </row>
    <row r="549" ht="13.5" customHeight="1" spans="1:31" x14ac:dyDescent="0.25">
      <c r="A549" s="1"/>
      <c r="B549" s="4"/>
      <c r="C549" s="4"/>
      <c r="D549" s="4"/>
      <c r="E549" s="4"/>
      <c r="F549" s="4"/>
      <c r="G549" s="4"/>
      <c r="H549" s="4"/>
      <c r="I549" s="4"/>
      <c r="J549" s="4"/>
      <c r="K549" s="4"/>
      <c r="L549" s="4"/>
      <c r="M549" s="4"/>
      <c r="N549" s="4"/>
      <c r="O549" s="4"/>
      <c r="P549" s="4"/>
      <c r="Q549" s="4"/>
      <c r="R549" s="4"/>
      <c r="S549" s="4"/>
      <c r="T549" s="4"/>
      <c r="U549" s="4"/>
      <c r="V549" s="4"/>
      <c r="W549" s="4"/>
      <c r="X549" s="4"/>
      <c r="Y549" s="4"/>
      <c r="Z549" s="4"/>
      <c r="AA549" s="4"/>
      <c r="AB549" s="4"/>
      <c r="AC549" s="4"/>
      <c r="AD549" s="4"/>
      <c r="AE549" s="4"/>
    </row>
    <row r="550" ht="13.5" customHeight="1" spans="1:31" x14ac:dyDescent="0.25">
      <c r="A550" s="1"/>
      <c r="B550" s="4"/>
      <c r="C550" s="4"/>
      <c r="D550" s="4"/>
      <c r="E550" s="4"/>
      <c r="F550" s="4"/>
      <c r="G550" s="4"/>
      <c r="H550" s="4"/>
      <c r="I550" s="4"/>
      <c r="J550" s="4"/>
      <c r="K550" s="4"/>
      <c r="L550" s="4"/>
      <c r="M550" s="4"/>
      <c r="N550" s="4"/>
      <c r="O550" s="4"/>
      <c r="P550" s="4"/>
      <c r="Q550" s="4"/>
      <c r="R550" s="4"/>
      <c r="S550" s="4"/>
      <c r="T550" s="4"/>
      <c r="U550" s="4"/>
      <c r="V550" s="4"/>
      <c r="W550" s="4"/>
      <c r="X550" s="4"/>
      <c r="Y550" s="4"/>
      <c r="Z550" s="4"/>
      <c r="AA550" s="4"/>
      <c r="AB550" s="4"/>
      <c r="AC550" s="4"/>
      <c r="AD550" s="4"/>
      <c r="AE550" s="4"/>
    </row>
    <row r="551" ht="13.5" customHeight="1" spans="1:31" x14ac:dyDescent="0.25">
      <c r="A551" s="1"/>
      <c r="B551" s="4"/>
      <c r="C551" s="4"/>
      <c r="D551" s="4"/>
      <c r="E551" s="4"/>
      <c r="F551" s="4"/>
      <c r="G551" s="4"/>
      <c r="H551" s="4"/>
      <c r="I551" s="4"/>
      <c r="J551" s="4"/>
      <c r="K551" s="4"/>
      <c r="L551" s="4"/>
      <c r="M551" s="4"/>
      <c r="N551" s="4"/>
      <c r="O551" s="4"/>
      <c r="P551" s="4"/>
      <c r="Q551" s="4"/>
      <c r="R551" s="4"/>
      <c r="S551" s="4"/>
      <c r="T551" s="4"/>
      <c r="U551" s="4"/>
      <c r="V551" s="4"/>
      <c r="W551" s="4"/>
      <c r="X551" s="4"/>
      <c r="Y551" s="4"/>
      <c r="Z551" s="4"/>
      <c r="AA551" s="4"/>
      <c r="AB551" s="4"/>
      <c r="AC551" s="4"/>
      <c r="AD551" s="4"/>
      <c r="AE551" s="4"/>
    </row>
    <row r="552" ht="13.5" customHeight="1" spans="1:31" x14ac:dyDescent="0.25">
      <c r="A552" s="1"/>
      <c r="B552" s="4"/>
      <c r="C552" s="4"/>
      <c r="D552" s="4"/>
      <c r="E552" s="4"/>
      <c r="F552" s="4"/>
      <c r="G552" s="4"/>
      <c r="H552" s="4"/>
      <c r="I552" s="4"/>
      <c r="J552" s="4"/>
      <c r="K552" s="4"/>
      <c r="L552" s="4"/>
      <c r="M552" s="4"/>
      <c r="N552" s="4"/>
      <c r="O552" s="4"/>
      <c r="P552" s="4"/>
      <c r="Q552" s="4"/>
      <c r="R552" s="4"/>
      <c r="S552" s="4"/>
      <c r="T552" s="4"/>
      <c r="U552" s="4"/>
      <c r="V552" s="4"/>
      <c r="W552" s="4"/>
      <c r="X552" s="4"/>
      <c r="Y552" s="4"/>
      <c r="Z552" s="4"/>
      <c r="AA552" s="4"/>
      <c r="AB552" s="4"/>
      <c r="AC552" s="4"/>
      <c r="AD552" s="4"/>
      <c r="AE552" s="4"/>
    </row>
    <row r="553" ht="13.5" customHeight="1" spans="1:31" x14ac:dyDescent="0.25">
      <c r="A553" s="1"/>
      <c r="B553" s="4"/>
      <c r="C553" s="4"/>
      <c r="D553" s="4"/>
      <c r="E553" s="4"/>
      <c r="F553" s="4"/>
      <c r="G553" s="4"/>
      <c r="H553" s="4"/>
      <c r="I553" s="4"/>
      <c r="J553" s="4"/>
      <c r="K553" s="4"/>
      <c r="L553" s="4"/>
      <c r="M553" s="4"/>
      <c r="N553" s="4"/>
      <c r="O553" s="4"/>
      <c r="P553" s="4"/>
      <c r="Q553" s="4"/>
      <c r="R553" s="4"/>
      <c r="S553" s="4"/>
      <c r="T553" s="4"/>
      <c r="U553" s="4"/>
      <c r="V553" s="4"/>
      <c r="W553" s="4"/>
      <c r="X553" s="4"/>
      <c r="Y553" s="4"/>
      <c r="Z553" s="4"/>
      <c r="AA553" s="4"/>
      <c r="AB553" s="4"/>
      <c r="AC553" s="4"/>
      <c r="AD553" s="4"/>
      <c r="AE553" s="4"/>
    </row>
    <row r="554" ht="13.5" customHeight="1" spans="1:31" x14ac:dyDescent="0.25">
      <c r="A554" s="1"/>
      <c r="B554" s="4"/>
      <c r="C554" s="4"/>
      <c r="D554" s="4"/>
      <c r="E554" s="4"/>
      <c r="F554" s="4"/>
      <c r="G554" s="4"/>
      <c r="H554" s="4"/>
      <c r="I554" s="4"/>
      <c r="J554" s="4"/>
      <c r="K554" s="4"/>
      <c r="L554" s="4"/>
      <c r="M554" s="4"/>
      <c r="N554" s="4"/>
      <c r="O554" s="4"/>
      <c r="P554" s="4"/>
      <c r="Q554" s="4"/>
      <c r="R554" s="4"/>
      <c r="S554" s="4"/>
      <c r="T554" s="4"/>
      <c r="U554" s="4"/>
      <c r="V554" s="4"/>
      <c r="W554" s="4"/>
      <c r="X554" s="4"/>
      <c r="Y554" s="4"/>
      <c r="Z554" s="4"/>
      <c r="AA554" s="4"/>
      <c r="AB554" s="4"/>
      <c r="AC554" s="4"/>
      <c r="AD554" s="4"/>
      <c r="AE554" s="4"/>
    </row>
    <row r="555" ht="13.5" customHeight="1" spans="1:31" x14ac:dyDescent="0.25">
      <c r="A555" s="1"/>
      <c r="B555" s="4"/>
      <c r="C555" s="4"/>
      <c r="D555" s="4"/>
      <c r="E555" s="4"/>
      <c r="F555" s="4"/>
      <c r="G555" s="4"/>
      <c r="H555" s="4"/>
      <c r="I555" s="4"/>
      <c r="J555" s="4"/>
      <c r="K555" s="4"/>
      <c r="L555" s="4"/>
      <c r="M555" s="4"/>
      <c r="N555" s="4"/>
      <c r="O555" s="4"/>
      <c r="P555" s="4"/>
      <c r="Q555" s="4"/>
      <c r="R555" s="4"/>
      <c r="S555" s="4"/>
      <c r="T555" s="4"/>
      <c r="U555" s="4"/>
      <c r="V555" s="4"/>
      <c r="W555" s="4"/>
      <c r="X555" s="4"/>
      <c r="Y555" s="4"/>
      <c r="Z555" s="4"/>
      <c r="AA555" s="4"/>
      <c r="AB555" s="4"/>
      <c r="AC555" s="4"/>
      <c r="AD555" s="4"/>
      <c r="AE555" s="4"/>
    </row>
    <row r="556" ht="13.5" customHeight="1" spans="1:31" x14ac:dyDescent="0.25">
      <c r="A556" s="1"/>
      <c r="B556" s="4"/>
      <c r="C556" s="4"/>
      <c r="D556" s="4"/>
      <c r="E556" s="4"/>
      <c r="F556" s="4"/>
      <c r="G556" s="4"/>
      <c r="H556" s="4"/>
      <c r="I556" s="4"/>
      <c r="J556" s="4"/>
      <c r="K556" s="4"/>
      <c r="L556" s="4"/>
      <c r="M556" s="4"/>
      <c r="N556" s="4"/>
      <c r="O556" s="4"/>
      <c r="P556" s="4"/>
      <c r="Q556" s="4"/>
      <c r="R556" s="4"/>
      <c r="S556" s="4"/>
      <c r="T556" s="4"/>
      <c r="U556" s="4"/>
      <c r="V556" s="4"/>
      <c r="W556" s="4"/>
      <c r="X556" s="4"/>
      <c r="Y556" s="4"/>
      <c r="Z556" s="4"/>
      <c r="AA556" s="4"/>
      <c r="AB556" s="4"/>
      <c r="AC556" s="4"/>
      <c r="AD556" s="4"/>
      <c r="AE556" s="4"/>
    </row>
    <row r="557" ht="13.5" customHeight="1" spans="1:31" x14ac:dyDescent="0.25">
      <c r="A557" s="1"/>
      <c r="B557" s="4"/>
      <c r="C557" s="4"/>
      <c r="D557" s="4"/>
      <c r="E557" s="4"/>
      <c r="F557" s="4"/>
      <c r="G557" s="4"/>
      <c r="H557" s="4"/>
      <c r="I557" s="4"/>
      <c r="J557" s="4"/>
      <c r="K557" s="4"/>
      <c r="L557" s="4"/>
      <c r="M557" s="4"/>
      <c r="N557" s="4"/>
      <c r="O557" s="4"/>
      <c r="P557" s="4"/>
      <c r="Q557" s="4"/>
      <c r="R557" s="4"/>
      <c r="S557" s="4"/>
      <c r="T557" s="4"/>
      <c r="U557" s="4"/>
      <c r="V557" s="4"/>
      <c r="W557" s="4"/>
      <c r="X557" s="4"/>
      <c r="Y557" s="4"/>
      <c r="Z557" s="4"/>
      <c r="AA557" s="4"/>
      <c r="AB557" s="4"/>
      <c r="AC557" s="4"/>
      <c r="AD557" s="4"/>
      <c r="AE557" s="4"/>
    </row>
    <row r="558" ht="13.5" customHeight="1" spans="1:31" x14ac:dyDescent="0.25">
      <c r="A558" s="1"/>
      <c r="B558" s="4"/>
      <c r="C558" s="4"/>
      <c r="D558" s="4"/>
      <c r="E558" s="4"/>
      <c r="F558" s="4"/>
      <c r="G558" s="4"/>
      <c r="H558" s="4"/>
      <c r="I558" s="4"/>
      <c r="J558" s="4"/>
      <c r="K558" s="4"/>
      <c r="L558" s="4"/>
      <c r="M558" s="4"/>
      <c r="N558" s="4"/>
      <c r="O558" s="4"/>
      <c r="P558" s="4"/>
      <c r="Q558" s="4"/>
      <c r="R558" s="4"/>
      <c r="S558" s="4"/>
      <c r="T558" s="4"/>
      <c r="U558" s="4"/>
      <c r="V558" s="4"/>
      <c r="W558" s="4"/>
      <c r="X558" s="4"/>
      <c r="Y558" s="4"/>
      <c r="Z558" s="4"/>
      <c r="AA558" s="4"/>
      <c r="AB558" s="4"/>
      <c r="AC558" s="4"/>
      <c r="AD558" s="4"/>
      <c r="AE558" s="4"/>
    </row>
    <row r="559" ht="13.5" customHeight="1" spans="1:31" x14ac:dyDescent="0.25">
      <c r="A559" s="1"/>
      <c r="B559" s="4"/>
      <c r="C559" s="4"/>
      <c r="D559" s="4"/>
      <c r="E559" s="4"/>
      <c r="F559" s="4"/>
      <c r="G559" s="4"/>
      <c r="H559" s="4"/>
      <c r="I559" s="4"/>
      <c r="J559" s="4"/>
      <c r="K559" s="4"/>
      <c r="L559" s="4"/>
      <c r="M559" s="4"/>
      <c r="N559" s="4"/>
      <c r="O559" s="4"/>
      <c r="P559" s="4"/>
      <c r="Q559" s="4"/>
      <c r="R559" s="4"/>
      <c r="S559" s="4"/>
      <c r="T559" s="4"/>
      <c r="U559" s="4"/>
      <c r="V559" s="4"/>
      <c r="W559" s="4"/>
      <c r="X559" s="4"/>
      <c r="Y559" s="4"/>
      <c r="Z559" s="4"/>
      <c r="AA559" s="4"/>
      <c r="AB559" s="4"/>
      <c r="AC559" s="4"/>
      <c r="AD559" s="4"/>
      <c r="AE559" s="4"/>
    </row>
    <row r="560" ht="13.5" customHeight="1" spans="1:31" x14ac:dyDescent="0.25">
      <c r="A560" s="1"/>
      <c r="B560" s="4"/>
      <c r="C560" s="4"/>
      <c r="D560" s="4"/>
      <c r="E560" s="4"/>
      <c r="F560" s="4"/>
      <c r="G560" s="4"/>
      <c r="H560" s="4"/>
      <c r="I560" s="4"/>
      <c r="J560" s="4"/>
      <c r="K560" s="4"/>
      <c r="L560" s="4"/>
      <c r="M560" s="4"/>
      <c r="N560" s="4"/>
      <c r="O560" s="4"/>
      <c r="P560" s="4"/>
      <c r="Q560" s="4"/>
      <c r="R560" s="4"/>
      <c r="S560" s="4"/>
      <c r="T560" s="4"/>
      <c r="U560" s="4"/>
      <c r="V560" s="4"/>
      <c r="W560" s="4"/>
      <c r="X560" s="4"/>
      <c r="Y560" s="4"/>
      <c r="Z560" s="4"/>
      <c r="AA560" s="4"/>
      <c r="AB560" s="4"/>
      <c r="AC560" s="4"/>
      <c r="AD560" s="4"/>
      <c r="AE560" s="4"/>
    </row>
    <row r="561" ht="13.5" customHeight="1" spans="1:31" x14ac:dyDescent="0.25">
      <c r="A561" s="1"/>
      <c r="B561" s="4"/>
      <c r="C561" s="4"/>
      <c r="D561" s="4"/>
      <c r="E561" s="4"/>
      <c r="F561" s="4"/>
      <c r="G561" s="4"/>
      <c r="H561" s="4"/>
      <c r="I561" s="4"/>
      <c r="J561" s="4"/>
      <c r="K561" s="4"/>
      <c r="L561" s="4"/>
      <c r="M561" s="4"/>
      <c r="N561" s="4"/>
      <c r="O561" s="4"/>
      <c r="P561" s="4"/>
      <c r="Q561" s="4"/>
      <c r="R561" s="4"/>
      <c r="S561" s="4"/>
      <c r="T561" s="4"/>
      <c r="U561" s="4"/>
      <c r="V561" s="4"/>
      <c r="W561" s="4"/>
      <c r="X561" s="4"/>
      <c r="Y561" s="4"/>
      <c r="Z561" s="4"/>
      <c r="AA561" s="4"/>
      <c r="AB561" s="4"/>
      <c r="AC561" s="4"/>
      <c r="AD561" s="4"/>
      <c r="AE561" s="4"/>
    </row>
    <row r="562" ht="13.5" customHeight="1" spans="1:31" x14ac:dyDescent="0.25">
      <c r="A562" s="1"/>
      <c r="B562" s="4"/>
      <c r="C562" s="4"/>
      <c r="D562" s="4"/>
      <c r="E562" s="4"/>
      <c r="F562" s="4"/>
      <c r="G562" s="4"/>
      <c r="H562" s="4"/>
      <c r="I562" s="4"/>
      <c r="J562" s="4"/>
      <c r="K562" s="4"/>
      <c r="L562" s="4"/>
      <c r="M562" s="4"/>
      <c r="N562" s="4"/>
      <c r="O562" s="4"/>
      <c r="P562" s="4"/>
      <c r="Q562" s="4"/>
      <c r="R562" s="4"/>
      <c r="S562" s="4"/>
      <c r="T562" s="4"/>
      <c r="U562" s="4"/>
      <c r="V562" s="4"/>
      <c r="W562" s="4"/>
      <c r="X562" s="4"/>
      <c r="Y562" s="4"/>
      <c r="Z562" s="4"/>
      <c r="AA562" s="4"/>
      <c r="AB562" s="4"/>
      <c r="AC562" s="4"/>
      <c r="AD562" s="4"/>
      <c r="AE562" s="4"/>
    </row>
    <row r="563" ht="13.5" customHeight="1" spans="1:31" x14ac:dyDescent="0.25">
      <c r="A563" s="1"/>
      <c r="B563" s="4"/>
      <c r="C563" s="4"/>
      <c r="D563" s="4"/>
      <c r="E563" s="4"/>
      <c r="F563" s="4"/>
      <c r="G563" s="4"/>
      <c r="H563" s="4"/>
      <c r="I563" s="4"/>
      <c r="J563" s="4"/>
      <c r="K563" s="4"/>
      <c r="L563" s="4"/>
      <c r="M563" s="4"/>
      <c r="N563" s="4"/>
      <c r="O563" s="4"/>
      <c r="P563" s="4"/>
      <c r="Q563" s="4"/>
      <c r="R563" s="4"/>
      <c r="S563" s="4"/>
      <c r="T563" s="4"/>
      <c r="U563" s="4"/>
      <c r="V563" s="4"/>
      <c r="W563" s="4"/>
      <c r="X563" s="4"/>
      <c r="Y563" s="4"/>
      <c r="Z563" s="4"/>
      <c r="AA563" s="4"/>
      <c r="AB563" s="4"/>
      <c r="AC563" s="4"/>
      <c r="AD563" s="4"/>
      <c r="AE563" s="4"/>
    </row>
    <row r="564" ht="13.5" customHeight="1" spans="1:31" x14ac:dyDescent="0.25">
      <c r="A564" s="1"/>
      <c r="B564" s="4"/>
      <c r="C564" s="4"/>
      <c r="D564" s="4"/>
      <c r="E564" s="4"/>
      <c r="F564" s="4"/>
      <c r="G564" s="4"/>
      <c r="H564" s="4"/>
      <c r="I564" s="4"/>
      <c r="J564" s="4"/>
      <c r="K564" s="4"/>
      <c r="L564" s="4"/>
      <c r="M564" s="4"/>
      <c r="N564" s="4"/>
      <c r="O564" s="4"/>
      <c r="P564" s="4"/>
      <c r="Q564" s="4"/>
      <c r="R564" s="4"/>
      <c r="S564" s="4"/>
      <c r="T564" s="4"/>
      <c r="U564" s="4"/>
      <c r="V564" s="4"/>
      <c r="W564" s="4"/>
      <c r="X564" s="4"/>
      <c r="Y564" s="4"/>
      <c r="Z564" s="4"/>
      <c r="AA564" s="4"/>
      <c r="AB564" s="4"/>
      <c r="AC564" s="4"/>
      <c r="AD564" s="4"/>
      <c r="AE564" s="4"/>
    </row>
    <row r="565" ht="13.5" customHeight="1" spans="1:31" x14ac:dyDescent="0.25">
      <c r="A565" s="1"/>
      <c r="B565" s="4"/>
      <c r="C565" s="4"/>
      <c r="D565" s="4"/>
      <c r="E565" s="4"/>
      <c r="F565" s="4"/>
      <c r="G565" s="4"/>
      <c r="H565" s="4"/>
      <c r="I565" s="4"/>
      <c r="J565" s="4"/>
      <c r="K565" s="4"/>
      <c r="L565" s="4"/>
      <c r="M565" s="4"/>
      <c r="N565" s="4"/>
      <c r="O565" s="4"/>
      <c r="P565" s="4"/>
      <c r="Q565" s="4"/>
      <c r="R565" s="4"/>
      <c r="S565" s="4"/>
      <c r="T565" s="4"/>
      <c r="U565" s="4"/>
      <c r="V565" s="4"/>
      <c r="W565" s="4"/>
      <c r="X565" s="4"/>
      <c r="Y565" s="4"/>
      <c r="Z565" s="4"/>
      <c r="AA565" s="4"/>
      <c r="AB565" s="4"/>
      <c r="AC565" s="4"/>
      <c r="AD565" s="4"/>
      <c r="AE565" s="4"/>
    </row>
    <row r="566" ht="13.5" customHeight="1" spans="1:31" x14ac:dyDescent="0.25">
      <c r="A566" s="1"/>
      <c r="B566" s="4"/>
      <c r="C566" s="4"/>
      <c r="D566" s="4"/>
      <c r="E566" s="4"/>
      <c r="F566" s="4"/>
      <c r="G566" s="4"/>
      <c r="H566" s="4"/>
      <c r="I566" s="4"/>
      <c r="J566" s="4"/>
      <c r="K566" s="4"/>
      <c r="L566" s="4"/>
      <c r="M566" s="4"/>
      <c r="N566" s="4"/>
      <c r="O566" s="4"/>
      <c r="P566" s="4"/>
      <c r="Q566" s="4"/>
      <c r="R566" s="4"/>
      <c r="S566" s="4"/>
      <c r="T566" s="4"/>
      <c r="U566" s="4"/>
      <c r="V566" s="4"/>
      <c r="W566" s="4"/>
      <c r="X566" s="4"/>
      <c r="Y566" s="4"/>
      <c r="Z566" s="4"/>
      <c r="AA566" s="4"/>
      <c r="AB566" s="4"/>
      <c r="AC566" s="4"/>
      <c r="AD566" s="4"/>
      <c r="AE566" s="4"/>
    </row>
    <row r="567" ht="13.5" customHeight="1" spans="1:31" x14ac:dyDescent="0.25">
      <c r="A567" s="1"/>
      <c r="B567" s="4"/>
      <c r="C567" s="4"/>
      <c r="D567" s="4"/>
      <c r="E567" s="4"/>
      <c r="F567" s="4"/>
      <c r="G567" s="4"/>
      <c r="H567" s="4"/>
      <c r="I567" s="4"/>
      <c r="J567" s="4"/>
      <c r="K567" s="4"/>
      <c r="L567" s="4"/>
      <c r="M567" s="4"/>
      <c r="N567" s="4"/>
      <c r="O567" s="4"/>
      <c r="P567" s="4"/>
      <c r="Q567" s="4"/>
      <c r="R567" s="4"/>
      <c r="S567" s="4"/>
      <c r="T567" s="4"/>
      <c r="U567" s="4"/>
      <c r="V567" s="4"/>
      <c r="W567" s="4"/>
      <c r="X567" s="4"/>
      <c r="Y567" s="4"/>
      <c r="Z567" s="4"/>
      <c r="AA567" s="4"/>
      <c r="AB567" s="4"/>
      <c r="AC567" s="4"/>
      <c r="AD567" s="4"/>
      <c r="AE567" s="4"/>
    </row>
    <row r="568" ht="13.5" customHeight="1" spans="1:31" x14ac:dyDescent="0.25">
      <c r="A568" s="1"/>
      <c r="B568" s="4"/>
      <c r="C568" s="4"/>
      <c r="D568" s="4"/>
      <c r="E568" s="4"/>
      <c r="F568" s="4"/>
      <c r="G568" s="4"/>
      <c r="H568" s="4"/>
      <c r="I568" s="4"/>
      <c r="J568" s="4"/>
      <c r="K568" s="4"/>
      <c r="L568" s="4"/>
      <c r="M568" s="4"/>
      <c r="N568" s="4"/>
      <c r="O568" s="4"/>
      <c r="P568" s="4"/>
      <c r="Q568" s="4"/>
      <c r="R568" s="4"/>
      <c r="S568" s="4"/>
      <c r="T568" s="4"/>
      <c r="U568" s="4"/>
      <c r="V568" s="4"/>
      <c r="W568" s="4"/>
      <c r="X568" s="4"/>
      <c r="Y568" s="4"/>
      <c r="Z568" s="4"/>
      <c r="AA568" s="4"/>
      <c r="AB568" s="4"/>
      <c r="AC568" s="4"/>
      <c r="AD568" s="4"/>
      <c r="AE568" s="4"/>
    </row>
    <row r="569" ht="13.5" customHeight="1" spans="1:31" x14ac:dyDescent="0.25">
      <c r="A569" s="1"/>
      <c r="B569" s="4"/>
      <c r="C569" s="4"/>
      <c r="D569" s="4"/>
      <c r="E569" s="4"/>
      <c r="F569" s="4"/>
      <c r="G569" s="4"/>
      <c r="H569" s="4"/>
      <c r="I569" s="4"/>
      <c r="J569" s="4"/>
      <c r="K569" s="4"/>
      <c r="L569" s="4"/>
      <c r="M569" s="4"/>
      <c r="N569" s="4"/>
      <c r="O569" s="4"/>
      <c r="P569" s="4"/>
      <c r="Q569" s="4"/>
      <c r="R569" s="4"/>
      <c r="S569" s="4"/>
      <c r="T569" s="4"/>
      <c r="U569" s="4"/>
      <c r="V569" s="4"/>
      <c r="W569" s="4"/>
      <c r="X569" s="4"/>
      <c r="Y569" s="4"/>
      <c r="Z569" s="4"/>
      <c r="AA569" s="4"/>
      <c r="AB569" s="4"/>
      <c r="AC569" s="4"/>
      <c r="AD569" s="4"/>
      <c r="AE569" s="4"/>
    </row>
    <row r="570" ht="13.5" customHeight="1" spans="1:31" x14ac:dyDescent="0.25">
      <c r="A570" s="1"/>
      <c r="B570" s="4"/>
      <c r="C570" s="4"/>
      <c r="D570" s="4"/>
      <c r="E570" s="4"/>
      <c r="F570" s="4"/>
      <c r="G570" s="4"/>
      <c r="H570" s="4"/>
      <c r="I570" s="4"/>
      <c r="J570" s="4"/>
      <c r="K570" s="4"/>
      <c r="L570" s="4"/>
      <c r="M570" s="4"/>
      <c r="N570" s="4"/>
      <c r="O570" s="4"/>
      <c r="P570" s="4"/>
      <c r="Q570" s="4"/>
      <c r="R570" s="4"/>
      <c r="S570" s="4"/>
      <c r="T570" s="4"/>
      <c r="U570" s="4"/>
      <c r="V570" s="4"/>
      <c r="W570" s="4"/>
      <c r="X570" s="4"/>
      <c r="Y570" s="4"/>
      <c r="Z570" s="4"/>
      <c r="AA570" s="4"/>
      <c r="AB570" s="4"/>
      <c r="AC570" s="4"/>
      <c r="AD570" s="4"/>
      <c r="AE570" s="4"/>
    </row>
    <row r="571" ht="13.5" customHeight="1" spans="1:31" x14ac:dyDescent="0.25">
      <c r="A571" s="1"/>
      <c r="B571" s="4"/>
      <c r="C571" s="4"/>
      <c r="D571" s="4"/>
      <c r="E571" s="4"/>
      <c r="F571" s="4"/>
      <c r="G571" s="4"/>
      <c r="H571" s="4"/>
      <c r="I571" s="4"/>
      <c r="J571" s="4"/>
      <c r="K571" s="4"/>
      <c r="L571" s="4"/>
      <c r="M571" s="4"/>
      <c r="N571" s="4"/>
      <c r="O571" s="4"/>
      <c r="P571" s="4"/>
      <c r="Q571" s="4"/>
      <c r="R571" s="4"/>
      <c r="S571" s="4"/>
      <c r="T571" s="4"/>
      <c r="U571" s="4"/>
      <c r="V571" s="4"/>
      <c r="W571" s="4"/>
      <c r="X571" s="4"/>
      <c r="Y571" s="4"/>
      <c r="Z571" s="4"/>
      <c r="AA571" s="4"/>
      <c r="AB571" s="4"/>
      <c r="AC571" s="4"/>
      <c r="AD571" s="4"/>
      <c r="AE571" s="4"/>
    </row>
    <row r="572" ht="13.5" customHeight="1" spans="1:31" x14ac:dyDescent="0.25">
      <c r="A572" s="1"/>
      <c r="B572" s="4"/>
      <c r="C572" s="4"/>
      <c r="D572" s="4"/>
      <c r="E572" s="4"/>
      <c r="F572" s="4"/>
      <c r="G572" s="4"/>
      <c r="H572" s="4"/>
      <c r="I572" s="4"/>
      <c r="J572" s="4"/>
      <c r="K572" s="4"/>
      <c r="L572" s="4"/>
      <c r="M572" s="4"/>
      <c r="N572" s="4"/>
      <c r="O572" s="4"/>
      <c r="P572" s="4"/>
      <c r="Q572" s="4"/>
      <c r="R572" s="4"/>
      <c r="S572" s="4"/>
      <c r="T572" s="4"/>
      <c r="U572" s="4"/>
      <c r="V572" s="4"/>
      <c r="W572" s="4"/>
      <c r="X572" s="4"/>
      <c r="Y572" s="4"/>
      <c r="Z572" s="4"/>
      <c r="AA572" s="4"/>
      <c r="AB572" s="4"/>
      <c r="AC572" s="4"/>
      <c r="AD572" s="4"/>
      <c r="AE572" s="4"/>
    </row>
    <row r="573" ht="13.5" customHeight="1" spans="1:31" x14ac:dyDescent="0.25">
      <c r="A573" s="1"/>
      <c r="B573" s="4"/>
      <c r="C573" s="4"/>
      <c r="D573" s="4"/>
      <c r="E573" s="4"/>
      <c r="F573" s="4"/>
      <c r="G573" s="4"/>
      <c r="H573" s="4"/>
      <c r="I573" s="4"/>
      <c r="J573" s="4"/>
      <c r="K573" s="4"/>
      <c r="L573" s="4"/>
      <c r="M573" s="4"/>
      <c r="N573" s="4"/>
      <c r="O573" s="4"/>
      <c r="P573" s="4"/>
      <c r="Q573" s="4"/>
      <c r="R573" s="4"/>
      <c r="S573" s="4"/>
      <c r="T573" s="4"/>
      <c r="U573" s="4"/>
      <c r="V573" s="4"/>
      <c r="W573" s="4"/>
      <c r="X573" s="4"/>
      <c r="Y573" s="4"/>
      <c r="Z573" s="4"/>
      <c r="AA573" s="4"/>
      <c r="AB573" s="4"/>
      <c r="AC573" s="4"/>
      <c r="AD573" s="4"/>
      <c r="AE573" s="4"/>
    </row>
    <row r="574" ht="13.5" customHeight="1" spans="1:31" x14ac:dyDescent="0.25">
      <c r="A574" s="1"/>
      <c r="B574" s="4"/>
      <c r="C574" s="4"/>
      <c r="D574" s="4"/>
      <c r="E574" s="4"/>
      <c r="F574" s="4"/>
      <c r="G574" s="4"/>
      <c r="H574" s="4"/>
      <c r="I574" s="4"/>
      <c r="J574" s="4"/>
      <c r="K574" s="4"/>
      <c r="L574" s="4"/>
      <c r="M574" s="4"/>
      <c r="N574" s="4"/>
      <c r="O574" s="4"/>
      <c r="P574" s="4"/>
      <c r="Q574" s="4"/>
      <c r="R574" s="4"/>
      <c r="S574" s="4"/>
      <c r="T574" s="4"/>
      <c r="U574" s="4"/>
      <c r="V574" s="4"/>
      <c r="W574" s="4"/>
      <c r="X574" s="4"/>
      <c r="Y574" s="4"/>
      <c r="Z574" s="4"/>
      <c r="AA574" s="4"/>
      <c r="AB574" s="4"/>
      <c r="AC574" s="4"/>
      <c r="AD574" s="4"/>
      <c r="AE574" s="4"/>
    </row>
    <row r="575" ht="13.5" customHeight="1" spans="1:31" x14ac:dyDescent="0.25">
      <c r="A575" s="1"/>
      <c r="B575" s="4"/>
      <c r="C575" s="4"/>
      <c r="D575" s="4"/>
      <c r="E575" s="4"/>
      <c r="F575" s="4"/>
      <c r="G575" s="4"/>
      <c r="H575" s="4"/>
      <c r="I575" s="4"/>
      <c r="J575" s="4"/>
      <c r="K575" s="4"/>
      <c r="L575" s="4"/>
      <c r="M575" s="4"/>
      <c r="N575" s="4"/>
      <c r="O575" s="4"/>
      <c r="P575" s="4"/>
      <c r="Q575" s="4"/>
      <c r="R575" s="4"/>
      <c r="S575" s="4"/>
      <c r="T575" s="4"/>
      <c r="U575" s="4"/>
      <c r="V575" s="4"/>
      <c r="W575" s="4"/>
      <c r="X575" s="4"/>
      <c r="Y575" s="4"/>
      <c r="Z575" s="4"/>
      <c r="AA575" s="4"/>
      <c r="AB575" s="4"/>
      <c r="AC575" s="4"/>
      <c r="AD575" s="4"/>
      <c r="AE575" s="4"/>
    </row>
    <row r="576" ht="13.5" customHeight="1" spans="1:31" x14ac:dyDescent="0.25">
      <c r="A576" s="1"/>
      <c r="B576" s="4"/>
      <c r="C576" s="4"/>
      <c r="D576" s="4"/>
      <c r="E576" s="4"/>
      <c r="F576" s="4"/>
      <c r="G576" s="4"/>
      <c r="H576" s="4"/>
      <c r="I576" s="4"/>
      <c r="J576" s="4"/>
      <c r="K576" s="4"/>
      <c r="L576" s="4"/>
      <c r="M576" s="4"/>
      <c r="N576" s="4"/>
      <c r="O576" s="4"/>
      <c r="P576" s="4"/>
      <c r="Q576" s="4"/>
      <c r="R576" s="4"/>
      <c r="S576" s="4"/>
      <c r="T576" s="4"/>
      <c r="U576" s="4"/>
      <c r="V576" s="4"/>
      <c r="W576" s="4"/>
      <c r="X576" s="4"/>
      <c r="Y576" s="4"/>
      <c r="Z576" s="4"/>
      <c r="AA576" s="4"/>
      <c r="AB576" s="4"/>
      <c r="AC576" s="4"/>
      <c r="AD576" s="4"/>
      <c r="AE576" s="4"/>
    </row>
    <row r="577" ht="13.5" customHeight="1" spans="1:31" x14ac:dyDescent="0.25">
      <c r="A577" s="1"/>
      <c r="B577" s="4"/>
      <c r="C577" s="4"/>
      <c r="D577" s="4"/>
      <c r="E577" s="4"/>
      <c r="F577" s="4"/>
      <c r="G577" s="4"/>
      <c r="H577" s="4"/>
      <c r="I577" s="4"/>
      <c r="J577" s="4"/>
      <c r="K577" s="4"/>
      <c r="L577" s="4"/>
      <c r="M577" s="4"/>
      <c r="N577" s="4"/>
      <c r="O577" s="4"/>
      <c r="P577" s="4"/>
      <c r="Q577" s="4"/>
      <c r="R577" s="4"/>
      <c r="S577" s="4"/>
      <c r="T577" s="4"/>
      <c r="U577" s="4"/>
      <c r="V577" s="4"/>
      <c r="W577" s="4"/>
      <c r="X577" s="4"/>
      <c r="Y577" s="4"/>
      <c r="Z577" s="4"/>
      <c r="AA577" s="4"/>
      <c r="AB577" s="4"/>
      <c r="AC577" s="4"/>
      <c r="AD577" s="4"/>
      <c r="AE577" s="4"/>
    </row>
    <row r="578" ht="13.5" customHeight="1" spans="1:31" x14ac:dyDescent="0.25">
      <c r="A578" s="1"/>
      <c r="B578" s="4"/>
      <c r="C578" s="4"/>
      <c r="D578" s="4"/>
      <c r="E578" s="4"/>
      <c r="F578" s="4"/>
      <c r="G578" s="4"/>
      <c r="H578" s="4"/>
      <c r="I578" s="4"/>
      <c r="J578" s="4"/>
      <c r="K578" s="4"/>
      <c r="L578" s="4"/>
      <c r="M578" s="4"/>
      <c r="N578" s="4"/>
      <c r="O578" s="4"/>
      <c r="P578" s="4"/>
      <c r="Q578" s="4"/>
      <c r="R578" s="4"/>
      <c r="S578" s="4"/>
      <c r="T578" s="4"/>
      <c r="U578" s="4"/>
      <c r="V578" s="4"/>
      <c r="W578" s="4"/>
      <c r="X578" s="4"/>
      <c r="Y578" s="4"/>
      <c r="Z578" s="4"/>
      <c r="AA578" s="4"/>
      <c r="AB578" s="4"/>
      <c r="AC578" s="4"/>
      <c r="AD578" s="4"/>
      <c r="AE578" s="4"/>
    </row>
    <row r="579" ht="13.5" customHeight="1" spans="1:31" x14ac:dyDescent="0.25">
      <c r="A579" s="1"/>
      <c r="B579" s="4"/>
      <c r="C579" s="4"/>
      <c r="D579" s="4"/>
      <c r="E579" s="4"/>
      <c r="F579" s="4"/>
      <c r="G579" s="4"/>
      <c r="H579" s="4"/>
      <c r="I579" s="4"/>
      <c r="J579" s="4"/>
      <c r="K579" s="4"/>
      <c r="L579" s="4"/>
      <c r="M579" s="4"/>
      <c r="N579" s="4"/>
      <c r="O579" s="4"/>
      <c r="P579" s="4"/>
      <c r="Q579" s="4"/>
      <c r="R579" s="4"/>
      <c r="S579" s="4"/>
      <c r="T579" s="4"/>
      <c r="U579" s="4"/>
      <c r="V579" s="4"/>
      <c r="W579" s="4"/>
      <c r="X579" s="4"/>
      <c r="Y579" s="4"/>
      <c r="Z579" s="4"/>
      <c r="AA579" s="4"/>
      <c r="AB579" s="4"/>
      <c r="AC579" s="4"/>
      <c r="AD579" s="4"/>
      <c r="AE579" s="4"/>
    </row>
    <row r="580" ht="13.5" customHeight="1" spans="1:31" x14ac:dyDescent="0.25">
      <c r="A580" s="1"/>
      <c r="B580" s="4"/>
      <c r="C580" s="4"/>
      <c r="D580" s="4"/>
      <c r="E580" s="4"/>
      <c r="F580" s="4"/>
      <c r="G580" s="4"/>
      <c r="H580" s="4"/>
      <c r="I580" s="4"/>
      <c r="J580" s="4"/>
      <c r="K580" s="4"/>
      <c r="L580" s="4"/>
      <c r="M580" s="4"/>
      <c r="N580" s="4"/>
      <c r="O580" s="4"/>
      <c r="P580" s="4"/>
      <c r="Q580" s="4"/>
      <c r="R580" s="4"/>
      <c r="S580" s="4"/>
      <c r="T580" s="4"/>
      <c r="U580" s="4"/>
      <c r="V580" s="4"/>
      <c r="W580" s="4"/>
      <c r="X580" s="4"/>
      <c r="Y580" s="4"/>
      <c r="Z580" s="4"/>
      <c r="AA580" s="4"/>
      <c r="AB580" s="4"/>
      <c r="AC580" s="4"/>
      <c r="AD580" s="4"/>
      <c r="AE580" s="4"/>
    </row>
    <row r="581" ht="13.5" customHeight="1" spans="1:31" x14ac:dyDescent="0.25">
      <c r="A581" s="1"/>
      <c r="B581" s="4"/>
      <c r="C581" s="4"/>
      <c r="D581" s="4"/>
      <c r="E581" s="4"/>
      <c r="F581" s="4"/>
      <c r="G581" s="4"/>
      <c r="H581" s="4"/>
      <c r="I581" s="4"/>
      <c r="J581" s="4"/>
      <c r="K581" s="4"/>
      <c r="L581" s="4"/>
      <c r="M581" s="4"/>
      <c r="N581" s="4"/>
      <c r="O581" s="4"/>
      <c r="P581" s="4"/>
      <c r="Q581" s="4"/>
      <c r="R581" s="4"/>
      <c r="S581" s="4"/>
      <c r="T581" s="4"/>
      <c r="U581" s="4"/>
      <c r="V581" s="4"/>
      <c r="W581" s="4"/>
      <c r="X581" s="4"/>
      <c r="Y581" s="4"/>
      <c r="Z581" s="4"/>
      <c r="AA581" s="4"/>
      <c r="AB581" s="4"/>
      <c r="AC581" s="4"/>
      <c r="AD581" s="4"/>
      <c r="AE581" s="4"/>
    </row>
    <row r="582" ht="13.5" customHeight="1" spans="1:31" x14ac:dyDescent="0.25">
      <c r="A582" s="1"/>
      <c r="B582" s="4"/>
      <c r="C582" s="4"/>
      <c r="D582" s="4"/>
      <c r="E582" s="4"/>
      <c r="F582" s="4"/>
      <c r="G582" s="4"/>
      <c r="H582" s="4"/>
      <c r="I582" s="4"/>
      <c r="J582" s="4"/>
      <c r="K582" s="4"/>
      <c r="L582" s="4"/>
      <c r="M582" s="4"/>
      <c r="N582" s="4"/>
      <c r="O582" s="4"/>
      <c r="P582" s="4"/>
      <c r="Q582" s="4"/>
      <c r="R582" s="4"/>
      <c r="S582" s="4"/>
      <c r="T582" s="4"/>
      <c r="U582" s="4"/>
      <c r="V582" s="4"/>
      <c r="W582" s="4"/>
      <c r="X582" s="4"/>
      <c r="Y582" s="4"/>
      <c r="Z582" s="4"/>
      <c r="AA582" s="4"/>
      <c r="AB582" s="4"/>
      <c r="AC582" s="4"/>
      <c r="AD582" s="4"/>
      <c r="AE582" s="4"/>
    </row>
    <row r="583" ht="13.5" customHeight="1" spans="1:31" x14ac:dyDescent="0.25">
      <c r="A583" s="1"/>
      <c r="B583" s="4"/>
      <c r="C583" s="4"/>
      <c r="D583" s="4"/>
      <c r="E583" s="4"/>
      <c r="F583" s="4"/>
      <c r="G583" s="4"/>
      <c r="H583" s="4"/>
      <c r="I583" s="4"/>
      <c r="J583" s="4"/>
      <c r="K583" s="4"/>
      <c r="L583" s="4"/>
      <c r="M583" s="4"/>
      <c r="N583" s="4"/>
      <c r="O583" s="4"/>
      <c r="P583" s="4"/>
      <c r="Q583" s="4"/>
      <c r="R583" s="4"/>
      <c r="S583" s="4"/>
      <c r="T583" s="4"/>
      <c r="U583" s="4"/>
      <c r="V583" s="4"/>
      <c r="W583" s="4"/>
      <c r="X583" s="4"/>
      <c r="Y583" s="4"/>
      <c r="Z583" s="4"/>
      <c r="AA583" s="4"/>
      <c r="AB583" s="4"/>
      <c r="AC583" s="4"/>
      <c r="AD583" s="4"/>
      <c r="AE583" s="4"/>
    </row>
    <row r="584" ht="13.5" customHeight="1" spans="1:31" x14ac:dyDescent="0.25">
      <c r="A584" s="1"/>
      <c r="B584" s="4"/>
      <c r="C584" s="4"/>
      <c r="D584" s="4"/>
      <c r="E584" s="4"/>
      <c r="F584" s="4"/>
      <c r="G584" s="4"/>
      <c r="H584" s="4"/>
      <c r="I584" s="4"/>
      <c r="J584" s="4"/>
      <c r="K584" s="4"/>
      <c r="L584" s="4"/>
      <c r="M584" s="4"/>
      <c r="N584" s="4"/>
      <c r="O584" s="4"/>
      <c r="P584" s="4"/>
      <c r="Q584" s="4"/>
      <c r="R584" s="4"/>
      <c r="S584" s="4"/>
      <c r="T584" s="4"/>
      <c r="U584" s="4"/>
      <c r="V584" s="4"/>
      <c r="W584" s="4"/>
      <c r="X584" s="4"/>
      <c r="Y584" s="4"/>
      <c r="Z584" s="4"/>
      <c r="AA584" s="4"/>
      <c r="AB584" s="4"/>
      <c r="AC584" s="4"/>
      <c r="AD584" s="4"/>
      <c r="AE584" s="4"/>
    </row>
    <row r="585" ht="13.5" customHeight="1" spans="1:31" x14ac:dyDescent="0.25">
      <c r="A585" s="1"/>
      <c r="B585" s="4"/>
      <c r="C585" s="4"/>
      <c r="D585" s="4"/>
      <c r="E585" s="4"/>
      <c r="F585" s="4"/>
      <c r="G585" s="4"/>
      <c r="H585" s="4"/>
      <c r="I585" s="4"/>
      <c r="J585" s="4"/>
      <c r="K585" s="4"/>
      <c r="L585" s="4"/>
      <c r="M585" s="4"/>
      <c r="N585" s="4"/>
      <c r="O585" s="4"/>
      <c r="P585" s="4"/>
      <c r="Q585" s="4"/>
      <c r="R585" s="4"/>
      <c r="S585" s="4"/>
      <c r="T585" s="4"/>
      <c r="U585" s="4"/>
      <c r="V585" s="4"/>
      <c r="W585" s="4"/>
      <c r="X585" s="4"/>
      <c r="Y585" s="4"/>
      <c r="Z585" s="4"/>
      <c r="AA585" s="4"/>
      <c r="AB585" s="4"/>
      <c r="AC585" s="4"/>
      <c r="AD585" s="4"/>
      <c r="AE585" s="4"/>
    </row>
    <row r="586" ht="13.5" customHeight="1" spans="1:31" x14ac:dyDescent="0.25">
      <c r="A586" s="1"/>
      <c r="B586" s="4"/>
      <c r="C586" s="4"/>
      <c r="D586" s="4"/>
      <c r="E586" s="4"/>
      <c r="F586" s="4"/>
      <c r="G586" s="4"/>
      <c r="H586" s="4"/>
      <c r="I586" s="4"/>
      <c r="J586" s="4"/>
      <c r="K586" s="4"/>
      <c r="L586" s="4"/>
      <c r="M586" s="4"/>
      <c r="N586" s="4"/>
      <c r="O586" s="4"/>
      <c r="P586" s="4"/>
      <c r="Q586" s="4"/>
      <c r="R586" s="4"/>
      <c r="S586" s="4"/>
      <c r="T586" s="4"/>
      <c r="U586" s="4"/>
      <c r="V586" s="4"/>
      <c r="W586" s="4"/>
      <c r="X586" s="4"/>
      <c r="Y586" s="4"/>
      <c r="Z586" s="4"/>
      <c r="AA586" s="4"/>
      <c r="AB586" s="4"/>
      <c r="AC586" s="4"/>
      <c r="AD586" s="4"/>
      <c r="AE586" s="4"/>
    </row>
    <row r="587" ht="13.5" customHeight="1" spans="1:31" x14ac:dyDescent="0.25">
      <c r="A587" s="1"/>
      <c r="B587" s="4"/>
      <c r="C587" s="4"/>
      <c r="D587" s="4"/>
      <c r="E587" s="4"/>
      <c r="F587" s="4"/>
      <c r="G587" s="4"/>
      <c r="H587" s="4"/>
      <c r="I587" s="4"/>
      <c r="J587" s="4"/>
      <c r="K587" s="4"/>
      <c r="L587" s="4"/>
      <c r="M587" s="4"/>
      <c r="N587" s="4"/>
      <c r="O587" s="4"/>
      <c r="P587" s="4"/>
      <c r="Q587" s="4"/>
      <c r="R587" s="4"/>
      <c r="S587" s="4"/>
      <c r="T587" s="4"/>
      <c r="U587" s="4"/>
      <c r="V587" s="4"/>
      <c r="W587" s="4"/>
      <c r="X587" s="4"/>
      <c r="Y587" s="4"/>
      <c r="Z587" s="4"/>
      <c r="AA587" s="4"/>
      <c r="AB587" s="4"/>
      <c r="AC587" s="4"/>
      <c r="AD587" s="4"/>
      <c r="AE587" s="4"/>
    </row>
    <row r="588" ht="13.5" customHeight="1" spans="1:31" x14ac:dyDescent="0.25">
      <c r="A588" s="1"/>
      <c r="B588" s="4"/>
      <c r="C588" s="4"/>
      <c r="D588" s="4"/>
      <c r="E588" s="4"/>
      <c r="F588" s="4"/>
      <c r="G588" s="4"/>
      <c r="H588" s="4"/>
      <c r="I588" s="4"/>
      <c r="J588" s="4"/>
      <c r="K588" s="4"/>
      <c r="L588" s="4"/>
      <c r="M588" s="4"/>
      <c r="N588" s="4"/>
      <c r="O588" s="4"/>
      <c r="P588" s="4"/>
      <c r="Q588" s="4"/>
      <c r="R588" s="4"/>
      <c r="S588" s="4"/>
      <c r="T588" s="4"/>
      <c r="U588" s="4"/>
      <c r="V588" s="4"/>
      <c r="W588" s="4"/>
      <c r="X588" s="4"/>
      <c r="Y588" s="4"/>
      <c r="Z588" s="4"/>
      <c r="AA588" s="4"/>
      <c r="AB588" s="4"/>
      <c r="AC588" s="4"/>
      <c r="AD588" s="4"/>
      <c r="AE588" s="4"/>
    </row>
    <row r="589" ht="13.5" customHeight="1" spans="1:31" x14ac:dyDescent="0.25">
      <c r="A589" s="1"/>
      <c r="B589" s="4"/>
      <c r="C589" s="4"/>
      <c r="D589" s="4"/>
      <c r="E589" s="4"/>
      <c r="F589" s="4"/>
      <c r="G589" s="4"/>
      <c r="H589" s="4"/>
      <c r="I589" s="4"/>
      <c r="J589" s="4"/>
      <c r="K589" s="4"/>
      <c r="L589" s="4"/>
      <c r="M589" s="4"/>
      <c r="N589" s="4"/>
      <c r="O589" s="4"/>
      <c r="P589" s="4"/>
      <c r="Q589" s="4"/>
      <c r="R589" s="4"/>
      <c r="S589" s="4"/>
      <c r="T589" s="4"/>
      <c r="U589" s="4"/>
      <c r="V589" s="4"/>
      <c r="W589" s="4"/>
      <c r="X589" s="4"/>
      <c r="Y589" s="4"/>
      <c r="Z589" s="4"/>
      <c r="AA589" s="4"/>
      <c r="AB589" s="4"/>
      <c r="AC589" s="4"/>
      <c r="AD589" s="4"/>
      <c r="AE589" s="4"/>
    </row>
    <row r="590" ht="13.5" customHeight="1" spans="1:31" x14ac:dyDescent="0.25">
      <c r="A590" s="1"/>
      <c r="B590" s="4"/>
      <c r="C590" s="4"/>
      <c r="D590" s="4"/>
      <c r="E590" s="4"/>
      <c r="F590" s="4"/>
      <c r="G590" s="4"/>
      <c r="H590" s="4"/>
      <c r="I590" s="4"/>
      <c r="J590" s="4"/>
      <c r="K590" s="4"/>
      <c r="L590" s="4"/>
      <c r="M590" s="4"/>
      <c r="N590" s="4"/>
      <c r="O590" s="4"/>
      <c r="P590" s="4"/>
      <c r="Q590" s="4"/>
      <c r="R590" s="4"/>
      <c r="S590" s="4"/>
      <c r="T590" s="4"/>
      <c r="U590" s="4"/>
      <c r="V590" s="4"/>
      <c r="W590" s="4"/>
      <c r="X590" s="4"/>
      <c r="Y590" s="4"/>
      <c r="Z590" s="4"/>
      <c r="AA590" s="4"/>
      <c r="AB590" s="4"/>
      <c r="AC590" s="4"/>
      <c r="AD590" s="4"/>
      <c r="AE590" s="4"/>
    </row>
    <row r="591" ht="13.5" customHeight="1" spans="1:31" x14ac:dyDescent="0.25">
      <c r="A591" s="1"/>
      <c r="B591" s="4"/>
      <c r="C591" s="4"/>
      <c r="D591" s="4"/>
      <c r="E591" s="4"/>
      <c r="F591" s="4"/>
      <c r="G591" s="4"/>
      <c r="H591" s="4"/>
      <c r="I591" s="4"/>
      <c r="J591" s="4"/>
      <c r="K591" s="4"/>
      <c r="L591" s="4"/>
      <c r="M591" s="4"/>
      <c r="N591" s="4"/>
      <c r="O591" s="4"/>
      <c r="P591" s="4"/>
      <c r="Q591" s="4"/>
      <c r="R591" s="4"/>
      <c r="S591" s="4"/>
      <c r="T591" s="4"/>
      <c r="U591" s="4"/>
      <c r="V591" s="4"/>
      <c r="W591" s="4"/>
      <c r="X591" s="4"/>
      <c r="Y591" s="4"/>
      <c r="Z591" s="4"/>
      <c r="AA591" s="4"/>
      <c r="AB591" s="4"/>
      <c r="AC591" s="4"/>
      <c r="AD591" s="4"/>
      <c r="AE591" s="4"/>
    </row>
    <row r="592" ht="13.5" customHeight="1" spans="1:31" x14ac:dyDescent="0.25">
      <c r="A592" s="1"/>
      <c r="B592" s="4"/>
      <c r="C592" s="4"/>
      <c r="D592" s="4"/>
      <c r="E592" s="4"/>
      <c r="F592" s="4"/>
      <c r="G592" s="4"/>
      <c r="H592" s="4"/>
      <c r="I592" s="4"/>
      <c r="J592" s="4"/>
      <c r="K592" s="4"/>
      <c r="L592" s="4"/>
      <c r="M592" s="4"/>
      <c r="N592" s="4"/>
      <c r="O592" s="4"/>
      <c r="P592" s="4"/>
      <c r="Q592" s="4"/>
      <c r="R592" s="4"/>
      <c r="S592" s="4"/>
      <c r="T592" s="4"/>
      <c r="U592" s="4"/>
      <c r="V592" s="4"/>
      <c r="W592" s="4"/>
      <c r="X592" s="4"/>
      <c r="Y592" s="4"/>
      <c r="Z592" s="4"/>
      <c r="AA592" s="4"/>
      <c r="AB592" s="4"/>
      <c r="AC592" s="4"/>
      <c r="AD592" s="4"/>
      <c r="AE592" s="4"/>
    </row>
    <row r="593" ht="13.5" customHeight="1" spans="1:31" x14ac:dyDescent="0.25">
      <c r="A593" s="1"/>
      <c r="B593" s="4"/>
      <c r="C593" s="4"/>
      <c r="D593" s="4"/>
      <c r="E593" s="4"/>
      <c r="F593" s="4"/>
      <c r="G593" s="4"/>
      <c r="H593" s="4"/>
      <c r="I593" s="4"/>
      <c r="J593" s="4"/>
      <c r="K593" s="4"/>
      <c r="L593" s="4"/>
      <c r="M593" s="4"/>
      <c r="N593" s="4"/>
      <c r="O593" s="4"/>
      <c r="P593" s="4"/>
      <c r="Q593" s="4"/>
      <c r="R593" s="4"/>
      <c r="S593" s="4"/>
      <c r="T593" s="4"/>
      <c r="U593" s="4"/>
      <c r="V593" s="4"/>
      <c r="W593" s="4"/>
      <c r="X593" s="4"/>
      <c r="Y593" s="4"/>
      <c r="Z593" s="4"/>
      <c r="AA593" s="4"/>
      <c r="AB593" s="4"/>
      <c r="AC593" s="4"/>
      <c r="AD593" s="4"/>
      <c r="AE593" s="4"/>
    </row>
    <row r="594" ht="13.5" customHeight="1" spans="1:31" x14ac:dyDescent="0.25">
      <c r="A594" s="1"/>
      <c r="B594" s="4"/>
      <c r="C594" s="4"/>
      <c r="D594" s="4"/>
      <c r="E594" s="4"/>
      <c r="F594" s="4"/>
      <c r="G594" s="4"/>
      <c r="H594" s="4"/>
      <c r="I594" s="4"/>
      <c r="J594" s="4"/>
      <c r="K594" s="4"/>
      <c r="L594" s="4"/>
      <c r="M594" s="4"/>
      <c r="N594" s="4"/>
      <c r="O594" s="4"/>
      <c r="P594" s="4"/>
      <c r="Q594" s="4"/>
      <c r="R594" s="4"/>
      <c r="S594" s="4"/>
      <c r="T594" s="4"/>
      <c r="U594" s="4"/>
      <c r="V594" s="4"/>
      <c r="W594" s="4"/>
      <c r="X594" s="4"/>
      <c r="Y594" s="4"/>
      <c r="Z594" s="4"/>
      <c r="AA594" s="4"/>
      <c r="AB594" s="4"/>
      <c r="AC594" s="4"/>
      <c r="AD594" s="4"/>
      <c r="AE594" s="4"/>
    </row>
    <row r="595" ht="13.5" customHeight="1" spans="1:31" x14ac:dyDescent="0.25">
      <c r="A595" s="1"/>
      <c r="B595" s="4"/>
      <c r="C595" s="4"/>
      <c r="D595" s="4"/>
      <c r="E595" s="4"/>
      <c r="F595" s="4"/>
      <c r="G595" s="4"/>
      <c r="H595" s="4"/>
      <c r="I595" s="4"/>
      <c r="J595" s="4"/>
      <c r="K595" s="4"/>
      <c r="L595" s="4"/>
      <c r="M595" s="4"/>
      <c r="N595" s="4"/>
      <c r="O595" s="4"/>
      <c r="P595" s="4"/>
      <c r="Q595" s="4"/>
      <c r="R595" s="4"/>
      <c r="S595" s="4"/>
      <c r="T595" s="4"/>
      <c r="U595" s="4"/>
      <c r="V595" s="4"/>
      <c r="W595" s="4"/>
      <c r="X595" s="4"/>
      <c r="Y595" s="4"/>
      <c r="Z595" s="4"/>
      <c r="AA595" s="4"/>
      <c r="AB595" s="4"/>
      <c r="AC595" s="4"/>
      <c r="AD595" s="4"/>
      <c r="AE595" s="4"/>
    </row>
    <row r="596" ht="13.5" customHeight="1" spans="1:31" x14ac:dyDescent="0.25">
      <c r="A596" s="1"/>
      <c r="B596" s="4"/>
      <c r="C596" s="4"/>
      <c r="D596" s="4"/>
      <c r="E596" s="4"/>
      <c r="F596" s="4"/>
      <c r="G596" s="4"/>
      <c r="H596" s="4"/>
      <c r="I596" s="4"/>
      <c r="J596" s="4"/>
      <c r="K596" s="4"/>
      <c r="L596" s="4"/>
      <c r="M596" s="4"/>
      <c r="N596" s="4"/>
      <c r="O596" s="4"/>
      <c r="P596" s="4"/>
      <c r="Q596" s="4"/>
      <c r="R596" s="4"/>
      <c r="S596" s="4"/>
      <c r="T596" s="4"/>
      <c r="U596" s="4"/>
      <c r="V596" s="4"/>
      <c r="W596" s="4"/>
      <c r="X596" s="4"/>
      <c r="Y596" s="4"/>
      <c r="Z596" s="4"/>
      <c r="AA596" s="4"/>
      <c r="AB596" s="4"/>
      <c r="AC596" s="4"/>
      <c r="AD596" s="4"/>
      <c r="AE596" s="4"/>
    </row>
    <row r="597" ht="13.5" customHeight="1" spans="1:31" x14ac:dyDescent="0.25">
      <c r="A597" s="1"/>
      <c r="B597" s="4"/>
      <c r="C597" s="4"/>
      <c r="D597" s="4"/>
      <c r="E597" s="4"/>
      <c r="F597" s="4"/>
      <c r="G597" s="4"/>
      <c r="H597" s="4"/>
      <c r="I597" s="4"/>
      <c r="J597" s="4"/>
      <c r="K597" s="4"/>
      <c r="L597" s="4"/>
      <c r="M597" s="4"/>
      <c r="N597" s="4"/>
      <c r="O597" s="4"/>
      <c r="P597" s="4"/>
      <c r="Q597" s="4"/>
      <c r="R597" s="4"/>
      <c r="S597" s="4"/>
      <c r="T597" s="4"/>
      <c r="U597" s="4"/>
      <c r="V597" s="4"/>
      <c r="W597" s="4"/>
      <c r="X597" s="4"/>
      <c r="Y597" s="4"/>
      <c r="Z597" s="4"/>
      <c r="AA597" s="4"/>
      <c r="AB597" s="4"/>
      <c r="AC597" s="4"/>
      <c r="AD597" s="4"/>
      <c r="AE597" s="4"/>
    </row>
    <row r="598" ht="13.5" customHeight="1" spans="1:31" x14ac:dyDescent="0.25">
      <c r="A598" s="1"/>
      <c r="B598" s="4"/>
      <c r="C598" s="4"/>
      <c r="D598" s="4"/>
      <c r="E598" s="4"/>
      <c r="F598" s="4"/>
      <c r="G598" s="4"/>
      <c r="H598" s="4"/>
      <c r="I598" s="4"/>
      <c r="J598" s="4"/>
      <c r="K598" s="4"/>
      <c r="L598" s="4"/>
      <c r="M598" s="4"/>
      <c r="N598" s="4"/>
      <c r="O598" s="4"/>
      <c r="P598" s="4"/>
      <c r="Q598" s="4"/>
      <c r="R598" s="4"/>
      <c r="S598" s="4"/>
      <c r="T598" s="4"/>
      <c r="U598" s="4"/>
      <c r="V598" s="4"/>
      <c r="W598" s="4"/>
      <c r="X598" s="4"/>
      <c r="Y598" s="4"/>
      <c r="Z598" s="4"/>
      <c r="AA598" s="4"/>
      <c r="AB598" s="4"/>
      <c r="AC598" s="4"/>
      <c r="AD598" s="4"/>
      <c r="AE598" s="4"/>
    </row>
    <row r="599" ht="13.5" customHeight="1" spans="1:31" x14ac:dyDescent="0.25">
      <c r="A599" s="1"/>
      <c r="B599" s="4"/>
      <c r="C599" s="4"/>
      <c r="D599" s="4"/>
      <c r="E599" s="4"/>
      <c r="F599" s="4"/>
      <c r="G599" s="4"/>
      <c r="H599" s="4"/>
      <c r="I599" s="4"/>
      <c r="J599" s="4"/>
      <c r="K599" s="4"/>
      <c r="L599" s="4"/>
      <c r="M599" s="4"/>
      <c r="N599" s="4"/>
      <c r="O599" s="4"/>
      <c r="P599" s="4"/>
      <c r="Q599" s="4"/>
      <c r="R599" s="4"/>
      <c r="S599" s="4"/>
      <c r="T599" s="4"/>
      <c r="U599" s="4"/>
      <c r="V599" s="4"/>
      <c r="W599" s="4"/>
      <c r="X599" s="4"/>
      <c r="Y599" s="4"/>
      <c r="Z599" s="4"/>
      <c r="AA599" s="4"/>
      <c r="AB599" s="4"/>
      <c r="AC599" s="4"/>
      <c r="AD599" s="4"/>
      <c r="AE599" s="4"/>
    </row>
    <row r="600" ht="13.5" customHeight="1" spans="1:31" x14ac:dyDescent="0.25">
      <c r="A600" s="1"/>
      <c r="B600" s="4"/>
      <c r="C600" s="4"/>
      <c r="D600" s="4"/>
      <c r="E600" s="4"/>
      <c r="F600" s="4"/>
      <c r="G600" s="4"/>
      <c r="H600" s="4"/>
      <c r="I600" s="4"/>
      <c r="J600" s="4"/>
      <c r="K600" s="4"/>
      <c r="L600" s="4"/>
      <c r="M600" s="4"/>
      <c r="N600" s="4"/>
      <c r="O600" s="4"/>
      <c r="P600" s="4"/>
      <c r="Q600" s="4"/>
      <c r="R600" s="4"/>
      <c r="S600" s="4"/>
      <c r="T600" s="4"/>
      <c r="U600" s="4"/>
      <c r="V600" s="4"/>
      <c r="W600" s="4"/>
      <c r="X600" s="4"/>
      <c r="Y600" s="4"/>
      <c r="Z600" s="4"/>
      <c r="AA600" s="4"/>
      <c r="AB600" s="4"/>
      <c r="AC600" s="4"/>
      <c r="AD600" s="4"/>
      <c r="AE600" s="4"/>
    </row>
    <row r="601" ht="13.5" customHeight="1" spans="1:31" x14ac:dyDescent="0.25">
      <c r="A601" s="1"/>
      <c r="B601" s="4"/>
      <c r="C601" s="4"/>
      <c r="D601" s="4"/>
      <c r="E601" s="4"/>
      <c r="F601" s="4"/>
      <c r="G601" s="4"/>
      <c r="H601" s="4"/>
      <c r="I601" s="4"/>
      <c r="J601" s="4"/>
      <c r="K601" s="4"/>
      <c r="L601" s="4"/>
      <c r="M601" s="4"/>
      <c r="N601" s="4"/>
      <c r="O601" s="4"/>
      <c r="P601" s="4"/>
      <c r="Q601" s="4"/>
      <c r="R601" s="4"/>
      <c r="S601" s="4"/>
      <c r="T601" s="4"/>
      <c r="U601" s="4"/>
      <c r="V601" s="4"/>
      <c r="W601" s="4"/>
      <c r="X601" s="4"/>
      <c r="Y601" s="4"/>
      <c r="Z601" s="4"/>
      <c r="AA601" s="4"/>
      <c r="AB601" s="4"/>
      <c r="AC601" s="4"/>
      <c r="AD601" s="4"/>
      <c r="AE601" s="4"/>
    </row>
    <row r="602" ht="13.5" customHeight="1" spans="1:31" x14ac:dyDescent="0.25">
      <c r="A602" s="1"/>
      <c r="B602" s="4"/>
      <c r="C602" s="4"/>
      <c r="D602" s="4"/>
      <c r="E602" s="4"/>
      <c r="F602" s="4"/>
      <c r="G602" s="4"/>
      <c r="H602" s="4"/>
      <c r="I602" s="4"/>
      <c r="J602" s="4"/>
      <c r="K602" s="4"/>
      <c r="L602" s="4"/>
      <c r="M602" s="4"/>
      <c r="N602" s="4"/>
      <c r="O602" s="4"/>
      <c r="P602" s="4"/>
      <c r="Q602" s="4"/>
      <c r="R602" s="4"/>
      <c r="S602" s="4"/>
      <c r="T602" s="4"/>
      <c r="U602" s="4"/>
      <c r="V602" s="4"/>
      <c r="W602" s="4"/>
      <c r="X602" s="4"/>
      <c r="Y602" s="4"/>
      <c r="Z602" s="4"/>
      <c r="AA602" s="4"/>
      <c r="AB602" s="4"/>
      <c r="AC602" s="4"/>
      <c r="AD602" s="4"/>
      <c r="AE602" s="4"/>
    </row>
    <row r="603" ht="13.5" customHeight="1" spans="1:31" x14ac:dyDescent="0.25">
      <c r="A603" s="1"/>
      <c r="B603" s="4"/>
      <c r="C603" s="4"/>
      <c r="D603" s="4"/>
      <c r="E603" s="4"/>
      <c r="F603" s="4"/>
      <c r="G603" s="4"/>
      <c r="H603" s="4"/>
      <c r="I603" s="4"/>
      <c r="J603" s="4"/>
      <c r="K603" s="4"/>
      <c r="L603" s="4"/>
      <c r="M603" s="4"/>
      <c r="N603" s="4"/>
      <c r="O603" s="4"/>
      <c r="P603" s="4"/>
      <c r="Q603" s="4"/>
      <c r="R603" s="4"/>
      <c r="S603" s="4"/>
      <c r="T603" s="4"/>
      <c r="U603" s="4"/>
      <c r="V603" s="4"/>
      <c r="W603" s="4"/>
      <c r="X603" s="4"/>
      <c r="Y603" s="4"/>
      <c r="Z603" s="4"/>
      <c r="AA603" s="4"/>
      <c r="AB603" s="4"/>
      <c r="AC603" s="4"/>
      <c r="AD603" s="4"/>
      <c r="AE603" s="4"/>
    </row>
    <row r="604" ht="13.5" customHeight="1" spans="1:31" x14ac:dyDescent="0.25">
      <c r="A604" s="1"/>
      <c r="B604" s="4"/>
      <c r="C604" s="4"/>
      <c r="D604" s="4"/>
      <c r="E604" s="4"/>
      <c r="F604" s="4"/>
      <c r="G604" s="4"/>
      <c r="H604" s="4"/>
      <c r="I604" s="4"/>
      <c r="J604" s="4"/>
      <c r="K604" s="4"/>
      <c r="L604" s="4"/>
      <c r="M604" s="4"/>
      <c r="N604" s="4"/>
      <c r="O604" s="4"/>
      <c r="P604" s="4"/>
      <c r="Q604" s="4"/>
      <c r="R604" s="4"/>
      <c r="S604" s="4"/>
      <c r="T604" s="4"/>
      <c r="U604" s="4"/>
      <c r="V604" s="4"/>
      <c r="W604" s="4"/>
      <c r="X604" s="4"/>
      <c r="Y604" s="4"/>
      <c r="Z604" s="4"/>
      <c r="AA604" s="4"/>
      <c r="AB604" s="4"/>
      <c r="AC604" s="4"/>
      <c r="AD604" s="4"/>
      <c r="AE604" s="4"/>
    </row>
    <row r="605" ht="13.5" customHeight="1" spans="1:31" x14ac:dyDescent="0.25">
      <c r="A605" s="1"/>
      <c r="B605" s="4"/>
      <c r="C605" s="4"/>
      <c r="D605" s="4"/>
      <c r="E605" s="4"/>
      <c r="F605" s="4"/>
      <c r="G605" s="4"/>
      <c r="H605" s="4"/>
      <c r="I605" s="4"/>
      <c r="J605" s="4"/>
      <c r="K605" s="4"/>
      <c r="L605" s="4"/>
      <c r="M605" s="4"/>
      <c r="N605" s="4"/>
      <c r="O605" s="4"/>
      <c r="P605" s="4"/>
      <c r="Q605" s="4"/>
      <c r="R605" s="4"/>
      <c r="S605" s="4"/>
      <c r="T605" s="4"/>
      <c r="U605" s="4"/>
      <c r="V605" s="4"/>
      <c r="W605" s="4"/>
      <c r="X605" s="4"/>
      <c r="Y605" s="4"/>
      <c r="Z605" s="4"/>
      <c r="AA605" s="4"/>
      <c r="AB605" s="4"/>
      <c r="AC605" s="4"/>
      <c r="AD605" s="4"/>
      <c r="AE605" s="4"/>
    </row>
    <row r="606" ht="13.5" customHeight="1" spans="1:31" x14ac:dyDescent="0.25">
      <c r="A606" s="1"/>
      <c r="B606" s="4"/>
      <c r="C606" s="4"/>
      <c r="D606" s="4"/>
      <c r="E606" s="4"/>
      <c r="F606" s="4"/>
      <c r="G606" s="4"/>
      <c r="H606" s="4"/>
      <c r="I606" s="4"/>
      <c r="J606" s="4"/>
      <c r="K606" s="4"/>
      <c r="L606" s="4"/>
      <c r="M606" s="4"/>
      <c r="N606" s="4"/>
      <c r="O606" s="4"/>
      <c r="P606" s="4"/>
      <c r="Q606" s="4"/>
      <c r="R606" s="4"/>
      <c r="S606" s="4"/>
      <c r="T606" s="4"/>
      <c r="U606" s="4"/>
      <c r="V606" s="4"/>
      <c r="W606" s="4"/>
      <c r="X606" s="4"/>
      <c r="Y606" s="4"/>
      <c r="Z606" s="4"/>
      <c r="AA606" s="4"/>
      <c r="AB606" s="4"/>
      <c r="AC606" s="4"/>
      <c r="AD606" s="4"/>
      <c r="AE606" s="4"/>
    </row>
    <row r="607" ht="13.5" customHeight="1" spans="1:31" x14ac:dyDescent="0.25">
      <c r="A607" s="1"/>
      <c r="B607" s="4"/>
      <c r="C607" s="4"/>
      <c r="D607" s="4"/>
      <c r="E607" s="4"/>
      <c r="F607" s="4"/>
      <c r="G607" s="4"/>
      <c r="H607" s="4"/>
      <c r="I607" s="4"/>
      <c r="J607" s="4"/>
      <c r="K607" s="4"/>
      <c r="L607" s="4"/>
      <c r="M607" s="4"/>
      <c r="N607" s="4"/>
      <c r="O607" s="4"/>
      <c r="P607" s="4"/>
      <c r="Q607" s="4"/>
      <c r="R607" s="4"/>
      <c r="S607" s="4"/>
      <c r="T607" s="4"/>
      <c r="U607" s="4"/>
      <c r="V607" s="4"/>
      <c r="W607" s="4"/>
      <c r="X607" s="4"/>
      <c r="Y607" s="4"/>
      <c r="Z607" s="4"/>
      <c r="AA607" s="4"/>
      <c r="AB607" s="4"/>
      <c r="AC607" s="4"/>
      <c r="AD607" s="4"/>
      <c r="AE607" s="4"/>
    </row>
    <row r="608" ht="13.5" customHeight="1" spans="1:31" x14ac:dyDescent="0.25">
      <c r="A608" s="1"/>
      <c r="B608" s="4"/>
      <c r="C608" s="4"/>
      <c r="D608" s="4"/>
      <c r="E608" s="4"/>
      <c r="F608" s="4"/>
      <c r="G608" s="4"/>
      <c r="H608" s="4"/>
      <c r="I608" s="4"/>
      <c r="J608" s="4"/>
      <c r="K608" s="4"/>
      <c r="L608" s="4"/>
      <c r="M608" s="4"/>
      <c r="N608" s="4"/>
      <c r="O608" s="4"/>
      <c r="P608" s="4"/>
      <c r="Q608" s="4"/>
      <c r="R608" s="4"/>
      <c r="S608" s="4"/>
      <c r="T608" s="4"/>
      <c r="U608" s="4"/>
      <c r="V608" s="4"/>
      <c r="W608" s="4"/>
      <c r="X608" s="4"/>
      <c r="Y608" s="4"/>
      <c r="Z608" s="4"/>
      <c r="AA608" s="4"/>
      <c r="AB608" s="4"/>
      <c r="AC608" s="4"/>
      <c r="AD608" s="4"/>
      <c r="AE608" s="4"/>
    </row>
    <row r="609" ht="13.5" customHeight="1" spans="1:31" x14ac:dyDescent="0.25">
      <c r="A609" s="1"/>
      <c r="B609" s="4"/>
      <c r="C609" s="4"/>
      <c r="D609" s="4"/>
      <c r="E609" s="4"/>
      <c r="F609" s="4"/>
      <c r="G609" s="4"/>
      <c r="H609" s="4"/>
      <c r="I609" s="4"/>
      <c r="J609" s="4"/>
      <c r="K609" s="4"/>
      <c r="L609" s="4"/>
      <c r="M609" s="4"/>
      <c r="N609" s="4"/>
      <c r="O609" s="4"/>
      <c r="P609" s="4"/>
      <c r="Q609" s="4"/>
      <c r="R609" s="4"/>
      <c r="S609" s="4"/>
      <c r="T609" s="4"/>
      <c r="U609" s="4"/>
      <c r="V609" s="4"/>
      <c r="W609" s="4"/>
      <c r="X609" s="4"/>
      <c r="Y609" s="4"/>
      <c r="Z609" s="4"/>
      <c r="AA609" s="4"/>
      <c r="AB609" s="4"/>
      <c r="AC609" s="4"/>
      <c r="AD609" s="4"/>
      <c r="AE609" s="4"/>
    </row>
    <row r="610" ht="13.5" customHeight="1" spans="1:31" x14ac:dyDescent="0.25">
      <c r="A610" s="1"/>
      <c r="B610" s="4"/>
      <c r="C610" s="4"/>
      <c r="D610" s="4"/>
      <c r="E610" s="4"/>
      <c r="F610" s="4"/>
      <c r="G610" s="4"/>
      <c r="H610" s="4"/>
      <c r="I610" s="4"/>
      <c r="J610" s="4"/>
      <c r="K610" s="4"/>
      <c r="L610" s="4"/>
      <c r="M610" s="4"/>
      <c r="N610" s="4"/>
      <c r="O610" s="4"/>
      <c r="P610" s="4"/>
      <c r="Q610" s="4"/>
      <c r="R610" s="4"/>
      <c r="S610" s="4"/>
      <c r="T610" s="4"/>
      <c r="U610" s="4"/>
      <c r="V610" s="4"/>
      <c r="W610" s="4"/>
      <c r="X610" s="4"/>
      <c r="Y610" s="4"/>
      <c r="Z610" s="4"/>
      <c r="AA610" s="4"/>
      <c r="AB610" s="4"/>
      <c r="AC610" s="4"/>
      <c r="AD610" s="4"/>
      <c r="AE610" s="4"/>
    </row>
    <row r="611" ht="13.5" customHeight="1" spans="1:31" x14ac:dyDescent="0.25">
      <c r="A611" s="1"/>
      <c r="B611" s="4"/>
      <c r="C611" s="4"/>
      <c r="D611" s="4"/>
      <c r="E611" s="4"/>
      <c r="F611" s="4"/>
      <c r="G611" s="4"/>
      <c r="H611" s="4"/>
      <c r="I611" s="4"/>
      <c r="J611" s="4"/>
      <c r="K611" s="4"/>
      <c r="L611" s="4"/>
      <c r="M611" s="4"/>
      <c r="N611" s="4"/>
      <c r="O611" s="4"/>
      <c r="P611" s="4"/>
      <c r="Q611" s="4"/>
      <c r="R611" s="4"/>
      <c r="S611" s="4"/>
      <c r="T611" s="4"/>
      <c r="U611" s="4"/>
      <c r="V611" s="4"/>
      <c r="W611" s="4"/>
      <c r="X611" s="4"/>
      <c r="Y611" s="4"/>
      <c r="Z611" s="4"/>
      <c r="AA611" s="4"/>
      <c r="AB611" s="4"/>
      <c r="AC611" s="4"/>
      <c r="AD611" s="4"/>
      <c r="AE611" s="4"/>
    </row>
    <row r="612" ht="13.5" customHeight="1" spans="1:31" x14ac:dyDescent="0.25">
      <c r="A612" s="1"/>
      <c r="B612" s="4"/>
      <c r="C612" s="4"/>
      <c r="D612" s="4"/>
      <c r="E612" s="4"/>
      <c r="F612" s="4"/>
      <c r="G612" s="4"/>
      <c r="H612" s="4"/>
      <c r="I612" s="4"/>
      <c r="J612" s="4"/>
      <c r="K612" s="4"/>
      <c r="L612" s="4"/>
      <c r="M612" s="4"/>
      <c r="N612" s="4"/>
      <c r="O612" s="4"/>
      <c r="P612" s="4"/>
      <c r="Q612" s="4"/>
      <c r="R612" s="4"/>
      <c r="S612" s="4"/>
      <c r="T612" s="4"/>
      <c r="U612" s="4"/>
      <c r="V612" s="4"/>
      <c r="W612" s="4"/>
      <c r="X612" s="4"/>
      <c r="Y612" s="4"/>
      <c r="Z612" s="4"/>
      <c r="AA612" s="4"/>
      <c r="AB612" s="4"/>
      <c r="AC612" s="4"/>
      <c r="AD612" s="4"/>
      <c r="AE612" s="4"/>
    </row>
    <row r="613" ht="13.5" customHeight="1" spans="1:31" x14ac:dyDescent="0.25">
      <c r="A613" s="1"/>
      <c r="B613" s="4"/>
      <c r="C613" s="4"/>
      <c r="D613" s="4"/>
      <c r="E613" s="4"/>
      <c r="F613" s="4"/>
      <c r="G613" s="4"/>
      <c r="H613" s="4"/>
      <c r="I613" s="4"/>
      <c r="J613" s="4"/>
      <c r="K613" s="4"/>
      <c r="L613" s="4"/>
      <c r="M613" s="4"/>
      <c r="N613" s="4"/>
      <c r="O613" s="4"/>
      <c r="P613" s="4"/>
      <c r="Q613" s="4"/>
      <c r="R613" s="4"/>
      <c r="S613" s="4"/>
      <c r="T613" s="4"/>
      <c r="U613" s="4"/>
      <c r="V613" s="4"/>
      <c r="W613" s="4"/>
      <c r="X613" s="4"/>
      <c r="Y613" s="4"/>
      <c r="Z613" s="4"/>
      <c r="AA613" s="4"/>
      <c r="AB613" s="4"/>
      <c r="AC613" s="4"/>
      <c r="AD613" s="4"/>
      <c r="AE613" s="4"/>
    </row>
    <row r="614" ht="13.5" customHeight="1" spans="1:31" x14ac:dyDescent="0.25">
      <c r="A614" s="1"/>
      <c r="B614" s="4"/>
      <c r="C614" s="4"/>
      <c r="D614" s="4"/>
      <c r="E614" s="4"/>
      <c r="F614" s="4"/>
      <c r="G614" s="4"/>
      <c r="H614" s="4"/>
      <c r="I614" s="4"/>
      <c r="J614" s="4"/>
      <c r="K614" s="4"/>
      <c r="L614" s="4"/>
      <c r="M614" s="4"/>
      <c r="N614" s="4"/>
      <c r="O614" s="4"/>
      <c r="P614" s="4"/>
      <c r="Q614" s="4"/>
      <c r="R614" s="4"/>
      <c r="S614" s="4"/>
      <c r="T614" s="4"/>
      <c r="U614" s="4"/>
      <c r="V614" s="4"/>
      <c r="W614" s="4"/>
      <c r="X614" s="4"/>
      <c r="Y614" s="4"/>
      <c r="Z614" s="4"/>
      <c r="AA614" s="4"/>
      <c r="AB614" s="4"/>
      <c r="AC614" s="4"/>
      <c r="AD614" s="4"/>
      <c r="AE614" s="4"/>
    </row>
    <row r="615" ht="13.5" customHeight="1" spans="1:31" x14ac:dyDescent="0.25">
      <c r="A615" s="1"/>
      <c r="B615" s="4"/>
      <c r="C615" s="4"/>
      <c r="D615" s="4"/>
      <c r="E615" s="4"/>
      <c r="F615" s="4"/>
      <c r="G615" s="4"/>
      <c r="H615" s="4"/>
      <c r="I615" s="4"/>
      <c r="J615" s="4"/>
      <c r="K615" s="4"/>
      <c r="L615" s="4"/>
      <c r="M615" s="4"/>
      <c r="N615" s="4"/>
      <c r="O615" s="4"/>
      <c r="P615" s="4"/>
      <c r="Q615" s="4"/>
      <c r="R615" s="4"/>
      <c r="S615" s="4"/>
      <c r="T615" s="4"/>
      <c r="U615" s="4"/>
      <c r="V615" s="4"/>
      <c r="W615" s="4"/>
      <c r="X615" s="4"/>
      <c r="Y615" s="4"/>
      <c r="Z615" s="4"/>
      <c r="AA615" s="4"/>
      <c r="AB615" s="4"/>
      <c r="AC615" s="4"/>
      <c r="AD615" s="4"/>
      <c r="AE615" s="4"/>
    </row>
    <row r="616" ht="13.5" customHeight="1" spans="1:31" x14ac:dyDescent="0.25">
      <c r="A616" s="1"/>
      <c r="B616" s="4"/>
      <c r="C616" s="4"/>
      <c r="D616" s="4"/>
      <c r="E616" s="4"/>
      <c r="F616" s="4"/>
      <c r="G616" s="4"/>
      <c r="H616" s="4"/>
      <c r="I616" s="4"/>
      <c r="J616" s="4"/>
      <c r="K616" s="4"/>
      <c r="L616" s="4"/>
      <c r="M616" s="4"/>
      <c r="N616" s="4"/>
      <c r="O616" s="4"/>
      <c r="P616" s="4"/>
      <c r="Q616" s="4"/>
      <c r="R616" s="4"/>
      <c r="S616" s="4"/>
      <c r="T616" s="4"/>
      <c r="U616" s="4"/>
      <c r="V616" s="4"/>
      <c r="W616" s="4"/>
      <c r="X616" s="4"/>
      <c r="Y616" s="4"/>
      <c r="Z616" s="4"/>
      <c r="AA616" s="4"/>
      <c r="AB616" s="4"/>
      <c r="AC616" s="4"/>
      <c r="AD616" s="4"/>
      <c r="AE616" s="4"/>
    </row>
    <row r="617" ht="13.5" customHeight="1" spans="1:31" x14ac:dyDescent="0.25">
      <c r="A617" s="1"/>
      <c r="B617" s="4"/>
      <c r="C617" s="4"/>
      <c r="D617" s="4"/>
      <c r="E617" s="4"/>
      <c r="F617" s="4"/>
      <c r="G617" s="4"/>
      <c r="H617" s="4"/>
      <c r="I617" s="4"/>
      <c r="J617" s="4"/>
      <c r="K617" s="4"/>
      <c r="L617" s="4"/>
      <c r="M617" s="4"/>
      <c r="N617" s="4"/>
      <c r="O617" s="4"/>
      <c r="P617" s="4"/>
      <c r="Q617" s="4"/>
      <c r="R617" s="4"/>
      <c r="S617" s="4"/>
      <c r="T617" s="4"/>
      <c r="U617" s="4"/>
      <c r="V617" s="4"/>
      <c r="W617" s="4"/>
      <c r="X617" s="4"/>
      <c r="Y617" s="4"/>
      <c r="Z617" s="4"/>
      <c r="AA617" s="4"/>
      <c r="AB617" s="4"/>
      <c r="AC617" s="4"/>
      <c r="AD617" s="4"/>
      <c r="AE617" s="4"/>
    </row>
    <row r="618" ht="13.5" customHeight="1" spans="1:31" x14ac:dyDescent="0.25">
      <c r="A618" s="1"/>
      <c r="B618" s="4"/>
      <c r="C618" s="4"/>
      <c r="D618" s="4"/>
      <c r="E618" s="4"/>
      <c r="F618" s="4"/>
      <c r="G618" s="4"/>
      <c r="H618" s="4"/>
      <c r="I618" s="4"/>
      <c r="J618" s="4"/>
      <c r="K618" s="4"/>
      <c r="L618" s="4"/>
      <c r="M618" s="4"/>
      <c r="N618" s="4"/>
      <c r="O618" s="4"/>
      <c r="P618" s="4"/>
      <c r="Q618" s="4"/>
      <c r="R618" s="4"/>
      <c r="S618" s="4"/>
      <c r="T618" s="4"/>
      <c r="U618" s="4"/>
      <c r="V618" s="4"/>
      <c r="W618" s="4"/>
      <c r="X618" s="4"/>
      <c r="Y618" s="4"/>
      <c r="Z618" s="4"/>
      <c r="AA618" s="4"/>
      <c r="AB618" s="4"/>
      <c r="AC618" s="4"/>
      <c r="AD618" s="4"/>
      <c r="AE618" s="4"/>
    </row>
    <row r="619" ht="13.5" customHeight="1" spans="1:31" x14ac:dyDescent="0.25">
      <c r="A619" s="1"/>
      <c r="B619" s="4"/>
      <c r="C619" s="4"/>
      <c r="D619" s="4"/>
      <c r="E619" s="4"/>
      <c r="F619" s="4"/>
      <c r="G619" s="4"/>
      <c r="H619" s="4"/>
      <c r="I619" s="4"/>
      <c r="J619" s="4"/>
      <c r="K619" s="4"/>
      <c r="L619" s="4"/>
      <c r="M619" s="4"/>
      <c r="N619" s="4"/>
      <c r="O619" s="4"/>
      <c r="P619" s="4"/>
      <c r="Q619" s="4"/>
      <c r="R619" s="4"/>
      <c r="S619" s="4"/>
      <c r="T619" s="4"/>
      <c r="U619" s="4"/>
      <c r="V619" s="4"/>
      <c r="W619" s="4"/>
      <c r="X619" s="4"/>
      <c r="Y619" s="4"/>
      <c r="Z619" s="4"/>
      <c r="AA619" s="4"/>
      <c r="AB619" s="4"/>
      <c r="AC619" s="4"/>
      <c r="AD619" s="4"/>
      <c r="AE619" s="4"/>
    </row>
    <row r="620" ht="13.5" customHeight="1" spans="1:31" x14ac:dyDescent="0.25">
      <c r="A620" s="1"/>
      <c r="B620" s="4"/>
      <c r="C620" s="4"/>
      <c r="D620" s="4"/>
      <c r="E620" s="4"/>
      <c r="F620" s="4"/>
      <c r="G620" s="4"/>
      <c r="H620" s="4"/>
      <c r="I620" s="4"/>
      <c r="J620" s="4"/>
      <c r="K620" s="4"/>
      <c r="L620" s="4"/>
      <c r="M620" s="4"/>
      <c r="N620" s="4"/>
      <c r="O620" s="4"/>
      <c r="P620" s="4"/>
      <c r="Q620" s="4"/>
      <c r="R620" s="4"/>
      <c r="S620" s="4"/>
      <c r="T620" s="4"/>
      <c r="U620" s="4"/>
      <c r="V620" s="4"/>
      <c r="W620" s="4"/>
      <c r="X620" s="4"/>
      <c r="Y620" s="4"/>
      <c r="Z620" s="4"/>
      <c r="AA620" s="4"/>
      <c r="AB620" s="4"/>
      <c r="AC620" s="4"/>
      <c r="AD620" s="4"/>
      <c r="AE620" s="4"/>
    </row>
    <row r="621" ht="13.5" customHeight="1" spans="1:31" x14ac:dyDescent="0.25">
      <c r="A621" s="1"/>
      <c r="B621" s="4"/>
      <c r="C621" s="4"/>
      <c r="D621" s="4"/>
      <c r="E621" s="4"/>
      <c r="F621" s="4"/>
      <c r="G621" s="4"/>
      <c r="H621" s="4"/>
      <c r="I621" s="4"/>
      <c r="J621" s="4"/>
      <c r="K621" s="4"/>
      <c r="L621" s="4"/>
      <c r="M621" s="4"/>
      <c r="N621" s="4"/>
      <c r="O621" s="4"/>
      <c r="P621" s="4"/>
      <c r="Q621" s="4"/>
      <c r="R621" s="4"/>
      <c r="S621" s="4"/>
      <c r="T621" s="4"/>
      <c r="U621" s="4"/>
      <c r="V621" s="4"/>
      <c r="W621" s="4"/>
      <c r="X621" s="4"/>
      <c r="Y621" s="4"/>
      <c r="Z621" s="4"/>
      <c r="AA621" s="4"/>
      <c r="AB621" s="4"/>
      <c r="AC621" s="4"/>
      <c r="AD621" s="4"/>
      <c r="AE621" s="4"/>
    </row>
    <row r="622" ht="13.5" customHeight="1" spans="1:31" x14ac:dyDescent="0.25">
      <c r="A622" s="1"/>
      <c r="B622" s="4"/>
      <c r="C622" s="4"/>
      <c r="D622" s="4"/>
      <c r="E622" s="4"/>
      <c r="F622" s="4"/>
      <c r="G622" s="4"/>
      <c r="H622" s="4"/>
      <c r="I622" s="4"/>
      <c r="J622" s="4"/>
      <c r="K622" s="4"/>
      <c r="L622" s="4"/>
      <c r="M622" s="4"/>
      <c r="N622" s="4"/>
      <c r="O622" s="4"/>
      <c r="P622" s="4"/>
      <c r="Q622" s="4"/>
      <c r="R622" s="4"/>
      <c r="S622" s="4"/>
      <c r="T622" s="4"/>
      <c r="U622" s="4"/>
      <c r="V622" s="4"/>
      <c r="W622" s="4"/>
      <c r="X622" s="4"/>
      <c r="Y622" s="4"/>
      <c r="Z622" s="4"/>
      <c r="AA622" s="4"/>
      <c r="AB622" s="4"/>
      <c r="AC622" s="4"/>
      <c r="AD622" s="4"/>
      <c r="AE622" s="4"/>
    </row>
    <row r="623" ht="13.5" customHeight="1" spans="1:31" x14ac:dyDescent="0.25">
      <c r="A623" s="1"/>
      <c r="B623" s="4"/>
      <c r="C623" s="4"/>
      <c r="D623" s="4"/>
      <c r="E623" s="4"/>
      <c r="F623" s="4"/>
      <c r="G623" s="4"/>
      <c r="H623" s="4"/>
      <c r="I623" s="4"/>
      <c r="J623" s="4"/>
      <c r="K623" s="4"/>
      <c r="L623" s="4"/>
      <c r="M623" s="4"/>
      <c r="N623" s="4"/>
      <c r="O623" s="4"/>
      <c r="P623" s="4"/>
      <c r="Q623" s="4"/>
      <c r="R623" s="4"/>
      <c r="S623" s="4"/>
      <c r="T623" s="4"/>
      <c r="U623" s="4"/>
      <c r="V623" s="4"/>
      <c r="W623" s="4"/>
      <c r="X623" s="4"/>
      <c r="Y623" s="4"/>
      <c r="Z623" s="4"/>
      <c r="AA623" s="4"/>
      <c r="AB623" s="4"/>
      <c r="AC623" s="4"/>
      <c r="AD623" s="4"/>
      <c r="AE623" s="4"/>
    </row>
    <row r="624" ht="13.5" customHeight="1" spans="1:31" x14ac:dyDescent="0.25">
      <c r="A624" s="1"/>
      <c r="B624" s="4"/>
      <c r="C624" s="4"/>
      <c r="D624" s="4"/>
      <c r="E624" s="4"/>
      <c r="F624" s="4"/>
      <c r="G624" s="4"/>
      <c r="H624" s="4"/>
      <c r="I624" s="4"/>
      <c r="J624" s="4"/>
      <c r="K624" s="4"/>
      <c r="L624" s="4"/>
      <c r="M624" s="4"/>
      <c r="N624" s="4"/>
      <c r="O624" s="4"/>
      <c r="P624" s="4"/>
      <c r="Q624" s="4"/>
      <c r="R624" s="4"/>
      <c r="S624" s="4"/>
      <c r="T624" s="4"/>
      <c r="U624" s="4"/>
      <c r="V624" s="4"/>
      <c r="W624" s="4"/>
      <c r="X624" s="4"/>
      <c r="Y624" s="4"/>
      <c r="Z624" s="4"/>
      <c r="AA624" s="4"/>
      <c r="AB624" s="4"/>
      <c r="AC624" s="4"/>
      <c r="AD624" s="4"/>
      <c r="AE624" s="4"/>
    </row>
    <row r="625" ht="13.5" customHeight="1" spans="1:31" x14ac:dyDescent="0.25">
      <c r="A625" s="1"/>
      <c r="B625" s="4"/>
      <c r="C625" s="4"/>
      <c r="D625" s="4"/>
      <c r="E625" s="4"/>
      <c r="F625" s="4"/>
      <c r="G625" s="4"/>
      <c r="H625" s="4"/>
      <c r="I625" s="4"/>
      <c r="J625" s="4"/>
      <c r="K625" s="4"/>
      <c r="L625" s="4"/>
      <c r="M625" s="4"/>
      <c r="N625" s="4"/>
      <c r="O625" s="4"/>
      <c r="P625" s="4"/>
      <c r="Q625" s="4"/>
      <c r="R625" s="4"/>
      <c r="S625" s="4"/>
      <c r="T625" s="4"/>
      <c r="U625" s="4"/>
      <c r="V625" s="4"/>
      <c r="W625" s="4"/>
      <c r="X625" s="4"/>
      <c r="Y625" s="4"/>
      <c r="Z625" s="4"/>
      <c r="AA625" s="4"/>
      <c r="AB625" s="4"/>
      <c r="AC625" s="4"/>
      <c r="AD625" s="4"/>
      <c r="AE625" s="4"/>
    </row>
    <row r="626" ht="13.5" customHeight="1" spans="1:31" x14ac:dyDescent="0.25">
      <c r="A626" s="1"/>
      <c r="B626" s="4"/>
      <c r="C626" s="4"/>
      <c r="D626" s="4"/>
      <c r="E626" s="4"/>
      <c r="F626" s="4"/>
      <c r="G626" s="4"/>
      <c r="H626" s="4"/>
      <c r="I626" s="4"/>
      <c r="J626" s="4"/>
      <c r="K626" s="4"/>
      <c r="L626" s="4"/>
      <c r="M626" s="4"/>
      <c r="N626" s="4"/>
      <c r="O626" s="4"/>
      <c r="P626" s="4"/>
      <c r="Q626" s="4"/>
      <c r="R626" s="4"/>
      <c r="S626" s="4"/>
      <c r="T626" s="4"/>
      <c r="U626" s="4"/>
      <c r="V626" s="4"/>
      <c r="W626" s="4"/>
      <c r="X626" s="4"/>
      <c r="Y626" s="4"/>
      <c r="Z626" s="4"/>
      <c r="AA626" s="4"/>
      <c r="AB626" s="4"/>
      <c r="AC626" s="4"/>
      <c r="AD626" s="4"/>
      <c r="AE626" s="4"/>
    </row>
    <row r="627" ht="13.5" customHeight="1" spans="1:31" x14ac:dyDescent="0.25">
      <c r="A627" s="1"/>
      <c r="B627" s="4"/>
      <c r="C627" s="4"/>
      <c r="D627" s="4"/>
      <c r="E627" s="4"/>
      <c r="F627" s="4"/>
      <c r="G627" s="4"/>
      <c r="H627" s="4"/>
      <c r="I627" s="4"/>
      <c r="J627" s="4"/>
      <c r="K627" s="4"/>
      <c r="L627" s="4"/>
      <c r="M627" s="4"/>
      <c r="N627" s="4"/>
      <c r="O627" s="4"/>
      <c r="P627" s="4"/>
      <c r="Q627" s="4"/>
      <c r="R627" s="4"/>
      <c r="S627" s="4"/>
      <c r="T627" s="4"/>
      <c r="U627" s="4"/>
      <c r="V627" s="4"/>
      <c r="W627" s="4"/>
      <c r="X627" s="4"/>
      <c r="Y627" s="4"/>
      <c r="Z627" s="4"/>
      <c r="AA627" s="4"/>
      <c r="AB627" s="4"/>
      <c r="AC627" s="4"/>
      <c r="AD627" s="4"/>
      <c r="AE627" s="4"/>
    </row>
    <row r="628" ht="13.5" customHeight="1" spans="1:31" x14ac:dyDescent="0.25">
      <c r="A628" s="1"/>
      <c r="B628" s="4"/>
      <c r="C628" s="4"/>
      <c r="D628" s="4"/>
      <c r="E628" s="4"/>
      <c r="F628" s="4"/>
      <c r="G628" s="4"/>
      <c r="H628" s="4"/>
      <c r="I628" s="4"/>
      <c r="J628" s="4"/>
      <c r="K628" s="4"/>
      <c r="L628" s="4"/>
      <c r="M628" s="4"/>
      <c r="N628" s="4"/>
      <c r="O628" s="4"/>
      <c r="P628" s="4"/>
      <c r="Q628" s="4"/>
      <c r="R628" s="4"/>
      <c r="S628" s="4"/>
      <c r="T628" s="4"/>
      <c r="U628" s="4"/>
      <c r="V628" s="4"/>
      <c r="W628" s="4"/>
      <c r="X628" s="4"/>
      <c r="Y628" s="4"/>
      <c r="Z628" s="4"/>
      <c r="AA628" s="4"/>
      <c r="AB628" s="4"/>
      <c r="AC628" s="4"/>
      <c r="AD628" s="4"/>
      <c r="AE628" s="4"/>
    </row>
    <row r="629" ht="13.5" customHeight="1" spans="1:31" x14ac:dyDescent="0.25">
      <c r="A629" s="1"/>
      <c r="B629" s="4"/>
      <c r="C629" s="4"/>
      <c r="D629" s="4"/>
      <c r="E629" s="4"/>
      <c r="F629" s="4"/>
      <c r="G629" s="4"/>
      <c r="H629" s="4"/>
      <c r="I629" s="4"/>
      <c r="J629" s="4"/>
      <c r="K629" s="4"/>
      <c r="L629" s="4"/>
      <c r="M629" s="4"/>
      <c r="N629" s="4"/>
      <c r="O629" s="4"/>
      <c r="P629" s="4"/>
      <c r="Q629" s="4"/>
      <c r="R629" s="4"/>
      <c r="S629" s="4"/>
      <c r="T629" s="4"/>
      <c r="U629" s="4"/>
      <c r="V629" s="4"/>
      <c r="W629" s="4"/>
      <c r="X629" s="4"/>
      <c r="Y629" s="4"/>
      <c r="Z629" s="4"/>
      <c r="AA629" s="4"/>
      <c r="AB629" s="4"/>
      <c r="AC629" s="4"/>
      <c r="AD629" s="4"/>
      <c r="AE629" s="4"/>
    </row>
    <row r="630" ht="13.5" customHeight="1" spans="1:31" x14ac:dyDescent="0.25">
      <c r="A630" s="1"/>
      <c r="B630" s="4"/>
      <c r="C630" s="4"/>
      <c r="D630" s="4"/>
      <c r="E630" s="4"/>
      <c r="F630" s="4"/>
      <c r="G630" s="4"/>
      <c r="H630" s="4"/>
      <c r="I630" s="4"/>
      <c r="J630" s="4"/>
      <c r="K630" s="4"/>
      <c r="L630" s="4"/>
      <c r="M630" s="4"/>
      <c r="N630" s="4"/>
      <c r="O630" s="4"/>
      <c r="P630" s="4"/>
      <c r="Q630" s="4"/>
      <c r="R630" s="4"/>
      <c r="S630" s="4"/>
      <c r="T630" s="4"/>
      <c r="U630" s="4"/>
      <c r="V630" s="4"/>
      <c r="W630" s="4"/>
      <c r="X630" s="4"/>
      <c r="Y630" s="4"/>
      <c r="Z630" s="4"/>
      <c r="AA630" s="4"/>
      <c r="AB630" s="4"/>
      <c r="AC630" s="4"/>
      <c r="AD630" s="4"/>
      <c r="AE630" s="4"/>
    </row>
    <row r="631" ht="13.5" customHeight="1" spans="1:31" x14ac:dyDescent="0.25">
      <c r="A631" s="1"/>
      <c r="B631" s="4"/>
      <c r="C631" s="4"/>
      <c r="D631" s="4"/>
      <c r="E631" s="4"/>
      <c r="F631" s="4"/>
      <c r="G631" s="4"/>
      <c r="H631" s="4"/>
      <c r="I631" s="4"/>
      <c r="J631" s="4"/>
      <c r="K631" s="4"/>
      <c r="L631" s="4"/>
      <c r="M631" s="4"/>
      <c r="N631" s="4"/>
      <c r="O631" s="4"/>
      <c r="P631" s="4"/>
      <c r="Q631" s="4"/>
      <c r="R631" s="4"/>
      <c r="S631" s="4"/>
      <c r="T631" s="4"/>
      <c r="U631" s="4"/>
      <c r="V631" s="4"/>
      <c r="W631" s="4"/>
      <c r="X631" s="4"/>
      <c r="Y631" s="4"/>
      <c r="Z631" s="4"/>
      <c r="AA631" s="4"/>
      <c r="AB631" s="4"/>
      <c r="AC631" s="4"/>
      <c r="AD631" s="4"/>
      <c r="AE631" s="4"/>
    </row>
    <row r="632" ht="13.5" customHeight="1" spans="1:31" x14ac:dyDescent="0.25">
      <c r="A632" s="1"/>
      <c r="B632" s="4"/>
      <c r="C632" s="4"/>
      <c r="D632" s="4"/>
      <c r="E632" s="4"/>
      <c r="F632" s="4"/>
      <c r="G632" s="4"/>
      <c r="H632" s="4"/>
      <c r="I632" s="4"/>
      <c r="J632" s="4"/>
      <c r="K632" s="4"/>
      <c r="L632" s="4"/>
      <c r="M632" s="4"/>
      <c r="N632" s="4"/>
      <c r="O632" s="4"/>
      <c r="P632" s="4"/>
      <c r="Q632" s="4"/>
      <c r="R632" s="4"/>
      <c r="S632" s="4"/>
      <c r="T632" s="4"/>
      <c r="U632" s="4"/>
      <c r="V632" s="4"/>
      <c r="W632" s="4"/>
      <c r="X632" s="4"/>
      <c r="Y632" s="4"/>
      <c r="Z632" s="4"/>
      <c r="AA632" s="4"/>
      <c r="AB632" s="4"/>
      <c r="AC632" s="4"/>
      <c r="AD632" s="4"/>
      <c r="AE632" s="4"/>
    </row>
    <row r="633" ht="13.5" customHeight="1" spans="1:31" x14ac:dyDescent="0.25">
      <c r="A633" s="1"/>
      <c r="B633" s="4"/>
      <c r="C633" s="4"/>
      <c r="D633" s="4"/>
      <c r="E633" s="4"/>
      <c r="F633" s="4"/>
      <c r="G633" s="4"/>
      <c r="H633" s="4"/>
      <c r="I633" s="4"/>
      <c r="J633" s="4"/>
      <c r="K633" s="4"/>
      <c r="L633" s="4"/>
      <c r="M633" s="4"/>
      <c r="N633" s="4"/>
      <c r="O633" s="4"/>
      <c r="P633" s="4"/>
      <c r="Q633" s="4"/>
      <c r="R633" s="4"/>
      <c r="S633" s="4"/>
      <c r="T633" s="4"/>
      <c r="U633" s="4"/>
      <c r="V633" s="4"/>
      <c r="W633" s="4"/>
      <c r="X633" s="4"/>
      <c r="Y633" s="4"/>
      <c r="Z633" s="4"/>
      <c r="AA633" s="4"/>
      <c r="AB633" s="4"/>
      <c r="AC633" s="4"/>
      <c r="AD633" s="4"/>
      <c r="AE633" s="4"/>
    </row>
    <row r="634" ht="13.5" customHeight="1" spans="1:31" x14ac:dyDescent="0.25">
      <c r="A634" s="1"/>
      <c r="B634" s="4"/>
      <c r="C634" s="4"/>
      <c r="D634" s="4"/>
      <c r="E634" s="4"/>
      <c r="F634" s="4"/>
      <c r="G634" s="4"/>
      <c r="H634" s="4"/>
      <c r="I634" s="4"/>
      <c r="J634" s="4"/>
      <c r="K634" s="4"/>
      <c r="L634" s="4"/>
      <c r="M634" s="4"/>
      <c r="N634" s="4"/>
      <c r="O634" s="4"/>
      <c r="P634" s="4"/>
      <c r="Q634" s="4"/>
      <c r="R634" s="4"/>
      <c r="S634" s="4"/>
      <c r="T634" s="4"/>
      <c r="U634" s="4"/>
      <c r="V634" s="4"/>
      <c r="W634" s="4"/>
      <c r="X634" s="4"/>
      <c r="Y634" s="4"/>
      <c r="Z634" s="4"/>
      <c r="AA634" s="4"/>
      <c r="AB634" s="4"/>
      <c r="AC634" s="4"/>
      <c r="AD634" s="4"/>
      <c r="AE634" s="4"/>
    </row>
    <row r="635" ht="13.5" customHeight="1" spans="1:31" x14ac:dyDescent="0.25">
      <c r="A635" s="1"/>
      <c r="B635" s="4"/>
      <c r="C635" s="4"/>
      <c r="D635" s="4"/>
      <c r="E635" s="4"/>
      <c r="F635" s="4"/>
      <c r="G635" s="4"/>
      <c r="H635" s="4"/>
      <c r="I635" s="4"/>
      <c r="J635" s="4"/>
      <c r="K635" s="4"/>
      <c r="L635" s="4"/>
      <c r="M635" s="4"/>
      <c r="N635" s="4"/>
      <c r="O635" s="4"/>
      <c r="P635" s="4"/>
      <c r="Q635" s="4"/>
      <c r="R635" s="4"/>
      <c r="S635" s="4"/>
      <c r="T635" s="4"/>
      <c r="U635" s="4"/>
      <c r="V635" s="4"/>
      <c r="W635" s="4"/>
      <c r="X635" s="4"/>
      <c r="Y635" s="4"/>
      <c r="Z635" s="4"/>
      <c r="AA635" s="4"/>
      <c r="AB635" s="4"/>
      <c r="AC635" s="4"/>
      <c r="AD635" s="4"/>
      <c r="AE635" s="4"/>
    </row>
    <row r="636" ht="13.5" customHeight="1" spans="1:31" x14ac:dyDescent="0.25">
      <c r="A636" s="1"/>
      <c r="B636" s="4"/>
      <c r="C636" s="4"/>
      <c r="D636" s="4"/>
      <c r="E636" s="4"/>
      <c r="F636" s="4"/>
      <c r="G636" s="4"/>
      <c r="H636" s="4"/>
      <c r="I636" s="4"/>
      <c r="J636" s="4"/>
      <c r="K636" s="4"/>
      <c r="L636" s="4"/>
      <c r="M636" s="4"/>
      <c r="N636" s="4"/>
      <c r="O636" s="4"/>
      <c r="P636" s="4"/>
      <c r="Q636" s="4"/>
      <c r="R636" s="4"/>
      <c r="S636" s="4"/>
      <c r="T636" s="4"/>
      <c r="U636" s="4"/>
      <c r="V636" s="4"/>
      <c r="W636" s="4"/>
      <c r="X636" s="4"/>
      <c r="Y636" s="4"/>
      <c r="Z636" s="4"/>
      <c r="AA636" s="4"/>
      <c r="AB636" s="4"/>
      <c r="AC636" s="4"/>
      <c r="AD636" s="4"/>
      <c r="AE636" s="4"/>
    </row>
    <row r="637" ht="13.5" customHeight="1" spans="1:31" x14ac:dyDescent="0.25">
      <c r="A637" s="1"/>
      <c r="B637" s="4"/>
      <c r="C637" s="4"/>
      <c r="D637" s="4"/>
      <c r="E637" s="4"/>
      <c r="F637" s="4"/>
      <c r="G637" s="4"/>
      <c r="H637" s="4"/>
      <c r="I637" s="4"/>
      <c r="J637" s="4"/>
      <c r="K637" s="4"/>
      <c r="L637" s="4"/>
      <c r="M637" s="4"/>
      <c r="N637" s="4"/>
      <c r="O637" s="4"/>
      <c r="P637" s="4"/>
      <c r="Q637" s="4"/>
      <c r="R637" s="4"/>
      <c r="S637" s="4"/>
      <c r="T637" s="4"/>
      <c r="U637" s="4"/>
      <c r="V637" s="4"/>
      <c r="W637" s="4"/>
      <c r="X637" s="4"/>
      <c r="Y637" s="4"/>
      <c r="Z637" s="4"/>
      <c r="AA637" s="4"/>
      <c r="AB637" s="4"/>
      <c r="AC637" s="4"/>
      <c r="AD637" s="4"/>
      <c r="AE637" s="4"/>
    </row>
    <row r="638" ht="13.5" customHeight="1" spans="1:31" x14ac:dyDescent="0.25">
      <c r="A638" s="1"/>
      <c r="B638" s="4"/>
      <c r="C638" s="4"/>
      <c r="D638" s="4"/>
      <c r="E638" s="4"/>
      <c r="F638" s="4"/>
      <c r="G638" s="4"/>
      <c r="H638" s="4"/>
      <c r="I638" s="4"/>
      <c r="J638" s="4"/>
      <c r="K638" s="4"/>
      <c r="L638" s="4"/>
      <c r="M638" s="4"/>
      <c r="N638" s="4"/>
      <c r="O638" s="4"/>
      <c r="P638" s="4"/>
      <c r="Q638" s="4"/>
      <c r="R638" s="4"/>
      <c r="S638" s="4"/>
      <c r="T638" s="4"/>
      <c r="U638" s="4"/>
      <c r="V638" s="4"/>
      <c r="W638" s="4"/>
      <c r="X638" s="4"/>
      <c r="Y638" s="4"/>
      <c r="Z638" s="4"/>
      <c r="AA638" s="4"/>
      <c r="AB638" s="4"/>
      <c r="AC638" s="4"/>
      <c r="AD638" s="4"/>
      <c r="AE638" s="4"/>
    </row>
    <row r="639" ht="13.5" customHeight="1" spans="1:31" x14ac:dyDescent="0.25">
      <c r="A639" s="1"/>
      <c r="B639" s="4"/>
      <c r="C639" s="4"/>
      <c r="D639" s="4"/>
      <c r="E639" s="4"/>
      <c r="F639" s="4"/>
      <c r="G639" s="4"/>
      <c r="H639" s="4"/>
      <c r="I639" s="4"/>
      <c r="J639" s="4"/>
      <c r="K639" s="4"/>
      <c r="L639" s="4"/>
      <c r="M639" s="4"/>
      <c r="N639" s="4"/>
      <c r="O639" s="4"/>
      <c r="P639" s="4"/>
      <c r="Q639" s="4"/>
      <c r="R639" s="4"/>
      <c r="S639" s="4"/>
      <c r="T639" s="4"/>
      <c r="U639" s="4"/>
      <c r="V639" s="4"/>
      <c r="W639" s="4"/>
      <c r="X639" s="4"/>
      <c r="Y639" s="4"/>
      <c r="Z639" s="4"/>
      <c r="AA639" s="4"/>
      <c r="AB639" s="4"/>
      <c r="AC639" s="4"/>
      <c r="AD639" s="4"/>
      <c r="AE639" s="4"/>
    </row>
    <row r="640" ht="13.5" customHeight="1" spans="1:31" x14ac:dyDescent="0.25">
      <c r="A640" s="1"/>
      <c r="B640" s="4"/>
      <c r="C640" s="4"/>
      <c r="D640" s="4"/>
      <c r="E640" s="4"/>
      <c r="F640" s="4"/>
      <c r="G640" s="4"/>
      <c r="H640" s="4"/>
      <c r="I640" s="4"/>
      <c r="J640" s="4"/>
      <c r="K640" s="4"/>
      <c r="L640" s="4"/>
      <c r="M640" s="4"/>
      <c r="N640" s="4"/>
      <c r="O640" s="4"/>
      <c r="P640" s="4"/>
      <c r="Q640" s="4"/>
      <c r="R640" s="4"/>
      <c r="S640" s="4"/>
      <c r="T640" s="4"/>
      <c r="U640" s="4"/>
      <c r="V640" s="4"/>
      <c r="W640" s="4"/>
      <c r="X640" s="4"/>
      <c r="Y640" s="4"/>
      <c r="Z640" s="4"/>
      <c r="AA640" s="4"/>
      <c r="AB640" s="4"/>
      <c r="AC640" s="4"/>
      <c r="AD640" s="4"/>
      <c r="AE640" s="4"/>
    </row>
    <row r="641" ht="13.5" customHeight="1" spans="1:31" x14ac:dyDescent="0.25">
      <c r="A641" s="1"/>
      <c r="B641" s="4"/>
      <c r="C641" s="4"/>
      <c r="D641" s="4"/>
      <c r="E641" s="4"/>
      <c r="F641" s="4"/>
      <c r="G641" s="4"/>
      <c r="H641" s="4"/>
      <c r="I641" s="4"/>
      <c r="J641" s="4"/>
      <c r="K641" s="4"/>
      <c r="L641" s="4"/>
      <c r="M641" s="4"/>
      <c r="N641" s="4"/>
      <c r="O641" s="4"/>
      <c r="P641" s="4"/>
      <c r="Q641" s="4"/>
      <c r="R641" s="4"/>
      <c r="S641" s="4"/>
      <c r="T641" s="4"/>
      <c r="U641" s="4"/>
      <c r="V641" s="4"/>
      <c r="W641" s="4"/>
      <c r="X641" s="4"/>
      <c r="Y641" s="4"/>
      <c r="Z641" s="4"/>
      <c r="AA641" s="4"/>
      <c r="AB641" s="4"/>
      <c r="AC641" s="4"/>
      <c r="AD641" s="4"/>
      <c r="AE641" s="4"/>
    </row>
    <row r="642" ht="13.5" customHeight="1" spans="1:31" x14ac:dyDescent="0.25">
      <c r="A642" s="1"/>
      <c r="B642" s="4"/>
      <c r="C642" s="4"/>
      <c r="D642" s="4"/>
      <c r="E642" s="4"/>
      <c r="F642" s="4"/>
      <c r="G642" s="4"/>
      <c r="H642" s="4"/>
      <c r="I642" s="4"/>
      <c r="J642" s="4"/>
      <c r="K642" s="4"/>
      <c r="L642" s="4"/>
      <c r="M642" s="4"/>
      <c r="N642" s="4"/>
      <c r="O642" s="4"/>
      <c r="P642" s="4"/>
      <c r="Q642" s="4"/>
      <c r="R642" s="4"/>
      <c r="S642" s="4"/>
      <c r="T642" s="4"/>
      <c r="U642" s="4"/>
      <c r="V642" s="4"/>
      <c r="W642" s="4"/>
      <c r="X642" s="4"/>
      <c r="Y642" s="4"/>
      <c r="Z642" s="4"/>
      <c r="AA642" s="4"/>
      <c r="AB642" s="4"/>
      <c r="AC642" s="4"/>
      <c r="AD642" s="4"/>
      <c r="AE642" s="4"/>
    </row>
    <row r="643" ht="13.5" customHeight="1" spans="1:31" x14ac:dyDescent="0.25">
      <c r="A643" s="1"/>
      <c r="B643" s="4"/>
      <c r="C643" s="4"/>
      <c r="D643" s="4"/>
      <c r="E643" s="4"/>
      <c r="F643" s="4"/>
      <c r="G643" s="4"/>
      <c r="H643" s="4"/>
      <c r="I643" s="4"/>
      <c r="J643" s="4"/>
      <c r="K643" s="4"/>
      <c r="L643" s="4"/>
      <c r="M643" s="4"/>
      <c r="N643" s="4"/>
      <c r="O643" s="4"/>
      <c r="P643" s="4"/>
      <c r="Q643" s="4"/>
      <c r="R643" s="4"/>
      <c r="S643" s="4"/>
      <c r="T643" s="4"/>
      <c r="U643" s="4"/>
      <c r="V643" s="4"/>
      <c r="W643" s="4"/>
      <c r="X643" s="4"/>
      <c r="Y643" s="4"/>
      <c r="Z643" s="4"/>
      <c r="AA643" s="4"/>
      <c r="AB643" s="4"/>
      <c r="AC643" s="4"/>
      <c r="AD643" s="4"/>
      <c r="AE643" s="4"/>
    </row>
    <row r="644" ht="13.5" customHeight="1" spans="1:31" x14ac:dyDescent="0.25">
      <c r="A644" s="1"/>
      <c r="B644" s="4"/>
      <c r="C644" s="4"/>
      <c r="D644" s="4"/>
      <c r="E644" s="4"/>
      <c r="F644" s="4"/>
      <c r="G644" s="4"/>
      <c r="H644" s="4"/>
      <c r="I644" s="4"/>
      <c r="J644" s="4"/>
      <c r="K644" s="4"/>
      <c r="L644" s="4"/>
      <c r="M644" s="4"/>
      <c r="N644" s="4"/>
      <c r="O644" s="4"/>
      <c r="P644" s="4"/>
      <c r="Q644" s="4"/>
      <c r="R644" s="4"/>
      <c r="S644" s="4"/>
      <c r="T644" s="4"/>
      <c r="U644" s="4"/>
      <c r="V644" s="4"/>
      <c r="W644" s="4"/>
      <c r="X644" s="4"/>
      <c r="Y644" s="4"/>
      <c r="Z644" s="4"/>
      <c r="AA644" s="4"/>
      <c r="AB644" s="4"/>
      <c r="AC644" s="4"/>
      <c r="AD644" s="4"/>
      <c r="AE644" s="4"/>
    </row>
    <row r="645" ht="13.5" customHeight="1" spans="1:31" x14ac:dyDescent="0.25">
      <c r="A645" s="1"/>
      <c r="B645" s="4"/>
      <c r="C645" s="4"/>
      <c r="D645" s="4"/>
      <c r="E645" s="4"/>
      <c r="F645" s="4"/>
      <c r="G645" s="4"/>
      <c r="H645" s="4"/>
      <c r="I645" s="4"/>
      <c r="J645" s="4"/>
      <c r="K645" s="4"/>
      <c r="L645" s="4"/>
      <c r="M645" s="4"/>
      <c r="N645" s="4"/>
      <c r="O645" s="4"/>
      <c r="P645" s="4"/>
      <c r="Q645" s="4"/>
      <c r="R645" s="4"/>
      <c r="S645" s="4"/>
      <c r="T645" s="4"/>
      <c r="U645" s="4"/>
      <c r="V645" s="4"/>
      <c r="W645" s="4"/>
      <c r="X645" s="4"/>
      <c r="Y645" s="4"/>
      <c r="Z645" s="4"/>
      <c r="AA645" s="4"/>
      <c r="AB645" s="4"/>
      <c r="AC645" s="4"/>
      <c r="AD645" s="4"/>
      <c r="AE645" s="4"/>
    </row>
    <row r="646" ht="13.5" customHeight="1" spans="1:31" x14ac:dyDescent="0.25">
      <c r="A646" s="1"/>
      <c r="B646" s="4"/>
      <c r="C646" s="4"/>
      <c r="D646" s="4"/>
      <c r="E646" s="4"/>
      <c r="F646" s="4"/>
      <c r="G646" s="4"/>
      <c r="H646" s="4"/>
      <c r="I646" s="4"/>
      <c r="J646" s="4"/>
      <c r="K646" s="4"/>
      <c r="L646" s="4"/>
      <c r="M646" s="4"/>
      <c r="N646" s="4"/>
      <c r="O646" s="4"/>
      <c r="P646" s="4"/>
      <c r="Q646" s="4"/>
      <c r="R646" s="4"/>
      <c r="S646" s="4"/>
      <c r="T646" s="4"/>
      <c r="U646" s="4"/>
      <c r="V646" s="4"/>
      <c r="W646" s="4"/>
      <c r="X646" s="4"/>
      <c r="Y646" s="4"/>
      <c r="Z646" s="4"/>
      <c r="AA646" s="4"/>
      <c r="AB646" s="4"/>
      <c r="AC646" s="4"/>
      <c r="AD646" s="4"/>
      <c r="AE646" s="4"/>
    </row>
    <row r="647" ht="13.5" customHeight="1" spans="1:31" x14ac:dyDescent="0.25">
      <c r="A647" s="1"/>
      <c r="B647" s="4"/>
      <c r="C647" s="4"/>
      <c r="D647" s="4"/>
      <c r="E647" s="4"/>
      <c r="F647" s="4"/>
      <c r="G647" s="4"/>
      <c r="H647" s="4"/>
      <c r="I647" s="4"/>
      <c r="J647" s="4"/>
      <c r="K647" s="4"/>
      <c r="L647" s="4"/>
      <c r="M647" s="4"/>
      <c r="N647" s="4"/>
      <c r="O647" s="4"/>
      <c r="P647" s="4"/>
      <c r="Q647" s="4"/>
      <c r="R647" s="4"/>
      <c r="S647" s="4"/>
      <c r="T647" s="4"/>
      <c r="U647" s="4"/>
      <c r="V647" s="4"/>
      <c r="W647" s="4"/>
      <c r="X647" s="4"/>
      <c r="Y647" s="4"/>
      <c r="Z647" s="4"/>
      <c r="AA647" s="4"/>
      <c r="AB647" s="4"/>
      <c r="AC647" s="4"/>
      <c r="AD647" s="4"/>
      <c r="AE647" s="4"/>
    </row>
    <row r="648" ht="13.5" customHeight="1" spans="1:31" x14ac:dyDescent="0.25">
      <c r="A648" s="1"/>
      <c r="B648" s="4"/>
      <c r="C648" s="4"/>
      <c r="D648" s="4"/>
      <c r="E648" s="4"/>
      <c r="F648" s="4"/>
      <c r="G648" s="4"/>
      <c r="H648" s="4"/>
      <c r="I648" s="4"/>
      <c r="J648" s="4"/>
      <c r="K648" s="4"/>
      <c r="L648" s="4"/>
      <c r="M648" s="4"/>
      <c r="N648" s="4"/>
      <c r="O648" s="4"/>
      <c r="P648" s="4"/>
      <c r="Q648" s="4"/>
      <c r="R648" s="4"/>
      <c r="S648" s="4"/>
      <c r="T648" s="4"/>
      <c r="U648" s="4"/>
      <c r="V648" s="4"/>
      <c r="W648" s="4"/>
      <c r="X648" s="4"/>
      <c r="Y648" s="4"/>
      <c r="Z648" s="4"/>
      <c r="AA648" s="4"/>
      <c r="AB648" s="4"/>
      <c r="AC648" s="4"/>
      <c r="AD648" s="4"/>
      <c r="AE648" s="4"/>
    </row>
    <row r="649" ht="13.5" customHeight="1" spans="1:31" x14ac:dyDescent="0.25">
      <c r="A649" s="1"/>
      <c r="B649" s="4"/>
      <c r="C649" s="4"/>
      <c r="D649" s="4"/>
      <c r="E649" s="4"/>
      <c r="F649" s="4"/>
      <c r="G649" s="4"/>
      <c r="H649" s="4"/>
      <c r="I649" s="4"/>
      <c r="J649" s="4"/>
      <c r="K649" s="4"/>
      <c r="L649" s="4"/>
      <c r="M649" s="4"/>
      <c r="N649" s="4"/>
      <c r="O649" s="4"/>
      <c r="P649" s="4"/>
      <c r="Q649" s="4"/>
      <c r="R649" s="4"/>
      <c r="S649" s="4"/>
      <c r="T649" s="4"/>
      <c r="U649" s="4"/>
      <c r="V649" s="4"/>
      <c r="W649" s="4"/>
      <c r="X649" s="4"/>
      <c r="Y649" s="4"/>
      <c r="Z649" s="4"/>
      <c r="AA649" s="4"/>
      <c r="AB649" s="4"/>
      <c r="AC649" s="4"/>
      <c r="AD649" s="4"/>
      <c r="AE649" s="4"/>
    </row>
    <row r="650" ht="13.5" customHeight="1" spans="1:31" x14ac:dyDescent="0.25">
      <c r="A650" s="1"/>
      <c r="B650" s="4"/>
      <c r="C650" s="4"/>
      <c r="D650" s="4"/>
      <c r="E650" s="4"/>
      <c r="F650" s="4"/>
      <c r="G650" s="4"/>
      <c r="H650" s="4"/>
      <c r="I650" s="4"/>
      <c r="J650" s="4"/>
      <c r="K650" s="4"/>
      <c r="L650" s="4"/>
      <c r="M650" s="4"/>
      <c r="N650" s="4"/>
      <c r="O650" s="4"/>
      <c r="P650" s="4"/>
      <c r="Q650" s="4"/>
      <c r="R650" s="4"/>
      <c r="S650" s="4"/>
      <c r="T650" s="4"/>
      <c r="U650" s="4"/>
      <c r="V650" s="4"/>
      <c r="W650" s="4"/>
      <c r="X650" s="4"/>
      <c r="Y650" s="4"/>
      <c r="Z650" s="4"/>
      <c r="AA650" s="4"/>
      <c r="AB650" s="4"/>
      <c r="AC650" s="4"/>
      <c r="AD650" s="4"/>
      <c r="AE650" s="4"/>
    </row>
    <row r="651" ht="13.5" customHeight="1" spans="1:31" x14ac:dyDescent="0.25">
      <c r="A651" s="1"/>
      <c r="B651" s="4"/>
      <c r="C651" s="4"/>
      <c r="D651" s="4"/>
      <c r="E651" s="4"/>
      <c r="F651" s="4"/>
      <c r="G651" s="4"/>
      <c r="H651" s="4"/>
      <c r="I651" s="4"/>
      <c r="J651" s="4"/>
      <c r="K651" s="4"/>
      <c r="L651" s="4"/>
      <c r="M651" s="4"/>
      <c r="N651" s="4"/>
      <c r="O651" s="4"/>
      <c r="P651" s="4"/>
      <c r="Q651" s="4"/>
      <c r="R651" s="4"/>
      <c r="S651" s="4"/>
      <c r="T651" s="4"/>
      <c r="U651" s="4"/>
      <c r="V651" s="4"/>
      <c r="W651" s="4"/>
      <c r="X651" s="4"/>
      <c r="Y651" s="4"/>
      <c r="Z651" s="4"/>
      <c r="AA651" s="4"/>
      <c r="AB651" s="4"/>
      <c r="AC651" s="4"/>
      <c r="AD651" s="4"/>
      <c r="AE651" s="4"/>
    </row>
    <row r="652" ht="13.5" customHeight="1" spans="1:31" x14ac:dyDescent="0.25">
      <c r="A652" s="1"/>
      <c r="B652" s="4"/>
      <c r="C652" s="4"/>
      <c r="D652" s="4"/>
      <c r="E652" s="4"/>
      <c r="F652" s="4"/>
      <c r="G652" s="4"/>
      <c r="H652" s="4"/>
      <c r="I652" s="4"/>
      <c r="J652" s="4"/>
      <c r="K652" s="4"/>
      <c r="L652" s="4"/>
      <c r="M652" s="4"/>
      <c r="N652" s="4"/>
      <c r="O652" s="4"/>
      <c r="P652" s="4"/>
      <c r="Q652" s="4"/>
      <c r="R652" s="4"/>
      <c r="S652" s="4"/>
      <c r="T652" s="4"/>
      <c r="U652" s="4"/>
      <c r="V652" s="4"/>
      <c r="W652" s="4"/>
      <c r="X652" s="4"/>
      <c r="Y652" s="4"/>
      <c r="Z652" s="4"/>
      <c r="AA652" s="4"/>
      <c r="AB652" s="4"/>
      <c r="AC652" s="4"/>
      <c r="AD652" s="4"/>
      <c r="AE652" s="4"/>
    </row>
    <row r="653" ht="13.5" customHeight="1" spans="1:31" x14ac:dyDescent="0.25">
      <c r="A653" s="1"/>
      <c r="B653" s="4"/>
      <c r="C653" s="4"/>
      <c r="D653" s="4"/>
      <c r="E653" s="4"/>
      <c r="F653" s="4"/>
      <c r="G653" s="4"/>
      <c r="H653" s="4"/>
      <c r="I653" s="4"/>
      <c r="J653" s="4"/>
      <c r="K653" s="4"/>
      <c r="L653" s="4"/>
      <c r="M653" s="4"/>
      <c r="N653" s="4"/>
      <c r="O653" s="4"/>
      <c r="P653" s="4"/>
      <c r="Q653" s="4"/>
      <c r="R653" s="4"/>
      <c r="S653" s="4"/>
      <c r="T653" s="4"/>
      <c r="U653" s="4"/>
      <c r="V653" s="4"/>
      <c r="W653" s="4"/>
      <c r="X653" s="4"/>
      <c r="Y653" s="4"/>
      <c r="Z653" s="4"/>
      <c r="AA653" s="4"/>
      <c r="AB653" s="4"/>
      <c r="AC653" s="4"/>
      <c r="AD653" s="4"/>
      <c r="AE653" s="4"/>
    </row>
    <row r="654" ht="13.5" customHeight="1" spans="1:31" x14ac:dyDescent="0.25">
      <c r="A654" s="1"/>
      <c r="B654" s="4"/>
      <c r="C654" s="4"/>
      <c r="D654" s="4"/>
      <c r="E654" s="4"/>
      <c r="F654" s="4"/>
      <c r="G654" s="4"/>
      <c r="H654" s="4"/>
      <c r="I654" s="4"/>
      <c r="J654" s="4"/>
      <c r="K654" s="4"/>
      <c r="L654" s="4"/>
      <c r="M654" s="4"/>
      <c r="N654" s="4"/>
      <c r="O654" s="4"/>
      <c r="P654" s="4"/>
      <c r="Q654" s="4"/>
      <c r="R654" s="4"/>
      <c r="S654" s="4"/>
      <c r="T654" s="4"/>
      <c r="U654" s="4"/>
      <c r="V654" s="4"/>
      <c r="W654" s="4"/>
      <c r="X654" s="4"/>
      <c r="Y654" s="4"/>
      <c r="Z654" s="4"/>
      <c r="AA654" s="4"/>
      <c r="AB654" s="4"/>
      <c r="AC654" s="4"/>
      <c r="AD654" s="4"/>
      <c r="AE654" s="4"/>
    </row>
    <row r="655" ht="13.5" customHeight="1" spans="1:31" x14ac:dyDescent="0.25">
      <c r="A655" s="1"/>
      <c r="B655" s="4"/>
      <c r="C655" s="4"/>
      <c r="D655" s="4"/>
      <c r="E655" s="4"/>
      <c r="F655" s="4"/>
      <c r="G655" s="4"/>
      <c r="H655" s="4"/>
      <c r="I655" s="4"/>
      <c r="J655" s="4"/>
      <c r="K655" s="4"/>
      <c r="L655" s="4"/>
      <c r="M655" s="4"/>
      <c r="N655" s="4"/>
      <c r="O655" s="4"/>
      <c r="P655" s="4"/>
      <c r="Q655" s="4"/>
      <c r="R655" s="4"/>
      <c r="S655" s="4"/>
      <c r="T655" s="4"/>
      <c r="U655" s="4"/>
      <c r="V655" s="4"/>
      <c r="W655" s="4"/>
      <c r="X655" s="4"/>
      <c r="Y655" s="4"/>
      <c r="Z655" s="4"/>
      <c r="AA655" s="4"/>
      <c r="AB655" s="4"/>
      <c r="AC655" s="4"/>
      <c r="AD655" s="4"/>
      <c r="AE655" s="4"/>
    </row>
    <row r="656" ht="13.5" customHeight="1" spans="1:31" x14ac:dyDescent="0.25">
      <c r="A656" s="1"/>
      <c r="B656" s="4"/>
      <c r="C656" s="4"/>
      <c r="D656" s="4"/>
      <c r="E656" s="4"/>
      <c r="F656" s="4"/>
      <c r="G656" s="4"/>
      <c r="H656" s="4"/>
      <c r="I656" s="4"/>
      <c r="J656" s="4"/>
      <c r="K656" s="4"/>
      <c r="L656" s="4"/>
      <c r="M656" s="4"/>
      <c r="N656" s="4"/>
      <c r="O656" s="4"/>
      <c r="P656" s="4"/>
      <c r="Q656" s="4"/>
      <c r="R656" s="4"/>
      <c r="S656" s="4"/>
      <c r="T656" s="4"/>
      <c r="U656" s="4"/>
      <c r="V656" s="4"/>
      <c r="W656" s="4"/>
      <c r="X656" s="4"/>
      <c r="Y656" s="4"/>
      <c r="Z656" s="4"/>
      <c r="AA656" s="4"/>
      <c r="AB656" s="4"/>
      <c r="AC656" s="4"/>
      <c r="AD656" s="4"/>
      <c r="AE656" s="4"/>
    </row>
    <row r="657" ht="13.5" customHeight="1" spans="1:31" x14ac:dyDescent="0.25">
      <c r="A657" s="1"/>
      <c r="B657" s="4"/>
      <c r="C657" s="4"/>
      <c r="D657" s="4"/>
      <c r="E657" s="4"/>
      <c r="F657" s="4"/>
      <c r="G657" s="4"/>
      <c r="H657" s="4"/>
      <c r="I657" s="4"/>
      <c r="J657" s="4"/>
      <c r="K657" s="4"/>
      <c r="L657" s="4"/>
      <c r="M657" s="4"/>
      <c r="N657" s="4"/>
      <c r="O657" s="4"/>
      <c r="P657" s="4"/>
      <c r="Q657" s="4"/>
      <c r="R657" s="4"/>
      <c r="S657" s="4"/>
      <c r="T657" s="4"/>
      <c r="U657" s="4"/>
      <c r="V657" s="4"/>
      <c r="W657" s="4"/>
      <c r="X657" s="4"/>
      <c r="Y657" s="4"/>
      <c r="Z657" s="4"/>
      <c r="AA657" s="4"/>
      <c r="AB657" s="4"/>
      <c r="AC657" s="4"/>
      <c r="AD657" s="4"/>
      <c r="AE657" s="4"/>
    </row>
    <row r="658" ht="13.5" customHeight="1" spans="1:31" x14ac:dyDescent="0.25">
      <c r="A658" s="1"/>
      <c r="B658" s="4"/>
      <c r="C658" s="4"/>
      <c r="D658" s="4"/>
      <c r="E658" s="4"/>
      <c r="F658" s="4"/>
      <c r="G658" s="4"/>
      <c r="H658" s="4"/>
      <c r="I658" s="4"/>
      <c r="J658" s="4"/>
      <c r="K658" s="4"/>
      <c r="L658" s="4"/>
      <c r="M658" s="4"/>
      <c r="N658" s="4"/>
      <c r="O658" s="4"/>
      <c r="P658" s="4"/>
      <c r="Q658" s="4"/>
      <c r="R658" s="4"/>
      <c r="S658" s="4"/>
      <c r="T658" s="4"/>
      <c r="U658" s="4"/>
      <c r="V658" s="4"/>
      <c r="W658" s="4"/>
      <c r="X658" s="4"/>
      <c r="Y658" s="4"/>
      <c r="Z658" s="4"/>
      <c r="AA658" s="4"/>
      <c r="AB658" s="4"/>
      <c r="AC658" s="4"/>
      <c r="AD658" s="4"/>
      <c r="AE658" s="4"/>
    </row>
    <row r="659" ht="13.5" customHeight="1" spans="1:31" x14ac:dyDescent="0.25">
      <c r="A659" s="1"/>
      <c r="B659" s="4"/>
      <c r="C659" s="4"/>
      <c r="D659" s="4"/>
      <c r="E659" s="4"/>
      <c r="F659" s="4"/>
      <c r="G659" s="4"/>
      <c r="H659" s="4"/>
      <c r="I659" s="4"/>
      <c r="J659" s="4"/>
      <c r="K659" s="4"/>
      <c r="L659" s="4"/>
      <c r="M659" s="4"/>
      <c r="N659" s="4"/>
      <c r="O659" s="4"/>
      <c r="P659" s="4"/>
      <c r="Q659" s="4"/>
      <c r="R659" s="4"/>
      <c r="S659" s="4"/>
      <c r="T659" s="4"/>
      <c r="U659" s="4"/>
      <c r="V659" s="4"/>
      <c r="W659" s="4"/>
      <c r="X659" s="4"/>
      <c r="Y659" s="4"/>
      <c r="Z659" s="4"/>
      <c r="AA659" s="4"/>
      <c r="AB659" s="4"/>
      <c r="AC659" s="4"/>
      <c r="AD659" s="4"/>
      <c r="AE659" s="4"/>
    </row>
    <row r="660" ht="13.5" customHeight="1" spans="1:31" x14ac:dyDescent="0.25">
      <c r="A660" s="1"/>
      <c r="B660" s="4"/>
      <c r="C660" s="4"/>
      <c r="D660" s="4"/>
      <c r="E660" s="4"/>
      <c r="F660" s="4"/>
      <c r="G660" s="4"/>
      <c r="H660" s="4"/>
      <c r="I660" s="4"/>
      <c r="J660" s="4"/>
      <c r="K660" s="4"/>
      <c r="L660" s="4"/>
      <c r="M660" s="4"/>
      <c r="N660" s="4"/>
      <c r="O660" s="4"/>
      <c r="P660" s="4"/>
      <c r="Q660" s="4"/>
      <c r="R660" s="4"/>
      <c r="S660" s="4"/>
      <c r="T660" s="4"/>
      <c r="U660" s="4"/>
      <c r="V660" s="4"/>
      <c r="W660" s="4"/>
      <c r="X660" s="4"/>
      <c r="Y660" s="4"/>
      <c r="Z660" s="4"/>
      <c r="AA660" s="4"/>
      <c r="AB660" s="4"/>
      <c r="AC660" s="4"/>
      <c r="AD660" s="4"/>
      <c r="AE660" s="4"/>
    </row>
    <row r="661" ht="13.5" customHeight="1" spans="1:31" x14ac:dyDescent="0.25">
      <c r="A661" s="1"/>
      <c r="B661" s="4"/>
      <c r="C661" s="4"/>
      <c r="D661" s="4"/>
      <c r="E661" s="4"/>
      <c r="F661" s="4"/>
      <c r="G661" s="4"/>
      <c r="H661" s="4"/>
      <c r="I661" s="4"/>
      <c r="J661" s="4"/>
      <c r="K661" s="4"/>
      <c r="L661" s="4"/>
      <c r="M661" s="4"/>
      <c r="N661" s="4"/>
      <c r="O661" s="4"/>
      <c r="P661" s="4"/>
      <c r="Q661" s="4"/>
      <c r="R661" s="4"/>
      <c r="S661" s="4"/>
      <c r="T661" s="4"/>
      <c r="U661" s="4"/>
      <c r="V661" s="4"/>
      <c r="W661" s="4"/>
      <c r="X661" s="4"/>
      <c r="Y661" s="4"/>
      <c r="Z661" s="4"/>
      <c r="AA661" s="4"/>
      <c r="AB661" s="4"/>
      <c r="AC661" s="4"/>
      <c r="AD661" s="4"/>
      <c r="AE661" s="4"/>
    </row>
    <row r="662" ht="13.5" customHeight="1" spans="1:31" x14ac:dyDescent="0.25">
      <c r="A662" s="1"/>
      <c r="B662" s="4"/>
      <c r="C662" s="4"/>
      <c r="D662" s="4"/>
      <c r="E662" s="4"/>
      <c r="F662" s="4"/>
      <c r="G662" s="4"/>
      <c r="H662" s="4"/>
      <c r="I662" s="4"/>
      <c r="J662" s="4"/>
      <c r="K662" s="4"/>
      <c r="L662" s="4"/>
      <c r="M662" s="4"/>
      <c r="N662" s="4"/>
      <c r="O662" s="4"/>
      <c r="P662" s="4"/>
      <c r="Q662" s="4"/>
      <c r="R662" s="4"/>
      <c r="S662" s="4"/>
      <c r="T662" s="4"/>
      <c r="U662" s="4"/>
      <c r="V662" s="4"/>
      <c r="W662" s="4"/>
      <c r="X662" s="4"/>
      <c r="Y662" s="4"/>
      <c r="Z662" s="4"/>
      <c r="AA662" s="4"/>
      <c r="AB662" s="4"/>
      <c r="AC662" s="4"/>
      <c r="AD662" s="4"/>
      <c r="AE662" s="4"/>
    </row>
    <row r="663" ht="13.5" customHeight="1" spans="1:31" x14ac:dyDescent="0.25">
      <c r="A663" s="1"/>
      <c r="B663" s="4"/>
      <c r="C663" s="4"/>
      <c r="D663" s="4"/>
      <c r="E663" s="4"/>
      <c r="F663" s="4"/>
      <c r="G663" s="4"/>
      <c r="H663" s="4"/>
      <c r="I663" s="4"/>
      <c r="J663" s="4"/>
      <c r="K663" s="4"/>
      <c r="L663" s="4"/>
      <c r="M663" s="4"/>
      <c r="N663" s="4"/>
      <c r="O663" s="4"/>
      <c r="P663" s="4"/>
      <c r="Q663" s="4"/>
      <c r="R663" s="4"/>
      <c r="S663" s="4"/>
      <c r="T663" s="4"/>
      <c r="U663" s="4"/>
      <c r="V663" s="4"/>
      <c r="W663" s="4"/>
      <c r="X663" s="4"/>
      <c r="Y663" s="4"/>
      <c r="Z663" s="4"/>
      <c r="AA663" s="4"/>
      <c r="AB663" s="4"/>
      <c r="AC663" s="4"/>
      <c r="AD663" s="4"/>
      <c r="AE663" s="4"/>
    </row>
    <row r="664" ht="13.5" customHeight="1" spans="1:31" x14ac:dyDescent="0.25">
      <c r="A664" s="1"/>
      <c r="B664" s="4"/>
      <c r="C664" s="4"/>
      <c r="D664" s="4"/>
      <c r="E664" s="4"/>
      <c r="F664" s="4"/>
      <c r="G664" s="4"/>
      <c r="H664" s="4"/>
      <c r="I664" s="4"/>
      <c r="J664" s="4"/>
      <c r="K664" s="4"/>
      <c r="L664" s="4"/>
      <c r="M664" s="4"/>
      <c r="N664" s="4"/>
      <c r="O664" s="4"/>
      <c r="P664" s="4"/>
      <c r="Q664" s="4"/>
      <c r="R664" s="4"/>
      <c r="S664" s="4"/>
      <c r="T664" s="4"/>
      <c r="U664" s="4"/>
      <c r="V664" s="4"/>
      <c r="W664" s="4"/>
      <c r="X664" s="4"/>
      <c r="Y664" s="4"/>
      <c r="Z664" s="4"/>
      <c r="AA664" s="4"/>
      <c r="AB664" s="4"/>
      <c r="AC664" s="4"/>
      <c r="AD664" s="4"/>
      <c r="AE664" s="4"/>
    </row>
    <row r="665" ht="13.5" customHeight="1" spans="1:31" x14ac:dyDescent="0.25">
      <c r="A665" s="1"/>
      <c r="B665" s="4"/>
      <c r="C665" s="4"/>
      <c r="D665" s="4"/>
      <c r="E665" s="4"/>
      <c r="F665" s="4"/>
      <c r="G665" s="4"/>
      <c r="H665" s="4"/>
      <c r="I665" s="4"/>
      <c r="J665" s="4"/>
      <c r="K665" s="4"/>
      <c r="L665" s="4"/>
      <c r="M665" s="4"/>
      <c r="N665" s="4"/>
      <c r="O665" s="4"/>
      <c r="P665" s="4"/>
      <c r="Q665" s="4"/>
      <c r="R665" s="4"/>
      <c r="S665" s="4"/>
      <c r="T665" s="4"/>
      <c r="U665" s="4"/>
      <c r="V665" s="4"/>
      <c r="W665" s="4"/>
      <c r="X665" s="4"/>
      <c r="Y665" s="4"/>
      <c r="Z665" s="4"/>
      <c r="AA665" s="4"/>
      <c r="AB665" s="4"/>
      <c r="AC665" s="4"/>
      <c r="AD665" s="4"/>
      <c r="AE665" s="4"/>
    </row>
    <row r="666" ht="13.5" customHeight="1" spans="1:31" x14ac:dyDescent="0.25">
      <c r="A666" s="1"/>
      <c r="B666" s="4"/>
      <c r="C666" s="4"/>
      <c r="D666" s="4"/>
      <c r="E666" s="4"/>
      <c r="F666" s="4"/>
      <c r="G666" s="4"/>
      <c r="H666" s="4"/>
      <c r="I666" s="4"/>
      <c r="J666" s="4"/>
      <c r="K666" s="4"/>
      <c r="L666" s="4"/>
      <c r="M666" s="4"/>
      <c r="N666" s="4"/>
      <c r="O666" s="4"/>
      <c r="P666" s="4"/>
      <c r="Q666" s="4"/>
      <c r="R666" s="4"/>
      <c r="S666" s="4"/>
      <c r="T666" s="4"/>
      <c r="U666" s="4"/>
      <c r="V666" s="4"/>
      <c r="W666" s="4"/>
      <c r="X666" s="4"/>
      <c r="Y666" s="4"/>
      <c r="Z666" s="4"/>
      <c r="AA666" s="4"/>
      <c r="AB666" s="4"/>
      <c r="AC666" s="4"/>
      <c r="AD666" s="4"/>
      <c r="AE666" s="4"/>
    </row>
    <row r="667" ht="13.5" customHeight="1" spans="1:31" x14ac:dyDescent="0.25">
      <c r="A667" s="1"/>
      <c r="B667" s="4"/>
      <c r="C667" s="4"/>
      <c r="D667" s="4"/>
      <c r="E667" s="4"/>
      <c r="F667" s="4"/>
      <c r="G667" s="4"/>
      <c r="H667" s="4"/>
      <c r="I667" s="4"/>
      <c r="J667" s="4"/>
      <c r="K667" s="4"/>
      <c r="L667" s="4"/>
      <c r="M667" s="4"/>
      <c r="N667" s="4"/>
      <c r="O667" s="4"/>
      <c r="P667" s="4"/>
      <c r="Q667" s="4"/>
      <c r="R667" s="4"/>
      <c r="S667" s="4"/>
      <c r="T667" s="4"/>
      <c r="U667" s="4"/>
      <c r="V667" s="4"/>
      <c r="W667" s="4"/>
      <c r="X667" s="4"/>
      <c r="Y667" s="4"/>
      <c r="Z667" s="4"/>
      <c r="AA667" s="4"/>
      <c r="AB667" s="4"/>
      <c r="AC667" s="4"/>
      <c r="AD667" s="4"/>
      <c r="AE667" s="4"/>
    </row>
    <row r="668" ht="13.5" customHeight="1" spans="1:31" x14ac:dyDescent="0.25">
      <c r="A668" s="1"/>
      <c r="B668" s="4"/>
      <c r="C668" s="4"/>
      <c r="D668" s="4"/>
      <c r="E668" s="4"/>
      <c r="F668" s="4"/>
      <c r="G668" s="4"/>
      <c r="H668" s="4"/>
      <c r="I668" s="4"/>
      <c r="J668" s="4"/>
      <c r="K668" s="4"/>
      <c r="L668" s="4"/>
      <c r="M668" s="4"/>
      <c r="N668" s="4"/>
      <c r="O668" s="4"/>
      <c r="P668" s="4"/>
      <c r="Q668" s="4"/>
      <c r="R668" s="4"/>
      <c r="S668" s="4"/>
      <c r="T668" s="4"/>
      <c r="U668" s="4"/>
      <c r="V668" s="4"/>
      <c r="W668" s="4"/>
      <c r="X668" s="4"/>
      <c r="Y668" s="4"/>
      <c r="Z668" s="4"/>
      <c r="AA668" s="4"/>
      <c r="AB668" s="4"/>
      <c r="AC668" s="4"/>
      <c r="AD668" s="4"/>
      <c r="AE668" s="4"/>
    </row>
    <row r="669" ht="13.5" customHeight="1" spans="1:31" x14ac:dyDescent="0.25">
      <c r="A669" s="1"/>
      <c r="B669" s="4"/>
      <c r="C669" s="4"/>
      <c r="D669" s="4"/>
      <c r="E669" s="4"/>
      <c r="F669" s="4"/>
      <c r="G669" s="4"/>
      <c r="H669" s="4"/>
      <c r="I669" s="4"/>
      <c r="J669" s="4"/>
      <c r="K669" s="4"/>
      <c r="L669" s="4"/>
      <c r="M669" s="4"/>
      <c r="N669" s="4"/>
      <c r="O669" s="4"/>
      <c r="P669" s="4"/>
      <c r="Q669" s="4"/>
      <c r="R669" s="4"/>
      <c r="S669" s="4"/>
      <c r="T669" s="4"/>
      <c r="U669" s="4"/>
      <c r="V669" s="4"/>
      <c r="W669" s="4"/>
      <c r="X669" s="4"/>
      <c r="Y669" s="4"/>
      <c r="Z669" s="4"/>
      <c r="AA669" s="4"/>
      <c r="AB669" s="4"/>
      <c r="AC669" s="4"/>
      <c r="AD669" s="4"/>
      <c r="AE669" s="4"/>
    </row>
    <row r="670" ht="13.5" customHeight="1" spans="1:31" x14ac:dyDescent="0.25">
      <c r="A670" s="1"/>
      <c r="B670" s="4"/>
      <c r="C670" s="4"/>
      <c r="D670" s="4"/>
      <c r="E670" s="4"/>
      <c r="F670" s="4"/>
      <c r="G670" s="4"/>
      <c r="H670" s="4"/>
      <c r="I670" s="4"/>
      <c r="J670" s="4"/>
      <c r="K670" s="4"/>
      <c r="L670" s="4"/>
      <c r="M670" s="4"/>
      <c r="N670" s="4"/>
      <c r="O670" s="4"/>
      <c r="P670" s="4"/>
      <c r="Q670" s="4"/>
      <c r="R670" s="4"/>
      <c r="S670" s="4"/>
      <c r="T670" s="4"/>
      <c r="U670" s="4"/>
      <c r="V670" s="4"/>
      <c r="W670" s="4"/>
      <c r="X670" s="4"/>
      <c r="Y670" s="4"/>
      <c r="Z670" s="4"/>
      <c r="AA670" s="4"/>
      <c r="AB670" s="4"/>
      <c r="AC670" s="4"/>
      <c r="AD670" s="4"/>
      <c r="AE670" s="4"/>
    </row>
    <row r="671" ht="13.5" customHeight="1" spans="1:31" x14ac:dyDescent="0.25">
      <c r="A671" s="1"/>
      <c r="B671" s="4"/>
      <c r="C671" s="4"/>
      <c r="D671" s="4"/>
      <c r="E671" s="4"/>
      <c r="F671" s="4"/>
      <c r="G671" s="4"/>
      <c r="H671" s="4"/>
      <c r="I671" s="4"/>
      <c r="J671" s="4"/>
      <c r="K671" s="4"/>
      <c r="L671" s="4"/>
      <c r="M671" s="4"/>
      <c r="N671" s="4"/>
      <c r="O671" s="4"/>
      <c r="P671" s="4"/>
      <c r="Q671" s="4"/>
      <c r="R671" s="4"/>
      <c r="S671" s="4"/>
      <c r="T671" s="4"/>
      <c r="U671" s="4"/>
      <c r="V671" s="4"/>
      <c r="W671" s="4"/>
      <c r="X671" s="4"/>
      <c r="Y671" s="4"/>
      <c r="Z671" s="4"/>
      <c r="AA671" s="4"/>
      <c r="AB671" s="4"/>
      <c r="AC671" s="4"/>
      <c r="AD671" s="4"/>
      <c r="AE671" s="4"/>
    </row>
    <row r="672" ht="13.5" customHeight="1" spans="1:31" x14ac:dyDescent="0.25">
      <c r="A672" s="1"/>
      <c r="B672" s="4"/>
      <c r="C672" s="4"/>
      <c r="D672" s="4"/>
      <c r="E672" s="4"/>
      <c r="F672" s="4"/>
      <c r="G672" s="4"/>
      <c r="H672" s="4"/>
      <c r="I672" s="4"/>
      <c r="J672" s="4"/>
      <c r="K672" s="4"/>
      <c r="L672" s="4"/>
      <c r="M672" s="4"/>
      <c r="N672" s="4"/>
      <c r="O672" s="4"/>
      <c r="P672" s="4"/>
      <c r="Q672" s="4"/>
      <c r="R672" s="4"/>
      <c r="S672" s="4"/>
      <c r="T672" s="4"/>
      <c r="U672" s="4"/>
      <c r="V672" s="4"/>
      <c r="W672" s="4"/>
      <c r="X672" s="4"/>
      <c r="Y672" s="4"/>
      <c r="Z672" s="4"/>
      <c r="AA672" s="4"/>
      <c r="AB672" s="4"/>
      <c r="AC672" s="4"/>
      <c r="AD672" s="4"/>
      <c r="AE672" s="4"/>
    </row>
    <row r="673" ht="13.5" customHeight="1" spans="1:31" x14ac:dyDescent="0.25">
      <c r="A673" s="1"/>
      <c r="B673" s="4"/>
      <c r="C673" s="4"/>
      <c r="D673" s="4"/>
      <c r="E673" s="4"/>
      <c r="F673" s="4"/>
      <c r="G673" s="4"/>
      <c r="H673" s="4"/>
      <c r="I673" s="4"/>
      <c r="J673" s="4"/>
      <c r="K673" s="4"/>
      <c r="L673" s="4"/>
      <c r="M673" s="4"/>
      <c r="N673" s="4"/>
      <c r="O673" s="4"/>
      <c r="P673" s="4"/>
      <c r="Q673" s="4"/>
      <c r="R673" s="4"/>
      <c r="S673" s="4"/>
      <c r="T673" s="4"/>
      <c r="U673" s="4"/>
      <c r="V673" s="4"/>
      <c r="W673" s="4"/>
      <c r="X673" s="4"/>
      <c r="Y673" s="4"/>
      <c r="Z673" s="4"/>
      <c r="AA673" s="4"/>
      <c r="AB673" s="4"/>
      <c r="AC673" s="4"/>
      <c r="AD673" s="4"/>
      <c r="AE673" s="4"/>
    </row>
    <row r="674" ht="13.5" customHeight="1" spans="1:31" x14ac:dyDescent="0.25">
      <c r="A674" s="1"/>
      <c r="B674" s="4"/>
      <c r="C674" s="4"/>
      <c r="D674" s="4"/>
      <c r="E674" s="4"/>
      <c r="F674" s="4"/>
      <c r="G674" s="4"/>
      <c r="H674" s="4"/>
      <c r="I674" s="4"/>
      <c r="J674" s="4"/>
      <c r="K674" s="4"/>
      <c r="L674" s="4"/>
      <c r="M674" s="4"/>
      <c r="N674" s="4"/>
      <c r="O674" s="4"/>
      <c r="P674" s="4"/>
      <c r="Q674" s="4"/>
      <c r="R674" s="4"/>
      <c r="S674" s="4"/>
      <c r="T674" s="4"/>
      <c r="U674" s="4"/>
      <c r="V674" s="4"/>
      <c r="W674" s="4"/>
      <c r="X674" s="4"/>
      <c r="Y674" s="4"/>
      <c r="Z674" s="4"/>
      <c r="AA674" s="4"/>
      <c r="AB674" s="4"/>
      <c r="AC674" s="4"/>
      <c r="AD674" s="4"/>
      <c r="AE674" s="4"/>
    </row>
    <row r="675" ht="13.5" customHeight="1" spans="1:31" x14ac:dyDescent="0.25">
      <c r="A675" s="1"/>
      <c r="B675" s="4"/>
      <c r="C675" s="4"/>
      <c r="D675" s="4"/>
      <c r="E675" s="4"/>
      <c r="F675" s="4"/>
      <c r="G675" s="4"/>
      <c r="H675" s="4"/>
      <c r="I675" s="4"/>
      <c r="J675" s="4"/>
      <c r="K675" s="4"/>
      <c r="L675" s="4"/>
      <c r="M675" s="4"/>
      <c r="N675" s="4"/>
      <c r="O675" s="4"/>
      <c r="P675" s="4"/>
      <c r="Q675" s="4"/>
      <c r="R675" s="4"/>
      <c r="S675" s="4"/>
      <c r="T675" s="4"/>
      <c r="U675" s="4"/>
      <c r="V675" s="4"/>
      <c r="W675" s="4"/>
      <c r="X675" s="4"/>
      <c r="Y675" s="4"/>
      <c r="Z675" s="4"/>
      <c r="AA675" s="4"/>
      <c r="AB675" s="4"/>
      <c r="AC675" s="4"/>
      <c r="AD675" s="4"/>
      <c r="AE675" s="4"/>
    </row>
    <row r="676" ht="13.5" customHeight="1" spans="1:31" x14ac:dyDescent="0.25">
      <c r="A676" s="1"/>
      <c r="B676" s="4"/>
      <c r="C676" s="4"/>
      <c r="D676" s="4"/>
      <c r="E676" s="4"/>
      <c r="F676" s="4"/>
      <c r="G676" s="4"/>
      <c r="H676" s="4"/>
      <c r="I676" s="4"/>
      <c r="J676" s="4"/>
      <c r="K676" s="4"/>
      <c r="L676" s="4"/>
      <c r="M676" s="4"/>
      <c r="N676" s="4"/>
      <c r="O676" s="4"/>
      <c r="P676" s="4"/>
      <c r="Q676" s="4"/>
      <c r="R676" s="4"/>
      <c r="S676" s="4"/>
      <c r="T676" s="4"/>
      <c r="U676" s="4"/>
      <c r="V676" s="4"/>
      <c r="W676" s="4"/>
      <c r="X676" s="4"/>
      <c r="Y676" s="4"/>
      <c r="Z676" s="4"/>
      <c r="AA676" s="4"/>
      <c r="AB676" s="4"/>
      <c r="AC676" s="4"/>
      <c r="AD676" s="4"/>
      <c r="AE676" s="4"/>
    </row>
    <row r="677" ht="13.5" customHeight="1" spans="1:31" x14ac:dyDescent="0.25">
      <c r="A677" s="1"/>
      <c r="B677" s="4"/>
      <c r="C677" s="4"/>
      <c r="D677" s="4"/>
      <c r="E677" s="4"/>
      <c r="F677" s="4"/>
      <c r="G677" s="4"/>
      <c r="H677" s="4"/>
      <c r="I677" s="4"/>
      <c r="J677" s="4"/>
      <c r="K677" s="4"/>
      <c r="L677" s="4"/>
      <c r="M677" s="4"/>
      <c r="N677" s="4"/>
      <c r="O677" s="4"/>
      <c r="P677" s="4"/>
      <c r="Q677" s="4"/>
      <c r="R677" s="4"/>
      <c r="S677" s="4"/>
      <c r="T677" s="4"/>
      <c r="U677" s="4"/>
      <c r="V677" s="4"/>
      <c r="W677" s="4"/>
      <c r="X677" s="4"/>
      <c r="Y677" s="4"/>
      <c r="Z677" s="4"/>
      <c r="AA677" s="4"/>
      <c r="AB677" s="4"/>
      <c r="AC677" s="4"/>
      <c r="AD677" s="4"/>
      <c r="AE677" s="4"/>
    </row>
    <row r="678" ht="13.5" customHeight="1" spans="1:31" x14ac:dyDescent="0.25">
      <c r="A678" s="1"/>
      <c r="B678" s="4"/>
      <c r="C678" s="4"/>
      <c r="D678" s="4"/>
      <c r="E678" s="4"/>
      <c r="F678" s="4"/>
      <c r="G678" s="4"/>
      <c r="H678" s="4"/>
      <c r="I678" s="4"/>
      <c r="J678" s="4"/>
      <c r="K678" s="4"/>
      <c r="L678" s="4"/>
      <c r="M678" s="4"/>
      <c r="N678" s="4"/>
      <c r="O678" s="4"/>
      <c r="P678" s="4"/>
      <c r="Q678" s="4"/>
      <c r="R678" s="4"/>
      <c r="S678" s="4"/>
      <c r="T678" s="4"/>
      <c r="U678" s="4"/>
      <c r="V678" s="4"/>
      <c r="W678" s="4"/>
      <c r="X678" s="4"/>
      <c r="Y678" s="4"/>
      <c r="Z678" s="4"/>
      <c r="AA678" s="4"/>
      <c r="AB678" s="4"/>
      <c r="AC678" s="4"/>
      <c r="AD678" s="4"/>
      <c r="AE678" s="4"/>
    </row>
    <row r="679" ht="13.5" customHeight="1" spans="1:31" x14ac:dyDescent="0.25">
      <c r="A679" s="1"/>
      <c r="B679" s="4"/>
      <c r="C679" s="4"/>
      <c r="D679" s="4"/>
      <c r="E679" s="4"/>
      <c r="F679" s="4"/>
      <c r="G679" s="4"/>
      <c r="H679" s="4"/>
      <c r="I679" s="4"/>
      <c r="J679" s="4"/>
      <c r="K679" s="4"/>
      <c r="L679" s="4"/>
      <c r="M679" s="4"/>
      <c r="N679" s="4"/>
      <c r="O679" s="4"/>
      <c r="P679" s="4"/>
      <c r="Q679" s="4"/>
      <c r="R679" s="4"/>
      <c r="S679" s="4"/>
      <c r="T679" s="4"/>
      <c r="U679" s="4"/>
      <c r="V679" s="4"/>
      <c r="W679" s="4"/>
      <c r="X679" s="4"/>
      <c r="Y679" s="4"/>
      <c r="Z679" s="4"/>
      <c r="AA679" s="4"/>
      <c r="AB679" s="4"/>
      <c r="AC679" s="4"/>
      <c r="AD679" s="4"/>
      <c r="AE679" s="4"/>
    </row>
    <row r="680" ht="13.5" customHeight="1" spans="1:31" x14ac:dyDescent="0.25">
      <c r="A680" s="1"/>
      <c r="B680" s="4"/>
      <c r="C680" s="4"/>
      <c r="D680" s="4"/>
      <c r="E680" s="4"/>
      <c r="F680" s="4"/>
      <c r="G680" s="4"/>
      <c r="H680" s="4"/>
      <c r="I680" s="4"/>
      <c r="J680" s="4"/>
      <c r="K680" s="4"/>
      <c r="L680" s="4"/>
      <c r="M680" s="4"/>
      <c r="N680" s="4"/>
      <c r="O680" s="4"/>
      <c r="P680" s="4"/>
      <c r="Q680" s="4"/>
      <c r="R680" s="4"/>
      <c r="S680" s="4"/>
      <c r="T680" s="4"/>
      <c r="U680" s="4"/>
      <c r="V680" s="4"/>
      <c r="W680" s="4"/>
      <c r="X680" s="4"/>
      <c r="Y680" s="4"/>
      <c r="Z680" s="4"/>
      <c r="AA680" s="4"/>
      <c r="AB680" s="4"/>
      <c r="AC680" s="4"/>
      <c r="AD680" s="4"/>
      <c r="AE680" s="4"/>
    </row>
    <row r="681" ht="13.5" customHeight="1" spans="1:31" x14ac:dyDescent="0.25">
      <c r="A681" s="1"/>
      <c r="B681" s="4"/>
      <c r="C681" s="4"/>
      <c r="D681" s="4"/>
      <c r="E681" s="4"/>
      <c r="F681" s="4"/>
      <c r="G681" s="4"/>
      <c r="H681" s="4"/>
      <c r="I681" s="4"/>
      <c r="J681" s="4"/>
      <c r="K681" s="4"/>
      <c r="L681" s="4"/>
      <c r="M681" s="4"/>
      <c r="N681" s="4"/>
      <c r="O681" s="4"/>
      <c r="P681" s="4"/>
      <c r="Q681" s="4"/>
      <c r="R681" s="4"/>
      <c r="S681" s="4"/>
      <c r="T681" s="4"/>
      <c r="U681" s="4"/>
      <c r="V681" s="4"/>
      <c r="W681" s="4"/>
      <c r="X681" s="4"/>
      <c r="Y681" s="4"/>
      <c r="Z681" s="4"/>
      <c r="AA681" s="4"/>
      <c r="AB681" s="4"/>
      <c r="AC681" s="4"/>
      <c r="AD681" s="4"/>
      <c r="AE681" s="4"/>
    </row>
    <row r="682" ht="13.5" customHeight="1" spans="1:31" x14ac:dyDescent="0.25">
      <c r="A682" s="1"/>
      <c r="B682" s="4"/>
      <c r="C682" s="4"/>
      <c r="D682" s="4"/>
      <c r="E682" s="4"/>
      <c r="F682" s="4"/>
      <c r="G682" s="4"/>
      <c r="H682" s="4"/>
      <c r="I682" s="4"/>
      <c r="J682" s="4"/>
      <c r="K682" s="4"/>
      <c r="L682" s="4"/>
      <c r="M682" s="4"/>
      <c r="N682" s="4"/>
      <c r="O682" s="4"/>
      <c r="P682" s="4"/>
      <c r="Q682" s="4"/>
      <c r="R682" s="4"/>
      <c r="S682" s="4"/>
      <c r="T682" s="4"/>
      <c r="U682" s="4"/>
      <c r="V682" s="4"/>
      <c r="W682" s="4"/>
      <c r="X682" s="4"/>
      <c r="Y682" s="4"/>
      <c r="Z682" s="4"/>
      <c r="AA682" s="4"/>
      <c r="AB682" s="4"/>
      <c r="AC682" s="4"/>
      <c r="AD682" s="4"/>
      <c r="AE682" s="4"/>
    </row>
    <row r="683" ht="13.5" customHeight="1" spans="1:31" x14ac:dyDescent="0.25">
      <c r="A683" s="1"/>
      <c r="B683" s="4"/>
      <c r="C683" s="4"/>
      <c r="D683" s="4"/>
      <c r="E683" s="4"/>
      <c r="F683" s="4"/>
      <c r="G683" s="4"/>
      <c r="H683" s="4"/>
      <c r="I683" s="4"/>
      <c r="J683" s="4"/>
      <c r="K683" s="4"/>
      <c r="L683" s="4"/>
      <c r="M683" s="4"/>
      <c r="N683" s="4"/>
      <c r="O683" s="4"/>
      <c r="P683" s="4"/>
      <c r="Q683" s="4"/>
      <c r="R683" s="4"/>
      <c r="S683" s="4"/>
      <c r="T683" s="4"/>
      <c r="U683" s="4"/>
      <c r="V683" s="4"/>
      <c r="W683" s="4"/>
      <c r="X683" s="4"/>
      <c r="Y683" s="4"/>
      <c r="Z683" s="4"/>
      <c r="AA683" s="4"/>
      <c r="AB683" s="4"/>
      <c r="AC683" s="4"/>
      <c r="AD683" s="4"/>
      <c r="AE683" s="4"/>
    </row>
    <row r="684" ht="13.5" customHeight="1" spans="1:31" x14ac:dyDescent="0.25">
      <c r="A684" s="1"/>
      <c r="B684" s="4"/>
      <c r="C684" s="4"/>
      <c r="D684" s="4"/>
      <c r="E684" s="4"/>
      <c r="F684" s="4"/>
      <c r="G684" s="4"/>
      <c r="H684" s="4"/>
      <c r="I684" s="4"/>
      <c r="J684" s="4"/>
      <c r="K684" s="4"/>
      <c r="L684" s="4"/>
      <c r="M684" s="4"/>
      <c r="N684" s="4"/>
      <c r="O684" s="4"/>
      <c r="P684" s="4"/>
      <c r="Q684" s="4"/>
      <c r="R684" s="4"/>
      <c r="S684" s="4"/>
      <c r="T684" s="4"/>
      <c r="U684" s="4"/>
      <c r="V684" s="4"/>
      <c r="W684" s="4"/>
      <c r="X684" s="4"/>
      <c r="Y684" s="4"/>
      <c r="Z684" s="4"/>
      <c r="AA684" s="4"/>
      <c r="AB684" s="4"/>
      <c r="AC684" s="4"/>
      <c r="AD684" s="4"/>
      <c r="AE684" s="4"/>
    </row>
    <row r="685" ht="13.5" customHeight="1" spans="1:31" x14ac:dyDescent="0.25">
      <c r="A685" s="1"/>
      <c r="B685" s="4"/>
      <c r="C685" s="4"/>
      <c r="D685" s="4"/>
      <c r="E685" s="4"/>
      <c r="F685" s="4"/>
      <c r="G685" s="4"/>
      <c r="H685" s="4"/>
      <c r="I685" s="4"/>
      <c r="J685" s="4"/>
      <c r="K685" s="4"/>
      <c r="L685" s="4"/>
      <c r="M685" s="4"/>
      <c r="N685" s="4"/>
      <c r="O685" s="4"/>
      <c r="P685" s="4"/>
      <c r="Q685" s="4"/>
      <c r="R685" s="4"/>
      <c r="S685" s="4"/>
      <c r="T685" s="4"/>
      <c r="U685" s="4"/>
      <c r="V685" s="4"/>
      <c r="W685" s="4"/>
      <c r="X685" s="4"/>
      <c r="Y685" s="4"/>
      <c r="Z685" s="4"/>
      <c r="AA685" s="4"/>
      <c r="AB685" s="4"/>
      <c r="AC685" s="4"/>
      <c r="AD685" s="4"/>
      <c r="AE685" s="4"/>
    </row>
    <row r="686" ht="13.5" customHeight="1" spans="1:31" x14ac:dyDescent="0.25">
      <c r="A686" s="1"/>
      <c r="B686" s="4"/>
      <c r="C686" s="4"/>
      <c r="D686" s="4"/>
      <c r="E686" s="4"/>
      <c r="F686" s="4"/>
      <c r="G686" s="4"/>
      <c r="H686" s="4"/>
      <c r="I686" s="4"/>
      <c r="J686" s="4"/>
      <c r="K686" s="4"/>
      <c r="L686" s="4"/>
      <c r="M686" s="4"/>
      <c r="N686" s="4"/>
      <c r="O686" s="4"/>
      <c r="P686" s="4"/>
      <c r="Q686" s="4"/>
      <c r="R686" s="4"/>
      <c r="S686" s="4"/>
      <c r="T686" s="4"/>
      <c r="U686" s="4"/>
      <c r="V686" s="4"/>
      <c r="W686" s="4"/>
      <c r="X686" s="4"/>
      <c r="Y686" s="4"/>
      <c r="Z686" s="4"/>
      <c r="AA686" s="4"/>
      <c r="AB686" s="4"/>
      <c r="AC686" s="4"/>
      <c r="AD686" s="4"/>
      <c r="AE686" s="4"/>
    </row>
    <row r="687" ht="13.5" customHeight="1" spans="1:31" x14ac:dyDescent="0.25">
      <c r="A687" s="1"/>
      <c r="B687" s="4"/>
      <c r="C687" s="4"/>
      <c r="D687" s="4"/>
      <c r="E687" s="4"/>
      <c r="F687" s="4"/>
      <c r="G687" s="4"/>
      <c r="H687" s="4"/>
      <c r="I687" s="4"/>
      <c r="J687" s="4"/>
      <c r="K687" s="4"/>
      <c r="L687" s="4"/>
      <c r="M687" s="4"/>
      <c r="N687" s="4"/>
      <c r="O687" s="4"/>
      <c r="P687" s="4"/>
      <c r="Q687" s="4"/>
      <c r="R687" s="4"/>
      <c r="S687" s="4"/>
      <c r="T687" s="4"/>
      <c r="U687" s="4"/>
      <c r="V687" s="4"/>
      <c r="W687" s="4"/>
      <c r="X687" s="4"/>
      <c r="Y687" s="4"/>
      <c r="Z687" s="4"/>
      <c r="AA687" s="4"/>
      <c r="AB687" s="4"/>
      <c r="AC687" s="4"/>
      <c r="AD687" s="4"/>
      <c r="AE687" s="4"/>
    </row>
    <row r="688" ht="13.5" customHeight="1" spans="1:31" x14ac:dyDescent="0.25">
      <c r="A688" s="1"/>
      <c r="B688" s="4"/>
      <c r="C688" s="4"/>
      <c r="D688" s="4"/>
      <c r="E688" s="4"/>
      <c r="F688" s="4"/>
      <c r="G688" s="4"/>
      <c r="H688" s="4"/>
      <c r="I688" s="4"/>
      <c r="J688" s="4"/>
      <c r="K688" s="4"/>
      <c r="L688" s="4"/>
      <c r="M688" s="4"/>
      <c r="N688" s="4"/>
      <c r="O688" s="4"/>
      <c r="P688" s="4"/>
      <c r="Q688" s="4"/>
      <c r="R688" s="4"/>
      <c r="S688" s="4"/>
      <c r="T688" s="4"/>
      <c r="U688" s="4"/>
      <c r="V688" s="4"/>
      <c r="W688" s="4"/>
      <c r="X688" s="4"/>
      <c r="Y688" s="4"/>
      <c r="Z688" s="4"/>
      <c r="AA688" s="4"/>
      <c r="AB688" s="4"/>
      <c r="AC688" s="4"/>
      <c r="AD688" s="4"/>
      <c r="AE688" s="4"/>
    </row>
    <row r="689" ht="13.5" customHeight="1" spans="1:31" x14ac:dyDescent="0.25">
      <c r="A689" s="1"/>
      <c r="B689" s="4"/>
      <c r="C689" s="4"/>
      <c r="D689" s="4"/>
      <c r="E689" s="4"/>
      <c r="F689" s="4"/>
      <c r="G689" s="4"/>
      <c r="H689" s="4"/>
      <c r="I689" s="4"/>
      <c r="J689" s="4"/>
      <c r="K689" s="4"/>
      <c r="L689" s="4"/>
      <c r="M689" s="4"/>
      <c r="N689" s="4"/>
      <c r="O689" s="4"/>
      <c r="P689" s="4"/>
      <c r="Q689" s="4"/>
      <c r="R689" s="4"/>
      <c r="S689" s="4"/>
      <c r="T689" s="4"/>
      <c r="U689" s="4"/>
      <c r="V689" s="4"/>
      <c r="W689" s="4"/>
      <c r="X689" s="4"/>
      <c r="Y689" s="4"/>
      <c r="Z689" s="4"/>
      <c r="AA689" s="4"/>
      <c r="AB689" s="4"/>
      <c r="AC689" s="4"/>
      <c r="AD689" s="4"/>
      <c r="AE689" s="4"/>
    </row>
    <row r="690" ht="13.5" customHeight="1" spans="1:31" x14ac:dyDescent="0.25">
      <c r="A690" s="1"/>
      <c r="B690" s="4"/>
      <c r="C690" s="4"/>
      <c r="D690" s="4"/>
      <c r="E690" s="4"/>
      <c r="F690" s="4"/>
      <c r="G690" s="4"/>
      <c r="H690" s="4"/>
      <c r="I690" s="4"/>
      <c r="J690" s="4"/>
      <c r="K690" s="4"/>
      <c r="L690" s="4"/>
      <c r="M690" s="4"/>
      <c r="N690" s="4"/>
      <c r="O690" s="4"/>
      <c r="P690" s="4"/>
      <c r="Q690" s="4"/>
      <c r="R690" s="4"/>
      <c r="S690" s="4"/>
      <c r="T690" s="4"/>
      <c r="U690" s="4"/>
      <c r="V690" s="4"/>
      <c r="W690" s="4"/>
      <c r="X690" s="4"/>
      <c r="Y690" s="4"/>
      <c r="Z690" s="4"/>
      <c r="AA690" s="4"/>
      <c r="AB690" s="4"/>
      <c r="AC690" s="4"/>
      <c r="AD690" s="4"/>
      <c r="AE690" s="4"/>
    </row>
    <row r="691" ht="13.5" customHeight="1" spans="1:31" x14ac:dyDescent="0.25">
      <c r="A691" s="1"/>
      <c r="B691" s="4"/>
      <c r="C691" s="4"/>
      <c r="D691" s="4"/>
      <c r="E691" s="4"/>
      <c r="F691" s="4"/>
      <c r="G691" s="4"/>
      <c r="H691" s="4"/>
      <c r="I691" s="4"/>
      <c r="J691" s="4"/>
      <c r="K691" s="4"/>
      <c r="L691" s="4"/>
      <c r="M691" s="4"/>
      <c r="N691" s="4"/>
      <c r="O691" s="4"/>
      <c r="P691" s="4"/>
      <c r="Q691" s="4"/>
      <c r="R691" s="4"/>
      <c r="S691" s="4"/>
      <c r="T691" s="4"/>
      <c r="U691" s="4"/>
      <c r="V691" s="4"/>
      <c r="W691" s="4"/>
      <c r="X691" s="4"/>
      <c r="Y691" s="4"/>
      <c r="Z691" s="4"/>
      <c r="AA691" s="4"/>
      <c r="AB691" s="4"/>
      <c r="AC691" s="4"/>
      <c r="AD691" s="4"/>
      <c r="AE691" s="4"/>
    </row>
    <row r="692" ht="13.5" customHeight="1" spans="1:31" x14ac:dyDescent="0.25">
      <c r="A692" s="1"/>
      <c r="B692" s="4"/>
      <c r="C692" s="4"/>
      <c r="D692" s="4"/>
      <c r="E692" s="4"/>
      <c r="F692" s="4"/>
      <c r="G692" s="4"/>
      <c r="H692" s="4"/>
      <c r="I692" s="4"/>
      <c r="J692" s="4"/>
      <c r="K692" s="4"/>
      <c r="L692" s="4"/>
      <c r="M692" s="4"/>
      <c r="N692" s="4"/>
      <c r="O692" s="4"/>
      <c r="P692" s="4"/>
      <c r="Q692" s="4"/>
      <c r="R692" s="4"/>
      <c r="S692" s="4"/>
      <c r="T692" s="4"/>
      <c r="U692" s="4"/>
      <c r="V692" s="4"/>
      <c r="W692" s="4"/>
      <c r="X692" s="4"/>
      <c r="Y692" s="4"/>
      <c r="Z692" s="4"/>
      <c r="AA692" s="4"/>
      <c r="AB692" s="4"/>
      <c r="AC692" s="4"/>
      <c r="AD692" s="4"/>
      <c r="AE692" s="4"/>
    </row>
    <row r="693" ht="13.5" customHeight="1" spans="1:31" x14ac:dyDescent="0.25">
      <c r="A693" s="1"/>
      <c r="B693" s="4"/>
      <c r="C693" s="4"/>
      <c r="D693" s="4"/>
      <c r="E693" s="4"/>
      <c r="F693" s="4"/>
      <c r="G693" s="4"/>
      <c r="H693" s="4"/>
      <c r="I693" s="4"/>
      <c r="J693" s="4"/>
      <c r="K693" s="4"/>
      <c r="L693" s="4"/>
      <c r="M693" s="4"/>
      <c r="N693" s="4"/>
      <c r="O693" s="4"/>
      <c r="P693" s="4"/>
      <c r="Q693" s="4"/>
      <c r="R693" s="4"/>
      <c r="S693" s="4"/>
      <c r="T693" s="4"/>
      <c r="U693" s="4"/>
      <c r="V693" s="4"/>
      <c r="W693" s="4"/>
      <c r="X693" s="4"/>
      <c r="Y693" s="4"/>
      <c r="Z693" s="4"/>
      <c r="AA693" s="4"/>
      <c r="AB693" s="4"/>
      <c r="AC693" s="4"/>
      <c r="AD693" s="4"/>
      <c r="AE693" s="4"/>
    </row>
    <row r="694" ht="13.5" customHeight="1" spans="1:31" x14ac:dyDescent="0.25">
      <c r="A694" s="1"/>
      <c r="B694" s="4"/>
      <c r="C694" s="4"/>
      <c r="D694" s="4"/>
      <c r="E694" s="4"/>
      <c r="F694" s="4"/>
      <c r="G694" s="4"/>
      <c r="H694" s="4"/>
      <c r="I694" s="4"/>
      <c r="J694" s="4"/>
      <c r="K694" s="4"/>
      <c r="L694" s="4"/>
      <c r="M694" s="4"/>
      <c r="N694" s="4"/>
      <c r="O694" s="4"/>
      <c r="P694" s="4"/>
      <c r="Q694" s="4"/>
      <c r="R694" s="4"/>
      <c r="S694" s="4"/>
      <c r="T694" s="4"/>
      <c r="U694" s="4"/>
      <c r="V694" s="4"/>
      <c r="W694" s="4"/>
      <c r="X694" s="4"/>
      <c r="Y694" s="4"/>
      <c r="Z694" s="4"/>
      <c r="AA694" s="4"/>
      <c r="AB694" s="4"/>
      <c r="AC694" s="4"/>
      <c r="AD694" s="4"/>
      <c r="AE694" s="4"/>
    </row>
    <row r="695" ht="13.5" customHeight="1" spans="1:31" x14ac:dyDescent="0.25">
      <c r="A695" s="1"/>
      <c r="B695" s="4"/>
      <c r="C695" s="4"/>
      <c r="D695" s="4"/>
      <c r="E695" s="4"/>
      <c r="F695" s="4"/>
      <c r="G695" s="4"/>
      <c r="H695" s="4"/>
      <c r="I695" s="4"/>
      <c r="J695" s="4"/>
      <c r="K695" s="4"/>
      <c r="L695" s="4"/>
      <c r="M695" s="4"/>
      <c r="N695" s="4"/>
      <c r="O695" s="4"/>
      <c r="P695" s="4"/>
      <c r="Q695" s="4"/>
      <c r="R695" s="4"/>
      <c r="S695" s="4"/>
      <c r="T695" s="4"/>
      <c r="U695" s="4"/>
      <c r="V695" s="4"/>
      <c r="W695" s="4"/>
      <c r="X695" s="4"/>
      <c r="Y695" s="4"/>
      <c r="Z695" s="4"/>
      <c r="AA695" s="4"/>
      <c r="AB695" s="4"/>
      <c r="AC695" s="4"/>
      <c r="AD695" s="4"/>
      <c r="AE695" s="4"/>
    </row>
    <row r="696" ht="13.5" customHeight="1" spans="1:31" x14ac:dyDescent="0.25">
      <c r="A696" s="1"/>
      <c r="B696" s="4"/>
      <c r="C696" s="4"/>
      <c r="D696" s="4"/>
      <c r="E696" s="4"/>
      <c r="F696" s="4"/>
      <c r="G696" s="4"/>
      <c r="H696" s="4"/>
      <c r="I696" s="4"/>
      <c r="J696" s="4"/>
      <c r="K696" s="4"/>
      <c r="L696" s="4"/>
      <c r="M696" s="4"/>
      <c r="N696" s="4"/>
      <c r="O696" s="4"/>
      <c r="P696" s="4"/>
      <c r="Q696" s="4"/>
      <c r="R696" s="4"/>
      <c r="S696" s="4"/>
      <c r="T696" s="4"/>
      <c r="U696" s="4"/>
      <c r="V696" s="4"/>
      <c r="W696" s="4"/>
      <c r="X696" s="4"/>
      <c r="Y696" s="4"/>
      <c r="Z696" s="4"/>
      <c r="AA696" s="4"/>
      <c r="AB696" s="4"/>
      <c r="AC696" s="4"/>
      <c r="AD696" s="4"/>
      <c r="AE696" s="4"/>
    </row>
    <row r="697" ht="13.5" customHeight="1" spans="1:31" x14ac:dyDescent="0.25">
      <c r="A697" s="1"/>
      <c r="B697" s="4"/>
      <c r="C697" s="4"/>
      <c r="D697" s="4"/>
      <c r="E697" s="4"/>
      <c r="F697" s="4"/>
      <c r="G697" s="4"/>
      <c r="H697" s="4"/>
      <c r="I697" s="4"/>
      <c r="J697" s="4"/>
      <c r="K697" s="4"/>
      <c r="L697" s="4"/>
      <c r="M697" s="4"/>
      <c r="N697" s="4"/>
      <c r="O697" s="4"/>
      <c r="P697" s="4"/>
      <c r="Q697" s="4"/>
      <c r="R697" s="4"/>
      <c r="S697" s="4"/>
      <c r="T697" s="4"/>
      <c r="U697" s="4"/>
      <c r="V697" s="4"/>
      <c r="W697" s="4"/>
      <c r="X697" s="4"/>
      <c r="Y697" s="4"/>
      <c r="Z697" s="4"/>
      <c r="AA697" s="4"/>
      <c r="AB697" s="4"/>
      <c r="AC697" s="4"/>
      <c r="AD697" s="4"/>
      <c r="AE697" s="4"/>
    </row>
    <row r="698" ht="13.5" customHeight="1" spans="1:31" x14ac:dyDescent="0.25">
      <c r="A698" s="1"/>
      <c r="B698" s="4"/>
      <c r="C698" s="4"/>
      <c r="D698" s="4"/>
      <c r="E698" s="4"/>
      <c r="F698" s="4"/>
      <c r="G698" s="4"/>
      <c r="H698" s="4"/>
      <c r="I698" s="4"/>
      <c r="J698" s="4"/>
      <c r="K698" s="4"/>
      <c r="L698" s="4"/>
      <c r="M698" s="4"/>
      <c r="N698" s="4"/>
      <c r="O698" s="4"/>
      <c r="P698" s="4"/>
      <c r="Q698" s="4"/>
      <c r="R698" s="4"/>
      <c r="S698" s="4"/>
      <c r="T698" s="4"/>
      <c r="U698" s="4"/>
      <c r="V698" s="4"/>
      <c r="W698" s="4"/>
      <c r="X698" s="4"/>
      <c r="Y698" s="4"/>
      <c r="Z698" s="4"/>
      <c r="AA698" s="4"/>
      <c r="AB698" s="4"/>
      <c r="AC698" s="4"/>
      <c r="AD698" s="4"/>
      <c r="AE698" s="4"/>
    </row>
    <row r="699" ht="13.5" customHeight="1" spans="1:31" x14ac:dyDescent="0.25">
      <c r="A699" s="1"/>
      <c r="B699" s="4"/>
      <c r="C699" s="4"/>
      <c r="D699" s="4"/>
      <c r="E699" s="4"/>
      <c r="F699" s="4"/>
      <c r="G699" s="4"/>
      <c r="H699" s="4"/>
      <c r="I699" s="4"/>
      <c r="J699" s="4"/>
      <c r="K699" s="4"/>
      <c r="L699" s="4"/>
      <c r="M699" s="4"/>
      <c r="N699" s="4"/>
      <c r="O699" s="4"/>
      <c r="P699" s="4"/>
      <c r="Q699" s="4"/>
      <c r="R699" s="4"/>
      <c r="S699" s="4"/>
      <c r="T699" s="4"/>
      <c r="U699" s="4"/>
      <c r="V699" s="4"/>
      <c r="W699" s="4"/>
      <c r="X699" s="4"/>
      <c r="Y699" s="4"/>
      <c r="Z699" s="4"/>
      <c r="AA699" s="4"/>
      <c r="AB699" s="4"/>
      <c r="AC699" s="4"/>
      <c r="AD699" s="4"/>
      <c r="AE699" s="4"/>
    </row>
    <row r="700" ht="13.5" customHeight="1" spans="1:31" x14ac:dyDescent="0.25">
      <c r="A700" s="1"/>
      <c r="B700" s="4"/>
      <c r="C700" s="4"/>
      <c r="D700" s="4"/>
      <c r="E700" s="4"/>
      <c r="F700" s="4"/>
      <c r="G700" s="4"/>
      <c r="H700" s="4"/>
      <c r="I700" s="4"/>
      <c r="J700" s="4"/>
      <c r="K700" s="4"/>
      <c r="L700" s="4"/>
      <c r="M700" s="4"/>
      <c r="N700" s="4"/>
      <c r="O700" s="4"/>
      <c r="P700" s="4"/>
      <c r="Q700" s="4"/>
      <c r="R700" s="4"/>
      <c r="S700" s="4"/>
      <c r="T700" s="4"/>
      <c r="U700" s="4"/>
      <c r="V700" s="4"/>
      <c r="W700" s="4"/>
      <c r="X700" s="4"/>
      <c r="Y700" s="4"/>
      <c r="Z700" s="4"/>
      <c r="AA700" s="4"/>
      <c r="AB700" s="4"/>
      <c r="AC700" s="4"/>
      <c r="AD700" s="4"/>
      <c r="AE700" s="4"/>
    </row>
    <row r="701" ht="13.5" customHeight="1" spans="1:31" x14ac:dyDescent="0.25">
      <c r="A701" s="1"/>
      <c r="B701" s="4"/>
      <c r="C701" s="4"/>
      <c r="D701" s="4"/>
      <c r="E701" s="4"/>
      <c r="F701" s="4"/>
      <c r="G701" s="4"/>
      <c r="H701" s="4"/>
      <c r="I701" s="4"/>
      <c r="J701" s="4"/>
      <c r="K701" s="4"/>
      <c r="L701" s="4"/>
      <c r="M701" s="4"/>
      <c r="N701" s="4"/>
      <c r="O701" s="4"/>
      <c r="P701" s="4"/>
      <c r="Q701" s="4"/>
      <c r="R701" s="4"/>
      <c r="S701" s="4"/>
      <c r="T701" s="4"/>
      <c r="U701" s="4"/>
      <c r="V701" s="4"/>
      <c r="W701" s="4"/>
      <c r="X701" s="4"/>
      <c r="Y701" s="4"/>
      <c r="Z701" s="4"/>
      <c r="AA701" s="4"/>
      <c r="AB701" s="4"/>
      <c r="AC701" s="4"/>
      <c r="AD701" s="4"/>
      <c r="AE701" s="4"/>
    </row>
    <row r="702" ht="13.5" customHeight="1" spans="1:31" x14ac:dyDescent="0.25">
      <c r="A702" s="1"/>
      <c r="B702" s="4"/>
      <c r="C702" s="4"/>
      <c r="D702" s="4"/>
      <c r="E702" s="4"/>
      <c r="F702" s="4"/>
      <c r="G702" s="4"/>
      <c r="H702" s="4"/>
      <c r="I702" s="4"/>
      <c r="J702" s="4"/>
      <c r="K702" s="4"/>
      <c r="L702" s="4"/>
      <c r="M702" s="4"/>
      <c r="N702" s="4"/>
      <c r="O702" s="4"/>
      <c r="P702" s="4"/>
      <c r="Q702" s="4"/>
      <c r="R702" s="4"/>
      <c r="S702" s="4"/>
      <c r="T702" s="4"/>
      <c r="U702" s="4"/>
      <c r="V702" s="4"/>
      <c r="W702" s="4"/>
      <c r="X702" s="4"/>
      <c r="Y702" s="4"/>
      <c r="Z702" s="4"/>
      <c r="AA702" s="4"/>
      <c r="AB702" s="4"/>
      <c r="AC702" s="4"/>
      <c r="AD702" s="4"/>
      <c r="AE702" s="4"/>
    </row>
    <row r="703" ht="13.5" customHeight="1" spans="1:31" x14ac:dyDescent="0.25">
      <c r="A703" s="1"/>
      <c r="B703" s="4"/>
      <c r="C703" s="4"/>
      <c r="D703" s="4"/>
      <c r="E703" s="4"/>
      <c r="F703" s="4"/>
      <c r="G703" s="4"/>
      <c r="H703" s="4"/>
      <c r="I703" s="4"/>
      <c r="J703" s="4"/>
      <c r="K703" s="4"/>
      <c r="L703" s="4"/>
      <c r="M703" s="4"/>
      <c r="N703" s="4"/>
      <c r="O703" s="4"/>
      <c r="P703" s="4"/>
      <c r="Q703" s="4"/>
      <c r="R703" s="4"/>
      <c r="S703" s="4"/>
      <c r="T703" s="4"/>
      <c r="U703" s="4"/>
      <c r="V703" s="4"/>
      <c r="W703" s="4"/>
      <c r="X703" s="4"/>
      <c r="Y703" s="4"/>
      <c r="Z703" s="4"/>
      <c r="AA703" s="4"/>
      <c r="AB703" s="4"/>
      <c r="AC703" s="4"/>
      <c r="AD703" s="4"/>
      <c r="AE703" s="4"/>
    </row>
    <row r="704" ht="13.5" customHeight="1" spans="1:31" x14ac:dyDescent="0.25">
      <c r="A704" s="1"/>
      <c r="B704" s="4"/>
      <c r="C704" s="4"/>
      <c r="D704" s="4"/>
      <c r="E704" s="4"/>
      <c r="F704" s="4"/>
      <c r="G704" s="4"/>
      <c r="H704" s="4"/>
      <c r="I704" s="4"/>
      <c r="J704" s="4"/>
      <c r="K704" s="4"/>
      <c r="L704" s="4"/>
      <c r="M704" s="4"/>
      <c r="N704" s="4"/>
      <c r="O704" s="4"/>
      <c r="P704" s="4"/>
      <c r="Q704" s="4"/>
      <c r="R704" s="4"/>
      <c r="S704" s="4"/>
      <c r="T704" s="4"/>
      <c r="U704" s="4"/>
      <c r="V704" s="4"/>
      <c r="W704" s="4"/>
      <c r="X704" s="4"/>
      <c r="Y704" s="4"/>
      <c r="Z704" s="4"/>
      <c r="AA704" s="4"/>
      <c r="AB704" s="4"/>
      <c r="AC704" s="4"/>
      <c r="AD704" s="4"/>
      <c r="AE704" s="4"/>
    </row>
    <row r="705" ht="13.5" customHeight="1" spans="1:31" x14ac:dyDescent="0.25">
      <c r="A705" s="1"/>
      <c r="B705" s="4"/>
      <c r="C705" s="4"/>
      <c r="D705" s="4"/>
      <c r="E705" s="4"/>
      <c r="F705" s="4"/>
      <c r="G705" s="4"/>
      <c r="H705" s="4"/>
      <c r="I705" s="4"/>
      <c r="J705" s="4"/>
      <c r="K705" s="4"/>
      <c r="L705" s="4"/>
      <c r="M705" s="4"/>
      <c r="N705" s="4"/>
      <c r="O705" s="4"/>
      <c r="P705" s="4"/>
      <c r="Q705" s="4"/>
      <c r="R705" s="4"/>
      <c r="S705" s="4"/>
      <c r="T705" s="4"/>
      <c r="U705" s="4"/>
      <c r="V705" s="4"/>
      <c r="W705" s="4"/>
      <c r="X705" s="4"/>
      <c r="Y705" s="4"/>
      <c r="Z705" s="4"/>
      <c r="AA705" s="4"/>
      <c r="AB705" s="4"/>
      <c r="AC705" s="4"/>
      <c r="AD705" s="4"/>
      <c r="AE705" s="4"/>
    </row>
    <row r="706" ht="13.5" customHeight="1" spans="1:31" x14ac:dyDescent="0.25">
      <c r="A706" s="1"/>
      <c r="B706" s="4"/>
      <c r="C706" s="4"/>
      <c r="D706" s="4"/>
      <c r="E706" s="4"/>
      <c r="F706" s="4"/>
      <c r="G706" s="4"/>
      <c r="H706" s="4"/>
      <c r="I706" s="4"/>
      <c r="J706" s="4"/>
      <c r="K706" s="4"/>
      <c r="L706" s="4"/>
      <c r="M706" s="4"/>
      <c r="N706" s="4"/>
      <c r="O706" s="4"/>
      <c r="P706" s="4"/>
      <c r="Q706" s="4"/>
      <c r="R706" s="4"/>
      <c r="S706" s="4"/>
      <c r="T706" s="4"/>
      <c r="U706" s="4"/>
      <c r="V706" s="4"/>
      <c r="W706" s="4"/>
      <c r="X706" s="4"/>
      <c r="Y706" s="4"/>
      <c r="Z706" s="4"/>
      <c r="AA706" s="4"/>
      <c r="AB706" s="4"/>
      <c r="AC706" s="4"/>
      <c r="AD706" s="4"/>
      <c r="AE706" s="4"/>
    </row>
    <row r="707" ht="13.5" customHeight="1" spans="1:31" x14ac:dyDescent="0.25">
      <c r="A707" s="1"/>
      <c r="B707" s="4"/>
      <c r="C707" s="4"/>
      <c r="D707" s="4"/>
      <c r="E707" s="4"/>
      <c r="F707" s="4"/>
      <c r="G707" s="4"/>
      <c r="H707" s="4"/>
      <c r="I707" s="4"/>
      <c r="J707" s="4"/>
      <c r="K707" s="4"/>
      <c r="L707" s="4"/>
      <c r="M707" s="4"/>
      <c r="N707" s="4"/>
      <c r="O707" s="4"/>
      <c r="P707" s="4"/>
      <c r="Q707" s="4"/>
      <c r="R707" s="4"/>
      <c r="S707" s="4"/>
      <c r="T707" s="4"/>
      <c r="U707" s="4"/>
      <c r="V707" s="4"/>
      <c r="W707" s="4"/>
      <c r="X707" s="4"/>
      <c r="Y707" s="4"/>
      <c r="Z707" s="4"/>
      <c r="AA707" s="4"/>
      <c r="AB707" s="4"/>
      <c r="AC707" s="4"/>
      <c r="AD707" s="4"/>
      <c r="AE707" s="4"/>
    </row>
    <row r="708" ht="13.5" customHeight="1" spans="1:31" x14ac:dyDescent="0.25">
      <c r="A708" s="1"/>
      <c r="B708" s="4"/>
      <c r="C708" s="4"/>
      <c r="D708" s="4"/>
      <c r="E708" s="4"/>
      <c r="F708" s="4"/>
      <c r="G708" s="4"/>
      <c r="H708" s="4"/>
      <c r="I708" s="4"/>
      <c r="J708" s="4"/>
      <c r="K708" s="4"/>
      <c r="L708" s="4"/>
      <c r="M708" s="4"/>
      <c r="N708" s="4"/>
      <c r="O708" s="4"/>
      <c r="P708" s="4"/>
      <c r="Q708" s="4"/>
      <c r="R708" s="4"/>
      <c r="S708" s="4"/>
      <c r="T708" s="4"/>
      <c r="U708" s="4"/>
      <c r="V708" s="4"/>
      <c r="W708" s="4"/>
      <c r="X708" s="4"/>
      <c r="Y708" s="4"/>
      <c r="Z708" s="4"/>
      <c r="AA708" s="4"/>
      <c r="AB708" s="4"/>
      <c r="AC708" s="4"/>
      <c r="AD708" s="4"/>
      <c r="AE708" s="4"/>
    </row>
    <row r="709" ht="13.5" customHeight="1" spans="1:31" x14ac:dyDescent="0.25">
      <c r="A709" s="1"/>
      <c r="B709" s="4"/>
      <c r="C709" s="4"/>
      <c r="D709" s="4"/>
      <c r="E709" s="4"/>
      <c r="F709" s="4"/>
      <c r="G709" s="4"/>
      <c r="H709" s="4"/>
      <c r="I709" s="4"/>
      <c r="J709" s="4"/>
      <c r="K709" s="4"/>
      <c r="L709" s="4"/>
      <c r="M709" s="4"/>
      <c r="N709" s="4"/>
      <c r="O709" s="4"/>
      <c r="P709" s="4"/>
      <c r="Q709" s="4"/>
      <c r="R709" s="4"/>
      <c r="S709" s="4"/>
      <c r="T709" s="4"/>
      <c r="U709" s="4"/>
      <c r="V709" s="4"/>
      <c r="W709" s="4"/>
      <c r="X709" s="4"/>
      <c r="Y709" s="4"/>
      <c r="Z709" s="4"/>
      <c r="AA709" s="4"/>
      <c r="AB709" s="4"/>
      <c r="AC709" s="4"/>
      <c r="AD709" s="4"/>
      <c r="AE709" s="4"/>
    </row>
    <row r="710" ht="13.5" customHeight="1" spans="1:31" x14ac:dyDescent="0.25">
      <c r="A710" s="1"/>
      <c r="B710" s="4"/>
      <c r="C710" s="4"/>
      <c r="D710" s="4"/>
      <c r="E710" s="4"/>
      <c r="F710" s="4"/>
      <c r="G710" s="4"/>
      <c r="H710" s="4"/>
      <c r="I710" s="4"/>
      <c r="J710" s="4"/>
      <c r="K710" s="4"/>
      <c r="L710" s="4"/>
      <c r="M710" s="4"/>
      <c r="N710" s="4"/>
      <c r="O710" s="4"/>
      <c r="P710" s="4"/>
      <c r="Q710" s="4"/>
      <c r="R710" s="4"/>
      <c r="S710" s="4"/>
      <c r="T710" s="4"/>
      <c r="U710" s="4"/>
      <c r="V710" s="4"/>
      <c r="W710" s="4"/>
      <c r="X710" s="4"/>
      <c r="Y710" s="4"/>
      <c r="Z710" s="4"/>
      <c r="AA710" s="4"/>
      <c r="AB710" s="4"/>
      <c r="AC710" s="4"/>
      <c r="AD710" s="4"/>
      <c r="AE710" s="4"/>
    </row>
    <row r="711" ht="13.5" customHeight="1" spans="1:31" x14ac:dyDescent="0.25">
      <c r="A711" s="1"/>
      <c r="B711" s="4"/>
      <c r="C711" s="4"/>
      <c r="D711" s="4"/>
      <c r="E711" s="4"/>
      <c r="F711" s="4"/>
      <c r="G711" s="4"/>
      <c r="H711" s="4"/>
      <c r="I711" s="4"/>
      <c r="J711" s="4"/>
      <c r="K711" s="4"/>
      <c r="L711" s="4"/>
      <c r="M711" s="4"/>
      <c r="N711" s="4"/>
      <c r="O711" s="4"/>
      <c r="P711" s="4"/>
      <c r="Q711" s="4"/>
      <c r="R711" s="4"/>
      <c r="S711" s="4"/>
      <c r="T711" s="4"/>
      <c r="U711" s="4"/>
      <c r="V711" s="4"/>
      <c r="W711" s="4"/>
      <c r="X711" s="4"/>
      <c r="Y711" s="4"/>
      <c r="Z711" s="4"/>
      <c r="AA711" s="4"/>
      <c r="AB711" s="4"/>
      <c r="AC711" s="4"/>
      <c r="AD711" s="4"/>
      <c r="AE711" s="4"/>
    </row>
    <row r="712" ht="13.5" customHeight="1" spans="1:31" x14ac:dyDescent="0.25">
      <c r="A712" s="1"/>
      <c r="B712" s="4"/>
      <c r="C712" s="4"/>
      <c r="D712" s="4"/>
      <c r="E712" s="4"/>
      <c r="F712" s="4"/>
      <c r="G712" s="4"/>
      <c r="H712" s="4"/>
      <c r="I712" s="4"/>
      <c r="J712" s="4"/>
      <c r="K712" s="4"/>
      <c r="L712" s="4"/>
      <c r="M712" s="4"/>
      <c r="N712" s="4"/>
      <c r="O712" s="4"/>
      <c r="P712" s="4"/>
      <c r="Q712" s="4"/>
      <c r="R712" s="4"/>
      <c r="S712" s="4"/>
      <c r="T712" s="4"/>
      <c r="U712" s="4"/>
      <c r="V712" s="4"/>
      <c r="W712" s="4"/>
      <c r="X712" s="4"/>
      <c r="Y712" s="4"/>
      <c r="Z712" s="4"/>
      <c r="AA712" s="4"/>
      <c r="AB712" s="4"/>
      <c r="AC712" s="4"/>
      <c r="AD712" s="4"/>
      <c r="AE712" s="4"/>
    </row>
    <row r="713" ht="13.5" customHeight="1" spans="1:31" x14ac:dyDescent="0.25">
      <c r="A713" s="1"/>
      <c r="B713" s="4"/>
      <c r="C713" s="4"/>
      <c r="D713" s="4"/>
      <c r="E713" s="4"/>
      <c r="F713" s="4"/>
      <c r="G713" s="4"/>
      <c r="H713" s="4"/>
      <c r="I713" s="4"/>
      <c r="J713" s="4"/>
      <c r="K713" s="4"/>
      <c r="L713" s="4"/>
      <c r="M713" s="4"/>
      <c r="N713" s="4"/>
      <c r="O713" s="4"/>
      <c r="P713" s="4"/>
      <c r="Q713" s="4"/>
      <c r="R713" s="4"/>
      <c r="S713" s="4"/>
      <c r="T713" s="4"/>
      <c r="U713" s="4"/>
      <c r="V713" s="4"/>
      <c r="W713" s="4"/>
      <c r="X713" s="4"/>
      <c r="Y713" s="4"/>
      <c r="Z713" s="4"/>
      <c r="AA713" s="4"/>
      <c r="AB713" s="4"/>
      <c r="AC713" s="4"/>
      <c r="AD713" s="4"/>
      <c r="AE713" s="4"/>
    </row>
    <row r="714" ht="13.5" customHeight="1" spans="1:31" x14ac:dyDescent="0.25">
      <c r="A714" s="1"/>
      <c r="B714" s="4"/>
      <c r="C714" s="4"/>
      <c r="D714" s="4"/>
      <c r="E714" s="4"/>
      <c r="F714" s="4"/>
      <c r="G714" s="4"/>
      <c r="H714" s="4"/>
      <c r="I714" s="4"/>
      <c r="J714" s="4"/>
      <c r="K714" s="4"/>
      <c r="L714" s="4"/>
      <c r="M714" s="4"/>
      <c r="N714" s="4"/>
      <c r="O714" s="4"/>
      <c r="P714" s="4"/>
      <c r="Q714" s="4"/>
      <c r="R714" s="4"/>
      <c r="S714" s="4"/>
      <c r="T714" s="4"/>
      <c r="U714" s="4"/>
      <c r="V714" s="4"/>
      <c r="W714" s="4"/>
      <c r="X714" s="4"/>
      <c r="Y714" s="4"/>
      <c r="Z714" s="4"/>
      <c r="AA714" s="4"/>
      <c r="AB714" s="4"/>
      <c r="AC714" s="4"/>
      <c r="AD714" s="4"/>
      <c r="AE714" s="4"/>
    </row>
    <row r="715" ht="13.5" customHeight="1" spans="1:31" x14ac:dyDescent="0.25">
      <c r="A715" s="1"/>
      <c r="B715" s="4"/>
      <c r="C715" s="4"/>
      <c r="D715" s="4"/>
      <c r="E715" s="4"/>
      <c r="F715" s="4"/>
      <c r="G715" s="4"/>
      <c r="H715" s="4"/>
      <c r="I715" s="4"/>
      <c r="J715" s="4"/>
      <c r="K715" s="4"/>
      <c r="L715" s="4"/>
      <c r="M715" s="4"/>
      <c r="N715" s="4"/>
      <c r="O715" s="4"/>
      <c r="P715" s="4"/>
      <c r="Q715" s="4"/>
      <c r="R715" s="4"/>
      <c r="S715" s="4"/>
      <c r="T715" s="4"/>
      <c r="U715" s="4"/>
      <c r="V715" s="4"/>
      <c r="W715" s="4"/>
      <c r="X715" s="4"/>
      <c r="Y715" s="4"/>
      <c r="Z715" s="4"/>
      <c r="AA715" s="4"/>
      <c r="AB715" s="4"/>
      <c r="AC715" s="4"/>
      <c r="AD715" s="4"/>
      <c r="AE715" s="4"/>
    </row>
    <row r="716" ht="13.5" customHeight="1" spans="1:31" x14ac:dyDescent="0.25">
      <c r="A716" s="1"/>
      <c r="B716" s="4"/>
      <c r="C716" s="4"/>
      <c r="D716" s="4"/>
      <c r="E716" s="4"/>
      <c r="F716" s="4"/>
      <c r="G716" s="4"/>
      <c r="H716" s="4"/>
      <c r="I716" s="4"/>
      <c r="J716" s="4"/>
      <c r="K716" s="4"/>
      <c r="L716" s="4"/>
      <c r="M716" s="4"/>
      <c r="N716" s="4"/>
      <c r="O716" s="4"/>
      <c r="P716" s="4"/>
      <c r="Q716" s="4"/>
      <c r="R716" s="4"/>
      <c r="S716" s="4"/>
      <c r="T716" s="4"/>
      <c r="U716" s="4"/>
      <c r="V716" s="4"/>
      <c r="W716" s="4"/>
      <c r="X716" s="4"/>
      <c r="Y716" s="4"/>
      <c r="Z716" s="4"/>
      <c r="AA716" s="4"/>
      <c r="AB716" s="4"/>
      <c r="AC716" s="4"/>
      <c r="AD716" s="4"/>
      <c r="AE716" s="4"/>
    </row>
    <row r="717" ht="13.5" customHeight="1" spans="1:31" x14ac:dyDescent="0.25">
      <c r="A717" s="1"/>
      <c r="B717" s="4"/>
      <c r="C717" s="4"/>
      <c r="D717" s="4"/>
      <c r="E717" s="4"/>
      <c r="F717" s="4"/>
      <c r="G717" s="4"/>
      <c r="H717" s="4"/>
      <c r="I717" s="4"/>
      <c r="J717" s="4"/>
      <c r="K717" s="4"/>
      <c r="L717" s="4"/>
      <c r="M717" s="4"/>
      <c r="N717" s="4"/>
      <c r="O717" s="4"/>
      <c r="P717" s="4"/>
      <c r="Q717" s="4"/>
      <c r="R717" s="4"/>
      <c r="S717" s="4"/>
      <c r="T717" s="4"/>
      <c r="U717" s="4"/>
      <c r="V717" s="4"/>
      <c r="W717" s="4"/>
      <c r="X717" s="4"/>
      <c r="Y717" s="4"/>
      <c r="Z717" s="4"/>
      <c r="AA717" s="4"/>
      <c r="AB717" s="4"/>
      <c r="AC717" s="4"/>
      <c r="AD717" s="4"/>
      <c r="AE717" s="4"/>
    </row>
    <row r="718" ht="13.5" customHeight="1" spans="1:31" x14ac:dyDescent="0.25">
      <c r="A718" s="1"/>
      <c r="B718" s="4"/>
      <c r="C718" s="4"/>
      <c r="D718" s="4"/>
      <c r="E718" s="4"/>
      <c r="F718" s="4"/>
      <c r="G718" s="4"/>
      <c r="H718" s="4"/>
      <c r="I718" s="4"/>
      <c r="J718" s="4"/>
      <c r="K718" s="4"/>
      <c r="L718" s="4"/>
      <c r="M718" s="4"/>
      <c r="N718" s="4"/>
      <c r="O718" s="4"/>
      <c r="P718" s="4"/>
      <c r="Q718" s="4"/>
      <c r="R718" s="4"/>
      <c r="S718" s="4"/>
      <c r="T718" s="4"/>
      <c r="U718" s="4"/>
      <c r="V718" s="4"/>
      <c r="W718" s="4"/>
      <c r="X718" s="4"/>
      <c r="Y718" s="4"/>
      <c r="Z718" s="4"/>
      <c r="AA718" s="4"/>
      <c r="AB718" s="4"/>
      <c r="AC718" s="4"/>
      <c r="AD718" s="4"/>
      <c r="AE718" s="4"/>
    </row>
    <row r="719" ht="13.5" customHeight="1" spans="1:31" x14ac:dyDescent="0.25">
      <c r="A719" s="1"/>
      <c r="B719" s="4"/>
      <c r="C719" s="4"/>
      <c r="D719" s="4"/>
      <c r="E719" s="4"/>
      <c r="F719" s="4"/>
      <c r="G719" s="4"/>
      <c r="H719" s="4"/>
      <c r="I719" s="4"/>
      <c r="J719" s="4"/>
      <c r="K719" s="4"/>
      <c r="L719" s="4"/>
      <c r="M719" s="4"/>
      <c r="N719" s="4"/>
      <c r="O719" s="4"/>
      <c r="P719" s="4"/>
      <c r="Q719" s="4"/>
      <c r="R719" s="4"/>
      <c r="S719" s="4"/>
      <c r="T719" s="4"/>
      <c r="U719" s="4"/>
      <c r="V719" s="4"/>
      <c r="W719" s="4"/>
      <c r="X719" s="4"/>
      <c r="Y719" s="4"/>
      <c r="Z719" s="4"/>
      <c r="AA719" s="4"/>
      <c r="AB719" s="4"/>
      <c r="AC719" s="4"/>
      <c r="AD719" s="4"/>
      <c r="AE719" s="4"/>
    </row>
    <row r="720" ht="13.5" customHeight="1" spans="1:31" x14ac:dyDescent="0.25">
      <c r="A720" s="1"/>
      <c r="B720" s="4"/>
      <c r="C720" s="4"/>
      <c r="D720" s="4"/>
      <c r="E720" s="4"/>
      <c r="F720" s="4"/>
      <c r="G720" s="4"/>
      <c r="H720" s="4"/>
      <c r="I720" s="4"/>
      <c r="J720" s="4"/>
      <c r="K720" s="4"/>
      <c r="L720" s="4"/>
      <c r="M720" s="4"/>
      <c r="N720" s="4"/>
      <c r="O720" s="4"/>
      <c r="P720" s="4"/>
      <c r="Q720" s="4"/>
      <c r="R720" s="4"/>
      <c r="S720" s="4"/>
      <c r="T720" s="4"/>
      <c r="U720" s="4"/>
      <c r="V720" s="4"/>
      <c r="W720" s="4"/>
      <c r="X720" s="4"/>
      <c r="Y720" s="4"/>
      <c r="Z720" s="4"/>
      <c r="AA720" s="4"/>
      <c r="AB720" s="4"/>
      <c r="AC720" s="4"/>
      <c r="AD720" s="4"/>
      <c r="AE720" s="4"/>
    </row>
    <row r="721" ht="13.5" customHeight="1" spans="1:31" x14ac:dyDescent="0.25">
      <c r="A721" s="1"/>
      <c r="B721" s="4"/>
      <c r="C721" s="4"/>
      <c r="D721" s="4"/>
      <c r="E721" s="4"/>
      <c r="F721" s="4"/>
      <c r="G721" s="4"/>
      <c r="H721" s="4"/>
      <c r="I721" s="4"/>
      <c r="J721" s="4"/>
      <c r="K721" s="4"/>
      <c r="L721" s="4"/>
      <c r="M721" s="4"/>
      <c r="N721" s="4"/>
      <c r="O721" s="4"/>
      <c r="P721" s="4"/>
      <c r="Q721" s="4"/>
      <c r="R721" s="4"/>
      <c r="S721" s="4"/>
      <c r="T721" s="4"/>
      <c r="U721" s="4"/>
      <c r="V721" s="4"/>
      <c r="W721" s="4"/>
      <c r="X721" s="4"/>
      <c r="Y721" s="4"/>
      <c r="Z721" s="4"/>
      <c r="AA721" s="4"/>
      <c r="AB721" s="4"/>
      <c r="AC721" s="4"/>
      <c r="AD721" s="4"/>
      <c r="AE721" s="4"/>
    </row>
    <row r="722" ht="13.5" customHeight="1" spans="1:31" x14ac:dyDescent="0.25">
      <c r="A722" s="1"/>
      <c r="B722" s="4"/>
      <c r="C722" s="4"/>
      <c r="D722" s="4"/>
      <c r="E722" s="4"/>
      <c r="F722" s="4"/>
      <c r="G722" s="4"/>
      <c r="H722" s="4"/>
      <c r="I722" s="4"/>
      <c r="J722" s="4"/>
      <c r="K722" s="4"/>
      <c r="L722" s="4"/>
      <c r="M722" s="4"/>
      <c r="N722" s="4"/>
      <c r="O722" s="4"/>
      <c r="P722" s="4"/>
      <c r="Q722" s="4"/>
      <c r="R722" s="4"/>
      <c r="S722" s="4"/>
      <c r="T722" s="4"/>
      <c r="U722" s="4"/>
      <c r="V722" s="4"/>
      <c r="W722" s="4"/>
      <c r="X722" s="4"/>
      <c r="Y722" s="4"/>
      <c r="Z722" s="4"/>
      <c r="AA722" s="4"/>
      <c r="AB722" s="4"/>
      <c r="AC722" s="4"/>
      <c r="AD722" s="4"/>
      <c r="AE722" s="4"/>
    </row>
    <row r="723" ht="13.5" customHeight="1" spans="1:31" x14ac:dyDescent="0.25">
      <c r="A723" s="1"/>
      <c r="B723" s="4"/>
      <c r="C723" s="4"/>
      <c r="D723" s="4"/>
      <c r="E723" s="4"/>
      <c r="F723" s="4"/>
      <c r="G723" s="4"/>
      <c r="H723" s="4"/>
      <c r="I723" s="4"/>
      <c r="J723" s="4"/>
      <c r="K723" s="4"/>
      <c r="L723" s="4"/>
      <c r="M723" s="4"/>
      <c r="N723" s="4"/>
      <c r="O723" s="4"/>
      <c r="P723" s="4"/>
      <c r="Q723" s="4"/>
      <c r="R723" s="4"/>
      <c r="S723" s="4"/>
      <c r="T723" s="4"/>
      <c r="U723" s="4"/>
      <c r="V723" s="4"/>
      <c r="W723" s="4"/>
      <c r="X723" s="4"/>
      <c r="Y723" s="4"/>
      <c r="Z723" s="4"/>
      <c r="AA723" s="4"/>
      <c r="AB723" s="4"/>
      <c r="AC723" s="4"/>
      <c r="AD723" s="4"/>
      <c r="AE723" s="4"/>
    </row>
    <row r="724" ht="13.5" customHeight="1" spans="1:31" x14ac:dyDescent="0.25">
      <c r="A724" s="1"/>
      <c r="B724" s="4"/>
      <c r="C724" s="4"/>
      <c r="D724" s="4"/>
      <c r="E724" s="4"/>
      <c r="F724" s="4"/>
      <c r="G724" s="4"/>
      <c r="H724" s="4"/>
      <c r="I724" s="4"/>
      <c r="J724" s="4"/>
      <c r="K724" s="4"/>
      <c r="L724" s="4"/>
      <c r="M724" s="4"/>
      <c r="N724" s="4"/>
      <c r="O724" s="4"/>
      <c r="P724" s="4"/>
      <c r="Q724" s="4"/>
      <c r="R724" s="4"/>
      <c r="S724" s="4"/>
      <c r="T724" s="4"/>
      <c r="U724" s="4"/>
      <c r="V724" s="4"/>
      <c r="W724" s="4"/>
      <c r="X724" s="4"/>
      <c r="Y724" s="4"/>
      <c r="Z724" s="4"/>
      <c r="AA724" s="4"/>
      <c r="AB724" s="4"/>
      <c r="AC724" s="4"/>
      <c r="AD724" s="4"/>
      <c r="AE724" s="4"/>
    </row>
    <row r="725" ht="13.5" customHeight="1" spans="1:31" x14ac:dyDescent="0.25">
      <c r="A725" s="1"/>
      <c r="B725" s="4"/>
      <c r="C725" s="4"/>
      <c r="D725" s="4"/>
      <c r="E725" s="4"/>
      <c r="F725" s="4"/>
      <c r="G725" s="4"/>
      <c r="H725" s="4"/>
      <c r="I725" s="4"/>
      <c r="J725" s="4"/>
      <c r="K725" s="4"/>
      <c r="L725" s="4"/>
      <c r="M725" s="4"/>
      <c r="N725" s="4"/>
      <c r="O725" s="4"/>
      <c r="P725" s="4"/>
      <c r="Q725" s="4"/>
      <c r="R725" s="4"/>
      <c r="S725" s="4"/>
      <c r="T725" s="4"/>
      <c r="U725" s="4"/>
      <c r="V725" s="4"/>
      <c r="W725" s="4"/>
      <c r="X725" s="4"/>
      <c r="Y725" s="4"/>
      <c r="Z725" s="4"/>
      <c r="AA725" s="4"/>
      <c r="AB725" s="4"/>
      <c r="AC725" s="4"/>
      <c r="AD725" s="4"/>
      <c r="AE725" s="4"/>
    </row>
    <row r="726" ht="13.5" customHeight="1" spans="1:31" x14ac:dyDescent="0.25">
      <c r="A726" s="1"/>
      <c r="B726" s="4"/>
      <c r="C726" s="4"/>
      <c r="D726" s="4"/>
      <c r="E726" s="4"/>
      <c r="F726" s="4"/>
      <c r="G726" s="4"/>
      <c r="H726" s="4"/>
      <c r="I726" s="4"/>
      <c r="J726" s="4"/>
      <c r="K726" s="4"/>
      <c r="L726" s="4"/>
      <c r="M726" s="4"/>
      <c r="N726" s="4"/>
      <c r="O726" s="4"/>
      <c r="P726" s="4"/>
      <c r="Q726" s="4"/>
      <c r="R726" s="4"/>
      <c r="S726" s="4"/>
      <c r="T726" s="4"/>
      <c r="U726" s="4"/>
      <c r="V726" s="4"/>
      <c r="W726" s="4"/>
      <c r="X726" s="4"/>
      <c r="Y726" s="4"/>
      <c r="Z726" s="4"/>
      <c r="AA726" s="4"/>
      <c r="AB726" s="4"/>
      <c r="AC726" s="4"/>
      <c r="AD726" s="4"/>
      <c r="AE726" s="4"/>
    </row>
    <row r="727" ht="13.5" customHeight="1" spans="1:31" x14ac:dyDescent="0.25">
      <c r="A727" s="1"/>
      <c r="B727" s="4"/>
      <c r="C727" s="4"/>
      <c r="D727" s="4"/>
      <c r="E727" s="4"/>
      <c r="F727" s="4"/>
      <c r="G727" s="4"/>
      <c r="H727" s="4"/>
      <c r="I727" s="4"/>
      <c r="J727" s="4"/>
      <c r="K727" s="4"/>
      <c r="L727" s="4"/>
      <c r="M727" s="4"/>
      <c r="N727" s="4"/>
      <c r="O727" s="4"/>
      <c r="P727" s="4"/>
      <c r="Q727" s="4"/>
      <c r="R727" s="4"/>
      <c r="S727" s="4"/>
      <c r="T727" s="4"/>
      <c r="U727" s="4"/>
      <c r="V727" s="4"/>
      <c r="W727" s="4"/>
      <c r="X727" s="4"/>
      <c r="Y727" s="4"/>
      <c r="Z727" s="4"/>
      <c r="AA727" s="4"/>
      <c r="AB727" s="4"/>
      <c r="AC727" s="4"/>
      <c r="AD727" s="4"/>
      <c r="AE727" s="4"/>
    </row>
    <row r="728" ht="13.5" customHeight="1" spans="1:31" x14ac:dyDescent="0.25">
      <c r="A728" s="1"/>
      <c r="B728" s="4"/>
      <c r="C728" s="4"/>
      <c r="D728" s="4"/>
      <c r="E728" s="4"/>
      <c r="F728" s="4"/>
      <c r="G728" s="4"/>
      <c r="H728" s="4"/>
      <c r="I728" s="4"/>
      <c r="J728" s="4"/>
      <c r="K728" s="4"/>
      <c r="L728" s="4"/>
      <c r="M728" s="4"/>
      <c r="N728" s="4"/>
      <c r="O728" s="4"/>
      <c r="P728" s="4"/>
      <c r="Q728" s="4"/>
      <c r="R728" s="4"/>
      <c r="S728" s="4"/>
      <c r="T728" s="4"/>
      <c r="U728" s="4"/>
      <c r="V728" s="4"/>
      <c r="W728" s="4"/>
      <c r="X728" s="4"/>
      <c r="Y728" s="4"/>
      <c r="Z728" s="4"/>
      <c r="AA728" s="4"/>
      <c r="AB728" s="4"/>
      <c r="AC728" s="4"/>
      <c r="AD728" s="4"/>
      <c r="AE728" s="4"/>
    </row>
    <row r="729" ht="13.5" customHeight="1" spans="1:31" x14ac:dyDescent="0.25">
      <c r="A729" s="1"/>
      <c r="B729" s="4"/>
      <c r="C729" s="4"/>
      <c r="D729" s="4"/>
      <c r="E729" s="4"/>
      <c r="F729" s="4"/>
      <c r="G729" s="4"/>
      <c r="H729" s="4"/>
      <c r="I729" s="4"/>
      <c r="J729" s="4"/>
      <c r="K729" s="4"/>
      <c r="L729" s="4"/>
      <c r="M729" s="4"/>
      <c r="N729" s="4"/>
      <c r="O729" s="4"/>
      <c r="P729" s="4"/>
      <c r="Q729" s="4"/>
      <c r="R729" s="4"/>
      <c r="S729" s="4"/>
      <c r="T729" s="4"/>
      <c r="U729" s="4"/>
      <c r="V729" s="4"/>
      <c r="W729" s="4"/>
      <c r="X729" s="4"/>
      <c r="Y729" s="4"/>
      <c r="Z729" s="4"/>
      <c r="AA729" s="4"/>
      <c r="AB729" s="4"/>
      <c r="AC729" s="4"/>
      <c r="AD729" s="4"/>
      <c r="AE729" s="4"/>
    </row>
    <row r="730" ht="13.5" customHeight="1" spans="1:31" x14ac:dyDescent="0.25">
      <c r="A730" s="1"/>
      <c r="B730" s="4"/>
      <c r="C730" s="4"/>
      <c r="D730" s="4"/>
      <c r="E730" s="4"/>
      <c r="F730" s="4"/>
      <c r="G730" s="4"/>
      <c r="H730" s="4"/>
      <c r="I730" s="4"/>
      <c r="J730" s="4"/>
      <c r="K730" s="4"/>
      <c r="L730" s="4"/>
      <c r="M730" s="4"/>
      <c r="N730" s="4"/>
      <c r="O730" s="4"/>
      <c r="P730" s="4"/>
      <c r="Q730" s="4"/>
      <c r="R730" s="4"/>
      <c r="S730" s="4"/>
      <c r="T730" s="4"/>
      <c r="U730" s="4"/>
      <c r="V730" s="4"/>
      <c r="W730" s="4"/>
      <c r="X730" s="4"/>
      <c r="Y730" s="4"/>
      <c r="Z730" s="4"/>
      <c r="AA730" s="4"/>
      <c r="AB730" s="4"/>
      <c r="AC730" s="4"/>
      <c r="AD730" s="4"/>
      <c r="AE730" s="4"/>
    </row>
    <row r="731" ht="13.5" customHeight="1" spans="1:31" x14ac:dyDescent="0.25">
      <c r="A731" s="1"/>
      <c r="B731" s="4"/>
      <c r="C731" s="4"/>
      <c r="D731" s="4"/>
      <c r="E731" s="4"/>
      <c r="F731" s="4"/>
      <c r="G731" s="4"/>
      <c r="H731" s="4"/>
      <c r="I731" s="4"/>
      <c r="J731" s="4"/>
      <c r="K731" s="4"/>
      <c r="L731" s="4"/>
      <c r="M731" s="4"/>
      <c r="N731" s="4"/>
      <c r="O731" s="4"/>
      <c r="P731" s="4"/>
      <c r="Q731" s="4"/>
      <c r="R731" s="4"/>
      <c r="S731" s="4"/>
      <c r="T731" s="4"/>
      <c r="U731" s="4"/>
      <c r="V731" s="4"/>
      <c r="W731" s="4"/>
      <c r="X731" s="4"/>
      <c r="Y731" s="4"/>
      <c r="Z731" s="4"/>
      <c r="AA731" s="4"/>
      <c r="AB731" s="4"/>
      <c r="AC731" s="4"/>
      <c r="AD731" s="4"/>
      <c r="AE731" s="4"/>
    </row>
    <row r="732" ht="13.5" customHeight="1" spans="1:31" x14ac:dyDescent="0.25">
      <c r="A732" s="1"/>
      <c r="B732" s="4"/>
      <c r="C732" s="4"/>
      <c r="D732" s="4"/>
      <c r="E732" s="4"/>
      <c r="F732" s="4"/>
      <c r="G732" s="4"/>
      <c r="H732" s="4"/>
      <c r="I732" s="4"/>
      <c r="J732" s="4"/>
      <c r="K732" s="4"/>
      <c r="L732" s="4"/>
      <c r="M732" s="4"/>
      <c r="N732" s="4"/>
      <c r="O732" s="4"/>
      <c r="P732" s="4"/>
      <c r="Q732" s="4"/>
      <c r="R732" s="4"/>
      <c r="S732" s="4"/>
      <c r="T732" s="4"/>
      <c r="U732" s="4"/>
      <c r="V732" s="4"/>
      <c r="W732" s="4"/>
      <c r="X732" s="4"/>
      <c r="Y732" s="4"/>
      <c r="Z732" s="4"/>
      <c r="AA732" s="4"/>
      <c r="AB732" s="4"/>
      <c r="AC732" s="4"/>
      <c r="AD732" s="4"/>
      <c r="AE732" s="4"/>
    </row>
    <row r="733" ht="13.5" customHeight="1" spans="1:31" x14ac:dyDescent="0.25">
      <c r="A733" s="1"/>
      <c r="B733" s="4"/>
      <c r="C733" s="4"/>
      <c r="D733" s="4"/>
      <c r="E733" s="4"/>
      <c r="F733" s="4"/>
      <c r="G733" s="4"/>
      <c r="H733" s="4"/>
      <c r="I733" s="4"/>
      <c r="J733" s="4"/>
      <c r="K733" s="4"/>
      <c r="L733" s="4"/>
      <c r="M733" s="4"/>
      <c r="N733" s="4"/>
      <c r="O733" s="4"/>
      <c r="P733" s="4"/>
      <c r="Q733" s="4"/>
      <c r="R733" s="4"/>
      <c r="S733" s="4"/>
      <c r="T733" s="4"/>
      <c r="U733" s="4"/>
      <c r="V733" s="4"/>
      <c r="W733" s="4"/>
      <c r="X733" s="4"/>
      <c r="Y733" s="4"/>
      <c r="Z733" s="4"/>
      <c r="AA733" s="4"/>
      <c r="AB733" s="4"/>
      <c r="AC733" s="4"/>
      <c r="AD733" s="4"/>
      <c r="AE733" s="4"/>
    </row>
    <row r="734" ht="13.5" customHeight="1" spans="1:31" x14ac:dyDescent="0.25">
      <c r="A734" s="1"/>
      <c r="B734" s="4"/>
      <c r="C734" s="4"/>
      <c r="D734" s="4"/>
      <c r="E734" s="4"/>
      <c r="F734" s="4"/>
      <c r="G734" s="4"/>
      <c r="H734" s="4"/>
      <c r="I734" s="4"/>
      <c r="J734" s="4"/>
      <c r="K734" s="4"/>
      <c r="L734" s="4"/>
      <c r="M734" s="4"/>
      <c r="N734" s="4"/>
      <c r="O734" s="4"/>
      <c r="P734" s="4"/>
      <c r="Q734" s="4"/>
      <c r="R734" s="4"/>
      <c r="S734" s="4"/>
      <c r="T734" s="4"/>
      <c r="U734" s="4"/>
      <c r="V734" s="4"/>
      <c r="W734" s="4"/>
      <c r="X734" s="4"/>
      <c r="Y734" s="4"/>
      <c r="Z734" s="4"/>
      <c r="AA734" s="4"/>
      <c r="AB734" s="4"/>
      <c r="AC734" s="4"/>
      <c r="AD734" s="4"/>
      <c r="AE734" s="4"/>
    </row>
    <row r="735" ht="13.5" customHeight="1" spans="1:31" x14ac:dyDescent="0.25">
      <c r="A735" s="1"/>
      <c r="B735" s="4"/>
      <c r="C735" s="4"/>
      <c r="D735" s="4"/>
      <c r="E735" s="4"/>
      <c r="F735" s="4"/>
      <c r="G735" s="4"/>
      <c r="H735" s="4"/>
      <c r="I735" s="4"/>
      <c r="J735" s="4"/>
      <c r="K735" s="4"/>
      <c r="L735" s="4"/>
      <c r="M735" s="4"/>
      <c r="N735" s="4"/>
      <c r="O735" s="4"/>
      <c r="P735" s="4"/>
      <c r="Q735" s="4"/>
      <c r="R735" s="4"/>
      <c r="S735" s="4"/>
      <c r="T735" s="4"/>
      <c r="U735" s="4"/>
      <c r="V735" s="4"/>
      <c r="W735" s="4"/>
      <c r="X735" s="4"/>
      <c r="Y735" s="4"/>
      <c r="Z735" s="4"/>
      <c r="AA735" s="4"/>
      <c r="AB735" s="4"/>
      <c r="AC735" s="4"/>
      <c r="AD735" s="4"/>
      <c r="AE735" s="4"/>
    </row>
    <row r="736" ht="13.5" customHeight="1" spans="1:31" x14ac:dyDescent="0.25">
      <c r="A736" s="1"/>
      <c r="B736" s="4"/>
      <c r="C736" s="4"/>
      <c r="D736" s="4"/>
      <c r="E736" s="4"/>
      <c r="F736" s="4"/>
      <c r="G736" s="4"/>
      <c r="H736" s="4"/>
      <c r="I736" s="4"/>
      <c r="J736" s="4"/>
      <c r="K736" s="4"/>
      <c r="L736" s="4"/>
      <c r="M736" s="4"/>
      <c r="N736" s="4"/>
      <c r="O736" s="4"/>
      <c r="P736" s="4"/>
      <c r="Q736" s="4"/>
      <c r="R736" s="4"/>
      <c r="S736" s="4"/>
      <c r="T736" s="4"/>
      <c r="U736" s="4"/>
      <c r="V736" s="4"/>
      <c r="W736" s="4"/>
      <c r="X736" s="4"/>
      <c r="Y736" s="4"/>
      <c r="Z736" s="4"/>
      <c r="AA736" s="4"/>
      <c r="AB736" s="4"/>
      <c r="AC736" s="4"/>
      <c r="AD736" s="4"/>
      <c r="AE736" s="4"/>
    </row>
    <row r="737" ht="13.5" customHeight="1" spans="1:31" x14ac:dyDescent="0.25">
      <c r="A737" s="1"/>
      <c r="B737" s="4"/>
      <c r="C737" s="4"/>
      <c r="D737" s="4"/>
      <c r="E737" s="4"/>
      <c r="F737" s="4"/>
      <c r="G737" s="4"/>
      <c r="H737" s="4"/>
      <c r="I737" s="4"/>
      <c r="J737" s="4"/>
      <c r="K737" s="4"/>
      <c r="L737" s="4"/>
      <c r="M737" s="4"/>
      <c r="N737" s="4"/>
      <c r="O737" s="4"/>
      <c r="P737" s="4"/>
      <c r="Q737" s="4"/>
      <c r="R737" s="4"/>
      <c r="S737" s="4"/>
      <c r="T737" s="4"/>
      <c r="U737" s="4"/>
      <c r="V737" s="4"/>
      <c r="W737" s="4"/>
      <c r="X737" s="4"/>
      <c r="Y737" s="4"/>
      <c r="Z737" s="4"/>
      <c r="AA737" s="4"/>
      <c r="AB737" s="4"/>
      <c r="AC737" s="4"/>
      <c r="AD737" s="4"/>
      <c r="AE737" s="4"/>
    </row>
    <row r="738" ht="13.5" customHeight="1" spans="1:31" x14ac:dyDescent="0.25">
      <c r="A738" s="1"/>
      <c r="B738" s="4"/>
      <c r="C738" s="4"/>
      <c r="D738" s="4"/>
      <c r="E738" s="4"/>
      <c r="F738" s="4"/>
      <c r="G738" s="4"/>
      <c r="H738" s="4"/>
      <c r="I738" s="4"/>
      <c r="J738" s="4"/>
      <c r="K738" s="4"/>
      <c r="L738" s="4"/>
      <c r="M738" s="4"/>
      <c r="N738" s="4"/>
      <c r="O738" s="4"/>
      <c r="P738" s="4"/>
      <c r="Q738" s="4"/>
      <c r="R738" s="4"/>
      <c r="S738" s="4"/>
      <c r="T738" s="4"/>
      <c r="U738" s="4"/>
      <c r="V738" s="4"/>
      <c r="W738" s="4"/>
      <c r="X738" s="4"/>
      <c r="Y738" s="4"/>
      <c r="Z738" s="4"/>
      <c r="AA738" s="4"/>
      <c r="AB738" s="4"/>
      <c r="AC738" s="4"/>
      <c r="AD738" s="4"/>
      <c r="AE738" s="4"/>
    </row>
    <row r="739" ht="13.5" customHeight="1" spans="1:31" x14ac:dyDescent="0.25">
      <c r="A739" s="1"/>
      <c r="B739" s="4"/>
      <c r="C739" s="4"/>
      <c r="D739" s="4"/>
      <c r="E739" s="4"/>
      <c r="F739" s="4"/>
      <c r="G739" s="4"/>
      <c r="H739" s="4"/>
      <c r="I739" s="4"/>
      <c r="J739" s="4"/>
      <c r="K739" s="4"/>
      <c r="L739" s="4"/>
      <c r="M739" s="4"/>
      <c r="N739" s="4"/>
      <c r="O739" s="4"/>
      <c r="P739" s="4"/>
      <c r="Q739" s="4"/>
      <c r="R739" s="4"/>
      <c r="S739" s="4"/>
      <c r="T739" s="4"/>
      <c r="U739" s="4"/>
      <c r="V739" s="4"/>
      <c r="W739" s="4"/>
      <c r="X739" s="4"/>
      <c r="Y739" s="4"/>
      <c r="Z739" s="4"/>
      <c r="AA739" s="4"/>
      <c r="AB739" s="4"/>
      <c r="AC739" s="4"/>
      <c r="AD739" s="4"/>
      <c r="AE739" s="4"/>
    </row>
    <row r="740" ht="13.5" customHeight="1" spans="1:31" x14ac:dyDescent="0.25">
      <c r="A740" s="1"/>
      <c r="B740" s="4"/>
      <c r="C740" s="4"/>
      <c r="D740" s="4"/>
      <c r="E740" s="4"/>
      <c r="F740" s="4"/>
      <c r="G740" s="4"/>
      <c r="H740" s="4"/>
      <c r="I740" s="4"/>
      <c r="J740" s="4"/>
      <c r="K740" s="4"/>
      <c r="L740" s="4"/>
      <c r="M740" s="4"/>
      <c r="N740" s="4"/>
      <c r="O740" s="4"/>
      <c r="P740" s="4"/>
      <c r="Q740" s="4"/>
      <c r="R740" s="4"/>
      <c r="S740" s="4"/>
      <c r="T740" s="4"/>
      <c r="U740" s="4"/>
      <c r="V740" s="4"/>
      <c r="W740" s="4"/>
      <c r="X740" s="4"/>
      <c r="Y740" s="4"/>
      <c r="Z740" s="4"/>
      <c r="AA740" s="4"/>
      <c r="AB740" s="4"/>
      <c r="AC740" s="4"/>
      <c r="AD740" s="4"/>
      <c r="AE740" s="4"/>
    </row>
    <row r="741" ht="13.5" customHeight="1" spans="1:31" x14ac:dyDescent="0.25">
      <c r="A741" s="1"/>
      <c r="B741" s="4"/>
      <c r="C741" s="4"/>
      <c r="D741" s="4"/>
      <c r="E741" s="4"/>
      <c r="F741" s="4"/>
      <c r="G741" s="4"/>
      <c r="H741" s="4"/>
      <c r="I741" s="4"/>
      <c r="J741" s="4"/>
      <c r="K741" s="4"/>
      <c r="L741" s="4"/>
      <c r="M741" s="4"/>
      <c r="N741" s="4"/>
      <c r="O741" s="4"/>
      <c r="P741" s="4"/>
      <c r="Q741" s="4"/>
      <c r="R741" s="4"/>
      <c r="S741" s="4"/>
      <c r="T741" s="4"/>
      <c r="U741" s="4"/>
      <c r="V741" s="4"/>
      <c r="W741" s="4"/>
      <c r="X741" s="4"/>
      <c r="Y741" s="4"/>
      <c r="Z741" s="4"/>
      <c r="AA741" s="4"/>
      <c r="AB741" s="4"/>
      <c r="AC741" s="4"/>
      <c r="AD741" s="4"/>
      <c r="AE741" s="4"/>
    </row>
    <row r="742" ht="13.5" customHeight="1" spans="1:31" x14ac:dyDescent="0.25">
      <c r="A742" s="1"/>
      <c r="B742" s="4"/>
      <c r="C742" s="4"/>
      <c r="D742" s="4"/>
      <c r="E742" s="4"/>
      <c r="F742" s="4"/>
      <c r="G742" s="4"/>
      <c r="H742" s="4"/>
      <c r="I742" s="4"/>
      <c r="J742" s="4"/>
      <c r="K742" s="4"/>
      <c r="L742" s="4"/>
      <c r="M742" s="4"/>
      <c r="N742" s="4"/>
      <c r="O742" s="4"/>
      <c r="P742" s="4"/>
      <c r="Q742" s="4"/>
      <c r="R742" s="4"/>
      <c r="S742" s="4"/>
      <c r="T742" s="4"/>
      <c r="U742" s="4"/>
      <c r="V742" s="4"/>
      <c r="W742" s="4"/>
      <c r="X742" s="4"/>
      <c r="Y742" s="4"/>
      <c r="Z742" s="4"/>
      <c r="AA742" s="4"/>
      <c r="AB742" s="4"/>
      <c r="AC742" s="4"/>
      <c r="AD742" s="4"/>
      <c r="AE742" s="4"/>
    </row>
    <row r="743" ht="13.5" customHeight="1" spans="1:31" x14ac:dyDescent="0.25">
      <c r="A743" s="1"/>
      <c r="B743" s="4"/>
      <c r="C743" s="4"/>
      <c r="D743" s="4"/>
      <c r="E743" s="4"/>
      <c r="F743" s="4"/>
      <c r="G743" s="4"/>
      <c r="H743" s="4"/>
      <c r="I743" s="4"/>
      <c r="J743" s="4"/>
      <c r="K743" s="4"/>
      <c r="L743" s="4"/>
      <c r="M743" s="4"/>
      <c r="N743" s="4"/>
      <c r="O743" s="4"/>
      <c r="P743" s="4"/>
      <c r="Q743" s="4"/>
      <c r="R743" s="4"/>
      <c r="S743" s="4"/>
      <c r="T743" s="4"/>
      <c r="U743" s="4"/>
      <c r="V743" s="4"/>
      <c r="W743" s="4"/>
      <c r="X743" s="4"/>
      <c r="Y743" s="4"/>
      <c r="Z743" s="4"/>
      <c r="AA743" s="4"/>
      <c r="AB743" s="4"/>
      <c r="AC743" s="4"/>
      <c r="AD743" s="4"/>
      <c r="AE743" s="4"/>
    </row>
    <row r="744" ht="13.5" customHeight="1" spans="1:31" x14ac:dyDescent="0.25">
      <c r="A744" s="1"/>
      <c r="B744" s="4"/>
      <c r="C744" s="4"/>
      <c r="D744" s="4"/>
      <c r="E744" s="4"/>
      <c r="F744" s="4"/>
      <c r="G744" s="4"/>
      <c r="H744" s="4"/>
      <c r="I744" s="4"/>
      <c r="J744" s="4"/>
      <c r="K744" s="4"/>
      <c r="L744" s="4"/>
      <c r="M744" s="4"/>
      <c r="N744" s="4"/>
      <c r="O744" s="4"/>
      <c r="P744" s="4"/>
      <c r="Q744" s="4"/>
      <c r="R744" s="4"/>
      <c r="S744" s="4"/>
      <c r="T744" s="4"/>
      <c r="U744" s="4"/>
      <c r="V744" s="4"/>
      <c r="W744" s="4"/>
      <c r="X744" s="4"/>
      <c r="Y744" s="4"/>
      <c r="Z744" s="4"/>
      <c r="AA744" s="4"/>
      <c r="AB744" s="4"/>
      <c r="AC744" s="4"/>
      <c r="AD744" s="4"/>
      <c r="AE744" s="4"/>
    </row>
    <row r="745" ht="13.5" customHeight="1" spans="1:31" x14ac:dyDescent="0.25">
      <c r="A745" s="1"/>
      <c r="B745" s="4"/>
      <c r="C745" s="4"/>
      <c r="D745" s="4"/>
      <c r="E745" s="4"/>
      <c r="F745" s="4"/>
      <c r="G745" s="4"/>
      <c r="H745" s="4"/>
      <c r="I745" s="4"/>
      <c r="J745" s="4"/>
      <c r="K745" s="4"/>
      <c r="L745" s="4"/>
      <c r="M745" s="4"/>
      <c r="N745" s="4"/>
      <c r="O745" s="4"/>
      <c r="P745" s="4"/>
      <c r="Q745" s="4"/>
      <c r="R745" s="4"/>
      <c r="S745" s="4"/>
      <c r="T745" s="4"/>
      <c r="U745" s="4"/>
      <c r="V745" s="4"/>
      <c r="W745" s="4"/>
      <c r="X745" s="4"/>
      <c r="Y745" s="4"/>
      <c r="Z745" s="4"/>
      <c r="AA745" s="4"/>
      <c r="AB745" s="4"/>
      <c r="AC745" s="4"/>
      <c r="AD745" s="4"/>
      <c r="AE745" s="4"/>
    </row>
    <row r="746" ht="13.5" customHeight="1" spans="1:31" x14ac:dyDescent="0.25">
      <c r="A746" s="1"/>
      <c r="B746" s="4"/>
      <c r="C746" s="4"/>
      <c r="D746" s="4"/>
      <c r="E746" s="4"/>
      <c r="F746" s="4"/>
      <c r="G746" s="4"/>
      <c r="H746" s="4"/>
      <c r="I746" s="4"/>
      <c r="J746" s="4"/>
      <c r="K746" s="4"/>
      <c r="L746" s="4"/>
      <c r="M746" s="4"/>
      <c r="N746" s="4"/>
      <c r="O746" s="4"/>
      <c r="P746" s="4"/>
      <c r="Q746" s="4"/>
      <c r="R746" s="4"/>
      <c r="S746" s="4"/>
      <c r="T746" s="4"/>
      <c r="U746" s="4"/>
      <c r="V746" s="4"/>
      <c r="W746" s="4"/>
      <c r="X746" s="4"/>
      <c r="Y746" s="4"/>
      <c r="Z746" s="4"/>
      <c r="AA746" s="4"/>
      <c r="AB746" s="4"/>
      <c r="AC746" s="4"/>
      <c r="AD746" s="4"/>
      <c r="AE746" s="4"/>
    </row>
    <row r="747" ht="13.5" customHeight="1" spans="1:31" x14ac:dyDescent="0.25">
      <c r="A747" s="1"/>
      <c r="B747" s="4"/>
      <c r="C747" s="4"/>
      <c r="D747" s="4"/>
      <c r="E747" s="4"/>
      <c r="F747" s="4"/>
      <c r="G747" s="4"/>
      <c r="H747" s="4"/>
      <c r="I747" s="4"/>
      <c r="J747" s="4"/>
      <c r="K747" s="4"/>
      <c r="L747" s="4"/>
      <c r="M747" s="4"/>
      <c r="N747" s="4"/>
      <c r="O747" s="4"/>
      <c r="P747" s="4"/>
      <c r="Q747" s="4"/>
      <c r="R747" s="4"/>
      <c r="S747" s="4"/>
      <c r="T747" s="4"/>
      <c r="U747" s="4"/>
      <c r="V747" s="4"/>
      <c r="W747" s="4"/>
      <c r="X747" s="4"/>
      <c r="Y747" s="4"/>
      <c r="Z747" s="4"/>
      <c r="AA747" s="4"/>
      <c r="AB747" s="4"/>
      <c r="AC747" s="4"/>
      <c r="AD747" s="4"/>
      <c r="AE747" s="4"/>
    </row>
    <row r="748" ht="13.5" customHeight="1" spans="1:31" x14ac:dyDescent="0.25">
      <c r="A748" s="1"/>
      <c r="B748" s="4"/>
      <c r="C748" s="4"/>
      <c r="D748" s="4"/>
      <c r="E748" s="4"/>
      <c r="F748" s="4"/>
      <c r="G748" s="4"/>
      <c r="H748" s="4"/>
      <c r="I748" s="4"/>
      <c r="J748" s="4"/>
      <c r="K748" s="4"/>
      <c r="L748" s="4"/>
      <c r="M748" s="4"/>
      <c r="N748" s="4"/>
      <c r="O748" s="4"/>
      <c r="P748" s="4"/>
      <c r="Q748" s="4"/>
      <c r="R748" s="4"/>
      <c r="S748" s="4"/>
      <c r="T748" s="4"/>
      <c r="U748" s="4"/>
      <c r="V748" s="4"/>
      <c r="W748" s="4"/>
      <c r="X748" s="4"/>
      <c r="Y748" s="4"/>
      <c r="Z748" s="4"/>
      <c r="AA748" s="4"/>
      <c r="AB748" s="4"/>
      <c r="AC748" s="4"/>
      <c r="AD748" s="4"/>
      <c r="AE748" s="4"/>
    </row>
    <row r="749" ht="13.5" customHeight="1" spans="1:31" x14ac:dyDescent="0.25">
      <c r="A749" s="1"/>
      <c r="B749" s="4"/>
      <c r="C749" s="4"/>
      <c r="D749" s="4"/>
      <c r="E749" s="4"/>
      <c r="F749" s="4"/>
      <c r="G749" s="4"/>
      <c r="H749" s="4"/>
      <c r="I749" s="4"/>
      <c r="J749" s="4"/>
      <c r="K749" s="4"/>
      <c r="L749" s="4"/>
      <c r="M749" s="4"/>
      <c r="N749" s="4"/>
      <c r="O749" s="4"/>
      <c r="P749" s="4"/>
      <c r="Q749" s="4"/>
      <c r="R749" s="4"/>
      <c r="S749" s="4"/>
      <c r="T749" s="4"/>
      <c r="U749" s="4"/>
      <c r="V749" s="4"/>
      <c r="W749" s="4"/>
      <c r="X749" s="4"/>
      <c r="Y749" s="4"/>
      <c r="Z749" s="4"/>
      <c r="AA749" s="4"/>
      <c r="AB749" s="4"/>
      <c r="AC749" s="4"/>
      <c r="AD749" s="4"/>
      <c r="AE749" s="4"/>
    </row>
    <row r="750" ht="13.5" customHeight="1" spans="1:31" x14ac:dyDescent="0.25">
      <c r="A750" s="1"/>
      <c r="B750" s="4"/>
      <c r="C750" s="4"/>
      <c r="D750" s="4"/>
      <c r="E750" s="4"/>
      <c r="F750" s="4"/>
      <c r="G750" s="4"/>
      <c r="H750" s="4"/>
      <c r="I750" s="4"/>
      <c r="J750" s="4"/>
      <c r="K750" s="4"/>
      <c r="L750" s="4"/>
      <c r="M750" s="4"/>
      <c r="N750" s="4"/>
      <c r="O750" s="4"/>
      <c r="P750" s="4"/>
      <c r="Q750" s="4"/>
      <c r="R750" s="4"/>
      <c r="S750" s="4"/>
      <c r="T750" s="4"/>
      <c r="U750" s="4"/>
      <c r="V750" s="4"/>
      <c r="W750" s="4"/>
      <c r="X750" s="4"/>
      <c r="Y750" s="4"/>
      <c r="Z750" s="4"/>
      <c r="AA750" s="4"/>
      <c r="AB750" s="4"/>
      <c r="AC750" s="4"/>
      <c r="AD750" s="4"/>
      <c r="AE750" s="4"/>
    </row>
    <row r="751" ht="13.5" customHeight="1" spans="1:31" x14ac:dyDescent="0.25">
      <c r="A751" s="1"/>
      <c r="B751" s="4"/>
      <c r="C751" s="4"/>
      <c r="D751" s="4"/>
      <c r="E751" s="4"/>
      <c r="F751" s="4"/>
      <c r="G751" s="4"/>
      <c r="H751" s="4"/>
      <c r="I751" s="4"/>
      <c r="J751" s="4"/>
      <c r="K751" s="4"/>
      <c r="L751" s="4"/>
      <c r="M751" s="4"/>
      <c r="N751" s="4"/>
      <c r="O751" s="4"/>
      <c r="P751" s="4"/>
      <c r="Q751" s="4"/>
      <c r="R751" s="4"/>
      <c r="S751" s="4"/>
      <c r="T751" s="4"/>
      <c r="U751" s="4"/>
      <c r="V751" s="4"/>
      <c r="W751" s="4"/>
      <c r="X751" s="4"/>
      <c r="Y751" s="4"/>
      <c r="Z751" s="4"/>
      <c r="AA751" s="4"/>
      <c r="AB751" s="4"/>
      <c r="AC751" s="4"/>
      <c r="AD751" s="4"/>
      <c r="AE751" s="4"/>
    </row>
    <row r="752" ht="13.5" customHeight="1" spans="1:31" x14ac:dyDescent="0.25">
      <c r="A752" s="1"/>
      <c r="B752" s="4"/>
      <c r="C752" s="4"/>
      <c r="D752" s="4"/>
      <c r="E752" s="4"/>
      <c r="F752" s="4"/>
      <c r="G752" s="4"/>
      <c r="H752" s="4"/>
      <c r="I752" s="4"/>
      <c r="J752" s="4"/>
      <c r="K752" s="4"/>
      <c r="L752" s="4"/>
      <c r="M752" s="4"/>
      <c r="N752" s="4"/>
      <c r="O752" s="4"/>
      <c r="P752" s="4"/>
      <c r="Q752" s="4"/>
      <c r="R752" s="4"/>
      <c r="S752" s="4"/>
      <c r="T752" s="4"/>
      <c r="U752" s="4"/>
      <c r="V752" s="4"/>
      <c r="W752" s="4"/>
      <c r="X752" s="4"/>
      <c r="Y752" s="4"/>
      <c r="Z752" s="4"/>
      <c r="AA752" s="4"/>
      <c r="AB752" s="4"/>
      <c r="AC752" s="4"/>
      <c r="AD752" s="4"/>
      <c r="AE752" s="4"/>
    </row>
    <row r="753" ht="13.5" customHeight="1" spans="1:31" x14ac:dyDescent="0.25">
      <c r="A753" s="1"/>
      <c r="B753" s="4"/>
      <c r="C753" s="4"/>
      <c r="D753" s="4"/>
      <c r="E753" s="4"/>
      <c r="F753" s="4"/>
      <c r="G753" s="4"/>
      <c r="H753" s="4"/>
      <c r="I753" s="4"/>
      <c r="J753" s="4"/>
      <c r="K753" s="4"/>
      <c r="L753" s="4"/>
      <c r="M753" s="4"/>
      <c r="N753" s="4"/>
      <c r="O753" s="4"/>
      <c r="P753" s="4"/>
      <c r="Q753" s="4"/>
      <c r="R753" s="4"/>
      <c r="S753" s="4"/>
      <c r="T753" s="4"/>
      <c r="U753" s="4"/>
      <c r="V753" s="4"/>
      <c r="W753" s="4"/>
      <c r="X753" s="4"/>
      <c r="Y753" s="4"/>
      <c r="Z753" s="4"/>
      <c r="AA753" s="4"/>
      <c r="AB753" s="4"/>
      <c r="AC753" s="4"/>
      <c r="AD753" s="4"/>
      <c r="AE753" s="4"/>
    </row>
    <row r="754" ht="13.5" customHeight="1" spans="1:31" x14ac:dyDescent="0.25">
      <c r="A754" s="1"/>
      <c r="B754" s="4"/>
      <c r="C754" s="4"/>
      <c r="D754" s="4"/>
      <c r="E754" s="4"/>
      <c r="F754" s="4"/>
      <c r="G754" s="4"/>
      <c r="H754" s="4"/>
      <c r="I754" s="4"/>
      <c r="J754" s="4"/>
      <c r="K754" s="4"/>
      <c r="L754" s="4"/>
      <c r="M754" s="4"/>
      <c r="N754" s="4"/>
      <c r="O754" s="4"/>
      <c r="P754" s="4"/>
      <c r="Q754" s="4"/>
      <c r="R754" s="4"/>
      <c r="S754" s="4"/>
      <c r="T754" s="4"/>
      <c r="U754" s="4"/>
      <c r="V754" s="4"/>
      <c r="W754" s="4"/>
      <c r="X754" s="4"/>
      <c r="Y754" s="4"/>
      <c r="Z754" s="4"/>
      <c r="AA754" s="4"/>
      <c r="AB754" s="4"/>
      <c r="AC754" s="4"/>
      <c r="AD754" s="4"/>
      <c r="AE754" s="4"/>
    </row>
    <row r="755" ht="13.5" customHeight="1" spans="1:31" x14ac:dyDescent="0.25">
      <c r="A755" s="1"/>
      <c r="B755" s="4"/>
      <c r="C755" s="4"/>
      <c r="D755" s="4"/>
      <c r="E755" s="4"/>
      <c r="F755" s="4"/>
      <c r="G755" s="4"/>
      <c r="H755" s="4"/>
      <c r="I755" s="4"/>
      <c r="J755" s="4"/>
      <c r="K755" s="4"/>
      <c r="L755" s="4"/>
      <c r="M755" s="4"/>
      <c r="N755" s="4"/>
      <c r="O755" s="4"/>
      <c r="P755" s="4"/>
      <c r="Q755" s="4"/>
      <c r="R755" s="4"/>
      <c r="S755" s="4"/>
      <c r="T755" s="4"/>
      <c r="U755" s="4"/>
      <c r="V755" s="4"/>
      <c r="W755" s="4"/>
      <c r="X755" s="4"/>
      <c r="Y755" s="4"/>
      <c r="Z755" s="4"/>
      <c r="AA755" s="4"/>
      <c r="AB755" s="4"/>
      <c r="AC755" s="4"/>
      <c r="AD755" s="4"/>
      <c r="AE755" s="4"/>
    </row>
    <row r="756" ht="13.5" customHeight="1" spans="1:31" x14ac:dyDescent="0.25">
      <c r="A756" s="1"/>
      <c r="B756" s="4"/>
      <c r="C756" s="4"/>
      <c r="D756" s="4"/>
      <c r="E756" s="4"/>
      <c r="F756" s="4"/>
      <c r="G756" s="4"/>
      <c r="H756" s="4"/>
      <c r="I756" s="4"/>
      <c r="J756" s="4"/>
      <c r="K756" s="4"/>
      <c r="L756" s="4"/>
      <c r="M756" s="4"/>
      <c r="N756" s="4"/>
      <c r="O756" s="4"/>
      <c r="P756" s="4"/>
      <c r="Q756" s="4"/>
      <c r="R756" s="4"/>
      <c r="S756" s="4"/>
      <c r="T756" s="4"/>
      <c r="U756" s="4"/>
      <c r="V756" s="4"/>
      <c r="W756" s="4"/>
      <c r="X756" s="4"/>
      <c r="Y756" s="4"/>
      <c r="Z756" s="4"/>
      <c r="AA756" s="4"/>
      <c r="AB756" s="4"/>
      <c r="AC756" s="4"/>
      <c r="AD756" s="4"/>
      <c r="AE756" s="4"/>
    </row>
    <row r="757" ht="13.5" customHeight="1" spans="1:31" x14ac:dyDescent="0.25">
      <c r="A757" s="1"/>
      <c r="B757" s="4"/>
      <c r="C757" s="4"/>
      <c r="D757" s="4"/>
      <c r="E757" s="4"/>
      <c r="F757" s="4"/>
      <c r="G757" s="4"/>
      <c r="H757" s="4"/>
      <c r="I757" s="4"/>
      <c r="J757" s="4"/>
      <c r="K757" s="4"/>
      <c r="L757" s="4"/>
      <c r="M757" s="4"/>
      <c r="N757" s="4"/>
      <c r="O757" s="4"/>
      <c r="P757" s="4"/>
      <c r="Q757" s="4"/>
      <c r="R757" s="4"/>
      <c r="S757" s="4"/>
      <c r="T757" s="4"/>
      <c r="U757" s="4"/>
      <c r="V757" s="4"/>
      <c r="W757" s="4"/>
      <c r="X757" s="4"/>
      <c r="Y757" s="4"/>
      <c r="Z757" s="4"/>
      <c r="AA757" s="4"/>
      <c r="AB757" s="4"/>
      <c r="AC757" s="4"/>
      <c r="AD757" s="4"/>
      <c r="AE757" s="4"/>
    </row>
    <row r="758" ht="13.5" customHeight="1" spans="1:31" x14ac:dyDescent="0.25">
      <c r="A758" s="1"/>
      <c r="B758" s="4"/>
      <c r="C758" s="4"/>
      <c r="D758" s="4"/>
      <c r="E758" s="4"/>
      <c r="F758" s="4"/>
      <c r="G758" s="4"/>
      <c r="H758" s="4"/>
      <c r="I758" s="4"/>
      <c r="J758" s="4"/>
      <c r="K758" s="4"/>
      <c r="L758" s="4"/>
      <c r="M758" s="4"/>
      <c r="N758" s="4"/>
      <c r="O758" s="4"/>
      <c r="P758" s="4"/>
      <c r="Q758" s="4"/>
      <c r="R758" s="4"/>
      <c r="S758" s="4"/>
      <c r="T758" s="4"/>
      <c r="U758" s="4"/>
      <c r="V758" s="4"/>
      <c r="W758" s="4"/>
      <c r="X758" s="4"/>
      <c r="Y758" s="4"/>
      <c r="Z758" s="4"/>
      <c r="AA758" s="4"/>
      <c r="AB758" s="4"/>
      <c r="AC758" s="4"/>
      <c r="AD758" s="4"/>
      <c r="AE758" s="4"/>
    </row>
    <row r="759" ht="13.5" customHeight="1" spans="1:31" x14ac:dyDescent="0.25">
      <c r="A759" s="1"/>
      <c r="B759" s="4"/>
      <c r="C759" s="4"/>
      <c r="D759" s="4"/>
      <c r="E759" s="4"/>
      <c r="F759" s="4"/>
      <c r="G759" s="4"/>
      <c r="H759" s="4"/>
      <c r="I759" s="4"/>
      <c r="J759" s="4"/>
      <c r="K759" s="4"/>
      <c r="L759" s="4"/>
      <c r="M759" s="4"/>
      <c r="N759" s="4"/>
      <c r="O759" s="4"/>
      <c r="P759" s="4"/>
      <c r="Q759" s="4"/>
      <c r="R759" s="4"/>
      <c r="S759" s="4"/>
      <c r="T759" s="4"/>
      <c r="U759" s="4"/>
      <c r="V759" s="4"/>
      <c r="W759" s="4"/>
      <c r="X759" s="4"/>
      <c r="Y759" s="4"/>
      <c r="Z759" s="4"/>
      <c r="AA759" s="4"/>
      <c r="AB759" s="4"/>
      <c r="AC759" s="4"/>
      <c r="AD759" s="4"/>
      <c r="AE759" s="4"/>
    </row>
    <row r="760" ht="13.5" customHeight="1" spans="1:31" x14ac:dyDescent="0.25">
      <c r="A760" s="1"/>
      <c r="B760" s="4"/>
      <c r="C760" s="4"/>
      <c r="D760" s="4"/>
      <c r="E760" s="4"/>
      <c r="F760" s="4"/>
      <c r="G760" s="4"/>
      <c r="H760" s="4"/>
      <c r="I760" s="4"/>
      <c r="J760" s="4"/>
      <c r="K760" s="4"/>
      <c r="L760" s="4"/>
      <c r="M760" s="4"/>
      <c r="N760" s="4"/>
      <c r="O760" s="4"/>
      <c r="P760" s="4"/>
      <c r="Q760" s="4"/>
      <c r="R760" s="4"/>
      <c r="S760" s="4"/>
      <c r="T760" s="4"/>
      <c r="U760" s="4"/>
      <c r="V760" s="4"/>
      <c r="W760" s="4"/>
      <c r="X760" s="4"/>
      <c r="Y760" s="4"/>
      <c r="Z760" s="4"/>
      <c r="AA760" s="4"/>
      <c r="AB760" s="4"/>
      <c r="AC760" s="4"/>
      <c r="AD760" s="4"/>
      <c r="AE760" s="4"/>
    </row>
    <row r="761" ht="13.5" customHeight="1" spans="1:31" x14ac:dyDescent="0.25">
      <c r="A761" s="1"/>
      <c r="B761" s="4"/>
      <c r="C761" s="4"/>
      <c r="D761" s="4"/>
      <c r="E761" s="4"/>
      <c r="F761" s="4"/>
      <c r="G761" s="4"/>
      <c r="H761" s="4"/>
      <c r="I761" s="4"/>
      <c r="J761" s="4"/>
      <c r="K761" s="4"/>
      <c r="L761" s="4"/>
      <c r="M761" s="4"/>
      <c r="N761" s="4"/>
      <c r="O761" s="4"/>
      <c r="P761" s="4"/>
      <c r="Q761" s="4"/>
      <c r="R761" s="4"/>
      <c r="S761" s="4"/>
      <c r="T761" s="4"/>
      <c r="U761" s="4"/>
      <c r="V761" s="4"/>
      <c r="W761" s="4"/>
      <c r="X761" s="4"/>
      <c r="Y761" s="4"/>
      <c r="Z761" s="4"/>
      <c r="AA761" s="4"/>
      <c r="AB761" s="4"/>
      <c r="AC761" s="4"/>
      <c r="AD761" s="4"/>
      <c r="AE761" s="4"/>
    </row>
    <row r="762" ht="13.5" customHeight="1" spans="1:31" x14ac:dyDescent="0.25">
      <c r="A762" s="1"/>
      <c r="B762" s="4"/>
      <c r="C762" s="4"/>
      <c r="D762" s="4"/>
      <c r="E762" s="4"/>
      <c r="F762" s="4"/>
      <c r="G762" s="4"/>
      <c r="H762" s="4"/>
      <c r="I762" s="4"/>
      <c r="J762" s="4"/>
      <c r="K762" s="4"/>
      <c r="L762" s="4"/>
      <c r="M762" s="4"/>
      <c r="N762" s="4"/>
      <c r="O762" s="4"/>
      <c r="P762" s="4"/>
      <c r="Q762" s="4"/>
      <c r="R762" s="4"/>
      <c r="S762" s="4"/>
      <c r="T762" s="4"/>
      <c r="U762" s="4"/>
      <c r="V762" s="4"/>
      <c r="W762" s="4"/>
      <c r="X762" s="4"/>
      <c r="Y762" s="4"/>
      <c r="Z762" s="4"/>
      <c r="AA762" s="4"/>
      <c r="AB762" s="4"/>
      <c r="AC762" s="4"/>
      <c r="AD762" s="4"/>
      <c r="AE762" s="4"/>
    </row>
    <row r="763" ht="13.5" customHeight="1" spans="1:31" x14ac:dyDescent="0.25">
      <c r="A763" s="1"/>
      <c r="B763" s="4"/>
      <c r="C763" s="4"/>
      <c r="D763" s="4"/>
      <c r="E763" s="4"/>
      <c r="F763" s="4"/>
      <c r="G763" s="4"/>
      <c r="H763" s="4"/>
      <c r="I763" s="4"/>
      <c r="J763" s="4"/>
      <c r="K763" s="4"/>
      <c r="L763" s="4"/>
      <c r="M763" s="4"/>
      <c r="N763" s="4"/>
      <c r="O763" s="4"/>
      <c r="P763" s="4"/>
      <c r="Q763" s="4"/>
      <c r="R763" s="4"/>
      <c r="S763" s="4"/>
      <c r="T763" s="4"/>
      <c r="U763" s="4"/>
      <c r="V763" s="4"/>
      <c r="W763" s="4"/>
      <c r="X763" s="4"/>
      <c r="Y763" s="4"/>
      <c r="Z763" s="4"/>
      <c r="AA763" s="4"/>
      <c r="AB763" s="4"/>
      <c r="AC763" s="4"/>
      <c r="AD763" s="4"/>
      <c r="AE763" s="4"/>
    </row>
    <row r="764" ht="13.5" customHeight="1" spans="1:31" x14ac:dyDescent="0.25">
      <c r="A764" s="1"/>
      <c r="B764" s="4"/>
      <c r="C764" s="4"/>
      <c r="D764" s="4"/>
      <c r="E764" s="4"/>
      <c r="F764" s="4"/>
      <c r="G764" s="4"/>
      <c r="H764" s="4"/>
      <c r="I764" s="4"/>
      <c r="J764" s="4"/>
      <c r="K764" s="4"/>
      <c r="L764" s="4"/>
      <c r="M764" s="4"/>
      <c r="N764" s="4"/>
      <c r="O764" s="4"/>
      <c r="P764" s="4"/>
      <c r="Q764" s="4"/>
      <c r="R764" s="4"/>
      <c r="S764" s="4"/>
      <c r="T764" s="4"/>
      <c r="U764" s="4"/>
      <c r="V764" s="4"/>
      <c r="W764" s="4"/>
      <c r="X764" s="4"/>
      <c r="Y764" s="4"/>
      <c r="Z764" s="4"/>
      <c r="AA764" s="4"/>
      <c r="AB764" s="4"/>
      <c r="AC764" s="4"/>
      <c r="AD764" s="4"/>
      <c r="AE764" s="4"/>
    </row>
    <row r="765" ht="13.5" customHeight="1" spans="1:31" x14ac:dyDescent="0.25">
      <c r="A765" s="1"/>
      <c r="B765" s="4"/>
      <c r="C765" s="4"/>
      <c r="D765" s="4"/>
      <c r="E765" s="4"/>
      <c r="F765" s="4"/>
      <c r="G765" s="4"/>
      <c r="H765" s="4"/>
      <c r="I765" s="4"/>
      <c r="J765" s="4"/>
      <c r="K765" s="4"/>
      <c r="L765" s="4"/>
      <c r="M765" s="4"/>
      <c r="N765" s="4"/>
      <c r="O765" s="4"/>
      <c r="P765" s="4"/>
      <c r="Q765" s="4"/>
      <c r="R765" s="4"/>
      <c r="S765" s="4"/>
      <c r="T765" s="4"/>
      <c r="U765" s="4"/>
      <c r="V765" s="4"/>
      <c r="W765" s="4"/>
      <c r="X765" s="4"/>
      <c r="Y765" s="4"/>
      <c r="Z765" s="4"/>
      <c r="AA765" s="4"/>
      <c r="AB765" s="4"/>
      <c r="AC765" s="4"/>
      <c r="AD765" s="4"/>
      <c r="AE765" s="4"/>
    </row>
    <row r="766" ht="13.5" customHeight="1" spans="1:31" x14ac:dyDescent="0.25">
      <c r="A766" s="1"/>
      <c r="B766" s="4"/>
      <c r="C766" s="4"/>
      <c r="D766" s="4"/>
      <c r="E766" s="4"/>
      <c r="F766" s="4"/>
      <c r="G766" s="4"/>
      <c r="H766" s="4"/>
      <c r="I766" s="4"/>
      <c r="J766" s="4"/>
      <c r="K766" s="4"/>
      <c r="L766" s="4"/>
      <c r="M766" s="4"/>
      <c r="N766" s="4"/>
      <c r="O766" s="4"/>
      <c r="P766" s="4"/>
      <c r="Q766" s="4"/>
      <c r="R766" s="4"/>
      <c r="S766" s="4"/>
      <c r="T766" s="4"/>
      <c r="U766" s="4"/>
      <c r="V766" s="4"/>
      <c r="W766" s="4"/>
      <c r="X766" s="4"/>
      <c r="Y766" s="4"/>
      <c r="Z766" s="4"/>
      <c r="AA766" s="4"/>
      <c r="AB766" s="4"/>
      <c r="AC766" s="4"/>
      <c r="AD766" s="4"/>
      <c r="AE766" s="4"/>
    </row>
    <row r="767" ht="13.5" customHeight="1" spans="1:31" x14ac:dyDescent="0.25">
      <c r="A767" s="1"/>
      <c r="B767" s="4"/>
      <c r="C767" s="4"/>
      <c r="D767" s="4"/>
      <c r="E767" s="4"/>
      <c r="F767" s="4"/>
      <c r="G767" s="4"/>
      <c r="H767" s="4"/>
      <c r="I767" s="4"/>
      <c r="J767" s="4"/>
      <c r="K767" s="4"/>
      <c r="L767" s="4"/>
      <c r="M767" s="4"/>
      <c r="N767" s="4"/>
      <c r="O767" s="4"/>
      <c r="P767" s="4"/>
      <c r="Q767" s="4"/>
      <c r="R767" s="4"/>
      <c r="S767" s="4"/>
      <c r="T767" s="4"/>
      <c r="U767" s="4"/>
      <c r="V767" s="4"/>
      <c r="W767" s="4"/>
      <c r="X767" s="4"/>
      <c r="Y767" s="4"/>
      <c r="Z767" s="4"/>
      <c r="AA767" s="4"/>
      <c r="AB767" s="4"/>
      <c r="AC767" s="4"/>
      <c r="AD767" s="4"/>
      <c r="AE767" s="4"/>
    </row>
    <row r="768" ht="13.5" customHeight="1" spans="1:31" x14ac:dyDescent="0.25">
      <c r="A768" s="1"/>
      <c r="B768" s="4"/>
      <c r="C768" s="4"/>
      <c r="D768" s="4"/>
      <c r="E768" s="4"/>
      <c r="F768" s="4"/>
      <c r="G768" s="4"/>
      <c r="H768" s="4"/>
      <c r="I768" s="4"/>
      <c r="J768" s="4"/>
      <c r="K768" s="4"/>
      <c r="L768" s="4"/>
      <c r="M768" s="4"/>
      <c r="N768" s="4"/>
      <c r="O768" s="4"/>
      <c r="P768" s="4"/>
      <c r="Q768" s="4"/>
      <c r="R768" s="4"/>
      <c r="S768" s="4"/>
      <c r="T768" s="4"/>
      <c r="U768" s="4"/>
      <c r="V768" s="4"/>
      <c r="W768" s="4"/>
      <c r="X768" s="4"/>
      <c r="Y768" s="4"/>
      <c r="Z768" s="4"/>
      <c r="AA768" s="4"/>
      <c r="AB768" s="4"/>
      <c r="AC768" s="4"/>
      <c r="AD768" s="4"/>
      <c r="AE768" s="4"/>
    </row>
    <row r="769" ht="13.5" customHeight="1" spans="1:31" x14ac:dyDescent="0.25">
      <c r="A769" s="1"/>
      <c r="B769" s="4"/>
      <c r="C769" s="4"/>
      <c r="D769" s="4"/>
      <c r="E769" s="4"/>
      <c r="F769" s="4"/>
      <c r="G769" s="4"/>
      <c r="H769" s="4"/>
      <c r="I769" s="4"/>
      <c r="J769" s="4"/>
      <c r="K769" s="4"/>
      <c r="L769" s="4"/>
      <c r="M769" s="4"/>
      <c r="N769" s="4"/>
      <c r="O769" s="4"/>
      <c r="P769" s="4"/>
      <c r="Q769" s="4"/>
      <c r="R769" s="4"/>
      <c r="S769" s="4"/>
      <c r="T769" s="4"/>
      <c r="U769" s="4"/>
      <c r="V769" s="4"/>
      <c r="W769" s="4"/>
      <c r="X769" s="4"/>
      <c r="Y769" s="4"/>
      <c r="Z769" s="4"/>
      <c r="AA769" s="4"/>
      <c r="AB769" s="4"/>
      <c r="AC769" s="4"/>
      <c r="AD769" s="4"/>
      <c r="AE769" s="4"/>
    </row>
    <row r="770" ht="13.5" customHeight="1" spans="1:31" x14ac:dyDescent="0.25">
      <c r="A770" s="1"/>
      <c r="B770" s="4"/>
      <c r="C770" s="4"/>
      <c r="D770" s="4"/>
      <c r="E770" s="4"/>
      <c r="F770" s="4"/>
      <c r="G770" s="4"/>
      <c r="H770" s="4"/>
      <c r="I770" s="4"/>
      <c r="J770" s="4"/>
      <c r="K770" s="4"/>
      <c r="L770" s="4"/>
      <c r="M770" s="4"/>
      <c r="N770" s="4"/>
      <c r="O770" s="4"/>
      <c r="P770" s="4"/>
      <c r="Q770" s="4"/>
      <c r="R770" s="4"/>
      <c r="S770" s="4"/>
      <c r="T770" s="4"/>
      <c r="U770" s="4"/>
      <c r="V770" s="4"/>
      <c r="W770" s="4"/>
      <c r="X770" s="4"/>
      <c r="Y770" s="4"/>
      <c r="Z770" s="4"/>
      <c r="AA770" s="4"/>
      <c r="AB770" s="4"/>
      <c r="AC770" s="4"/>
      <c r="AD770" s="4"/>
      <c r="AE770" s="4"/>
    </row>
    <row r="771" ht="13.5" customHeight="1" spans="1:31" x14ac:dyDescent="0.25">
      <c r="A771" s="1"/>
      <c r="B771" s="4"/>
      <c r="C771" s="4"/>
      <c r="D771" s="4"/>
      <c r="E771" s="4"/>
      <c r="F771" s="4"/>
      <c r="G771" s="4"/>
      <c r="H771" s="4"/>
      <c r="I771" s="4"/>
      <c r="J771" s="4"/>
      <c r="K771" s="4"/>
      <c r="L771" s="4"/>
      <c r="M771" s="4"/>
      <c r="N771" s="4"/>
      <c r="O771" s="4"/>
      <c r="P771" s="4"/>
      <c r="Q771" s="4"/>
      <c r="R771" s="4"/>
      <c r="S771" s="4"/>
      <c r="T771" s="4"/>
      <c r="U771" s="4"/>
      <c r="V771" s="4"/>
      <c r="W771" s="4"/>
      <c r="X771" s="4"/>
      <c r="Y771" s="4"/>
      <c r="Z771" s="4"/>
      <c r="AA771" s="4"/>
      <c r="AB771" s="4"/>
      <c r="AC771" s="4"/>
      <c r="AD771" s="4"/>
      <c r="AE771" s="4"/>
    </row>
    <row r="772" ht="13.5" customHeight="1" spans="1:31" x14ac:dyDescent="0.25">
      <c r="A772" s="1"/>
      <c r="B772" s="4"/>
      <c r="C772" s="4"/>
      <c r="D772" s="4"/>
      <c r="E772" s="4"/>
      <c r="F772" s="4"/>
      <c r="G772" s="4"/>
      <c r="H772" s="4"/>
      <c r="I772" s="4"/>
      <c r="J772" s="4"/>
      <c r="K772" s="4"/>
      <c r="L772" s="4"/>
      <c r="M772" s="4"/>
      <c r="N772" s="4"/>
      <c r="O772" s="4"/>
      <c r="P772" s="4"/>
      <c r="Q772" s="4"/>
      <c r="R772" s="4"/>
      <c r="S772" s="4"/>
      <c r="T772" s="4"/>
      <c r="U772" s="4"/>
      <c r="V772" s="4"/>
      <c r="W772" s="4"/>
      <c r="X772" s="4"/>
      <c r="Y772" s="4"/>
      <c r="Z772" s="4"/>
      <c r="AA772" s="4"/>
      <c r="AB772" s="4"/>
      <c r="AC772" s="4"/>
      <c r="AD772" s="4"/>
      <c r="AE772" s="4"/>
    </row>
    <row r="773" ht="13.5" customHeight="1" spans="1:31" x14ac:dyDescent="0.25">
      <c r="A773" s="1"/>
      <c r="B773" s="4"/>
      <c r="C773" s="4"/>
      <c r="D773" s="4"/>
      <c r="E773" s="4"/>
      <c r="F773" s="4"/>
      <c r="G773" s="4"/>
      <c r="H773" s="4"/>
      <c r="I773" s="4"/>
      <c r="J773" s="4"/>
      <c r="K773" s="4"/>
      <c r="L773" s="4"/>
      <c r="M773" s="4"/>
      <c r="N773" s="4"/>
      <c r="O773" s="4"/>
      <c r="P773" s="4"/>
      <c r="Q773" s="4"/>
      <c r="R773" s="4"/>
      <c r="S773" s="4"/>
      <c r="T773" s="4"/>
      <c r="U773" s="4"/>
      <c r="V773" s="4"/>
      <c r="W773" s="4"/>
      <c r="X773" s="4"/>
      <c r="Y773" s="4"/>
      <c r="Z773" s="4"/>
      <c r="AA773" s="4"/>
      <c r="AB773" s="4"/>
      <c r="AC773" s="4"/>
      <c r="AD773" s="4"/>
      <c r="AE773" s="4"/>
    </row>
    <row r="774" ht="13.5" customHeight="1" spans="1:31" x14ac:dyDescent="0.25">
      <c r="A774" s="1"/>
      <c r="B774" s="4"/>
      <c r="C774" s="4"/>
      <c r="D774" s="4"/>
      <c r="E774" s="4"/>
      <c r="F774" s="4"/>
      <c r="G774" s="4"/>
      <c r="H774" s="4"/>
      <c r="I774" s="4"/>
      <c r="J774" s="4"/>
      <c r="K774" s="4"/>
      <c r="L774" s="4"/>
      <c r="M774" s="4"/>
      <c r="N774" s="4"/>
      <c r="O774" s="4"/>
      <c r="P774" s="4"/>
      <c r="Q774" s="4"/>
      <c r="R774" s="4"/>
      <c r="S774" s="4"/>
      <c r="T774" s="4"/>
      <c r="U774" s="4"/>
      <c r="V774" s="4"/>
      <c r="W774" s="4"/>
      <c r="X774" s="4"/>
      <c r="Y774" s="4"/>
      <c r="Z774" s="4"/>
      <c r="AA774" s="4"/>
      <c r="AB774" s="4"/>
      <c r="AC774" s="4"/>
      <c r="AD774" s="4"/>
      <c r="AE774" s="4"/>
    </row>
    <row r="775" ht="13.5" customHeight="1" spans="1:31" x14ac:dyDescent="0.25">
      <c r="A775" s="1"/>
      <c r="B775" s="4"/>
      <c r="C775" s="4"/>
      <c r="D775" s="4"/>
      <c r="E775" s="4"/>
      <c r="F775" s="4"/>
      <c r="G775" s="4"/>
      <c r="H775" s="4"/>
      <c r="I775" s="4"/>
      <c r="J775" s="4"/>
      <c r="K775" s="4"/>
      <c r="L775" s="4"/>
      <c r="M775" s="4"/>
      <c r="N775" s="4"/>
      <c r="O775" s="4"/>
      <c r="P775" s="4"/>
      <c r="Q775" s="4"/>
      <c r="R775" s="4"/>
      <c r="S775" s="4"/>
      <c r="T775" s="4"/>
      <c r="U775" s="4"/>
      <c r="V775" s="4"/>
      <c r="W775" s="4"/>
      <c r="X775" s="4"/>
      <c r="Y775" s="4"/>
      <c r="Z775" s="4"/>
      <c r="AA775" s="4"/>
      <c r="AB775" s="4"/>
      <c r="AC775" s="4"/>
      <c r="AD775" s="4"/>
      <c r="AE775" s="4"/>
    </row>
    <row r="776" ht="13.5" customHeight="1" spans="1:31" x14ac:dyDescent="0.25">
      <c r="A776" s="1"/>
      <c r="B776" s="4"/>
      <c r="C776" s="4"/>
      <c r="D776" s="4"/>
      <c r="E776" s="4"/>
      <c r="F776" s="4"/>
      <c r="G776" s="4"/>
      <c r="H776" s="4"/>
      <c r="I776" s="4"/>
      <c r="J776" s="4"/>
      <c r="K776" s="4"/>
      <c r="L776" s="4"/>
      <c r="M776" s="4"/>
      <c r="N776" s="4"/>
      <c r="O776" s="4"/>
      <c r="P776" s="4"/>
      <c r="Q776" s="4"/>
      <c r="R776" s="4"/>
      <c r="S776" s="4"/>
      <c r="T776" s="4"/>
      <c r="U776" s="4"/>
      <c r="V776" s="4"/>
      <c r="W776" s="4"/>
      <c r="X776" s="4"/>
      <c r="Y776" s="4"/>
      <c r="Z776" s="4"/>
      <c r="AA776" s="4"/>
      <c r="AB776" s="4"/>
      <c r="AC776" s="4"/>
      <c r="AD776" s="4"/>
      <c r="AE776" s="4"/>
    </row>
    <row r="777" ht="13.5" customHeight="1" spans="1:31" x14ac:dyDescent="0.25">
      <c r="A777" s="1"/>
      <c r="B777" s="4"/>
      <c r="C777" s="4"/>
      <c r="D777" s="4"/>
      <c r="E777" s="4"/>
      <c r="F777" s="4"/>
      <c r="G777" s="4"/>
      <c r="H777" s="4"/>
      <c r="I777" s="4"/>
      <c r="J777" s="4"/>
      <c r="K777" s="4"/>
      <c r="L777" s="4"/>
      <c r="M777" s="4"/>
      <c r="N777" s="4"/>
      <c r="O777" s="4"/>
      <c r="P777" s="4"/>
      <c r="Q777" s="4"/>
      <c r="R777" s="4"/>
      <c r="S777" s="4"/>
      <c r="T777" s="4"/>
      <c r="U777" s="4"/>
      <c r="V777" s="4"/>
      <c r="W777" s="4"/>
      <c r="X777" s="4"/>
      <c r="Y777" s="4"/>
      <c r="Z777" s="4"/>
      <c r="AA777" s="4"/>
      <c r="AB777" s="4"/>
      <c r="AC777" s="4"/>
      <c r="AD777" s="4"/>
      <c r="AE777" s="4"/>
    </row>
    <row r="778" ht="13.5" customHeight="1" spans="1:31" x14ac:dyDescent="0.25">
      <c r="A778" s="1"/>
      <c r="B778" s="4"/>
      <c r="C778" s="4"/>
      <c r="D778" s="4"/>
      <c r="E778" s="4"/>
      <c r="F778" s="4"/>
      <c r="G778" s="4"/>
      <c r="H778" s="4"/>
      <c r="I778" s="4"/>
      <c r="J778" s="4"/>
      <c r="K778" s="4"/>
      <c r="L778" s="4"/>
      <c r="M778" s="4"/>
      <c r="N778" s="4"/>
      <c r="O778" s="4"/>
      <c r="P778" s="4"/>
      <c r="Q778" s="4"/>
      <c r="R778" s="4"/>
      <c r="S778" s="4"/>
      <c r="T778" s="4"/>
      <c r="U778" s="4"/>
      <c r="V778" s="4"/>
      <c r="W778" s="4"/>
      <c r="X778" s="4"/>
      <c r="Y778" s="4"/>
      <c r="Z778" s="4"/>
      <c r="AA778" s="4"/>
      <c r="AB778" s="4"/>
      <c r="AC778" s="4"/>
      <c r="AD778" s="4"/>
      <c r="AE778" s="4"/>
    </row>
    <row r="779" ht="13.5" customHeight="1" spans="1:31" x14ac:dyDescent="0.25">
      <c r="A779" s="1"/>
      <c r="B779" s="4"/>
      <c r="C779" s="4"/>
      <c r="D779" s="4"/>
      <c r="E779" s="4"/>
      <c r="F779" s="4"/>
      <c r="G779" s="4"/>
      <c r="H779" s="4"/>
      <c r="I779" s="4"/>
      <c r="J779" s="4"/>
      <c r="K779" s="4"/>
      <c r="L779" s="4"/>
      <c r="M779" s="4"/>
      <c r="N779" s="4"/>
      <c r="O779" s="4"/>
      <c r="P779" s="4"/>
      <c r="Q779" s="4"/>
      <c r="R779" s="4"/>
      <c r="S779" s="4"/>
      <c r="T779" s="4"/>
      <c r="U779" s="4"/>
      <c r="V779" s="4"/>
      <c r="W779" s="4"/>
      <c r="X779" s="4"/>
      <c r="Y779" s="4"/>
      <c r="Z779" s="4"/>
      <c r="AA779" s="4"/>
      <c r="AB779" s="4"/>
      <c r="AC779" s="4"/>
      <c r="AD779" s="4"/>
      <c r="AE779" s="4"/>
    </row>
    <row r="780" ht="13.5" customHeight="1" spans="1:31" x14ac:dyDescent="0.25">
      <c r="A780" s="1"/>
      <c r="B780" s="4"/>
      <c r="C780" s="4"/>
      <c r="D780" s="4"/>
      <c r="E780" s="4"/>
      <c r="F780" s="4"/>
      <c r="G780" s="4"/>
      <c r="H780" s="4"/>
      <c r="I780" s="4"/>
      <c r="J780" s="4"/>
      <c r="K780" s="4"/>
      <c r="L780" s="4"/>
      <c r="M780" s="4"/>
      <c r="N780" s="4"/>
      <c r="O780" s="4"/>
      <c r="P780" s="4"/>
      <c r="Q780" s="4"/>
      <c r="R780" s="4"/>
      <c r="S780" s="4"/>
      <c r="T780" s="4"/>
      <c r="U780" s="4"/>
      <c r="V780" s="4"/>
      <c r="W780" s="4"/>
      <c r="X780" s="4"/>
      <c r="Y780" s="4"/>
      <c r="Z780" s="4"/>
      <c r="AA780" s="4"/>
      <c r="AB780" s="4"/>
      <c r="AC780" s="4"/>
      <c r="AD780" s="4"/>
      <c r="AE780" s="4"/>
    </row>
    <row r="781" ht="13.5" customHeight="1" spans="1:31" x14ac:dyDescent="0.25">
      <c r="A781" s="1"/>
      <c r="B781" s="4"/>
      <c r="C781" s="4"/>
      <c r="D781" s="4"/>
      <c r="E781" s="4"/>
      <c r="F781" s="4"/>
      <c r="G781" s="4"/>
      <c r="H781" s="4"/>
      <c r="I781" s="4"/>
      <c r="J781" s="4"/>
      <c r="K781" s="4"/>
      <c r="L781" s="4"/>
      <c r="M781" s="4"/>
      <c r="N781" s="4"/>
      <c r="O781" s="4"/>
      <c r="P781" s="4"/>
      <c r="Q781" s="4"/>
      <c r="R781" s="4"/>
      <c r="S781" s="4"/>
      <c r="T781" s="4"/>
      <c r="U781" s="4"/>
      <c r="V781" s="4"/>
      <c r="W781" s="4"/>
      <c r="X781" s="4"/>
      <c r="Y781" s="4"/>
      <c r="Z781" s="4"/>
      <c r="AA781" s="4"/>
      <c r="AB781" s="4"/>
      <c r="AC781" s="4"/>
      <c r="AD781" s="4"/>
      <c r="AE781" s="4"/>
    </row>
    <row r="782" ht="13.5" customHeight="1" spans="1:31" x14ac:dyDescent="0.25">
      <c r="A782" s="1"/>
      <c r="B782" s="4"/>
      <c r="C782" s="4"/>
      <c r="D782" s="4"/>
      <c r="E782" s="4"/>
      <c r="F782" s="4"/>
      <c r="G782" s="4"/>
      <c r="H782" s="4"/>
      <c r="I782" s="4"/>
      <c r="J782" s="4"/>
      <c r="K782" s="4"/>
      <c r="L782" s="4"/>
      <c r="M782" s="4"/>
      <c r="N782" s="4"/>
      <c r="O782" s="4"/>
      <c r="P782" s="4"/>
      <c r="Q782" s="4"/>
      <c r="R782" s="4"/>
      <c r="S782" s="4"/>
      <c r="T782" s="4"/>
      <c r="U782" s="4"/>
      <c r="V782" s="4"/>
      <c r="W782" s="4"/>
      <c r="X782" s="4"/>
      <c r="Y782" s="4"/>
      <c r="Z782" s="4"/>
      <c r="AA782" s="4"/>
      <c r="AB782" s="4"/>
      <c r="AC782" s="4"/>
      <c r="AD782" s="4"/>
      <c r="AE782" s="4"/>
    </row>
    <row r="783" ht="13.5" customHeight="1" spans="1:31" x14ac:dyDescent="0.25">
      <c r="A783" s="1"/>
      <c r="B783" s="4"/>
      <c r="C783" s="4"/>
      <c r="D783" s="4"/>
      <c r="E783" s="4"/>
      <c r="F783" s="4"/>
      <c r="G783" s="4"/>
      <c r="H783" s="4"/>
      <c r="I783" s="4"/>
      <c r="J783" s="4"/>
      <c r="K783" s="4"/>
      <c r="L783" s="4"/>
      <c r="M783" s="4"/>
      <c r="N783" s="4"/>
      <c r="O783" s="4"/>
      <c r="P783" s="4"/>
      <c r="Q783" s="4"/>
      <c r="R783" s="4"/>
      <c r="S783" s="4"/>
      <c r="T783" s="4"/>
      <c r="U783" s="4"/>
      <c r="V783" s="4"/>
      <c r="W783" s="4"/>
      <c r="X783" s="4"/>
      <c r="Y783" s="4"/>
      <c r="Z783" s="4"/>
      <c r="AA783" s="4"/>
      <c r="AB783" s="4"/>
      <c r="AC783" s="4"/>
      <c r="AD783" s="4"/>
      <c r="AE783" s="4"/>
    </row>
    <row r="784" ht="13.5" customHeight="1" spans="1:31" x14ac:dyDescent="0.25">
      <c r="A784" s="1"/>
      <c r="B784" s="4"/>
      <c r="C784" s="4"/>
      <c r="D784" s="4"/>
      <c r="E784" s="4"/>
      <c r="F784" s="4"/>
      <c r="G784" s="4"/>
      <c r="H784" s="4"/>
      <c r="I784" s="4"/>
      <c r="J784" s="4"/>
      <c r="K784" s="4"/>
      <c r="L784" s="4"/>
      <c r="M784" s="4"/>
      <c r="N784" s="4"/>
      <c r="O784" s="4"/>
      <c r="P784" s="4"/>
      <c r="Q784" s="4"/>
      <c r="R784" s="4"/>
      <c r="S784" s="4"/>
      <c r="T784" s="4"/>
      <c r="U784" s="4"/>
      <c r="V784" s="4"/>
      <c r="W784" s="4"/>
      <c r="X784" s="4"/>
      <c r="Y784" s="4"/>
      <c r="Z784" s="4"/>
      <c r="AA784" s="4"/>
      <c r="AB784" s="4"/>
      <c r="AC784" s="4"/>
      <c r="AD784" s="4"/>
      <c r="AE784" s="4"/>
    </row>
    <row r="785" ht="13.5" customHeight="1" spans="1:31" x14ac:dyDescent="0.25">
      <c r="A785" s="1"/>
      <c r="B785" s="4"/>
      <c r="C785" s="4"/>
      <c r="D785" s="4"/>
      <c r="E785" s="4"/>
      <c r="F785" s="4"/>
      <c r="G785" s="4"/>
      <c r="H785" s="4"/>
      <c r="I785" s="4"/>
      <c r="J785" s="4"/>
      <c r="K785" s="4"/>
      <c r="L785" s="4"/>
      <c r="M785" s="4"/>
      <c r="N785" s="4"/>
      <c r="O785" s="4"/>
      <c r="P785" s="4"/>
      <c r="Q785" s="4"/>
      <c r="R785" s="4"/>
      <c r="S785" s="4"/>
      <c r="T785" s="4"/>
      <c r="U785" s="4"/>
      <c r="V785" s="4"/>
      <c r="W785" s="4"/>
      <c r="X785" s="4"/>
      <c r="Y785" s="4"/>
      <c r="Z785" s="4"/>
      <c r="AA785" s="4"/>
      <c r="AB785" s="4"/>
      <c r="AC785" s="4"/>
      <c r="AD785" s="4"/>
      <c r="AE785" s="4"/>
    </row>
    <row r="786" ht="13.5" customHeight="1" spans="1:31" x14ac:dyDescent="0.25">
      <c r="A786" s="1"/>
      <c r="B786" s="4"/>
      <c r="C786" s="4"/>
      <c r="D786" s="4"/>
      <c r="E786" s="4"/>
      <c r="F786" s="4"/>
      <c r="G786" s="4"/>
      <c r="H786" s="4"/>
      <c r="I786" s="4"/>
      <c r="J786" s="4"/>
      <c r="K786" s="4"/>
      <c r="L786" s="4"/>
      <c r="M786" s="4"/>
      <c r="N786" s="4"/>
      <c r="O786" s="4"/>
      <c r="P786" s="4"/>
      <c r="Q786" s="4"/>
      <c r="R786" s="4"/>
      <c r="S786" s="4"/>
      <c r="T786" s="4"/>
      <c r="U786" s="4"/>
      <c r="V786" s="4"/>
      <c r="W786" s="4"/>
      <c r="X786" s="4"/>
      <c r="Y786" s="4"/>
      <c r="Z786" s="4"/>
      <c r="AA786" s="4"/>
      <c r="AB786" s="4"/>
      <c r="AC786" s="4"/>
      <c r="AD786" s="4"/>
      <c r="AE786" s="4"/>
    </row>
    <row r="787" ht="13.5" customHeight="1" spans="1:31" x14ac:dyDescent="0.25">
      <c r="A787" s="1"/>
      <c r="B787" s="4"/>
      <c r="C787" s="4"/>
      <c r="D787" s="4"/>
      <c r="E787" s="4"/>
      <c r="F787" s="4"/>
      <c r="G787" s="4"/>
      <c r="H787" s="4"/>
      <c r="I787" s="4"/>
      <c r="J787" s="4"/>
      <c r="K787" s="4"/>
      <c r="L787" s="4"/>
      <c r="M787" s="4"/>
      <c r="N787" s="4"/>
      <c r="O787" s="4"/>
      <c r="P787" s="4"/>
      <c r="Q787" s="4"/>
      <c r="R787" s="4"/>
      <c r="S787" s="4"/>
      <c r="T787" s="4"/>
      <c r="U787" s="4"/>
      <c r="V787" s="4"/>
      <c r="W787" s="4"/>
      <c r="X787" s="4"/>
      <c r="Y787" s="4"/>
      <c r="Z787" s="4"/>
      <c r="AA787" s="4"/>
      <c r="AB787" s="4"/>
      <c r="AC787" s="4"/>
      <c r="AD787" s="4"/>
      <c r="AE787" s="4"/>
    </row>
    <row r="788" ht="13.5" customHeight="1" spans="1:31" x14ac:dyDescent="0.25">
      <c r="A788" s="1"/>
      <c r="B788" s="4"/>
      <c r="C788" s="4"/>
      <c r="D788" s="4"/>
      <c r="E788" s="4"/>
      <c r="F788" s="4"/>
      <c r="G788" s="4"/>
      <c r="H788" s="4"/>
      <c r="I788" s="4"/>
      <c r="J788" s="4"/>
      <c r="K788" s="4"/>
      <c r="L788" s="4"/>
      <c r="M788" s="4"/>
      <c r="N788" s="4"/>
      <c r="O788" s="4"/>
      <c r="P788" s="4"/>
      <c r="Q788" s="4"/>
      <c r="R788" s="4"/>
      <c r="S788" s="4"/>
      <c r="T788" s="4"/>
      <c r="U788" s="4"/>
      <c r="V788" s="4"/>
      <c r="W788" s="4"/>
      <c r="X788" s="4"/>
      <c r="Y788" s="4"/>
      <c r="Z788" s="4"/>
      <c r="AA788" s="4"/>
      <c r="AB788" s="4"/>
      <c r="AC788" s="4"/>
      <c r="AD788" s="4"/>
      <c r="AE788" s="4"/>
    </row>
    <row r="789" ht="13.5" customHeight="1" spans="1:31" x14ac:dyDescent="0.25">
      <c r="A789" s="1"/>
      <c r="B789" s="4"/>
      <c r="C789" s="4"/>
      <c r="D789" s="4"/>
      <c r="E789" s="4"/>
      <c r="F789" s="4"/>
      <c r="G789" s="4"/>
      <c r="H789" s="4"/>
      <c r="I789" s="4"/>
      <c r="J789" s="4"/>
      <c r="K789" s="4"/>
      <c r="L789" s="4"/>
      <c r="M789" s="4"/>
      <c r="N789" s="4"/>
      <c r="O789" s="4"/>
      <c r="P789" s="4"/>
      <c r="Q789" s="4"/>
      <c r="R789" s="4"/>
      <c r="S789" s="4"/>
      <c r="T789" s="4"/>
      <c r="U789" s="4"/>
      <c r="V789" s="4"/>
      <c r="W789" s="4"/>
      <c r="X789" s="4"/>
      <c r="Y789" s="4"/>
      <c r="Z789" s="4"/>
      <c r="AA789" s="4"/>
      <c r="AB789" s="4"/>
      <c r="AC789" s="4"/>
      <c r="AD789" s="4"/>
      <c r="AE789" s="4"/>
    </row>
    <row r="790" ht="13.5" customHeight="1" spans="1:31" x14ac:dyDescent="0.25">
      <c r="A790" s="1"/>
      <c r="B790" s="4"/>
      <c r="C790" s="4"/>
      <c r="D790" s="4"/>
      <c r="E790" s="4"/>
      <c r="F790" s="4"/>
      <c r="G790" s="4"/>
      <c r="H790" s="4"/>
      <c r="I790" s="4"/>
      <c r="J790" s="4"/>
      <c r="K790" s="4"/>
      <c r="L790" s="4"/>
      <c r="M790" s="4"/>
      <c r="N790" s="4"/>
      <c r="O790" s="4"/>
      <c r="P790" s="4"/>
      <c r="Q790" s="4"/>
      <c r="R790" s="4"/>
      <c r="S790" s="4"/>
      <c r="T790" s="4"/>
      <c r="U790" s="4"/>
      <c r="V790" s="4"/>
      <c r="W790" s="4"/>
      <c r="X790" s="4"/>
      <c r="Y790" s="4"/>
      <c r="Z790" s="4"/>
      <c r="AA790" s="4"/>
      <c r="AB790" s="4"/>
      <c r="AC790" s="4"/>
      <c r="AD790" s="4"/>
      <c r="AE790" s="4"/>
    </row>
    <row r="791" ht="13.5" customHeight="1" spans="1:31" x14ac:dyDescent="0.25">
      <c r="A791" s="1"/>
      <c r="B791" s="4"/>
      <c r="C791" s="4"/>
      <c r="D791" s="4"/>
      <c r="E791" s="4"/>
      <c r="F791" s="4"/>
      <c r="G791" s="4"/>
      <c r="H791" s="4"/>
      <c r="I791" s="4"/>
      <c r="J791" s="4"/>
      <c r="K791" s="4"/>
      <c r="L791" s="4"/>
      <c r="M791" s="4"/>
      <c r="N791" s="4"/>
      <c r="O791" s="4"/>
      <c r="P791" s="4"/>
      <c r="Q791" s="4"/>
      <c r="R791" s="4"/>
      <c r="S791" s="4"/>
      <c r="T791" s="4"/>
      <c r="U791" s="4"/>
      <c r="V791" s="4"/>
      <c r="W791" s="4"/>
      <c r="X791" s="4"/>
      <c r="Y791" s="4"/>
      <c r="Z791" s="4"/>
      <c r="AA791" s="4"/>
      <c r="AB791" s="4"/>
      <c r="AC791" s="4"/>
      <c r="AD791" s="4"/>
      <c r="AE791" s="4"/>
    </row>
    <row r="792" ht="13.5" customHeight="1" spans="1:31" x14ac:dyDescent="0.25">
      <c r="A792" s="1"/>
      <c r="B792" s="4"/>
      <c r="C792" s="4"/>
      <c r="D792" s="4"/>
      <c r="E792" s="4"/>
      <c r="F792" s="4"/>
      <c r="G792" s="4"/>
      <c r="H792" s="4"/>
      <c r="I792" s="4"/>
      <c r="J792" s="4"/>
      <c r="K792" s="4"/>
      <c r="L792" s="4"/>
      <c r="M792" s="4"/>
      <c r="N792" s="4"/>
      <c r="O792" s="4"/>
      <c r="P792" s="4"/>
      <c r="Q792" s="4"/>
      <c r="R792" s="4"/>
      <c r="S792" s="4"/>
      <c r="T792" s="4"/>
      <c r="U792" s="4"/>
      <c r="V792" s="4"/>
      <c r="W792" s="4"/>
      <c r="X792" s="4"/>
      <c r="Y792" s="4"/>
      <c r="Z792" s="4"/>
      <c r="AA792" s="4"/>
      <c r="AB792" s="4"/>
      <c r="AC792" s="4"/>
      <c r="AD792" s="4"/>
      <c r="AE792" s="4"/>
    </row>
    <row r="793" ht="13.5" customHeight="1" spans="1:31" x14ac:dyDescent="0.25">
      <c r="A793" s="1"/>
      <c r="B793" s="4"/>
      <c r="C793" s="4"/>
      <c r="D793" s="4"/>
      <c r="E793" s="4"/>
      <c r="F793" s="4"/>
      <c r="G793" s="4"/>
      <c r="H793" s="4"/>
      <c r="I793" s="4"/>
      <c r="J793" s="4"/>
      <c r="K793" s="4"/>
      <c r="L793" s="4"/>
      <c r="M793" s="4"/>
      <c r="N793" s="4"/>
      <c r="O793" s="4"/>
      <c r="P793" s="4"/>
      <c r="Q793" s="4"/>
      <c r="R793" s="4"/>
      <c r="S793" s="4"/>
      <c r="T793" s="4"/>
      <c r="U793" s="4"/>
      <c r="V793" s="4"/>
      <c r="W793" s="4"/>
      <c r="X793" s="4"/>
      <c r="Y793" s="4"/>
      <c r="Z793" s="4"/>
      <c r="AA793" s="4"/>
      <c r="AB793" s="4"/>
      <c r="AC793" s="4"/>
      <c r="AD793" s="4"/>
      <c r="AE793" s="4"/>
    </row>
    <row r="794" ht="13.5" customHeight="1" spans="1:31" x14ac:dyDescent="0.25">
      <c r="A794" s="1"/>
      <c r="B794" s="4"/>
      <c r="C794" s="4"/>
      <c r="D794" s="4"/>
      <c r="E794" s="4"/>
      <c r="F794" s="4"/>
      <c r="G794" s="4"/>
      <c r="H794" s="4"/>
      <c r="I794" s="4"/>
      <c r="J794" s="4"/>
      <c r="K794" s="4"/>
      <c r="L794" s="4"/>
      <c r="M794" s="4"/>
      <c r="N794" s="4"/>
      <c r="O794" s="4"/>
      <c r="P794" s="4"/>
      <c r="Q794" s="4"/>
      <c r="R794" s="4"/>
      <c r="S794" s="4"/>
      <c r="T794" s="4"/>
      <c r="U794" s="4"/>
      <c r="V794" s="4"/>
      <c r="W794" s="4"/>
      <c r="X794" s="4"/>
      <c r="Y794" s="4"/>
      <c r="Z794" s="4"/>
      <c r="AA794" s="4"/>
      <c r="AB794" s="4"/>
      <c r="AC794" s="4"/>
      <c r="AD794" s="4"/>
      <c r="AE794" s="4"/>
    </row>
    <row r="795" ht="13.5" customHeight="1" spans="1:31" x14ac:dyDescent="0.25">
      <c r="A795" s="1"/>
      <c r="B795" s="4"/>
      <c r="C795" s="4"/>
      <c r="D795" s="4"/>
      <c r="E795" s="4"/>
      <c r="F795" s="4"/>
      <c r="G795" s="4"/>
      <c r="H795" s="4"/>
      <c r="I795" s="4"/>
      <c r="J795" s="4"/>
      <c r="K795" s="4"/>
      <c r="L795" s="4"/>
      <c r="M795" s="4"/>
      <c r="N795" s="4"/>
      <c r="O795" s="4"/>
      <c r="P795" s="4"/>
      <c r="Q795" s="4"/>
      <c r="R795" s="4"/>
      <c r="S795" s="4"/>
      <c r="T795" s="4"/>
      <c r="U795" s="4"/>
      <c r="V795" s="4"/>
      <c r="W795" s="4"/>
      <c r="X795" s="4"/>
      <c r="Y795" s="4"/>
      <c r="Z795" s="4"/>
      <c r="AA795" s="4"/>
      <c r="AB795" s="4"/>
      <c r="AC795" s="4"/>
      <c r="AD795" s="4"/>
      <c r="AE795" s="4"/>
    </row>
    <row r="796" ht="13.5" customHeight="1" spans="1:31" x14ac:dyDescent="0.25">
      <c r="A796" s="1"/>
      <c r="B796" s="4"/>
      <c r="C796" s="4"/>
      <c r="D796" s="4"/>
      <c r="E796" s="4"/>
      <c r="F796" s="4"/>
      <c r="G796" s="4"/>
      <c r="H796" s="4"/>
      <c r="I796" s="4"/>
      <c r="J796" s="4"/>
      <c r="K796" s="4"/>
      <c r="L796" s="4"/>
      <c r="M796" s="4"/>
      <c r="N796" s="4"/>
      <c r="O796" s="4"/>
      <c r="P796" s="4"/>
      <c r="Q796" s="4"/>
      <c r="R796" s="4"/>
      <c r="S796" s="4"/>
      <c r="T796" s="4"/>
      <c r="U796" s="4"/>
      <c r="V796" s="4"/>
      <c r="W796" s="4"/>
      <c r="X796" s="4"/>
      <c r="Y796" s="4"/>
      <c r="Z796" s="4"/>
      <c r="AA796" s="4"/>
      <c r="AB796" s="4"/>
      <c r="AC796" s="4"/>
      <c r="AD796" s="4"/>
      <c r="AE796" s="4"/>
    </row>
    <row r="797" ht="13.5" customHeight="1" spans="1:31" x14ac:dyDescent="0.25">
      <c r="A797" s="1"/>
      <c r="B797" s="4"/>
      <c r="C797" s="4"/>
      <c r="D797" s="4"/>
      <c r="E797" s="4"/>
      <c r="F797" s="4"/>
      <c r="G797" s="4"/>
      <c r="H797" s="4"/>
      <c r="I797" s="4"/>
      <c r="J797" s="4"/>
      <c r="K797" s="4"/>
      <c r="L797" s="4"/>
      <c r="M797" s="4"/>
      <c r="N797" s="4"/>
      <c r="O797" s="4"/>
      <c r="P797" s="4"/>
      <c r="Q797" s="4"/>
      <c r="R797" s="4"/>
      <c r="S797" s="4"/>
      <c r="T797" s="4"/>
      <c r="U797" s="4"/>
      <c r="V797" s="4"/>
      <c r="W797" s="4"/>
      <c r="X797" s="4"/>
      <c r="Y797" s="4"/>
      <c r="Z797" s="4"/>
      <c r="AA797" s="4"/>
      <c r="AB797" s="4"/>
      <c r="AC797" s="4"/>
      <c r="AD797" s="4"/>
      <c r="AE797" s="4"/>
    </row>
    <row r="798" ht="13.5" customHeight="1" spans="1:31" x14ac:dyDescent="0.25">
      <c r="A798" s="1"/>
      <c r="B798" s="4"/>
      <c r="C798" s="4"/>
      <c r="D798" s="4"/>
      <c r="E798" s="4"/>
      <c r="F798" s="4"/>
      <c r="G798" s="4"/>
      <c r="H798" s="4"/>
      <c r="I798" s="4"/>
      <c r="J798" s="4"/>
      <c r="K798" s="4"/>
      <c r="L798" s="4"/>
      <c r="M798" s="4"/>
      <c r="N798" s="4"/>
      <c r="O798" s="4"/>
      <c r="P798" s="4"/>
      <c r="Q798" s="4"/>
      <c r="R798" s="4"/>
      <c r="S798" s="4"/>
      <c r="T798" s="4"/>
      <c r="U798" s="4"/>
      <c r="V798" s="4"/>
      <c r="W798" s="4"/>
      <c r="X798" s="4"/>
      <c r="Y798" s="4"/>
      <c r="Z798" s="4"/>
      <c r="AA798" s="4"/>
      <c r="AB798" s="4"/>
      <c r="AC798" s="4"/>
      <c r="AD798" s="4"/>
      <c r="AE798" s="4"/>
    </row>
    <row r="799" ht="13.5" customHeight="1" spans="1:31" x14ac:dyDescent="0.25">
      <c r="A799" s="1"/>
      <c r="B799" s="4"/>
      <c r="C799" s="4"/>
      <c r="D799" s="4"/>
      <c r="E799" s="4"/>
      <c r="F799" s="4"/>
      <c r="G799" s="4"/>
      <c r="H799" s="4"/>
      <c r="I799" s="4"/>
      <c r="J799" s="4"/>
      <c r="K799" s="4"/>
      <c r="L799" s="4"/>
      <c r="M799" s="4"/>
      <c r="N799" s="4"/>
      <c r="O799" s="4"/>
      <c r="P799" s="4"/>
      <c r="Q799" s="4"/>
      <c r="R799" s="4"/>
      <c r="S799" s="4"/>
      <c r="T799" s="4"/>
      <c r="U799" s="4"/>
      <c r="V799" s="4"/>
      <c r="W799" s="4"/>
      <c r="X799" s="4"/>
      <c r="Y799" s="4"/>
      <c r="Z799" s="4"/>
      <c r="AA799" s="4"/>
      <c r="AB799" s="4"/>
      <c r="AC799" s="4"/>
      <c r="AD799" s="4"/>
      <c r="AE799" s="4"/>
    </row>
    <row r="800" ht="13.5" customHeight="1" spans="1:31" x14ac:dyDescent="0.25">
      <c r="A800" s="1"/>
      <c r="B800" s="4"/>
      <c r="C800" s="4"/>
      <c r="D800" s="4"/>
      <c r="E800" s="4"/>
      <c r="F800" s="4"/>
      <c r="G800" s="4"/>
      <c r="H800" s="4"/>
      <c r="I800" s="4"/>
      <c r="J800" s="4"/>
      <c r="K800" s="4"/>
      <c r="L800" s="4"/>
      <c r="M800" s="4"/>
      <c r="N800" s="4"/>
      <c r="O800" s="4"/>
      <c r="P800" s="4"/>
      <c r="Q800" s="4"/>
      <c r="R800" s="4"/>
      <c r="S800" s="4"/>
      <c r="T800" s="4"/>
      <c r="U800" s="4"/>
      <c r="V800" s="4"/>
      <c r="W800" s="4"/>
      <c r="X800" s="4"/>
      <c r="Y800" s="4"/>
      <c r="Z800" s="4"/>
      <c r="AA800" s="4"/>
      <c r="AB800" s="4"/>
      <c r="AC800" s="4"/>
      <c r="AD800" s="4"/>
      <c r="AE800" s="4"/>
    </row>
    <row r="801" ht="13.5" customHeight="1" spans="1:31" x14ac:dyDescent="0.25">
      <c r="A801" s="1"/>
      <c r="B801" s="4"/>
      <c r="C801" s="4"/>
      <c r="D801" s="4"/>
      <c r="E801" s="4"/>
      <c r="F801" s="4"/>
      <c r="G801" s="4"/>
      <c r="H801" s="4"/>
      <c r="I801" s="4"/>
      <c r="J801" s="4"/>
      <c r="K801" s="4"/>
      <c r="L801" s="4"/>
      <c r="M801" s="4"/>
      <c r="N801" s="4"/>
      <c r="O801" s="4"/>
      <c r="P801" s="4"/>
      <c r="Q801" s="4"/>
      <c r="R801" s="4"/>
      <c r="S801" s="4"/>
      <c r="T801" s="4"/>
      <c r="U801" s="4"/>
      <c r="V801" s="4"/>
      <c r="W801" s="4"/>
      <c r="X801" s="4"/>
      <c r="Y801" s="4"/>
      <c r="Z801" s="4"/>
      <c r="AA801" s="4"/>
      <c r="AB801" s="4"/>
      <c r="AC801" s="4"/>
      <c r="AD801" s="4"/>
      <c r="AE801" s="4"/>
    </row>
    <row r="802" ht="13.5" customHeight="1" spans="1:31" x14ac:dyDescent="0.25">
      <c r="A802" s="1"/>
      <c r="B802" s="4"/>
      <c r="C802" s="4"/>
      <c r="D802" s="4"/>
      <c r="E802" s="4"/>
      <c r="F802" s="4"/>
      <c r="G802" s="4"/>
      <c r="H802" s="4"/>
      <c r="I802" s="4"/>
      <c r="J802" s="4"/>
      <c r="K802" s="4"/>
      <c r="L802" s="4"/>
      <c r="M802" s="4"/>
      <c r="N802" s="4"/>
      <c r="O802" s="4"/>
      <c r="P802" s="4"/>
      <c r="Q802" s="4"/>
      <c r="R802" s="4"/>
      <c r="S802" s="4"/>
      <c r="T802" s="4"/>
      <c r="U802" s="4"/>
      <c r="V802" s="4"/>
      <c r="W802" s="4"/>
      <c r="X802" s="4"/>
      <c r="Y802" s="4"/>
      <c r="Z802" s="4"/>
      <c r="AA802" s="4"/>
      <c r="AB802" s="4"/>
      <c r="AC802" s="4"/>
      <c r="AD802" s="4"/>
      <c r="AE802" s="4"/>
    </row>
    <row r="803" ht="13.5" customHeight="1" spans="1:31" x14ac:dyDescent="0.25">
      <c r="A803" s="1"/>
      <c r="B803" s="4"/>
      <c r="C803" s="4"/>
      <c r="D803" s="4"/>
      <c r="E803" s="4"/>
      <c r="F803" s="4"/>
      <c r="G803" s="4"/>
      <c r="H803" s="4"/>
      <c r="I803" s="4"/>
      <c r="J803" s="4"/>
      <c r="K803" s="4"/>
      <c r="L803" s="4"/>
      <c r="M803" s="4"/>
      <c r="N803" s="4"/>
      <c r="O803" s="4"/>
      <c r="P803" s="4"/>
      <c r="Q803" s="4"/>
      <c r="R803" s="4"/>
      <c r="S803" s="4"/>
      <c r="T803" s="4"/>
      <c r="U803" s="4"/>
      <c r="V803" s="4"/>
      <c r="W803" s="4"/>
      <c r="X803" s="4"/>
      <c r="Y803" s="4"/>
      <c r="Z803" s="4"/>
      <c r="AA803" s="4"/>
      <c r="AB803" s="4"/>
      <c r="AC803" s="4"/>
      <c r="AD803" s="4"/>
      <c r="AE803" s="4"/>
    </row>
    <row r="804" ht="13.5" customHeight="1" spans="1:31" x14ac:dyDescent="0.25">
      <c r="A804" s="1"/>
      <c r="B804" s="4"/>
      <c r="C804" s="4"/>
      <c r="D804" s="4"/>
      <c r="E804" s="4"/>
      <c r="F804" s="4"/>
      <c r="G804" s="4"/>
      <c r="H804" s="4"/>
      <c r="I804" s="4"/>
      <c r="J804" s="4"/>
      <c r="K804" s="4"/>
      <c r="L804" s="4"/>
      <c r="M804" s="4"/>
      <c r="N804" s="4"/>
      <c r="O804" s="4"/>
      <c r="P804" s="4"/>
      <c r="Q804" s="4"/>
      <c r="R804" s="4"/>
      <c r="S804" s="4"/>
      <c r="T804" s="4"/>
      <c r="U804" s="4"/>
      <c r="V804" s="4"/>
      <c r="W804" s="4"/>
      <c r="X804" s="4"/>
      <c r="Y804" s="4"/>
      <c r="Z804" s="4"/>
      <c r="AA804" s="4"/>
      <c r="AB804" s="4"/>
      <c r="AC804" s="4"/>
      <c r="AD804" s="4"/>
      <c r="AE804" s="4"/>
    </row>
    <row r="805" ht="13.5" customHeight="1" spans="1:31" x14ac:dyDescent="0.25">
      <c r="A805" s="1"/>
      <c r="B805" s="4"/>
      <c r="C805" s="4"/>
      <c r="D805" s="4"/>
      <c r="E805" s="4"/>
      <c r="F805" s="4"/>
      <c r="G805" s="4"/>
      <c r="H805" s="4"/>
      <c r="I805" s="4"/>
      <c r="J805" s="4"/>
      <c r="K805" s="4"/>
      <c r="L805" s="4"/>
      <c r="M805" s="4"/>
      <c r="N805" s="4"/>
      <c r="O805" s="4"/>
      <c r="P805" s="4"/>
      <c r="Q805" s="4"/>
      <c r="R805" s="4"/>
      <c r="S805" s="4"/>
      <c r="T805" s="4"/>
      <c r="U805" s="4"/>
      <c r="V805" s="4"/>
      <c r="W805" s="4"/>
      <c r="X805" s="4"/>
      <c r="Y805" s="4"/>
      <c r="Z805" s="4"/>
      <c r="AA805" s="4"/>
      <c r="AB805" s="4"/>
      <c r="AC805" s="4"/>
      <c r="AD805" s="4"/>
      <c r="AE805" s="4"/>
    </row>
    <row r="806" ht="13.5" customHeight="1" spans="1:31" x14ac:dyDescent="0.25">
      <c r="A806" s="1"/>
      <c r="B806" s="4"/>
      <c r="C806" s="4"/>
      <c r="D806" s="4"/>
      <c r="E806" s="4"/>
      <c r="F806" s="4"/>
      <c r="G806" s="4"/>
      <c r="H806" s="4"/>
      <c r="I806" s="4"/>
      <c r="J806" s="4"/>
      <c r="K806" s="4"/>
      <c r="L806" s="4"/>
      <c r="M806" s="4"/>
      <c r="N806" s="4"/>
      <c r="O806" s="4"/>
      <c r="P806" s="4"/>
      <c r="Q806" s="4"/>
      <c r="R806" s="4"/>
      <c r="S806" s="4"/>
      <c r="T806" s="4"/>
      <c r="U806" s="4"/>
      <c r="V806" s="4"/>
      <c r="W806" s="4"/>
      <c r="X806" s="4"/>
      <c r="Y806" s="4"/>
      <c r="Z806" s="4"/>
      <c r="AA806" s="4"/>
      <c r="AB806" s="4"/>
      <c r="AC806" s="4"/>
      <c r="AD806" s="4"/>
      <c r="AE806" s="4"/>
    </row>
    <row r="807" ht="13.5" customHeight="1" spans="1:31" x14ac:dyDescent="0.25">
      <c r="A807" s="1"/>
      <c r="B807" s="4"/>
      <c r="C807" s="4"/>
      <c r="D807" s="4"/>
      <c r="E807" s="4"/>
      <c r="F807" s="4"/>
      <c r="G807" s="4"/>
      <c r="H807" s="4"/>
      <c r="I807" s="4"/>
      <c r="J807" s="4"/>
      <c r="K807" s="4"/>
      <c r="L807" s="4"/>
      <c r="M807" s="4"/>
      <c r="N807" s="4"/>
      <c r="O807" s="4"/>
      <c r="P807" s="4"/>
      <c r="Q807" s="4"/>
      <c r="R807" s="4"/>
      <c r="S807" s="4"/>
      <c r="T807" s="4"/>
      <c r="U807" s="4"/>
      <c r="V807" s="4"/>
      <c r="W807" s="4"/>
      <c r="X807" s="4"/>
      <c r="Y807" s="4"/>
      <c r="Z807" s="4"/>
      <c r="AA807" s="4"/>
      <c r="AB807" s="4"/>
      <c r="AC807" s="4"/>
      <c r="AD807" s="4"/>
      <c r="AE807" s="4"/>
    </row>
    <row r="808" ht="13.5" customHeight="1" spans="1:31" x14ac:dyDescent="0.25">
      <c r="A808" s="1"/>
      <c r="B808" s="4"/>
      <c r="C808" s="4"/>
      <c r="D808" s="4"/>
      <c r="E808" s="4"/>
      <c r="F808" s="4"/>
      <c r="G808" s="4"/>
      <c r="H808" s="4"/>
      <c r="I808" s="4"/>
      <c r="J808" s="4"/>
      <c r="K808" s="4"/>
      <c r="L808" s="4"/>
      <c r="M808" s="4"/>
      <c r="N808" s="4"/>
      <c r="O808" s="4"/>
      <c r="P808" s="4"/>
      <c r="Q808" s="4"/>
      <c r="R808" s="4"/>
      <c r="S808" s="4"/>
      <c r="T808" s="4"/>
      <c r="U808" s="4"/>
      <c r="V808" s="4"/>
      <c r="W808" s="4"/>
      <c r="X808" s="4"/>
      <c r="Y808" s="4"/>
      <c r="Z808" s="4"/>
      <c r="AA808" s="4"/>
      <c r="AB808" s="4"/>
      <c r="AC808" s="4"/>
      <c r="AD808" s="4"/>
      <c r="AE808" s="4"/>
    </row>
    <row r="809" ht="13.5" customHeight="1" spans="1:31" x14ac:dyDescent="0.25">
      <c r="A809" s="1"/>
      <c r="B809" s="4"/>
      <c r="C809" s="4"/>
      <c r="D809" s="4"/>
      <c r="E809" s="4"/>
      <c r="F809" s="4"/>
      <c r="G809" s="4"/>
      <c r="H809" s="4"/>
      <c r="I809" s="4"/>
      <c r="J809" s="4"/>
      <c r="K809" s="4"/>
      <c r="L809" s="4"/>
      <c r="M809" s="4"/>
      <c r="N809" s="4"/>
      <c r="O809" s="4"/>
      <c r="P809" s="4"/>
      <c r="Q809" s="4"/>
      <c r="R809" s="4"/>
      <c r="S809" s="4"/>
      <c r="T809" s="4"/>
      <c r="U809" s="4"/>
      <c r="V809" s="4"/>
      <c r="W809" s="4"/>
      <c r="X809" s="4"/>
      <c r="Y809" s="4"/>
      <c r="Z809" s="4"/>
      <c r="AA809" s="4"/>
      <c r="AB809" s="4"/>
      <c r="AC809" s="4"/>
      <c r="AD809" s="4"/>
      <c r="AE809" s="4"/>
    </row>
    <row r="810" ht="13.5" customHeight="1" spans="1:31" x14ac:dyDescent="0.25">
      <c r="A810" s="1"/>
      <c r="B810" s="4"/>
      <c r="C810" s="4"/>
      <c r="D810" s="4"/>
      <c r="E810" s="4"/>
      <c r="F810" s="4"/>
      <c r="G810" s="4"/>
      <c r="H810" s="4"/>
      <c r="I810" s="4"/>
      <c r="J810" s="4"/>
      <c r="K810" s="4"/>
      <c r="L810" s="4"/>
      <c r="M810" s="4"/>
      <c r="N810" s="4"/>
      <c r="O810" s="4"/>
      <c r="P810" s="4"/>
      <c r="Q810" s="4"/>
      <c r="R810" s="4"/>
      <c r="S810" s="4"/>
      <c r="T810" s="4"/>
      <c r="U810" s="4"/>
      <c r="V810" s="4"/>
      <c r="W810" s="4"/>
      <c r="X810" s="4"/>
      <c r="Y810" s="4"/>
      <c r="Z810" s="4"/>
      <c r="AA810" s="4"/>
      <c r="AB810" s="4"/>
      <c r="AC810" s="4"/>
      <c r="AD810" s="4"/>
      <c r="AE810" s="4"/>
    </row>
    <row r="811" ht="13.5" customHeight="1" spans="1:31" x14ac:dyDescent="0.25">
      <c r="A811" s="1"/>
      <c r="B811" s="4"/>
      <c r="C811" s="4"/>
      <c r="D811" s="4"/>
      <c r="E811" s="4"/>
      <c r="F811" s="4"/>
      <c r="G811" s="4"/>
      <c r="H811" s="4"/>
      <c r="I811" s="4"/>
      <c r="J811" s="4"/>
      <c r="K811" s="4"/>
      <c r="L811" s="4"/>
      <c r="M811" s="4"/>
      <c r="N811" s="4"/>
      <c r="O811" s="4"/>
      <c r="P811" s="4"/>
      <c r="Q811" s="4"/>
      <c r="R811" s="4"/>
      <c r="S811" s="4"/>
      <c r="T811" s="4"/>
      <c r="U811" s="4"/>
      <c r="V811" s="4"/>
      <c r="W811" s="4"/>
      <c r="X811" s="4"/>
      <c r="Y811" s="4"/>
      <c r="Z811" s="4"/>
      <c r="AA811" s="4"/>
      <c r="AB811" s="4"/>
      <c r="AC811" s="4"/>
      <c r="AD811" s="4"/>
      <c r="AE811" s="4"/>
    </row>
    <row r="812" ht="13.5" customHeight="1" spans="1:31" x14ac:dyDescent="0.25">
      <c r="A812" s="1"/>
      <c r="B812" s="4"/>
      <c r="C812" s="4"/>
      <c r="D812" s="4"/>
      <c r="E812" s="4"/>
      <c r="F812" s="4"/>
      <c r="G812" s="4"/>
      <c r="H812" s="4"/>
      <c r="I812" s="4"/>
      <c r="J812" s="4"/>
      <c r="K812" s="4"/>
      <c r="L812" s="4"/>
      <c r="M812" s="4"/>
      <c r="N812" s="4"/>
      <c r="O812" s="4"/>
      <c r="P812" s="4"/>
      <c r="Q812" s="4"/>
      <c r="R812" s="4"/>
      <c r="S812" s="4"/>
      <c r="T812" s="4"/>
      <c r="U812" s="4"/>
      <c r="V812" s="4"/>
      <c r="W812" s="4"/>
      <c r="X812" s="4"/>
      <c r="Y812" s="4"/>
      <c r="Z812" s="4"/>
      <c r="AA812" s="4"/>
      <c r="AB812" s="4"/>
      <c r="AC812" s="4"/>
      <c r="AD812" s="4"/>
      <c r="AE812" s="4"/>
    </row>
    <row r="813" ht="13.5" customHeight="1" spans="1:31" x14ac:dyDescent="0.25">
      <c r="A813" s="1"/>
      <c r="B813" s="4"/>
      <c r="C813" s="4"/>
      <c r="D813" s="4"/>
      <c r="E813" s="4"/>
      <c r="F813" s="4"/>
      <c r="G813" s="4"/>
      <c r="H813" s="4"/>
      <c r="I813" s="4"/>
      <c r="J813" s="4"/>
      <c r="K813" s="4"/>
      <c r="L813" s="4"/>
      <c r="M813" s="4"/>
      <c r="N813" s="4"/>
      <c r="O813" s="4"/>
      <c r="P813" s="4"/>
      <c r="Q813" s="4"/>
      <c r="R813" s="4"/>
      <c r="S813" s="4"/>
      <c r="T813" s="4"/>
      <c r="U813" s="4"/>
      <c r="V813" s="4"/>
      <c r="W813" s="4"/>
      <c r="X813" s="4"/>
      <c r="Y813" s="4"/>
      <c r="Z813" s="4"/>
      <c r="AA813" s="4"/>
      <c r="AB813" s="4"/>
      <c r="AC813" s="4"/>
      <c r="AD813" s="4"/>
      <c r="AE813" s="4"/>
    </row>
    <row r="814" ht="13.5" customHeight="1" spans="1:31" x14ac:dyDescent="0.25">
      <c r="A814" s="1"/>
      <c r="B814" s="4"/>
      <c r="C814" s="4"/>
      <c r="D814" s="4"/>
      <c r="E814" s="4"/>
      <c r="F814" s="4"/>
      <c r="G814" s="4"/>
      <c r="H814" s="4"/>
      <c r="I814" s="4"/>
      <c r="J814" s="4"/>
      <c r="K814" s="4"/>
      <c r="L814" s="4"/>
      <c r="M814" s="4"/>
      <c r="N814" s="4"/>
      <c r="O814" s="4"/>
      <c r="P814" s="4"/>
      <c r="Q814" s="4"/>
      <c r="R814" s="4"/>
      <c r="S814" s="4"/>
      <c r="T814" s="4"/>
      <c r="U814" s="4"/>
      <c r="V814" s="4"/>
      <c r="W814" s="4"/>
      <c r="X814" s="4"/>
      <c r="Y814" s="4"/>
      <c r="Z814" s="4"/>
      <c r="AA814" s="4"/>
      <c r="AB814" s="4"/>
      <c r="AC814" s="4"/>
      <c r="AD814" s="4"/>
      <c r="AE814" s="4"/>
    </row>
    <row r="815" ht="13.5" customHeight="1" spans="1:31" x14ac:dyDescent="0.25">
      <c r="A815" s="1"/>
      <c r="B815" s="4"/>
      <c r="C815" s="4"/>
      <c r="D815" s="4"/>
      <c r="E815" s="4"/>
      <c r="F815" s="4"/>
      <c r="G815" s="4"/>
      <c r="H815" s="4"/>
      <c r="I815" s="4"/>
      <c r="J815" s="4"/>
      <c r="K815" s="4"/>
      <c r="L815" s="4"/>
      <c r="M815" s="4"/>
      <c r="N815" s="4"/>
      <c r="O815" s="4"/>
      <c r="P815" s="4"/>
      <c r="Q815" s="4"/>
      <c r="R815" s="4"/>
      <c r="S815" s="4"/>
      <c r="T815" s="4"/>
      <c r="U815" s="4"/>
      <c r="V815" s="4"/>
      <c r="W815" s="4"/>
      <c r="X815" s="4"/>
      <c r="Y815" s="4"/>
      <c r="Z815" s="4"/>
      <c r="AA815" s="4"/>
      <c r="AB815" s="4"/>
      <c r="AC815" s="4"/>
      <c r="AD815" s="4"/>
      <c r="AE815" s="4"/>
    </row>
    <row r="816" ht="13.5" customHeight="1" spans="1:31" x14ac:dyDescent="0.25">
      <c r="A816" s="1"/>
      <c r="B816" s="4"/>
      <c r="C816" s="4"/>
      <c r="D816" s="4"/>
      <c r="E816" s="4"/>
      <c r="F816" s="4"/>
      <c r="G816" s="4"/>
      <c r="H816" s="4"/>
      <c r="I816" s="4"/>
      <c r="J816" s="4"/>
      <c r="K816" s="4"/>
      <c r="L816" s="4"/>
      <c r="M816" s="4"/>
      <c r="N816" s="4"/>
      <c r="O816" s="4"/>
      <c r="P816" s="4"/>
      <c r="Q816" s="4"/>
      <c r="R816" s="4"/>
      <c r="S816" s="4"/>
      <c r="T816" s="4"/>
      <c r="U816" s="4"/>
      <c r="V816" s="4"/>
      <c r="W816" s="4"/>
      <c r="X816" s="4"/>
      <c r="Y816" s="4"/>
      <c r="Z816" s="4"/>
      <c r="AA816" s="4"/>
      <c r="AB816" s="4"/>
      <c r="AC816" s="4"/>
      <c r="AD816" s="4"/>
      <c r="AE816" s="4"/>
    </row>
    <row r="817" ht="13.5" customHeight="1" spans="1:31" x14ac:dyDescent="0.25">
      <c r="A817" s="1"/>
      <c r="B817" s="4"/>
      <c r="C817" s="4"/>
      <c r="D817" s="4"/>
      <c r="E817" s="4"/>
      <c r="F817" s="4"/>
      <c r="G817" s="4"/>
      <c r="H817" s="4"/>
      <c r="I817" s="4"/>
      <c r="J817" s="4"/>
      <c r="K817" s="4"/>
      <c r="L817" s="4"/>
      <c r="M817" s="4"/>
      <c r="N817" s="4"/>
      <c r="O817" s="4"/>
      <c r="P817" s="4"/>
      <c r="Q817" s="4"/>
      <c r="R817" s="4"/>
      <c r="S817" s="4"/>
      <c r="T817" s="4"/>
      <c r="U817" s="4"/>
      <c r="V817" s="4"/>
      <c r="W817" s="4"/>
      <c r="X817" s="4"/>
      <c r="Y817" s="4"/>
      <c r="Z817" s="4"/>
      <c r="AA817" s="4"/>
      <c r="AB817" s="4"/>
      <c r="AC817" s="4"/>
      <c r="AD817" s="4"/>
      <c r="AE817" s="4"/>
    </row>
    <row r="818" ht="13.5" customHeight="1" spans="1:31" x14ac:dyDescent="0.25">
      <c r="A818" s="1"/>
      <c r="B818" s="4"/>
      <c r="C818" s="4"/>
      <c r="D818" s="4"/>
      <c r="E818" s="4"/>
      <c r="F818" s="4"/>
      <c r="G818" s="4"/>
      <c r="H818" s="4"/>
      <c r="I818" s="4"/>
      <c r="J818" s="4"/>
      <c r="K818" s="4"/>
      <c r="L818" s="4"/>
      <c r="M818" s="4"/>
      <c r="N818" s="4"/>
      <c r="O818" s="4"/>
      <c r="P818" s="4"/>
      <c r="Q818" s="4"/>
      <c r="R818" s="4"/>
      <c r="S818" s="4"/>
      <c r="T818" s="4"/>
      <c r="U818" s="4"/>
      <c r="V818" s="4"/>
      <c r="W818" s="4"/>
      <c r="X818" s="4"/>
      <c r="Y818" s="4"/>
      <c r="Z818" s="4"/>
      <c r="AA818" s="4"/>
      <c r="AB818" s="4"/>
      <c r="AC818" s="4"/>
      <c r="AD818" s="4"/>
      <c r="AE818" s="4"/>
    </row>
    <row r="819" ht="13.5" customHeight="1" spans="1:31" x14ac:dyDescent="0.25">
      <c r="A819" s="1"/>
      <c r="B819" s="4"/>
      <c r="C819" s="4"/>
      <c r="D819" s="4"/>
      <c r="E819" s="4"/>
      <c r="F819" s="4"/>
      <c r="G819" s="4"/>
      <c r="H819" s="4"/>
      <c r="I819" s="4"/>
      <c r="J819" s="4"/>
      <c r="K819" s="4"/>
      <c r="L819" s="4"/>
      <c r="M819" s="4"/>
      <c r="N819" s="4"/>
      <c r="O819" s="4"/>
      <c r="P819" s="4"/>
      <c r="Q819" s="4"/>
      <c r="R819" s="4"/>
      <c r="S819" s="4"/>
      <c r="T819" s="4"/>
      <c r="U819" s="4"/>
      <c r="V819" s="4"/>
      <c r="W819" s="4"/>
      <c r="X819" s="4"/>
      <c r="Y819" s="4"/>
      <c r="Z819" s="4"/>
      <c r="AA819" s="4"/>
      <c r="AB819" s="4"/>
      <c r="AC819" s="4"/>
      <c r="AD819" s="4"/>
      <c r="AE819" s="4"/>
    </row>
    <row r="820" ht="13.5" customHeight="1" spans="1:31" x14ac:dyDescent="0.25">
      <c r="A820" s="1"/>
      <c r="B820" s="4"/>
      <c r="C820" s="4"/>
      <c r="D820" s="4"/>
      <c r="E820" s="4"/>
      <c r="F820" s="4"/>
      <c r="G820" s="4"/>
      <c r="H820" s="4"/>
      <c r="I820" s="4"/>
      <c r="J820" s="4"/>
      <c r="K820" s="4"/>
      <c r="L820" s="4"/>
      <c r="M820" s="4"/>
      <c r="N820" s="4"/>
      <c r="O820" s="4"/>
      <c r="P820" s="4"/>
      <c r="Q820" s="4"/>
      <c r="R820" s="4"/>
      <c r="S820" s="4"/>
      <c r="T820" s="4"/>
      <c r="U820" s="4"/>
      <c r="V820" s="4"/>
      <c r="W820" s="4"/>
      <c r="X820" s="4"/>
      <c r="Y820" s="4"/>
      <c r="Z820" s="4"/>
      <c r="AA820" s="4"/>
      <c r="AB820" s="4"/>
      <c r="AC820" s="4"/>
      <c r="AD820" s="4"/>
      <c r="AE820" s="4"/>
    </row>
    <row r="821" ht="13.5" customHeight="1" spans="1:31" x14ac:dyDescent="0.25">
      <c r="A821" s="1"/>
      <c r="B821" s="4"/>
      <c r="C821" s="4"/>
      <c r="D821" s="4"/>
      <c r="E821" s="4"/>
      <c r="F821" s="4"/>
      <c r="G821" s="4"/>
      <c r="H821" s="4"/>
      <c r="I821" s="4"/>
      <c r="J821" s="4"/>
      <c r="K821" s="4"/>
      <c r="L821" s="4"/>
      <c r="M821" s="4"/>
      <c r="N821" s="4"/>
      <c r="O821" s="4"/>
      <c r="P821" s="4"/>
      <c r="Q821" s="4"/>
      <c r="R821" s="4"/>
      <c r="S821" s="4"/>
      <c r="T821" s="4"/>
      <c r="U821" s="4"/>
      <c r="V821" s="4"/>
      <c r="W821" s="4"/>
      <c r="X821" s="4"/>
      <c r="Y821" s="4"/>
      <c r="Z821" s="4"/>
      <c r="AA821" s="4"/>
      <c r="AB821" s="4"/>
      <c r="AC821" s="4"/>
      <c r="AD821" s="4"/>
      <c r="AE821" s="4"/>
    </row>
    <row r="822" ht="13.5" customHeight="1" spans="1:31" x14ac:dyDescent="0.25">
      <c r="A822" s="1"/>
      <c r="B822" s="4"/>
      <c r="C822" s="4"/>
      <c r="D822" s="4"/>
      <c r="E822" s="4"/>
      <c r="F822" s="4"/>
      <c r="G822" s="4"/>
      <c r="H822" s="4"/>
      <c r="I822" s="4"/>
      <c r="J822" s="4"/>
      <c r="K822" s="4"/>
      <c r="L822" s="4"/>
      <c r="M822" s="4"/>
      <c r="N822" s="4"/>
      <c r="O822" s="4"/>
      <c r="P822" s="4"/>
      <c r="Q822" s="4"/>
      <c r="R822" s="4"/>
      <c r="S822" s="4"/>
      <c r="T822" s="4"/>
      <c r="U822" s="4"/>
      <c r="V822" s="4"/>
      <c r="W822" s="4"/>
      <c r="X822" s="4"/>
      <c r="Y822" s="4"/>
      <c r="Z822" s="4"/>
      <c r="AA822" s="4"/>
      <c r="AB822" s="4"/>
      <c r="AC822" s="4"/>
      <c r="AD822" s="4"/>
      <c r="AE822" s="4"/>
    </row>
    <row r="823" ht="13.5" customHeight="1" spans="1:31" x14ac:dyDescent="0.25">
      <c r="A823" s="1"/>
      <c r="B823" s="4"/>
      <c r="C823" s="4"/>
      <c r="D823" s="4"/>
      <c r="E823" s="4"/>
      <c r="F823" s="4"/>
      <c r="G823" s="4"/>
      <c r="H823" s="4"/>
      <c r="I823" s="4"/>
      <c r="J823" s="4"/>
      <c r="K823" s="4"/>
      <c r="L823" s="4"/>
      <c r="M823" s="4"/>
      <c r="N823" s="4"/>
      <c r="O823" s="4"/>
      <c r="P823" s="4"/>
      <c r="Q823" s="4"/>
      <c r="R823" s="4"/>
      <c r="S823" s="4"/>
      <c r="T823" s="4"/>
      <c r="U823" s="4"/>
      <c r="V823" s="4"/>
      <c r="W823" s="4"/>
      <c r="X823" s="4"/>
      <c r="Y823" s="4"/>
      <c r="Z823" s="4"/>
      <c r="AA823" s="4"/>
      <c r="AB823" s="4"/>
      <c r="AC823" s="4"/>
      <c r="AD823" s="4"/>
      <c r="AE823" s="4"/>
    </row>
    <row r="824" ht="13.5" customHeight="1" spans="1:31" x14ac:dyDescent="0.25">
      <c r="A824" s="1"/>
      <c r="B824" s="4"/>
      <c r="C824" s="4"/>
      <c r="D824" s="4"/>
      <c r="E824" s="4"/>
      <c r="F824" s="4"/>
      <c r="G824" s="4"/>
      <c r="H824" s="4"/>
      <c r="I824" s="4"/>
      <c r="J824" s="4"/>
      <c r="K824" s="4"/>
      <c r="L824" s="4"/>
      <c r="M824" s="4"/>
      <c r="N824" s="4"/>
      <c r="O824" s="4"/>
      <c r="P824" s="4"/>
      <c r="Q824" s="4"/>
      <c r="R824" s="4"/>
      <c r="S824" s="4"/>
      <c r="T824" s="4"/>
      <c r="U824" s="4"/>
      <c r="V824" s="4"/>
      <c r="W824" s="4"/>
      <c r="X824" s="4"/>
      <c r="Y824" s="4"/>
      <c r="Z824" s="4"/>
      <c r="AA824" s="4"/>
      <c r="AB824" s="4"/>
      <c r="AC824" s="4"/>
      <c r="AD824" s="4"/>
      <c r="AE824" s="4"/>
    </row>
    <row r="825" ht="13.5" customHeight="1" spans="1:31" x14ac:dyDescent="0.25">
      <c r="A825" s="1"/>
      <c r="B825" s="4"/>
      <c r="C825" s="4"/>
      <c r="D825" s="4"/>
      <c r="E825" s="4"/>
      <c r="F825" s="4"/>
      <c r="G825" s="4"/>
      <c r="H825" s="4"/>
      <c r="I825" s="4"/>
      <c r="J825" s="4"/>
      <c r="K825" s="4"/>
      <c r="L825" s="4"/>
      <c r="M825" s="4"/>
      <c r="N825" s="4"/>
      <c r="O825" s="4"/>
      <c r="P825" s="4"/>
      <c r="Q825" s="4"/>
      <c r="R825" s="4"/>
      <c r="S825" s="4"/>
      <c r="T825" s="4"/>
      <c r="U825" s="4"/>
      <c r="V825" s="4"/>
      <c r="W825" s="4"/>
      <c r="X825" s="4"/>
      <c r="Y825" s="4"/>
      <c r="Z825" s="4"/>
      <c r="AA825" s="4"/>
      <c r="AB825" s="4"/>
      <c r="AC825" s="4"/>
      <c r="AD825" s="4"/>
      <c r="AE825" s="4"/>
    </row>
    <row r="826" ht="13.5" customHeight="1" spans="1:31" x14ac:dyDescent="0.25">
      <c r="A826" s="1"/>
      <c r="B826" s="4"/>
      <c r="C826" s="4"/>
      <c r="D826" s="4"/>
      <c r="E826" s="4"/>
      <c r="F826" s="4"/>
      <c r="G826" s="4"/>
      <c r="H826" s="4"/>
      <c r="I826" s="4"/>
      <c r="J826" s="4"/>
      <c r="K826" s="4"/>
      <c r="L826" s="4"/>
      <c r="M826" s="4"/>
      <c r="N826" s="4"/>
      <c r="O826" s="4"/>
      <c r="P826" s="4"/>
      <c r="Q826" s="4"/>
      <c r="R826" s="4"/>
      <c r="S826" s="4"/>
      <c r="T826" s="4"/>
      <c r="U826" s="4"/>
      <c r="V826" s="4"/>
      <c r="W826" s="4"/>
      <c r="X826" s="4"/>
      <c r="Y826" s="4"/>
      <c r="Z826" s="4"/>
      <c r="AA826" s="4"/>
      <c r="AB826" s="4"/>
      <c r="AC826" s="4"/>
      <c r="AD826" s="4"/>
      <c r="AE826" s="4"/>
    </row>
    <row r="827" ht="13.5" customHeight="1" spans="1:31" x14ac:dyDescent="0.25">
      <c r="A827" s="1"/>
      <c r="B827" s="4"/>
      <c r="C827" s="4"/>
      <c r="D827" s="4"/>
      <c r="E827" s="4"/>
      <c r="F827" s="4"/>
      <c r="G827" s="4"/>
      <c r="H827" s="4"/>
      <c r="I827" s="4"/>
      <c r="J827" s="4"/>
      <c r="K827" s="4"/>
      <c r="L827" s="4"/>
      <c r="M827" s="4"/>
      <c r="N827" s="4"/>
      <c r="O827" s="4"/>
      <c r="P827" s="4"/>
      <c r="Q827" s="4"/>
      <c r="R827" s="4"/>
      <c r="S827" s="4"/>
      <c r="T827" s="4"/>
      <c r="U827" s="4"/>
      <c r="V827" s="4"/>
      <c r="W827" s="4"/>
      <c r="X827" s="4"/>
      <c r="Y827" s="4"/>
      <c r="Z827" s="4"/>
      <c r="AA827" s="4"/>
      <c r="AB827" s="4"/>
      <c r="AC827" s="4"/>
      <c r="AD827" s="4"/>
      <c r="AE827" s="4"/>
    </row>
    <row r="828" ht="13.5" customHeight="1" spans="1:31" x14ac:dyDescent="0.25">
      <c r="A828" s="1"/>
      <c r="B828" s="4"/>
      <c r="C828" s="4"/>
      <c r="D828" s="4"/>
      <c r="E828" s="4"/>
      <c r="F828" s="4"/>
      <c r="G828" s="4"/>
      <c r="H828" s="4"/>
      <c r="I828" s="4"/>
      <c r="J828" s="4"/>
      <c r="K828" s="4"/>
      <c r="L828" s="4"/>
      <c r="M828" s="4"/>
      <c r="N828" s="4"/>
      <c r="O828" s="4"/>
      <c r="P828" s="4"/>
      <c r="Q828" s="4"/>
      <c r="R828" s="4"/>
      <c r="S828" s="4"/>
      <c r="T828" s="4"/>
      <c r="U828" s="4"/>
      <c r="V828" s="4"/>
      <c r="W828" s="4"/>
      <c r="X828" s="4"/>
      <c r="Y828" s="4"/>
      <c r="Z828" s="4"/>
      <c r="AA828" s="4"/>
      <c r="AB828" s="4"/>
      <c r="AC828" s="4"/>
      <c r="AD828" s="4"/>
      <c r="AE828" s="4"/>
    </row>
    <row r="829" ht="13.5" customHeight="1" spans="1:31" x14ac:dyDescent="0.25">
      <c r="A829" s="1"/>
      <c r="B829" s="4"/>
      <c r="C829" s="4"/>
      <c r="D829" s="4"/>
      <c r="E829" s="4"/>
      <c r="F829" s="4"/>
      <c r="G829" s="4"/>
      <c r="H829" s="4"/>
      <c r="I829" s="4"/>
      <c r="J829" s="4"/>
      <c r="K829" s="4"/>
      <c r="L829" s="4"/>
      <c r="M829" s="4"/>
      <c r="N829" s="4"/>
      <c r="O829" s="4"/>
      <c r="P829" s="4"/>
      <c r="Q829" s="4"/>
      <c r="R829" s="4"/>
      <c r="S829" s="4"/>
      <c r="T829" s="4"/>
      <c r="U829" s="4"/>
      <c r="V829" s="4"/>
      <c r="W829" s="4"/>
      <c r="X829" s="4"/>
      <c r="Y829" s="4"/>
      <c r="Z829" s="4"/>
      <c r="AA829" s="4"/>
      <c r="AB829" s="4"/>
      <c r="AC829" s="4"/>
      <c r="AD829" s="4"/>
      <c r="AE829" s="4"/>
    </row>
    <row r="830" ht="13.5" customHeight="1" spans="1:31" x14ac:dyDescent="0.25">
      <c r="A830" s="1"/>
      <c r="B830" s="4"/>
      <c r="C830" s="4"/>
      <c r="D830" s="4"/>
      <c r="E830" s="4"/>
      <c r="F830" s="4"/>
      <c r="G830" s="4"/>
      <c r="H830" s="4"/>
      <c r="I830" s="4"/>
      <c r="J830" s="4"/>
      <c r="K830" s="4"/>
      <c r="L830" s="4"/>
      <c r="M830" s="4"/>
      <c r="N830" s="4"/>
      <c r="O830" s="4"/>
      <c r="P830" s="4"/>
      <c r="Q830" s="4"/>
      <c r="R830" s="4"/>
      <c r="S830" s="4"/>
      <c r="T830" s="4"/>
      <c r="U830" s="4"/>
      <c r="V830" s="4"/>
      <c r="W830" s="4"/>
      <c r="X830" s="4"/>
      <c r="Y830" s="4"/>
      <c r="Z830" s="4"/>
      <c r="AA830" s="4"/>
      <c r="AB830" s="4"/>
      <c r="AC830" s="4"/>
      <c r="AD830" s="4"/>
      <c r="AE830" s="4"/>
    </row>
    <row r="831" ht="13.5" customHeight="1" spans="1:31" x14ac:dyDescent="0.25">
      <c r="A831" s="1"/>
      <c r="B831" s="4"/>
      <c r="C831" s="4"/>
      <c r="D831" s="4"/>
      <c r="E831" s="4"/>
      <c r="F831" s="4"/>
      <c r="G831" s="4"/>
      <c r="H831" s="4"/>
      <c r="I831" s="4"/>
      <c r="J831" s="4"/>
      <c r="K831" s="4"/>
      <c r="L831" s="4"/>
      <c r="M831" s="4"/>
      <c r="N831" s="4"/>
      <c r="O831" s="4"/>
      <c r="P831" s="4"/>
      <c r="Q831" s="4"/>
      <c r="R831" s="4"/>
      <c r="S831" s="4"/>
      <c r="T831" s="4"/>
      <c r="U831" s="4"/>
      <c r="V831" s="4"/>
      <c r="W831" s="4"/>
      <c r="X831" s="4"/>
      <c r="Y831" s="4"/>
      <c r="Z831" s="4"/>
      <c r="AA831" s="4"/>
      <c r="AB831" s="4"/>
      <c r="AC831" s="4"/>
      <c r="AD831" s="4"/>
      <c r="AE831" s="4"/>
    </row>
    <row r="832" ht="13.5" customHeight="1" spans="1:31" x14ac:dyDescent="0.25">
      <c r="A832" s="1"/>
      <c r="B832" s="4"/>
      <c r="C832" s="4"/>
      <c r="D832" s="4"/>
      <c r="E832" s="4"/>
      <c r="F832" s="4"/>
      <c r="G832" s="4"/>
      <c r="H832" s="4"/>
      <c r="I832" s="4"/>
      <c r="J832" s="4"/>
      <c r="K832" s="4"/>
      <c r="L832" s="4"/>
      <c r="M832" s="4"/>
      <c r="N832" s="4"/>
      <c r="O832" s="4"/>
      <c r="P832" s="4"/>
      <c r="Q832" s="4"/>
      <c r="R832" s="4"/>
      <c r="S832" s="4"/>
      <c r="T832" s="4"/>
      <c r="U832" s="4"/>
      <c r="V832" s="4"/>
      <c r="W832" s="4"/>
      <c r="X832" s="4"/>
      <c r="Y832" s="4"/>
      <c r="Z832" s="4"/>
      <c r="AA832" s="4"/>
      <c r="AB832" s="4"/>
      <c r="AC832" s="4"/>
      <c r="AD832" s="4"/>
      <c r="AE832" s="4"/>
    </row>
    <row r="833" ht="13.5" customHeight="1" spans="1:31" x14ac:dyDescent="0.25">
      <c r="A833" s="1"/>
      <c r="B833" s="4"/>
      <c r="C833" s="4"/>
      <c r="D833" s="4"/>
      <c r="E833" s="4"/>
      <c r="F833" s="4"/>
      <c r="G833" s="4"/>
      <c r="H833" s="4"/>
      <c r="I833" s="4"/>
      <c r="J833" s="4"/>
      <c r="K833" s="4"/>
      <c r="L833" s="4"/>
      <c r="M833" s="4"/>
      <c r="N833" s="4"/>
      <c r="O833" s="4"/>
      <c r="P833" s="4"/>
      <c r="Q833" s="4"/>
      <c r="R833" s="4"/>
      <c r="S833" s="4"/>
      <c r="T833" s="4"/>
      <c r="U833" s="4"/>
      <c r="V833" s="4"/>
      <c r="W833" s="4"/>
      <c r="X833" s="4"/>
      <c r="Y833" s="4"/>
      <c r="Z833" s="4"/>
      <c r="AA833" s="4"/>
      <c r="AB833" s="4"/>
      <c r="AC833" s="4"/>
      <c r="AD833" s="4"/>
      <c r="AE833" s="4"/>
    </row>
    <row r="834" ht="13.5" customHeight="1" spans="1:31" x14ac:dyDescent="0.25">
      <c r="A834" s="1"/>
      <c r="B834" s="4"/>
      <c r="C834" s="4"/>
      <c r="D834" s="4"/>
      <c r="E834" s="4"/>
      <c r="F834" s="4"/>
      <c r="G834" s="4"/>
      <c r="H834" s="4"/>
      <c r="I834" s="4"/>
      <c r="J834" s="4"/>
      <c r="K834" s="4"/>
      <c r="L834" s="4"/>
      <c r="M834" s="4"/>
      <c r="N834" s="4"/>
      <c r="O834" s="4"/>
      <c r="P834" s="4"/>
      <c r="Q834" s="4"/>
      <c r="R834" s="4"/>
      <c r="S834" s="4"/>
      <c r="T834" s="4"/>
      <c r="U834" s="4"/>
      <c r="V834" s="4"/>
      <c r="W834" s="4"/>
      <c r="X834" s="4"/>
      <c r="Y834" s="4"/>
      <c r="Z834" s="4"/>
      <c r="AA834" s="4"/>
      <c r="AB834" s="4"/>
      <c r="AC834" s="4"/>
      <c r="AD834" s="4"/>
      <c r="AE834" s="4"/>
    </row>
    <row r="835" ht="13.5" customHeight="1" spans="1:31" x14ac:dyDescent="0.25">
      <c r="A835" s="1"/>
      <c r="B835" s="4"/>
      <c r="C835" s="4"/>
      <c r="D835" s="4"/>
      <c r="E835" s="4"/>
      <c r="F835" s="4"/>
      <c r="G835" s="4"/>
      <c r="H835" s="4"/>
      <c r="I835" s="4"/>
      <c r="J835" s="4"/>
      <c r="K835" s="4"/>
      <c r="L835" s="4"/>
      <c r="M835" s="4"/>
      <c r="N835" s="4"/>
      <c r="O835" s="4"/>
      <c r="P835" s="4"/>
      <c r="Q835" s="4"/>
      <c r="R835" s="4"/>
      <c r="S835" s="4"/>
      <c r="T835" s="4"/>
      <c r="U835" s="4"/>
      <c r="V835" s="4"/>
      <c r="W835" s="4"/>
      <c r="X835" s="4"/>
      <c r="Y835" s="4"/>
      <c r="Z835" s="4"/>
      <c r="AA835" s="4"/>
      <c r="AB835" s="4"/>
      <c r="AC835" s="4"/>
      <c r="AD835" s="4"/>
      <c r="AE835" s="4"/>
    </row>
    <row r="836" ht="13.5" customHeight="1" spans="1:31" x14ac:dyDescent="0.25">
      <c r="A836" s="1"/>
      <c r="B836" s="4"/>
      <c r="C836" s="4"/>
      <c r="D836" s="4"/>
      <c r="E836" s="4"/>
      <c r="F836" s="4"/>
      <c r="G836" s="4"/>
      <c r="H836" s="4"/>
      <c r="I836" s="4"/>
      <c r="J836" s="4"/>
      <c r="K836" s="4"/>
      <c r="L836" s="4"/>
      <c r="M836" s="4"/>
      <c r="N836" s="4"/>
      <c r="O836" s="4"/>
      <c r="P836" s="4"/>
      <c r="Q836" s="4"/>
      <c r="R836" s="4"/>
      <c r="S836" s="4"/>
      <c r="T836" s="4"/>
      <c r="U836" s="4"/>
      <c r="V836" s="4"/>
      <c r="W836" s="4"/>
      <c r="X836" s="4"/>
      <c r="Y836" s="4"/>
      <c r="Z836" s="4"/>
      <c r="AA836" s="4"/>
      <c r="AB836" s="4"/>
      <c r="AC836" s="4"/>
      <c r="AD836" s="4"/>
      <c r="AE836" s="4"/>
    </row>
    <row r="837" ht="13.5" customHeight="1" spans="1:31" x14ac:dyDescent="0.25">
      <c r="A837" s="1"/>
      <c r="B837" s="4"/>
      <c r="C837" s="4"/>
      <c r="D837" s="4"/>
      <c r="E837" s="4"/>
      <c r="F837" s="4"/>
      <c r="G837" s="4"/>
      <c r="H837" s="4"/>
      <c r="I837" s="4"/>
      <c r="J837" s="4"/>
      <c r="K837" s="4"/>
      <c r="L837" s="4"/>
      <c r="M837" s="4"/>
      <c r="N837" s="4"/>
      <c r="O837" s="4"/>
      <c r="P837" s="4"/>
      <c r="Q837" s="4"/>
      <c r="R837" s="4"/>
      <c r="S837" s="4"/>
      <c r="T837" s="4"/>
      <c r="U837" s="4"/>
      <c r="V837" s="4"/>
      <c r="W837" s="4"/>
      <c r="X837" s="4"/>
      <c r="Y837" s="4"/>
      <c r="Z837" s="4"/>
      <c r="AA837" s="4"/>
      <c r="AB837" s="4"/>
      <c r="AC837" s="4"/>
      <c r="AD837" s="4"/>
      <c r="AE837" s="4"/>
    </row>
    <row r="838" ht="13.5" customHeight="1" spans="1:31" x14ac:dyDescent="0.25">
      <c r="A838" s="1"/>
      <c r="B838" s="4"/>
      <c r="C838" s="4"/>
      <c r="D838" s="4"/>
      <c r="E838" s="4"/>
      <c r="F838" s="4"/>
      <c r="G838" s="4"/>
      <c r="H838" s="4"/>
      <c r="I838" s="4"/>
      <c r="J838" s="4"/>
      <c r="K838" s="4"/>
      <c r="L838" s="4"/>
      <c r="M838" s="4"/>
      <c r="N838" s="4"/>
      <c r="O838" s="4"/>
      <c r="P838" s="4"/>
      <c r="Q838" s="4"/>
      <c r="R838" s="4"/>
      <c r="S838" s="4"/>
      <c r="T838" s="4"/>
      <c r="U838" s="4"/>
      <c r="V838" s="4"/>
      <c r="W838" s="4"/>
      <c r="X838" s="4"/>
      <c r="Y838" s="4"/>
      <c r="Z838" s="4"/>
      <c r="AA838" s="4"/>
      <c r="AB838" s="4"/>
      <c r="AC838" s="4"/>
      <c r="AD838" s="4"/>
      <c r="AE838" s="4"/>
    </row>
    <row r="839" ht="13.5" customHeight="1" spans="1:31" x14ac:dyDescent="0.25">
      <c r="A839" s="1"/>
      <c r="B839" s="4"/>
      <c r="C839" s="4"/>
      <c r="D839" s="4"/>
      <c r="E839" s="4"/>
      <c r="F839" s="4"/>
      <c r="G839" s="4"/>
      <c r="H839" s="4"/>
      <c r="I839" s="4"/>
      <c r="J839" s="4"/>
      <c r="K839" s="4"/>
      <c r="L839" s="4"/>
      <c r="M839" s="4"/>
      <c r="N839" s="4"/>
      <c r="O839" s="4"/>
      <c r="P839" s="4"/>
      <c r="Q839" s="4"/>
      <c r="R839" s="4"/>
      <c r="S839" s="4"/>
      <c r="T839" s="4"/>
      <c r="U839" s="4"/>
      <c r="V839" s="4"/>
      <c r="W839" s="4"/>
      <c r="X839" s="4"/>
      <c r="Y839" s="4"/>
      <c r="Z839" s="4"/>
      <c r="AA839" s="4"/>
      <c r="AB839" s="4"/>
      <c r="AC839" s="4"/>
      <c r="AD839" s="4"/>
      <c r="AE839" s="4"/>
    </row>
    <row r="840" ht="13.5" customHeight="1" spans="1:31" x14ac:dyDescent="0.25">
      <c r="A840" s="1"/>
      <c r="B840" s="4"/>
      <c r="C840" s="4"/>
      <c r="D840" s="4"/>
      <c r="E840" s="4"/>
      <c r="F840" s="4"/>
      <c r="G840" s="4"/>
      <c r="H840" s="4"/>
      <c r="I840" s="4"/>
      <c r="J840" s="4"/>
      <c r="K840" s="4"/>
      <c r="L840" s="4"/>
      <c r="M840" s="4"/>
      <c r="N840" s="4"/>
      <c r="O840" s="4"/>
      <c r="P840" s="4"/>
      <c r="Q840" s="4"/>
      <c r="R840" s="4"/>
      <c r="S840" s="4"/>
      <c r="T840" s="4"/>
      <c r="U840" s="4"/>
      <c r="V840" s="4"/>
      <c r="W840" s="4"/>
      <c r="X840" s="4"/>
      <c r="Y840" s="4"/>
      <c r="Z840" s="4"/>
      <c r="AA840" s="4"/>
      <c r="AB840" s="4"/>
      <c r="AC840" s="4"/>
      <c r="AD840" s="4"/>
      <c r="AE840" s="4"/>
    </row>
    <row r="841" ht="13.5" customHeight="1" spans="1:31" x14ac:dyDescent="0.25">
      <c r="A841" s="1"/>
      <c r="B841" s="4"/>
      <c r="C841" s="4"/>
      <c r="D841" s="4"/>
      <c r="E841" s="4"/>
      <c r="F841" s="4"/>
      <c r="G841" s="4"/>
      <c r="H841" s="4"/>
      <c r="I841" s="4"/>
      <c r="J841" s="4"/>
      <c r="K841" s="4"/>
      <c r="L841" s="4"/>
      <c r="M841" s="4"/>
      <c r="N841" s="4"/>
      <c r="O841" s="4"/>
      <c r="P841" s="4"/>
      <c r="Q841" s="4"/>
      <c r="R841" s="4"/>
      <c r="S841" s="4"/>
      <c r="T841" s="4"/>
      <c r="U841" s="4"/>
      <c r="V841" s="4"/>
      <c r="W841" s="4"/>
      <c r="X841" s="4"/>
      <c r="Y841" s="4"/>
      <c r="Z841" s="4"/>
      <c r="AA841" s="4"/>
      <c r="AB841" s="4"/>
      <c r="AC841" s="4"/>
      <c r="AD841" s="4"/>
      <c r="AE841" s="4"/>
    </row>
    <row r="842" ht="13.5" customHeight="1" spans="1:31" x14ac:dyDescent="0.25">
      <c r="A842" s="1"/>
      <c r="B842" s="4"/>
      <c r="C842" s="4"/>
      <c r="D842" s="4"/>
      <c r="E842" s="4"/>
      <c r="F842" s="4"/>
      <c r="G842" s="4"/>
      <c r="H842" s="4"/>
      <c r="I842" s="4"/>
      <c r="J842" s="4"/>
      <c r="K842" s="4"/>
      <c r="L842" s="4"/>
      <c r="M842" s="4"/>
      <c r="N842" s="4"/>
      <c r="O842" s="4"/>
      <c r="P842" s="4"/>
      <c r="Q842" s="4"/>
      <c r="R842" s="4"/>
      <c r="S842" s="4"/>
      <c r="T842" s="4"/>
      <c r="U842" s="4"/>
      <c r="V842" s="4"/>
      <c r="W842" s="4"/>
      <c r="X842" s="4"/>
      <c r="Y842" s="4"/>
      <c r="Z842" s="4"/>
      <c r="AA842" s="4"/>
      <c r="AB842" s="4"/>
      <c r="AC842" s="4"/>
      <c r="AD842" s="4"/>
      <c r="AE842" s="4"/>
    </row>
    <row r="843" ht="13.5" customHeight="1" spans="1:31" x14ac:dyDescent="0.25">
      <c r="A843" s="1"/>
      <c r="B843" s="4"/>
      <c r="C843" s="4"/>
      <c r="D843" s="4"/>
      <c r="E843" s="4"/>
      <c r="F843" s="4"/>
      <c r="G843" s="4"/>
      <c r="H843" s="4"/>
      <c r="I843" s="4"/>
      <c r="J843" s="4"/>
      <c r="K843" s="4"/>
      <c r="L843" s="4"/>
      <c r="M843" s="4"/>
      <c r="N843" s="4"/>
      <c r="O843" s="4"/>
      <c r="P843" s="4"/>
      <c r="Q843" s="4"/>
      <c r="R843" s="4"/>
      <c r="S843" s="4"/>
      <c r="T843" s="4"/>
      <c r="U843" s="4"/>
      <c r="V843" s="4"/>
      <c r="W843" s="4"/>
      <c r="X843" s="4"/>
      <c r="Y843" s="4"/>
      <c r="Z843" s="4"/>
      <c r="AA843" s="4"/>
      <c r="AB843" s="4"/>
      <c r="AC843" s="4"/>
      <c r="AD843" s="4"/>
      <c r="AE843" s="4"/>
    </row>
    <row r="844" ht="13.5" customHeight="1" spans="1:31" x14ac:dyDescent="0.25">
      <c r="A844" s="1"/>
      <c r="B844" s="4"/>
      <c r="C844" s="4"/>
      <c r="D844" s="4"/>
      <c r="E844" s="4"/>
      <c r="F844" s="4"/>
      <c r="G844" s="4"/>
      <c r="H844" s="4"/>
      <c r="I844" s="4"/>
      <c r="J844" s="4"/>
      <c r="K844" s="4"/>
      <c r="L844" s="4"/>
      <c r="M844" s="4"/>
      <c r="N844" s="4"/>
      <c r="O844" s="4"/>
      <c r="P844" s="4"/>
      <c r="Q844" s="4"/>
      <c r="R844" s="4"/>
      <c r="S844" s="4"/>
      <c r="T844" s="4"/>
      <c r="U844" s="4"/>
      <c r="V844" s="4"/>
      <c r="W844" s="4"/>
      <c r="X844" s="4"/>
      <c r="Y844" s="4"/>
      <c r="Z844" s="4"/>
      <c r="AA844" s="4"/>
      <c r="AB844" s="4"/>
      <c r="AC844" s="4"/>
      <c r="AD844" s="4"/>
      <c r="AE844" s="4"/>
    </row>
    <row r="845" ht="13.5" customHeight="1" spans="1:31" x14ac:dyDescent="0.25">
      <c r="A845" s="1"/>
      <c r="B845" s="4"/>
      <c r="C845" s="4"/>
      <c r="D845" s="4"/>
      <c r="E845" s="4"/>
      <c r="F845" s="4"/>
      <c r="G845" s="4"/>
      <c r="H845" s="4"/>
      <c r="I845" s="4"/>
      <c r="J845" s="4"/>
      <c r="K845" s="4"/>
      <c r="L845" s="4"/>
      <c r="M845" s="4"/>
      <c r="N845" s="4"/>
      <c r="O845" s="4"/>
      <c r="P845" s="4"/>
      <c r="Q845" s="4"/>
      <c r="R845" s="4"/>
      <c r="S845" s="4"/>
      <c r="T845" s="4"/>
      <c r="U845" s="4"/>
      <c r="V845" s="4"/>
      <c r="W845" s="4"/>
      <c r="X845" s="4"/>
      <c r="Y845" s="4"/>
      <c r="Z845" s="4"/>
      <c r="AA845" s="4"/>
      <c r="AB845" s="4"/>
      <c r="AC845" s="4"/>
      <c r="AD845" s="4"/>
      <c r="AE845" s="4"/>
    </row>
    <row r="846" ht="13.5" customHeight="1" spans="1:31" x14ac:dyDescent="0.25">
      <c r="A846" s="1"/>
      <c r="B846" s="4"/>
      <c r="C846" s="4"/>
      <c r="D846" s="4"/>
      <c r="E846" s="4"/>
      <c r="F846" s="4"/>
      <c r="G846" s="4"/>
      <c r="H846" s="4"/>
      <c r="I846" s="4"/>
      <c r="J846" s="4"/>
      <c r="K846" s="4"/>
      <c r="L846" s="4"/>
      <c r="M846" s="4"/>
      <c r="N846" s="4"/>
      <c r="O846" s="4"/>
      <c r="P846" s="4"/>
      <c r="Q846" s="4"/>
      <c r="R846" s="4"/>
      <c r="S846" s="4"/>
      <c r="T846" s="4"/>
      <c r="U846" s="4"/>
      <c r="V846" s="4"/>
      <c r="W846" s="4"/>
      <c r="X846" s="4"/>
      <c r="Y846" s="4"/>
      <c r="Z846" s="4"/>
      <c r="AA846" s="4"/>
      <c r="AB846" s="4"/>
      <c r="AC846" s="4"/>
      <c r="AD846" s="4"/>
      <c r="AE846" s="4"/>
    </row>
    <row r="847" ht="13.5" customHeight="1" spans="1:31" x14ac:dyDescent="0.25">
      <c r="A847" s="1"/>
      <c r="B847" s="4"/>
      <c r="C847" s="4"/>
      <c r="D847" s="4"/>
      <c r="E847" s="4"/>
      <c r="F847" s="4"/>
      <c r="G847" s="4"/>
      <c r="H847" s="4"/>
      <c r="I847" s="4"/>
      <c r="J847" s="4"/>
      <c r="K847" s="4"/>
      <c r="L847" s="4"/>
      <c r="M847" s="4"/>
      <c r="N847" s="4"/>
      <c r="O847" s="4"/>
      <c r="P847" s="4"/>
      <c r="Q847" s="4"/>
      <c r="R847" s="4"/>
      <c r="S847" s="4"/>
      <c r="T847" s="4"/>
      <c r="U847" s="4"/>
      <c r="V847" s="4"/>
      <c r="W847" s="4"/>
      <c r="X847" s="4"/>
      <c r="Y847" s="4"/>
      <c r="Z847" s="4"/>
      <c r="AA847" s="4"/>
      <c r="AB847" s="4"/>
      <c r="AC847" s="4"/>
      <c r="AD847" s="4"/>
      <c r="AE847" s="4"/>
    </row>
    <row r="848" ht="13.5" customHeight="1" spans="1:31" x14ac:dyDescent="0.25">
      <c r="A848" s="1"/>
      <c r="B848" s="4"/>
      <c r="C848" s="4"/>
      <c r="D848" s="4"/>
      <c r="E848" s="4"/>
      <c r="F848" s="4"/>
      <c r="G848" s="4"/>
      <c r="H848" s="4"/>
      <c r="I848" s="4"/>
      <c r="J848" s="4"/>
      <c r="K848" s="4"/>
      <c r="L848" s="4"/>
      <c r="M848" s="4"/>
      <c r="N848" s="4"/>
      <c r="O848" s="4"/>
      <c r="P848" s="4"/>
      <c r="Q848" s="4"/>
      <c r="R848" s="4"/>
      <c r="S848" s="4"/>
      <c r="T848" s="4"/>
      <c r="U848" s="4"/>
      <c r="V848" s="4"/>
      <c r="W848" s="4"/>
      <c r="X848" s="4"/>
      <c r="Y848" s="4"/>
      <c r="Z848" s="4"/>
      <c r="AA848" s="4"/>
      <c r="AB848" s="4"/>
      <c r="AC848" s="4"/>
      <c r="AD848" s="4"/>
      <c r="AE848" s="4"/>
    </row>
    <row r="849" ht="13.5" customHeight="1" spans="1:31" x14ac:dyDescent="0.25">
      <c r="A849" s="1"/>
      <c r="B849" s="4"/>
      <c r="C849" s="4"/>
      <c r="D849" s="4"/>
      <c r="E849" s="4"/>
      <c r="F849" s="4"/>
      <c r="G849" s="4"/>
      <c r="H849" s="4"/>
      <c r="I849" s="4"/>
      <c r="J849" s="4"/>
      <c r="K849" s="4"/>
      <c r="L849" s="4"/>
      <c r="M849" s="4"/>
      <c r="N849" s="4"/>
      <c r="O849" s="4"/>
      <c r="P849" s="4"/>
      <c r="Q849" s="4"/>
      <c r="R849" s="4"/>
      <c r="S849" s="4"/>
      <c r="T849" s="4"/>
      <c r="U849" s="4"/>
      <c r="V849" s="4"/>
      <c r="W849" s="4"/>
      <c r="X849" s="4"/>
      <c r="Y849" s="4"/>
      <c r="Z849" s="4"/>
      <c r="AA849" s="4"/>
      <c r="AB849" s="4"/>
      <c r="AC849" s="4"/>
      <c r="AD849" s="4"/>
      <c r="AE849" s="4"/>
    </row>
    <row r="850" ht="13.5" customHeight="1" spans="1:31" x14ac:dyDescent="0.25">
      <c r="A850" s="1"/>
      <c r="B850" s="4"/>
      <c r="C850" s="4"/>
      <c r="D850" s="4"/>
      <c r="E850" s="4"/>
      <c r="F850" s="4"/>
      <c r="G850" s="4"/>
      <c r="H850" s="4"/>
      <c r="I850" s="4"/>
      <c r="J850" s="4"/>
      <c r="K850" s="4"/>
      <c r="L850" s="4"/>
      <c r="M850" s="4"/>
      <c r="N850" s="4"/>
      <c r="O850" s="4"/>
      <c r="P850" s="4"/>
      <c r="Q850" s="4"/>
      <c r="R850" s="4"/>
      <c r="S850" s="4"/>
      <c r="T850" s="4"/>
      <c r="U850" s="4"/>
      <c r="V850" s="4"/>
      <c r="W850" s="4"/>
      <c r="X850" s="4"/>
      <c r="Y850" s="4"/>
      <c r="Z850" s="4"/>
      <c r="AA850" s="4"/>
      <c r="AB850" s="4"/>
      <c r="AC850" s="4"/>
      <c r="AD850" s="4"/>
      <c r="AE850" s="4"/>
    </row>
    <row r="851" ht="13.5" customHeight="1" spans="1:31" x14ac:dyDescent="0.25">
      <c r="A851" s="1"/>
      <c r="B851" s="4"/>
      <c r="C851" s="4"/>
      <c r="D851" s="4"/>
      <c r="E851" s="4"/>
      <c r="F851" s="4"/>
      <c r="G851" s="4"/>
      <c r="H851" s="4"/>
      <c r="I851" s="4"/>
      <c r="J851" s="4"/>
      <c r="K851" s="4"/>
      <c r="L851" s="4"/>
      <c r="M851" s="4"/>
      <c r="N851" s="4"/>
      <c r="O851" s="4"/>
      <c r="P851" s="4"/>
      <c r="Q851" s="4"/>
      <c r="R851" s="4"/>
      <c r="S851" s="4"/>
      <c r="T851" s="4"/>
      <c r="U851" s="4"/>
      <c r="V851" s="4"/>
      <c r="W851" s="4"/>
      <c r="X851" s="4"/>
      <c r="Y851" s="4"/>
      <c r="Z851" s="4"/>
      <c r="AA851" s="4"/>
      <c r="AB851" s="4"/>
      <c r="AC851" s="4"/>
      <c r="AD851" s="4"/>
      <c r="AE851" s="4"/>
    </row>
    <row r="852" ht="13.5" customHeight="1" spans="1:31" x14ac:dyDescent="0.25">
      <c r="A852" s="1"/>
      <c r="B852" s="4"/>
      <c r="C852" s="4"/>
      <c r="D852" s="4"/>
      <c r="E852" s="4"/>
      <c r="F852" s="4"/>
      <c r="G852" s="4"/>
      <c r="H852" s="4"/>
      <c r="I852" s="4"/>
      <c r="J852" s="4"/>
      <c r="K852" s="4"/>
      <c r="L852" s="4"/>
      <c r="M852" s="4"/>
      <c r="N852" s="4"/>
      <c r="O852" s="4"/>
      <c r="P852" s="4"/>
      <c r="Q852" s="4"/>
      <c r="R852" s="4"/>
      <c r="S852" s="4"/>
      <c r="T852" s="4"/>
      <c r="U852" s="4"/>
      <c r="V852" s="4"/>
      <c r="W852" s="4"/>
      <c r="X852" s="4"/>
      <c r="Y852" s="4"/>
      <c r="Z852" s="4"/>
      <c r="AA852" s="4"/>
      <c r="AB852" s="4"/>
      <c r="AC852" s="4"/>
      <c r="AD852" s="4"/>
      <c r="AE852" s="4"/>
    </row>
    <row r="853" ht="13.5" customHeight="1" spans="1:31" x14ac:dyDescent="0.25">
      <c r="A853" s="1"/>
      <c r="B853" s="4"/>
      <c r="C853" s="4"/>
      <c r="D853" s="4"/>
      <c r="E853" s="4"/>
      <c r="F853" s="4"/>
      <c r="G853" s="4"/>
      <c r="H853" s="4"/>
      <c r="I853" s="4"/>
      <c r="J853" s="4"/>
      <c r="K853" s="4"/>
      <c r="L853" s="4"/>
      <c r="M853" s="4"/>
      <c r="N853" s="4"/>
      <c r="O853" s="4"/>
      <c r="P853" s="4"/>
      <c r="Q853" s="4"/>
      <c r="R853" s="4"/>
      <c r="S853" s="4"/>
      <c r="T853" s="4"/>
      <c r="U853" s="4"/>
      <c r="V853" s="4"/>
      <c r="W853" s="4"/>
      <c r="X853" s="4"/>
      <c r="Y853" s="4"/>
      <c r="Z853" s="4"/>
      <c r="AA853" s="4"/>
      <c r="AB853" s="4"/>
      <c r="AC853" s="4"/>
      <c r="AD853" s="4"/>
      <c r="AE853" s="4"/>
    </row>
    <row r="854" ht="13.5" customHeight="1" spans="1:31" x14ac:dyDescent="0.25">
      <c r="A854" s="1"/>
      <c r="B854" s="4"/>
      <c r="C854" s="4"/>
      <c r="D854" s="4"/>
      <c r="E854" s="4"/>
      <c r="F854" s="4"/>
      <c r="G854" s="4"/>
      <c r="H854" s="4"/>
      <c r="I854" s="4"/>
      <c r="J854" s="4"/>
      <c r="K854" s="4"/>
      <c r="L854" s="4"/>
      <c r="M854" s="4"/>
      <c r="N854" s="4"/>
      <c r="O854" s="4"/>
      <c r="P854" s="4"/>
      <c r="Q854" s="4"/>
      <c r="R854" s="4"/>
      <c r="S854" s="4"/>
      <c r="T854" s="4"/>
      <c r="U854" s="4"/>
      <c r="V854" s="4"/>
      <c r="W854" s="4"/>
      <c r="X854" s="4"/>
      <c r="Y854" s="4"/>
      <c r="Z854" s="4"/>
      <c r="AA854" s="4"/>
      <c r="AB854" s="4"/>
      <c r="AC854" s="4"/>
      <c r="AD854" s="4"/>
      <c r="AE854" s="4"/>
    </row>
    <row r="855" ht="13.5" customHeight="1" spans="1:31" x14ac:dyDescent="0.25">
      <c r="A855" s="1"/>
      <c r="B855" s="4"/>
      <c r="C855" s="4"/>
      <c r="D855" s="4"/>
      <c r="E855" s="4"/>
      <c r="F855" s="4"/>
      <c r="G855" s="4"/>
      <c r="H855" s="4"/>
      <c r="I855" s="4"/>
      <c r="J855" s="4"/>
      <c r="K855" s="4"/>
      <c r="L855" s="4"/>
      <c r="M855" s="4"/>
      <c r="N855" s="4"/>
      <c r="O855" s="4"/>
      <c r="P855" s="4"/>
      <c r="Q855" s="4"/>
      <c r="R855" s="4"/>
      <c r="S855" s="4"/>
      <c r="T855" s="4"/>
      <c r="U855" s="4"/>
      <c r="V855" s="4"/>
      <c r="W855" s="4"/>
      <c r="X855" s="4"/>
      <c r="Y855" s="4"/>
      <c r="Z855" s="4"/>
      <c r="AA855" s="4"/>
      <c r="AB855" s="4"/>
      <c r="AC855" s="4"/>
      <c r="AD855" s="4"/>
      <c r="AE855" s="4"/>
    </row>
    <row r="856" ht="13.5" customHeight="1" spans="1:31" x14ac:dyDescent="0.25">
      <c r="A856" s="1"/>
      <c r="B856" s="4"/>
      <c r="C856" s="4"/>
      <c r="D856" s="4"/>
      <c r="E856" s="4"/>
      <c r="F856" s="4"/>
      <c r="G856" s="4"/>
      <c r="H856" s="4"/>
      <c r="I856" s="4"/>
      <c r="J856" s="4"/>
      <c r="K856" s="4"/>
      <c r="L856" s="4"/>
      <c r="M856" s="4"/>
      <c r="N856" s="4"/>
      <c r="O856" s="4"/>
      <c r="P856" s="4"/>
      <c r="Q856" s="4"/>
      <c r="R856" s="4"/>
      <c r="S856" s="4"/>
      <c r="T856" s="4"/>
      <c r="U856" s="4"/>
      <c r="V856" s="4"/>
      <c r="W856" s="4"/>
      <c r="X856" s="4"/>
      <c r="Y856" s="4"/>
      <c r="Z856" s="4"/>
      <c r="AA856" s="4"/>
      <c r="AB856" s="4"/>
      <c r="AC856" s="4"/>
      <c r="AD856" s="4"/>
      <c r="AE856" s="4"/>
    </row>
    <row r="857" ht="13.5" customHeight="1" spans="1:31" x14ac:dyDescent="0.25">
      <c r="A857" s="1"/>
      <c r="B857" s="4"/>
      <c r="C857" s="4"/>
      <c r="D857" s="4"/>
      <c r="E857" s="4"/>
      <c r="F857" s="4"/>
      <c r="G857" s="4"/>
      <c r="H857" s="4"/>
      <c r="I857" s="4"/>
      <c r="J857" s="4"/>
      <c r="K857" s="4"/>
      <c r="L857" s="4"/>
      <c r="M857" s="4"/>
      <c r="N857" s="4"/>
      <c r="O857" s="4"/>
      <c r="P857" s="4"/>
      <c r="Q857" s="4"/>
      <c r="R857" s="4"/>
      <c r="S857" s="4"/>
      <c r="T857" s="4"/>
      <c r="U857" s="4"/>
      <c r="V857" s="4"/>
      <c r="W857" s="4"/>
      <c r="X857" s="4"/>
      <c r="Y857" s="4"/>
      <c r="Z857" s="4"/>
      <c r="AA857" s="4"/>
      <c r="AB857" s="4"/>
      <c r="AC857" s="4"/>
      <c r="AD857" s="4"/>
      <c r="AE857" s="4"/>
    </row>
    <row r="858" ht="13.5" customHeight="1" spans="1:31" x14ac:dyDescent="0.25">
      <c r="A858" s="1"/>
      <c r="B858" s="4"/>
      <c r="C858" s="4"/>
      <c r="D858" s="4"/>
      <c r="E858" s="4"/>
      <c r="F858" s="4"/>
      <c r="G858" s="4"/>
      <c r="H858" s="4"/>
      <c r="I858" s="4"/>
      <c r="J858" s="4"/>
      <c r="K858" s="4"/>
      <c r="L858" s="4"/>
      <c r="M858" s="4"/>
      <c r="N858" s="4"/>
      <c r="O858" s="4"/>
      <c r="P858" s="4"/>
      <c r="Q858" s="4"/>
      <c r="R858" s="4"/>
      <c r="S858" s="4"/>
      <c r="T858" s="4"/>
      <c r="U858" s="4"/>
      <c r="V858" s="4"/>
      <c r="W858" s="4"/>
      <c r="X858" s="4"/>
      <c r="Y858" s="4"/>
      <c r="Z858" s="4"/>
      <c r="AA858" s="4"/>
      <c r="AB858" s="4"/>
      <c r="AC858" s="4"/>
      <c r="AD858" s="4"/>
      <c r="AE858" s="4"/>
    </row>
    <row r="859" ht="13.5" customHeight="1" spans="1:31" x14ac:dyDescent="0.25">
      <c r="A859" s="1"/>
      <c r="B859" s="4"/>
      <c r="C859" s="4"/>
      <c r="D859" s="4"/>
      <c r="E859" s="4"/>
      <c r="F859" s="4"/>
      <c r="G859" s="4"/>
      <c r="H859" s="4"/>
      <c r="I859" s="4"/>
      <c r="J859" s="4"/>
      <c r="K859" s="4"/>
      <c r="L859" s="4"/>
      <c r="M859" s="4"/>
      <c r="N859" s="4"/>
      <c r="O859" s="4"/>
      <c r="P859" s="4"/>
      <c r="Q859" s="4"/>
      <c r="R859" s="4"/>
      <c r="S859" s="4"/>
      <c r="T859" s="4"/>
      <c r="U859" s="4"/>
      <c r="V859" s="4"/>
      <c r="W859" s="4"/>
      <c r="X859" s="4"/>
      <c r="Y859" s="4"/>
      <c r="Z859" s="4"/>
      <c r="AA859" s="4"/>
      <c r="AB859" s="4"/>
      <c r="AC859" s="4"/>
      <c r="AD859" s="4"/>
      <c r="AE859" s="4"/>
    </row>
    <row r="860" ht="13.5" customHeight="1" spans="1:31" x14ac:dyDescent="0.25">
      <c r="A860" s="1"/>
      <c r="B860" s="4"/>
      <c r="C860" s="4"/>
      <c r="D860" s="4"/>
      <c r="E860" s="4"/>
      <c r="F860" s="4"/>
      <c r="G860" s="4"/>
      <c r="H860" s="4"/>
      <c r="I860" s="4"/>
      <c r="J860" s="4"/>
      <c r="K860" s="4"/>
      <c r="L860" s="4"/>
      <c r="M860" s="4"/>
      <c r="N860" s="4"/>
      <c r="O860" s="4"/>
      <c r="P860" s="4"/>
      <c r="Q860" s="4"/>
      <c r="R860" s="4"/>
      <c r="S860" s="4"/>
      <c r="T860" s="4"/>
      <c r="U860" s="4"/>
      <c r="V860" s="4"/>
      <c r="W860" s="4"/>
      <c r="X860" s="4"/>
      <c r="Y860" s="4"/>
      <c r="Z860" s="4"/>
      <c r="AA860" s="4"/>
      <c r="AB860" s="4"/>
      <c r="AC860" s="4"/>
      <c r="AD860" s="4"/>
      <c r="AE860" s="4"/>
    </row>
    <row r="861" ht="13.5" customHeight="1" spans="1:31" x14ac:dyDescent="0.25">
      <c r="A861" s="1"/>
      <c r="B861" s="4"/>
      <c r="C861" s="4"/>
      <c r="D861" s="4"/>
      <c r="E861" s="4"/>
      <c r="F861" s="4"/>
      <c r="G861" s="4"/>
      <c r="H861" s="4"/>
      <c r="I861" s="4"/>
      <c r="J861" s="4"/>
      <c r="K861" s="4"/>
      <c r="L861" s="4"/>
      <c r="M861" s="4"/>
      <c r="N861" s="4"/>
      <c r="O861" s="4"/>
      <c r="P861" s="4"/>
      <c r="Q861" s="4"/>
      <c r="R861" s="4"/>
      <c r="S861" s="4"/>
      <c r="T861" s="4"/>
      <c r="U861" s="4"/>
      <c r="V861" s="4"/>
      <c r="W861" s="4"/>
      <c r="X861" s="4"/>
      <c r="Y861" s="4"/>
      <c r="Z861" s="4"/>
      <c r="AA861" s="4"/>
      <c r="AB861" s="4"/>
      <c r="AC861" s="4"/>
      <c r="AD861" s="4"/>
      <c r="AE861" s="4"/>
    </row>
    <row r="862" ht="13.5" customHeight="1" spans="1:31" x14ac:dyDescent="0.25">
      <c r="A862" s="1"/>
      <c r="B862" s="4"/>
      <c r="C862" s="4"/>
      <c r="D862" s="4"/>
      <c r="E862" s="4"/>
      <c r="F862" s="4"/>
      <c r="G862" s="4"/>
      <c r="H862" s="4"/>
      <c r="I862" s="4"/>
      <c r="J862" s="4"/>
      <c r="K862" s="4"/>
      <c r="L862" s="4"/>
      <c r="M862" s="4"/>
      <c r="N862" s="4"/>
      <c r="O862" s="4"/>
      <c r="P862" s="4"/>
      <c r="Q862" s="4"/>
      <c r="R862" s="4"/>
      <c r="S862" s="4"/>
      <c r="T862" s="4"/>
      <c r="U862" s="4"/>
      <c r="V862" s="4"/>
      <c r="W862" s="4"/>
      <c r="X862" s="4"/>
      <c r="Y862" s="4"/>
      <c r="Z862" s="4"/>
      <c r="AA862" s="4"/>
      <c r="AB862" s="4"/>
      <c r="AC862" s="4"/>
      <c r="AD862" s="4"/>
      <c r="AE862" s="4"/>
    </row>
    <row r="863" ht="13.5" customHeight="1" spans="1:31" x14ac:dyDescent="0.25">
      <c r="A863" s="1"/>
      <c r="B863" s="4"/>
      <c r="C863" s="4"/>
      <c r="D863" s="4"/>
      <c r="E863" s="4"/>
      <c r="F863" s="4"/>
      <c r="G863" s="4"/>
      <c r="H863" s="4"/>
      <c r="I863" s="4"/>
      <c r="J863" s="4"/>
      <c r="K863" s="4"/>
      <c r="L863" s="4"/>
      <c r="M863" s="4"/>
      <c r="N863" s="4"/>
      <c r="O863" s="4"/>
      <c r="P863" s="4"/>
      <c r="Q863" s="4"/>
      <c r="R863" s="4"/>
      <c r="S863" s="4"/>
      <c r="T863" s="4"/>
      <c r="U863" s="4"/>
      <c r="V863" s="4"/>
      <c r="W863" s="4"/>
      <c r="X863" s="4"/>
      <c r="Y863" s="4"/>
      <c r="Z863" s="4"/>
      <c r="AA863" s="4"/>
      <c r="AB863" s="4"/>
      <c r="AC863" s="4"/>
      <c r="AD863" s="4"/>
      <c r="AE863" s="4"/>
    </row>
    <row r="864" ht="13.5" customHeight="1" spans="1:31" x14ac:dyDescent="0.25">
      <c r="A864" s="1"/>
      <c r="B864" s="4"/>
      <c r="C864" s="4"/>
      <c r="D864" s="4"/>
      <c r="E864" s="4"/>
      <c r="F864" s="4"/>
      <c r="G864" s="4"/>
      <c r="H864" s="4"/>
      <c r="I864" s="4"/>
      <c r="J864" s="4"/>
      <c r="K864" s="4"/>
      <c r="L864" s="4"/>
      <c r="M864" s="4"/>
      <c r="N864" s="4"/>
      <c r="O864" s="4"/>
      <c r="P864" s="4"/>
      <c r="Q864" s="4"/>
      <c r="R864" s="4"/>
      <c r="S864" s="4"/>
      <c r="T864" s="4"/>
      <c r="U864" s="4"/>
      <c r="V864" s="4"/>
      <c r="W864" s="4"/>
      <c r="X864" s="4"/>
      <c r="Y864" s="4"/>
      <c r="Z864" s="4"/>
      <c r="AA864" s="4"/>
      <c r="AB864" s="4"/>
      <c r="AC864" s="4"/>
      <c r="AD864" s="4"/>
      <c r="AE864" s="4"/>
    </row>
    <row r="865" ht="13.5" customHeight="1" spans="1:31" x14ac:dyDescent="0.25">
      <c r="A865" s="1"/>
      <c r="B865" s="4"/>
      <c r="C865" s="4"/>
      <c r="D865" s="4"/>
      <c r="E865" s="4"/>
      <c r="F865" s="4"/>
      <c r="G865" s="4"/>
      <c r="H865" s="4"/>
      <c r="I865" s="4"/>
      <c r="J865" s="4"/>
      <c r="K865" s="4"/>
      <c r="L865" s="4"/>
      <c r="M865" s="4"/>
      <c r="N865" s="4"/>
      <c r="O865" s="4"/>
      <c r="P865" s="4"/>
      <c r="Q865" s="4"/>
      <c r="R865" s="4"/>
      <c r="S865" s="4"/>
      <c r="T865" s="4"/>
      <c r="U865" s="4"/>
      <c r="V865" s="4"/>
      <c r="W865" s="4"/>
      <c r="X865" s="4"/>
      <c r="Y865" s="4"/>
      <c r="Z865" s="4"/>
      <c r="AA865" s="4"/>
      <c r="AB865" s="4"/>
      <c r="AC865" s="4"/>
      <c r="AD865" s="4"/>
      <c r="AE865" s="4"/>
    </row>
    <row r="866" ht="13.5" customHeight="1" spans="1:31" x14ac:dyDescent="0.25">
      <c r="A866" s="1"/>
      <c r="B866" s="4"/>
      <c r="C866" s="4"/>
      <c r="D866" s="4"/>
      <c r="E866" s="4"/>
      <c r="F866" s="4"/>
      <c r="G866" s="4"/>
      <c r="H866" s="4"/>
      <c r="I866" s="4"/>
      <c r="J866" s="4"/>
      <c r="K866" s="4"/>
      <c r="L866" s="4"/>
      <c r="M866" s="4"/>
      <c r="N866" s="4"/>
      <c r="O866" s="4"/>
      <c r="P866" s="4"/>
      <c r="Q866" s="4"/>
      <c r="R866" s="4"/>
      <c r="S866" s="4"/>
      <c r="T866" s="4"/>
      <c r="U866" s="4"/>
      <c r="V866" s="4"/>
      <c r="W866" s="4"/>
      <c r="X866" s="4"/>
      <c r="Y866" s="4"/>
      <c r="Z866" s="4"/>
      <c r="AA866" s="4"/>
      <c r="AB866" s="4"/>
      <c r="AC866" s="4"/>
      <c r="AD866" s="4"/>
      <c r="AE866" s="4"/>
    </row>
    <row r="867" ht="13.5" customHeight="1" spans="1:31" x14ac:dyDescent="0.25">
      <c r="A867" s="1"/>
      <c r="B867" s="4"/>
      <c r="C867" s="4"/>
      <c r="D867" s="4"/>
      <c r="E867" s="4"/>
      <c r="F867" s="4"/>
      <c r="G867" s="4"/>
      <c r="H867" s="4"/>
      <c r="I867" s="4"/>
      <c r="J867" s="4"/>
      <c r="K867" s="4"/>
      <c r="L867" s="4"/>
      <c r="M867" s="4"/>
      <c r="N867" s="4"/>
      <c r="O867" s="4"/>
      <c r="P867" s="4"/>
      <c r="Q867" s="4"/>
      <c r="R867" s="4"/>
      <c r="S867" s="4"/>
      <c r="T867" s="4"/>
      <c r="U867" s="4"/>
      <c r="V867" s="4"/>
      <c r="W867" s="4"/>
      <c r="X867" s="4"/>
      <c r="Y867" s="4"/>
      <c r="Z867" s="4"/>
      <c r="AA867" s="4"/>
      <c r="AB867" s="4"/>
      <c r="AC867" s="4"/>
      <c r="AD867" s="4"/>
      <c r="AE867" s="4"/>
    </row>
    <row r="868" ht="13.5" customHeight="1" spans="1:31" x14ac:dyDescent="0.25">
      <c r="A868" s="1"/>
      <c r="B868" s="4"/>
      <c r="C868" s="4"/>
      <c r="D868" s="4"/>
      <c r="E868" s="4"/>
      <c r="F868" s="4"/>
      <c r="G868" s="4"/>
      <c r="H868" s="4"/>
      <c r="I868" s="4"/>
      <c r="J868" s="4"/>
      <c r="K868" s="4"/>
      <c r="L868" s="4"/>
      <c r="M868" s="4"/>
      <c r="N868" s="4"/>
      <c r="O868" s="4"/>
      <c r="P868" s="4"/>
      <c r="Q868" s="4"/>
      <c r="R868" s="4"/>
      <c r="S868" s="4"/>
      <c r="T868" s="4"/>
      <c r="U868" s="4"/>
      <c r="V868" s="4"/>
      <c r="W868" s="4"/>
      <c r="X868" s="4"/>
      <c r="Y868" s="4"/>
      <c r="Z868" s="4"/>
      <c r="AA868" s="4"/>
      <c r="AB868" s="4"/>
      <c r="AC868" s="4"/>
      <c r="AD868" s="4"/>
      <c r="AE868" s="4"/>
    </row>
    <row r="869" ht="13.5" customHeight="1" spans="1:31" x14ac:dyDescent="0.25">
      <c r="A869" s="1"/>
      <c r="B869" s="4"/>
      <c r="C869" s="4"/>
      <c r="D869" s="4"/>
      <c r="E869" s="4"/>
      <c r="F869" s="4"/>
      <c r="G869" s="4"/>
      <c r="H869" s="4"/>
      <c r="I869" s="4"/>
      <c r="J869" s="4"/>
      <c r="K869" s="4"/>
      <c r="L869" s="4"/>
      <c r="M869" s="4"/>
      <c r="N869" s="4"/>
      <c r="O869" s="4"/>
      <c r="P869" s="4"/>
      <c r="Q869" s="4"/>
      <c r="R869" s="4"/>
      <c r="S869" s="4"/>
      <c r="T869" s="4"/>
      <c r="U869" s="4"/>
      <c r="V869" s="4"/>
      <c r="W869" s="4"/>
      <c r="X869" s="4"/>
      <c r="Y869" s="4"/>
      <c r="Z869" s="4"/>
      <c r="AA869" s="4"/>
      <c r="AB869" s="4"/>
      <c r="AC869" s="4"/>
      <c r="AD869" s="4"/>
      <c r="AE869" s="4"/>
    </row>
    <row r="870" ht="13.5" customHeight="1" spans="1:31" x14ac:dyDescent="0.25">
      <c r="A870" s="1"/>
      <c r="B870" s="4"/>
      <c r="C870" s="4"/>
      <c r="D870" s="4"/>
      <c r="E870" s="4"/>
      <c r="F870" s="4"/>
      <c r="G870" s="4"/>
      <c r="H870" s="4"/>
      <c r="I870" s="4"/>
      <c r="J870" s="4"/>
      <c r="K870" s="4"/>
      <c r="L870" s="4"/>
      <c r="M870" s="4"/>
      <c r="N870" s="4"/>
      <c r="O870" s="4"/>
      <c r="P870" s="4"/>
      <c r="Q870" s="4"/>
      <c r="R870" s="4"/>
      <c r="S870" s="4"/>
      <c r="T870" s="4"/>
      <c r="U870" s="4"/>
      <c r="V870" s="4"/>
      <c r="W870" s="4"/>
      <c r="X870" s="4"/>
      <c r="Y870" s="4"/>
      <c r="Z870" s="4"/>
      <c r="AA870" s="4"/>
      <c r="AB870" s="4"/>
      <c r="AC870" s="4"/>
      <c r="AD870" s="4"/>
      <c r="AE870" s="4"/>
    </row>
    <row r="871" ht="13.5" customHeight="1" spans="1:31" x14ac:dyDescent="0.25">
      <c r="A871" s="1"/>
      <c r="B871" s="4"/>
      <c r="C871" s="4"/>
      <c r="D871" s="4"/>
      <c r="E871" s="4"/>
      <c r="F871" s="4"/>
      <c r="G871" s="4"/>
      <c r="H871" s="4"/>
      <c r="I871" s="4"/>
      <c r="J871" s="4"/>
      <c r="K871" s="4"/>
      <c r="L871" s="4"/>
      <c r="M871" s="4"/>
      <c r="N871" s="4"/>
      <c r="O871" s="4"/>
      <c r="P871" s="4"/>
      <c r="Q871" s="4"/>
      <c r="R871" s="4"/>
      <c r="S871" s="4"/>
      <c r="T871" s="4"/>
      <c r="U871" s="4"/>
      <c r="V871" s="4"/>
      <c r="W871" s="4"/>
      <c r="X871" s="4"/>
      <c r="Y871" s="4"/>
      <c r="Z871" s="4"/>
      <c r="AA871" s="4"/>
      <c r="AB871" s="4"/>
      <c r="AC871" s="4"/>
      <c r="AD871" s="4"/>
      <c r="AE871" s="4"/>
    </row>
    <row r="872" ht="13.5" customHeight="1" spans="1:31" x14ac:dyDescent="0.25">
      <c r="A872" s="1"/>
      <c r="B872" s="4"/>
      <c r="C872" s="4"/>
      <c r="D872" s="4"/>
      <c r="E872" s="4"/>
      <c r="F872" s="4"/>
      <c r="G872" s="4"/>
      <c r="H872" s="4"/>
      <c r="I872" s="4"/>
      <c r="J872" s="4"/>
      <c r="K872" s="4"/>
      <c r="L872" s="4"/>
      <c r="M872" s="4"/>
      <c r="N872" s="4"/>
      <c r="O872" s="4"/>
      <c r="P872" s="4"/>
      <c r="Q872" s="4"/>
      <c r="R872" s="4"/>
      <c r="S872" s="4"/>
      <c r="T872" s="4"/>
      <c r="U872" s="4"/>
      <c r="V872" s="4"/>
      <c r="W872" s="4"/>
      <c r="X872" s="4"/>
      <c r="Y872" s="4"/>
      <c r="Z872" s="4"/>
      <c r="AA872" s="4"/>
      <c r="AB872" s="4"/>
      <c r="AC872" s="4"/>
      <c r="AD872" s="4"/>
      <c r="AE872" s="4"/>
    </row>
    <row r="873" ht="13.5" customHeight="1" spans="1:31" x14ac:dyDescent="0.25">
      <c r="A873" s="1"/>
      <c r="B873" s="4"/>
      <c r="C873" s="4"/>
      <c r="D873" s="4"/>
      <c r="E873" s="4"/>
      <c r="F873" s="4"/>
      <c r="G873" s="4"/>
      <c r="H873" s="4"/>
      <c r="I873" s="4"/>
      <c r="J873" s="4"/>
      <c r="K873" s="4"/>
      <c r="L873" s="4"/>
      <c r="M873" s="4"/>
      <c r="N873" s="4"/>
      <c r="O873" s="4"/>
      <c r="P873" s="4"/>
      <c r="Q873" s="4"/>
      <c r="R873" s="4"/>
      <c r="S873" s="4"/>
      <c r="T873" s="4"/>
      <c r="U873" s="4"/>
      <c r="V873" s="4"/>
      <c r="W873" s="4"/>
      <c r="X873" s="4"/>
      <c r="Y873" s="4"/>
      <c r="Z873" s="4"/>
      <c r="AA873" s="4"/>
      <c r="AB873" s="4"/>
      <c r="AC873" s="4"/>
      <c r="AD873" s="4"/>
      <c r="AE873" s="4"/>
    </row>
    <row r="874" ht="13.5" customHeight="1" spans="1:31" x14ac:dyDescent="0.25">
      <c r="A874" s="1"/>
      <c r="B874" s="4"/>
      <c r="C874" s="4"/>
      <c r="D874" s="4"/>
      <c r="E874" s="4"/>
      <c r="F874" s="4"/>
      <c r="G874" s="4"/>
      <c r="H874" s="4"/>
      <c r="I874" s="4"/>
      <c r="J874" s="4"/>
      <c r="K874" s="4"/>
      <c r="L874" s="4"/>
      <c r="M874" s="4"/>
      <c r="N874" s="4"/>
      <c r="O874" s="4"/>
      <c r="P874" s="4"/>
      <c r="Q874" s="4"/>
      <c r="R874" s="4"/>
      <c r="S874" s="4"/>
      <c r="T874" s="4"/>
      <c r="U874" s="4"/>
      <c r="V874" s="4"/>
      <c r="W874" s="4"/>
      <c r="X874" s="4"/>
      <c r="Y874" s="4"/>
      <c r="Z874" s="4"/>
      <c r="AA874" s="4"/>
      <c r="AB874" s="4"/>
      <c r="AC874" s="4"/>
      <c r="AD874" s="4"/>
      <c r="AE874" s="4"/>
    </row>
    <row r="875" ht="13.5" customHeight="1" spans="1:31" x14ac:dyDescent="0.25">
      <c r="A875" s="1"/>
      <c r="B875" s="4"/>
      <c r="C875" s="4"/>
      <c r="D875" s="4"/>
      <c r="E875" s="4"/>
      <c r="F875" s="4"/>
      <c r="G875" s="4"/>
      <c r="H875" s="4"/>
      <c r="I875" s="4"/>
      <c r="J875" s="4"/>
      <c r="K875" s="4"/>
      <c r="L875" s="4"/>
      <c r="M875" s="4"/>
      <c r="N875" s="4"/>
      <c r="O875" s="4"/>
      <c r="P875" s="4"/>
      <c r="Q875" s="4"/>
      <c r="R875" s="4"/>
      <c r="S875" s="4"/>
      <c r="T875" s="4"/>
      <c r="U875" s="4"/>
      <c r="V875" s="4"/>
      <c r="W875" s="4"/>
      <c r="X875" s="4"/>
      <c r="Y875" s="4"/>
      <c r="Z875" s="4"/>
      <c r="AA875" s="4"/>
      <c r="AB875" s="4"/>
      <c r="AC875" s="4"/>
      <c r="AD875" s="4"/>
      <c r="AE875" s="4"/>
    </row>
    <row r="876" ht="13.5" customHeight="1" spans="1:31" x14ac:dyDescent="0.25">
      <c r="A876" s="1"/>
      <c r="B876" s="4"/>
      <c r="C876" s="4"/>
      <c r="D876" s="4"/>
      <c r="E876" s="4"/>
      <c r="F876" s="4"/>
      <c r="G876" s="4"/>
      <c r="H876" s="4"/>
      <c r="I876" s="4"/>
      <c r="J876" s="4"/>
      <c r="K876" s="4"/>
      <c r="L876" s="4"/>
      <c r="M876" s="4"/>
      <c r="N876" s="4"/>
      <c r="O876" s="4"/>
      <c r="P876" s="4"/>
      <c r="Q876" s="4"/>
      <c r="R876" s="4"/>
      <c r="S876" s="4"/>
      <c r="T876" s="4"/>
      <c r="U876" s="4"/>
      <c r="V876" s="4"/>
      <c r="W876" s="4"/>
      <c r="X876" s="4"/>
      <c r="Y876" s="4"/>
      <c r="Z876" s="4"/>
      <c r="AA876" s="4"/>
      <c r="AB876" s="4"/>
      <c r="AC876" s="4"/>
      <c r="AD876" s="4"/>
      <c r="AE876" s="4"/>
    </row>
    <row r="877" ht="13.5" customHeight="1" spans="1:31" x14ac:dyDescent="0.25">
      <c r="A877" s="1"/>
      <c r="B877" s="4"/>
      <c r="C877" s="4"/>
      <c r="D877" s="4"/>
      <c r="E877" s="4"/>
      <c r="F877" s="4"/>
      <c r="G877" s="4"/>
      <c r="H877" s="4"/>
      <c r="I877" s="4"/>
      <c r="J877" s="4"/>
      <c r="K877" s="4"/>
      <c r="L877" s="4"/>
      <c r="M877" s="4"/>
      <c r="N877" s="4"/>
      <c r="O877" s="4"/>
      <c r="P877" s="4"/>
      <c r="Q877" s="4"/>
      <c r="R877" s="4"/>
      <c r="S877" s="4"/>
      <c r="T877" s="4"/>
      <c r="U877" s="4"/>
      <c r="V877" s="4"/>
      <c r="W877" s="4"/>
      <c r="X877" s="4"/>
      <c r="Y877" s="4"/>
      <c r="Z877" s="4"/>
      <c r="AA877" s="4"/>
      <c r="AB877" s="4"/>
      <c r="AC877" s="4"/>
      <c r="AD877" s="4"/>
      <c r="AE877" s="4"/>
    </row>
    <row r="878" ht="13.5" customHeight="1" spans="1:31" x14ac:dyDescent="0.25">
      <c r="A878" s="1"/>
      <c r="B878" s="4"/>
      <c r="C878" s="4"/>
      <c r="D878" s="4"/>
      <c r="E878" s="4"/>
      <c r="F878" s="4"/>
      <c r="G878" s="4"/>
      <c r="H878" s="4"/>
      <c r="I878" s="4"/>
      <c r="J878" s="4"/>
      <c r="K878" s="4"/>
      <c r="L878" s="4"/>
      <c r="M878" s="4"/>
      <c r="N878" s="4"/>
      <c r="O878" s="4"/>
      <c r="P878" s="4"/>
      <c r="Q878" s="4"/>
      <c r="R878" s="4"/>
      <c r="S878" s="4"/>
      <c r="T878" s="4"/>
      <c r="U878" s="4"/>
      <c r="V878" s="4"/>
      <c r="W878" s="4"/>
      <c r="X878" s="4"/>
      <c r="Y878" s="4"/>
      <c r="Z878" s="4"/>
      <c r="AA878" s="4"/>
      <c r="AB878" s="4"/>
      <c r="AC878" s="4"/>
      <c r="AD878" s="4"/>
      <c r="AE878" s="4"/>
    </row>
    <row r="879" ht="13.5" customHeight="1" spans="1:31" x14ac:dyDescent="0.25">
      <c r="A879" s="1"/>
      <c r="B879" s="4"/>
      <c r="C879" s="4"/>
      <c r="D879" s="4"/>
      <c r="E879" s="4"/>
      <c r="F879" s="4"/>
      <c r="G879" s="4"/>
      <c r="H879" s="4"/>
      <c r="I879" s="4"/>
      <c r="J879" s="4"/>
      <c r="K879" s="4"/>
      <c r="L879" s="4"/>
      <c r="M879" s="4"/>
      <c r="N879" s="4"/>
      <c r="O879" s="4"/>
      <c r="P879" s="4"/>
      <c r="Q879" s="4"/>
      <c r="R879" s="4"/>
      <c r="S879" s="4"/>
      <c r="T879" s="4"/>
      <c r="U879" s="4"/>
      <c r="V879" s="4"/>
      <c r="W879" s="4"/>
      <c r="X879" s="4"/>
      <c r="Y879" s="4"/>
      <c r="Z879" s="4"/>
      <c r="AA879" s="4"/>
      <c r="AB879" s="4"/>
      <c r="AC879" s="4"/>
      <c r="AD879" s="4"/>
      <c r="AE879" s="4"/>
    </row>
    <row r="880" ht="13.5" customHeight="1" spans="1:31" x14ac:dyDescent="0.25">
      <c r="A880" s="1"/>
      <c r="B880" s="4"/>
      <c r="C880" s="4"/>
      <c r="D880" s="4"/>
      <c r="E880" s="4"/>
      <c r="F880" s="4"/>
      <c r="G880" s="4"/>
      <c r="H880" s="4"/>
      <c r="I880" s="4"/>
      <c r="J880" s="4"/>
      <c r="K880" s="4"/>
      <c r="L880" s="4"/>
      <c r="M880" s="4"/>
      <c r="N880" s="4"/>
      <c r="O880" s="4"/>
      <c r="P880" s="4"/>
      <c r="Q880" s="4"/>
      <c r="R880" s="4"/>
      <c r="S880" s="4"/>
      <c r="T880" s="4"/>
      <c r="U880" s="4"/>
      <c r="V880" s="4"/>
      <c r="W880" s="4"/>
      <c r="X880" s="4"/>
      <c r="Y880" s="4"/>
      <c r="Z880" s="4"/>
      <c r="AA880" s="4"/>
      <c r="AB880" s="4"/>
      <c r="AC880" s="4"/>
      <c r="AD880" s="4"/>
      <c r="AE880" s="4"/>
    </row>
    <row r="881" ht="13.5" customHeight="1" spans="1:31" x14ac:dyDescent="0.25">
      <c r="A881" s="1"/>
      <c r="B881" s="4"/>
      <c r="C881" s="4"/>
      <c r="D881" s="4"/>
      <c r="E881" s="4"/>
      <c r="F881" s="4"/>
      <c r="G881" s="4"/>
      <c r="H881" s="4"/>
      <c r="I881" s="4"/>
      <c r="J881" s="4"/>
      <c r="K881" s="4"/>
      <c r="L881" s="4"/>
      <c r="M881" s="4"/>
      <c r="N881" s="4"/>
      <c r="O881" s="4"/>
      <c r="P881" s="4"/>
      <c r="Q881" s="4"/>
      <c r="R881" s="4"/>
      <c r="S881" s="4"/>
      <c r="T881" s="4"/>
      <c r="U881" s="4"/>
      <c r="V881" s="4"/>
      <c r="W881" s="4"/>
      <c r="X881" s="4"/>
      <c r="Y881" s="4"/>
      <c r="Z881" s="4"/>
      <c r="AA881" s="4"/>
      <c r="AB881" s="4"/>
      <c r="AC881" s="4"/>
      <c r="AD881" s="4"/>
      <c r="AE881" s="4"/>
    </row>
    <row r="882" ht="13.5" customHeight="1" spans="1:31" x14ac:dyDescent="0.25">
      <c r="A882" s="1"/>
      <c r="B882" s="4"/>
      <c r="C882" s="4"/>
      <c r="D882" s="4"/>
      <c r="E882" s="4"/>
      <c r="F882" s="4"/>
      <c r="G882" s="4"/>
      <c r="H882" s="4"/>
      <c r="I882" s="4"/>
      <c r="J882" s="4"/>
      <c r="K882" s="4"/>
      <c r="L882" s="4"/>
      <c r="M882" s="4"/>
      <c r="N882" s="4"/>
      <c r="O882" s="4"/>
      <c r="P882" s="4"/>
      <c r="Q882" s="4"/>
      <c r="R882" s="4"/>
      <c r="S882" s="4"/>
      <c r="T882" s="4"/>
      <c r="U882" s="4"/>
      <c r="V882" s="4"/>
      <c r="W882" s="4"/>
      <c r="X882" s="4"/>
      <c r="Y882" s="4"/>
      <c r="Z882" s="4"/>
      <c r="AA882" s="4"/>
      <c r="AB882" s="4"/>
      <c r="AC882" s="4"/>
      <c r="AD882" s="4"/>
      <c r="AE882" s="4"/>
    </row>
    <row r="883" ht="13.5" customHeight="1" spans="1:31" x14ac:dyDescent="0.25">
      <c r="A883" s="1"/>
      <c r="B883" s="4"/>
      <c r="C883" s="4"/>
      <c r="D883" s="4"/>
      <c r="E883" s="4"/>
      <c r="F883" s="4"/>
      <c r="G883" s="4"/>
      <c r="H883" s="4"/>
      <c r="I883" s="4"/>
      <c r="J883" s="4"/>
      <c r="K883" s="4"/>
      <c r="L883" s="4"/>
      <c r="M883" s="4"/>
      <c r="N883" s="4"/>
      <c r="O883" s="4"/>
      <c r="P883" s="4"/>
      <c r="Q883" s="4"/>
      <c r="R883" s="4"/>
      <c r="S883" s="4"/>
      <c r="T883" s="4"/>
      <c r="U883" s="4"/>
      <c r="V883" s="4"/>
      <c r="W883" s="4"/>
      <c r="X883" s="4"/>
      <c r="Y883" s="4"/>
      <c r="Z883" s="4"/>
      <c r="AA883" s="4"/>
      <c r="AB883" s="4"/>
      <c r="AC883" s="4"/>
      <c r="AD883" s="4"/>
      <c r="AE883" s="4"/>
    </row>
    <row r="884" ht="13.5" customHeight="1" spans="1:31" x14ac:dyDescent="0.25">
      <c r="A884" s="1"/>
      <c r="B884" s="4"/>
      <c r="C884" s="4"/>
      <c r="D884" s="4"/>
      <c r="E884" s="4"/>
      <c r="F884" s="4"/>
      <c r="G884" s="4"/>
      <c r="H884" s="4"/>
      <c r="I884" s="4"/>
      <c r="J884" s="4"/>
      <c r="K884" s="4"/>
      <c r="L884" s="4"/>
      <c r="M884" s="4"/>
      <c r="N884" s="4"/>
      <c r="O884" s="4"/>
      <c r="P884" s="4"/>
      <c r="Q884" s="4"/>
      <c r="R884" s="4"/>
      <c r="S884" s="4"/>
      <c r="T884" s="4"/>
      <c r="U884" s="4"/>
      <c r="V884" s="4"/>
      <c r="W884" s="4"/>
      <c r="X884" s="4"/>
      <c r="Y884" s="4"/>
      <c r="Z884" s="4"/>
      <c r="AA884" s="4"/>
      <c r="AB884" s="4"/>
      <c r="AC884" s="4"/>
      <c r="AD884" s="4"/>
      <c r="AE884" s="4"/>
    </row>
    <row r="885" ht="13.5" customHeight="1" spans="1:31" x14ac:dyDescent="0.25">
      <c r="A885" s="1"/>
      <c r="B885" s="4"/>
      <c r="C885" s="4"/>
      <c r="D885" s="4"/>
      <c r="E885" s="4"/>
      <c r="F885" s="4"/>
      <c r="G885" s="4"/>
      <c r="H885" s="4"/>
      <c r="I885" s="4"/>
      <c r="J885" s="4"/>
      <c r="K885" s="4"/>
      <c r="L885" s="4"/>
      <c r="M885" s="4"/>
      <c r="N885" s="4"/>
      <c r="O885" s="4"/>
      <c r="P885" s="4"/>
      <c r="Q885" s="4"/>
      <c r="R885" s="4"/>
      <c r="S885" s="4"/>
      <c r="T885" s="4"/>
      <c r="U885" s="4"/>
      <c r="V885" s="4"/>
      <c r="W885" s="4"/>
      <c r="X885" s="4"/>
      <c r="Y885" s="4"/>
      <c r="Z885" s="4"/>
      <c r="AA885" s="4"/>
      <c r="AB885" s="4"/>
      <c r="AC885" s="4"/>
      <c r="AD885" s="4"/>
      <c r="AE885" s="4"/>
    </row>
    <row r="886" ht="13.5" customHeight="1" spans="1:31" x14ac:dyDescent="0.25">
      <c r="A886" s="1"/>
      <c r="B886" s="4"/>
      <c r="C886" s="4"/>
      <c r="D886" s="4"/>
      <c r="E886" s="4"/>
      <c r="F886" s="4"/>
      <c r="G886" s="4"/>
      <c r="H886" s="4"/>
      <c r="I886" s="4"/>
      <c r="J886" s="4"/>
      <c r="K886" s="4"/>
      <c r="L886" s="4"/>
      <c r="M886" s="4"/>
      <c r="N886" s="4"/>
      <c r="O886" s="4"/>
      <c r="P886" s="4"/>
      <c r="Q886" s="4"/>
      <c r="R886" s="4"/>
      <c r="S886" s="4"/>
      <c r="T886" s="4"/>
      <c r="U886" s="4"/>
      <c r="V886" s="4"/>
      <c r="W886" s="4"/>
      <c r="X886" s="4"/>
      <c r="Y886" s="4"/>
      <c r="Z886" s="4"/>
      <c r="AA886" s="4"/>
      <c r="AB886" s="4"/>
      <c r="AC886" s="4"/>
      <c r="AD886" s="4"/>
      <c r="AE886" s="4"/>
    </row>
    <row r="887" ht="13.5" customHeight="1" spans="1:31" x14ac:dyDescent="0.25">
      <c r="A887" s="1"/>
      <c r="B887" s="4"/>
      <c r="C887" s="4"/>
      <c r="D887" s="4"/>
      <c r="E887" s="4"/>
      <c r="F887" s="4"/>
      <c r="G887" s="4"/>
      <c r="H887" s="4"/>
      <c r="I887" s="4"/>
      <c r="J887" s="4"/>
      <c r="K887" s="4"/>
      <c r="L887" s="4"/>
      <c r="M887" s="4"/>
      <c r="N887" s="4"/>
      <c r="O887" s="4"/>
      <c r="P887" s="4"/>
      <c r="Q887" s="4"/>
      <c r="R887" s="4"/>
      <c r="S887" s="4"/>
      <c r="T887" s="4"/>
      <c r="U887" s="4"/>
      <c r="V887" s="4"/>
      <c r="W887" s="4"/>
      <c r="X887" s="4"/>
      <c r="Y887" s="4"/>
      <c r="Z887" s="4"/>
      <c r="AA887" s="4"/>
      <c r="AB887" s="4"/>
      <c r="AC887" s="4"/>
      <c r="AD887" s="4"/>
      <c r="AE887" s="4"/>
    </row>
    <row r="888" ht="13.5" customHeight="1" spans="1:31" x14ac:dyDescent="0.25">
      <c r="A888" s="1"/>
      <c r="B888" s="4"/>
      <c r="C888" s="4"/>
      <c r="D888" s="4"/>
      <c r="E888" s="4"/>
      <c r="F888" s="4"/>
      <c r="G888" s="4"/>
      <c r="H888" s="4"/>
      <c r="I888" s="4"/>
      <c r="J888" s="4"/>
      <c r="K888" s="4"/>
      <c r="L888" s="4"/>
      <c r="M888" s="4"/>
      <c r="N888" s="4"/>
      <c r="O888" s="4"/>
      <c r="P888" s="4"/>
      <c r="Q888" s="4"/>
      <c r="R888" s="4"/>
      <c r="S888" s="4"/>
      <c r="T888" s="4"/>
      <c r="U888" s="4"/>
      <c r="V888" s="4"/>
      <c r="W888" s="4"/>
      <c r="X888" s="4"/>
      <c r="Y888" s="4"/>
      <c r="Z888" s="4"/>
      <c r="AA888" s="4"/>
      <c r="AB888" s="4"/>
      <c r="AC888" s="4"/>
      <c r="AD888" s="4"/>
      <c r="AE888" s="4"/>
    </row>
    <row r="889" ht="13.5" customHeight="1" spans="1:31" x14ac:dyDescent="0.25">
      <c r="A889" s="1"/>
      <c r="B889" s="4"/>
      <c r="C889" s="4"/>
      <c r="D889" s="4"/>
      <c r="E889" s="4"/>
      <c r="F889" s="4"/>
      <c r="G889" s="4"/>
      <c r="H889" s="4"/>
      <c r="I889" s="4"/>
      <c r="J889" s="4"/>
      <c r="K889" s="4"/>
      <c r="L889" s="4"/>
      <c r="M889" s="4"/>
      <c r="N889" s="4"/>
      <c r="O889" s="4"/>
      <c r="P889" s="4"/>
      <c r="Q889" s="4"/>
      <c r="R889" s="4"/>
      <c r="S889" s="4"/>
      <c r="T889" s="4"/>
      <c r="U889" s="4"/>
      <c r="V889" s="4"/>
      <c r="W889" s="4"/>
      <c r="X889" s="4"/>
      <c r="Y889" s="4"/>
      <c r="Z889" s="4"/>
      <c r="AA889" s="4"/>
      <c r="AB889" s="4"/>
      <c r="AC889" s="4"/>
      <c r="AD889" s="4"/>
      <c r="AE889" s="4"/>
    </row>
    <row r="890" ht="13.5" customHeight="1" spans="1:31" x14ac:dyDescent="0.25">
      <c r="A890" s="1"/>
      <c r="B890" s="4"/>
      <c r="C890" s="4"/>
      <c r="D890" s="4"/>
      <c r="E890" s="4"/>
      <c r="F890" s="4"/>
      <c r="G890" s="4"/>
      <c r="H890" s="4"/>
      <c r="I890" s="4"/>
      <c r="J890" s="4"/>
      <c r="K890" s="4"/>
      <c r="L890" s="4"/>
      <c r="M890" s="4"/>
      <c r="N890" s="4"/>
      <c r="O890" s="4"/>
      <c r="P890" s="4"/>
      <c r="Q890" s="4"/>
      <c r="R890" s="4"/>
      <c r="S890" s="4"/>
      <c r="T890" s="4"/>
      <c r="U890" s="4"/>
      <c r="V890" s="4"/>
      <c r="W890" s="4"/>
      <c r="X890" s="4"/>
      <c r="Y890" s="4"/>
      <c r="Z890" s="4"/>
      <c r="AA890" s="4"/>
      <c r="AB890" s="4"/>
      <c r="AC890" s="4"/>
      <c r="AD890" s="4"/>
      <c r="AE890" s="4"/>
    </row>
    <row r="891" ht="13.5" customHeight="1" spans="1:31" x14ac:dyDescent="0.25">
      <c r="A891" s="1"/>
      <c r="B891" s="4"/>
      <c r="C891" s="4"/>
      <c r="D891" s="4"/>
      <c r="E891" s="4"/>
      <c r="F891" s="4"/>
      <c r="G891" s="4"/>
      <c r="H891" s="4"/>
      <c r="I891" s="4"/>
      <c r="J891" s="4"/>
      <c r="K891" s="4"/>
      <c r="L891" s="4"/>
      <c r="M891" s="4"/>
      <c r="N891" s="4"/>
      <c r="O891" s="4"/>
      <c r="P891" s="4"/>
      <c r="Q891" s="4"/>
      <c r="R891" s="4"/>
      <c r="S891" s="4"/>
      <c r="T891" s="4"/>
      <c r="U891" s="4"/>
      <c r="V891" s="4"/>
      <c r="W891" s="4"/>
      <c r="X891" s="4"/>
      <c r="Y891" s="4"/>
      <c r="Z891" s="4"/>
      <c r="AA891" s="4"/>
      <c r="AB891" s="4"/>
      <c r="AC891" s="4"/>
      <c r="AD891" s="4"/>
      <c r="AE891" s="4"/>
    </row>
    <row r="892" ht="13.5" customHeight="1" spans="1:31" x14ac:dyDescent="0.25">
      <c r="A892" s="1"/>
      <c r="B892" s="4"/>
      <c r="C892" s="4"/>
      <c r="D892" s="4"/>
      <c r="E892" s="4"/>
      <c r="F892" s="4"/>
      <c r="G892" s="4"/>
      <c r="H892" s="4"/>
      <c r="I892" s="4"/>
      <c r="J892" s="4"/>
      <c r="K892" s="4"/>
      <c r="L892" s="4"/>
      <c r="M892" s="4"/>
      <c r="N892" s="4"/>
      <c r="O892" s="4"/>
      <c r="P892" s="4"/>
      <c r="Q892" s="4"/>
      <c r="R892" s="4"/>
      <c r="S892" s="4"/>
      <c r="T892" s="4"/>
      <c r="U892" s="4"/>
      <c r="V892" s="4"/>
      <c r="W892" s="4"/>
      <c r="X892" s="4"/>
      <c r="Y892" s="4"/>
      <c r="Z892" s="4"/>
      <c r="AA892" s="4"/>
      <c r="AB892" s="4"/>
      <c r="AC892" s="4"/>
      <c r="AD892" s="4"/>
      <c r="AE892" s="4"/>
    </row>
    <row r="893" ht="13.5" customHeight="1" spans="1:31" x14ac:dyDescent="0.25">
      <c r="A893" s="1"/>
      <c r="B893" s="4"/>
      <c r="C893" s="4"/>
      <c r="D893" s="4"/>
      <c r="E893" s="4"/>
      <c r="F893" s="4"/>
      <c r="G893" s="4"/>
      <c r="H893" s="4"/>
      <c r="I893" s="4"/>
      <c r="J893" s="4"/>
      <c r="K893" s="4"/>
      <c r="L893" s="4"/>
      <c r="M893" s="4"/>
      <c r="N893" s="4"/>
      <c r="O893" s="4"/>
      <c r="P893" s="4"/>
      <c r="Q893" s="4"/>
      <c r="R893" s="4"/>
      <c r="S893" s="4"/>
      <c r="T893" s="4"/>
      <c r="U893" s="4"/>
      <c r="V893" s="4"/>
      <c r="W893" s="4"/>
      <c r="X893" s="4"/>
      <c r="Y893" s="4"/>
      <c r="Z893" s="4"/>
      <c r="AA893" s="4"/>
      <c r="AB893" s="4"/>
      <c r="AC893" s="4"/>
      <c r="AD893" s="4"/>
      <c r="AE893" s="4"/>
    </row>
    <row r="894" ht="13.5" customHeight="1" spans="1:31" x14ac:dyDescent="0.25">
      <c r="A894" s="1"/>
      <c r="B894" s="4"/>
      <c r="C894" s="4"/>
      <c r="D894" s="4"/>
      <c r="E894" s="4"/>
      <c r="F894" s="4"/>
      <c r="G894" s="4"/>
      <c r="H894" s="4"/>
      <c r="I894" s="4"/>
      <c r="J894" s="4"/>
      <c r="K894" s="4"/>
      <c r="L894" s="4"/>
      <c r="M894" s="4"/>
      <c r="N894" s="4"/>
      <c r="O894" s="4"/>
      <c r="P894" s="4"/>
      <c r="Q894" s="4"/>
      <c r="R894" s="4"/>
      <c r="S894" s="4"/>
      <c r="T894" s="4"/>
      <c r="U894" s="4"/>
      <c r="V894" s="4"/>
      <c r="W894" s="4"/>
      <c r="X894" s="4"/>
      <c r="Y894" s="4"/>
      <c r="Z894" s="4"/>
      <c r="AA894" s="4"/>
      <c r="AB894" s="4"/>
      <c r="AC894" s="4"/>
      <c r="AD894" s="4"/>
      <c r="AE894" s="4"/>
    </row>
    <row r="895" ht="13.5" customHeight="1" spans="1:31" x14ac:dyDescent="0.25">
      <c r="A895" s="1"/>
      <c r="B895" s="4"/>
      <c r="C895" s="4"/>
      <c r="D895" s="4"/>
      <c r="E895" s="4"/>
      <c r="F895" s="4"/>
      <c r="G895" s="4"/>
      <c r="H895" s="4"/>
      <c r="I895" s="4"/>
      <c r="J895" s="4"/>
      <c r="K895" s="4"/>
      <c r="L895" s="4"/>
      <c r="M895" s="4"/>
      <c r="N895" s="4"/>
      <c r="O895" s="4"/>
      <c r="P895" s="4"/>
      <c r="Q895" s="4"/>
      <c r="R895" s="4"/>
      <c r="S895" s="4"/>
      <c r="T895" s="4"/>
      <c r="U895" s="4"/>
      <c r="V895" s="4"/>
      <c r="W895" s="4"/>
      <c r="X895" s="4"/>
      <c r="Y895" s="4"/>
      <c r="Z895" s="4"/>
      <c r="AA895" s="4"/>
      <c r="AB895" s="4"/>
      <c r="AC895" s="4"/>
      <c r="AD895" s="4"/>
      <c r="AE895" s="4"/>
    </row>
    <row r="896" ht="13.5" customHeight="1" spans="1:31" x14ac:dyDescent="0.25">
      <c r="A896" s="1"/>
      <c r="B896" s="4"/>
      <c r="C896" s="4"/>
      <c r="D896" s="4"/>
      <c r="E896" s="4"/>
      <c r="F896" s="4"/>
      <c r="G896" s="4"/>
      <c r="H896" s="4"/>
      <c r="I896" s="4"/>
      <c r="J896" s="4"/>
      <c r="K896" s="4"/>
      <c r="L896" s="4"/>
      <c r="M896" s="4"/>
      <c r="N896" s="4"/>
      <c r="O896" s="4"/>
      <c r="P896" s="4"/>
      <c r="Q896" s="4"/>
      <c r="R896" s="4"/>
      <c r="S896" s="4"/>
      <c r="T896" s="4"/>
      <c r="U896" s="4"/>
      <c r="V896" s="4"/>
      <c r="W896" s="4"/>
      <c r="X896" s="4"/>
      <c r="Y896" s="4"/>
      <c r="Z896" s="4"/>
      <c r="AA896" s="4"/>
      <c r="AB896" s="4"/>
      <c r="AC896" s="4"/>
      <c r="AD896" s="4"/>
      <c r="AE896" s="4"/>
    </row>
    <row r="897" ht="13.5" customHeight="1" spans="1:31" x14ac:dyDescent="0.25">
      <c r="A897" s="1"/>
      <c r="B897" s="4"/>
      <c r="C897" s="4"/>
      <c r="D897" s="4"/>
      <c r="E897" s="4"/>
      <c r="F897" s="4"/>
      <c r="G897" s="4"/>
      <c r="H897" s="4"/>
      <c r="I897" s="4"/>
      <c r="J897" s="4"/>
      <c r="K897" s="4"/>
      <c r="L897" s="4"/>
      <c r="M897" s="4"/>
      <c r="N897" s="4"/>
      <c r="O897" s="4"/>
      <c r="P897" s="4"/>
      <c r="Q897" s="4"/>
      <c r="R897" s="4"/>
      <c r="S897" s="4"/>
      <c r="T897" s="4"/>
      <c r="U897" s="4"/>
      <c r="V897" s="4"/>
      <c r="W897" s="4"/>
      <c r="X897" s="4"/>
      <c r="Y897" s="4"/>
      <c r="Z897" s="4"/>
      <c r="AA897" s="4"/>
      <c r="AB897" s="4"/>
      <c r="AC897" s="4"/>
      <c r="AD897" s="4"/>
      <c r="AE897" s="4"/>
    </row>
    <row r="898" ht="13.5" customHeight="1" spans="1:31" x14ac:dyDescent="0.25">
      <c r="A898" s="1"/>
      <c r="B898" s="4"/>
      <c r="C898" s="4"/>
      <c r="D898" s="4"/>
      <c r="E898" s="4"/>
      <c r="F898" s="4"/>
      <c r="G898" s="4"/>
      <c r="H898" s="4"/>
      <c r="I898" s="4"/>
      <c r="J898" s="4"/>
      <c r="K898" s="4"/>
      <c r="L898" s="4"/>
      <c r="M898" s="4"/>
      <c r="N898" s="4"/>
      <c r="O898" s="4"/>
      <c r="P898" s="4"/>
      <c r="Q898" s="4"/>
      <c r="R898" s="4"/>
      <c r="S898" s="4"/>
      <c r="T898" s="4"/>
      <c r="U898" s="4"/>
      <c r="V898" s="4"/>
      <c r="W898" s="4"/>
      <c r="X898" s="4"/>
      <c r="Y898" s="4"/>
      <c r="Z898" s="4"/>
      <c r="AA898" s="4"/>
      <c r="AB898" s="4"/>
      <c r="AC898" s="4"/>
      <c r="AD898" s="4"/>
      <c r="AE898" s="4"/>
    </row>
    <row r="899" ht="13.5" customHeight="1" spans="1:31" x14ac:dyDescent="0.25">
      <c r="A899" s="1"/>
      <c r="B899" s="4"/>
      <c r="C899" s="4"/>
      <c r="D899" s="4"/>
      <c r="E899" s="4"/>
      <c r="F899" s="4"/>
      <c r="G899" s="4"/>
      <c r="H899" s="4"/>
      <c r="I899" s="4"/>
      <c r="J899" s="4"/>
      <c r="K899" s="4"/>
      <c r="L899" s="4"/>
      <c r="M899" s="4"/>
      <c r="N899" s="4"/>
      <c r="O899" s="4"/>
      <c r="P899" s="4"/>
      <c r="Q899" s="4"/>
      <c r="R899" s="4"/>
      <c r="S899" s="4"/>
      <c r="T899" s="4"/>
      <c r="U899" s="4"/>
      <c r="V899" s="4"/>
      <c r="W899" s="4"/>
      <c r="X899" s="4"/>
      <c r="Y899" s="4"/>
      <c r="Z899" s="4"/>
      <c r="AA899" s="4"/>
      <c r="AB899" s="4"/>
      <c r="AC899" s="4"/>
      <c r="AD899" s="4"/>
      <c r="AE899" s="4"/>
    </row>
    <row r="900" ht="13.5" customHeight="1" spans="1:31" x14ac:dyDescent="0.25">
      <c r="A900" s="1"/>
      <c r="B900" s="4"/>
      <c r="C900" s="4"/>
      <c r="D900" s="4"/>
      <c r="E900" s="4"/>
      <c r="F900" s="4"/>
      <c r="G900" s="4"/>
      <c r="H900" s="4"/>
      <c r="I900" s="4"/>
      <c r="J900" s="4"/>
      <c r="K900" s="4"/>
      <c r="L900" s="4"/>
      <c r="M900" s="4"/>
      <c r="N900" s="4"/>
      <c r="O900" s="4"/>
      <c r="P900" s="4"/>
      <c r="Q900" s="4"/>
      <c r="R900" s="4"/>
      <c r="S900" s="4"/>
      <c r="T900" s="4"/>
      <c r="U900" s="4"/>
      <c r="V900" s="4"/>
      <c r="W900" s="4"/>
      <c r="X900" s="4"/>
      <c r="Y900" s="4"/>
      <c r="Z900" s="4"/>
      <c r="AA900" s="4"/>
      <c r="AB900" s="4"/>
      <c r="AC900" s="4"/>
      <c r="AD900" s="4"/>
      <c r="AE900" s="4"/>
    </row>
    <row r="901" ht="13.5" customHeight="1" spans="1:31" x14ac:dyDescent="0.25">
      <c r="A901" s="1"/>
      <c r="B901" s="4"/>
      <c r="C901" s="4"/>
      <c r="D901" s="4"/>
      <c r="E901" s="4"/>
      <c r="F901" s="4"/>
      <c r="G901" s="4"/>
      <c r="H901" s="4"/>
      <c r="I901" s="4"/>
      <c r="J901" s="4"/>
      <c r="K901" s="4"/>
      <c r="L901" s="4"/>
      <c r="M901" s="4"/>
      <c r="N901" s="4"/>
      <c r="O901" s="4"/>
      <c r="P901" s="4"/>
      <c r="Q901" s="4"/>
      <c r="R901" s="4"/>
      <c r="S901" s="4"/>
      <c r="T901" s="4"/>
      <c r="U901" s="4"/>
      <c r="V901" s="4"/>
      <c r="W901" s="4"/>
      <c r="X901" s="4"/>
      <c r="Y901" s="4"/>
      <c r="Z901" s="4"/>
      <c r="AA901" s="4"/>
      <c r="AB901" s="4"/>
      <c r="AC901" s="4"/>
      <c r="AD901" s="4"/>
      <c r="AE901" s="4"/>
    </row>
    <row r="902" ht="13.5" customHeight="1" spans="1:31" x14ac:dyDescent="0.25">
      <c r="A902" s="1"/>
      <c r="B902" s="4"/>
      <c r="C902" s="4"/>
      <c r="D902" s="4"/>
      <c r="E902" s="4"/>
      <c r="F902" s="4"/>
      <c r="G902" s="4"/>
      <c r="H902" s="4"/>
      <c r="I902" s="4"/>
      <c r="J902" s="4"/>
      <c r="K902" s="4"/>
      <c r="L902" s="4"/>
      <c r="M902" s="4"/>
      <c r="N902" s="4"/>
      <c r="O902" s="4"/>
      <c r="P902" s="4"/>
      <c r="Q902" s="4"/>
      <c r="R902" s="4"/>
      <c r="S902" s="4"/>
      <c r="T902" s="4"/>
      <c r="U902" s="4"/>
      <c r="V902" s="4"/>
      <c r="W902" s="4"/>
      <c r="X902" s="4"/>
      <c r="Y902" s="4"/>
      <c r="Z902" s="4"/>
      <c r="AA902" s="4"/>
      <c r="AB902" s="4"/>
      <c r="AC902" s="4"/>
      <c r="AD902" s="4"/>
      <c r="AE902" s="4"/>
    </row>
    <row r="903" ht="13.5" customHeight="1" spans="1:31" x14ac:dyDescent="0.25">
      <c r="A903" s="1"/>
      <c r="B903" s="4"/>
      <c r="C903" s="4"/>
      <c r="D903" s="4"/>
      <c r="E903" s="4"/>
      <c r="F903" s="4"/>
      <c r="G903" s="4"/>
      <c r="H903" s="4"/>
      <c r="I903" s="4"/>
      <c r="J903" s="4"/>
      <c r="K903" s="4"/>
      <c r="L903" s="4"/>
      <c r="M903" s="4"/>
      <c r="N903" s="4"/>
      <c r="O903" s="4"/>
      <c r="P903" s="4"/>
      <c r="Q903" s="4"/>
      <c r="R903" s="4"/>
      <c r="S903" s="4"/>
      <c r="T903" s="4"/>
      <c r="U903" s="4"/>
      <c r="V903" s="4"/>
      <c r="W903" s="4"/>
      <c r="X903" s="4"/>
      <c r="Y903" s="4"/>
      <c r="Z903" s="4"/>
      <c r="AA903" s="4"/>
      <c r="AB903" s="4"/>
      <c r="AC903" s="4"/>
      <c r="AD903" s="4"/>
      <c r="AE903" s="4"/>
    </row>
    <row r="904" ht="13.5" customHeight="1" spans="1:31" x14ac:dyDescent="0.25">
      <c r="A904" s="1"/>
      <c r="B904" s="4"/>
      <c r="C904" s="4"/>
      <c r="D904" s="4"/>
      <c r="E904" s="4"/>
      <c r="F904" s="4"/>
      <c r="G904" s="4"/>
      <c r="H904" s="4"/>
      <c r="I904" s="4"/>
      <c r="J904" s="4"/>
      <c r="K904" s="4"/>
      <c r="L904" s="4"/>
      <c r="M904" s="4"/>
      <c r="N904" s="4"/>
      <c r="O904" s="4"/>
      <c r="P904" s="4"/>
      <c r="Q904" s="4"/>
      <c r="R904" s="4"/>
      <c r="S904" s="4"/>
      <c r="T904" s="4"/>
      <c r="U904" s="4"/>
      <c r="V904" s="4"/>
      <c r="W904" s="4"/>
      <c r="X904" s="4"/>
      <c r="Y904" s="4"/>
      <c r="Z904" s="4"/>
      <c r="AA904" s="4"/>
      <c r="AB904" s="4"/>
      <c r="AC904" s="4"/>
      <c r="AD904" s="4"/>
      <c r="AE904" s="4"/>
    </row>
    <row r="905" ht="13.5" customHeight="1" spans="1:31" x14ac:dyDescent="0.25">
      <c r="A905" s="1"/>
      <c r="B905" s="4"/>
      <c r="C905" s="4"/>
      <c r="D905" s="4"/>
      <c r="E905" s="4"/>
      <c r="F905" s="4"/>
      <c r="G905" s="4"/>
      <c r="H905" s="4"/>
      <c r="I905" s="4"/>
      <c r="J905" s="4"/>
      <c r="K905" s="4"/>
      <c r="L905" s="4"/>
      <c r="M905" s="4"/>
      <c r="N905" s="4"/>
      <c r="O905" s="4"/>
      <c r="P905" s="4"/>
      <c r="Q905" s="4"/>
      <c r="R905" s="4"/>
      <c r="S905" s="4"/>
      <c r="T905" s="4"/>
      <c r="U905" s="4"/>
      <c r="V905" s="4"/>
      <c r="W905" s="4"/>
      <c r="X905" s="4"/>
      <c r="Y905" s="4"/>
      <c r="Z905" s="4"/>
      <c r="AA905" s="4"/>
      <c r="AB905" s="4"/>
      <c r="AC905" s="4"/>
      <c r="AD905" s="4"/>
      <c r="AE905" s="4"/>
    </row>
    <row r="906" ht="13.5" customHeight="1" spans="1:31" x14ac:dyDescent="0.25">
      <c r="A906" s="1"/>
      <c r="B906" s="4"/>
      <c r="C906" s="4"/>
      <c r="D906" s="4"/>
      <c r="E906" s="4"/>
      <c r="F906" s="4"/>
      <c r="G906" s="4"/>
      <c r="H906" s="4"/>
      <c r="I906" s="4"/>
      <c r="J906" s="4"/>
      <c r="K906" s="4"/>
      <c r="L906" s="4"/>
      <c r="M906" s="4"/>
      <c r="N906" s="4"/>
      <c r="O906" s="4"/>
      <c r="P906" s="4"/>
      <c r="Q906" s="4"/>
      <c r="R906" s="4"/>
      <c r="S906" s="4"/>
      <c r="T906" s="4"/>
      <c r="U906" s="4"/>
      <c r="V906" s="4"/>
      <c r="W906" s="4"/>
      <c r="X906" s="4"/>
      <c r="Y906" s="4"/>
      <c r="Z906" s="4"/>
      <c r="AA906" s="4"/>
      <c r="AB906" s="4"/>
      <c r="AC906" s="4"/>
      <c r="AD906" s="4"/>
      <c r="AE906" s="4"/>
    </row>
    <row r="907" ht="13.5" customHeight="1" spans="1:31" x14ac:dyDescent="0.25">
      <c r="A907" s="1"/>
      <c r="B907" s="4"/>
      <c r="C907" s="4"/>
      <c r="D907" s="4"/>
      <c r="E907" s="4"/>
      <c r="F907" s="4"/>
      <c r="G907" s="4"/>
      <c r="H907" s="4"/>
      <c r="I907" s="4"/>
      <c r="J907" s="4"/>
      <c r="K907" s="4"/>
      <c r="L907" s="4"/>
      <c r="M907" s="4"/>
      <c r="N907" s="4"/>
      <c r="O907" s="4"/>
      <c r="P907" s="4"/>
      <c r="Q907" s="4"/>
      <c r="R907" s="4"/>
      <c r="S907" s="4"/>
      <c r="T907" s="4"/>
      <c r="U907" s="4"/>
      <c r="V907" s="4"/>
      <c r="W907" s="4"/>
      <c r="X907" s="4"/>
      <c r="Y907" s="4"/>
      <c r="Z907" s="4"/>
      <c r="AA907" s="4"/>
      <c r="AB907" s="4"/>
      <c r="AC907" s="4"/>
      <c r="AD907" s="4"/>
      <c r="AE907" s="4"/>
    </row>
    <row r="908" ht="13.5" customHeight="1" spans="1:31" x14ac:dyDescent="0.25">
      <c r="A908" s="1"/>
      <c r="B908" s="4"/>
      <c r="C908" s="4"/>
      <c r="D908" s="4"/>
      <c r="E908" s="4"/>
      <c r="F908" s="4"/>
      <c r="G908" s="4"/>
      <c r="H908" s="4"/>
      <c r="I908" s="4"/>
      <c r="J908" s="4"/>
      <c r="K908" s="4"/>
      <c r="L908" s="4"/>
      <c r="M908" s="4"/>
      <c r="N908" s="4"/>
      <c r="O908" s="4"/>
      <c r="P908" s="4"/>
      <c r="Q908" s="4"/>
      <c r="R908" s="4"/>
      <c r="S908" s="4"/>
      <c r="T908" s="4"/>
      <c r="U908" s="4"/>
      <c r="V908" s="4"/>
      <c r="W908" s="4"/>
      <c r="X908" s="4"/>
      <c r="Y908" s="4"/>
      <c r="Z908" s="4"/>
      <c r="AA908" s="4"/>
      <c r="AB908" s="4"/>
      <c r="AC908" s="4"/>
      <c r="AD908" s="4"/>
      <c r="AE908" s="4"/>
    </row>
    <row r="909" ht="13.5" customHeight="1" spans="1:31" x14ac:dyDescent="0.25">
      <c r="A909" s="1"/>
      <c r="B909" s="4"/>
      <c r="C909" s="4"/>
      <c r="D909" s="4"/>
      <c r="E909" s="4"/>
      <c r="F909" s="4"/>
      <c r="G909" s="4"/>
      <c r="H909" s="4"/>
      <c r="I909" s="4"/>
      <c r="J909" s="4"/>
      <c r="K909" s="4"/>
      <c r="L909" s="4"/>
      <c r="M909" s="4"/>
      <c r="N909" s="4"/>
      <c r="O909" s="4"/>
      <c r="P909" s="4"/>
      <c r="Q909" s="4"/>
      <c r="R909" s="4"/>
      <c r="S909" s="4"/>
      <c r="T909" s="4"/>
      <c r="U909" s="4"/>
      <c r="V909" s="4"/>
      <c r="W909" s="4"/>
      <c r="X909" s="4"/>
      <c r="Y909" s="4"/>
      <c r="Z909" s="4"/>
      <c r="AA909" s="4"/>
      <c r="AB909" s="4"/>
      <c r="AC909" s="4"/>
      <c r="AD909" s="4"/>
      <c r="AE909" s="4"/>
    </row>
    <row r="910" ht="13.5" customHeight="1" spans="1:31" x14ac:dyDescent="0.25">
      <c r="A910" s="1"/>
      <c r="B910" s="4"/>
      <c r="C910" s="4"/>
      <c r="D910" s="4"/>
      <c r="E910" s="4"/>
      <c r="F910" s="4"/>
      <c r="G910" s="4"/>
      <c r="H910" s="4"/>
      <c r="I910" s="4"/>
      <c r="J910" s="4"/>
      <c r="K910" s="4"/>
      <c r="L910" s="4"/>
      <c r="M910" s="4"/>
      <c r="N910" s="4"/>
      <c r="O910" s="4"/>
      <c r="P910" s="4"/>
      <c r="Q910" s="4"/>
      <c r="R910" s="4"/>
      <c r="S910" s="4"/>
      <c r="T910" s="4"/>
      <c r="U910" s="4"/>
      <c r="V910" s="4"/>
      <c r="W910" s="4"/>
      <c r="X910" s="4"/>
      <c r="Y910" s="4"/>
      <c r="Z910" s="4"/>
      <c r="AA910" s="4"/>
      <c r="AB910" s="4"/>
      <c r="AC910" s="4"/>
      <c r="AD910" s="4"/>
      <c r="AE910" s="4"/>
    </row>
    <row r="911" ht="13.5" customHeight="1" spans="1:31" x14ac:dyDescent="0.25">
      <c r="A911" s="1"/>
      <c r="B911" s="4"/>
      <c r="C911" s="4"/>
      <c r="D911" s="4"/>
      <c r="E911" s="4"/>
      <c r="F911" s="4"/>
      <c r="G911" s="4"/>
      <c r="H911" s="4"/>
      <c r="I911" s="4"/>
      <c r="J911" s="4"/>
      <c r="K911" s="4"/>
      <c r="L911" s="4"/>
      <c r="M911" s="4"/>
      <c r="N911" s="4"/>
      <c r="O911" s="4"/>
      <c r="P911" s="4"/>
      <c r="Q911" s="4"/>
      <c r="R911" s="4"/>
      <c r="S911" s="4"/>
      <c r="T911" s="4"/>
      <c r="U911" s="4"/>
      <c r="V911" s="4"/>
      <c r="W911" s="4"/>
      <c r="X911" s="4"/>
      <c r="Y911" s="4"/>
      <c r="Z911" s="4"/>
      <c r="AA911" s="4"/>
      <c r="AB911" s="4"/>
      <c r="AC911" s="4"/>
      <c r="AD911" s="4"/>
      <c r="AE911" s="4"/>
    </row>
    <row r="912" ht="13.5" customHeight="1" spans="1:31" x14ac:dyDescent="0.25">
      <c r="A912" s="1"/>
      <c r="B912" s="4"/>
      <c r="C912" s="4"/>
      <c r="D912" s="4"/>
      <c r="E912" s="4"/>
      <c r="F912" s="4"/>
      <c r="G912" s="4"/>
      <c r="H912" s="4"/>
      <c r="I912" s="4"/>
      <c r="J912" s="4"/>
      <c r="K912" s="4"/>
      <c r="L912" s="4"/>
      <c r="M912" s="4"/>
      <c r="N912" s="4"/>
      <c r="O912" s="4"/>
      <c r="P912" s="4"/>
      <c r="Q912" s="4"/>
      <c r="R912" s="4"/>
      <c r="S912" s="4"/>
      <c r="T912" s="4"/>
      <c r="U912" s="4"/>
      <c r="V912" s="4"/>
      <c r="W912" s="4"/>
      <c r="X912" s="4"/>
      <c r="Y912" s="4"/>
      <c r="Z912" s="4"/>
      <c r="AA912" s="4"/>
      <c r="AB912" s="4"/>
      <c r="AC912" s="4"/>
      <c r="AD912" s="4"/>
      <c r="AE912" s="4"/>
    </row>
    <row r="913" ht="13.5" customHeight="1" spans="1:31" x14ac:dyDescent="0.25">
      <c r="A913" s="1"/>
      <c r="B913" s="4"/>
      <c r="C913" s="4"/>
      <c r="D913" s="4"/>
      <c r="E913" s="4"/>
      <c r="F913" s="4"/>
      <c r="G913" s="4"/>
      <c r="H913" s="4"/>
      <c r="I913" s="4"/>
      <c r="J913" s="4"/>
      <c r="K913" s="4"/>
      <c r="L913" s="4"/>
      <c r="M913" s="4"/>
      <c r="N913" s="4"/>
      <c r="O913" s="4"/>
      <c r="P913" s="4"/>
      <c r="Q913" s="4"/>
      <c r="R913" s="4"/>
      <c r="S913" s="4"/>
      <c r="T913" s="4"/>
      <c r="U913" s="4"/>
      <c r="V913" s="4"/>
      <c r="W913" s="4"/>
      <c r="X913" s="4"/>
      <c r="Y913" s="4"/>
      <c r="Z913" s="4"/>
      <c r="AA913" s="4"/>
      <c r="AB913" s="4"/>
      <c r="AC913" s="4"/>
      <c r="AD913" s="4"/>
      <c r="AE913" s="4"/>
    </row>
    <row r="914" ht="13.5" customHeight="1" spans="1:31" x14ac:dyDescent="0.25">
      <c r="A914" s="1"/>
      <c r="B914" s="4"/>
      <c r="C914" s="4"/>
      <c r="D914" s="4"/>
      <c r="E914" s="4"/>
      <c r="F914" s="4"/>
      <c r="G914" s="4"/>
      <c r="H914" s="4"/>
      <c r="I914" s="4"/>
      <c r="J914" s="4"/>
      <c r="K914" s="4"/>
      <c r="L914" s="4"/>
      <c r="M914" s="4"/>
      <c r="N914" s="4"/>
      <c r="O914" s="4"/>
      <c r="P914" s="4"/>
      <c r="Q914" s="4"/>
      <c r="R914" s="4"/>
      <c r="S914" s="4"/>
      <c r="T914" s="4"/>
      <c r="U914" s="4"/>
      <c r="V914" s="4"/>
      <c r="W914" s="4"/>
      <c r="X914" s="4"/>
      <c r="Y914" s="4"/>
      <c r="Z914" s="4"/>
      <c r="AA914" s="4"/>
      <c r="AB914" s="4"/>
      <c r="AC914" s="4"/>
      <c r="AD914" s="4"/>
      <c r="AE914" s="4"/>
    </row>
    <row r="915" ht="13.5" customHeight="1" spans="1:31" x14ac:dyDescent="0.25">
      <c r="A915" s="1"/>
      <c r="B915" s="4"/>
      <c r="C915" s="4"/>
      <c r="D915" s="4"/>
      <c r="E915" s="4"/>
      <c r="F915" s="4"/>
      <c r="G915" s="4"/>
      <c r="H915" s="4"/>
      <c r="I915" s="4"/>
      <c r="J915" s="4"/>
      <c r="K915" s="4"/>
      <c r="L915" s="4"/>
      <c r="M915" s="4"/>
      <c r="N915" s="4"/>
      <c r="O915" s="4"/>
      <c r="P915" s="4"/>
      <c r="Q915" s="4"/>
      <c r="R915" s="4"/>
      <c r="S915" s="4"/>
      <c r="T915" s="4"/>
      <c r="U915" s="4"/>
      <c r="V915" s="4"/>
      <c r="W915" s="4"/>
      <c r="X915" s="4"/>
      <c r="Y915" s="4"/>
      <c r="Z915" s="4"/>
      <c r="AA915" s="4"/>
      <c r="AB915" s="4"/>
      <c r="AC915" s="4"/>
      <c r="AD915" s="4"/>
      <c r="AE915" s="4"/>
    </row>
    <row r="916" ht="13.5" customHeight="1" spans="1:31" x14ac:dyDescent="0.25">
      <c r="A916" s="1"/>
      <c r="B916" s="4"/>
      <c r="C916" s="4"/>
      <c r="D916" s="4"/>
      <c r="E916" s="4"/>
      <c r="F916" s="4"/>
      <c r="G916" s="4"/>
      <c r="H916" s="4"/>
      <c r="I916" s="4"/>
      <c r="J916" s="4"/>
      <c r="K916" s="4"/>
      <c r="L916" s="4"/>
      <c r="M916" s="4"/>
      <c r="N916" s="4"/>
      <c r="O916" s="4"/>
      <c r="P916" s="4"/>
      <c r="Q916" s="4"/>
      <c r="R916" s="4"/>
      <c r="S916" s="4"/>
      <c r="T916" s="4"/>
      <c r="U916" s="4"/>
      <c r="V916" s="4"/>
      <c r="W916" s="4"/>
      <c r="X916" s="4"/>
      <c r="Y916" s="4"/>
      <c r="Z916" s="4"/>
      <c r="AA916" s="4"/>
      <c r="AB916" s="4"/>
      <c r="AC916" s="4"/>
      <c r="AD916" s="4"/>
      <c r="AE916" s="4"/>
    </row>
    <row r="917" ht="13.5" customHeight="1" spans="1:31" x14ac:dyDescent="0.25">
      <c r="A917" s="1"/>
      <c r="B917" s="4"/>
      <c r="C917" s="4"/>
      <c r="D917" s="4"/>
      <c r="E917" s="4"/>
      <c r="F917" s="4"/>
      <c r="G917" s="4"/>
      <c r="H917" s="4"/>
      <c r="I917" s="4"/>
      <c r="J917" s="4"/>
      <c r="K917" s="4"/>
      <c r="L917" s="4"/>
      <c r="M917" s="4"/>
      <c r="N917" s="4"/>
      <c r="O917" s="4"/>
      <c r="P917" s="4"/>
      <c r="Q917" s="4"/>
      <c r="R917" s="4"/>
      <c r="S917" s="4"/>
      <c r="T917" s="4"/>
      <c r="U917" s="4"/>
      <c r="V917" s="4"/>
      <c r="W917" s="4"/>
      <c r="X917" s="4"/>
      <c r="Y917" s="4"/>
      <c r="Z917" s="4"/>
      <c r="AA917" s="4"/>
      <c r="AB917" s="4"/>
      <c r="AC917" s="4"/>
      <c r="AD917" s="4"/>
      <c r="AE917" s="4"/>
    </row>
    <row r="918" ht="13.5" customHeight="1" spans="1:31" x14ac:dyDescent="0.25">
      <c r="A918" s="1"/>
      <c r="B918" s="4"/>
      <c r="C918" s="4"/>
      <c r="D918" s="4"/>
      <c r="E918" s="4"/>
      <c r="F918" s="4"/>
      <c r="G918" s="4"/>
      <c r="H918" s="4"/>
      <c r="I918" s="4"/>
      <c r="J918" s="4"/>
      <c r="K918" s="4"/>
      <c r="L918" s="4"/>
      <c r="M918" s="4"/>
      <c r="N918" s="4"/>
      <c r="O918" s="4"/>
      <c r="P918" s="4"/>
      <c r="Q918" s="4"/>
      <c r="R918" s="4"/>
      <c r="S918" s="4"/>
      <c r="T918" s="4"/>
      <c r="U918" s="4"/>
      <c r="V918" s="4"/>
      <c r="W918" s="4"/>
      <c r="X918" s="4"/>
      <c r="Y918" s="4"/>
      <c r="Z918" s="4"/>
      <c r="AA918" s="4"/>
      <c r="AB918" s="4"/>
      <c r="AC918" s="4"/>
      <c r="AD918" s="4"/>
      <c r="AE918" s="4"/>
    </row>
    <row r="919" ht="13.5" customHeight="1" spans="1:31" x14ac:dyDescent="0.25">
      <c r="A919" s="1"/>
      <c r="B919" s="4"/>
      <c r="C919" s="4"/>
      <c r="D919" s="4"/>
      <c r="E919" s="4"/>
      <c r="F919" s="4"/>
      <c r="G919" s="4"/>
      <c r="H919" s="4"/>
      <c r="I919" s="4"/>
      <c r="J919" s="4"/>
      <c r="K919" s="4"/>
      <c r="L919" s="4"/>
      <c r="M919" s="4"/>
      <c r="N919" s="4"/>
      <c r="O919" s="4"/>
      <c r="P919" s="4"/>
      <c r="Q919" s="4"/>
      <c r="R919" s="4"/>
      <c r="S919" s="4"/>
      <c r="T919" s="4"/>
      <c r="U919" s="4"/>
      <c r="V919" s="4"/>
      <c r="W919" s="4"/>
      <c r="X919" s="4"/>
      <c r="Y919" s="4"/>
      <c r="Z919" s="4"/>
      <c r="AA919" s="4"/>
      <c r="AB919" s="4"/>
      <c r="AC919" s="4"/>
      <c r="AD919" s="4"/>
      <c r="AE919" s="4"/>
    </row>
    <row r="920" ht="13.5" customHeight="1" spans="1:31" x14ac:dyDescent="0.25">
      <c r="A920" s="1"/>
      <c r="B920" s="4"/>
      <c r="C920" s="4"/>
      <c r="D920" s="4"/>
      <c r="E920" s="4"/>
      <c r="F920" s="4"/>
      <c r="G920" s="4"/>
      <c r="H920" s="4"/>
      <c r="I920" s="4"/>
      <c r="J920" s="4"/>
      <c r="K920" s="4"/>
      <c r="L920" s="4"/>
      <c r="M920" s="4"/>
      <c r="N920" s="4"/>
      <c r="O920" s="4"/>
      <c r="P920" s="4"/>
      <c r="Q920" s="4"/>
      <c r="R920" s="4"/>
      <c r="S920" s="4"/>
      <c r="T920" s="4"/>
      <c r="U920" s="4"/>
      <c r="V920" s="4"/>
      <c r="W920" s="4"/>
      <c r="X920" s="4"/>
      <c r="Y920" s="4"/>
      <c r="Z920" s="4"/>
      <c r="AA920" s="4"/>
      <c r="AB920" s="4"/>
      <c r="AC920" s="4"/>
      <c r="AD920" s="4"/>
      <c r="AE920" s="4"/>
    </row>
    <row r="921" ht="13.5" customHeight="1" spans="1:31" x14ac:dyDescent="0.25">
      <c r="A921" s="1"/>
      <c r="B921" s="4"/>
      <c r="C921" s="4"/>
      <c r="D921" s="4"/>
      <c r="E921" s="4"/>
      <c r="F921" s="4"/>
      <c r="G921" s="4"/>
      <c r="H921" s="4"/>
      <c r="I921" s="4"/>
      <c r="J921" s="4"/>
      <c r="K921" s="4"/>
      <c r="L921" s="4"/>
      <c r="M921" s="4"/>
      <c r="N921" s="4"/>
      <c r="O921" s="4"/>
      <c r="P921" s="4"/>
      <c r="Q921" s="4"/>
      <c r="R921" s="4"/>
      <c r="S921" s="4"/>
      <c r="T921" s="4"/>
      <c r="U921" s="4"/>
      <c r="V921" s="4"/>
      <c r="W921" s="4"/>
      <c r="X921" s="4"/>
      <c r="Y921" s="4"/>
      <c r="Z921" s="4"/>
      <c r="AA921" s="4"/>
      <c r="AB921" s="4"/>
      <c r="AC921" s="4"/>
      <c r="AD921" s="4"/>
      <c r="AE921" s="4"/>
    </row>
    <row r="922" ht="13.5" customHeight="1" spans="1:31" x14ac:dyDescent="0.25">
      <c r="A922" s="1"/>
      <c r="B922" s="4"/>
      <c r="C922" s="4"/>
      <c r="D922" s="4"/>
      <c r="E922" s="4"/>
      <c r="F922" s="4"/>
      <c r="G922" s="4"/>
      <c r="H922" s="4"/>
      <c r="I922" s="4"/>
      <c r="J922" s="4"/>
      <c r="K922" s="4"/>
      <c r="L922" s="4"/>
      <c r="M922" s="4"/>
      <c r="N922" s="4"/>
      <c r="O922" s="4"/>
      <c r="P922" s="4"/>
      <c r="Q922" s="4"/>
      <c r="R922" s="4"/>
      <c r="S922" s="4"/>
      <c r="T922" s="4"/>
      <c r="U922" s="4"/>
      <c r="V922" s="4"/>
      <c r="W922" s="4"/>
      <c r="X922" s="4"/>
      <c r="Y922" s="4"/>
      <c r="Z922" s="4"/>
      <c r="AA922" s="4"/>
      <c r="AB922" s="4"/>
      <c r="AC922" s="4"/>
      <c r="AD922" s="4"/>
      <c r="AE922" s="4"/>
    </row>
    <row r="923" ht="13.5" customHeight="1" spans="1:31" x14ac:dyDescent="0.25">
      <c r="A923" s="1"/>
      <c r="B923" s="4"/>
      <c r="C923" s="4"/>
      <c r="D923" s="4"/>
      <c r="E923" s="4"/>
      <c r="F923" s="4"/>
      <c r="G923" s="4"/>
      <c r="H923" s="4"/>
      <c r="I923" s="4"/>
      <c r="J923" s="4"/>
      <c r="K923" s="4"/>
      <c r="L923" s="4"/>
      <c r="M923" s="4"/>
      <c r="N923" s="4"/>
      <c r="O923" s="4"/>
      <c r="P923" s="4"/>
      <c r="Q923" s="4"/>
      <c r="R923" s="4"/>
      <c r="S923" s="4"/>
      <c r="T923" s="4"/>
      <c r="U923" s="4"/>
      <c r="V923" s="4"/>
      <c r="W923" s="4"/>
      <c r="X923" s="4"/>
      <c r="Y923" s="4"/>
      <c r="Z923" s="4"/>
      <c r="AA923" s="4"/>
      <c r="AB923" s="4"/>
      <c r="AC923" s="4"/>
      <c r="AD923" s="4"/>
      <c r="AE923" s="4"/>
    </row>
    <row r="924" ht="13.5" customHeight="1" spans="1:31" x14ac:dyDescent="0.25">
      <c r="A924" s="1"/>
      <c r="B924" s="4"/>
      <c r="C924" s="4"/>
      <c r="D924" s="4"/>
      <c r="E924" s="4"/>
      <c r="F924" s="4"/>
      <c r="G924" s="4"/>
      <c r="H924" s="4"/>
      <c r="I924" s="4"/>
      <c r="J924" s="4"/>
      <c r="K924" s="4"/>
      <c r="L924" s="4"/>
      <c r="M924" s="4"/>
      <c r="N924" s="4"/>
      <c r="O924" s="4"/>
      <c r="P924" s="4"/>
      <c r="Q924" s="4"/>
      <c r="R924" s="4"/>
      <c r="S924" s="4"/>
      <c r="T924" s="4"/>
      <c r="U924" s="4"/>
      <c r="V924" s="4"/>
      <c r="W924" s="4"/>
      <c r="X924" s="4"/>
      <c r="Y924" s="4"/>
      <c r="Z924" s="4"/>
      <c r="AA924" s="4"/>
      <c r="AB924" s="4"/>
      <c r="AC924" s="4"/>
      <c r="AD924" s="4"/>
      <c r="AE924" s="4"/>
    </row>
    <row r="925" ht="13.5" customHeight="1" spans="1:31" x14ac:dyDescent="0.25">
      <c r="A925" s="1"/>
      <c r="B925" s="4"/>
      <c r="C925" s="4"/>
      <c r="D925" s="4"/>
      <c r="E925" s="4"/>
      <c r="F925" s="4"/>
      <c r="G925" s="4"/>
      <c r="H925" s="4"/>
      <c r="I925" s="4"/>
      <c r="J925" s="4"/>
      <c r="K925" s="4"/>
      <c r="L925" s="4"/>
      <c r="M925" s="4"/>
      <c r="N925" s="4"/>
      <c r="O925" s="4"/>
      <c r="P925" s="4"/>
      <c r="Q925" s="4"/>
      <c r="R925" s="4"/>
      <c r="S925" s="4"/>
      <c r="T925" s="4"/>
      <c r="U925" s="4"/>
      <c r="V925" s="4"/>
      <c r="W925" s="4"/>
      <c r="X925" s="4"/>
      <c r="Y925" s="4"/>
      <c r="Z925" s="4"/>
      <c r="AA925" s="4"/>
      <c r="AB925" s="4"/>
      <c r="AC925" s="4"/>
      <c r="AD925" s="4"/>
      <c r="AE925" s="4"/>
    </row>
    <row r="926" ht="13.5" customHeight="1" spans="1:31" x14ac:dyDescent="0.25">
      <c r="A926" s="1"/>
      <c r="B926" s="4"/>
      <c r="C926" s="4"/>
      <c r="D926" s="4"/>
      <c r="E926" s="4"/>
      <c r="F926" s="4"/>
      <c r="G926" s="4"/>
      <c r="H926" s="4"/>
      <c r="I926" s="4"/>
      <c r="J926" s="4"/>
      <c r="K926" s="4"/>
      <c r="L926" s="4"/>
      <c r="M926" s="4"/>
      <c r="N926" s="4"/>
      <c r="O926" s="4"/>
      <c r="P926" s="4"/>
      <c r="Q926" s="4"/>
      <c r="R926" s="4"/>
      <c r="S926" s="4"/>
      <c r="T926" s="4"/>
      <c r="U926" s="4"/>
      <c r="V926" s="4"/>
      <c r="W926" s="4"/>
      <c r="X926" s="4"/>
      <c r="Y926" s="4"/>
      <c r="Z926" s="4"/>
      <c r="AA926" s="4"/>
      <c r="AB926" s="4"/>
      <c r="AC926" s="4"/>
      <c r="AD926" s="4"/>
      <c r="AE926" s="4"/>
    </row>
    <row r="927" ht="13.5" customHeight="1" spans="1:31" x14ac:dyDescent="0.25">
      <c r="A927" s="1"/>
      <c r="B927" s="4"/>
      <c r="C927" s="4"/>
      <c r="D927" s="4"/>
      <c r="E927" s="4"/>
      <c r="F927" s="4"/>
      <c r="G927" s="4"/>
      <c r="H927" s="4"/>
      <c r="I927" s="4"/>
      <c r="J927" s="4"/>
      <c r="K927" s="4"/>
      <c r="L927" s="4"/>
      <c r="M927" s="4"/>
      <c r="N927" s="4"/>
      <c r="O927" s="4"/>
      <c r="P927" s="4"/>
      <c r="Q927" s="4"/>
      <c r="R927" s="4"/>
      <c r="S927" s="4"/>
      <c r="T927" s="4"/>
      <c r="U927" s="4"/>
      <c r="V927" s="4"/>
      <c r="W927" s="4"/>
      <c r="X927" s="4"/>
      <c r="Y927" s="4"/>
      <c r="Z927" s="4"/>
      <c r="AA927" s="4"/>
      <c r="AB927" s="4"/>
      <c r="AC927" s="4"/>
      <c r="AD927" s="4"/>
      <c r="AE927" s="4"/>
    </row>
    <row r="928" ht="13.5" customHeight="1" spans="1:31" x14ac:dyDescent="0.25">
      <c r="A928" s="1"/>
      <c r="B928" s="4"/>
      <c r="C928" s="4"/>
      <c r="D928" s="4"/>
      <c r="E928" s="4"/>
      <c r="F928" s="4"/>
      <c r="G928" s="4"/>
      <c r="H928" s="4"/>
      <c r="I928" s="4"/>
      <c r="J928" s="4"/>
      <c r="K928" s="4"/>
      <c r="L928" s="4"/>
      <c r="M928" s="4"/>
      <c r="N928" s="4"/>
      <c r="O928" s="4"/>
      <c r="P928" s="4"/>
      <c r="Q928" s="4"/>
      <c r="R928" s="4"/>
      <c r="S928" s="4"/>
      <c r="T928" s="4"/>
      <c r="U928" s="4"/>
      <c r="V928" s="4"/>
      <c r="W928" s="4"/>
      <c r="X928" s="4"/>
      <c r="Y928" s="4"/>
      <c r="Z928" s="4"/>
      <c r="AA928" s="4"/>
      <c r="AB928" s="4"/>
      <c r="AC928" s="4"/>
      <c r="AD928" s="4"/>
      <c r="AE928" s="4"/>
    </row>
    <row r="929" ht="13.5" customHeight="1" spans="1:31" x14ac:dyDescent="0.25">
      <c r="A929" s="1"/>
      <c r="B929" s="4"/>
      <c r="C929" s="4"/>
      <c r="D929" s="4"/>
      <c r="E929" s="4"/>
      <c r="F929" s="4"/>
      <c r="G929" s="4"/>
      <c r="H929" s="4"/>
      <c r="I929" s="4"/>
      <c r="J929" s="4"/>
      <c r="K929" s="4"/>
      <c r="L929" s="4"/>
      <c r="M929" s="4"/>
      <c r="N929" s="4"/>
      <c r="O929" s="4"/>
      <c r="P929" s="4"/>
      <c r="Q929" s="4"/>
      <c r="R929" s="4"/>
      <c r="S929" s="4"/>
      <c r="T929" s="4"/>
      <c r="U929" s="4"/>
      <c r="V929" s="4"/>
      <c r="W929" s="4"/>
      <c r="X929" s="4"/>
      <c r="Y929" s="4"/>
      <c r="Z929" s="4"/>
      <c r="AA929" s="4"/>
      <c r="AB929" s="4"/>
      <c r="AC929" s="4"/>
      <c r="AD929" s="4"/>
      <c r="AE929" s="4"/>
    </row>
    <row r="930" ht="13.5" customHeight="1" spans="1:31" x14ac:dyDescent="0.25">
      <c r="A930" s="1"/>
      <c r="B930" s="4"/>
      <c r="C930" s="4"/>
      <c r="D930" s="4"/>
      <c r="E930" s="4"/>
      <c r="F930" s="4"/>
      <c r="G930" s="4"/>
      <c r="H930" s="4"/>
      <c r="I930" s="4"/>
      <c r="J930" s="4"/>
      <c r="K930" s="4"/>
      <c r="L930" s="4"/>
      <c r="M930" s="4"/>
      <c r="N930" s="4"/>
      <c r="O930" s="4"/>
      <c r="P930" s="4"/>
      <c r="Q930" s="4"/>
      <c r="R930" s="4"/>
      <c r="S930" s="4"/>
      <c r="T930" s="4"/>
      <c r="U930" s="4"/>
      <c r="V930" s="4"/>
      <c r="W930" s="4"/>
      <c r="X930" s="4"/>
      <c r="Y930" s="4"/>
      <c r="Z930" s="4"/>
      <c r="AA930" s="4"/>
      <c r="AB930" s="4"/>
      <c r="AC930" s="4"/>
      <c r="AD930" s="4"/>
      <c r="AE930" s="4"/>
    </row>
    <row r="931" ht="13.5" customHeight="1" spans="1:31" x14ac:dyDescent="0.25">
      <c r="A931" s="1"/>
      <c r="B931" s="4"/>
      <c r="C931" s="4"/>
      <c r="D931" s="4"/>
      <c r="E931" s="4"/>
      <c r="F931" s="4"/>
      <c r="G931" s="4"/>
      <c r="H931" s="4"/>
      <c r="I931" s="4"/>
      <c r="J931" s="4"/>
      <c r="K931" s="4"/>
      <c r="L931" s="4"/>
      <c r="M931" s="4"/>
      <c r="N931" s="4"/>
      <c r="O931" s="4"/>
      <c r="P931" s="4"/>
      <c r="Q931" s="4"/>
      <c r="R931" s="4"/>
      <c r="S931" s="4"/>
      <c r="T931" s="4"/>
      <c r="U931" s="4"/>
      <c r="V931" s="4"/>
      <c r="W931" s="4"/>
      <c r="X931" s="4"/>
      <c r="Y931" s="4"/>
      <c r="Z931" s="4"/>
      <c r="AA931" s="4"/>
      <c r="AB931" s="4"/>
      <c r="AC931" s="4"/>
      <c r="AD931" s="4"/>
      <c r="AE931" s="4"/>
    </row>
    <row r="932" ht="13.5" customHeight="1" spans="1:31" x14ac:dyDescent="0.25">
      <c r="A932" s="1"/>
      <c r="B932" s="4"/>
      <c r="C932" s="4"/>
      <c r="D932" s="4"/>
      <c r="E932" s="4"/>
      <c r="F932" s="4"/>
      <c r="G932" s="4"/>
      <c r="H932" s="4"/>
      <c r="I932" s="4"/>
      <c r="J932" s="4"/>
      <c r="K932" s="4"/>
      <c r="L932" s="4"/>
      <c r="M932" s="4"/>
      <c r="N932" s="4"/>
      <c r="O932" s="4"/>
      <c r="P932" s="4"/>
      <c r="Q932" s="4"/>
      <c r="R932" s="4"/>
      <c r="S932" s="4"/>
      <c r="T932" s="4"/>
      <c r="U932" s="4"/>
      <c r="V932" s="4"/>
      <c r="W932" s="4"/>
      <c r="X932" s="4"/>
      <c r="Y932" s="4"/>
      <c r="Z932" s="4"/>
      <c r="AA932" s="4"/>
      <c r="AB932" s="4"/>
      <c r="AC932" s="4"/>
      <c r="AD932" s="4"/>
      <c r="AE932" s="4"/>
    </row>
    <row r="933" ht="13.5" customHeight="1" spans="1:31" x14ac:dyDescent="0.25">
      <c r="A933" s="1"/>
      <c r="B933" s="4"/>
      <c r="C933" s="4"/>
      <c r="D933" s="4"/>
      <c r="E933" s="4"/>
      <c r="F933" s="4"/>
      <c r="G933" s="4"/>
      <c r="H933" s="4"/>
      <c r="I933" s="4"/>
      <c r="J933" s="4"/>
      <c r="K933" s="4"/>
      <c r="L933" s="4"/>
      <c r="M933" s="4"/>
      <c r="N933" s="4"/>
      <c r="O933" s="4"/>
      <c r="P933" s="4"/>
      <c r="Q933" s="4"/>
      <c r="R933" s="4"/>
      <c r="S933" s="4"/>
      <c r="T933" s="4"/>
      <c r="U933" s="4"/>
      <c r="V933" s="4"/>
      <c r="W933" s="4"/>
      <c r="X933" s="4"/>
      <c r="Y933" s="4"/>
      <c r="Z933" s="4"/>
      <c r="AA933" s="4"/>
      <c r="AB933" s="4"/>
      <c r="AC933" s="4"/>
      <c r="AD933" s="4"/>
      <c r="AE933" s="4"/>
    </row>
    <row r="934" ht="13.5" customHeight="1" spans="1:31" x14ac:dyDescent="0.25">
      <c r="A934" s="1"/>
      <c r="B934" s="4"/>
      <c r="C934" s="4"/>
      <c r="D934" s="4"/>
      <c r="E934" s="4"/>
      <c r="F934" s="4"/>
      <c r="G934" s="4"/>
      <c r="H934" s="4"/>
      <c r="I934" s="4"/>
      <c r="J934" s="4"/>
      <c r="K934" s="4"/>
      <c r="L934" s="4"/>
      <c r="M934" s="4"/>
      <c r="N934" s="4"/>
      <c r="O934" s="4"/>
      <c r="P934" s="4"/>
      <c r="Q934" s="4"/>
      <c r="R934" s="4"/>
      <c r="S934" s="4"/>
      <c r="T934" s="4"/>
      <c r="U934" s="4"/>
      <c r="V934" s="4"/>
      <c r="W934" s="4"/>
      <c r="X934" s="4"/>
      <c r="Y934" s="4"/>
      <c r="Z934" s="4"/>
      <c r="AA934" s="4"/>
      <c r="AB934" s="4"/>
      <c r="AC934" s="4"/>
      <c r="AD934" s="4"/>
      <c r="AE934" s="4"/>
    </row>
    <row r="935" ht="13.5" customHeight="1" spans="1:31" x14ac:dyDescent="0.25">
      <c r="A935" s="1"/>
      <c r="B935" s="4"/>
      <c r="C935" s="4"/>
      <c r="D935" s="4"/>
      <c r="E935" s="4"/>
      <c r="F935" s="4"/>
      <c r="G935" s="4"/>
      <c r="H935" s="4"/>
      <c r="I935" s="4"/>
      <c r="J935" s="4"/>
      <c r="K935" s="4"/>
      <c r="L935" s="4"/>
      <c r="M935" s="4"/>
      <c r="N935" s="4"/>
      <c r="O935" s="4"/>
      <c r="P935" s="4"/>
      <c r="Q935" s="4"/>
      <c r="R935" s="4"/>
      <c r="S935" s="4"/>
      <c r="T935" s="4"/>
      <c r="U935" s="4"/>
      <c r="V935" s="4"/>
      <c r="W935" s="4"/>
      <c r="X935" s="4"/>
      <c r="Y935" s="4"/>
      <c r="Z935" s="4"/>
      <c r="AA935" s="4"/>
      <c r="AB935" s="4"/>
      <c r="AC935" s="4"/>
      <c r="AD935" s="4"/>
      <c r="AE935" s="4"/>
    </row>
    <row r="936" ht="13.5" customHeight="1" spans="1:31" x14ac:dyDescent="0.25">
      <c r="A936" s="1"/>
      <c r="B936" s="4"/>
      <c r="C936" s="4"/>
      <c r="D936" s="4"/>
      <c r="E936" s="4"/>
      <c r="F936" s="4"/>
      <c r="G936" s="4"/>
      <c r="H936" s="4"/>
      <c r="I936" s="4"/>
      <c r="J936" s="4"/>
      <c r="K936" s="4"/>
      <c r="L936" s="4"/>
      <c r="M936" s="4"/>
      <c r="N936" s="4"/>
      <c r="O936" s="4"/>
      <c r="P936" s="4"/>
      <c r="Q936" s="4"/>
      <c r="R936" s="4"/>
      <c r="S936" s="4"/>
      <c r="T936" s="4"/>
      <c r="U936" s="4"/>
      <c r="V936" s="4"/>
      <c r="W936" s="4"/>
      <c r="X936" s="4"/>
      <c r="Y936" s="4"/>
      <c r="Z936" s="4"/>
      <c r="AA936" s="4"/>
      <c r="AB936" s="4"/>
      <c r="AC936" s="4"/>
      <c r="AD936" s="4"/>
      <c r="AE936" s="4"/>
    </row>
    <row r="937" ht="13.5" customHeight="1" spans="1:31" x14ac:dyDescent="0.25">
      <c r="A937" s="1"/>
      <c r="B937" s="4"/>
      <c r="C937" s="4"/>
      <c r="D937" s="4"/>
      <c r="E937" s="4"/>
      <c r="F937" s="4"/>
      <c r="G937" s="4"/>
      <c r="H937" s="4"/>
      <c r="I937" s="4"/>
      <c r="J937" s="4"/>
      <c r="K937" s="4"/>
      <c r="L937" s="4"/>
      <c r="M937" s="4"/>
      <c r="N937" s="4"/>
      <c r="O937" s="4"/>
      <c r="P937" s="4"/>
      <c r="Q937" s="4"/>
      <c r="R937" s="4"/>
      <c r="S937" s="4"/>
      <c r="T937" s="4"/>
      <c r="U937" s="4"/>
      <c r="V937" s="4"/>
      <c r="W937" s="4"/>
      <c r="X937" s="4"/>
      <c r="Y937" s="4"/>
      <c r="Z937" s="4"/>
      <c r="AA937" s="4"/>
      <c r="AB937" s="4"/>
      <c r="AC937" s="4"/>
      <c r="AD937" s="4"/>
      <c r="AE937" s="4"/>
    </row>
    <row r="938" ht="13.5" customHeight="1" spans="1:31" x14ac:dyDescent="0.25">
      <c r="A938" s="1"/>
      <c r="B938" s="4"/>
      <c r="C938" s="4"/>
      <c r="D938" s="4"/>
      <c r="E938" s="4"/>
      <c r="F938" s="4"/>
      <c r="G938" s="4"/>
      <c r="H938" s="4"/>
      <c r="I938" s="4"/>
      <c r="J938" s="4"/>
      <c r="K938" s="4"/>
      <c r="L938" s="4"/>
      <c r="M938" s="4"/>
      <c r="N938" s="4"/>
      <c r="O938" s="4"/>
      <c r="P938" s="4"/>
      <c r="Q938" s="4"/>
      <c r="R938" s="4"/>
      <c r="S938" s="4"/>
      <c r="T938" s="4"/>
      <c r="U938" s="4"/>
      <c r="V938" s="4"/>
      <c r="W938" s="4"/>
      <c r="X938" s="4"/>
      <c r="Y938" s="4"/>
      <c r="Z938" s="4"/>
      <c r="AA938" s="4"/>
      <c r="AB938" s="4"/>
      <c r="AC938" s="4"/>
      <c r="AD938" s="4"/>
      <c r="AE938" s="4"/>
    </row>
    <row r="939" ht="13.5" customHeight="1" spans="1:31" x14ac:dyDescent="0.25">
      <c r="A939" s="1"/>
      <c r="B939" s="4"/>
      <c r="C939" s="4"/>
      <c r="D939" s="4"/>
      <c r="E939" s="4"/>
      <c r="F939" s="4"/>
      <c r="G939" s="4"/>
      <c r="H939" s="4"/>
      <c r="I939" s="4"/>
      <c r="J939" s="4"/>
      <c r="K939" s="4"/>
      <c r="L939" s="4"/>
      <c r="M939" s="4"/>
      <c r="N939" s="4"/>
      <c r="O939" s="4"/>
      <c r="P939" s="4"/>
      <c r="Q939" s="4"/>
      <c r="R939" s="4"/>
      <c r="S939" s="4"/>
      <c r="T939" s="4"/>
      <c r="U939" s="4"/>
      <c r="V939" s="4"/>
      <c r="W939" s="4"/>
      <c r="X939" s="4"/>
      <c r="Y939" s="4"/>
      <c r="Z939" s="4"/>
      <c r="AA939" s="4"/>
      <c r="AB939" s="4"/>
      <c r="AC939" s="4"/>
      <c r="AD939" s="4"/>
      <c r="AE939" s="4"/>
    </row>
    <row r="940" ht="13.5" customHeight="1" spans="1:31" x14ac:dyDescent="0.25">
      <c r="A940" s="1"/>
      <c r="B940" s="4"/>
      <c r="C940" s="4"/>
      <c r="D940" s="4"/>
      <c r="E940" s="4"/>
      <c r="F940" s="4"/>
      <c r="G940" s="4"/>
      <c r="H940" s="4"/>
      <c r="I940" s="4"/>
      <c r="J940" s="4"/>
      <c r="K940" s="4"/>
      <c r="L940" s="4"/>
      <c r="M940" s="4"/>
      <c r="N940" s="4"/>
      <c r="O940" s="4"/>
      <c r="P940" s="4"/>
      <c r="Q940" s="4"/>
      <c r="R940" s="4"/>
      <c r="S940" s="4"/>
      <c r="T940" s="4"/>
      <c r="U940" s="4"/>
      <c r="V940" s="4"/>
      <c r="W940" s="4"/>
      <c r="X940" s="4"/>
      <c r="Y940" s="4"/>
      <c r="Z940" s="4"/>
      <c r="AA940" s="4"/>
      <c r="AB940" s="4"/>
      <c r="AC940" s="4"/>
      <c r="AD940" s="4"/>
      <c r="AE940" s="4"/>
    </row>
    <row r="941" ht="13.5" customHeight="1" spans="1:31" x14ac:dyDescent="0.25">
      <c r="A941" s="1"/>
      <c r="B941" s="4"/>
      <c r="C941" s="4"/>
      <c r="D941" s="4"/>
      <c r="E941" s="4"/>
      <c r="F941" s="4"/>
      <c r="G941" s="4"/>
      <c r="H941" s="4"/>
      <c r="I941" s="4"/>
      <c r="J941" s="4"/>
      <c r="K941" s="4"/>
      <c r="L941" s="4"/>
      <c r="M941" s="4"/>
      <c r="N941" s="4"/>
      <c r="O941" s="4"/>
      <c r="P941" s="4"/>
      <c r="Q941" s="4"/>
      <c r="R941" s="4"/>
      <c r="S941" s="4"/>
      <c r="T941" s="4"/>
      <c r="U941" s="4"/>
      <c r="V941" s="4"/>
      <c r="W941" s="4"/>
      <c r="X941" s="4"/>
      <c r="Y941" s="4"/>
      <c r="Z941" s="4"/>
      <c r="AA941" s="4"/>
      <c r="AB941" s="4"/>
      <c r="AC941" s="4"/>
      <c r="AD941" s="4"/>
      <c r="AE941" s="4"/>
    </row>
    <row r="942" ht="13.5" customHeight="1" spans="1:31" x14ac:dyDescent="0.25">
      <c r="A942" s="1"/>
      <c r="B942" s="4"/>
      <c r="C942" s="4"/>
      <c r="D942" s="4"/>
      <c r="E942" s="4"/>
      <c r="F942" s="4"/>
      <c r="G942" s="4"/>
      <c r="H942" s="4"/>
      <c r="I942" s="4"/>
      <c r="J942" s="4"/>
      <c r="K942" s="4"/>
      <c r="L942" s="4"/>
      <c r="M942" s="4"/>
      <c r="N942" s="4"/>
      <c r="O942" s="4"/>
      <c r="P942" s="4"/>
      <c r="Q942" s="4"/>
      <c r="R942" s="4"/>
      <c r="S942" s="4"/>
      <c r="T942" s="4"/>
      <c r="U942" s="4"/>
      <c r="V942" s="4"/>
      <c r="W942" s="4"/>
      <c r="X942" s="4"/>
      <c r="Y942" s="4"/>
      <c r="Z942" s="4"/>
      <c r="AA942" s="4"/>
      <c r="AB942" s="4"/>
      <c r="AC942" s="4"/>
      <c r="AD942" s="4"/>
      <c r="AE942" s="4"/>
    </row>
    <row r="943" ht="13.5" customHeight="1" spans="1:31" x14ac:dyDescent="0.25">
      <c r="A943" s="1"/>
      <c r="B943" s="4"/>
      <c r="C943" s="4"/>
      <c r="D943" s="4"/>
      <c r="E943" s="4"/>
      <c r="F943" s="4"/>
      <c r="G943" s="4"/>
      <c r="H943" s="4"/>
      <c r="I943" s="4"/>
      <c r="J943" s="4"/>
      <c r="K943" s="4"/>
      <c r="L943" s="4"/>
      <c r="M943" s="4"/>
      <c r="N943" s="4"/>
      <c r="O943" s="4"/>
      <c r="P943" s="4"/>
      <c r="Q943" s="4"/>
      <c r="R943" s="4"/>
      <c r="S943" s="4"/>
      <c r="T943" s="4"/>
      <c r="U943" s="4"/>
      <c r="V943" s="4"/>
      <c r="W943" s="4"/>
      <c r="X943" s="4"/>
      <c r="Y943" s="4"/>
      <c r="Z943" s="4"/>
      <c r="AA943" s="4"/>
      <c r="AB943" s="4"/>
      <c r="AC943" s="4"/>
      <c r="AD943" s="4"/>
      <c r="AE943" s="4"/>
    </row>
    <row r="944" ht="13.5" customHeight="1" spans="1:31" x14ac:dyDescent="0.25">
      <c r="A944" s="1"/>
      <c r="B944" s="4"/>
      <c r="C944" s="4"/>
      <c r="D944" s="4"/>
      <c r="E944" s="4"/>
      <c r="F944" s="4"/>
      <c r="G944" s="4"/>
      <c r="H944" s="4"/>
      <c r="I944" s="4"/>
      <c r="J944" s="4"/>
      <c r="K944" s="4"/>
      <c r="L944" s="4"/>
      <c r="M944" s="4"/>
      <c r="N944" s="4"/>
      <c r="O944" s="4"/>
      <c r="P944" s="4"/>
      <c r="Q944" s="4"/>
      <c r="R944" s="4"/>
      <c r="S944" s="4"/>
      <c r="T944" s="4"/>
      <c r="U944" s="4"/>
      <c r="V944" s="4"/>
      <c r="W944" s="4"/>
      <c r="X944" s="4"/>
      <c r="Y944" s="4"/>
      <c r="Z944" s="4"/>
      <c r="AA944" s="4"/>
      <c r="AB944" s="4"/>
      <c r="AC944" s="4"/>
      <c r="AD944" s="4"/>
      <c r="AE944" s="4"/>
    </row>
    <row r="945" ht="13.5" customHeight="1" spans="1:31" x14ac:dyDescent="0.25">
      <c r="A945" s="1"/>
      <c r="B945" s="4"/>
      <c r="C945" s="4"/>
      <c r="D945" s="4"/>
      <c r="E945" s="4"/>
      <c r="F945" s="4"/>
      <c r="G945" s="4"/>
      <c r="H945" s="4"/>
      <c r="I945" s="4"/>
      <c r="J945" s="4"/>
      <c r="K945" s="4"/>
      <c r="L945" s="4"/>
      <c r="M945" s="4"/>
      <c r="N945" s="4"/>
      <c r="O945" s="4"/>
      <c r="P945" s="4"/>
      <c r="Q945" s="4"/>
      <c r="R945" s="4"/>
      <c r="S945" s="4"/>
      <c r="T945" s="4"/>
      <c r="U945" s="4"/>
      <c r="V945" s="4"/>
      <c r="W945" s="4"/>
      <c r="X945" s="4"/>
      <c r="Y945" s="4"/>
      <c r="Z945" s="4"/>
      <c r="AA945" s="4"/>
      <c r="AB945" s="4"/>
      <c r="AC945" s="4"/>
      <c r="AD945" s="4"/>
      <c r="AE945" s="4"/>
    </row>
    <row r="946" ht="13.5" customHeight="1" spans="1:31" x14ac:dyDescent="0.25">
      <c r="A946" s="1"/>
      <c r="B946" s="4"/>
      <c r="C946" s="4"/>
      <c r="D946" s="4"/>
      <c r="E946" s="4"/>
      <c r="F946" s="4"/>
      <c r="G946" s="4"/>
      <c r="H946" s="4"/>
      <c r="I946" s="4"/>
      <c r="J946" s="4"/>
      <c r="K946" s="4"/>
      <c r="L946" s="4"/>
      <c r="M946" s="4"/>
      <c r="N946" s="4"/>
      <c r="O946" s="4"/>
      <c r="P946" s="4"/>
      <c r="Q946" s="4"/>
      <c r="R946" s="4"/>
      <c r="S946" s="4"/>
      <c r="T946" s="4"/>
      <c r="U946" s="4"/>
      <c r="V946" s="4"/>
      <c r="W946" s="4"/>
      <c r="X946" s="4"/>
      <c r="Y946" s="4"/>
      <c r="Z946" s="4"/>
      <c r="AA946" s="4"/>
      <c r="AB946" s="4"/>
      <c r="AC946" s="4"/>
      <c r="AD946" s="4"/>
      <c r="AE946" s="4"/>
    </row>
    <row r="947" ht="13.5" customHeight="1" spans="1:31" x14ac:dyDescent="0.25">
      <c r="A947" s="1"/>
      <c r="B947" s="4"/>
      <c r="C947" s="4"/>
      <c r="D947" s="4"/>
      <c r="E947" s="4"/>
      <c r="F947" s="4"/>
      <c r="G947" s="4"/>
      <c r="H947" s="4"/>
      <c r="I947" s="4"/>
      <c r="J947" s="4"/>
      <c r="K947" s="4"/>
      <c r="L947" s="4"/>
      <c r="M947" s="4"/>
      <c r="N947" s="4"/>
      <c r="O947" s="4"/>
      <c r="P947" s="4"/>
      <c r="Q947" s="4"/>
      <c r="R947" s="4"/>
      <c r="S947" s="4"/>
      <c r="T947" s="4"/>
      <c r="U947" s="4"/>
      <c r="V947" s="4"/>
      <c r="W947" s="4"/>
      <c r="X947" s="4"/>
      <c r="Y947" s="4"/>
      <c r="Z947" s="4"/>
      <c r="AA947" s="4"/>
      <c r="AB947" s="4"/>
      <c r="AC947" s="4"/>
      <c r="AD947" s="4"/>
      <c r="AE947" s="4"/>
    </row>
    <row r="948" ht="13.5" customHeight="1" spans="1:31" x14ac:dyDescent="0.25">
      <c r="A948" s="1"/>
      <c r="B948" s="4"/>
      <c r="C948" s="4"/>
      <c r="D948" s="4"/>
      <c r="E948" s="4"/>
      <c r="F948" s="4"/>
      <c r="G948" s="4"/>
      <c r="H948" s="4"/>
      <c r="I948" s="4"/>
      <c r="J948" s="4"/>
      <c r="K948" s="4"/>
      <c r="L948" s="4"/>
      <c r="M948" s="4"/>
      <c r="N948" s="4"/>
      <c r="O948" s="4"/>
      <c r="P948" s="4"/>
      <c r="Q948" s="4"/>
      <c r="R948" s="4"/>
      <c r="S948" s="4"/>
      <c r="T948" s="4"/>
      <c r="U948" s="4"/>
      <c r="V948" s="4"/>
      <c r="W948" s="4"/>
      <c r="X948" s="4"/>
      <c r="Y948" s="4"/>
      <c r="Z948" s="4"/>
      <c r="AA948" s="4"/>
      <c r="AB948" s="4"/>
      <c r="AC948" s="4"/>
      <c r="AD948" s="4"/>
      <c r="AE948" s="4"/>
    </row>
    <row r="949" ht="13.5" customHeight="1" spans="1:31" x14ac:dyDescent="0.25">
      <c r="A949" s="1"/>
      <c r="B949" s="4"/>
      <c r="C949" s="4"/>
      <c r="D949" s="4"/>
      <c r="E949" s="4"/>
      <c r="F949" s="4"/>
      <c r="G949" s="4"/>
      <c r="H949" s="4"/>
      <c r="I949" s="4"/>
      <c r="J949" s="4"/>
      <c r="K949" s="4"/>
      <c r="L949" s="4"/>
      <c r="M949" s="4"/>
      <c r="N949" s="4"/>
      <c r="O949" s="4"/>
      <c r="P949" s="4"/>
      <c r="Q949" s="4"/>
      <c r="R949" s="4"/>
      <c r="S949" s="4"/>
      <c r="T949" s="4"/>
      <c r="U949" s="4"/>
      <c r="V949" s="4"/>
      <c r="W949" s="4"/>
      <c r="X949" s="4"/>
      <c r="Y949" s="4"/>
      <c r="Z949" s="4"/>
      <c r="AA949" s="4"/>
      <c r="AB949" s="4"/>
      <c r="AC949" s="4"/>
      <c r="AD949" s="4"/>
      <c r="AE949" s="4"/>
    </row>
    <row r="950" ht="13.5" customHeight="1" spans="1:31" x14ac:dyDescent="0.25">
      <c r="A950" s="1"/>
      <c r="B950" s="4"/>
      <c r="C950" s="4"/>
      <c r="D950" s="4"/>
      <c r="E950" s="4"/>
      <c r="F950" s="4"/>
      <c r="G950" s="4"/>
      <c r="H950" s="4"/>
      <c r="I950" s="4"/>
      <c r="J950" s="4"/>
      <c r="K950" s="4"/>
      <c r="L950" s="4"/>
      <c r="M950" s="4"/>
      <c r="N950" s="4"/>
      <c r="O950" s="4"/>
      <c r="P950" s="4"/>
      <c r="Q950" s="4"/>
      <c r="R950" s="4"/>
      <c r="S950" s="4"/>
      <c r="T950" s="4"/>
      <c r="U950" s="4"/>
      <c r="V950" s="4"/>
      <c r="W950" s="4"/>
      <c r="X950" s="4"/>
      <c r="Y950" s="4"/>
      <c r="Z950" s="4"/>
      <c r="AA950" s="4"/>
      <c r="AB950" s="4"/>
      <c r="AC950" s="4"/>
      <c r="AD950" s="4"/>
      <c r="AE950" s="4"/>
    </row>
    <row r="951" ht="13.5" customHeight="1" spans="1:31" x14ac:dyDescent="0.25">
      <c r="A951" s="1"/>
      <c r="B951" s="4"/>
      <c r="C951" s="4"/>
      <c r="D951" s="4"/>
      <c r="E951" s="4"/>
      <c r="F951" s="4"/>
      <c r="G951" s="4"/>
      <c r="H951" s="4"/>
      <c r="I951" s="4"/>
      <c r="J951" s="4"/>
      <c r="K951" s="4"/>
      <c r="L951" s="4"/>
      <c r="M951" s="4"/>
      <c r="N951" s="4"/>
      <c r="O951" s="4"/>
      <c r="P951" s="4"/>
      <c r="Q951" s="4"/>
      <c r="R951" s="4"/>
      <c r="S951" s="4"/>
      <c r="T951" s="4"/>
      <c r="U951" s="4"/>
      <c r="V951" s="4"/>
      <c r="W951" s="4"/>
      <c r="X951" s="4"/>
      <c r="Y951" s="4"/>
      <c r="Z951" s="4"/>
      <c r="AA951" s="4"/>
      <c r="AB951" s="4"/>
      <c r="AC951" s="4"/>
      <c r="AD951" s="4"/>
      <c r="AE951" s="4"/>
    </row>
    <row r="952" ht="13.5" customHeight="1" spans="1:31" x14ac:dyDescent="0.25">
      <c r="A952" s="1"/>
      <c r="B952" s="4"/>
      <c r="C952" s="4"/>
      <c r="D952" s="4"/>
      <c r="E952" s="4"/>
      <c r="F952" s="4"/>
      <c r="G952" s="4"/>
      <c r="H952" s="4"/>
      <c r="I952" s="4"/>
      <c r="J952" s="4"/>
      <c r="K952" s="4"/>
      <c r="L952" s="4"/>
      <c r="M952" s="4"/>
      <c r="N952" s="4"/>
      <c r="O952" s="4"/>
      <c r="P952" s="4"/>
      <c r="Q952" s="4"/>
      <c r="R952" s="4"/>
      <c r="S952" s="4"/>
      <c r="T952" s="4"/>
      <c r="U952" s="4"/>
      <c r="V952" s="4"/>
      <c r="W952" s="4"/>
      <c r="X952" s="4"/>
      <c r="Y952" s="4"/>
      <c r="Z952" s="4"/>
      <c r="AA952" s="4"/>
      <c r="AB952" s="4"/>
      <c r="AC952" s="4"/>
      <c r="AD952" s="4"/>
      <c r="AE952" s="4"/>
    </row>
    <row r="953" ht="13.5" customHeight="1" spans="1:31" x14ac:dyDescent="0.25">
      <c r="A953" s="1"/>
      <c r="B953" s="4"/>
      <c r="C953" s="4"/>
      <c r="D953" s="4"/>
      <c r="E953" s="4"/>
      <c r="F953" s="4"/>
      <c r="G953" s="4"/>
      <c r="H953" s="4"/>
      <c r="I953" s="4"/>
      <c r="J953" s="4"/>
      <c r="K953" s="4"/>
      <c r="L953" s="4"/>
      <c r="M953" s="4"/>
      <c r="N953" s="4"/>
      <c r="O953" s="4"/>
      <c r="P953" s="4"/>
      <c r="Q953" s="4"/>
      <c r="R953" s="4"/>
      <c r="S953" s="4"/>
      <c r="T953" s="4"/>
      <c r="U953" s="4"/>
      <c r="V953" s="4"/>
      <c r="W953" s="4"/>
      <c r="X953" s="4"/>
      <c r="Y953" s="4"/>
      <c r="Z953" s="4"/>
      <c r="AA953" s="4"/>
      <c r="AB953" s="4"/>
      <c r="AC953" s="4"/>
      <c r="AD953" s="4"/>
      <c r="AE953" s="4"/>
    </row>
    <row r="954" ht="13.5" customHeight="1" spans="1:31" x14ac:dyDescent="0.25">
      <c r="A954" s="1"/>
      <c r="B954" s="4"/>
      <c r="C954" s="4"/>
      <c r="D954" s="4"/>
      <c r="E954" s="4"/>
      <c r="F954" s="4"/>
      <c r="G954" s="4"/>
      <c r="H954" s="4"/>
      <c r="I954" s="4"/>
      <c r="J954" s="4"/>
      <c r="K954" s="4"/>
      <c r="L954" s="4"/>
      <c r="M954" s="4"/>
      <c r="N954" s="4"/>
      <c r="O954" s="4"/>
      <c r="P954" s="4"/>
      <c r="Q954" s="4"/>
      <c r="R954" s="4"/>
      <c r="S954" s="4"/>
      <c r="T954" s="4"/>
      <c r="U954" s="4"/>
      <c r="V954" s="4"/>
      <c r="W954" s="4"/>
      <c r="X954" s="4"/>
      <c r="Y954" s="4"/>
      <c r="Z954" s="4"/>
      <c r="AA954" s="4"/>
      <c r="AB954" s="4"/>
      <c r="AC954" s="4"/>
      <c r="AD954" s="4"/>
      <c r="AE954" s="4"/>
    </row>
    <row r="955" ht="13.5" customHeight="1" spans="1:31" x14ac:dyDescent="0.25">
      <c r="A955" s="1"/>
      <c r="B955" s="4"/>
      <c r="C955" s="4"/>
      <c r="D955" s="4"/>
      <c r="E955" s="4"/>
      <c r="F955" s="4"/>
      <c r="G955" s="4"/>
      <c r="H955" s="4"/>
      <c r="I955" s="4"/>
      <c r="J955" s="4"/>
      <c r="K955" s="4"/>
      <c r="L955" s="4"/>
      <c r="M955" s="4"/>
      <c r="N955" s="4"/>
      <c r="O955" s="4"/>
      <c r="P955" s="4"/>
      <c r="Q955" s="4"/>
      <c r="R955" s="4"/>
      <c r="S955" s="4"/>
      <c r="T955" s="4"/>
      <c r="U955" s="4"/>
      <c r="V955" s="4"/>
      <c r="W955" s="4"/>
      <c r="X955" s="4"/>
      <c r="Y955" s="4"/>
      <c r="Z955" s="4"/>
      <c r="AA955" s="4"/>
      <c r="AB955" s="4"/>
      <c r="AC955" s="4"/>
      <c r="AD955" s="4"/>
      <c r="AE955" s="4"/>
    </row>
    <row r="956" ht="13.5" customHeight="1" spans="1:31" x14ac:dyDescent="0.25">
      <c r="A956" s="1"/>
      <c r="B956" s="4"/>
      <c r="C956" s="4"/>
      <c r="D956" s="4"/>
      <c r="E956" s="4"/>
      <c r="F956" s="4"/>
      <c r="G956" s="4"/>
      <c r="H956" s="4"/>
      <c r="I956" s="4"/>
      <c r="J956" s="4"/>
      <c r="K956" s="4"/>
      <c r="L956" s="4"/>
      <c r="M956" s="4"/>
      <c r="N956" s="4"/>
      <c r="O956" s="4"/>
      <c r="P956" s="4"/>
      <c r="Q956" s="4"/>
      <c r="R956" s="4"/>
      <c r="S956" s="4"/>
      <c r="T956" s="4"/>
      <c r="U956" s="4"/>
      <c r="V956" s="4"/>
      <c r="W956" s="4"/>
      <c r="X956" s="4"/>
      <c r="Y956" s="4"/>
      <c r="Z956" s="4"/>
      <c r="AA956" s="4"/>
      <c r="AB956" s="4"/>
      <c r="AC956" s="4"/>
      <c r="AD956" s="4"/>
      <c r="AE956" s="4"/>
    </row>
    <row r="957" ht="13.5" customHeight="1" spans="1:31" x14ac:dyDescent="0.25">
      <c r="A957" s="1"/>
      <c r="B957" s="4"/>
      <c r="C957" s="4"/>
      <c r="D957" s="4"/>
      <c r="E957" s="4"/>
      <c r="F957" s="4"/>
      <c r="G957" s="4"/>
      <c r="H957" s="4"/>
      <c r="I957" s="4"/>
      <c r="J957" s="4"/>
      <c r="K957" s="4"/>
      <c r="L957" s="4"/>
      <c r="M957" s="4"/>
      <c r="N957" s="4"/>
      <c r="O957" s="4"/>
      <c r="P957" s="4"/>
      <c r="Q957" s="4"/>
      <c r="R957" s="4"/>
      <c r="S957" s="4"/>
      <c r="T957" s="4"/>
      <c r="U957" s="4"/>
      <c r="V957" s="4"/>
      <c r="W957" s="4"/>
      <c r="X957" s="4"/>
      <c r="Y957" s="4"/>
      <c r="Z957" s="4"/>
      <c r="AA957" s="4"/>
      <c r="AB957" s="4"/>
      <c r="AC957" s="4"/>
      <c r="AD957" s="4"/>
      <c r="AE957" s="4"/>
    </row>
    <row r="958" ht="13.5" customHeight="1" spans="1:31" x14ac:dyDescent="0.25">
      <c r="A958" s="1"/>
      <c r="B958" s="4"/>
      <c r="C958" s="4"/>
      <c r="D958" s="4"/>
      <c r="E958" s="4"/>
      <c r="F958" s="4"/>
      <c r="G958" s="4"/>
      <c r="H958" s="4"/>
      <c r="I958" s="4"/>
      <c r="J958" s="4"/>
      <c r="K958" s="4"/>
      <c r="L958" s="4"/>
      <c r="M958" s="4"/>
      <c r="N958" s="4"/>
      <c r="O958" s="4"/>
      <c r="P958" s="4"/>
      <c r="Q958" s="4"/>
      <c r="R958" s="4"/>
      <c r="S958" s="4"/>
      <c r="T958" s="4"/>
      <c r="U958" s="4"/>
      <c r="V958" s="4"/>
      <c r="W958" s="4"/>
      <c r="X958" s="4"/>
      <c r="Y958" s="4"/>
      <c r="Z958" s="4"/>
      <c r="AA958" s="4"/>
      <c r="AB958" s="4"/>
      <c r="AC958" s="4"/>
      <c r="AD958" s="4"/>
      <c r="AE958" s="4"/>
    </row>
    <row r="959" ht="13.5" customHeight="1" spans="1:31" x14ac:dyDescent="0.25">
      <c r="A959" s="1"/>
      <c r="B959" s="4"/>
      <c r="C959" s="4"/>
      <c r="D959" s="4"/>
      <c r="E959" s="4"/>
      <c r="F959" s="4"/>
      <c r="G959" s="4"/>
      <c r="H959" s="4"/>
      <c r="I959" s="4"/>
      <c r="J959" s="4"/>
      <c r="K959" s="4"/>
      <c r="L959" s="4"/>
      <c r="M959" s="4"/>
      <c r="N959" s="4"/>
      <c r="O959" s="4"/>
      <c r="P959" s="4"/>
      <c r="Q959" s="4"/>
      <c r="R959" s="4"/>
      <c r="S959" s="4"/>
      <c r="T959" s="4"/>
      <c r="U959" s="4"/>
      <c r="V959" s="4"/>
      <c r="W959" s="4"/>
      <c r="X959" s="4"/>
      <c r="Y959" s="4"/>
      <c r="Z959" s="4"/>
      <c r="AA959" s="4"/>
      <c r="AB959" s="4"/>
      <c r="AC959" s="4"/>
      <c r="AD959" s="4"/>
      <c r="AE959" s="4"/>
    </row>
    <row r="960" ht="13.5" customHeight="1" spans="1:31" x14ac:dyDescent="0.25">
      <c r="A960" s="1"/>
      <c r="B960" s="4"/>
      <c r="C960" s="4"/>
      <c r="D960" s="4"/>
      <c r="E960" s="4"/>
      <c r="F960" s="4"/>
      <c r="G960" s="4"/>
      <c r="H960" s="4"/>
      <c r="I960" s="4"/>
      <c r="J960" s="4"/>
      <c r="K960" s="4"/>
      <c r="L960" s="4"/>
      <c r="M960" s="4"/>
      <c r="N960" s="4"/>
      <c r="O960" s="4"/>
      <c r="P960" s="4"/>
      <c r="Q960" s="4"/>
      <c r="R960" s="4"/>
      <c r="S960" s="4"/>
      <c r="T960" s="4"/>
      <c r="U960" s="4"/>
      <c r="V960" s="4"/>
      <c r="W960" s="4"/>
      <c r="X960" s="4"/>
      <c r="Y960" s="4"/>
      <c r="Z960" s="4"/>
      <c r="AA960" s="4"/>
      <c r="AB960" s="4"/>
      <c r="AC960" s="4"/>
      <c r="AD960" s="4"/>
      <c r="AE960" s="4"/>
    </row>
    <row r="961" ht="13.5" customHeight="1" spans="1:31" x14ac:dyDescent="0.25">
      <c r="A961" s="1"/>
      <c r="B961" s="4"/>
      <c r="C961" s="4"/>
      <c r="D961" s="4"/>
      <c r="E961" s="4"/>
      <c r="F961" s="4"/>
      <c r="G961" s="4"/>
      <c r="H961" s="4"/>
      <c r="I961" s="4"/>
      <c r="J961" s="4"/>
      <c r="K961" s="4"/>
      <c r="L961" s="4"/>
      <c r="M961" s="4"/>
      <c r="N961" s="4"/>
      <c r="O961" s="4"/>
      <c r="P961" s="4"/>
      <c r="Q961" s="4"/>
      <c r="R961" s="4"/>
      <c r="S961" s="4"/>
      <c r="T961" s="4"/>
      <c r="U961" s="4"/>
      <c r="V961" s="4"/>
      <c r="W961" s="4"/>
      <c r="X961" s="4"/>
      <c r="Y961" s="4"/>
      <c r="Z961" s="4"/>
      <c r="AA961" s="4"/>
      <c r="AB961" s="4"/>
      <c r="AC961" s="4"/>
      <c r="AD961" s="4"/>
      <c r="AE961" s="4"/>
    </row>
    <row r="962" ht="13.5" customHeight="1" spans="1:31" x14ac:dyDescent="0.25">
      <c r="A962" s="1"/>
      <c r="B962" s="4"/>
      <c r="C962" s="4"/>
      <c r="D962" s="4"/>
      <c r="E962" s="4"/>
      <c r="F962" s="4"/>
      <c r="G962" s="4"/>
      <c r="H962" s="4"/>
      <c r="I962" s="4"/>
      <c r="J962" s="4"/>
      <c r="K962" s="4"/>
      <c r="L962" s="4"/>
      <c r="M962" s="4"/>
      <c r="N962" s="4"/>
      <c r="O962" s="4"/>
      <c r="P962" s="4"/>
      <c r="Q962" s="4"/>
      <c r="R962" s="4"/>
      <c r="S962" s="4"/>
      <c r="T962" s="4"/>
      <c r="U962" s="4"/>
      <c r="V962" s="4"/>
      <c r="W962" s="4"/>
      <c r="X962" s="4"/>
      <c r="Y962" s="4"/>
      <c r="Z962" s="4"/>
      <c r="AA962" s="4"/>
      <c r="AB962" s="4"/>
      <c r="AC962" s="4"/>
      <c r="AD962" s="4"/>
      <c r="AE962" s="4"/>
    </row>
    <row r="963" ht="13.5" customHeight="1" spans="1:31" x14ac:dyDescent="0.25">
      <c r="A963" s="1"/>
      <c r="B963" s="4"/>
      <c r="C963" s="4"/>
      <c r="D963" s="4"/>
      <c r="E963" s="4"/>
      <c r="F963" s="4"/>
      <c r="G963" s="4"/>
      <c r="H963" s="4"/>
      <c r="I963" s="4"/>
      <c r="J963" s="4"/>
      <c r="K963" s="4"/>
      <c r="L963" s="4"/>
      <c r="M963" s="4"/>
      <c r="N963" s="4"/>
      <c r="O963" s="4"/>
      <c r="P963" s="4"/>
      <c r="Q963" s="4"/>
      <c r="R963" s="4"/>
      <c r="S963" s="4"/>
      <c r="T963" s="4"/>
      <c r="U963" s="4"/>
      <c r="V963" s="4"/>
      <c r="W963" s="4"/>
      <c r="X963" s="4"/>
      <c r="Y963" s="4"/>
      <c r="Z963" s="4"/>
      <c r="AA963" s="4"/>
      <c r="AB963" s="4"/>
      <c r="AC963" s="4"/>
      <c r="AD963" s="4"/>
      <c r="AE963" s="4"/>
    </row>
    <row r="964" ht="13.5" customHeight="1" spans="1:31" x14ac:dyDescent="0.25">
      <c r="A964" s="1"/>
      <c r="B964" s="4"/>
      <c r="C964" s="4"/>
      <c r="D964" s="4"/>
      <c r="E964" s="4"/>
      <c r="F964" s="4"/>
      <c r="G964" s="4"/>
      <c r="H964" s="4"/>
      <c r="I964" s="4"/>
      <c r="J964" s="4"/>
      <c r="K964" s="4"/>
      <c r="L964" s="4"/>
      <c r="M964" s="4"/>
      <c r="N964" s="4"/>
      <c r="O964" s="4"/>
      <c r="P964" s="4"/>
      <c r="Q964" s="4"/>
      <c r="R964" s="4"/>
      <c r="S964" s="4"/>
      <c r="T964" s="4"/>
      <c r="U964" s="4"/>
      <c r="V964" s="4"/>
      <c r="W964" s="4"/>
      <c r="X964" s="4"/>
      <c r="Y964" s="4"/>
      <c r="Z964" s="4"/>
      <c r="AA964" s="4"/>
      <c r="AB964" s="4"/>
      <c r="AC964" s="4"/>
      <c r="AD964" s="4"/>
      <c r="AE964" s="4"/>
    </row>
    <row r="965" ht="13.5" customHeight="1" spans="1:31" x14ac:dyDescent="0.25">
      <c r="A965" s="1"/>
      <c r="B965" s="4"/>
      <c r="C965" s="4"/>
      <c r="D965" s="4"/>
      <c r="E965" s="4"/>
      <c r="F965" s="4"/>
      <c r="G965" s="4"/>
      <c r="H965" s="4"/>
      <c r="I965" s="4"/>
      <c r="J965" s="4"/>
      <c r="K965" s="4"/>
      <c r="L965" s="4"/>
      <c r="M965" s="4"/>
      <c r="N965" s="4"/>
      <c r="O965" s="4"/>
      <c r="P965" s="4"/>
      <c r="Q965" s="4"/>
      <c r="R965" s="4"/>
      <c r="S965" s="4"/>
      <c r="T965" s="4"/>
      <c r="U965" s="4"/>
      <c r="V965" s="4"/>
      <c r="W965" s="4"/>
      <c r="X965" s="4"/>
      <c r="Y965" s="4"/>
      <c r="Z965" s="4"/>
      <c r="AA965" s="4"/>
      <c r="AB965" s="4"/>
      <c r="AC965" s="4"/>
      <c r="AD965" s="4"/>
      <c r="AE965" s="4"/>
    </row>
    <row r="966" ht="13.5" customHeight="1" spans="1:31" x14ac:dyDescent="0.25">
      <c r="A966" s="1"/>
      <c r="B966" s="4"/>
      <c r="C966" s="4"/>
      <c r="D966" s="4"/>
      <c r="E966" s="4"/>
      <c r="F966" s="4"/>
      <c r="G966" s="4"/>
      <c r="H966" s="4"/>
      <c r="I966" s="4"/>
      <c r="J966" s="4"/>
      <c r="K966" s="4"/>
      <c r="L966" s="4"/>
      <c r="M966" s="4"/>
      <c r="N966" s="4"/>
      <c r="O966" s="4"/>
      <c r="P966" s="4"/>
      <c r="Q966" s="4"/>
      <c r="R966" s="4"/>
      <c r="S966" s="4"/>
      <c r="T966" s="4"/>
      <c r="U966" s="4"/>
      <c r="V966" s="4"/>
      <c r="W966" s="4"/>
      <c r="X966" s="4"/>
      <c r="Y966" s="4"/>
      <c r="Z966" s="4"/>
      <c r="AA966" s="4"/>
      <c r="AB966" s="4"/>
      <c r="AC966" s="4"/>
      <c r="AD966" s="4"/>
      <c r="AE966" s="4"/>
    </row>
    <row r="967" ht="13.5" customHeight="1" spans="1:31" x14ac:dyDescent="0.25">
      <c r="A967" s="1"/>
      <c r="B967" s="4"/>
      <c r="C967" s="4"/>
      <c r="D967" s="4"/>
      <c r="E967" s="4"/>
      <c r="F967" s="4"/>
      <c r="G967" s="4"/>
      <c r="H967" s="4"/>
      <c r="I967" s="4"/>
      <c r="J967" s="4"/>
      <c r="K967" s="4"/>
      <c r="L967" s="4"/>
      <c r="M967" s="4"/>
      <c r="N967" s="4"/>
      <c r="O967" s="4"/>
      <c r="P967" s="4"/>
      <c r="Q967" s="4"/>
      <c r="R967" s="4"/>
      <c r="S967" s="4"/>
      <c r="T967" s="4"/>
      <c r="U967" s="4"/>
      <c r="V967" s="4"/>
      <c r="W967" s="4"/>
      <c r="X967" s="4"/>
      <c r="Y967" s="4"/>
      <c r="Z967" s="4"/>
      <c r="AA967" s="4"/>
      <c r="AB967" s="4"/>
      <c r="AC967" s="4"/>
      <c r="AD967" s="4"/>
      <c r="AE967" s="4"/>
    </row>
    <row r="968" ht="13.5" customHeight="1" spans="1:31" x14ac:dyDescent="0.25">
      <c r="A968" s="1"/>
      <c r="B968" s="4"/>
      <c r="C968" s="4"/>
      <c r="D968" s="4"/>
      <c r="E968" s="4"/>
      <c r="F968" s="4"/>
      <c r="G968" s="4"/>
      <c r="H968" s="4"/>
      <c r="I968" s="4"/>
      <c r="J968" s="4"/>
      <c r="K968" s="4"/>
      <c r="L968" s="4"/>
      <c r="M968" s="4"/>
      <c r="N968" s="4"/>
      <c r="O968" s="4"/>
      <c r="P968" s="4"/>
      <c r="Q968" s="4"/>
      <c r="R968" s="4"/>
      <c r="S968" s="4"/>
      <c r="T968" s="4"/>
      <c r="U968" s="4"/>
      <c r="V968" s="4"/>
      <c r="W968" s="4"/>
      <c r="X968" s="4"/>
      <c r="Y968" s="4"/>
      <c r="Z968" s="4"/>
      <c r="AA968" s="4"/>
      <c r="AB968" s="4"/>
      <c r="AC968" s="4"/>
      <c r="AD968" s="4"/>
      <c r="AE968" s="4"/>
    </row>
    <row r="969" ht="13.5" customHeight="1" spans="1:31" x14ac:dyDescent="0.25">
      <c r="A969" s="1"/>
      <c r="B969" s="4"/>
      <c r="C969" s="4"/>
      <c r="D969" s="4"/>
      <c r="E969" s="4"/>
      <c r="F969" s="4"/>
      <c r="G969" s="4"/>
      <c r="H969" s="4"/>
      <c r="I969" s="4"/>
      <c r="J969" s="4"/>
      <c r="K969" s="4"/>
      <c r="L969" s="4"/>
      <c r="M969" s="4"/>
      <c r="N969" s="4"/>
      <c r="O969" s="4"/>
      <c r="P969" s="4"/>
      <c r="Q969" s="4"/>
      <c r="R969" s="4"/>
      <c r="S969" s="4"/>
      <c r="T969" s="4"/>
      <c r="U969" s="4"/>
      <c r="V969" s="4"/>
      <c r="W969" s="4"/>
      <c r="X969" s="4"/>
      <c r="Y969" s="4"/>
      <c r="Z969" s="4"/>
      <c r="AA969" s="4"/>
      <c r="AB969" s="4"/>
      <c r="AC969" s="4"/>
      <c r="AD969" s="4"/>
      <c r="AE969" s="4"/>
    </row>
    <row r="970" ht="13.5" customHeight="1" spans="1:31" x14ac:dyDescent="0.25">
      <c r="A970" s="1"/>
      <c r="B970" s="4"/>
      <c r="C970" s="4"/>
      <c r="D970" s="4"/>
      <c r="E970" s="4"/>
      <c r="F970" s="4"/>
      <c r="G970" s="4"/>
      <c r="H970" s="4"/>
      <c r="I970" s="4"/>
      <c r="J970" s="4"/>
      <c r="K970" s="4"/>
      <c r="L970" s="4"/>
      <c r="M970" s="4"/>
      <c r="N970" s="4"/>
      <c r="O970" s="4"/>
      <c r="P970" s="4"/>
      <c r="Q970" s="4"/>
      <c r="R970" s="4"/>
      <c r="S970" s="4"/>
      <c r="T970" s="4"/>
      <c r="U970" s="4"/>
      <c r="V970" s="4"/>
      <c r="W970" s="4"/>
      <c r="X970" s="4"/>
      <c r="Y970" s="4"/>
      <c r="Z970" s="4"/>
      <c r="AA970" s="4"/>
      <c r="AB970" s="4"/>
      <c r="AC970" s="4"/>
      <c r="AD970" s="4"/>
      <c r="AE970" s="4"/>
    </row>
    <row r="971" ht="13.5" customHeight="1" spans="1:31" x14ac:dyDescent="0.25">
      <c r="A971" s="1"/>
      <c r="B971" s="4"/>
      <c r="C971" s="4"/>
      <c r="D971" s="4"/>
      <c r="E971" s="4"/>
      <c r="F971" s="4"/>
      <c r="G971" s="4"/>
      <c r="H971" s="4"/>
      <c r="I971" s="4"/>
      <c r="J971" s="4"/>
      <c r="K971" s="4"/>
      <c r="L971" s="4"/>
      <c r="M971" s="4"/>
      <c r="N971" s="4"/>
      <c r="O971" s="4"/>
      <c r="P971" s="4"/>
      <c r="Q971" s="4"/>
      <c r="R971" s="4"/>
      <c r="S971" s="4"/>
      <c r="T971" s="4"/>
      <c r="U971" s="4"/>
      <c r="V971" s="4"/>
      <c r="W971" s="4"/>
      <c r="X971" s="4"/>
      <c r="Y971" s="4"/>
      <c r="Z971" s="4"/>
      <c r="AA971" s="4"/>
      <c r="AB971" s="4"/>
      <c r="AC971" s="4"/>
      <c r="AD971" s="4"/>
      <c r="AE971" s="4"/>
    </row>
    <row r="972" ht="13.5" customHeight="1" spans="1:31" x14ac:dyDescent="0.25">
      <c r="A972" s="1"/>
      <c r="B972" s="4"/>
      <c r="C972" s="4"/>
      <c r="D972" s="4"/>
      <c r="E972" s="4"/>
      <c r="F972" s="4"/>
      <c r="G972" s="4"/>
      <c r="H972" s="4"/>
      <c r="I972" s="4"/>
      <c r="J972" s="4"/>
      <c r="K972" s="4"/>
      <c r="L972" s="4"/>
      <c r="M972" s="4"/>
      <c r="N972" s="4"/>
      <c r="O972" s="4"/>
      <c r="P972" s="4"/>
      <c r="Q972" s="4"/>
      <c r="R972" s="4"/>
      <c r="S972" s="4"/>
      <c r="T972" s="4"/>
      <c r="U972" s="4"/>
      <c r="V972" s="4"/>
      <c r="W972" s="4"/>
      <c r="X972" s="4"/>
      <c r="Y972" s="4"/>
      <c r="Z972" s="4"/>
      <c r="AA972" s="4"/>
      <c r="AB972" s="4"/>
      <c r="AC972" s="4"/>
      <c r="AD972" s="4"/>
      <c r="AE972" s="4"/>
    </row>
    <row r="973" ht="13.5" customHeight="1" spans="1:31" x14ac:dyDescent="0.25">
      <c r="A973" s="1"/>
      <c r="B973" s="4"/>
      <c r="C973" s="4"/>
      <c r="D973" s="4"/>
      <c r="E973" s="4"/>
      <c r="F973" s="4"/>
      <c r="G973" s="4"/>
      <c r="H973" s="4"/>
      <c r="I973" s="4"/>
      <c r="J973" s="4"/>
      <c r="K973" s="4"/>
      <c r="L973" s="4"/>
      <c r="M973" s="4"/>
      <c r="N973" s="4"/>
      <c r="O973" s="4"/>
      <c r="P973" s="4"/>
      <c r="Q973" s="4"/>
      <c r="R973" s="4"/>
      <c r="S973" s="4"/>
      <c r="T973" s="4"/>
      <c r="U973" s="4"/>
      <c r="V973" s="4"/>
      <c r="W973" s="4"/>
      <c r="X973" s="4"/>
      <c r="Y973" s="4"/>
      <c r="Z973" s="4"/>
      <c r="AA973" s="4"/>
      <c r="AB973" s="4"/>
      <c r="AC973" s="4"/>
      <c r="AD973" s="4"/>
      <c r="AE973" s="4"/>
    </row>
    <row r="974" ht="13.5" customHeight="1" spans="1:31" x14ac:dyDescent="0.25">
      <c r="A974" s="1"/>
      <c r="B974" s="4"/>
      <c r="C974" s="4"/>
      <c r="D974" s="4"/>
      <c r="E974" s="4"/>
      <c r="F974" s="4"/>
      <c r="G974" s="4"/>
      <c r="H974" s="4"/>
      <c r="I974" s="4"/>
      <c r="J974" s="4"/>
      <c r="K974" s="4"/>
      <c r="L974" s="4"/>
      <c r="M974" s="4"/>
      <c r="N974" s="4"/>
      <c r="O974" s="4"/>
      <c r="P974" s="4"/>
      <c r="Q974" s="4"/>
      <c r="R974" s="4"/>
      <c r="S974" s="4"/>
      <c r="T974" s="4"/>
      <c r="U974" s="4"/>
      <c r="V974" s="4"/>
      <c r="W974" s="4"/>
      <c r="X974" s="4"/>
      <c r="Y974" s="4"/>
      <c r="Z974" s="4"/>
      <c r="AA974" s="4"/>
      <c r="AB974" s="4"/>
      <c r="AC974" s="4"/>
      <c r="AD974" s="4"/>
      <c r="AE974" s="4"/>
    </row>
    <row r="975" ht="13.5" customHeight="1" spans="1:31" x14ac:dyDescent="0.25">
      <c r="A975" s="1"/>
      <c r="B975" s="4"/>
      <c r="C975" s="4"/>
      <c r="D975" s="4"/>
      <c r="E975" s="4"/>
      <c r="F975" s="4"/>
      <c r="G975" s="4"/>
      <c r="H975" s="4"/>
      <c r="I975" s="4"/>
      <c r="J975" s="4"/>
      <c r="K975" s="4"/>
      <c r="L975" s="4"/>
      <c r="M975" s="4"/>
      <c r="N975" s="4"/>
      <c r="O975" s="4"/>
      <c r="P975" s="4"/>
      <c r="Q975" s="4"/>
      <c r="R975" s="4"/>
      <c r="S975" s="4"/>
      <c r="T975" s="4"/>
      <c r="U975" s="4"/>
      <c r="V975" s="4"/>
      <c r="W975" s="4"/>
      <c r="X975" s="4"/>
      <c r="Y975" s="4"/>
      <c r="Z975" s="4"/>
      <c r="AA975" s="4"/>
      <c r="AB975" s="4"/>
      <c r="AC975" s="4"/>
      <c r="AD975" s="4"/>
      <c r="AE975" s="4"/>
    </row>
    <row r="976" ht="13.5" customHeight="1" spans="1:31" x14ac:dyDescent="0.25">
      <c r="A976" s="1"/>
      <c r="B976" s="4"/>
      <c r="C976" s="4"/>
      <c r="D976" s="4"/>
      <c r="E976" s="4"/>
      <c r="F976" s="4"/>
      <c r="G976" s="4"/>
      <c r="H976" s="4"/>
      <c r="I976" s="4"/>
      <c r="J976" s="4"/>
      <c r="K976" s="4"/>
      <c r="L976" s="4"/>
      <c r="M976" s="4"/>
      <c r="N976" s="4"/>
      <c r="O976" s="4"/>
      <c r="P976" s="4"/>
      <c r="Q976" s="4"/>
      <c r="R976" s="4"/>
      <c r="S976" s="4"/>
      <c r="T976" s="4"/>
      <c r="U976" s="4"/>
      <c r="V976" s="4"/>
      <c r="W976" s="4"/>
      <c r="X976" s="4"/>
      <c r="Y976" s="4"/>
      <c r="Z976" s="4"/>
      <c r="AA976" s="4"/>
      <c r="AB976" s="4"/>
      <c r="AC976" s="4"/>
      <c r="AD976" s="4"/>
      <c r="AE976" s="4"/>
    </row>
    <row r="977" ht="13.5" customHeight="1" spans="1:31" x14ac:dyDescent="0.25">
      <c r="A977" s="1"/>
      <c r="B977" s="4"/>
      <c r="C977" s="4"/>
      <c r="D977" s="4"/>
      <c r="E977" s="4"/>
      <c r="F977" s="4"/>
      <c r="G977" s="4"/>
      <c r="H977" s="4"/>
      <c r="I977" s="4"/>
      <c r="J977" s="4"/>
      <c r="K977" s="4"/>
      <c r="L977" s="4"/>
      <c r="M977" s="4"/>
      <c r="N977" s="4"/>
      <c r="O977" s="4"/>
      <c r="P977" s="4"/>
      <c r="Q977" s="4"/>
      <c r="R977" s="4"/>
      <c r="S977" s="4"/>
      <c r="T977" s="4"/>
      <c r="U977" s="4"/>
      <c r="V977" s="4"/>
      <c r="W977" s="4"/>
      <c r="X977" s="4"/>
      <c r="Y977" s="4"/>
      <c r="Z977" s="4"/>
      <c r="AA977" s="4"/>
      <c r="AB977" s="4"/>
      <c r="AC977" s="4"/>
      <c r="AD977" s="4"/>
      <c r="AE977" s="4"/>
    </row>
    <row r="978" ht="13.5" customHeight="1" spans="1:31" x14ac:dyDescent="0.25">
      <c r="A978" s="1"/>
      <c r="B978" s="4"/>
      <c r="C978" s="4"/>
      <c r="D978" s="4"/>
      <c r="E978" s="4"/>
      <c r="F978" s="4"/>
      <c r="G978" s="4"/>
      <c r="H978" s="4"/>
      <c r="I978" s="4"/>
      <c r="J978" s="4"/>
      <c r="K978" s="4"/>
      <c r="L978" s="4"/>
      <c r="M978" s="4"/>
      <c r="N978" s="4"/>
      <c r="O978" s="4"/>
      <c r="P978" s="4"/>
      <c r="Q978" s="4"/>
      <c r="R978" s="4"/>
      <c r="S978" s="4"/>
      <c r="T978" s="4"/>
      <c r="U978" s="4"/>
      <c r="V978" s="4"/>
      <c r="W978" s="4"/>
      <c r="X978" s="4"/>
      <c r="Y978" s="4"/>
      <c r="Z978" s="4"/>
      <c r="AA978" s="4"/>
      <c r="AB978" s="4"/>
      <c r="AC978" s="4"/>
      <c r="AD978" s="4"/>
      <c r="AE978" s="4"/>
    </row>
    <row r="979" ht="13.5" customHeight="1" spans="1:31" x14ac:dyDescent="0.25">
      <c r="A979" s="1"/>
      <c r="B979" s="4"/>
      <c r="C979" s="4"/>
      <c r="D979" s="4"/>
      <c r="E979" s="4"/>
      <c r="F979" s="4"/>
      <c r="G979" s="4"/>
      <c r="H979" s="4"/>
      <c r="I979" s="4"/>
      <c r="J979" s="4"/>
      <c r="K979" s="4"/>
      <c r="L979" s="4"/>
      <c r="M979" s="4"/>
      <c r="N979" s="4"/>
      <c r="O979" s="4"/>
      <c r="P979" s="4"/>
      <c r="Q979" s="4"/>
      <c r="R979" s="4"/>
      <c r="S979" s="4"/>
      <c r="T979" s="4"/>
      <c r="U979" s="4"/>
      <c r="V979" s="4"/>
      <c r="W979" s="4"/>
      <c r="X979" s="4"/>
      <c r="Y979" s="4"/>
      <c r="Z979" s="4"/>
      <c r="AA979" s="4"/>
      <c r="AB979" s="4"/>
      <c r="AC979" s="4"/>
      <c r="AD979" s="4"/>
      <c r="AE979" s="4"/>
    </row>
    <row r="980" ht="13.5" customHeight="1" spans="1:31" x14ac:dyDescent="0.25">
      <c r="A980" s="1"/>
      <c r="B980" s="4"/>
      <c r="C980" s="4"/>
      <c r="D980" s="4"/>
      <c r="E980" s="4"/>
      <c r="F980" s="4"/>
      <c r="G980" s="4"/>
      <c r="H980" s="4"/>
      <c r="I980" s="4"/>
      <c r="J980" s="4"/>
      <c r="K980" s="4"/>
      <c r="L980" s="4"/>
      <c r="M980" s="4"/>
      <c r="N980" s="4"/>
      <c r="O980" s="4"/>
      <c r="P980" s="4"/>
      <c r="Q980" s="4"/>
      <c r="R980" s="4"/>
      <c r="S980" s="4"/>
      <c r="T980" s="4"/>
      <c r="U980" s="4"/>
      <c r="V980" s="4"/>
      <c r="W980" s="4"/>
      <c r="X980" s="4"/>
      <c r="Y980" s="4"/>
      <c r="Z980" s="4"/>
      <c r="AA980" s="4"/>
      <c r="AB980" s="4"/>
      <c r="AC980" s="4"/>
      <c r="AD980" s="4"/>
      <c r="AE980" s="4"/>
    </row>
    <row r="981" ht="13.5" customHeight="1" spans="1:31" x14ac:dyDescent="0.25">
      <c r="A981" s="1"/>
      <c r="B981" s="4"/>
      <c r="C981" s="4"/>
      <c r="D981" s="4"/>
      <c r="E981" s="4"/>
      <c r="F981" s="4"/>
      <c r="G981" s="4"/>
      <c r="H981" s="4"/>
      <c r="I981" s="4"/>
      <c r="J981" s="4"/>
      <c r="K981" s="4"/>
      <c r="L981" s="4"/>
      <c r="M981" s="4"/>
      <c r="N981" s="4"/>
      <c r="O981" s="4"/>
      <c r="P981" s="4"/>
      <c r="Q981" s="4"/>
      <c r="R981" s="4"/>
      <c r="S981" s="4"/>
      <c r="T981" s="4"/>
      <c r="U981" s="4"/>
      <c r="V981" s="4"/>
      <c r="W981" s="4"/>
      <c r="X981" s="4"/>
      <c r="Y981" s="4"/>
      <c r="Z981" s="4"/>
      <c r="AA981" s="4"/>
      <c r="AB981" s="4"/>
      <c r="AC981" s="4"/>
      <c r="AD981" s="4"/>
      <c r="AE981" s="4"/>
    </row>
    <row r="982" ht="13.5" customHeight="1" spans="1:31" x14ac:dyDescent="0.25">
      <c r="A982" s="1"/>
      <c r="B982" s="4"/>
      <c r="C982" s="4"/>
      <c r="D982" s="4"/>
      <c r="E982" s="4"/>
      <c r="F982" s="4"/>
      <c r="G982" s="4"/>
      <c r="H982" s="4"/>
      <c r="I982" s="4"/>
      <c r="J982" s="4"/>
      <c r="K982" s="4"/>
      <c r="L982" s="4"/>
      <c r="M982" s="4"/>
      <c r="N982" s="4"/>
      <c r="O982" s="4"/>
      <c r="P982" s="4"/>
      <c r="Q982" s="4"/>
      <c r="R982" s="4"/>
      <c r="S982" s="4"/>
      <c r="T982" s="4"/>
      <c r="U982" s="4"/>
      <c r="V982" s="4"/>
      <c r="W982" s="4"/>
      <c r="X982" s="4"/>
      <c r="Y982" s="4"/>
      <c r="Z982" s="4"/>
      <c r="AA982" s="4"/>
      <c r="AB982" s="4"/>
      <c r="AC982" s="4"/>
      <c r="AD982" s="4"/>
      <c r="AE982" s="4"/>
    </row>
    <row r="983" ht="13.5" customHeight="1" spans="1:31" x14ac:dyDescent="0.25">
      <c r="A983" s="1"/>
      <c r="B983" s="4"/>
      <c r="C983" s="4"/>
      <c r="D983" s="4"/>
      <c r="E983" s="4"/>
      <c r="F983" s="4"/>
      <c r="G983" s="4"/>
      <c r="H983" s="4"/>
      <c r="I983" s="4"/>
      <c r="J983" s="4"/>
      <c r="K983" s="4"/>
      <c r="L983" s="4"/>
      <c r="M983" s="4"/>
      <c r="N983" s="4"/>
      <c r="O983" s="4"/>
      <c r="P983" s="4"/>
      <c r="Q983" s="4"/>
      <c r="R983" s="4"/>
      <c r="S983" s="4"/>
      <c r="T983" s="4"/>
      <c r="U983" s="4"/>
      <c r="V983" s="4"/>
      <c r="W983" s="4"/>
      <c r="X983" s="4"/>
      <c r="Y983" s="4"/>
      <c r="Z983" s="4"/>
      <c r="AA983" s="4"/>
      <c r="AB983" s="4"/>
      <c r="AC983" s="4"/>
      <c r="AD983" s="4"/>
      <c r="AE983" s="4"/>
    </row>
    <row r="984" ht="13.5" customHeight="1" spans="1:31" x14ac:dyDescent="0.25">
      <c r="A984" s="1"/>
      <c r="B984" s="4"/>
      <c r="C984" s="4"/>
      <c r="D984" s="4"/>
      <c r="E984" s="4"/>
      <c r="F984" s="4"/>
      <c r="G984" s="4"/>
      <c r="H984" s="4"/>
      <c r="I984" s="4"/>
      <c r="J984" s="4"/>
      <c r="K984" s="4"/>
      <c r="L984" s="4"/>
      <c r="M984" s="4"/>
      <c r="N984" s="4"/>
      <c r="O984" s="4"/>
      <c r="P984" s="4"/>
      <c r="Q984" s="4"/>
      <c r="R984" s="4"/>
      <c r="S984" s="4"/>
      <c r="T984" s="4"/>
      <c r="U984" s="4"/>
      <c r="V984" s="4"/>
      <c r="W984" s="4"/>
      <c r="X984" s="4"/>
      <c r="Y984" s="4"/>
      <c r="Z984" s="4"/>
      <c r="AA984" s="4"/>
      <c r="AB984" s="4"/>
      <c r="AC984" s="4"/>
      <c r="AD984" s="4"/>
      <c r="AE984" s="4"/>
    </row>
    <row r="985" ht="13.5" customHeight="1" spans="1:31" x14ac:dyDescent="0.25">
      <c r="A985" s="1"/>
      <c r="B985" s="4"/>
      <c r="C985" s="4"/>
      <c r="D985" s="4"/>
      <c r="E985" s="4"/>
      <c r="F985" s="4"/>
      <c r="G985" s="4"/>
      <c r="H985" s="4"/>
      <c r="I985" s="4"/>
      <c r="J985" s="4"/>
      <c r="K985" s="4"/>
      <c r="L985" s="4"/>
      <c r="M985" s="4"/>
      <c r="N985" s="4"/>
      <c r="O985" s="4"/>
      <c r="P985" s="4"/>
      <c r="Q985" s="4"/>
      <c r="R985" s="4"/>
      <c r="S985" s="4"/>
      <c r="T985" s="4"/>
      <c r="U985" s="4"/>
      <c r="V985" s="4"/>
      <c r="W985" s="4"/>
      <c r="X985" s="4"/>
      <c r="Y985" s="4"/>
      <c r="Z985" s="4"/>
      <c r="AA985" s="4"/>
      <c r="AB985" s="4"/>
      <c r="AC985" s="4"/>
      <c r="AD985" s="4"/>
      <c r="AE985" s="4"/>
    </row>
    <row r="986" ht="13.5" customHeight="1" spans="1:31" x14ac:dyDescent="0.25">
      <c r="A986" s="1"/>
      <c r="B986" s="4"/>
      <c r="C986" s="4"/>
      <c r="D986" s="4"/>
      <c r="E986" s="4"/>
      <c r="F986" s="4"/>
      <c r="G986" s="4"/>
      <c r="H986" s="4"/>
      <c r="I986" s="4"/>
      <c r="J986" s="4"/>
      <c r="K986" s="4"/>
      <c r="L986" s="4"/>
      <c r="M986" s="4"/>
      <c r="N986" s="4"/>
      <c r="O986" s="4"/>
      <c r="P986" s="4"/>
      <c r="Q986" s="4"/>
      <c r="R986" s="4"/>
      <c r="S986" s="4"/>
      <c r="T986" s="4"/>
      <c r="U986" s="4"/>
      <c r="V986" s="4"/>
      <c r="W986" s="4"/>
      <c r="X986" s="4"/>
      <c r="Y986" s="4"/>
      <c r="Z986" s="4"/>
      <c r="AA986" s="4"/>
      <c r="AB986" s="4"/>
      <c r="AC986" s="4"/>
      <c r="AD986" s="4"/>
      <c r="AE986" s="4"/>
    </row>
    <row r="987" ht="13.5" customHeight="1" spans="1:31" x14ac:dyDescent="0.25">
      <c r="A987" s="1"/>
      <c r="B987" s="4"/>
      <c r="C987" s="4"/>
      <c r="D987" s="4"/>
      <c r="E987" s="4"/>
      <c r="F987" s="4"/>
      <c r="G987" s="4"/>
      <c r="H987" s="4"/>
      <c r="I987" s="4"/>
      <c r="J987" s="4"/>
      <c r="K987" s="4"/>
      <c r="L987" s="4"/>
      <c r="M987" s="4"/>
      <c r="N987" s="4"/>
      <c r="O987" s="4"/>
      <c r="P987" s="4"/>
      <c r="Q987" s="4"/>
      <c r="R987" s="4"/>
      <c r="S987" s="4"/>
      <c r="T987" s="4"/>
      <c r="U987" s="4"/>
      <c r="V987" s="4"/>
      <c r="W987" s="4"/>
      <c r="X987" s="4"/>
      <c r="Y987" s="4"/>
      <c r="Z987" s="4"/>
      <c r="AA987" s="4"/>
      <c r="AB987" s="4"/>
      <c r="AC987" s="4"/>
      <c r="AD987" s="4"/>
      <c r="AE987" s="4"/>
    </row>
    <row r="988" ht="13.5" customHeight="1" spans="1:31" x14ac:dyDescent="0.25">
      <c r="A988" s="1"/>
      <c r="B988" s="4"/>
      <c r="C988" s="4"/>
      <c r="D988" s="4"/>
      <c r="E988" s="4"/>
      <c r="F988" s="4"/>
      <c r="G988" s="4"/>
      <c r="H988" s="4"/>
      <c r="I988" s="4"/>
      <c r="J988" s="4"/>
      <c r="K988" s="4"/>
      <c r="L988" s="4"/>
      <c r="M988" s="4"/>
      <c r="N988" s="4"/>
      <c r="O988" s="4"/>
      <c r="P988" s="4"/>
      <c r="Q988" s="4"/>
      <c r="R988" s="4"/>
      <c r="S988" s="4"/>
      <c r="T988" s="4"/>
      <c r="U988" s="4"/>
      <c r="V988" s="4"/>
      <c r="W988" s="4"/>
      <c r="X988" s="4"/>
      <c r="Y988" s="4"/>
      <c r="Z988" s="4"/>
      <c r="AA988" s="4"/>
      <c r="AB988" s="4"/>
      <c r="AC988" s="4"/>
      <c r="AD988" s="4"/>
      <c r="AE988" s="4"/>
    </row>
    <row r="989" ht="13.5" customHeight="1" spans="1:31" x14ac:dyDescent="0.25">
      <c r="A989" s="1"/>
      <c r="B989" s="4"/>
      <c r="C989" s="4"/>
      <c r="D989" s="4"/>
      <c r="E989" s="4"/>
      <c r="F989" s="4"/>
      <c r="G989" s="4"/>
      <c r="H989" s="4"/>
      <c r="I989" s="4"/>
      <c r="J989" s="4"/>
      <c r="K989" s="4"/>
      <c r="L989" s="4"/>
      <c r="M989" s="4"/>
      <c r="N989" s="4"/>
      <c r="O989" s="4"/>
      <c r="P989" s="4"/>
      <c r="Q989" s="4"/>
      <c r="R989" s="4"/>
      <c r="S989" s="4"/>
      <c r="T989" s="4"/>
      <c r="U989" s="4"/>
      <c r="V989" s="4"/>
      <c r="W989" s="4"/>
      <c r="X989" s="4"/>
      <c r="Y989" s="4"/>
      <c r="Z989" s="4"/>
      <c r="AA989" s="4"/>
      <c r="AB989" s="4"/>
      <c r="AC989" s="4"/>
      <c r="AD989" s="4"/>
      <c r="AE989" s="4"/>
    </row>
    <row r="990" ht="13.5" customHeight="1" spans="1:31" x14ac:dyDescent="0.25">
      <c r="A990" s="1"/>
      <c r="B990" s="4"/>
      <c r="C990" s="4"/>
      <c r="D990" s="4"/>
      <c r="E990" s="4"/>
      <c r="F990" s="4"/>
      <c r="G990" s="4"/>
      <c r="H990" s="4"/>
      <c r="I990" s="4"/>
      <c r="J990" s="4"/>
      <c r="K990" s="4"/>
      <c r="L990" s="4"/>
      <c r="M990" s="4"/>
      <c r="N990" s="4"/>
      <c r="O990" s="4"/>
      <c r="P990" s="4"/>
      <c r="Q990" s="4"/>
      <c r="R990" s="4"/>
      <c r="S990" s="4"/>
      <c r="T990" s="4"/>
      <c r="U990" s="4"/>
      <c r="V990" s="4"/>
      <c r="W990" s="4"/>
      <c r="X990" s="4"/>
      <c r="Y990" s="4"/>
      <c r="Z990" s="4"/>
      <c r="AA990" s="4"/>
      <c r="AB990" s="4"/>
      <c r="AC990" s="4"/>
      <c r="AD990" s="4"/>
      <c r="AE990" s="4"/>
    </row>
    <row r="991" ht="13.5" customHeight="1" spans="1:31" x14ac:dyDescent="0.25">
      <c r="A991" s="1"/>
      <c r="B991" s="4"/>
      <c r="C991" s="4"/>
      <c r="D991" s="4"/>
      <c r="E991" s="4"/>
      <c r="F991" s="4"/>
      <c r="G991" s="4"/>
      <c r="H991" s="4"/>
      <c r="I991" s="4"/>
      <c r="J991" s="4"/>
      <c r="K991" s="4"/>
      <c r="L991" s="4"/>
      <c r="M991" s="4"/>
      <c r="N991" s="4"/>
      <c r="O991" s="4"/>
      <c r="P991" s="4"/>
      <c r="Q991" s="4"/>
      <c r="R991" s="4"/>
      <c r="S991" s="4"/>
      <c r="T991" s="4"/>
      <c r="U991" s="4"/>
      <c r="V991" s="4"/>
      <c r="W991" s="4"/>
      <c r="X991" s="4"/>
      <c r="Y991" s="4"/>
      <c r="Z991" s="4"/>
      <c r="AA991" s="4"/>
      <c r="AB991" s="4"/>
      <c r="AC991" s="4"/>
      <c r="AD991" s="4"/>
      <c r="AE991" s="4"/>
    </row>
    <row r="992" ht="13.5" customHeight="1" spans="1:31" x14ac:dyDescent="0.25">
      <c r="A992" s="1"/>
      <c r="B992" s="4"/>
      <c r="C992" s="4"/>
      <c r="D992" s="4"/>
      <c r="E992" s="4"/>
      <c r="F992" s="4"/>
      <c r="G992" s="4"/>
      <c r="H992" s="4"/>
      <c r="I992" s="4"/>
      <c r="J992" s="4"/>
      <c r="K992" s="4"/>
      <c r="L992" s="4"/>
      <c r="M992" s="4"/>
      <c r="N992" s="4"/>
      <c r="O992" s="4"/>
      <c r="P992" s="4"/>
      <c r="Q992" s="4"/>
      <c r="R992" s="4"/>
      <c r="S992" s="4"/>
      <c r="T992" s="4"/>
      <c r="U992" s="4"/>
      <c r="V992" s="4"/>
      <c r="W992" s="4"/>
      <c r="X992" s="4"/>
      <c r="Y992" s="4"/>
      <c r="Z992" s="4"/>
      <c r="AA992" s="4"/>
      <c r="AB992" s="4"/>
      <c r="AC992" s="4"/>
      <c r="AD992" s="4"/>
      <c r="AE992" s="4"/>
    </row>
    <row r="993" ht="13.5" customHeight="1" spans="1:31" x14ac:dyDescent="0.25">
      <c r="A993" s="1"/>
      <c r="B993" s="4"/>
      <c r="C993" s="4"/>
      <c r="D993" s="4"/>
      <c r="E993" s="4"/>
      <c r="F993" s="4"/>
      <c r="G993" s="4"/>
      <c r="H993" s="4"/>
      <c r="I993" s="4"/>
      <c r="J993" s="4"/>
      <c r="K993" s="4"/>
      <c r="L993" s="4"/>
      <c r="M993" s="4"/>
      <c r="N993" s="4"/>
      <c r="O993" s="4"/>
      <c r="P993" s="4"/>
      <c r="Q993" s="4"/>
      <c r="R993" s="4"/>
      <c r="S993" s="4"/>
      <c r="T993" s="4"/>
      <c r="U993" s="4"/>
      <c r="V993" s="4"/>
      <c r="W993" s="4"/>
      <c r="X993" s="4"/>
      <c r="Y993" s="4"/>
      <c r="Z993" s="4"/>
      <c r="AA993" s="4"/>
      <c r="AB993" s="4"/>
      <c r="AC993" s="4"/>
      <c r="AD993" s="4"/>
      <c r="AE993" s="4"/>
    </row>
    <row r="994" ht="13.5" customHeight="1" spans="1:31" x14ac:dyDescent="0.25">
      <c r="A994" s="1"/>
      <c r="B994" s="4"/>
      <c r="C994" s="4"/>
      <c r="D994" s="4"/>
      <c r="E994" s="4"/>
      <c r="F994" s="4"/>
      <c r="G994" s="4"/>
      <c r="H994" s="4"/>
      <c r="I994" s="4"/>
      <c r="J994" s="4"/>
      <c r="K994" s="4"/>
      <c r="L994" s="4"/>
      <c r="M994" s="4"/>
      <c r="N994" s="4"/>
      <c r="O994" s="4"/>
      <c r="P994" s="4"/>
      <c r="Q994" s="4"/>
      <c r="R994" s="4"/>
      <c r="S994" s="4"/>
      <c r="T994" s="4"/>
      <c r="U994" s="4"/>
      <c r="V994" s="4"/>
      <c r="W994" s="4"/>
      <c r="X994" s="4"/>
      <c r="Y994" s="4"/>
      <c r="Z994" s="4"/>
      <c r="AA994" s="4"/>
      <c r="AB994" s="4"/>
      <c r="AC994" s="4"/>
      <c r="AD994" s="4"/>
      <c r="AE994" s="4"/>
    </row>
    <row r="995" ht="13.5" customHeight="1" spans="1:31" x14ac:dyDescent="0.25">
      <c r="A995" s="1"/>
      <c r="B995" s="4"/>
      <c r="C995" s="4"/>
      <c r="D995" s="4"/>
      <c r="E995" s="4"/>
      <c r="F995" s="4"/>
      <c r="G995" s="4"/>
      <c r="H995" s="4"/>
      <c r="I995" s="4"/>
      <c r="J995" s="4"/>
      <c r="K995" s="4"/>
      <c r="L995" s="4"/>
      <c r="M995" s="4"/>
      <c r="N995" s="4"/>
      <c r="O995" s="4"/>
      <c r="P995" s="4"/>
      <c r="Q995" s="4"/>
      <c r="R995" s="4"/>
      <c r="S995" s="4"/>
      <c r="T995" s="4"/>
      <c r="U995" s="4"/>
      <c r="V995" s="4"/>
      <c r="W995" s="4"/>
      <c r="X995" s="4"/>
      <c r="Y995" s="4"/>
      <c r="Z995" s="4"/>
      <c r="AA995" s="4"/>
      <c r="AB995" s="4"/>
      <c r="AC995" s="4"/>
      <c r="AD995" s="4"/>
      <c r="AE995" s="4"/>
    </row>
    <row r="996" ht="13.5" customHeight="1" spans="1:31" x14ac:dyDescent="0.25">
      <c r="A996" s="1"/>
      <c r="B996" s="4"/>
      <c r="C996" s="4"/>
      <c r="D996" s="4"/>
      <c r="E996" s="4"/>
      <c r="F996" s="4"/>
      <c r="G996" s="4"/>
      <c r="H996" s="4"/>
      <c r="I996" s="4"/>
      <c r="J996" s="4"/>
      <c r="K996" s="4"/>
      <c r="L996" s="4"/>
      <c r="M996" s="4"/>
      <c r="N996" s="4"/>
      <c r="O996" s="4"/>
      <c r="P996" s="4"/>
      <c r="Q996" s="4"/>
      <c r="R996" s="4"/>
      <c r="S996" s="4"/>
      <c r="T996" s="4"/>
      <c r="U996" s="4"/>
      <c r="V996" s="4"/>
      <c r="W996" s="4"/>
      <c r="X996" s="4"/>
      <c r="Y996" s="4"/>
      <c r="Z996" s="4"/>
      <c r="AA996" s="4"/>
      <c r="AB996" s="4"/>
      <c r="AC996" s="4"/>
      <c r="AD996" s="4"/>
      <c r="AE996" s="4"/>
    </row>
    <row r="997" ht="13.5" customHeight="1" spans="1:31" x14ac:dyDescent="0.25">
      <c r="A997" s="1"/>
      <c r="B997" s="4"/>
      <c r="C997" s="4"/>
      <c r="D997" s="4"/>
      <c r="E997" s="4"/>
      <c r="F997" s="4"/>
      <c r="G997" s="4"/>
      <c r="H997" s="4"/>
      <c r="I997" s="4"/>
      <c r="J997" s="4"/>
      <c r="K997" s="4"/>
      <c r="L997" s="4"/>
      <c r="M997" s="4"/>
      <c r="N997" s="4"/>
      <c r="O997" s="4"/>
      <c r="P997" s="4"/>
      <c r="Q997" s="4"/>
      <c r="R997" s="4"/>
      <c r="S997" s="4"/>
      <c r="T997" s="4"/>
      <c r="U997" s="4"/>
      <c r="V997" s="4"/>
      <c r="W997" s="4"/>
      <c r="X997" s="4"/>
      <c r="Y997" s="4"/>
      <c r="Z997" s="4"/>
      <c r="AA997" s="4"/>
      <c r="AB997" s="4"/>
      <c r="AC997" s="4"/>
      <c r="AD997" s="4"/>
      <c r="AE997" s="4"/>
    </row>
    <row r="998" ht="13.5" customHeight="1" spans="1:31" x14ac:dyDescent="0.25">
      <c r="A998" s="1"/>
      <c r="B998" s="4"/>
      <c r="C998" s="4"/>
      <c r="D998" s="4"/>
      <c r="E998" s="4"/>
      <c r="F998" s="4"/>
      <c r="G998" s="4"/>
      <c r="H998" s="4"/>
      <c r="I998" s="4"/>
      <c r="J998" s="4"/>
      <c r="K998" s="4"/>
      <c r="L998" s="4"/>
      <c r="M998" s="4"/>
      <c r="N998" s="4"/>
      <c r="O998" s="4"/>
      <c r="P998" s="4"/>
      <c r="Q998" s="4"/>
      <c r="R998" s="4"/>
      <c r="S998" s="4"/>
      <c r="T998" s="4"/>
      <c r="U998" s="4"/>
      <c r="V998" s="4"/>
      <c r="W998" s="4"/>
      <c r="X998" s="4"/>
      <c r="Y998" s="4"/>
      <c r="Z998" s="4"/>
      <c r="AA998" s="4"/>
      <c r="AB998" s="4"/>
      <c r="AC998" s="4"/>
      <c r="AD998" s="4"/>
      <c r="AE998" s="4"/>
    </row>
    <row r="999" ht="13.5" customHeight="1" spans="1:31" x14ac:dyDescent="0.25">
      <c r="A999" s="1"/>
      <c r="B999" s="4"/>
      <c r="C999" s="4"/>
      <c r="D999" s="4"/>
      <c r="E999" s="4"/>
      <c r="F999" s="4"/>
      <c r="G999" s="4"/>
      <c r="H999" s="4"/>
      <c r="I999" s="4"/>
      <c r="J999" s="4"/>
      <c r="K999" s="4"/>
      <c r="L999" s="4"/>
      <c r="M999" s="4"/>
      <c r="N999" s="4"/>
      <c r="O999" s="4"/>
      <c r="P999" s="4"/>
      <c r="Q999" s="4"/>
      <c r="R999" s="4"/>
      <c r="S999" s="4"/>
      <c r="T999" s="4"/>
      <c r="U999" s="4"/>
      <c r="V999" s="4"/>
      <c r="W999" s="4"/>
      <c r="X999" s="4"/>
      <c r="Y999" s="4"/>
      <c r="Z999" s="4"/>
      <c r="AA999" s="4"/>
      <c r="AB999" s="4"/>
      <c r="AC999" s="4"/>
      <c r="AD999" s="4"/>
      <c r="AE999" s="4"/>
    </row>
    <row r="1000" ht="13.5" customHeight="1" spans="1:31" x14ac:dyDescent="0.25">
      <c r="A1000" s="1"/>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c r="AA1000" s="4"/>
      <c r="AB1000" s="4"/>
      <c r="AC1000" s="4"/>
      <c r="AD1000" s="4"/>
      <c r="AE1000" s="4"/>
    </row>
  </sheetData>
  <mergeCells count="6">
    <mergeCell ref="G5:S5"/>
    <mergeCell ref="T5:AA5"/>
    <mergeCell ref="G31:S31"/>
    <mergeCell ref="T31:AA31"/>
    <mergeCell ref="G72:S72"/>
    <mergeCell ref="T72:AA72"/>
  </mergeCells>
  <pageMargins left="0.7" right="0.7" top="0.75" bottom="0.75" header="0" footer="0"/>
  <pageSetup orientation="portrait" horizontalDpi="4294967295" verticalDpi="4294967295" scale="45" fitToWidth="1" fitToHeight="1" firstPageNumber="1" useFirstPageNumber="1" copies="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8000"/>
    <pageSetUpPr fitToPage="1"/>
  </sheetPr>
  <dimension ref="A1:AD1000"/>
  <sheetViews>
    <sheetView workbookViewId="0" showGridLines="0" zoomScale="100" zoomScaleNormal="100"/>
  </sheetViews>
  <sheetFormatPr defaultRowHeight="15" outlineLevelRow="0" outlineLevelCol="0" x14ac:dyDescent="0" defaultColWidth="14.5"/>
  <cols>
    <col min="1" max="1" width="0.83203125" customWidth="1"/>
    <col min="2" max="2" width="25.5" customWidth="1"/>
    <col min="3" max="4" width="5.6640625" customWidth="1"/>
    <col min="5" max="6" width="9.83203125" customWidth="1"/>
    <col min="7" max="7" width="11.5" customWidth="1"/>
    <col min="8" max="8" width="10.83203125" customWidth="1"/>
    <col min="9" max="10" width="10.5" customWidth="1"/>
    <col min="11" max="11" width="11" customWidth="1"/>
    <col min="12" max="12" width="1.6640625" customWidth="1"/>
    <col min="13" max="13" width="9.83203125" customWidth="1"/>
    <col min="14" max="14" width="1.6640625" customWidth="1"/>
    <col min="15" max="15" width="12" customWidth="1"/>
    <col min="16" max="16" width="0.83203125" customWidth="1"/>
    <col min="17" max="17" width="8.6640625" customWidth="1"/>
    <col min="18" max="18" width="19" customWidth="1"/>
    <col min="19" max="19" width="14.1640625" customWidth="1"/>
    <col min="20" max="22" width="13.1640625" customWidth="1"/>
    <col min="23" max="23" width="8.6640625" customWidth="1"/>
    <col min="24" max="24" width="13.83203125" customWidth="1"/>
    <col min="25" max="30" width="8.6640625" customWidth="1"/>
  </cols>
  <sheetData>
    <row r="1" ht="13.5" customHeight="1" spans="1:30" x14ac:dyDescent="0.25">
      <c r="A1" s="4"/>
      <c r="B1" s="166" t="str">
        <f ca="1">Company_Name&amp;" "&amp;"("&amp;Ticker&amp;")"&amp;" Valuation Overview"</f>
        <v>Lowe's Companies, Inc. (LOW) Valuation Overview</v>
      </c>
      <c r="C1" s="4"/>
      <c r="D1" s="4"/>
      <c r="E1" s="4"/>
      <c r="F1" s="4"/>
      <c r="G1" s="4"/>
      <c r="H1" s="4"/>
      <c r="I1" s="4"/>
      <c r="J1" s="167"/>
      <c r="K1" s="139" t="s">
        <v>136</v>
      </c>
      <c r="L1" s="66"/>
      <c r="M1" s="66"/>
      <c r="N1" s="168" t="str">
        <f ca="1">Case_Scenario&amp;" Case"</f>
        <v>Base Case</v>
      </c>
      <c r="O1" s="66"/>
      <c r="P1" s="4"/>
      <c r="Q1" s="4"/>
      <c r="R1" s="16" t="s">
        <v>137</v>
      </c>
      <c r="S1" s="16" t="str">
        <f ca="1">IF(N1="Base Case","","Check!")</f>
        <v/>
      </c>
      <c r="T1" s="16"/>
      <c r="U1" s="16"/>
      <c r="V1" s="4"/>
      <c r="W1" s="16"/>
      <c r="X1" s="16"/>
      <c r="Y1" s="47" t="s">
        <v>138</v>
      </c>
      <c r="Z1" s="16"/>
      <c r="AA1" s="16"/>
      <c r="AB1" s="16"/>
      <c r="AC1" s="16"/>
      <c r="AD1" s="16"/>
    </row>
    <row r="2" ht="15.75" customHeight="1" spans="1:30" x14ac:dyDescent="0.25">
      <c r="A2" s="4"/>
      <c r="B2" s="16" t="str">
        <f ca="1">Cover!C2</f>
        <v>$ in Millions Except Per Share Data</v>
      </c>
      <c r="C2" s="4"/>
      <c r="D2" s="4"/>
      <c r="E2" s="4"/>
      <c r="F2" s="4"/>
      <c r="G2" s="4"/>
      <c r="H2" s="4"/>
      <c r="I2" s="4"/>
      <c r="J2" s="4"/>
      <c r="K2" s="16" t="s">
        <v>139</v>
      </c>
      <c r="L2" s="66"/>
      <c r="M2" s="66"/>
      <c r="N2" s="66"/>
      <c r="O2" s="169">
        <f ca="1">Share_Price</f>
        <v>233.18</v>
      </c>
      <c r="P2" s="4"/>
      <c r="Q2" s="4"/>
      <c r="R2" s="4"/>
      <c r="S2" s="4"/>
      <c r="T2" s="4"/>
      <c r="U2" s="4"/>
      <c r="V2" s="4"/>
      <c r="W2" s="16"/>
      <c r="X2" s="16"/>
      <c r="Y2" s="47" t="s">
        <v>140</v>
      </c>
      <c r="Z2" s="16"/>
      <c r="AA2" s="16"/>
      <c r="AB2" s="16"/>
      <c r="AC2" s="16"/>
      <c r="AD2" s="16"/>
    </row>
    <row r="3" ht="17.25" customHeight="1" spans="1:30" x14ac:dyDescent="0.25">
      <c r="A3" s="4"/>
      <c r="B3" s="4"/>
      <c r="C3" s="4"/>
      <c r="D3" s="4"/>
      <c r="E3" s="4"/>
      <c r="F3" s="4"/>
      <c r="G3" s="4"/>
      <c r="H3" s="4"/>
      <c r="I3" s="4"/>
      <c r="J3" s="4"/>
      <c r="K3" s="16" t="s">
        <v>141</v>
      </c>
      <c r="L3" s="66"/>
      <c r="M3" s="66"/>
      <c r="N3" s="66"/>
      <c r="O3" s="170">
        <f ca="1">Current_Date</f>
        <v>45903</v>
      </c>
      <c r="P3" s="66"/>
      <c r="Q3" s="4"/>
      <c r="R3" s="4"/>
      <c r="S3" s="4"/>
      <c r="T3" s="4"/>
      <c r="U3" s="4"/>
      <c r="V3" s="16"/>
      <c r="W3" s="16"/>
      <c r="X3" s="16"/>
      <c r="Y3" s="16"/>
      <c r="Z3" s="16"/>
      <c r="AA3" s="16"/>
      <c r="AB3" s="16"/>
      <c r="AC3" s="16"/>
      <c r="AD3" s="16"/>
    </row>
    <row r="4" ht="15.75" customHeight="1" spans="1:30" x14ac:dyDescent="0.25">
      <c r="A4" s="4"/>
      <c r="B4" s="171" t="str">
        <f ca="1">"Multiples Analysis "&amp;"("&amp;S21&amp;")"</f>
        <v>Multiples Analysis (P/E)</v>
      </c>
      <c r="C4" s="172"/>
      <c r="D4" s="172"/>
      <c r="E4" s="172"/>
      <c r="F4" s="172"/>
      <c r="G4" s="173"/>
      <c r="H4" s="4"/>
      <c r="I4" s="174" t="s">
        <v>142</v>
      </c>
      <c r="J4" s="175"/>
      <c r="K4" s="175"/>
      <c r="L4" s="175"/>
      <c r="M4" s="175"/>
      <c r="N4" s="175"/>
      <c r="O4" s="176"/>
      <c r="P4" s="4"/>
      <c r="Q4" s="4"/>
      <c r="R4" s="4"/>
      <c r="S4" s="4"/>
      <c r="T4" s="4"/>
      <c r="U4" s="4"/>
      <c r="V4" s="16"/>
      <c r="W4" s="16"/>
      <c r="X4" s="16"/>
      <c r="Y4" s="16"/>
      <c r="Z4" s="16"/>
      <c r="AA4" s="16"/>
      <c r="AB4" s="16"/>
      <c r="AC4" s="16"/>
      <c r="AD4" s="16"/>
    </row>
    <row r="5" ht="4.5" customHeight="1" spans="1:30" x14ac:dyDescent="0.25">
      <c r="A5" s="4"/>
      <c r="B5" s="4"/>
      <c r="C5" s="4"/>
      <c r="D5" s="4"/>
      <c r="E5" s="4"/>
      <c r="F5" s="4"/>
      <c r="G5" s="4"/>
      <c r="H5" s="4"/>
      <c r="I5" s="177"/>
      <c r="O5" s="178"/>
      <c r="P5" s="4"/>
      <c r="Q5" s="4"/>
      <c r="R5" s="4"/>
      <c r="S5" s="4"/>
      <c r="T5" s="4"/>
      <c r="U5" s="4"/>
      <c r="V5" s="16"/>
      <c r="W5" s="16"/>
      <c r="X5" s="16"/>
      <c r="Y5" s="16"/>
      <c r="Z5" s="16"/>
      <c r="AA5" s="16"/>
      <c r="AB5" s="16"/>
      <c r="AC5" s="16"/>
      <c r="AD5" s="16"/>
    </row>
    <row r="6" ht="15.75" customHeight="1" spans="1:30" x14ac:dyDescent="0.25">
      <c r="A6" s="4"/>
      <c r="B6" s="4"/>
      <c r="C6" s="4"/>
      <c r="D6" s="4"/>
      <c r="E6" s="4"/>
      <c r="F6" s="4"/>
      <c r="G6" s="4"/>
      <c r="H6" s="4"/>
      <c r="I6" s="179" t="s">
        <v>11</v>
      </c>
      <c r="J6" s="22"/>
      <c r="K6" s="22"/>
      <c r="L6" s="22"/>
      <c r="M6" s="22"/>
      <c r="N6" s="22"/>
      <c r="O6" s="7"/>
      <c r="P6" s="4"/>
      <c r="Q6" s="4"/>
      <c r="R6" s="4"/>
      <c r="S6" s="4"/>
      <c r="T6" s="4"/>
      <c r="U6" s="4"/>
      <c r="V6" s="16"/>
      <c r="W6" s="16"/>
      <c r="X6" s="16"/>
      <c r="Y6" s="16"/>
      <c r="Z6" s="16"/>
      <c r="AA6" s="16"/>
      <c r="AB6" s="16"/>
      <c r="AC6" s="16"/>
      <c r="AD6" s="16"/>
    </row>
    <row r="7" ht="15.75" customHeight="1" spans="1:30" x14ac:dyDescent="0.25">
      <c r="A7" s="4"/>
      <c r="B7" s="4"/>
      <c r="C7" s="4"/>
      <c r="D7" s="4"/>
      <c r="E7" s="4"/>
      <c r="F7" s="4"/>
      <c r="G7" s="4"/>
      <c r="H7" s="29"/>
      <c r="I7" s="16" t="str">
        <f ca="1">Cover!I9</f>
        <v>Implied Enterprise Value:</v>
      </c>
      <c r="J7" s="16"/>
      <c r="K7" s="16"/>
      <c r="L7" s="16"/>
      <c r="M7" s="16"/>
      <c r="N7" s="180">
        <f ca="1">Cover!L9</f>
        <v>-59687.77043366926</v>
      </c>
      <c r="O7" s="181"/>
      <c r="Q7" s="4"/>
      <c r="R7" s="4"/>
      <c r="S7" s="4"/>
      <c r="T7" s="4"/>
      <c r="U7" s="4"/>
      <c r="V7" s="16"/>
      <c r="W7" s="16"/>
      <c r="X7" s="16"/>
      <c r="Y7" s="16"/>
      <c r="Z7" s="16"/>
      <c r="AA7" s="16"/>
      <c r="AB7" s="16"/>
      <c r="AC7" s="16"/>
      <c r="AD7" s="16"/>
    </row>
    <row r="8" ht="15.75" customHeight="1" spans="1:30" x14ac:dyDescent="0.25">
      <c r="A8" s="4"/>
      <c r="B8" s="4"/>
      <c r="C8" s="4"/>
      <c r="D8" s="4"/>
      <c r="E8" s="4"/>
      <c r="F8" s="4"/>
      <c r="G8" s="4"/>
      <c r="H8" s="29"/>
      <c r="I8" s="93" t="str">
        <f ca="1">Cover!I10</f>
        <v>Implied Equity Value:</v>
      </c>
      <c r="J8" s="93"/>
      <c r="K8" s="93"/>
      <c r="L8" s="93"/>
      <c r="M8" s="93"/>
      <c r="N8" s="182">
        <f ca="1">Cover!L10</f>
        <v>-76743.77043366927</v>
      </c>
      <c r="O8" s="183"/>
      <c r="Q8" s="4"/>
      <c r="R8" s="4"/>
      <c r="S8" s="4"/>
      <c r="T8" s="4"/>
      <c r="U8" s="4"/>
      <c r="V8" s="16"/>
      <c r="W8" s="16"/>
      <c r="X8" s="16"/>
      <c r="Y8" s="16"/>
      <c r="Z8" s="16"/>
      <c r="AA8" s="16"/>
      <c r="AB8" s="16"/>
      <c r="AC8" s="16"/>
      <c r="AD8" s="16"/>
    </row>
    <row r="9" ht="15.75" customHeight="1" spans="1:30" x14ac:dyDescent="0.25">
      <c r="A9" s="4"/>
      <c r="B9" s="4"/>
      <c r="C9" s="4"/>
      <c r="D9" s="4"/>
      <c r="E9" s="4"/>
      <c r="F9" s="4"/>
      <c r="G9" s="4"/>
      <c r="H9" s="29"/>
      <c r="I9" s="16" t="str">
        <f ca="1">Cover!I12</f>
        <v>Implied Share Price:</v>
      </c>
      <c r="J9" s="16"/>
      <c r="K9" s="16"/>
      <c r="L9" s="16"/>
      <c r="M9" s="16"/>
      <c r="N9" s="184">
        <f ca="1">Cover!L12</f>
        <v>-108.54847303206402</v>
      </c>
      <c r="O9" s="185"/>
      <c r="Q9" s="4"/>
      <c r="R9" s="4"/>
      <c r="S9" s="4"/>
      <c r="T9" s="4"/>
      <c r="U9" s="4"/>
      <c r="V9" s="16"/>
      <c r="W9" s="16"/>
      <c r="X9" s="16"/>
      <c r="Y9" s="16"/>
      <c r="Z9" s="16"/>
      <c r="AA9" s="16"/>
      <c r="AB9" s="16"/>
      <c r="AC9" s="16"/>
      <c r="AD9" s="16"/>
    </row>
    <row r="10" ht="15.75" customHeight="1" spans="1:30" x14ac:dyDescent="0.25">
      <c r="A10" s="4"/>
      <c r="B10" s="4"/>
      <c r="C10" s="4"/>
      <c r="D10" s="4"/>
      <c r="E10" s="4"/>
      <c r="F10" s="4"/>
      <c r="G10" s="4"/>
      <c r="H10" s="29"/>
      <c r="I10" s="131" t="str">
        <f ca="1">Cover!I13</f>
        <v>% Return:</v>
      </c>
      <c r="J10" s="131"/>
      <c r="K10" s="131"/>
      <c r="L10" s="131"/>
      <c r="M10" s="131"/>
      <c r="N10" s="186">
        <f ca="1">Cover!L13</f>
        <v>1e-12</v>
      </c>
      <c r="O10" s="187"/>
      <c r="Q10" s="4"/>
      <c r="R10" s="4"/>
      <c r="S10" s="4"/>
      <c r="T10" s="4"/>
      <c r="U10" s="4"/>
      <c r="V10" s="16"/>
      <c r="W10" s="16"/>
      <c r="X10" s="16"/>
      <c r="Y10" s="16"/>
      <c r="Z10" s="16"/>
      <c r="AA10" s="16"/>
      <c r="AB10" s="16"/>
      <c r="AC10" s="16"/>
      <c r="AD10" s="16"/>
    </row>
    <row r="11" ht="4.5" customHeight="1" spans="1:30" x14ac:dyDescent="0.25">
      <c r="A11" s="4"/>
      <c r="B11" s="4"/>
      <c r="C11" s="4"/>
      <c r="D11" s="4"/>
      <c r="E11" s="4"/>
      <c r="F11" s="4"/>
      <c r="G11" s="4"/>
      <c r="H11" s="4"/>
      <c r="I11" s="188"/>
      <c r="J11" s="16"/>
      <c r="K11" s="16"/>
      <c r="L11" s="16"/>
      <c r="M11" s="16"/>
      <c r="N11" s="16"/>
      <c r="O11" s="189"/>
      <c r="Q11" s="4"/>
      <c r="R11" s="4"/>
      <c r="S11" s="4"/>
      <c r="T11" s="4"/>
      <c r="U11" s="4"/>
      <c r="V11" s="16"/>
      <c r="W11" s="16"/>
      <c r="X11" s="16"/>
      <c r="Y11" s="16"/>
      <c r="Z11" s="16"/>
      <c r="AA11" s="16"/>
      <c r="AB11" s="16"/>
      <c r="AC11" s="16"/>
      <c r="AD11" s="16"/>
    </row>
    <row r="12" ht="15.75" customHeight="1" spans="1:30" x14ac:dyDescent="0.25">
      <c r="A12" s="4"/>
      <c r="B12" s="4"/>
      <c r="C12" s="4"/>
      <c r="D12" s="4"/>
      <c r="E12" s="4"/>
      <c r="F12" s="4"/>
      <c r="G12" s="4"/>
      <c r="H12" s="4"/>
      <c r="I12" s="179" t="str">
        <f ca="1">Cover!I15</f>
        <v>Perpetuity Growth Method</v>
      </c>
      <c r="J12" s="22"/>
      <c r="K12" s="22"/>
      <c r="L12" s="22"/>
      <c r="M12" s="22"/>
      <c r="N12" s="22"/>
      <c r="O12" s="7"/>
      <c r="Q12" s="4"/>
      <c r="R12" s="4"/>
      <c r="S12" s="4"/>
      <c r="T12" s="4"/>
      <c r="U12" s="4"/>
      <c r="V12" s="16"/>
      <c r="W12" s="16"/>
      <c r="X12" s="16"/>
      <c r="Y12" s="16"/>
      <c r="Z12" s="16"/>
      <c r="AA12" s="16"/>
      <c r="AB12" s="16"/>
      <c r="AC12" s="16"/>
      <c r="AD12" s="16"/>
    </row>
    <row r="13" ht="15.75" customHeight="1" spans="1:30" x14ac:dyDescent="0.25">
      <c r="A13" s="4"/>
      <c r="B13" s="4"/>
      <c r="C13" s="4"/>
      <c r="D13" s="4"/>
      <c r="E13" s="4"/>
      <c r="F13" s="4"/>
      <c r="G13" s="4"/>
      <c r="H13" s="4"/>
      <c r="I13" s="190" t="str">
        <f ca="1">Cover!I16</f>
        <v>Implied Enterprise Value:</v>
      </c>
      <c r="J13" s="132"/>
      <c r="K13" s="132"/>
      <c r="L13" s="132"/>
      <c r="M13" s="132"/>
      <c r="N13" s="180">
        <f ca="1">Cover!L16</f>
        <v>1844.5806943319185</v>
      </c>
      <c r="O13" s="181"/>
      <c r="Q13" s="4"/>
      <c r="R13" s="4"/>
      <c r="S13" s="4"/>
      <c r="T13" s="4"/>
      <c r="U13" s="4"/>
      <c r="V13" s="16"/>
      <c r="W13" s="16"/>
      <c r="X13" s="16"/>
      <c r="Y13" s="16"/>
      <c r="Z13" s="16"/>
      <c r="AA13" s="16"/>
      <c r="AB13" s="16"/>
      <c r="AC13" s="16"/>
      <c r="AD13" s="16"/>
    </row>
    <row r="14" ht="15.75" customHeight="1" spans="1:30" x14ac:dyDescent="0.25">
      <c r="A14" s="4"/>
      <c r="B14" s="4"/>
      <c r="C14" s="4"/>
      <c r="D14" s="4"/>
      <c r="E14" s="4"/>
      <c r="F14" s="4"/>
      <c r="G14" s="4"/>
      <c r="H14" s="4"/>
      <c r="I14" s="191" t="str">
        <f ca="1">Cover!I17</f>
        <v>Implied Equity Value:</v>
      </c>
      <c r="J14" s="93"/>
      <c r="K14" s="93"/>
      <c r="L14" s="93"/>
      <c r="M14" s="93"/>
      <c r="N14" s="182">
        <f ca="1">Cover!L17</f>
        <v>-15211.419305668082</v>
      </c>
      <c r="O14" s="183"/>
      <c r="Q14" s="4"/>
      <c r="AB14" s="16"/>
      <c r="AC14" s="16"/>
      <c r="AD14" s="16"/>
    </row>
    <row r="15" ht="15.75" customHeight="1" spans="1:30" x14ac:dyDescent="0.25">
      <c r="A15" s="4"/>
      <c r="B15" s="4"/>
      <c r="C15" s="4"/>
      <c r="D15" s="4"/>
      <c r="E15" s="4"/>
      <c r="F15" s="4"/>
      <c r="G15" s="4"/>
      <c r="H15" s="4"/>
      <c r="I15" s="188" t="str">
        <f ca="1">Cover!I19</f>
        <v>Implied Share Price:</v>
      </c>
      <c r="J15" s="16"/>
      <c r="K15" s="16"/>
      <c r="L15" s="16"/>
      <c r="M15" s="16"/>
      <c r="N15" s="184">
        <f ca="1">Cover!L19</f>
        <v>-21.515444562472535</v>
      </c>
      <c r="O15" s="185"/>
      <c r="Q15" s="4"/>
      <c r="AB15" s="16"/>
      <c r="AC15" s="16"/>
      <c r="AD15" s="16"/>
    </row>
    <row r="16" ht="15.75" customHeight="1" spans="1:30" x14ac:dyDescent="0.25">
      <c r="A16" s="4"/>
      <c r="B16" s="4"/>
      <c r="C16" s="4"/>
      <c r="D16" s="4"/>
      <c r="E16" s="4"/>
      <c r="F16" s="4"/>
      <c r="G16" s="4"/>
      <c r="H16" s="4"/>
      <c r="I16" s="192" t="str">
        <f ca="1">Cover!I20</f>
        <v>% Return:</v>
      </c>
      <c r="J16" s="131"/>
      <c r="K16" s="131"/>
      <c r="L16" s="131"/>
      <c r="M16" s="131"/>
      <c r="N16" s="186">
        <f ca="1">Cover!L20</f>
        <v>1e-12</v>
      </c>
      <c r="O16" s="187"/>
      <c r="Q16" s="4"/>
      <c r="AB16" s="16"/>
      <c r="AC16" s="16"/>
      <c r="AD16" s="16"/>
    </row>
    <row r="17" ht="4.5" customHeight="1" spans="1:30" x14ac:dyDescent="0.25">
      <c r="A17" s="4"/>
      <c r="B17" s="4"/>
      <c r="C17" s="4"/>
      <c r="D17" s="4"/>
      <c r="E17" s="4"/>
      <c r="F17" s="4"/>
      <c r="G17" s="4"/>
      <c r="H17" s="4"/>
      <c r="I17" s="4"/>
      <c r="J17" s="4"/>
      <c r="K17" s="4"/>
      <c r="L17" s="4"/>
      <c r="M17" s="4"/>
      <c r="N17" s="4"/>
      <c r="O17" s="4"/>
      <c r="P17" s="4"/>
      <c r="Q17" s="4"/>
      <c r="AB17" s="16"/>
      <c r="AC17" s="16"/>
      <c r="AD17" s="16"/>
    </row>
    <row r="18" ht="15.75" customHeight="1" spans="1:30" x14ac:dyDescent="0.25">
      <c r="A18" s="4"/>
      <c r="B18" s="193"/>
      <c r="C18" s="194"/>
      <c r="D18" s="194"/>
      <c r="E18" s="195" t="s">
        <v>100</v>
      </c>
      <c r="F18" s="196"/>
      <c r="G18" s="196"/>
      <c r="H18" s="196"/>
      <c r="I18" s="196"/>
      <c r="J18" s="196"/>
      <c r="K18" s="197"/>
      <c r="L18" s="4"/>
      <c r="M18" s="198" t="s">
        <v>104</v>
      </c>
      <c r="N18" s="199"/>
      <c r="O18" s="198" t="s">
        <v>104</v>
      </c>
      <c r="P18" s="4"/>
      <c r="Q18" s="4"/>
      <c r="R18" s="16"/>
      <c r="S18" s="16"/>
      <c r="T18" s="16"/>
      <c r="U18" s="16"/>
      <c r="V18" s="16"/>
      <c r="W18" s="16"/>
      <c r="X18" s="16"/>
      <c r="Y18" s="16"/>
      <c r="Z18" s="16"/>
      <c r="AA18" s="16"/>
      <c r="AB18" s="16"/>
      <c r="AC18" s="16"/>
      <c r="AD18" s="16"/>
    </row>
    <row r="19" ht="15.75" customHeight="1" spans="1:30" x14ac:dyDescent="0.25">
      <c r="A19" s="4"/>
      <c r="B19" s="200" t="s">
        <v>143</v>
      </c>
      <c r="C19" s="201"/>
      <c r="D19" s="201"/>
      <c r="E19" s="201">
        <f ca="1">Summary!U6</f>
        <v>2024</v>
      </c>
      <c r="F19" s="201">
        <f ca="1">Summary!V6</f>
        <v>2025</v>
      </c>
      <c r="G19" s="201" t="str">
        <f ca="1">Summary!W6</f>
        <v>2026e</v>
      </c>
      <c r="H19" s="201" t="str">
        <f ca="1">Summary!X6</f>
        <v>2027e</v>
      </c>
      <c r="I19" s="201" t="str">
        <f ca="1">Summary!Y6</f>
        <v>2028e</v>
      </c>
      <c r="J19" s="201" t="str">
        <f ca="1">Summary!Z6</f>
        <v>2029e</v>
      </c>
      <c r="K19" s="202" t="str">
        <f ca="1">Summary!AA6</f>
        <v>2030e</v>
      </c>
      <c r="L19" s="199"/>
      <c r="M19" s="203" t="s">
        <v>105</v>
      </c>
      <c r="N19" s="199"/>
      <c r="O19" s="203" t="s">
        <v>106</v>
      </c>
      <c r="P19" s="4"/>
      <c r="Q19" s="4"/>
      <c r="R19" s="4"/>
      <c r="S19" s="4"/>
      <c r="T19" s="4"/>
      <c r="U19" s="4"/>
      <c r="V19" s="16"/>
      <c r="W19" s="16"/>
      <c r="X19" s="16"/>
      <c r="Y19" s="16"/>
      <c r="Z19" s="16"/>
      <c r="AA19" s="16"/>
      <c r="AB19" s="16"/>
      <c r="AC19" s="16"/>
      <c r="AD19" s="16"/>
    </row>
    <row r="20" ht="4.5" customHeight="1" spans="1:30" x14ac:dyDescent="0.25">
      <c r="A20" s="4"/>
      <c r="B20" s="4"/>
      <c r="C20" s="4"/>
      <c r="D20" s="204"/>
      <c r="E20" s="199"/>
      <c r="F20" s="199"/>
      <c r="G20" s="199"/>
      <c r="H20" s="199"/>
      <c r="I20" s="199"/>
      <c r="J20" s="199"/>
      <c r="K20" s="199"/>
      <c r="L20" s="199"/>
      <c r="M20" s="4"/>
      <c r="N20" s="4"/>
      <c r="O20" s="4"/>
      <c r="P20" s="4"/>
      <c r="Q20" s="4"/>
      <c r="R20" s="16"/>
      <c r="S20" s="16"/>
      <c r="T20" s="16"/>
      <c r="U20" s="16"/>
      <c r="V20" s="16"/>
      <c r="W20" s="16"/>
      <c r="X20" s="16"/>
      <c r="Y20" s="16"/>
      <c r="Z20" s="16"/>
      <c r="AA20" s="16"/>
      <c r="AB20" s="16"/>
      <c r="AC20" s="16"/>
      <c r="AD20" s="16"/>
    </row>
    <row r="21" ht="15.75" customHeight="1" spans="1:30" x14ac:dyDescent="0.25">
      <c r="A21" s="4"/>
      <c r="B21" s="16" t="str">
        <f ca="1">Summary!C8</f>
        <v>Revenue</v>
      </c>
      <c r="C21" s="16"/>
      <c r="D21" s="205">
        <f ca="1">Summary!T8</f>
        <v>71309</v>
      </c>
      <c r="E21" s="116">
        <f ca="1">Summary!U8</f>
        <v>72148</v>
      </c>
      <c r="F21" s="117">
        <f ca="1">Summary!V8</f>
        <v>89597</v>
      </c>
      <c r="G21" s="116">
        <f ca="1">Summary!W8</f>
        <v>96682.1</v>
      </c>
      <c r="H21" s="116">
        <f ca="1">Summary!X8</f>
        <v>105236.82134671998</v>
      </c>
      <c r="I21" s="116">
        <f ca="1">Summary!Y8</f>
        <v>107341.55777365438</v>
      </c>
      <c r="J21" s="116">
        <f ca="1">Summary!Z8</f>
        <v>109488.38892912747</v>
      </c>
      <c r="K21" s="117">
        <f ca="1">Summary!AA8</f>
        <v>111678.15670771002</v>
      </c>
      <c r="L21" s="116"/>
      <c r="M21" s="206">
        <f ca="1">Summary!AC8</f>
        <v>0.12091985272961936</v>
      </c>
      <c r="N21" s="207"/>
      <c r="O21" s="206">
        <f ca="1">Summary!AE8</f>
        <v>0.04504490866789568</v>
      </c>
      <c r="P21" s="4"/>
      <c r="Q21" s="4"/>
      <c r="R21" s="16" t="s">
        <v>144</v>
      </c>
      <c r="S21" s="208" t="s">
        <v>138</v>
      </c>
      <c r="T21" s="4"/>
      <c r="U21" s="16"/>
      <c r="V21" s="16"/>
      <c r="W21" s="16"/>
      <c r="Y21" s="16"/>
      <c r="Z21" s="16"/>
      <c r="AA21" s="16"/>
      <c r="AB21" s="16"/>
      <c r="AC21" s="16"/>
      <c r="AD21" s="16"/>
    </row>
    <row r="22" ht="15.75" customHeight="1" spans="1:30" x14ac:dyDescent="0.25">
      <c r="A22" s="4"/>
      <c r="B22" s="120" t="str">
        <f ca="1">Summary!C9</f>
        <v>YoY % Growth</v>
      </c>
      <c r="C22" s="16"/>
      <c r="D22" s="205"/>
      <c r="E22" s="121">
        <f ca="1">Summary!U9</f>
        <v>0.01176569577472697</v>
      </c>
      <c r="F22" s="122">
        <f ca="1">Summary!V9</f>
        <v>0.2418500859344681</v>
      </c>
      <c r="G22" s="121">
        <f ca="1">Summary!W9</f>
        <v>0.07907742446733712</v>
      </c>
      <c r="H22" s="121">
        <f ca="1">Summary!X9</f>
        <v>0.08848299061273979</v>
      </c>
      <c r="I22" s="121">
        <f ca="1">Summary!Y9</f>
        <v>0.020000000000000018</v>
      </c>
      <c r="J22" s="121">
        <f ca="1">Summary!Z9</f>
        <v>0.020000000000000018</v>
      </c>
      <c r="K22" s="122">
        <f ca="1">Summary!AA9</f>
        <v>0.020000000000000018</v>
      </c>
      <c r="L22" s="121"/>
      <c r="M22" s="119"/>
      <c r="N22" s="207"/>
      <c r="O22" s="119"/>
      <c r="P22" s="4"/>
      <c r="Q22" s="4"/>
      <c r="R22" s="16"/>
      <c r="S22" s="16"/>
      <c r="T22" s="16"/>
      <c r="U22" s="16"/>
      <c r="V22" s="16"/>
      <c r="W22" s="16"/>
      <c r="Y22" s="16"/>
      <c r="Z22" s="16"/>
      <c r="AA22" s="16"/>
      <c r="AB22" s="16"/>
      <c r="AC22" s="16"/>
      <c r="AD22" s="16"/>
    </row>
    <row r="23" ht="15.75" customHeight="1" spans="1:30" x14ac:dyDescent="0.25">
      <c r="A23" s="4"/>
      <c r="B23" s="4"/>
      <c r="C23" s="4"/>
      <c r="D23" s="205"/>
      <c r="E23" s="116"/>
      <c r="F23" s="117"/>
      <c r="G23" s="116"/>
      <c r="H23" s="116"/>
      <c r="I23" s="116"/>
      <c r="J23" s="116"/>
      <c r="K23" s="209"/>
      <c r="L23" s="4"/>
      <c r="M23" s="119"/>
      <c r="N23" s="207"/>
      <c r="O23" s="119"/>
      <c r="P23" s="4"/>
      <c r="Q23" s="4"/>
      <c r="R23" s="210" t="s">
        <v>145</v>
      </c>
      <c r="S23" s="210" t="s">
        <v>140</v>
      </c>
      <c r="T23" s="210" t="s">
        <v>138</v>
      </c>
      <c r="U23" s="210" t="s">
        <v>146</v>
      </c>
      <c r="W23" s="16"/>
      <c r="Y23" s="16"/>
      <c r="Z23" s="16"/>
      <c r="AA23" s="16"/>
      <c r="AB23" s="16"/>
      <c r="AC23" s="16"/>
      <c r="AD23" s="16"/>
    </row>
    <row r="24" ht="15.75" customHeight="1" spans="1:30" x14ac:dyDescent="0.25">
      <c r="A24" s="4"/>
      <c r="B24" s="16" t="str">
        <f ca="1">Summary!C11</f>
        <v>Gross Profit</v>
      </c>
      <c r="C24" s="16"/>
      <c r="D24" s="205">
        <f ca="1">Summary!T11</f>
        <v>22908</v>
      </c>
      <c r="E24" s="116">
        <f ca="1">Summary!U11</f>
        <v>22943</v>
      </c>
      <c r="F24" s="117">
        <f ca="1">Summary!V11</f>
        <v>29583</v>
      </c>
      <c r="G24" s="116">
        <f ca="1">Summary!W11</f>
        <v>27859.373</v>
      </c>
      <c r="H24" s="116">
        <f ca="1">Summary!X11</f>
        <v>14241.705219263196</v>
      </c>
      <c r="I24" s="116">
        <f ca="1">Summary!Y11</f>
        <v>14920.476530537955</v>
      </c>
      <c r="J24" s="116">
        <f ca="1">Summary!Z11</f>
        <v>15328.374450077841</v>
      </c>
      <c r="K24" s="117">
        <f ca="1">Summary!AA11</f>
        <v>15858.298252494831</v>
      </c>
      <c r="L24" s="116"/>
      <c r="M24" s="119">
        <f ca="1">Summary!AC11</f>
        <v>0.13639030398729335</v>
      </c>
      <c r="N24" s="207"/>
      <c r="O24" s="119">
        <f ca="1">Summary!AE11</f>
        <v>-0.1172395373691637</v>
      </c>
      <c r="P24" s="4"/>
      <c r="Q24" s="4"/>
      <c r="R24" s="84" t="s">
        <v>147</v>
      </c>
      <c r="S24" s="211">
        <f ca="1">Valuation!D12</f>
        <v>12.4849</v>
      </c>
      <c r="T24" s="211">
        <f ca="1">Valuation!D11</f>
        <v>18.6398</v>
      </c>
      <c r="U24" s="211">
        <f t="shared" ref="U24:U28" si="0" ca="1">IF($S$21=$S$23,S24,T24)</f>
        <v>18.6398</v>
      </c>
      <c r="W24" s="16"/>
      <c r="X24" s="16"/>
      <c r="Y24" s="16"/>
      <c r="Z24" s="16"/>
      <c r="AA24" s="16"/>
      <c r="AB24" s="16"/>
      <c r="AC24" s="16"/>
      <c r="AD24" s="16"/>
    </row>
    <row r="25" ht="15.75" customHeight="1" spans="1:30" x14ac:dyDescent="0.25">
      <c r="A25" s="4"/>
      <c r="B25" s="120" t="str">
        <f ca="1">Summary!C12</f>
        <v>% Margin</v>
      </c>
      <c r="C25" s="16"/>
      <c r="D25" s="205"/>
      <c r="E25" s="121">
        <f ca="1">Summary!U12</f>
        <v>0.3179991129345235</v>
      </c>
      <c r="F25" s="122">
        <f ca="1">Summary!V12</f>
        <v>0.3301784657968459</v>
      </c>
      <c r="G25" s="121">
        <f ca="1">Summary!W12</f>
        <v>0.28815440500361494</v>
      </c>
      <c r="H25" s="121">
        <f ca="1">Summary!X12</f>
        <v>0.13533005878561802</v>
      </c>
      <c r="I25" s="121">
        <f ca="1">Summary!Y12</f>
        <v>0.13899999999999996</v>
      </c>
      <c r="J25" s="121">
        <f ca="1">Summary!Z12</f>
        <v>0.13999999999999996</v>
      </c>
      <c r="K25" s="122">
        <f ca="1">Summary!AA12</f>
        <v>0.14200000000000007</v>
      </c>
      <c r="L25" s="121"/>
      <c r="M25" s="119"/>
      <c r="N25" s="207"/>
      <c r="O25" s="119"/>
      <c r="P25" s="4"/>
      <c r="Q25" s="4"/>
      <c r="R25" s="84" t="str">
        <f ca="1">Model!Y25</f>
        <v>2026e</v>
      </c>
      <c r="S25" s="212">
        <f ca="1">(Comparables!H10*S30)/(Model!Y61)</f>
        <v>3.137102705265994</v>
      </c>
      <c r="T25" s="212">
        <f ca="1">(Comparables!$G$10*S30)/Summary!W19</f>
        <v>3.1551930768651832</v>
      </c>
      <c r="U25" s="212">
        <f ca="1">IF($S$21=$S$23,S25,T25)</f>
      </c>
      <c r="W25" s="16"/>
      <c r="X25" s="16"/>
      <c r="Y25" s="16"/>
      <c r="Z25" s="16"/>
      <c r="AA25" s="16"/>
      <c r="AB25" s="16"/>
      <c r="AC25" s="16"/>
      <c r="AD25" s="16"/>
    </row>
    <row r="26" ht="15.75" customHeight="1" spans="1:30" x14ac:dyDescent="0.25">
      <c r="A26" s="4"/>
      <c r="B26" s="120" t="str">
        <f ca="1">Summary!C13</f>
        <v>YoY % Growth</v>
      </c>
      <c r="C26" s="16"/>
      <c r="D26" s="205"/>
      <c r="E26" s="121">
        <f ca="1">Summary!U13</f>
        <v>0.0015278505325651004</v>
      </c>
      <c r="F26" s="122">
        <f ca="1">Summary!V13</f>
        <v>0.28941289282133975</v>
      </c>
      <c r="G26" s="121">
        <f ca="1">Summary!W13</f>
        <v>-0.05826410438427476</v>
      </c>
      <c r="H26" s="121">
        <f ca="1">Summary!X13</f>
        <v>-0.4888002246402603</v>
      </c>
      <c r="I26" s="121">
        <f ca="1">Summary!Y13</f>
        <v>0.047660817354698404</v>
      </c>
      <c r="J26" s="121">
        <f ca="1">Summary!Z13</f>
        <v>0.027338129496402797</v>
      </c>
      <c r="K26" s="122">
        <f ca="1">Summary!AA13</f>
        <v>0.03457142857142936</v>
      </c>
      <c r="L26" s="121"/>
      <c r="M26" s="119"/>
      <c r="N26" s="207"/>
      <c r="O26" s="119"/>
      <c r="P26" s="4"/>
      <c r="Q26" s="4"/>
      <c r="R26" s="84" t="str">
        <f ca="1">Summary!AA6</f>
        <v>2030e</v>
      </c>
      <c r="S26" s="212">
        <f ca="1">(Comparables!H10*S30)/(Model!AG61)</f>
        <v>-23.089353333369743</v>
      </c>
      <c r="T26" s="212">
        <f ca="1">(Comparables!$G$10*S30)/Summary!AA19</f>
        <v>-16.444101146486574</v>
      </c>
      <c r="U26" s="212">
        <f ca="1">IF($S$21=$S$23,S26,T26)</f>
      </c>
      <c r="W26" s="16"/>
      <c r="X26" s="16"/>
      <c r="Y26" s="16"/>
      <c r="Z26" s="16"/>
      <c r="AA26" s="16"/>
      <c r="AB26" s="16"/>
      <c r="AC26" s="16"/>
      <c r="AD26" s="16"/>
    </row>
    <row r="27" ht="15.75" customHeight="1" spans="1:30" x14ac:dyDescent="0.25">
      <c r="A27" s="4"/>
      <c r="B27" s="4"/>
      <c r="C27" s="4"/>
      <c r="D27" s="205"/>
      <c r="E27" s="116"/>
      <c r="F27" s="117"/>
      <c r="G27" s="116"/>
      <c r="H27" s="116"/>
      <c r="I27" s="116"/>
      <c r="J27" s="116"/>
      <c r="K27" s="209"/>
      <c r="L27" s="4"/>
      <c r="M27" s="119"/>
      <c r="N27" s="207"/>
      <c r="O27" s="119"/>
      <c r="P27" s="4"/>
      <c r="Q27" s="4"/>
      <c r="R27" s="84" t="s">
        <v>148</v>
      </c>
      <c r="S27" s="212">
        <f ca="1">Valuation!K60</f>
        <v>13</v>
      </c>
      <c r="T27" s="212">
        <f ca="1">Valuation!K72/Summary!AA19</f>
        <v>8.851550720644541</v>
      </c>
      <c r="U27" s="212">
        <f ca="1">IF($S$21=$S$23,S27,T27)</f>
      </c>
      <c r="W27" s="16"/>
      <c r="X27" s="16"/>
      <c r="Y27" s="16"/>
      <c r="Z27" s="16"/>
      <c r="AA27" s="16"/>
      <c r="AB27" s="16"/>
      <c r="AC27" s="16"/>
      <c r="AD27" s="16"/>
    </row>
    <row r="28" ht="15.75" customHeight="1" spans="1:30" x14ac:dyDescent="0.25">
      <c r="A28" s="4"/>
      <c r="B28" s="16" t="str">
        <f ca="1">Summary!C27</f>
        <v>EBITDA</v>
      </c>
      <c r="C28" s="16"/>
      <c r="D28" s="205">
        <f ca="1">Summary!T27</f>
        <v>7341.59</v>
      </c>
      <c r="E28" s="116">
        <f ca="1">Summary!U27</f>
        <v>7764.5</v>
      </c>
      <c r="F28" s="117">
        <f ca="1">Summary!V27</f>
        <v>13111.87</v>
      </c>
      <c r="G28" s="116">
        <f ca="1">Summary!W27</f>
        <v>52605.511</v>
      </c>
      <c r="H28" s="116">
        <f ca="1">Summary!X27</f>
        <v>-9185.290011615205</v>
      </c>
      <c r="I28" s="116">
        <f ca="1">Summary!Y27</f>
        <v>-8157.958390797736</v>
      </c>
      <c r="J28" s="116">
        <f ca="1">Summary!Z27</f>
        <v>-7773.6756139680565</v>
      </c>
      <c r="K28" s="117">
        <f ca="1">Summary!AA27</f>
        <v>-7147.402029293433</v>
      </c>
      <c r="L28" s="116"/>
      <c r="M28" s="119">
        <f ca="1">Summary!AC27</f>
        <v>0.3364024211504246</v>
      </c>
      <c r="N28" s="207"/>
      <c r="O28" s="119" t="str">
        <f ca="1">Summary!AE27</f>
        <v>N/A</v>
      </c>
      <c r="P28" s="4"/>
      <c r="Q28" s="4"/>
      <c r="R28" s="84" t="s">
        <v>149</v>
      </c>
      <c r="S28" s="212">
        <f ca="1">Valuation!K79</f>
        <v>1e-12</v>
      </c>
      <c r="T28" s="212">
        <f ca="1">Valuation!R72/Summary!AA19</f>
        <v>1.7544700860571851</v>
      </c>
      <c r="U28" s="212">
        <f ca="1">IF($S$21=$S$23,S28,T28)</f>
      </c>
      <c r="W28" s="16"/>
      <c r="X28" s="16"/>
      <c r="Y28" s="16"/>
      <c r="Z28" s="16"/>
      <c r="AA28" s="16"/>
      <c r="AB28" s="16"/>
      <c r="AC28" s="16"/>
      <c r="AD28" s="16"/>
    </row>
    <row r="29" ht="15.75" customHeight="1" spans="1:30" x14ac:dyDescent="0.25">
      <c r="A29" s="4"/>
      <c r="B29" s="120" t="str">
        <f ca="1">Summary!C28</f>
        <v>Margin</v>
      </c>
      <c r="C29" s="16"/>
      <c r="D29" s="205"/>
      <c r="E29" s="121">
        <f ca="1">Summary!U28</f>
        <v>0.10761906081942674</v>
      </c>
      <c r="F29" s="122">
        <f ca="1">Summary!V28</f>
        <v>0.14634273468977757</v>
      </c>
      <c r="G29" s="121">
        <f ca="1">Summary!W28</f>
        <v>0.3882465934192454</v>
      </c>
      <c r="H29" s="121">
        <f ca="1">Summary!X28</f>
        <v>-0.08728209284612236</v>
      </c>
      <c r="I29" s="121">
        <f ca="1">Summary!Y28</f>
        <v>-0.07600000000000003</v>
      </c>
      <c r="J29" s="121">
        <f ca="1">Summary!Z28</f>
        <v>-0.07100000000000006</v>
      </c>
      <c r="K29" s="122">
        <f ca="1">Summary!AA28</f>
        <v>-0.06399999999999993</v>
      </c>
      <c r="L29" s="121"/>
      <c r="M29" s="119"/>
      <c r="N29" s="207"/>
      <c r="O29" s="119"/>
      <c r="P29" s="4"/>
      <c r="Q29" s="4"/>
      <c r="R29" s="16"/>
      <c r="S29" s="16"/>
      <c r="T29" s="16"/>
      <c r="U29" s="16"/>
      <c r="W29" s="16"/>
      <c r="X29" s="16"/>
      <c r="Y29" s="16"/>
      <c r="Z29" s="16"/>
      <c r="AA29" s="16"/>
      <c r="AB29" s="16"/>
      <c r="AC29" s="16"/>
      <c r="AD29" s="16"/>
    </row>
    <row r="30" ht="15.75" customHeight="1" spans="1:30" x14ac:dyDescent="0.25">
      <c r="A30" s="4"/>
      <c r="B30" s="120" t="str">
        <f ca="1">Summary!C29</f>
        <v>YoY % Growth</v>
      </c>
      <c r="C30" s="16"/>
      <c r="D30" s="205"/>
      <c r="E30" s="121">
        <f ca="1">Summary!U17</f>
        <v>0.5714285714285714</v>
      </c>
      <c r="F30" s="122">
        <f ca="1">Summary!V17</f>
        <v>0.7250554323725056</v>
      </c>
      <c r="G30" s="121">
        <f ca="1">Summary!W29</f>
        <v>-0.3686176936556327</v>
      </c>
      <c r="H30" s="121">
        <f ca="1">Summary!X29</f>
        <v>-1.174606991492112</v>
      </c>
      <c r="I30" s="121">
        <f ca="1">Summary!Y29</f>
        <v>-0.11184531130953546</v>
      </c>
      <c r="J30" s="121">
        <f ca="1">Summary!Z29</f>
        <v>-0.04710526315789432</v>
      </c>
      <c r="K30" s="122">
        <f ca="1">Summary!AA29</f>
        <v>-0.08056338028169197</v>
      </c>
      <c r="L30" s="121"/>
      <c r="M30" s="119"/>
      <c r="N30" s="207"/>
      <c r="O30" s="119"/>
      <c r="P30" s="4"/>
      <c r="Q30" s="4"/>
      <c r="R30" s="16" t="s">
        <v>150</v>
      </c>
      <c r="S30" s="84">
        <f ca="1">IF($B$2="$ in Millions Except Per Share Data",1,IF($B$2="$ in Thousands Except Per Share Data",1000,IF($B$2="$ in Billions Except Per Share Data",0.001,0)))</f>
        <v>1</v>
      </c>
      <c r="T30" s="16"/>
      <c r="U30" s="16"/>
      <c r="V30" s="16"/>
      <c r="W30" s="16"/>
      <c r="X30" s="16"/>
      <c r="Y30" s="16"/>
      <c r="Z30" s="16"/>
      <c r="AA30" s="16"/>
      <c r="AB30" s="16"/>
      <c r="AC30" s="16"/>
      <c r="AD30" s="16"/>
    </row>
    <row r="31" ht="15.75" customHeight="1" spans="1:30" x14ac:dyDescent="0.25">
      <c r="A31" s="4"/>
      <c r="B31" s="4"/>
      <c r="C31" s="4"/>
      <c r="D31" s="205"/>
      <c r="E31" s="116"/>
      <c r="F31" s="117"/>
      <c r="G31" s="116"/>
      <c r="H31" s="116"/>
      <c r="I31" s="116"/>
      <c r="J31" s="116"/>
      <c r="K31" s="117"/>
      <c r="L31" s="116"/>
      <c r="M31" s="119"/>
      <c r="N31" s="207"/>
      <c r="O31" s="119"/>
      <c r="P31" s="4"/>
      <c r="Q31" s="4"/>
      <c r="R31" s="16"/>
      <c r="S31" s="16"/>
      <c r="T31" s="16"/>
      <c r="U31" s="16"/>
      <c r="V31" s="16"/>
      <c r="W31" s="16"/>
      <c r="X31" s="16"/>
      <c r="Y31" s="16"/>
      <c r="Z31" s="16"/>
      <c r="AA31" s="16"/>
      <c r="AB31" s="16"/>
      <c r="AC31" s="16"/>
      <c r="AD31" s="16"/>
    </row>
    <row r="32" ht="15.75" customHeight="1" spans="1:30" x14ac:dyDescent="0.25">
      <c r="A32" s="4"/>
      <c r="B32" s="16" t="str">
        <f ca="1">Summary!C19</f>
        <v>Net Income (Loss)</v>
      </c>
      <c r="C32" s="16"/>
      <c r="D32" s="205">
        <f ca="1">Summary!T19</f>
        <v>2314</v>
      </c>
      <c r="E32" s="116">
        <f ca="1">Summary!U19</f>
        <v>4281</v>
      </c>
      <c r="F32" s="117">
        <f ca="1">Summary!V19</f>
        <v>5835</v>
      </c>
      <c r="G32" s="116">
        <f ca="1">Summary!W19</f>
        <v>45186.423587</v>
      </c>
      <c r="H32" s="116">
        <f ca="1">Summary!X19</f>
        <v>-8640.01085813035</v>
      </c>
      <c r="I32" s="116">
        <f ca="1">Summary!Y19</f>
        <v>-8211.978636389029</v>
      </c>
      <c r="J32" s="116">
        <f ca="1">Summary!Z19</f>
        <v>-8548.76974369807</v>
      </c>
      <c r="K32" s="117">
        <f ca="1">Summary!AA19</f>
        <v>-8670.093281472045</v>
      </c>
      <c r="L32" s="116"/>
      <c r="M32" s="119">
        <f ca="1">Summary!AC19</f>
        <v>0.5879570541665378</v>
      </c>
      <c r="N32" s="207"/>
      <c r="O32" s="119" t="str">
        <f ca="1">Summary!AE19</f>
        <v>N/A</v>
      </c>
      <c r="P32" s="4"/>
      <c r="Q32" s="4"/>
      <c r="R32" s="16"/>
      <c r="S32" s="16"/>
      <c r="T32" s="16"/>
      <c r="U32" s="16"/>
      <c r="V32" s="16"/>
      <c r="W32" s="16"/>
      <c r="X32" s="16"/>
      <c r="Y32" s="16"/>
      <c r="Z32" s="16"/>
      <c r="AA32" s="16"/>
      <c r="AB32" s="16"/>
      <c r="AC32" s="16"/>
      <c r="AD32" s="16"/>
    </row>
    <row r="33" ht="15.75" customHeight="1" spans="1:30" x14ac:dyDescent="0.25">
      <c r="A33" s="4"/>
      <c r="B33" s="120" t="str">
        <f ca="1">Summary!C20</f>
        <v>Margin</v>
      </c>
      <c r="C33" s="16"/>
      <c r="D33" s="205"/>
      <c r="E33" s="121">
        <f ca="1">Summary!U20</f>
        <v>0.059336364140378114</v>
      </c>
      <c r="F33" s="122">
        <f ca="1">Summary!V20</f>
        <v>0.06512494837996807</v>
      </c>
      <c r="G33" s="121">
        <f ca="1">Summary!W20</f>
        <v>0.33349120069286636</v>
      </c>
      <c r="H33" s="121">
        <f ca="1">Summary!X20</f>
        <v>-0.0821006445041172</v>
      </c>
      <c r="I33" s="121">
        <f ca="1">Summary!Y20</f>
        <v>-0.0765032556515083</v>
      </c>
      <c r="J33" s="121">
        <f ca="1">Summary!Z20</f>
        <v>-0.07807923586519977</v>
      </c>
      <c r="K33" s="122">
        <f ca="1">Summary!AA20</f>
        <v>-0.07763463811606304</v>
      </c>
      <c r="L33" s="121"/>
      <c r="M33" s="119"/>
      <c r="N33" s="207"/>
      <c r="O33" s="119"/>
      <c r="P33" s="4"/>
      <c r="Q33" s="4"/>
      <c r="R33" s="213"/>
      <c r="S33" s="213"/>
      <c r="T33" s="213"/>
      <c r="U33" s="213"/>
      <c r="V33" s="213"/>
      <c r="W33" s="16"/>
      <c r="X33" s="214"/>
      <c r="Y33" s="214"/>
      <c r="Z33" s="214"/>
      <c r="AA33" s="16"/>
      <c r="AB33" s="16"/>
      <c r="AC33" s="16"/>
      <c r="AD33" s="16"/>
    </row>
    <row r="34" ht="15.75" customHeight="1" spans="1:30" x14ac:dyDescent="0.25">
      <c r="A34" s="4"/>
      <c r="B34" s="120" t="str">
        <f ca="1">Summary!C21</f>
        <v>YoY % Growth</v>
      </c>
      <c r="C34" s="16"/>
      <c r="D34" s="205"/>
      <c r="E34" s="121">
        <f ca="1">Summary!U21</f>
        <v>0.8500432152117545</v>
      </c>
      <c r="F34" s="122">
        <f ca="1">Summary!V21</f>
        <v>0.362999299229152</v>
      </c>
      <c r="G34" s="121">
        <f ca="1">Summary!W21</f>
        <v>-0.37998869940998903</v>
      </c>
      <c r="H34" s="121">
        <f ca="1">Summary!X21</f>
        <v>-1.1912081145677582</v>
      </c>
      <c r="I34" s="121">
        <f ca="1">Summary!Y21</f>
        <v>-0.04954070414605305</v>
      </c>
      <c r="J34" s="121">
        <f ca="1">Summary!Z21</f>
        <v>0.04101217528947876</v>
      </c>
      <c r="K34" s="122">
        <f ca="1">Summary!AA21</f>
        <v>0.014191929530376068</v>
      </c>
      <c r="L34" s="121"/>
      <c r="M34" s="119"/>
      <c r="N34" s="207"/>
      <c r="O34" s="119"/>
      <c r="P34" s="4"/>
      <c r="Q34" s="4"/>
      <c r="R34" s="214"/>
      <c r="S34" s="214"/>
      <c r="T34" s="214"/>
      <c r="U34" s="214"/>
      <c r="V34" s="214"/>
      <c r="W34" s="16"/>
      <c r="X34" s="16"/>
      <c r="Y34" s="16"/>
      <c r="Z34" s="16"/>
      <c r="AA34" s="16"/>
      <c r="AB34" s="16"/>
      <c r="AC34" s="16"/>
      <c r="AD34" s="16"/>
    </row>
    <row r="35" ht="15.75" customHeight="1" spans="1:30" x14ac:dyDescent="0.25">
      <c r="A35" s="4"/>
      <c r="B35" s="4"/>
      <c r="C35" s="4"/>
      <c r="D35" s="205"/>
      <c r="E35" s="116"/>
      <c r="F35" s="117"/>
      <c r="G35" s="116"/>
      <c r="H35" s="116"/>
      <c r="I35" s="116"/>
      <c r="J35" s="116"/>
      <c r="K35" s="117"/>
      <c r="L35" s="116"/>
      <c r="M35" s="119"/>
      <c r="N35" s="207"/>
      <c r="O35" s="119"/>
      <c r="P35" s="4"/>
      <c r="Q35" s="4"/>
      <c r="R35" s="214"/>
      <c r="S35" s="214"/>
      <c r="T35" s="214"/>
      <c r="U35" s="214"/>
      <c r="V35" s="214"/>
      <c r="W35" s="16"/>
      <c r="X35" s="16"/>
      <c r="Y35" s="16"/>
      <c r="Z35" s="16"/>
      <c r="AA35" s="16"/>
      <c r="AB35" s="16"/>
      <c r="AC35" s="16"/>
      <c r="AD35" s="16"/>
    </row>
    <row r="36" ht="15.75" customHeight="1" spans="1:30" x14ac:dyDescent="0.25">
      <c r="A36" s="4"/>
      <c r="B36" s="16" t="str">
        <f ca="1">Summary!C23</f>
        <v>Adj. EPS (Diluted)</v>
      </c>
      <c r="C36" s="16"/>
      <c r="D36" s="205">
        <f ca="1">Summary!T23</f>
        <v>5.194244694132335</v>
      </c>
      <c r="E36" s="116">
        <f ca="1">Summary!U23</f>
        <v>5.579900124843945</v>
      </c>
      <c r="F36" s="117">
        <f ca="1">Summary!V23</f>
        <v>8.875826666666669</v>
      </c>
      <c r="G36" s="116">
        <f ca="1">Summary!W23</f>
        <v>64.68815833372531</v>
      </c>
      <c r="H36" s="116">
        <f ca="1">Summary!X23</f>
        <v>-12.908748091027569</v>
      </c>
      <c r="I36" s="116">
        <f ca="1">Summary!Y23</f>
        <v>-12.468972337898585</v>
      </c>
      <c r="J36" s="116">
        <f ca="1">Summary!Z23</f>
        <v>-13.238975032161498</v>
      </c>
      <c r="K36" s="117">
        <f ca="1">Summary!AA23</f>
        <v>-13.69981945470211</v>
      </c>
      <c r="L36" s="116"/>
      <c r="M36" s="119">
        <f ca="1">Summary!AC23</f>
        <v>0.30720350543331</v>
      </c>
      <c r="N36" s="207"/>
      <c r="O36" s="119" t="str">
        <f ca="1">Summary!AE23</f>
        <v>N/A</v>
      </c>
      <c r="P36" s="4"/>
      <c r="Q36" s="4"/>
      <c r="R36" s="16"/>
      <c r="S36" s="16"/>
      <c r="T36" s="16"/>
      <c r="U36" s="16"/>
      <c r="V36" s="16"/>
      <c r="W36" s="16"/>
      <c r="X36" s="16"/>
      <c r="Y36" s="16"/>
      <c r="Z36" s="16"/>
      <c r="AA36" s="16"/>
      <c r="AB36" s="16"/>
      <c r="AC36" s="16"/>
      <c r="AD36" s="16"/>
    </row>
    <row r="37" ht="15.75" customHeight="1" spans="1:30" x14ac:dyDescent="0.25">
      <c r="A37" s="4"/>
      <c r="B37" s="120" t="str">
        <f ca="1">Summary!C24</f>
        <v>YoY % Growth</v>
      </c>
      <c r="C37" s="16"/>
      <c r="D37" s="205"/>
      <c r="E37" s="121">
        <f ca="1">Summary!U24</f>
        <v>0.07424668136009549</v>
      </c>
      <c r="F37" s="122">
        <f ca="1">Summary!V24</f>
        <v>0.5906784114554204</v>
      </c>
      <c r="G37" s="121" t="str">
        <f ca="1">Summary!W24</f>
        <v>NA</v>
      </c>
      <c r="H37" s="121" t="str">
        <f ca="1">Summary!X24</f>
        <v>NA</v>
      </c>
      <c r="I37" s="121" t="str">
        <f ca="1">Summary!Y24</f>
        <v>NA</v>
      </c>
      <c r="J37" s="121" t="str">
        <f ca="1">Summary!Z24</f>
        <v>NA</v>
      </c>
      <c r="K37" s="122" t="str">
        <f ca="1">Summary!AA24</f>
        <v>NA</v>
      </c>
      <c r="L37" s="121"/>
      <c r="M37" s="215"/>
      <c r="N37" s="4"/>
      <c r="O37" s="215"/>
      <c r="P37" s="4"/>
      <c r="Q37" s="4"/>
      <c r="R37" s="16"/>
      <c r="S37" s="16"/>
      <c r="T37" s="16"/>
      <c r="U37" s="16"/>
      <c r="V37" s="16"/>
      <c r="W37" s="16"/>
      <c r="X37" s="16"/>
      <c r="Y37" s="16"/>
      <c r="Z37" s="16"/>
      <c r="AA37" s="16"/>
      <c r="AB37" s="16"/>
      <c r="AC37" s="16"/>
      <c r="AD37" s="16"/>
    </row>
    <row r="38" ht="15.75" customHeight="1" spans="1:30" x14ac:dyDescent="0.25">
      <c r="A38" s="4"/>
      <c r="B38" s="120"/>
      <c r="C38" s="16"/>
      <c r="D38" s="205"/>
      <c r="E38" s="121"/>
      <c r="F38" s="122"/>
      <c r="G38" s="121"/>
      <c r="H38" s="121"/>
      <c r="I38" s="121"/>
      <c r="J38" s="121"/>
      <c r="K38" s="122"/>
      <c r="L38" s="121"/>
      <c r="M38" s="215"/>
      <c r="N38" s="4"/>
      <c r="O38" s="215"/>
      <c r="P38" s="4"/>
      <c r="Q38" s="16"/>
      <c r="R38" s="16"/>
      <c r="S38" s="16"/>
      <c r="T38" s="16"/>
      <c r="U38" s="16"/>
      <c r="V38" s="16"/>
      <c r="W38" s="16"/>
      <c r="X38" s="16"/>
      <c r="Y38" s="16"/>
      <c r="Z38" s="16"/>
      <c r="AA38" s="16"/>
      <c r="AB38" s="16"/>
      <c r="AC38" s="16"/>
      <c r="AD38" s="4"/>
    </row>
    <row r="39" ht="15.75" customHeight="1" spans="1:30" x14ac:dyDescent="0.25">
      <c r="A39" s="4"/>
      <c r="B39" s="16" t="s">
        <v>151</v>
      </c>
      <c r="C39" s="4"/>
      <c r="D39" s="205">
        <f ca="1">Model!J112</f>
        <v>3799</v>
      </c>
      <c r="E39" s="116">
        <f ca="1">Model!O112</f>
        <v>2821</v>
      </c>
      <c r="F39" s="117">
        <f ca="1">Model!T112</f>
        <v>5715</v>
      </c>
      <c r="G39" s="116">
        <f ca="1">Model!Y112</f>
        <v>65225.39359352174</v>
      </c>
      <c r="H39" s="116">
        <f ca="1">Model!AD112</f>
        <v>-10251.662668184901</v>
      </c>
      <c r="I39" s="116">
        <f ca="1">Model!AE112</f>
        <v>-8477.603306419009</v>
      </c>
      <c r="J39" s="116">
        <f ca="1">Model!AF112</f>
        <v>-9408.987709781712</v>
      </c>
      <c r="K39" s="117">
        <f ca="1">Model!AG112</f>
        <v>-9627.639252569043</v>
      </c>
      <c r="L39" s="4"/>
      <c r="M39" s="119">
        <f ca="1">IFERROR((F39/D39)^(1/2)-1,"N/A")</f>
        <v>0.22651671338927004</v>
      </c>
      <c r="N39" s="4"/>
      <c r="O39" s="119" t="str">
        <f ca="1">IFERROR((K39/G39)^(1/4)-1,"N/A")</f>
        <v>N/A</v>
      </c>
      <c r="P39" s="4"/>
      <c r="Q39" s="4"/>
      <c r="R39" s="16"/>
      <c r="S39" s="16"/>
      <c r="T39" s="16"/>
      <c r="U39" s="16"/>
      <c r="V39" s="16"/>
      <c r="W39" s="16"/>
      <c r="X39" s="16"/>
      <c r="Y39" s="16"/>
      <c r="Z39" s="16"/>
      <c r="AA39" s="16"/>
      <c r="AB39" s="16"/>
      <c r="AC39" s="16"/>
      <c r="AD39" s="16"/>
    </row>
    <row r="40" ht="15.75" customHeight="1" spans="1:30" x14ac:dyDescent="0.25">
      <c r="A40" s="4"/>
      <c r="B40" s="120" t="s">
        <v>107</v>
      </c>
      <c r="C40" s="4"/>
      <c r="D40" s="204"/>
      <c r="E40" s="121">
        <f t="shared" ref="E40:K40" si="1" ca="1">E39/D39-1</f>
        <v>-0.257436167412477</v>
      </c>
      <c r="F40" s="122">
        <f ca="1">F39/E39-1</f>
        <v>1.0258773484579935</v>
      </c>
      <c r="G40" s="121">
        <f ca="1">G39/F39-1</f>
        <v>0.10999274349957</v>
      </c>
      <c r="H40" s="121">
        <f ca="1">H39/G39-1</f>
        <v>-1.157172875522565</v>
      </c>
      <c r="I40" s="121">
        <f ca="1">I39/H39-1</f>
        <v>-0.17305089127361983</v>
      </c>
      <c r="J40" s="121">
        <f ca="1">J39/I39-1</f>
        <v>0.10986411721547351</v>
      </c>
      <c r="K40" s="122">
        <f ca="1">K39/J39-1</f>
        <v>0.02323858310071092</v>
      </c>
      <c r="L40" s="4"/>
      <c r="M40" s="216"/>
      <c r="N40" s="4"/>
      <c r="O40" s="216"/>
      <c r="P40" s="4"/>
      <c r="Q40" s="4"/>
      <c r="R40" s="16"/>
      <c r="S40" s="16"/>
      <c r="T40" s="16"/>
      <c r="U40" s="16"/>
      <c r="V40" s="16"/>
      <c r="W40" s="16"/>
      <c r="X40" s="16"/>
      <c r="Y40" s="16"/>
      <c r="Z40" s="16"/>
      <c r="AA40" s="16"/>
      <c r="AB40" s="16"/>
      <c r="AC40" s="16"/>
      <c r="AD40" s="16"/>
    </row>
    <row r="41" ht="4.5" customHeight="1" spans="1:30" x14ac:dyDescent="0.25">
      <c r="A41" s="4"/>
      <c r="B41" s="4"/>
      <c r="C41" s="4"/>
      <c r="D41" s="204"/>
      <c r="E41" s="4"/>
      <c r="F41" s="4"/>
      <c r="G41" s="4"/>
      <c r="H41" s="4"/>
      <c r="I41" s="4"/>
      <c r="J41" s="4"/>
      <c r="K41" s="4"/>
      <c r="L41" s="4"/>
      <c r="M41" s="4"/>
      <c r="N41" s="4"/>
      <c r="O41" s="4"/>
      <c r="P41" s="4"/>
      <c r="Q41" s="4"/>
      <c r="R41" s="16"/>
      <c r="S41" s="16"/>
      <c r="T41" s="16"/>
      <c r="U41" s="16"/>
      <c r="V41" s="16"/>
      <c r="W41" s="16"/>
      <c r="X41" s="16"/>
      <c r="Y41" s="16"/>
      <c r="Z41" s="16"/>
      <c r="AA41" s="16"/>
      <c r="AB41" s="16"/>
      <c r="AC41" s="16"/>
      <c r="AD41" s="16"/>
    </row>
    <row r="42" ht="15.75" customHeight="1" spans="1:30" x14ac:dyDescent="0.25">
      <c r="A42" s="4"/>
      <c r="B42" s="193"/>
      <c r="C42" s="194"/>
      <c r="D42" s="217"/>
      <c r="E42" s="195" t="s">
        <v>100</v>
      </c>
      <c r="F42" s="196"/>
      <c r="G42" s="196"/>
      <c r="H42" s="196"/>
      <c r="I42" s="196"/>
      <c r="J42" s="196"/>
      <c r="K42" s="197"/>
      <c r="L42" s="4"/>
      <c r="M42" s="198" t="s">
        <v>152</v>
      </c>
      <c r="N42" s="199"/>
      <c r="O42" s="198" t="s">
        <v>152</v>
      </c>
      <c r="P42" s="4"/>
      <c r="Q42" s="4"/>
      <c r="R42" s="16"/>
      <c r="S42" s="16"/>
      <c r="T42" s="16"/>
      <c r="U42" s="16"/>
      <c r="V42" s="16"/>
      <c r="W42" s="16"/>
      <c r="X42" s="16"/>
      <c r="Y42" s="16"/>
      <c r="Z42" s="16"/>
      <c r="AA42" s="16"/>
      <c r="AB42" s="16"/>
      <c r="AC42" s="16"/>
      <c r="AD42" s="16"/>
    </row>
    <row r="43" ht="15.75" customHeight="1" spans="1:30" x14ac:dyDescent="0.25">
      <c r="A43" s="4"/>
      <c r="B43" s="200" t="s">
        <v>153</v>
      </c>
      <c r="C43" s="201"/>
      <c r="D43" s="218"/>
      <c r="E43" s="201">
        <f t="shared" ref="E43:K43" si="2" ca="1">E19</f>
        <v>2024</v>
      </c>
      <c r="F43" s="201">
        <f ca="1">F19</f>
        <v>2025</v>
      </c>
      <c r="G43" s="201" t="str">
        <f ca="1">G19</f>
        <v>2026e</v>
      </c>
      <c r="H43" s="201" t="str">
        <f ca="1">H19</f>
        <v>2027e</v>
      </c>
      <c r="I43" s="201" t="str">
        <f ca="1">I19</f>
        <v>2028e</v>
      </c>
      <c r="J43" s="201" t="str">
        <f ca="1">J19</f>
        <v>2029e</v>
      </c>
      <c r="K43" s="201" t="str">
        <f ca="1">K19</f>
        <v>2030e</v>
      </c>
      <c r="L43" s="4"/>
      <c r="M43" s="203" t="s">
        <v>105</v>
      </c>
      <c r="N43" s="199"/>
      <c r="O43" s="203" t="s">
        <v>106</v>
      </c>
      <c r="P43" s="4"/>
      <c r="Q43" s="4"/>
      <c r="R43" s="16"/>
      <c r="S43" s="16"/>
      <c r="T43" s="16"/>
      <c r="U43" s="16"/>
      <c r="V43" s="16"/>
      <c r="W43" s="16"/>
      <c r="X43" s="16"/>
      <c r="Y43" s="16"/>
      <c r="Z43" s="16"/>
      <c r="AA43" s="16"/>
      <c r="AB43" s="16"/>
      <c r="AC43" s="16"/>
      <c r="AD43" s="16"/>
    </row>
    <row r="44" ht="15.75" customHeight="1" spans="1:30" x14ac:dyDescent="0.25">
      <c r="A44" s="16"/>
      <c r="B44" s="131" t="str">
        <f ca="1">Summary!C91</f>
        <v>Leverage</v>
      </c>
      <c r="C44" s="131"/>
      <c r="D44" s="204"/>
      <c r="E44" s="16"/>
      <c r="F44" s="16"/>
      <c r="G44" s="16"/>
      <c r="H44" s="16"/>
      <c r="I44" s="16"/>
      <c r="J44" s="16"/>
      <c r="K44" s="16"/>
      <c r="L44" s="16"/>
      <c r="M44" s="4"/>
      <c r="N44" s="4"/>
      <c r="O44" s="4"/>
      <c r="P44" s="16"/>
      <c r="Q44" s="16"/>
      <c r="R44" s="16"/>
      <c r="S44" s="16"/>
      <c r="T44" s="16"/>
      <c r="U44" s="16"/>
      <c r="V44" s="16"/>
      <c r="W44" s="16"/>
      <c r="X44" s="16"/>
      <c r="Y44" s="16"/>
      <c r="Z44" s="16"/>
      <c r="AA44" s="16"/>
      <c r="AB44" s="16"/>
      <c r="AC44" s="16"/>
      <c r="AD44" s="16"/>
    </row>
    <row r="45" ht="15.75" customHeight="1" spans="1:30" x14ac:dyDescent="0.25">
      <c r="A45" s="4"/>
      <c r="B45" s="139" t="str">
        <f ca="1">Summary!C92</f>
        <v>Total Debt / EBITDA</v>
      </c>
      <c r="C45" s="4"/>
      <c r="D45" s="205">
        <f ca="1">Summary!T92</f>
        <v>2.111395487898398</v>
      </c>
      <c r="E45" s="156">
        <f ca="1">Summary!U92</f>
        <v>2.236460815248889</v>
      </c>
      <c r="F45" s="157">
        <f ca="1">Summary!V92</f>
        <v>1.9990283613245097</v>
      </c>
      <c r="G45" s="156" t="str">
        <f ca="1">Summary!W92</f>
        <v>NA</v>
      </c>
      <c r="H45" s="156" t="str">
        <f ca="1">Summary!X92</f>
        <v>NA</v>
      </c>
      <c r="I45" s="156" t="str">
        <f ca="1">Summary!Y92</f>
        <v>NA</v>
      </c>
      <c r="J45" s="156" t="str">
        <f ca="1">Summary!Z92</f>
        <v>NA</v>
      </c>
      <c r="K45" s="157" t="str">
        <f ca="1">Summary!AA92</f>
        <v>NA</v>
      </c>
      <c r="L45" s="4"/>
      <c r="M45" s="219">
        <f t="shared" ref="M45:M47" si="3" ca="1">AVERAGE(D45:F45)</f>
        <v>2.115628221490599</v>
      </c>
      <c r="N45" s="207"/>
      <c r="O45" s="219">
        <f ca="1">AVERAGE(G45:K45)</f>
      </c>
      <c r="P45" s="4"/>
      <c r="Q45" s="4"/>
      <c r="R45" s="16"/>
      <c r="S45" s="16"/>
      <c r="T45" s="16"/>
      <c r="U45" s="16"/>
      <c r="V45" s="16"/>
      <c r="W45" s="16"/>
      <c r="X45" s="16"/>
      <c r="Y45" s="16"/>
      <c r="Z45" s="16"/>
      <c r="AA45" s="16"/>
      <c r="AB45" s="16"/>
      <c r="AC45" s="16"/>
      <c r="AD45" s="16"/>
    </row>
    <row r="46" ht="13.5" customHeight="1" spans="1:30" x14ac:dyDescent="0.25">
      <c r="A46" s="4"/>
      <c r="B46" s="139" t="str">
        <f ca="1">Summary!C93</f>
        <v>Total Debt / Equity</v>
      </c>
      <c r="C46" s="4"/>
      <c r="D46" s="205">
        <f ca="1">Summary!T93</f>
        <v>4.25384193194292</v>
      </c>
      <c r="E46" s="156">
        <f ca="1">Summary!U93</f>
        <v>8.80578093306288</v>
      </c>
      <c r="F46" s="157">
        <f ca="1">Summary!V93</f>
        <v>18.24008350730689</v>
      </c>
      <c r="G46" s="156" t="str">
        <f ca="1">Summary!W93</f>
        <v>NA</v>
      </c>
      <c r="H46" s="156" t="str">
        <f ca="1">Summary!X93</f>
        <v>NA</v>
      </c>
      <c r="I46" s="156" t="str">
        <f ca="1">Summary!Y93</f>
        <v>NA</v>
      </c>
      <c r="J46" s="156" t="str">
        <f ca="1">Summary!Z93</f>
        <v>NA</v>
      </c>
      <c r="K46" s="157" t="str">
        <f ca="1">Summary!AA93</f>
        <v>NA</v>
      </c>
      <c r="L46" s="4"/>
      <c r="M46" s="220">
        <f ca="1">AVERAGE(D46:F46)</f>
        <v>10.433235457437563</v>
      </c>
      <c r="N46" s="207"/>
      <c r="O46" s="220">
        <f ca="1">AVERAGE(G46:K46)</f>
      </c>
      <c r="P46" s="4"/>
      <c r="Q46" s="4"/>
      <c r="R46" s="16"/>
      <c r="S46" s="16"/>
      <c r="T46" s="16"/>
      <c r="U46" s="16"/>
      <c r="V46" s="16"/>
      <c r="W46" s="16"/>
      <c r="X46" s="16"/>
      <c r="Y46" s="16"/>
      <c r="Z46" s="16"/>
      <c r="AA46" s="16"/>
      <c r="AB46" s="16"/>
      <c r="AC46" s="16"/>
      <c r="AD46" s="16"/>
    </row>
    <row r="47" ht="13.5" customHeight="1" spans="1:30" x14ac:dyDescent="0.25">
      <c r="A47" s="4"/>
      <c r="B47" s="139" t="str">
        <f ca="1">Summary!C94</f>
        <v>Total Debt / Total Assets</v>
      </c>
      <c r="C47" s="4"/>
      <c r="D47" s="205">
        <f ca="1">Summary!T94</f>
        <v>0.4492001854642402</v>
      </c>
      <c r="E47" s="156">
        <f ca="1">Summary!U94</f>
        <v>0.4399432494742976</v>
      </c>
      <c r="F47" s="157">
        <f ca="1">Summary!V94</f>
        <v>0.5608430512463892</v>
      </c>
      <c r="G47" s="156" t="str">
        <f ca="1">Summary!W94</f>
        <v>NA</v>
      </c>
      <c r="H47" s="156" t="str">
        <f ca="1">Summary!X94</f>
        <v>NA</v>
      </c>
      <c r="I47" s="156" t="str">
        <f ca="1">Summary!Y94</f>
        <v>NA</v>
      </c>
      <c r="J47" s="156" t="str">
        <f ca="1">Summary!Z94</f>
        <v>NA</v>
      </c>
      <c r="K47" s="157" t="str">
        <f ca="1">Summary!AA94</f>
        <v>NA</v>
      </c>
      <c r="L47" s="4"/>
      <c r="M47" s="220">
        <f ca="1">AVERAGE(D47:F47)</f>
        <v>0.483328828728309</v>
      </c>
      <c r="N47" s="207"/>
      <c r="O47" s="220">
        <f ca="1">AVERAGE(G47:K47)</f>
      </c>
      <c r="P47" s="4"/>
      <c r="Q47" s="4"/>
      <c r="R47" s="16"/>
      <c r="S47" s="16"/>
      <c r="T47" s="16"/>
      <c r="U47" s="16"/>
      <c r="V47" s="16"/>
      <c r="W47" s="16"/>
      <c r="X47" s="16"/>
      <c r="Y47" s="16"/>
      <c r="Z47" s="16"/>
      <c r="AA47" s="16"/>
      <c r="AB47" s="16"/>
      <c r="AC47" s="16"/>
      <c r="AD47" s="16"/>
    </row>
    <row r="48" ht="13.5" customHeight="1" spans="1:30" x14ac:dyDescent="0.25">
      <c r="A48" s="4"/>
      <c r="B48" s="4"/>
      <c r="C48" s="4"/>
      <c r="D48" s="205"/>
      <c r="E48" s="4"/>
      <c r="F48" s="209"/>
      <c r="G48" s="4"/>
      <c r="H48" s="4"/>
      <c r="I48" s="4"/>
      <c r="J48" s="4"/>
      <c r="K48" s="209"/>
      <c r="L48" s="4"/>
      <c r="M48" s="119"/>
      <c r="N48" s="207"/>
      <c r="O48" s="119"/>
      <c r="P48" s="4"/>
      <c r="Q48" s="4"/>
      <c r="R48" s="16"/>
      <c r="S48" s="16"/>
      <c r="T48" s="16"/>
      <c r="U48" s="16"/>
      <c r="V48" s="16"/>
      <c r="W48" s="16"/>
      <c r="X48" s="16"/>
      <c r="Y48" s="16"/>
      <c r="Z48" s="16"/>
      <c r="AA48" s="16"/>
      <c r="AB48" s="16"/>
      <c r="AC48" s="16"/>
      <c r="AD48" s="16"/>
    </row>
    <row r="49" ht="13.5" customHeight="1" spans="1:30" x14ac:dyDescent="0.25">
      <c r="A49" s="4"/>
      <c r="B49" s="131" t="str">
        <f ca="1">Summary!C103</f>
        <v>Liquidity</v>
      </c>
      <c r="C49" s="37"/>
      <c r="D49" s="205"/>
      <c r="E49" s="4"/>
      <c r="F49" s="209"/>
      <c r="G49" s="4"/>
      <c r="H49" s="4"/>
      <c r="I49" s="4"/>
      <c r="J49" s="4"/>
      <c r="K49" s="209"/>
      <c r="L49" s="4"/>
      <c r="M49" s="119"/>
      <c r="N49" s="207"/>
      <c r="O49" s="119"/>
      <c r="P49" s="4"/>
      <c r="Q49" s="4"/>
      <c r="R49" s="16"/>
      <c r="S49" s="16"/>
      <c r="T49" s="16"/>
      <c r="U49" s="16"/>
      <c r="V49" s="16"/>
      <c r="W49" s="16"/>
      <c r="X49" s="16"/>
      <c r="Y49" s="16"/>
      <c r="Z49" s="16"/>
      <c r="AA49" s="16"/>
      <c r="AB49" s="16"/>
      <c r="AC49" s="16"/>
      <c r="AD49" s="16"/>
    </row>
    <row r="50" ht="13.5" customHeight="1" spans="1:30" x14ac:dyDescent="0.25">
      <c r="A50" s="4"/>
      <c r="B50" s="139" t="str">
        <f ca="1">Summary!C104</f>
        <v>Current Ratio</v>
      </c>
      <c r="C50" s="4"/>
      <c r="D50" s="205">
        <f ca="1">Summary!T104</f>
        <v>1.0628221408829461</v>
      </c>
      <c r="E50" s="156">
        <f ca="1">Summary!U104</f>
        <v>1.0502571134727459</v>
      </c>
      <c r="F50" s="157">
        <f ca="1">Summary!V104</f>
        <v>1.320361937429771</v>
      </c>
      <c r="G50" s="156" t="str">
        <f ca="1">Summary!W104</f>
        <v>NA</v>
      </c>
      <c r="H50" s="156" t="str">
        <f ca="1">Summary!X104</f>
        <v>NA</v>
      </c>
      <c r="I50" s="156" t="str">
        <f ca="1">Summary!Y104</f>
        <v>NA</v>
      </c>
      <c r="J50" s="156" t="str">
        <f ca="1">Summary!Z104</f>
        <v>NA</v>
      </c>
      <c r="K50" s="157" t="str">
        <f ca="1">Summary!AA104</f>
        <v>NA</v>
      </c>
      <c r="L50" s="4"/>
      <c r="M50" s="220">
        <f t="shared" ref="M50:M52" si="4" ca="1">AVERAGE(D50:F50)</f>
        <v>1.1444803972618212</v>
      </c>
      <c r="N50" s="207"/>
      <c r="O50" s="220">
        <f ca="1">AVERAGE(G50:K50)</f>
      </c>
      <c r="P50" s="4"/>
      <c r="Q50" s="4"/>
      <c r="R50" s="16"/>
      <c r="S50" s="16"/>
      <c r="T50" s="16"/>
      <c r="U50" s="16"/>
      <c r="V50" s="16"/>
      <c r="W50" s="16"/>
      <c r="X50" s="16"/>
      <c r="Y50" s="16"/>
      <c r="Z50" s="16"/>
      <c r="AA50" s="16"/>
      <c r="AB50" s="16"/>
      <c r="AC50" s="16"/>
      <c r="AD50" s="16"/>
    </row>
    <row r="51" ht="13.5" customHeight="1" spans="1:30" x14ac:dyDescent="0.25">
      <c r="A51" s="4"/>
      <c r="B51" s="139" t="str">
        <f ca="1">Summary!C105</f>
        <v>Quick Ratio</v>
      </c>
      <c r="C51" s="4"/>
      <c r="D51" s="205">
        <f ca="1">Summary!T105</f>
        <v>0.054455815343243445</v>
      </c>
      <c r="E51" s="156">
        <f ca="1">Summary!U105</f>
        <v>0.060061707233459036</v>
      </c>
      <c r="F51" s="157">
        <f ca="1">Summary!V105</f>
        <v>0.307291974688036</v>
      </c>
      <c r="G51" s="156" t="str">
        <f ca="1">Summary!W105</f>
        <v>NA</v>
      </c>
      <c r="H51" s="156" t="str">
        <f ca="1">Summary!X105</f>
        <v>NA</v>
      </c>
      <c r="I51" s="156" t="str">
        <f ca="1">Summary!Y105</f>
        <v>NA</v>
      </c>
      <c r="J51" s="156" t="str">
        <f ca="1">Summary!Z105</f>
        <v>NA</v>
      </c>
      <c r="K51" s="157" t="str">
        <f ca="1">Summary!AA105</f>
        <v>NA</v>
      </c>
      <c r="L51" s="4"/>
      <c r="M51" s="220">
        <f ca="1">AVERAGE(D51:F51)</f>
        <v>0.14060316575491283</v>
      </c>
      <c r="N51" s="207"/>
      <c r="O51" s="220">
        <f ca="1">AVERAGE(G51:K51)</f>
      </c>
      <c r="P51" s="4"/>
      <c r="Q51" s="4"/>
      <c r="R51" s="16"/>
      <c r="S51" s="16"/>
      <c r="T51" s="16"/>
      <c r="U51" s="16"/>
      <c r="V51" s="16"/>
      <c r="W51" s="16"/>
      <c r="X51" s="16"/>
      <c r="Y51" s="16"/>
      <c r="Z51" s="16"/>
      <c r="AA51" s="16"/>
      <c r="AB51" s="16"/>
      <c r="AC51" s="16"/>
      <c r="AD51" s="16"/>
    </row>
    <row r="52" ht="13.5" customHeight="1" spans="1:30" x14ac:dyDescent="0.25">
      <c r="A52" s="4"/>
      <c r="B52" s="139" t="str">
        <f ca="1">Summary!C106</f>
        <v>Cash Ratio</v>
      </c>
      <c r="C52" s="4"/>
      <c r="D52" s="205">
        <f ca="1">Summary!T106</f>
        <v>0.054455815343243445</v>
      </c>
      <c r="E52" s="156">
        <f ca="1">Summary!U106</f>
        <v>0.060061707233459036</v>
      </c>
      <c r="F52" s="157">
        <f ca="1">Summary!V106</f>
        <v>0.307291974688036</v>
      </c>
      <c r="G52" s="156" t="str">
        <f ca="1">Summary!W106</f>
        <v>NA</v>
      </c>
      <c r="H52" s="156" t="str">
        <f ca="1">Summary!X106</f>
        <v>NA</v>
      </c>
      <c r="I52" s="156" t="str">
        <f ca="1">Summary!Y106</f>
        <v>NA</v>
      </c>
      <c r="J52" s="156" t="str">
        <f ca="1">Summary!Z106</f>
        <v>NA</v>
      </c>
      <c r="K52" s="157" t="str">
        <f ca="1">Summary!AA106</f>
        <v>NA</v>
      </c>
      <c r="L52" s="4"/>
      <c r="M52" s="220">
        <f ca="1">AVERAGE(D52:F52)</f>
        <v>0.14060316575491283</v>
      </c>
      <c r="N52" s="207"/>
      <c r="O52" s="220">
        <f ca="1">AVERAGE(G52:K52)</f>
      </c>
      <c r="P52" s="4"/>
      <c r="Q52" s="4"/>
      <c r="R52" s="16"/>
      <c r="S52" s="16"/>
      <c r="T52" s="16"/>
      <c r="U52" s="16"/>
      <c r="V52" s="16"/>
      <c r="W52" s="16"/>
      <c r="X52" s="16"/>
      <c r="Y52" s="16"/>
      <c r="Z52" s="16"/>
      <c r="AA52" s="16"/>
      <c r="AB52" s="16"/>
      <c r="AC52" s="16"/>
      <c r="AD52" s="16"/>
    </row>
    <row r="53" ht="13.5" customHeight="1" spans="1:30" x14ac:dyDescent="0.25">
      <c r="A53" s="4"/>
      <c r="B53" s="4"/>
      <c r="C53" s="4"/>
      <c r="D53" s="205"/>
      <c r="E53" s="4"/>
      <c r="F53" s="209"/>
      <c r="G53" s="4"/>
      <c r="H53" s="4"/>
      <c r="I53" s="4"/>
      <c r="J53" s="4"/>
      <c r="K53" s="209"/>
      <c r="L53" s="4"/>
      <c r="M53" s="119"/>
      <c r="N53" s="207"/>
      <c r="O53" s="119"/>
      <c r="P53" s="4"/>
      <c r="Q53" s="4"/>
      <c r="R53" s="16"/>
      <c r="S53" s="16"/>
      <c r="T53" s="16"/>
      <c r="U53" s="16"/>
      <c r="V53" s="16"/>
      <c r="W53" s="16"/>
      <c r="X53" s="16"/>
      <c r="Y53" s="16"/>
      <c r="Z53" s="16"/>
      <c r="AA53" s="16"/>
      <c r="AB53" s="16"/>
      <c r="AC53" s="16"/>
      <c r="AD53" s="16"/>
    </row>
    <row r="54" ht="13.5" customHeight="1" spans="1:30" x14ac:dyDescent="0.25">
      <c r="A54" s="4"/>
      <c r="B54" s="131" t="str">
        <f ca="1">Summary!C75</f>
        <v>Profitability</v>
      </c>
      <c r="C54" s="131"/>
      <c r="D54" s="205"/>
      <c r="E54" s="4"/>
      <c r="F54" s="209"/>
      <c r="G54" s="4"/>
      <c r="H54" s="4"/>
      <c r="I54" s="4"/>
      <c r="J54" s="4"/>
      <c r="K54" s="209"/>
      <c r="L54" s="4"/>
      <c r="M54" s="119"/>
      <c r="N54" s="207"/>
      <c r="O54" s="119"/>
      <c r="P54" s="4"/>
      <c r="Q54" s="4"/>
      <c r="R54" s="16"/>
      <c r="S54" s="16"/>
      <c r="T54" s="16"/>
      <c r="U54" s="16"/>
      <c r="V54" s="16"/>
      <c r="W54" s="16"/>
      <c r="X54" s="16"/>
      <c r="Y54" s="16"/>
      <c r="Z54" s="16"/>
      <c r="AA54" s="16"/>
      <c r="AB54" s="16"/>
      <c r="AC54" s="16"/>
      <c r="AD54" s="16"/>
    </row>
    <row r="55" ht="13.5" customHeight="1" spans="1:30" x14ac:dyDescent="0.25">
      <c r="A55" s="4"/>
      <c r="B55" s="139" t="str">
        <f ca="1">Summary!C80</f>
        <v>Return on Assets (ROA)</v>
      </c>
      <c r="C55" s="4"/>
      <c r="D55" s="205">
        <f ca="1">Summary!T80</f>
        <v>0.06705691433870407</v>
      </c>
      <c r="E55" s="153">
        <f ca="1">Summary!U80</f>
        <v>0.10845937523751616</v>
      </c>
      <c r="F55" s="154">
        <f ca="1">Summary!V80</f>
        <v>0.12485289397667701</v>
      </c>
      <c r="G55" s="153">
        <f ca="1">Summary!W80</f>
        <v>0.9054414124949961</v>
      </c>
      <c r="H55" s="153">
        <f ca="1">Summary!X80</f>
        <v>-0.16087013472990586</v>
      </c>
      <c r="I55" s="153">
        <f ca="1">Summary!Y80</f>
        <v>-0.16427735606162405</v>
      </c>
      <c r="J55" s="153">
        <f ca="1">Summary!Z80</f>
        <v>-0.16673582409470145</v>
      </c>
      <c r="K55" s="154">
        <f ca="1">Summary!AA80</f>
        <v>-0.16447778982414926</v>
      </c>
      <c r="L55" s="4"/>
      <c r="M55" s="119">
        <f t="shared" ref="M55:M57" si="5" ca="1">AVERAGE(D55:F55)</f>
        <v>0.10012306118429908</v>
      </c>
      <c r="N55" s="207"/>
      <c r="O55" s="119">
        <f ca="1">AVERAGE(G55:K55)</f>
      </c>
      <c r="P55" s="4"/>
      <c r="Q55" s="4"/>
      <c r="R55" s="16"/>
      <c r="S55" s="16"/>
      <c r="T55" s="16"/>
      <c r="U55" s="16"/>
      <c r="V55" s="16"/>
      <c r="W55" s="16"/>
      <c r="X55" s="16"/>
      <c r="Y55" s="16"/>
      <c r="Z55" s="16"/>
      <c r="AA55" s="16"/>
      <c r="AB55" s="16"/>
      <c r="AC55" s="16"/>
      <c r="AD55" s="16"/>
    </row>
    <row r="56" ht="13.5" customHeight="1" spans="1:30" x14ac:dyDescent="0.25">
      <c r="A56" s="4"/>
      <c r="B56" s="139" t="str">
        <f ca="1">Summary!C81</f>
        <v>Return on Equity (ROE)</v>
      </c>
      <c r="C56" s="4"/>
      <c r="D56" s="205">
        <f ca="1">Summary!T81</f>
        <v>0.6350164654226125</v>
      </c>
      <c r="E56" s="153">
        <f ca="1">Summary!U81</f>
        <v>2.170892494929006</v>
      </c>
      <c r="F56" s="154">
        <f ca="1">Summary!V81</f>
        <v>4.060542797494781</v>
      </c>
      <c r="G56" s="153">
        <f ca="1">Summary!W81</f>
        <v>-10.72540714379803</v>
      </c>
      <c r="H56" s="153">
        <f ca="1">Summary!X81</f>
        <v>0.5212035388403571</v>
      </c>
      <c r="I56" s="153">
        <f ca="1">Summary!Y81</f>
        <v>0.2764486896199358</v>
      </c>
      <c r="J56" s="153">
        <f ca="1">Summary!Z81</f>
        <v>0.19705744878339285</v>
      </c>
      <c r="K56" s="154">
        <f ca="1">Summary!AA81</f>
        <v>0.15101073240267113</v>
      </c>
      <c r="L56" s="4"/>
      <c r="M56" s="119">
        <f ca="1">AVERAGE(D56:F56)</f>
        <v>2.2888172526154666</v>
      </c>
      <c r="N56" s="207"/>
      <c r="O56" s="119">
        <f ca="1">AVERAGE(G56:K56)</f>
      </c>
      <c r="P56" s="4"/>
      <c r="Q56" s="4"/>
      <c r="R56" s="16"/>
      <c r="S56" s="16"/>
      <c r="T56" s="16"/>
      <c r="U56" s="16"/>
      <c r="V56" s="16"/>
      <c r="W56" s="16"/>
      <c r="X56" s="16"/>
      <c r="Y56" s="16"/>
      <c r="Z56" s="16"/>
      <c r="AA56" s="16"/>
      <c r="AB56" s="16"/>
      <c r="AC56" s="16"/>
      <c r="AD56" s="16"/>
    </row>
    <row r="57" ht="13.5" customHeight="1" spans="1:30" x14ac:dyDescent="0.25">
      <c r="A57" s="4"/>
      <c r="B57" s="139" t="s">
        <v>154</v>
      </c>
      <c r="C57" s="4"/>
      <c r="D57" s="205">
        <f ca="1">Summary!T82</f>
        <v>0.12086706711935231</v>
      </c>
      <c r="E57" s="153">
        <f ca="1">Summary!U82</f>
        <v>0.22138904690489736</v>
      </c>
      <c r="F57" s="154">
        <f ca="1">Summary!V82</f>
        <v>0.21104600694444445</v>
      </c>
      <c r="G57" s="153">
        <f ca="1">Summary!W82</f>
        <v>2.2020702607349802</v>
      </c>
      <c r="H57" s="153">
        <f ca="1">Summary!X82</f>
        <v>-1.4035191946628065</v>
      </c>
      <c r="I57" s="153">
        <f ca="1">Summary!Y82</f>
        <v>-0.8249482817446967</v>
      </c>
      <c r="J57" s="153">
        <f ca="1">Summary!Z82</f>
        <v>-0.8961150507122395</v>
      </c>
      <c r="K57" s="154">
        <f ca="1">Summary!AA82</f>
        <v>-0.798231453351673</v>
      </c>
      <c r="L57" s="4"/>
      <c r="M57" s="119">
        <f ca="1">AVERAGE(D57:F57)</f>
        <v>0.18443404032289804</v>
      </c>
      <c r="N57" s="207"/>
      <c r="O57" s="119">
        <f ca="1">AVERAGE(G57:K57)</f>
      </c>
      <c r="P57" s="4"/>
      <c r="Q57" s="4"/>
      <c r="R57" s="16"/>
      <c r="S57" s="16"/>
      <c r="T57" s="16"/>
      <c r="U57" s="16"/>
      <c r="V57" s="16"/>
      <c r="W57" s="16"/>
      <c r="X57" s="16"/>
      <c r="Y57" s="16"/>
      <c r="Z57" s="16"/>
      <c r="AA57" s="16"/>
      <c r="AB57" s="16"/>
      <c r="AC57" s="16"/>
      <c r="AD57" s="16"/>
    </row>
    <row r="58" ht="15" customHeight="1" spans="1:30" x14ac:dyDescent="0.25">
      <c r="A58" s="4"/>
      <c r="B58" s="4"/>
      <c r="C58" s="4"/>
      <c r="D58" s="4"/>
      <c r="E58" s="4"/>
      <c r="F58" s="209"/>
      <c r="G58" s="4"/>
      <c r="H58" s="4"/>
      <c r="I58" s="4"/>
      <c r="J58" s="4"/>
      <c r="K58" s="209"/>
      <c r="L58" s="4"/>
      <c r="M58" s="119"/>
      <c r="N58" s="207"/>
      <c r="O58" s="119"/>
      <c r="P58" s="4"/>
      <c r="Q58" s="4"/>
      <c r="R58" s="16"/>
      <c r="S58" s="16"/>
      <c r="T58" s="16"/>
      <c r="U58" s="16"/>
      <c r="V58" s="16"/>
      <c r="W58" s="16"/>
      <c r="X58" s="16"/>
      <c r="Y58" s="16"/>
      <c r="Z58" s="16"/>
      <c r="AA58" s="16"/>
      <c r="AB58" s="16"/>
      <c r="AC58" s="16"/>
      <c r="AD58" s="16"/>
    </row>
    <row r="59" ht="13.5" customHeight="1" spans="1:30" x14ac:dyDescent="0.25">
      <c r="A59" s="4"/>
      <c r="B59" s="131" t="str">
        <f ca="1">Summary!C84</f>
        <v>Coverage</v>
      </c>
      <c r="C59" s="131"/>
      <c r="D59" s="205"/>
      <c r="E59" s="4"/>
      <c r="F59" s="209"/>
      <c r="G59" s="4"/>
      <c r="H59" s="4"/>
      <c r="I59" s="4"/>
      <c r="J59" s="4"/>
      <c r="K59" s="209"/>
      <c r="L59" s="4"/>
      <c r="M59" s="119"/>
      <c r="N59" s="207"/>
      <c r="O59" s="119"/>
      <c r="P59" s="4"/>
      <c r="Q59" s="4"/>
      <c r="R59" s="16"/>
      <c r="S59" s="16"/>
      <c r="T59" s="16"/>
      <c r="U59" s="16"/>
      <c r="V59" s="16"/>
      <c r="W59" s="16"/>
      <c r="X59" s="16"/>
      <c r="Y59" s="16"/>
      <c r="Z59" s="16"/>
      <c r="AA59" s="16"/>
      <c r="AB59" s="16"/>
      <c r="AC59" s="16"/>
      <c r="AD59" s="16"/>
    </row>
    <row r="60" ht="13.5" customHeight="1" spans="1:30" x14ac:dyDescent="0.25">
      <c r="A60" s="4"/>
      <c r="B60" s="139" t="s">
        <v>120</v>
      </c>
      <c r="C60" s="4"/>
      <c r="D60" s="205">
        <f ca="1">Summary!T85</f>
        <v>624</v>
      </c>
      <c r="E60" s="116">
        <f ca="1">Summary!U85</f>
        <v>691</v>
      </c>
      <c r="F60" s="117">
        <f ca="1">Summary!V85</f>
        <v>849</v>
      </c>
      <c r="G60" s="116">
        <f ca="1">Summary!W85</f>
        <v>565.976675</v>
      </c>
      <c r="H60" s="116">
        <f ca="1">Summary!X85</f>
        <v>828.2817</v>
      </c>
      <c r="I60" s="116">
        <f ca="1">Summary!Y85</f>
        <v>1227.12149684914</v>
      </c>
      <c r="J60" s="116">
        <f ca="1">Summary!Z85</f>
        <v>2002.2297958492502</v>
      </c>
      <c r="K60" s="117">
        <f ca="1">Summary!AA85</f>
        <v>2736.4945942751838</v>
      </c>
      <c r="L60" s="4"/>
      <c r="M60" s="221">
        <f t="shared" ref="M60:M64" si="6" ca="1">AVERAGE(D60:F60)</f>
        <v>721.3333333333334</v>
      </c>
      <c r="N60" s="116"/>
      <c r="O60" s="221">
        <f ca="1">AVERAGE(G60:K60)</f>
      </c>
      <c r="P60" s="4"/>
      <c r="Q60" s="4"/>
      <c r="R60" s="16"/>
      <c r="S60" s="16"/>
      <c r="T60" s="16"/>
      <c r="U60" s="16"/>
      <c r="V60" s="16"/>
      <c r="W60" s="16"/>
      <c r="X60" s="16"/>
      <c r="Y60" s="16"/>
      <c r="Z60" s="16"/>
      <c r="AA60" s="16"/>
      <c r="AB60" s="16"/>
      <c r="AC60" s="16"/>
      <c r="AD60" s="16"/>
    </row>
    <row r="61" ht="13.5" customHeight="1" spans="1:30" x14ac:dyDescent="0.25">
      <c r="A61" s="4"/>
      <c r="B61" s="139" t="s">
        <v>121</v>
      </c>
      <c r="C61" s="4"/>
      <c r="D61" s="205">
        <f ca="1">Summary!T86</f>
        <v>1174</v>
      </c>
      <c r="E61" s="136">
        <f ca="1">Summary!U86</f>
        <v>1484</v>
      </c>
      <c r="F61" s="137">
        <f ca="1">Summary!V86</f>
        <v>1729</v>
      </c>
      <c r="G61" s="136">
        <f ca="1">Summary!W86</f>
        <v>1626.1257</v>
      </c>
      <c r="H61" s="136">
        <f ca="1">Summary!X86</f>
        <v>2115.30265349424</v>
      </c>
      <c r="I61" s="136">
        <f ca="1">Summary!Y86</f>
        <v>2146.8311554730876</v>
      </c>
      <c r="J61" s="136">
        <f ca="1">Summary!Z86</f>
        <v>2189.7677785825495</v>
      </c>
      <c r="K61" s="137">
        <f ca="1">Summary!AA86</f>
        <v>2345.2412908619103</v>
      </c>
      <c r="L61" s="4"/>
      <c r="M61" s="222">
        <f ca="1">AVERAGE(D61:F61)</f>
        <v>1462.3333333333333</v>
      </c>
      <c r="N61" s="136"/>
      <c r="O61" s="222">
        <f ca="1">AVERAGE(G61:K61)</f>
        <v>2084.6537156823574</v>
      </c>
      <c r="P61" s="4"/>
      <c r="Q61" s="4"/>
      <c r="R61" s="16"/>
      <c r="S61" s="16"/>
      <c r="T61" s="16"/>
      <c r="U61" s="16"/>
      <c r="V61" s="16"/>
      <c r="W61" s="16"/>
      <c r="X61" s="16"/>
      <c r="Y61" s="16"/>
      <c r="Z61" s="16"/>
      <c r="AA61" s="16"/>
      <c r="AB61" s="16"/>
      <c r="AC61" s="16"/>
      <c r="AD61" s="16"/>
    </row>
    <row r="62" ht="13.5" customHeight="1" spans="1:30" x14ac:dyDescent="0.25">
      <c r="A62" s="4"/>
      <c r="B62" s="139" t="s">
        <v>155</v>
      </c>
      <c r="C62" s="4"/>
      <c r="D62" s="205">
        <f ca="1">Summary!T87</f>
        <v>6.439102564102564</v>
      </c>
      <c r="E62" s="156">
        <f ca="1">Summary!U87</f>
        <v>9.137481910274964</v>
      </c>
      <c r="F62" s="157">
        <f ca="1">Summary!V87</f>
        <v>12.829210836277975</v>
      </c>
      <c r="G62" s="156" t="str">
        <f ca="1">Summary!W87</f>
        <v>N/A</v>
      </c>
      <c r="H62" s="156" t="str">
        <f ca="1">Summary!X87</f>
        <v>N/A</v>
      </c>
      <c r="I62" s="156" t="str">
        <f ca="1">Summary!Y87</f>
        <v>N/A</v>
      </c>
      <c r="J62" s="156" t="str">
        <f ca="1">Summary!Z87</f>
        <v>N/A</v>
      </c>
      <c r="K62" s="157" t="str">
        <f ca="1">Summary!AA87</f>
        <v>N/A</v>
      </c>
      <c r="L62" s="4"/>
      <c r="M62" s="220">
        <f ca="1">AVERAGE(D62:F62)</f>
        <v>9.468598436885168</v>
      </c>
      <c r="N62" s="156"/>
      <c r="O62" s="220">
        <f ca="1">AVERAGE(G62:K62)</f>
      </c>
      <c r="P62" s="4"/>
      <c r="Q62" s="4"/>
      <c r="R62" s="16"/>
      <c r="S62" s="16"/>
      <c r="T62" s="16"/>
      <c r="U62" s="16"/>
      <c r="V62" s="16"/>
      <c r="W62" s="16"/>
      <c r="X62" s="16"/>
      <c r="Y62" s="16"/>
      <c r="Z62" s="16"/>
      <c r="AA62" s="16"/>
      <c r="AB62" s="16"/>
      <c r="AC62" s="16"/>
      <c r="AD62" s="16"/>
    </row>
    <row r="63" ht="13.5" customHeight="1" spans="1:30" x14ac:dyDescent="0.25">
      <c r="A63" s="4"/>
      <c r="B63" s="139" t="s">
        <v>156</v>
      </c>
      <c r="C63" s="4"/>
      <c r="D63" s="205">
        <f ca="1">Summary!T88</f>
        <v>11.76536858974359</v>
      </c>
      <c r="E63" s="156">
        <f ca="1">Summary!U88</f>
        <v>11.236613603473227</v>
      </c>
      <c r="F63" s="157">
        <f ca="1">Summary!V88</f>
        <v>15.44389870435807</v>
      </c>
      <c r="G63" s="156" t="str">
        <f ca="1">Summary!W88</f>
        <v>N/A</v>
      </c>
      <c r="H63" s="156" t="str">
        <f ca="1">Summary!X88</f>
        <v>N/A</v>
      </c>
      <c r="I63" s="156" t="str">
        <f ca="1">Summary!Y88</f>
        <v>N/A</v>
      </c>
      <c r="J63" s="156" t="str">
        <f ca="1">Summary!Z88</f>
        <v>N/A</v>
      </c>
      <c r="K63" s="157" t="str">
        <f ca="1">Summary!AA88</f>
        <v>N/A</v>
      </c>
      <c r="L63" s="4"/>
      <c r="M63" s="220">
        <f ca="1">AVERAGE(D63:F63)</f>
        <v>12.815293632524963</v>
      </c>
      <c r="N63" s="156"/>
      <c r="O63" s="220">
        <f ca="1">AVERAGE(G63:K63)</f>
      </c>
      <c r="P63" s="4"/>
      <c r="Q63" s="4"/>
      <c r="R63" s="16"/>
      <c r="S63" s="16"/>
      <c r="T63" s="16"/>
      <c r="U63" s="16"/>
      <c r="V63" s="16"/>
      <c r="W63" s="16"/>
      <c r="X63" s="16"/>
      <c r="Y63" s="16"/>
      <c r="Z63" s="16"/>
      <c r="AA63" s="16"/>
      <c r="AB63" s="16"/>
      <c r="AC63" s="16"/>
      <c r="AD63" s="16"/>
    </row>
    <row r="64" ht="13.5" customHeight="1" spans="1:30" x14ac:dyDescent="0.25">
      <c r="A64" s="4"/>
      <c r="B64" s="139" t="s">
        <v>157</v>
      </c>
      <c r="D64" s="205">
        <f ca="1">Summary!T89</f>
        <v>9.883958333333334</v>
      </c>
      <c r="E64" s="156">
        <f ca="1">Summary!U89</f>
        <v>9.089001447178003</v>
      </c>
      <c r="F64" s="157">
        <f ca="1">Summary!V89</f>
        <v>13.407385159010602</v>
      </c>
      <c r="G64" s="156" t="str">
        <f ca="1">Summary!W89</f>
        <v>N/A</v>
      </c>
      <c r="H64" s="156" t="str">
        <f ca="1">Summary!X89</f>
        <v>N/A</v>
      </c>
      <c r="I64" s="156" t="str">
        <f ca="1">Summary!Y89</f>
        <v>N/A</v>
      </c>
      <c r="J64" s="156" t="str">
        <f ca="1">Summary!Z89</f>
        <v>N/A</v>
      </c>
      <c r="K64" s="157" t="str">
        <f ca="1">Summary!AA89</f>
        <v>N/A</v>
      </c>
      <c r="L64" s="4"/>
      <c r="M64" s="220">
        <f ca="1">AVERAGE(D64:F64)</f>
        <v>10.79344831317398</v>
      </c>
      <c r="N64" s="156"/>
      <c r="O64" s="220">
        <f ca="1">AVERAGE(G64:K64)</f>
      </c>
      <c r="P64" s="4"/>
      <c r="Q64" s="4"/>
      <c r="R64" s="16"/>
      <c r="S64" s="16"/>
      <c r="T64" s="16"/>
      <c r="U64" s="16"/>
      <c r="V64" s="16"/>
      <c r="W64" s="16"/>
      <c r="X64" s="16"/>
      <c r="Y64" s="16"/>
      <c r="Z64" s="16"/>
      <c r="AA64" s="16"/>
      <c r="AB64" s="16"/>
      <c r="AC64" s="16"/>
      <c r="AD64" s="16"/>
    </row>
    <row r="65" ht="13.5" customHeight="1" spans="1:30" x14ac:dyDescent="0.25">
      <c r="A65" s="4"/>
      <c r="B65" s="139"/>
      <c r="C65" s="16"/>
      <c r="D65" s="205"/>
      <c r="E65" s="4"/>
      <c r="F65" s="209"/>
      <c r="G65" s="4"/>
      <c r="H65" s="4"/>
      <c r="I65" s="4"/>
      <c r="J65" s="4"/>
      <c r="K65" s="209"/>
      <c r="L65" s="4"/>
      <c r="M65" s="119"/>
      <c r="N65" s="207"/>
      <c r="O65" s="119"/>
      <c r="P65" s="4"/>
      <c r="Q65" s="4"/>
      <c r="R65" s="16"/>
      <c r="S65" s="16"/>
      <c r="T65" s="16"/>
      <c r="U65" s="16"/>
      <c r="V65" s="16"/>
      <c r="W65" s="16"/>
      <c r="X65" s="16"/>
      <c r="Y65" s="16"/>
      <c r="Z65" s="16"/>
      <c r="AA65" s="16"/>
      <c r="AB65" s="16"/>
      <c r="AC65" s="16"/>
      <c r="AD65" s="16"/>
    </row>
    <row r="66" ht="13.5" customHeight="1" spans="1:30" x14ac:dyDescent="0.25">
      <c r="A66" s="4"/>
      <c r="B66" s="131" t="str">
        <f ca="1">Summary!C96</f>
        <v>Efficiency</v>
      </c>
      <c r="C66" s="131"/>
      <c r="D66" s="205"/>
      <c r="E66" s="4"/>
      <c r="F66" s="209"/>
      <c r="G66" s="4"/>
      <c r="H66" s="4"/>
      <c r="I66" s="4"/>
      <c r="J66" s="4"/>
      <c r="K66" s="209"/>
      <c r="L66" s="4"/>
      <c r="M66" s="119"/>
      <c r="N66" s="207"/>
      <c r="O66" s="119"/>
      <c r="P66" s="4"/>
      <c r="Q66" s="4"/>
      <c r="R66" s="16"/>
      <c r="S66" s="16"/>
      <c r="T66" s="16"/>
      <c r="U66" s="16"/>
      <c r="V66" s="16"/>
      <c r="W66" s="16"/>
      <c r="X66" s="16"/>
      <c r="Y66" s="16"/>
      <c r="Z66" s="16"/>
      <c r="AA66" s="16"/>
      <c r="AB66" s="16"/>
      <c r="AC66" s="16"/>
      <c r="AD66" s="16"/>
    </row>
    <row r="67" ht="13.5" customHeight="1" spans="1:30" x14ac:dyDescent="0.25">
      <c r="A67" s="4"/>
      <c r="B67" s="139" t="str">
        <f ca="1">Summary!C97</f>
        <v>Asset Turnover</v>
      </c>
      <c r="C67" s="16"/>
      <c r="D67" s="205">
        <f ca="1">Summary!T97</f>
        <v>2.066448359800626</v>
      </c>
      <c r="E67" s="160">
        <f ca="1">Summary!U97</f>
        <v>1.8278736287400876</v>
      </c>
      <c r="F67" s="161">
        <f ca="1">Summary!V97</f>
        <v>1.9171284904247352</v>
      </c>
      <c r="G67" s="160">
        <f ca="1">Summary!W97</f>
        <v>2.715038389660169</v>
      </c>
      <c r="H67" s="160">
        <f ca="1">Summary!X97</f>
        <v>1.9594259667698284</v>
      </c>
      <c r="I67" s="160">
        <f ca="1">Summary!Y97</f>
        <v>2.147325034243628</v>
      </c>
      <c r="J67" s="160">
        <f ca="1">Summary!Z97</f>
        <v>2.1354694656920468</v>
      </c>
      <c r="K67" s="161">
        <f ca="1">Summary!AA97</f>
        <v>2.1186134670745362</v>
      </c>
      <c r="L67" s="4"/>
      <c r="M67" s="220">
        <f t="shared" ref="M67:M71" si="7" ca="1">AVERAGE(D67:F67)</f>
        <v>1.9371501596551497</v>
      </c>
      <c r="N67" s="160"/>
      <c r="O67" s="220">
        <f ca="1">AVERAGE(G67:K67)</f>
      </c>
      <c r="P67" s="4"/>
      <c r="Q67" s="4"/>
      <c r="R67" s="16"/>
      <c r="S67" s="16"/>
      <c r="T67" s="16"/>
      <c r="U67" s="16"/>
      <c r="V67" s="16"/>
      <c r="W67" s="16"/>
      <c r="X67" s="16"/>
      <c r="Y67" s="16"/>
      <c r="Z67" s="16"/>
      <c r="AA67" s="16"/>
      <c r="AB67" s="16"/>
      <c r="AC67" s="16"/>
      <c r="AD67" s="16"/>
    </row>
    <row r="68" ht="13.5" customHeight="1" spans="1:30" x14ac:dyDescent="0.25">
      <c r="A68" s="4"/>
      <c r="B68" s="139" t="str">
        <f ca="1">Summary!C98</f>
        <v>Days Sales Outstanding</v>
      </c>
      <c r="C68" s="4"/>
      <c r="D68" s="205">
        <f ca="1">Summary!T98</f>
        <v>1e-12</v>
      </c>
      <c r="E68" s="162">
        <f ca="1">Summary!U98</f>
        <v>1e-12</v>
      </c>
      <c r="F68" s="163">
        <f ca="1">Summary!V98</f>
        <v>1e-12</v>
      </c>
      <c r="G68" s="162">
        <f ca="1">Summary!W98</f>
        <v>1e-12</v>
      </c>
      <c r="H68" s="162">
        <f ca="1">Summary!X98</f>
        <v>1e-12</v>
      </c>
      <c r="I68" s="162">
        <f ca="1">Summary!Y98</f>
        <v>1e-12</v>
      </c>
      <c r="J68" s="162">
        <f ca="1">Summary!Z98</f>
        <v>1e-12</v>
      </c>
      <c r="K68" s="163">
        <f ca="1">Summary!AA98</f>
        <v>1e-12</v>
      </c>
      <c r="L68" s="4"/>
      <c r="M68" s="223">
        <f ca="1">AVERAGE(D68:F68)</f>
      </c>
      <c r="N68" s="162"/>
      <c r="O68" s="223">
        <f ca="1">AVERAGE(G68:K68)</f>
      </c>
      <c r="P68" s="4"/>
      <c r="Q68" s="4"/>
      <c r="R68" s="16"/>
      <c r="S68" s="16"/>
      <c r="T68" s="16"/>
      <c r="U68" s="16"/>
      <c r="V68" s="16"/>
      <c r="W68" s="16"/>
      <c r="X68" s="16"/>
      <c r="Y68" s="16"/>
      <c r="Z68" s="16"/>
      <c r="AA68" s="16"/>
      <c r="AB68" s="16"/>
      <c r="AC68" s="16"/>
      <c r="AD68" s="16"/>
    </row>
    <row r="69" ht="13.5" customHeight="1" spans="1:30" x14ac:dyDescent="0.25">
      <c r="A69" s="4"/>
      <c r="B69" s="139" t="str">
        <f ca="1">Summary!C99</f>
        <v>Days Inventory Outstanding</v>
      </c>
      <c r="C69" s="4"/>
      <c r="D69" s="205">
        <f ca="1">Summary!T99</f>
        <v>94.5511972893122</v>
      </c>
      <c r="E69" s="162">
        <f ca="1">Summary!U99</f>
        <v>95.46895640686921</v>
      </c>
      <c r="F69" s="163">
        <f ca="1">Summary!V99</f>
        <v>89.31899223514513</v>
      </c>
      <c r="G69" s="162">
        <f ca="1">Summary!W99</f>
        <v>92.07624734938022</v>
      </c>
      <c r="H69" s="162">
        <f ca="1">Summary!X99</f>
        <v>78.93300806770992</v>
      </c>
      <c r="I69" s="162">
        <f ca="1">Summary!Y99</f>
        <v>84</v>
      </c>
      <c r="J69" s="162">
        <f ca="1">Summary!Z99</f>
        <v>84</v>
      </c>
      <c r="K69" s="163">
        <f ca="1">Summary!AA99</f>
        <v>84</v>
      </c>
      <c r="L69" s="4"/>
      <c r="M69" s="223">
        <f ca="1">AVERAGE(D69:F69)</f>
        <v>93.11304864377551</v>
      </c>
      <c r="N69" s="162"/>
      <c r="O69" s="223">
        <f ca="1">AVERAGE(G69:K69)</f>
        <v>84.60185108341803</v>
      </c>
      <c r="P69" s="4"/>
      <c r="Q69" s="4"/>
      <c r="R69" s="16"/>
      <c r="S69" s="16"/>
      <c r="T69" s="16"/>
      <c r="U69" s="16"/>
      <c r="V69" s="16"/>
      <c r="W69" s="16"/>
      <c r="X69" s="16"/>
      <c r="Y69" s="16"/>
      <c r="Z69" s="16"/>
      <c r="AA69" s="16"/>
      <c r="AB69" s="16"/>
      <c r="AC69" s="16"/>
      <c r="AD69" s="16"/>
    </row>
    <row r="70" ht="13.5" customHeight="1" spans="1:30" x14ac:dyDescent="0.25">
      <c r="A70" s="4"/>
      <c r="B70" s="139" t="str">
        <f ca="1">Summary!C100</f>
        <v>Days Payables Outstanding</v>
      </c>
      <c r="C70" s="4"/>
      <c r="D70" s="205">
        <f ca="1">Summary!T100</f>
        <v>69.28524204045371</v>
      </c>
      <c r="E70" s="162">
        <f ca="1">Summary!U100</f>
        <v>59.11360634081902</v>
      </c>
      <c r="F70" s="163">
        <f ca="1">Summary!V100</f>
        <v>56.38846769087213</v>
      </c>
      <c r="G70" s="162">
        <f ca="1">Summary!W100</f>
        <v>58.889473853616515</v>
      </c>
      <c r="H70" s="162">
        <f ca="1">Summary!X100</f>
        <v>48.236838263600504</v>
      </c>
      <c r="I70" s="162">
        <f ca="1">Summary!Y100</f>
        <v>54</v>
      </c>
      <c r="J70" s="162">
        <f ca="1">Summary!Z100</f>
        <v>54</v>
      </c>
      <c r="K70" s="163">
        <f ca="1">Summary!AA100</f>
        <v>54</v>
      </c>
      <c r="L70" s="4"/>
      <c r="M70" s="223">
        <f ca="1">AVERAGE(D70:F70)</f>
        <v>61.59577202404828</v>
      </c>
      <c r="N70" s="162"/>
      <c r="O70" s="223">
        <f ca="1">AVERAGE(G70:K70)</f>
        <v>53.825262423443405</v>
      </c>
      <c r="P70" s="4"/>
      <c r="Q70" s="4"/>
      <c r="R70" s="16"/>
      <c r="S70" s="16"/>
      <c r="T70" s="16"/>
      <c r="U70" s="16"/>
      <c r="V70" s="16"/>
      <c r="W70" s="16"/>
      <c r="X70" s="16"/>
      <c r="Y70" s="16"/>
      <c r="Z70" s="16"/>
      <c r="AA70" s="16"/>
      <c r="AB70" s="16"/>
      <c r="AC70" s="16"/>
      <c r="AD70" s="16"/>
    </row>
    <row r="71" ht="13.5" customHeight="1" spans="1:30" x14ac:dyDescent="0.25">
      <c r="A71" s="4"/>
      <c r="B71" s="139" t="str">
        <f ca="1">Summary!C101</f>
        <v>Cash Conversion Cycle</v>
      </c>
      <c r="C71" s="4"/>
      <c r="D71" s="205">
        <f ca="1">Summary!T101</f>
        <v>25.26595524885849</v>
      </c>
      <c r="E71" s="162">
        <f ca="1">Summary!U101</f>
        <v>36.35535006605019</v>
      </c>
      <c r="F71" s="163">
        <f ca="1">Summary!V101</f>
        <v>32.930524544273</v>
      </c>
      <c r="G71" s="162">
        <f ca="1">Summary!W101</f>
        <v>33.18677349576371</v>
      </c>
      <c r="H71" s="162">
        <f ca="1">Summary!X101</f>
        <v>30.696169804109417</v>
      </c>
      <c r="I71" s="162">
        <f ca="1">Summary!Y101</f>
        <v>30</v>
      </c>
      <c r="J71" s="162">
        <f ca="1">Summary!Z101</f>
        <v>30</v>
      </c>
      <c r="K71" s="163">
        <f ca="1">Summary!AA101</f>
        <v>30</v>
      </c>
      <c r="L71" s="4"/>
      <c r="M71" s="224">
        <f ca="1">AVERAGE(D71:F71)</f>
        <v>31.517276619727227</v>
      </c>
      <c r="N71" s="162"/>
      <c r="O71" s="224">
        <f ca="1">AVERAGE(G71:K71)</f>
        <v>30.776588659974625</v>
      </c>
      <c r="P71" s="4"/>
      <c r="Q71" s="4"/>
      <c r="R71" s="16"/>
      <c r="S71" s="16"/>
      <c r="T71" s="16"/>
      <c r="U71" s="16"/>
      <c r="V71" s="16"/>
      <c r="W71" s="16"/>
      <c r="X71" s="16"/>
      <c r="Y71" s="16"/>
      <c r="Z71" s="16"/>
      <c r="AA71" s="16"/>
      <c r="AB71" s="16"/>
      <c r="AC71" s="16"/>
      <c r="AD71" s="16"/>
    </row>
    <row r="72" ht="13.5" customHeight="1" spans="1:30" x14ac:dyDescent="0.25">
      <c r="A72" s="4"/>
      <c r="B72" s="139"/>
      <c r="C72" s="4"/>
      <c r="D72" s="4"/>
      <c r="E72" s="4"/>
      <c r="F72" s="4"/>
      <c r="G72" s="4"/>
      <c r="H72" s="4"/>
      <c r="I72" s="4"/>
      <c r="J72" s="4"/>
      <c r="K72" s="4"/>
      <c r="L72" s="4"/>
      <c r="M72" s="4"/>
      <c r="N72" s="4"/>
      <c r="O72" s="4"/>
      <c r="P72" s="4"/>
      <c r="Q72" s="4"/>
      <c r="R72" s="16"/>
      <c r="S72" s="16"/>
      <c r="T72" s="16"/>
      <c r="U72" s="16"/>
      <c r="V72" s="16"/>
      <c r="W72" s="16"/>
      <c r="X72" s="16"/>
      <c r="Y72" s="16"/>
      <c r="Z72" s="16"/>
      <c r="AA72" s="16"/>
      <c r="AB72" s="16"/>
      <c r="AC72" s="16"/>
      <c r="AD72" s="16"/>
    </row>
    <row r="73" ht="13.5" customHeight="1" spans="1:30" x14ac:dyDescent="0.25">
      <c r="A73" s="4"/>
      <c r="B73" s="4"/>
      <c r="C73" s="4"/>
      <c r="D73" s="4"/>
      <c r="E73" s="4"/>
      <c r="F73" s="4"/>
      <c r="G73" s="4"/>
      <c r="H73" s="4"/>
      <c r="I73" s="4"/>
      <c r="J73" s="4"/>
      <c r="K73" s="4"/>
      <c r="L73" s="4"/>
      <c r="M73" s="4"/>
      <c r="N73" s="4"/>
      <c r="O73" s="4"/>
      <c r="P73" s="4"/>
      <c r="Q73" s="4"/>
      <c r="R73" s="16"/>
      <c r="S73" s="16"/>
      <c r="T73" s="16"/>
      <c r="U73" s="16"/>
      <c r="V73" s="16"/>
      <c r="W73" s="16"/>
      <c r="X73" s="16"/>
      <c r="Y73" s="16"/>
      <c r="Z73" s="16"/>
      <c r="AA73" s="16"/>
      <c r="AB73" s="16"/>
      <c r="AC73" s="16"/>
      <c r="AD73" s="16"/>
    </row>
    <row r="74" ht="13.5" customHeight="1" spans="1:30" x14ac:dyDescent="0.25">
      <c r="A74" s="4"/>
      <c r="B74" s="4"/>
      <c r="C74" s="4"/>
      <c r="D74" s="4"/>
      <c r="E74" s="4"/>
      <c r="F74" s="4"/>
      <c r="G74" s="4"/>
      <c r="H74" s="4"/>
      <c r="I74" s="4"/>
      <c r="J74" s="4"/>
      <c r="K74" s="4"/>
      <c r="L74" s="4"/>
      <c r="M74" s="4"/>
      <c r="N74" s="4"/>
      <c r="O74" s="4"/>
      <c r="P74" s="4"/>
      <c r="Q74" s="4"/>
      <c r="R74" s="16"/>
      <c r="S74" s="16"/>
      <c r="T74" s="16"/>
      <c r="U74" s="16"/>
      <c r="V74" s="16"/>
      <c r="W74" s="16"/>
      <c r="X74" s="16"/>
      <c r="Y74" s="16"/>
      <c r="Z74" s="16"/>
      <c r="AA74" s="16"/>
      <c r="AB74" s="16"/>
      <c r="AC74" s="16"/>
      <c r="AD74" s="16"/>
    </row>
    <row r="75" ht="13.5" customHeight="1" spans="1:30" x14ac:dyDescent="0.25">
      <c r="A75" s="4"/>
      <c r="B75" s="4"/>
      <c r="C75" s="4"/>
      <c r="D75" s="4"/>
      <c r="E75" s="4"/>
      <c r="F75" s="4"/>
      <c r="G75" s="4"/>
      <c r="H75" s="4"/>
      <c r="I75" s="4"/>
      <c r="J75" s="4"/>
      <c r="K75" s="4"/>
      <c r="L75" s="4"/>
      <c r="M75" s="4"/>
      <c r="N75" s="4"/>
      <c r="O75" s="4"/>
      <c r="P75" s="4"/>
      <c r="Q75" s="4"/>
      <c r="R75" s="16"/>
      <c r="S75" s="16"/>
      <c r="T75" s="16"/>
      <c r="U75" s="16"/>
      <c r="V75" s="16"/>
      <c r="W75" s="16"/>
      <c r="X75" s="16"/>
      <c r="Y75" s="16"/>
      <c r="Z75" s="16"/>
      <c r="AA75" s="16"/>
      <c r="AB75" s="16"/>
      <c r="AC75" s="16"/>
      <c r="AD75" s="16"/>
    </row>
    <row r="76" ht="13.5" customHeight="1" spans="1:30" x14ac:dyDescent="0.25">
      <c r="A76" s="4"/>
      <c r="B76" s="4"/>
      <c r="C76" s="4"/>
      <c r="D76" s="4"/>
      <c r="E76" s="4"/>
      <c r="F76" s="4"/>
      <c r="G76" s="4"/>
      <c r="H76" s="4"/>
      <c r="I76" s="4"/>
      <c r="J76" s="4"/>
      <c r="K76" s="4"/>
      <c r="L76" s="4"/>
      <c r="M76" s="4"/>
      <c r="N76" s="4"/>
      <c r="O76" s="4"/>
      <c r="P76" s="4"/>
      <c r="Q76" s="4"/>
      <c r="R76" s="16"/>
      <c r="S76" s="16"/>
      <c r="T76" s="16"/>
      <c r="U76" s="16"/>
      <c r="V76" s="16"/>
      <c r="W76" s="16"/>
      <c r="X76" s="16"/>
      <c r="Y76" s="16"/>
      <c r="Z76" s="16"/>
      <c r="AA76" s="16"/>
      <c r="AB76" s="16"/>
      <c r="AC76" s="16"/>
      <c r="AD76" s="16"/>
    </row>
    <row r="77" ht="13.5" customHeight="1" spans="1:30" x14ac:dyDescent="0.25">
      <c r="A77" s="4"/>
      <c r="B77" s="4"/>
      <c r="C77" s="4"/>
      <c r="D77" s="4"/>
      <c r="E77" s="4"/>
      <c r="F77" s="4"/>
      <c r="G77" s="4"/>
      <c r="H77" s="4"/>
      <c r="I77" s="4"/>
      <c r="J77" s="4"/>
      <c r="K77" s="4"/>
      <c r="L77" s="4"/>
      <c r="M77" s="4"/>
      <c r="N77" s="4"/>
      <c r="O77" s="4"/>
      <c r="P77" s="4"/>
      <c r="Q77" s="4"/>
      <c r="R77" s="16"/>
      <c r="S77" s="16"/>
      <c r="T77" s="16"/>
      <c r="U77" s="16"/>
      <c r="V77" s="16"/>
      <c r="W77" s="16"/>
      <c r="X77" s="16"/>
      <c r="Y77" s="16"/>
      <c r="Z77" s="16"/>
      <c r="AA77" s="16"/>
      <c r="AB77" s="16"/>
      <c r="AC77" s="16"/>
      <c r="AD77" s="16"/>
    </row>
    <row r="78" ht="13.5" customHeight="1" spans="1:30" x14ac:dyDescent="0.25">
      <c r="A78" s="4"/>
      <c r="B78" s="4"/>
      <c r="C78" s="4"/>
      <c r="D78" s="4"/>
      <c r="E78" s="4"/>
      <c r="F78" s="4"/>
      <c r="G78" s="4"/>
      <c r="H78" s="4"/>
      <c r="I78" s="4"/>
      <c r="J78" s="4"/>
      <c r="K78" s="4"/>
      <c r="L78" s="4"/>
      <c r="M78" s="4"/>
      <c r="N78" s="4"/>
      <c r="O78" s="4"/>
      <c r="P78" s="4"/>
      <c r="Q78" s="4"/>
      <c r="R78" s="16"/>
      <c r="S78" s="16"/>
      <c r="T78" s="16"/>
      <c r="U78" s="16"/>
      <c r="V78" s="16"/>
      <c r="W78" s="16"/>
      <c r="X78" s="16"/>
      <c r="Y78" s="16"/>
      <c r="Z78" s="16"/>
      <c r="AA78" s="16"/>
      <c r="AB78" s="16"/>
      <c r="AC78" s="16"/>
      <c r="AD78" s="16"/>
    </row>
    <row r="79" ht="13.5" customHeight="1" spans="1:30" x14ac:dyDescent="0.25">
      <c r="A79" s="4"/>
      <c r="B79" s="4"/>
      <c r="C79" s="4"/>
      <c r="D79" s="4"/>
      <c r="E79" s="4"/>
      <c r="F79" s="4"/>
      <c r="G79" s="4"/>
      <c r="H79" s="4"/>
      <c r="I79" s="4"/>
      <c r="J79" s="4"/>
      <c r="K79" s="4"/>
      <c r="L79" s="4"/>
      <c r="M79" s="4"/>
      <c r="N79" s="4"/>
      <c r="O79" s="4"/>
      <c r="P79" s="4"/>
      <c r="Q79" s="4"/>
      <c r="R79" s="16"/>
      <c r="S79" s="16"/>
      <c r="T79" s="16"/>
      <c r="U79" s="16"/>
      <c r="V79" s="16"/>
      <c r="W79" s="16"/>
      <c r="X79" s="16"/>
      <c r="Y79" s="16"/>
      <c r="Z79" s="16"/>
      <c r="AA79" s="16"/>
      <c r="AB79" s="16"/>
      <c r="AC79" s="16"/>
      <c r="AD79" s="16"/>
    </row>
    <row r="80" ht="13.5" customHeight="1" spans="1:30" x14ac:dyDescent="0.25">
      <c r="A80" s="4"/>
      <c r="B80" s="4"/>
      <c r="C80" s="4"/>
      <c r="D80" s="4"/>
      <c r="E80" s="4"/>
      <c r="F80" s="4"/>
      <c r="G80" s="4"/>
      <c r="H80" s="4"/>
      <c r="I80" s="4"/>
      <c r="J80" s="4"/>
      <c r="K80" s="4"/>
      <c r="L80" s="4"/>
      <c r="M80" s="4"/>
      <c r="N80" s="4"/>
      <c r="O80" s="4"/>
      <c r="P80" s="4"/>
      <c r="Q80" s="4"/>
      <c r="R80" s="16"/>
      <c r="S80" s="16"/>
      <c r="T80" s="16"/>
      <c r="U80" s="16"/>
      <c r="V80" s="16"/>
      <c r="W80" s="16"/>
      <c r="X80" s="16"/>
      <c r="Y80" s="16"/>
      <c r="Z80" s="16"/>
      <c r="AA80" s="16"/>
      <c r="AB80" s="16"/>
      <c r="AC80" s="16"/>
      <c r="AD80" s="16"/>
    </row>
    <row r="81" ht="13.5" customHeight="1" spans="1:30" x14ac:dyDescent="0.25">
      <c r="A81" s="4"/>
      <c r="B81" s="4"/>
      <c r="C81" s="4"/>
      <c r="D81" s="4"/>
      <c r="E81" s="4"/>
      <c r="F81" s="4"/>
      <c r="G81" s="4"/>
      <c r="H81" s="4"/>
      <c r="I81" s="4"/>
      <c r="J81" s="4"/>
      <c r="K81" s="4"/>
      <c r="L81" s="4"/>
      <c r="M81" s="4"/>
      <c r="N81" s="4"/>
      <c r="O81" s="4"/>
      <c r="P81" s="4"/>
      <c r="Q81" s="4"/>
      <c r="R81" s="16"/>
      <c r="S81" s="16"/>
      <c r="T81" s="16"/>
      <c r="U81" s="16"/>
      <c r="V81" s="16"/>
      <c r="W81" s="16"/>
      <c r="X81" s="16"/>
      <c r="Y81" s="16"/>
      <c r="Z81" s="16"/>
      <c r="AA81" s="16"/>
      <c r="AB81" s="16"/>
      <c r="AC81" s="16"/>
      <c r="AD81" s="16"/>
    </row>
    <row r="82" ht="13.5" customHeight="1" spans="1:30" x14ac:dyDescent="0.25">
      <c r="A82" s="4"/>
      <c r="B82" s="4"/>
      <c r="C82" s="4"/>
      <c r="D82" s="4"/>
      <c r="E82" s="4"/>
      <c r="F82" s="4"/>
      <c r="G82" s="4"/>
      <c r="H82" s="4"/>
      <c r="I82" s="4"/>
      <c r="J82" s="4"/>
      <c r="K82" s="4"/>
      <c r="L82" s="4"/>
      <c r="M82" s="4"/>
      <c r="N82" s="4"/>
      <c r="O82" s="4"/>
      <c r="P82" s="4"/>
      <c r="Q82" s="4"/>
      <c r="R82" s="16"/>
      <c r="S82" s="16"/>
      <c r="T82" s="16"/>
      <c r="U82" s="16"/>
      <c r="V82" s="16"/>
      <c r="W82" s="16"/>
      <c r="X82" s="16"/>
      <c r="Y82" s="16"/>
      <c r="Z82" s="16"/>
      <c r="AA82" s="16"/>
      <c r="AB82" s="16"/>
      <c r="AC82" s="16"/>
      <c r="AD82" s="16"/>
    </row>
    <row r="83" ht="13.5" customHeight="1" spans="1:30" x14ac:dyDescent="0.25">
      <c r="A83" s="4"/>
      <c r="B83" s="4"/>
      <c r="C83" s="4"/>
      <c r="D83" s="4"/>
      <c r="E83" s="4"/>
      <c r="F83" s="4"/>
      <c r="G83" s="4"/>
      <c r="H83" s="4"/>
      <c r="I83" s="4"/>
      <c r="J83" s="4"/>
      <c r="K83" s="4"/>
      <c r="L83" s="4"/>
      <c r="M83" s="4"/>
      <c r="N83" s="4"/>
      <c r="O83" s="4"/>
      <c r="P83" s="4"/>
      <c r="Q83" s="4"/>
      <c r="R83" s="16"/>
      <c r="S83" s="16"/>
      <c r="T83" s="16"/>
      <c r="U83" s="16"/>
      <c r="V83" s="16"/>
      <c r="W83" s="16"/>
      <c r="X83" s="16"/>
      <c r="Y83" s="16"/>
      <c r="Z83" s="16"/>
      <c r="AA83" s="16"/>
      <c r="AB83" s="16"/>
      <c r="AC83" s="16"/>
      <c r="AD83" s="16"/>
    </row>
    <row r="84" ht="13.5" customHeight="1" spans="1:30" x14ac:dyDescent="0.25">
      <c r="A84" s="4"/>
      <c r="B84" s="4"/>
      <c r="C84" s="4"/>
      <c r="D84" s="4"/>
      <c r="E84" s="4"/>
      <c r="F84" s="4"/>
      <c r="G84" s="4"/>
      <c r="H84" s="4"/>
      <c r="I84" s="4"/>
      <c r="J84" s="4"/>
      <c r="K84" s="4"/>
      <c r="L84" s="4"/>
      <c r="M84" s="4"/>
      <c r="N84" s="4"/>
      <c r="O84" s="4"/>
      <c r="P84" s="4"/>
      <c r="Q84" s="4"/>
      <c r="R84" s="16"/>
      <c r="S84" s="16"/>
      <c r="T84" s="16"/>
      <c r="U84" s="16"/>
      <c r="V84" s="16"/>
      <c r="W84" s="16"/>
      <c r="X84" s="16"/>
      <c r="Y84" s="16"/>
      <c r="Z84" s="16"/>
      <c r="AA84" s="16"/>
      <c r="AB84" s="16"/>
      <c r="AC84" s="16"/>
      <c r="AD84" s="16"/>
    </row>
    <row r="85" ht="13.5" customHeight="1" spans="1:30" x14ac:dyDescent="0.25">
      <c r="A85" s="4"/>
      <c r="B85" s="4"/>
      <c r="C85" s="4"/>
      <c r="D85" s="4"/>
      <c r="E85" s="4"/>
      <c r="F85" s="4"/>
      <c r="G85" s="4"/>
      <c r="H85" s="4"/>
      <c r="I85" s="4"/>
      <c r="J85" s="4"/>
      <c r="K85" s="4"/>
      <c r="L85" s="4"/>
      <c r="M85" s="4"/>
      <c r="N85" s="4"/>
      <c r="O85" s="4"/>
      <c r="P85" s="4"/>
      <c r="Q85" s="4"/>
      <c r="R85" s="16"/>
      <c r="S85" s="16"/>
      <c r="T85" s="16"/>
      <c r="U85" s="16"/>
      <c r="V85" s="16"/>
      <c r="W85" s="16"/>
      <c r="X85" s="16"/>
      <c r="Y85" s="16"/>
      <c r="Z85" s="16"/>
      <c r="AA85" s="16"/>
      <c r="AB85" s="16"/>
      <c r="AC85" s="16"/>
      <c r="AD85" s="16"/>
    </row>
    <row r="86" ht="13.5" customHeight="1" spans="1:30" x14ac:dyDescent="0.25">
      <c r="A86" s="4"/>
      <c r="B86" s="4"/>
      <c r="C86" s="4"/>
      <c r="D86" s="4"/>
      <c r="E86" s="4"/>
      <c r="F86" s="4"/>
      <c r="G86" s="4"/>
      <c r="H86" s="4"/>
      <c r="I86" s="4"/>
      <c r="J86" s="4"/>
      <c r="K86" s="4"/>
      <c r="L86" s="4"/>
      <c r="M86" s="4"/>
      <c r="N86" s="4"/>
      <c r="O86" s="4"/>
      <c r="P86" s="4"/>
      <c r="Q86" s="4"/>
      <c r="R86" s="16"/>
      <c r="S86" s="16"/>
      <c r="T86" s="16"/>
      <c r="U86" s="16"/>
      <c r="V86" s="16"/>
      <c r="W86" s="16"/>
      <c r="X86" s="16"/>
      <c r="Y86" s="16"/>
      <c r="Z86" s="16"/>
      <c r="AA86" s="16"/>
      <c r="AB86" s="16"/>
      <c r="AC86" s="16"/>
      <c r="AD86" s="16"/>
    </row>
    <row r="87" ht="13.5" customHeight="1" spans="1:30" x14ac:dyDescent="0.25">
      <c r="A87" s="4"/>
      <c r="B87" s="4"/>
      <c r="C87" s="4"/>
      <c r="D87" s="4"/>
      <c r="E87" s="4"/>
      <c r="F87" s="4"/>
      <c r="G87" s="4"/>
      <c r="H87" s="4"/>
      <c r="I87" s="4"/>
      <c r="J87" s="4"/>
      <c r="K87" s="4"/>
      <c r="L87" s="4"/>
      <c r="M87" s="4"/>
      <c r="N87" s="4"/>
      <c r="O87" s="4"/>
      <c r="P87" s="4"/>
      <c r="Q87" s="4"/>
      <c r="R87" s="16"/>
      <c r="S87" s="16"/>
      <c r="T87" s="16"/>
      <c r="U87" s="16"/>
      <c r="V87" s="16"/>
      <c r="W87" s="16"/>
      <c r="X87" s="16"/>
      <c r="Y87" s="16"/>
      <c r="Z87" s="16"/>
      <c r="AA87" s="16"/>
      <c r="AB87" s="16"/>
      <c r="AC87" s="16"/>
      <c r="AD87" s="16"/>
    </row>
    <row r="88" ht="13.5" customHeight="1" spans="1:30" x14ac:dyDescent="0.25">
      <c r="A88" s="4"/>
      <c r="B88" s="4"/>
      <c r="C88" s="4"/>
      <c r="D88" s="4"/>
      <c r="E88" s="4"/>
      <c r="F88" s="4"/>
      <c r="G88" s="4"/>
      <c r="H88" s="4"/>
      <c r="I88" s="4"/>
      <c r="J88" s="4"/>
      <c r="K88" s="4"/>
      <c r="L88" s="4"/>
      <c r="M88" s="4"/>
      <c r="N88" s="4"/>
      <c r="O88" s="4"/>
      <c r="P88" s="4"/>
      <c r="Q88" s="4"/>
      <c r="R88" s="16"/>
      <c r="S88" s="16"/>
      <c r="T88" s="16"/>
      <c r="U88" s="16"/>
      <c r="V88" s="16"/>
      <c r="W88" s="16"/>
      <c r="X88" s="16"/>
      <c r="Y88" s="16"/>
      <c r="Z88" s="16"/>
      <c r="AA88" s="16"/>
      <c r="AB88" s="16"/>
      <c r="AC88" s="16"/>
      <c r="AD88" s="16"/>
    </row>
    <row r="89" ht="13.5" customHeight="1" spans="1:30" x14ac:dyDescent="0.25">
      <c r="A89" s="4"/>
      <c r="B89" s="4"/>
      <c r="C89" s="4"/>
      <c r="D89" s="4"/>
      <c r="E89" s="4"/>
      <c r="F89" s="4"/>
      <c r="G89" s="4"/>
      <c r="H89" s="4"/>
      <c r="I89" s="4"/>
      <c r="J89" s="4"/>
      <c r="K89" s="4"/>
      <c r="L89" s="4"/>
      <c r="M89" s="4"/>
      <c r="N89" s="4"/>
      <c r="O89" s="4"/>
      <c r="P89" s="4"/>
      <c r="Q89" s="4"/>
      <c r="R89" s="16"/>
      <c r="S89" s="16"/>
      <c r="T89" s="16"/>
      <c r="U89" s="16"/>
      <c r="V89" s="16"/>
      <c r="W89" s="16"/>
      <c r="X89" s="16"/>
      <c r="Y89" s="16"/>
      <c r="Z89" s="16"/>
      <c r="AA89" s="16"/>
      <c r="AB89" s="16"/>
      <c r="AC89" s="16"/>
      <c r="AD89" s="16"/>
    </row>
    <row r="90" ht="13.5" customHeight="1" spans="1:30" x14ac:dyDescent="0.25">
      <c r="A90" s="4"/>
      <c r="B90" s="4"/>
      <c r="C90" s="4"/>
      <c r="D90" s="4"/>
      <c r="E90" s="4"/>
      <c r="F90" s="4"/>
      <c r="G90" s="4"/>
      <c r="H90" s="4"/>
      <c r="I90" s="4"/>
      <c r="J90" s="4"/>
      <c r="K90" s="4"/>
      <c r="L90" s="4"/>
      <c r="M90" s="4"/>
      <c r="N90" s="4"/>
      <c r="O90" s="4"/>
      <c r="P90" s="4"/>
      <c r="Q90" s="4"/>
      <c r="R90" s="16"/>
      <c r="S90" s="16"/>
      <c r="T90" s="16"/>
      <c r="U90" s="16"/>
      <c r="V90" s="16"/>
      <c r="W90" s="16"/>
      <c r="X90" s="16"/>
      <c r="Y90" s="16"/>
      <c r="Z90" s="16"/>
      <c r="AA90" s="16"/>
      <c r="AB90" s="16"/>
      <c r="AC90" s="16"/>
      <c r="AD90" s="16"/>
    </row>
    <row r="91" ht="13.5" customHeight="1" spans="1:30" x14ac:dyDescent="0.25">
      <c r="A91" s="4"/>
      <c r="B91" s="4"/>
      <c r="C91" s="4"/>
      <c r="D91" s="4"/>
      <c r="E91" s="4"/>
      <c r="F91" s="4"/>
      <c r="G91" s="4"/>
      <c r="H91" s="4"/>
      <c r="I91" s="4"/>
      <c r="J91" s="4"/>
      <c r="K91" s="4"/>
      <c r="L91" s="4"/>
      <c r="M91" s="4"/>
      <c r="N91" s="4"/>
      <c r="O91" s="4"/>
      <c r="P91" s="4"/>
      <c r="Q91" s="4"/>
      <c r="R91" s="16"/>
      <c r="S91" s="16"/>
      <c r="T91" s="16"/>
      <c r="U91" s="16"/>
      <c r="V91" s="16"/>
      <c r="W91" s="16"/>
      <c r="X91" s="16"/>
      <c r="Y91" s="16"/>
      <c r="Z91" s="16"/>
      <c r="AA91" s="16"/>
      <c r="AB91" s="16"/>
      <c r="AC91" s="16"/>
      <c r="AD91" s="16"/>
    </row>
    <row r="92" ht="13.5" customHeight="1" spans="1:30" x14ac:dyDescent="0.25">
      <c r="A92" s="4"/>
      <c r="B92" s="4"/>
      <c r="C92" s="4"/>
      <c r="D92" s="4"/>
      <c r="E92" s="4"/>
      <c r="F92" s="4"/>
      <c r="G92" s="4"/>
      <c r="H92" s="4"/>
      <c r="I92" s="4"/>
      <c r="J92" s="4"/>
      <c r="K92" s="4"/>
      <c r="L92" s="4"/>
      <c r="M92" s="4"/>
      <c r="N92" s="4"/>
      <c r="O92" s="4"/>
      <c r="P92" s="4"/>
      <c r="Q92" s="4"/>
      <c r="R92" s="16"/>
      <c r="S92" s="16"/>
      <c r="T92" s="16"/>
      <c r="U92" s="16"/>
      <c r="V92" s="16"/>
      <c r="W92" s="16"/>
      <c r="X92" s="16"/>
      <c r="Y92" s="16"/>
      <c r="Z92" s="16"/>
      <c r="AA92" s="16"/>
      <c r="AB92" s="16"/>
      <c r="AC92" s="16"/>
      <c r="AD92" s="16"/>
    </row>
    <row r="93" ht="13.5" customHeight="1" spans="1:30" x14ac:dyDescent="0.25">
      <c r="A93" s="4"/>
      <c r="B93" s="4"/>
      <c r="C93" s="4"/>
      <c r="D93" s="4"/>
      <c r="E93" s="4"/>
      <c r="F93" s="4"/>
      <c r="G93" s="4"/>
      <c r="H93" s="4"/>
      <c r="I93" s="4"/>
      <c r="J93" s="4"/>
      <c r="K93" s="4"/>
      <c r="L93" s="4"/>
      <c r="M93" s="4"/>
      <c r="N93" s="4"/>
      <c r="O93" s="4"/>
      <c r="P93" s="4"/>
      <c r="Q93" s="4"/>
      <c r="R93" s="16"/>
      <c r="S93" s="16"/>
      <c r="T93" s="16"/>
      <c r="U93" s="16"/>
      <c r="V93" s="16"/>
      <c r="W93" s="16"/>
      <c r="X93" s="16"/>
      <c r="Y93" s="16"/>
      <c r="Z93" s="16"/>
      <c r="AA93" s="16"/>
      <c r="AB93" s="16"/>
      <c r="AC93" s="16"/>
      <c r="AD93" s="16"/>
    </row>
    <row r="94" ht="13.5" customHeight="1" spans="1:30" x14ac:dyDescent="0.25">
      <c r="A94" s="4"/>
      <c r="B94" s="4"/>
      <c r="C94" s="4"/>
      <c r="D94" s="4"/>
      <c r="E94" s="4"/>
      <c r="F94" s="4"/>
      <c r="G94" s="4"/>
      <c r="H94" s="4"/>
      <c r="I94" s="4"/>
      <c r="J94" s="4"/>
      <c r="K94" s="4"/>
      <c r="L94" s="4"/>
      <c r="M94" s="4"/>
      <c r="N94" s="4"/>
      <c r="O94" s="4"/>
      <c r="P94" s="4"/>
      <c r="Q94" s="4"/>
      <c r="R94" s="16"/>
      <c r="S94" s="16"/>
      <c r="T94" s="16"/>
      <c r="U94" s="16"/>
      <c r="V94" s="16"/>
      <c r="W94" s="16"/>
      <c r="X94" s="16"/>
      <c r="Y94" s="16"/>
      <c r="Z94" s="16"/>
      <c r="AA94" s="16"/>
      <c r="AB94" s="16"/>
      <c r="AC94" s="16"/>
      <c r="AD94" s="16"/>
    </row>
    <row r="95" ht="13.5" customHeight="1" spans="1:30" x14ac:dyDescent="0.25">
      <c r="A95" s="4"/>
      <c r="B95" s="4"/>
      <c r="C95" s="4"/>
      <c r="D95" s="4"/>
      <c r="E95" s="4"/>
      <c r="F95" s="4"/>
      <c r="G95" s="4"/>
      <c r="H95" s="4"/>
      <c r="I95" s="4"/>
      <c r="J95" s="4"/>
      <c r="K95" s="4"/>
      <c r="L95" s="4"/>
      <c r="M95" s="4"/>
      <c r="N95" s="4"/>
      <c r="O95" s="4"/>
      <c r="P95" s="4"/>
      <c r="Q95" s="4"/>
      <c r="R95" s="16"/>
      <c r="S95" s="16"/>
      <c r="T95" s="16"/>
      <c r="U95" s="16"/>
      <c r="V95" s="16"/>
      <c r="W95" s="16"/>
      <c r="X95" s="16"/>
      <c r="Y95" s="16"/>
      <c r="Z95" s="16"/>
      <c r="AA95" s="16"/>
      <c r="AB95" s="16"/>
      <c r="AC95" s="16"/>
      <c r="AD95" s="16"/>
    </row>
    <row r="96" ht="13.5" customHeight="1" spans="1:30" x14ac:dyDescent="0.25">
      <c r="A96" s="4"/>
      <c r="B96" s="4"/>
      <c r="C96" s="4"/>
      <c r="D96" s="4"/>
      <c r="E96" s="4"/>
      <c r="F96" s="4"/>
      <c r="G96" s="4"/>
      <c r="H96" s="4"/>
      <c r="I96" s="4"/>
      <c r="J96" s="4"/>
      <c r="K96" s="4"/>
      <c r="L96" s="4"/>
      <c r="M96" s="4"/>
      <c r="N96" s="4"/>
      <c r="O96" s="4"/>
      <c r="P96" s="4"/>
      <c r="Q96" s="4"/>
      <c r="R96" s="16"/>
      <c r="S96" s="16"/>
      <c r="T96" s="16"/>
      <c r="U96" s="16"/>
      <c r="V96" s="16"/>
      <c r="W96" s="16"/>
      <c r="X96" s="16"/>
      <c r="Y96" s="16"/>
      <c r="Z96" s="16"/>
      <c r="AA96" s="16"/>
      <c r="AB96" s="16"/>
      <c r="AC96" s="16"/>
      <c r="AD96" s="16"/>
    </row>
    <row r="97" ht="13.5" customHeight="1" spans="1:30" x14ac:dyDescent="0.25">
      <c r="A97" s="4"/>
      <c r="B97" s="4"/>
      <c r="C97" s="4"/>
      <c r="D97" s="4"/>
      <c r="E97" s="4"/>
      <c r="F97" s="4"/>
      <c r="G97" s="4"/>
      <c r="H97" s="4"/>
      <c r="I97" s="4"/>
      <c r="J97" s="4"/>
      <c r="K97" s="4"/>
      <c r="L97" s="4"/>
      <c r="M97" s="4"/>
      <c r="N97" s="4"/>
      <c r="O97" s="4"/>
      <c r="P97" s="4"/>
      <c r="Q97" s="4"/>
      <c r="R97" s="16"/>
      <c r="S97" s="16"/>
      <c r="T97" s="16"/>
      <c r="U97" s="16"/>
      <c r="V97" s="16"/>
      <c r="W97" s="16"/>
      <c r="X97" s="16"/>
      <c r="Y97" s="16"/>
      <c r="Z97" s="16"/>
      <c r="AA97" s="16"/>
      <c r="AB97" s="16"/>
      <c r="AC97" s="16"/>
      <c r="AD97" s="16"/>
    </row>
    <row r="98" ht="13.5" customHeight="1" spans="1:30" x14ac:dyDescent="0.25">
      <c r="A98" s="4"/>
      <c r="B98" s="4"/>
      <c r="C98" s="4"/>
      <c r="D98" s="4"/>
      <c r="E98" s="4"/>
      <c r="F98" s="4"/>
      <c r="G98" s="4"/>
      <c r="H98" s="4"/>
      <c r="I98" s="4"/>
      <c r="J98" s="4"/>
      <c r="K98" s="4"/>
      <c r="L98" s="4"/>
      <c r="M98" s="4"/>
      <c r="N98" s="4"/>
      <c r="O98" s="4"/>
      <c r="P98" s="4"/>
      <c r="Q98" s="4"/>
      <c r="R98" s="16"/>
      <c r="S98" s="16"/>
      <c r="T98" s="16"/>
      <c r="U98" s="16"/>
      <c r="V98" s="16"/>
      <c r="W98" s="16"/>
      <c r="X98" s="16"/>
      <c r="Y98" s="16"/>
      <c r="Z98" s="16"/>
      <c r="AA98" s="16"/>
      <c r="AB98" s="16"/>
      <c r="AC98" s="16"/>
      <c r="AD98" s="16"/>
    </row>
    <row r="99" ht="13.5" customHeight="1" spans="1:30" x14ac:dyDescent="0.25">
      <c r="A99" s="4"/>
      <c r="B99" s="4"/>
      <c r="C99" s="4"/>
      <c r="D99" s="4"/>
      <c r="E99" s="4"/>
      <c r="F99" s="4"/>
      <c r="G99" s="4"/>
      <c r="H99" s="4"/>
      <c r="I99" s="4"/>
      <c r="J99" s="4"/>
      <c r="K99" s="4"/>
      <c r="L99" s="4"/>
      <c r="M99" s="4"/>
      <c r="N99" s="4"/>
      <c r="O99" s="4"/>
      <c r="P99" s="4"/>
      <c r="Q99" s="4"/>
      <c r="R99" s="16"/>
      <c r="S99" s="16"/>
      <c r="T99" s="16"/>
      <c r="U99" s="16"/>
      <c r="V99" s="16"/>
      <c r="W99" s="16"/>
      <c r="X99" s="16"/>
      <c r="Y99" s="16"/>
      <c r="Z99" s="16"/>
      <c r="AA99" s="16"/>
      <c r="AB99" s="16"/>
      <c r="AC99" s="16"/>
      <c r="AD99" s="16"/>
    </row>
    <row r="100" ht="13.5" customHeight="1" spans="1:30" x14ac:dyDescent="0.25">
      <c r="A100" s="4"/>
      <c r="B100" s="4"/>
      <c r="C100" s="4"/>
      <c r="D100" s="4"/>
      <c r="E100" s="4"/>
      <c r="F100" s="4"/>
      <c r="G100" s="4"/>
      <c r="H100" s="4"/>
      <c r="I100" s="4"/>
      <c r="J100" s="4"/>
      <c r="K100" s="4"/>
      <c r="L100" s="4"/>
      <c r="M100" s="4"/>
      <c r="N100" s="4"/>
      <c r="O100" s="4"/>
      <c r="P100" s="4"/>
      <c r="Q100" s="4"/>
      <c r="R100" s="16"/>
      <c r="S100" s="16"/>
      <c r="T100" s="16"/>
      <c r="U100" s="16"/>
      <c r="V100" s="16"/>
      <c r="W100" s="16"/>
      <c r="X100" s="16"/>
      <c r="Y100" s="16"/>
      <c r="Z100" s="16"/>
      <c r="AA100" s="16"/>
      <c r="AB100" s="16"/>
      <c r="AC100" s="16"/>
      <c r="AD100" s="16"/>
    </row>
    <row r="101" ht="13.5" customHeight="1" spans="1:30" x14ac:dyDescent="0.25">
      <c r="A101" s="4"/>
      <c r="B101" s="4"/>
      <c r="C101" s="4"/>
      <c r="D101" s="4"/>
      <c r="E101" s="4"/>
      <c r="F101" s="4"/>
      <c r="G101" s="4"/>
      <c r="H101" s="4"/>
      <c r="I101" s="4"/>
      <c r="J101" s="4"/>
      <c r="K101" s="4"/>
      <c r="L101" s="4"/>
      <c r="M101" s="4"/>
      <c r="N101" s="4"/>
      <c r="O101" s="4"/>
      <c r="P101" s="4"/>
      <c r="Q101" s="4"/>
      <c r="R101" s="16"/>
      <c r="S101" s="16"/>
      <c r="T101" s="16"/>
      <c r="U101" s="16"/>
      <c r="V101" s="16"/>
      <c r="W101" s="16"/>
      <c r="X101" s="16"/>
      <c r="Y101" s="16"/>
      <c r="Z101" s="16"/>
      <c r="AA101" s="16"/>
      <c r="AB101" s="16"/>
      <c r="AC101" s="16"/>
      <c r="AD101" s="16"/>
    </row>
    <row r="102" ht="13.5" customHeight="1" spans="1:30" x14ac:dyDescent="0.25">
      <c r="A102" s="4"/>
      <c r="B102" s="4"/>
      <c r="C102" s="4"/>
      <c r="D102" s="4"/>
      <c r="E102" s="4"/>
      <c r="F102" s="4"/>
      <c r="G102" s="4"/>
      <c r="H102" s="4"/>
      <c r="I102" s="4"/>
      <c r="J102" s="4"/>
      <c r="K102" s="4"/>
      <c r="L102" s="4"/>
      <c r="M102" s="4"/>
      <c r="N102" s="4"/>
      <c r="O102" s="4"/>
      <c r="P102" s="4"/>
      <c r="Q102" s="4"/>
      <c r="R102" s="16"/>
      <c r="S102" s="16"/>
      <c r="T102" s="16"/>
      <c r="U102" s="16"/>
      <c r="V102" s="16"/>
      <c r="W102" s="16"/>
      <c r="X102" s="16"/>
      <c r="Y102" s="16"/>
      <c r="Z102" s="16"/>
      <c r="AA102" s="16"/>
      <c r="AB102" s="16"/>
      <c r="AC102" s="16"/>
      <c r="AD102" s="16"/>
    </row>
    <row r="103" ht="13.5" customHeight="1" spans="1:30" x14ac:dyDescent="0.25">
      <c r="A103" s="4"/>
      <c r="B103" s="4"/>
      <c r="C103" s="4"/>
      <c r="D103" s="4"/>
      <c r="E103" s="4"/>
      <c r="F103" s="4"/>
      <c r="G103" s="4"/>
      <c r="H103" s="4"/>
      <c r="I103" s="4"/>
      <c r="J103" s="4"/>
      <c r="K103" s="4"/>
      <c r="L103" s="4"/>
      <c r="M103" s="4"/>
      <c r="N103" s="4"/>
      <c r="O103" s="4"/>
      <c r="P103" s="4"/>
      <c r="Q103" s="4"/>
      <c r="R103" s="16"/>
      <c r="S103" s="16"/>
      <c r="T103" s="16"/>
      <c r="U103" s="16"/>
      <c r="V103" s="16"/>
      <c r="W103" s="16"/>
      <c r="X103" s="16"/>
      <c r="Y103" s="16"/>
      <c r="Z103" s="16"/>
      <c r="AA103" s="16"/>
      <c r="AB103" s="16"/>
      <c r="AC103" s="16"/>
      <c r="AD103" s="16"/>
    </row>
    <row r="104" ht="13.5" customHeight="1" spans="1:30" x14ac:dyDescent="0.25">
      <c r="A104" s="4"/>
      <c r="B104" s="4"/>
      <c r="C104" s="4"/>
      <c r="D104" s="4"/>
      <c r="E104" s="4"/>
      <c r="F104" s="4"/>
      <c r="G104" s="4"/>
      <c r="H104" s="4"/>
      <c r="I104" s="4"/>
      <c r="J104" s="4"/>
      <c r="K104" s="4"/>
      <c r="L104" s="4"/>
      <c r="M104" s="4"/>
      <c r="N104" s="4"/>
      <c r="O104" s="4"/>
      <c r="P104" s="4"/>
      <c r="Q104" s="4"/>
      <c r="R104" s="16"/>
      <c r="S104" s="16"/>
      <c r="T104" s="16"/>
      <c r="U104" s="16"/>
      <c r="V104" s="16"/>
      <c r="W104" s="16"/>
      <c r="X104" s="16"/>
      <c r="Y104" s="16"/>
      <c r="Z104" s="16"/>
      <c r="AA104" s="16"/>
      <c r="AB104" s="16"/>
      <c r="AC104" s="16"/>
      <c r="AD104" s="16"/>
    </row>
    <row r="105" ht="13.5" customHeight="1" spans="1:30" x14ac:dyDescent="0.25">
      <c r="A105" s="4"/>
      <c r="B105" s="4"/>
      <c r="C105" s="4"/>
      <c r="D105" s="4"/>
      <c r="E105" s="4"/>
      <c r="F105" s="4"/>
      <c r="G105" s="4"/>
      <c r="H105" s="4"/>
      <c r="I105" s="4"/>
      <c r="J105" s="4"/>
      <c r="K105" s="4"/>
      <c r="L105" s="4"/>
      <c r="M105" s="4"/>
      <c r="N105" s="4"/>
      <c r="O105" s="4"/>
      <c r="P105" s="4"/>
      <c r="Q105" s="4"/>
      <c r="R105" s="16"/>
      <c r="S105" s="16"/>
      <c r="T105" s="16"/>
      <c r="U105" s="16"/>
      <c r="V105" s="16"/>
      <c r="W105" s="16"/>
      <c r="X105" s="16"/>
      <c r="Y105" s="16"/>
      <c r="Z105" s="16"/>
      <c r="AA105" s="16"/>
      <c r="AB105" s="16"/>
      <c r="AC105" s="16"/>
      <c r="AD105" s="16"/>
    </row>
    <row r="106" ht="13.5" customHeight="1" spans="1:30" x14ac:dyDescent="0.25">
      <c r="A106" s="4"/>
      <c r="B106" s="4"/>
      <c r="C106" s="4"/>
      <c r="D106" s="4"/>
      <c r="E106" s="4"/>
      <c r="F106" s="4"/>
      <c r="G106" s="4"/>
      <c r="H106" s="4"/>
      <c r="I106" s="4"/>
      <c r="J106" s="4"/>
      <c r="K106" s="4"/>
      <c r="L106" s="4"/>
      <c r="M106" s="4"/>
      <c r="N106" s="4"/>
      <c r="O106" s="4"/>
      <c r="P106" s="4"/>
      <c r="Q106" s="4"/>
      <c r="R106" s="16"/>
      <c r="S106" s="16"/>
      <c r="T106" s="16"/>
      <c r="U106" s="16"/>
      <c r="V106" s="16"/>
      <c r="W106" s="16"/>
      <c r="X106" s="16"/>
      <c r="Y106" s="16"/>
      <c r="Z106" s="16"/>
      <c r="AA106" s="16"/>
      <c r="AB106" s="16"/>
      <c r="AC106" s="16"/>
      <c r="AD106" s="16"/>
    </row>
    <row r="107" ht="13.5" customHeight="1" spans="1:30" x14ac:dyDescent="0.25">
      <c r="A107" s="4"/>
      <c r="B107" s="4"/>
      <c r="C107" s="4"/>
      <c r="D107" s="4"/>
      <c r="E107" s="4"/>
      <c r="F107" s="4"/>
      <c r="G107" s="4"/>
      <c r="H107" s="4"/>
      <c r="I107" s="4"/>
      <c r="J107" s="4"/>
      <c r="K107" s="4"/>
      <c r="L107" s="4"/>
      <c r="M107" s="4"/>
      <c r="N107" s="4"/>
      <c r="O107" s="4"/>
      <c r="P107" s="4"/>
      <c r="Q107" s="4"/>
      <c r="R107" s="16"/>
      <c r="S107" s="16"/>
      <c r="T107" s="16"/>
      <c r="U107" s="16"/>
      <c r="V107" s="16"/>
      <c r="W107" s="16"/>
      <c r="X107" s="16"/>
      <c r="Y107" s="16"/>
      <c r="Z107" s="16"/>
      <c r="AA107" s="16"/>
      <c r="AB107" s="16"/>
      <c r="AC107" s="16"/>
      <c r="AD107" s="16"/>
    </row>
    <row r="108" ht="13.5" customHeight="1" spans="1:30" x14ac:dyDescent="0.25">
      <c r="A108" s="4"/>
      <c r="B108" s="4"/>
      <c r="C108" s="4"/>
      <c r="D108" s="4"/>
      <c r="E108" s="4"/>
      <c r="F108" s="4"/>
      <c r="G108" s="4"/>
      <c r="H108" s="4"/>
      <c r="I108" s="4"/>
      <c r="J108" s="4"/>
      <c r="K108" s="4"/>
      <c r="L108" s="4"/>
      <c r="M108" s="4"/>
      <c r="N108" s="4"/>
      <c r="O108" s="4"/>
      <c r="P108" s="4"/>
      <c r="Q108" s="4"/>
      <c r="R108" s="16"/>
      <c r="S108" s="16"/>
      <c r="T108" s="16"/>
      <c r="U108" s="16"/>
      <c r="V108" s="16"/>
      <c r="W108" s="16"/>
      <c r="X108" s="16"/>
      <c r="Y108" s="16"/>
      <c r="Z108" s="16"/>
      <c r="AA108" s="16"/>
      <c r="AB108" s="16"/>
      <c r="AC108" s="16"/>
      <c r="AD108" s="16"/>
    </row>
    <row r="109" ht="13.5" customHeight="1" spans="1:30" x14ac:dyDescent="0.25">
      <c r="A109" s="4"/>
      <c r="B109" s="4"/>
      <c r="C109" s="4"/>
      <c r="D109" s="4"/>
      <c r="E109" s="4"/>
      <c r="F109" s="4"/>
      <c r="G109" s="4"/>
      <c r="H109" s="4"/>
      <c r="I109" s="4"/>
      <c r="J109" s="4"/>
      <c r="K109" s="4"/>
      <c r="L109" s="4"/>
      <c r="M109" s="4"/>
      <c r="N109" s="4"/>
      <c r="O109" s="4"/>
      <c r="P109" s="4"/>
      <c r="Q109" s="4"/>
      <c r="R109" s="16"/>
      <c r="S109" s="16"/>
      <c r="T109" s="16"/>
      <c r="U109" s="16"/>
      <c r="V109" s="16"/>
      <c r="W109" s="16"/>
      <c r="X109" s="16"/>
      <c r="Y109" s="16"/>
      <c r="Z109" s="16"/>
      <c r="AA109" s="16"/>
      <c r="AB109" s="16"/>
      <c r="AC109" s="16"/>
      <c r="AD109" s="16"/>
    </row>
    <row r="110" ht="13.5" customHeight="1" spans="1:30" x14ac:dyDescent="0.25">
      <c r="A110" s="4"/>
      <c r="B110" s="4"/>
      <c r="C110" s="4"/>
      <c r="D110" s="4"/>
      <c r="E110" s="4"/>
      <c r="F110" s="4"/>
      <c r="G110" s="4"/>
      <c r="H110" s="4"/>
      <c r="I110" s="4"/>
      <c r="J110" s="4"/>
      <c r="K110" s="4"/>
      <c r="L110" s="4"/>
      <c r="M110" s="4"/>
      <c r="N110" s="4"/>
      <c r="O110" s="4"/>
      <c r="P110" s="4"/>
      <c r="Q110" s="4"/>
      <c r="R110" s="16"/>
      <c r="S110" s="16"/>
      <c r="T110" s="16"/>
      <c r="U110" s="16"/>
      <c r="V110" s="16"/>
      <c r="W110" s="16"/>
      <c r="X110" s="16"/>
      <c r="Y110" s="16"/>
      <c r="Z110" s="16"/>
      <c r="AA110" s="16"/>
      <c r="AB110" s="16"/>
      <c r="AC110" s="16"/>
      <c r="AD110" s="16"/>
    </row>
    <row r="111" ht="13.5" customHeight="1" spans="1:30" x14ac:dyDescent="0.25">
      <c r="A111" s="4"/>
      <c r="B111" s="4"/>
      <c r="C111" s="4"/>
      <c r="D111" s="4"/>
      <c r="E111" s="4"/>
      <c r="F111" s="4"/>
      <c r="G111" s="4"/>
      <c r="H111" s="4"/>
      <c r="I111" s="4"/>
      <c r="J111" s="4"/>
      <c r="K111" s="4"/>
      <c r="L111" s="4"/>
      <c r="M111" s="4"/>
      <c r="N111" s="4"/>
      <c r="O111" s="4"/>
      <c r="P111" s="4"/>
      <c r="Q111" s="4"/>
      <c r="R111" s="16"/>
      <c r="S111" s="16"/>
      <c r="T111" s="16"/>
      <c r="U111" s="16"/>
      <c r="V111" s="16"/>
      <c r="W111" s="16"/>
      <c r="X111" s="16"/>
      <c r="Y111" s="16"/>
      <c r="Z111" s="16"/>
      <c r="AA111" s="16"/>
      <c r="AB111" s="16"/>
      <c r="AC111" s="16"/>
      <c r="AD111" s="16"/>
    </row>
    <row r="112" ht="13.5" customHeight="1" spans="1:30" x14ac:dyDescent="0.25">
      <c r="A112" s="4"/>
      <c r="B112" s="4"/>
      <c r="C112" s="4"/>
      <c r="D112" s="4"/>
      <c r="E112" s="4"/>
      <c r="F112" s="4"/>
      <c r="G112" s="4"/>
      <c r="H112" s="4"/>
      <c r="I112" s="4"/>
      <c r="J112" s="4"/>
      <c r="K112" s="4"/>
      <c r="L112" s="4"/>
      <c r="M112" s="4"/>
      <c r="N112" s="4"/>
      <c r="O112" s="4"/>
      <c r="P112" s="4"/>
      <c r="Q112" s="4"/>
      <c r="R112" s="16"/>
      <c r="S112" s="16"/>
      <c r="T112" s="16"/>
      <c r="U112" s="16"/>
      <c r="V112" s="16"/>
      <c r="W112" s="16"/>
      <c r="X112" s="16"/>
      <c r="Y112" s="16"/>
      <c r="Z112" s="16"/>
      <c r="AA112" s="16"/>
      <c r="AB112" s="16"/>
      <c r="AC112" s="16"/>
      <c r="AD112" s="16"/>
    </row>
    <row r="113" ht="13.5" customHeight="1" spans="1:30" x14ac:dyDescent="0.25">
      <c r="A113" s="4"/>
      <c r="B113" s="4"/>
      <c r="C113" s="4"/>
      <c r="D113" s="4"/>
      <c r="E113" s="4"/>
      <c r="F113" s="4"/>
      <c r="G113" s="4"/>
      <c r="H113" s="4"/>
      <c r="I113" s="4"/>
      <c r="J113" s="4"/>
      <c r="K113" s="4"/>
      <c r="L113" s="4"/>
      <c r="M113" s="4"/>
      <c r="N113" s="4"/>
      <c r="O113" s="4"/>
      <c r="P113" s="4"/>
      <c r="Q113" s="4"/>
      <c r="R113" s="16"/>
      <c r="S113" s="16"/>
      <c r="T113" s="16"/>
      <c r="U113" s="16"/>
      <c r="V113" s="16"/>
      <c r="W113" s="16"/>
      <c r="X113" s="16"/>
      <c r="Y113" s="16"/>
      <c r="Z113" s="16"/>
      <c r="AA113" s="16"/>
      <c r="AB113" s="16"/>
      <c r="AC113" s="16"/>
      <c r="AD113" s="16"/>
    </row>
    <row r="114" ht="13.5" customHeight="1" spans="1:30" x14ac:dyDescent="0.25">
      <c r="A114" s="4"/>
      <c r="B114" s="4"/>
      <c r="C114" s="4"/>
      <c r="D114" s="4"/>
      <c r="E114" s="4"/>
      <c r="F114" s="4"/>
      <c r="G114" s="4"/>
      <c r="H114" s="4"/>
      <c r="I114" s="4"/>
      <c r="J114" s="4"/>
      <c r="K114" s="4"/>
      <c r="L114" s="4"/>
      <c r="M114" s="4"/>
      <c r="N114" s="4"/>
      <c r="O114" s="4"/>
      <c r="P114" s="4"/>
      <c r="Q114" s="4"/>
      <c r="R114" s="16"/>
      <c r="S114" s="16"/>
      <c r="T114" s="16"/>
      <c r="U114" s="16"/>
      <c r="V114" s="16"/>
      <c r="W114" s="16"/>
      <c r="X114" s="16"/>
      <c r="Y114" s="16"/>
      <c r="Z114" s="16"/>
      <c r="AA114" s="16"/>
      <c r="AB114" s="16"/>
      <c r="AC114" s="16"/>
      <c r="AD114" s="16"/>
    </row>
    <row r="115" ht="13.5" customHeight="1" spans="1:30" x14ac:dyDescent="0.25">
      <c r="A115" s="4"/>
      <c r="B115" s="4"/>
      <c r="C115" s="4"/>
      <c r="D115" s="4"/>
      <c r="E115" s="4"/>
      <c r="F115" s="4"/>
      <c r="G115" s="4"/>
      <c r="H115" s="4"/>
      <c r="I115" s="4"/>
      <c r="J115" s="4"/>
      <c r="K115" s="4"/>
      <c r="L115" s="4"/>
      <c r="M115" s="4"/>
      <c r="N115" s="4"/>
      <c r="O115" s="4"/>
      <c r="P115" s="4"/>
      <c r="Q115" s="4"/>
      <c r="R115" s="16"/>
      <c r="S115" s="16"/>
      <c r="T115" s="16"/>
      <c r="U115" s="16"/>
      <c r="V115" s="16"/>
      <c r="W115" s="16"/>
      <c r="X115" s="16"/>
      <c r="Y115" s="16"/>
      <c r="Z115" s="16"/>
      <c r="AA115" s="16"/>
      <c r="AB115" s="16"/>
      <c r="AC115" s="16"/>
      <c r="AD115" s="16"/>
    </row>
    <row r="116" ht="13.5" customHeight="1" spans="1:30" x14ac:dyDescent="0.25">
      <c r="A116" s="4"/>
      <c r="B116" s="4"/>
      <c r="C116" s="4"/>
      <c r="D116" s="4"/>
      <c r="E116" s="4"/>
      <c r="F116" s="4"/>
      <c r="G116" s="4"/>
      <c r="H116" s="4"/>
      <c r="I116" s="4"/>
      <c r="J116" s="4"/>
      <c r="K116" s="4"/>
      <c r="L116" s="4"/>
      <c r="M116" s="4"/>
      <c r="N116" s="4"/>
      <c r="O116" s="4"/>
      <c r="P116" s="4"/>
      <c r="Q116" s="4"/>
      <c r="R116" s="16"/>
      <c r="S116" s="16"/>
      <c r="T116" s="16"/>
      <c r="U116" s="16"/>
      <c r="V116" s="16"/>
      <c r="W116" s="16"/>
      <c r="X116" s="16"/>
      <c r="Y116" s="16"/>
      <c r="Z116" s="16"/>
      <c r="AA116" s="16"/>
      <c r="AB116" s="16"/>
      <c r="AC116" s="16"/>
      <c r="AD116" s="16"/>
    </row>
    <row r="117" ht="13.5" customHeight="1" spans="1:30" x14ac:dyDescent="0.25">
      <c r="A117" s="4"/>
      <c r="B117" s="4"/>
      <c r="C117" s="4"/>
      <c r="D117" s="4"/>
      <c r="E117" s="4"/>
      <c r="F117" s="4"/>
      <c r="G117" s="4"/>
      <c r="H117" s="4"/>
      <c r="I117" s="4"/>
      <c r="J117" s="4"/>
      <c r="K117" s="4"/>
      <c r="L117" s="4"/>
      <c r="M117" s="4"/>
      <c r="N117" s="4"/>
      <c r="O117" s="4"/>
      <c r="P117" s="4"/>
      <c r="Q117" s="4"/>
      <c r="R117" s="16"/>
      <c r="S117" s="16"/>
      <c r="T117" s="16"/>
      <c r="U117" s="16"/>
      <c r="V117" s="16"/>
      <c r="W117" s="16"/>
      <c r="X117" s="16"/>
      <c r="Y117" s="16"/>
      <c r="Z117" s="16"/>
      <c r="AA117" s="16"/>
      <c r="AB117" s="16"/>
      <c r="AC117" s="16"/>
      <c r="AD117" s="16"/>
    </row>
    <row r="118" ht="13.5" customHeight="1" spans="1:30" x14ac:dyDescent="0.25">
      <c r="A118" s="4"/>
      <c r="B118" s="4"/>
      <c r="C118" s="4"/>
      <c r="D118" s="4"/>
      <c r="E118" s="4"/>
      <c r="F118" s="4"/>
      <c r="G118" s="4"/>
      <c r="H118" s="4"/>
      <c r="I118" s="4"/>
      <c r="J118" s="4"/>
      <c r="K118" s="4"/>
      <c r="L118" s="4"/>
      <c r="M118" s="4"/>
      <c r="N118" s="4"/>
      <c r="O118" s="4"/>
      <c r="P118" s="4"/>
      <c r="Q118" s="4"/>
      <c r="R118" s="16"/>
      <c r="S118" s="16"/>
      <c r="T118" s="16"/>
      <c r="U118" s="16"/>
      <c r="V118" s="16"/>
      <c r="W118" s="16"/>
      <c r="X118" s="16"/>
      <c r="Y118" s="16"/>
      <c r="Z118" s="16"/>
      <c r="AA118" s="16"/>
      <c r="AB118" s="16"/>
      <c r="AC118" s="16"/>
      <c r="AD118" s="16"/>
    </row>
    <row r="119" ht="13.5" customHeight="1" spans="1:30" x14ac:dyDescent="0.25">
      <c r="A119" s="4"/>
      <c r="B119" s="4"/>
      <c r="C119" s="4"/>
      <c r="D119" s="4"/>
      <c r="E119" s="4"/>
      <c r="F119" s="4"/>
      <c r="G119" s="4"/>
      <c r="H119" s="4"/>
      <c r="I119" s="4"/>
      <c r="J119" s="4"/>
      <c r="K119" s="4"/>
      <c r="L119" s="4"/>
      <c r="M119" s="4"/>
      <c r="N119" s="4"/>
      <c r="O119" s="4"/>
      <c r="P119" s="4"/>
      <c r="Q119" s="4"/>
      <c r="R119" s="16"/>
      <c r="S119" s="16"/>
      <c r="T119" s="16"/>
      <c r="U119" s="16"/>
      <c r="V119" s="16"/>
      <c r="W119" s="16"/>
      <c r="X119" s="16"/>
      <c r="Y119" s="16"/>
      <c r="Z119" s="16"/>
      <c r="AA119" s="16"/>
      <c r="AB119" s="16"/>
      <c r="AC119" s="16"/>
      <c r="AD119" s="16"/>
    </row>
    <row r="120" ht="13.5" customHeight="1" spans="1:30" x14ac:dyDescent="0.25">
      <c r="A120" s="4"/>
      <c r="B120" s="4"/>
      <c r="C120" s="4"/>
      <c r="D120" s="4"/>
      <c r="E120" s="4"/>
      <c r="F120" s="4"/>
      <c r="G120" s="4"/>
      <c r="H120" s="4"/>
      <c r="I120" s="4"/>
      <c r="J120" s="4"/>
      <c r="K120" s="4"/>
      <c r="L120" s="4"/>
      <c r="M120" s="4"/>
      <c r="N120" s="4"/>
      <c r="O120" s="4"/>
      <c r="P120" s="4"/>
      <c r="Q120" s="4"/>
      <c r="R120" s="16"/>
      <c r="S120" s="16"/>
      <c r="T120" s="16"/>
      <c r="U120" s="16"/>
      <c r="V120" s="16"/>
      <c r="W120" s="16"/>
      <c r="X120" s="16"/>
      <c r="Y120" s="16"/>
      <c r="Z120" s="16"/>
      <c r="AA120" s="16"/>
      <c r="AB120" s="16"/>
      <c r="AC120" s="16"/>
      <c r="AD120" s="16"/>
    </row>
    <row r="121" ht="13.5" customHeight="1" spans="1:30" x14ac:dyDescent="0.25">
      <c r="A121" s="4"/>
      <c r="B121" s="4"/>
      <c r="C121" s="4"/>
      <c r="D121" s="4"/>
      <c r="E121" s="4"/>
      <c r="F121" s="4"/>
      <c r="G121" s="4"/>
      <c r="H121" s="4"/>
      <c r="I121" s="4"/>
      <c r="J121" s="4"/>
      <c r="K121" s="4"/>
      <c r="L121" s="4"/>
      <c r="M121" s="4"/>
      <c r="N121" s="4"/>
      <c r="O121" s="4"/>
      <c r="P121" s="4"/>
      <c r="Q121" s="4"/>
      <c r="R121" s="16"/>
      <c r="S121" s="16"/>
      <c r="T121" s="16"/>
      <c r="U121" s="16"/>
      <c r="V121" s="16"/>
      <c r="W121" s="16"/>
      <c r="X121" s="16"/>
      <c r="Y121" s="16"/>
      <c r="Z121" s="16"/>
      <c r="AA121" s="16"/>
      <c r="AB121" s="16"/>
      <c r="AC121" s="16"/>
      <c r="AD121" s="16"/>
    </row>
    <row r="122" ht="13.5" customHeight="1" spans="1:30" x14ac:dyDescent="0.25">
      <c r="A122" s="4"/>
      <c r="B122" s="4"/>
      <c r="C122" s="4"/>
      <c r="D122" s="4"/>
      <c r="E122" s="4"/>
      <c r="F122" s="4"/>
      <c r="G122" s="4"/>
      <c r="H122" s="4"/>
      <c r="I122" s="4"/>
      <c r="J122" s="4"/>
      <c r="K122" s="4"/>
      <c r="L122" s="4"/>
      <c r="M122" s="4"/>
      <c r="N122" s="4"/>
      <c r="O122" s="4"/>
      <c r="P122" s="4"/>
      <c r="Q122" s="4"/>
      <c r="R122" s="16"/>
      <c r="S122" s="16"/>
      <c r="T122" s="16"/>
      <c r="U122" s="16"/>
      <c r="V122" s="16"/>
      <c r="W122" s="16"/>
      <c r="X122" s="16"/>
      <c r="Y122" s="16"/>
      <c r="Z122" s="16"/>
      <c r="AA122" s="16"/>
      <c r="AB122" s="16"/>
      <c r="AC122" s="16"/>
      <c r="AD122" s="16"/>
    </row>
    <row r="123" ht="13.5" customHeight="1" spans="1:30" x14ac:dyDescent="0.25">
      <c r="A123" s="4"/>
      <c r="B123" s="4"/>
      <c r="C123" s="4"/>
      <c r="D123" s="4"/>
      <c r="E123" s="4"/>
      <c r="F123" s="4"/>
      <c r="G123" s="4"/>
      <c r="H123" s="4"/>
      <c r="I123" s="4"/>
      <c r="J123" s="4"/>
      <c r="K123" s="4"/>
      <c r="L123" s="4"/>
      <c r="M123" s="4"/>
      <c r="N123" s="4"/>
      <c r="O123" s="4"/>
      <c r="P123" s="4"/>
      <c r="Q123" s="4"/>
      <c r="R123" s="16"/>
      <c r="S123" s="16"/>
      <c r="T123" s="16"/>
      <c r="U123" s="16"/>
      <c r="V123" s="16"/>
      <c r="W123" s="16"/>
      <c r="X123" s="16"/>
      <c r="Y123" s="16"/>
      <c r="Z123" s="16"/>
      <c r="AA123" s="16"/>
      <c r="AB123" s="16"/>
      <c r="AC123" s="16"/>
      <c r="AD123" s="16"/>
    </row>
    <row r="124" ht="13.5" customHeight="1" spans="1:30" x14ac:dyDescent="0.25">
      <c r="A124" s="4"/>
      <c r="B124" s="4"/>
      <c r="C124" s="4"/>
      <c r="D124" s="4"/>
      <c r="E124" s="4"/>
      <c r="F124" s="4"/>
      <c r="G124" s="4"/>
      <c r="H124" s="4"/>
      <c r="I124" s="4"/>
      <c r="J124" s="4"/>
      <c r="K124" s="4"/>
      <c r="L124" s="4"/>
      <c r="M124" s="4"/>
      <c r="N124" s="4"/>
      <c r="O124" s="4"/>
      <c r="P124" s="4"/>
      <c r="Q124" s="4"/>
      <c r="R124" s="16"/>
      <c r="S124" s="16"/>
      <c r="T124" s="16"/>
      <c r="U124" s="16"/>
      <c r="V124" s="16"/>
      <c r="W124" s="16"/>
      <c r="X124" s="16"/>
      <c r="Y124" s="16"/>
      <c r="Z124" s="16"/>
      <c r="AA124" s="16"/>
      <c r="AB124" s="16"/>
      <c r="AC124" s="16"/>
      <c r="AD124" s="16"/>
    </row>
    <row r="125" ht="13.5" customHeight="1" spans="1:30" x14ac:dyDescent="0.25">
      <c r="A125" s="4"/>
      <c r="B125" s="4"/>
      <c r="C125" s="4"/>
      <c r="D125" s="4"/>
      <c r="E125" s="4"/>
      <c r="F125" s="4"/>
      <c r="G125" s="4"/>
      <c r="H125" s="4"/>
      <c r="I125" s="4"/>
      <c r="J125" s="4"/>
      <c r="K125" s="4"/>
      <c r="L125" s="4"/>
      <c r="M125" s="4"/>
      <c r="N125" s="4"/>
      <c r="O125" s="4"/>
      <c r="P125" s="4"/>
      <c r="Q125" s="4"/>
      <c r="R125" s="16"/>
      <c r="S125" s="16"/>
      <c r="T125" s="16"/>
      <c r="U125" s="16"/>
      <c r="V125" s="16"/>
      <c r="W125" s="16"/>
      <c r="X125" s="16"/>
      <c r="Y125" s="16"/>
      <c r="Z125" s="16"/>
      <c r="AA125" s="16"/>
      <c r="AB125" s="16"/>
      <c r="AC125" s="16"/>
      <c r="AD125" s="16"/>
    </row>
    <row r="126" ht="13.5" customHeight="1" spans="1:30" x14ac:dyDescent="0.25">
      <c r="A126" s="4"/>
      <c r="B126" s="4"/>
      <c r="C126" s="4"/>
      <c r="D126" s="4"/>
      <c r="E126" s="4"/>
      <c r="F126" s="4"/>
      <c r="G126" s="4"/>
      <c r="H126" s="4"/>
      <c r="I126" s="4"/>
      <c r="J126" s="4"/>
      <c r="K126" s="4"/>
      <c r="L126" s="4"/>
      <c r="M126" s="4"/>
      <c r="N126" s="4"/>
      <c r="O126" s="4"/>
      <c r="P126" s="4"/>
      <c r="Q126" s="4"/>
      <c r="R126" s="16"/>
      <c r="S126" s="16"/>
      <c r="T126" s="16"/>
      <c r="U126" s="16"/>
      <c r="V126" s="16"/>
      <c r="W126" s="16"/>
      <c r="X126" s="16"/>
      <c r="Y126" s="16"/>
      <c r="Z126" s="16"/>
      <c r="AA126" s="16"/>
      <c r="AB126" s="16"/>
      <c r="AC126" s="16"/>
      <c r="AD126" s="16"/>
    </row>
    <row r="127" ht="13.5" customHeight="1" spans="1:30" x14ac:dyDescent="0.25">
      <c r="A127" s="4"/>
      <c r="B127" s="4"/>
      <c r="C127" s="4"/>
      <c r="D127" s="4"/>
      <c r="E127" s="4"/>
      <c r="F127" s="4"/>
      <c r="G127" s="4"/>
      <c r="H127" s="4"/>
      <c r="I127" s="4"/>
      <c r="J127" s="4"/>
      <c r="K127" s="4"/>
      <c r="L127" s="4"/>
      <c r="M127" s="4"/>
      <c r="N127" s="4"/>
      <c r="O127" s="4"/>
      <c r="P127" s="4"/>
      <c r="Q127" s="4"/>
      <c r="R127" s="16"/>
      <c r="S127" s="16"/>
      <c r="T127" s="16"/>
      <c r="U127" s="16"/>
      <c r="V127" s="16"/>
      <c r="W127" s="16"/>
      <c r="X127" s="16"/>
      <c r="Y127" s="16"/>
      <c r="Z127" s="16"/>
      <c r="AA127" s="16"/>
      <c r="AB127" s="16"/>
      <c r="AC127" s="16"/>
      <c r="AD127" s="16"/>
    </row>
    <row r="128" ht="13.5" customHeight="1" spans="1:30" x14ac:dyDescent="0.25">
      <c r="A128" s="4"/>
      <c r="B128" s="4"/>
      <c r="C128" s="4"/>
      <c r="D128" s="4"/>
      <c r="E128" s="4"/>
      <c r="F128" s="4"/>
      <c r="G128" s="4"/>
      <c r="H128" s="4"/>
      <c r="I128" s="4"/>
      <c r="J128" s="4"/>
      <c r="K128" s="4"/>
      <c r="L128" s="4"/>
      <c r="M128" s="4"/>
      <c r="N128" s="4"/>
      <c r="O128" s="4"/>
      <c r="P128" s="4"/>
      <c r="Q128" s="4"/>
      <c r="R128" s="16"/>
      <c r="S128" s="16"/>
      <c r="T128" s="16"/>
      <c r="U128" s="16"/>
      <c r="V128" s="16"/>
      <c r="W128" s="16"/>
      <c r="X128" s="16"/>
      <c r="Y128" s="16"/>
      <c r="Z128" s="16"/>
      <c r="AA128" s="16"/>
      <c r="AB128" s="16"/>
      <c r="AC128" s="16"/>
      <c r="AD128" s="16"/>
    </row>
    <row r="129" ht="13.5" customHeight="1" spans="1:30" x14ac:dyDescent="0.25">
      <c r="A129" s="4"/>
      <c r="B129" s="4"/>
      <c r="C129" s="4"/>
      <c r="D129" s="4"/>
      <c r="E129" s="4"/>
      <c r="F129" s="4"/>
      <c r="G129" s="4"/>
      <c r="H129" s="4"/>
      <c r="I129" s="4"/>
      <c r="J129" s="4"/>
      <c r="K129" s="4"/>
      <c r="L129" s="4"/>
      <c r="M129" s="4"/>
      <c r="N129" s="4"/>
      <c r="O129" s="4"/>
      <c r="P129" s="4"/>
      <c r="Q129" s="4"/>
      <c r="R129" s="16"/>
      <c r="S129" s="16"/>
      <c r="T129" s="16"/>
      <c r="U129" s="16"/>
      <c r="V129" s="16"/>
      <c r="W129" s="16"/>
      <c r="X129" s="16"/>
      <c r="Y129" s="16"/>
      <c r="Z129" s="16"/>
      <c r="AA129" s="16"/>
      <c r="AB129" s="16"/>
      <c r="AC129" s="16"/>
      <c r="AD129" s="16"/>
    </row>
    <row r="130" ht="13.5" customHeight="1" spans="1:30" x14ac:dyDescent="0.25">
      <c r="A130" s="4"/>
      <c r="B130" s="4"/>
      <c r="C130" s="4"/>
      <c r="D130" s="4"/>
      <c r="E130" s="4"/>
      <c r="F130" s="4"/>
      <c r="G130" s="4"/>
      <c r="H130" s="4"/>
      <c r="I130" s="4"/>
      <c r="J130" s="4"/>
      <c r="K130" s="4"/>
      <c r="L130" s="4"/>
      <c r="M130" s="4"/>
      <c r="N130" s="4"/>
      <c r="O130" s="4"/>
      <c r="P130" s="4"/>
      <c r="Q130" s="4"/>
      <c r="R130" s="16"/>
      <c r="S130" s="16"/>
      <c r="T130" s="16"/>
      <c r="U130" s="16"/>
      <c r="V130" s="16"/>
      <c r="W130" s="16"/>
      <c r="X130" s="16"/>
      <c r="Y130" s="16"/>
      <c r="Z130" s="16"/>
      <c r="AA130" s="16"/>
      <c r="AB130" s="16"/>
      <c r="AC130" s="16"/>
      <c r="AD130" s="16"/>
    </row>
    <row r="131" ht="13.5" customHeight="1" spans="1:30" x14ac:dyDescent="0.25">
      <c r="A131" s="4"/>
      <c r="B131" s="4"/>
      <c r="C131" s="4"/>
      <c r="D131" s="4"/>
      <c r="E131" s="4"/>
      <c r="F131" s="4"/>
      <c r="G131" s="4"/>
      <c r="H131" s="4"/>
      <c r="I131" s="4"/>
      <c r="J131" s="4"/>
      <c r="K131" s="4"/>
      <c r="L131" s="4"/>
      <c r="M131" s="4"/>
      <c r="N131" s="4"/>
      <c r="O131" s="4"/>
      <c r="P131" s="4"/>
      <c r="Q131" s="4"/>
      <c r="R131" s="16"/>
      <c r="S131" s="16"/>
      <c r="T131" s="16"/>
      <c r="U131" s="16"/>
      <c r="V131" s="16"/>
      <c r="W131" s="16"/>
      <c r="X131" s="16"/>
      <c r="Y131" s="16"/>
      <c r="Z131" s="16"/>
      <c r="AA131" s="16"/>
      <c r="AB131" s="16"/>
      <c r="AC131" s="16"/>
      <c r="AD131" s="16"/>
    </row>
    <row r="132" ht="13.5" customHeight="1" spans="1:30" x14ac:dyDescent="0.25">
      <c r="A132" s="4"/>
      <c r="B132" s="4"/>
      <c r="C132" s="4"/>
      <c r="D132" s="4"/>
      <c r="E132" s="4"/>
      <c r="F132" s="4"/>
      <c r="G132" s="4"/>
      <c r="H132" s="4"/>
      <c r="I132" s="4"/>
      <c r="J132" s="4"/>
      <c r="K132" s="4"/>
      <c r="L132" s="4"/>
      <c r="M132" s="4"/>
      <c r="N132" s="4"/>
      <c r="O132" s="4"/>
      <c r="P132" s="4"/>
      <c r="Q132" s="4"/>
      <c r="R132" s="16"/>
      <c r="S132" s="16"/>
      <c r="T132" s="16"/>
      <c r="U132" s="16"/>
      <c r="V132" s="16"/>
      <c r="W132" s="16"/>
      <c r="X132" s="16"/>
      <c r="Y132" s="16"/>
      <c r="Z132" s="16"/>
      <c r="AA132" s="16"/>
      <c r="AB132" s="16"/>
      <c r="AC132" s="16"/>
      <c r="AD132" s="16"/>
    </row>
    <row r="133" ht="13.5" customHeight="1" spans="1:30" x14ac:dyDescent="0.25">
      <c r="A133" s="4"/>
      <c r="B133" s="4"/>
      <c r="C133" s="4"/>
      <c r="D133" s="4"/>
      <c r="E133" s="4"/>
      <c r="F133" s="4"/>
      <c r="G133" s="4"/>
      <c r="H133" s="4"/>
      <c r="I133" s="4"/>
      <c r="J133" s="4"/>
      <c r="K133" s="4"/>
      <c r="L133" s="4"/>
      <c r="M133" s="4"/>
      <c r="N133" s="4"/>
      <c r="O133" s="4"/>
      <c r="P133" s="4"/>
      <c r="Q133" s="4"/>
      <c r="R133" s="16"/>
      <c r="S133" s="16"/>
      <c r="T133" s="16"/>
      <c r="U133" s="16"/>
      <c r="V133" s="16"/>
      <c r="W133" s="16"/>
      <c r="X133" s="16"/>
      <c r="Y133" s="16"/>
      <c r="Z133" s="16"/>
      <c r="AA133" s="16"/>
      <c r="AB133" s="16"/>
      <c r="AC133" s="16"/>
      <c r="AD133" s="16"/>
    </row>
    <row r="134" ht="13.5" customHeight="1" spans="1:30" x14ac:dyDescent="0.25">
      <c r="A134" s="4"/>
      <c r="B134" s="4"/>
      <c r="C134" s="4"/>
      <c r="D134" s="4"/>
      <c r="E134" s="4"/>
      <c r="F134" s="4"/>
      <c r="G134" s="4"/>
      <c r="H134" s="4"/>
      <c r="I134" s="4"/>
      <c r="J134" s="4"/>
      <c r="K134" s="4"/>
      <c r="L134" s="4"/>
      <c r="M134" s="4"/>
      <c r="N134" s="4"/>
      <c r="O134" s="4"/>
      <c r="P134" s="4"/>
      <c r="Q134" s="4"/>
      <c r="R134" s="16"/>
      <c r="S134" s="16"/>
      <c r="T134" s="16"/>
      <c r="U134" s="16"/>
      <c r="V134" s="16"/>
      <c r="W134" s="16"/>
      <c r="X134" s="16"/>
      <c r="Y134" s="16"/>
      <c r="Z134" s="16"/>
      <c r="AA134" s="16"/>
      <c r="AB134" s="16"/>
      <c r="AC134" s="16"/>
      <c r="AD134" s="16"/>
    </row>
    <row r="135" ht="13.5" customHeight="1" spans="1:30" x14ac:dyDescent="0.25">
      <c r="A135" s="4"/>
      <c r="B135" s="4"/>
      <c r="C135" s="4"/>
      <c r="D135" s="4"/>
      <c r="E135" s="4"/>
      <c r="F135" s="4"/>
      <c r="G135" s="4"/>
      <c r="H135" s="4"/>
      <c r="I135" s="4"/>
      <c r="J135" s="4"/>
      <c r="K135" s="4"/>
      <c r="L135" s="4"/>
      <c r="M135" s="4"/>
      <c r="N135" s="4"/>
      <c r="O135" s="4"/>
      <c r="P135" s="4"/>
      <c r="Q135" s="4"/>
      <c r="R135" s="16"/>
      <c r="S135" s="16"/>
      <c r="T135" s="16"/>
      <c r="U135" s="16"/>
      <c r="V135" s="16"/>
      <c r="W135" s="16"/>
      <c r="X135" s="16"/>
      <c r="Y135" s="16"/>
      <c r="Z135" s="16"/>
      <c r="AA135" s="16"/>
      <c r="AB135" s="16"/>
      <c r="AC135" s="16"/>
      <c r="AD135" s="16"/>
    </row>
    <row r="136" ht="13.5" customHeight="1" spans="1:30" x14ac:dyDescent="0.25">
      <c r="A136" s="4"/>
      <c r="B136" s="4"/>
      <c r="C136" s="4"/>
      <c r="D136" s="4"/>
      <c r="E136" s="4"/>
      <c r="F136" s="4"/>
      <c r="G136" s="4"/>
      <c r="H136" s="4"/>
      <c r="I136" s="4"/>
      <c r="J136" s="4"/>
      <c r="K136" s="4"/>
      <c r="L136" s="4"/>
      <c r="M136" s="4"/>
      <c r="N136" s="4"/>
      <c r="O136" s="4"/>
      <c r="P136" s="4"/>
      <c r="Q136" s="4"/>
      <c r="R136" s="16"/>
      <c r="S136" s="16"/>
      <c r="T136" s="16"/>
      <c r="U136" s="16"/>
      <c r="V136" s="16"/>
      <c r="W136" s="16"/>
      <c r="X136" s="16"/>
      <c r="Y136" s="16"/>
      <c r="Z136" s="16"/>
      <c r="AA136" s="16"/>
      <c r="AB136" s="16"/>
      <c r="AC136" s="16"/>
      <c r="AD136" s="16"/>
    </row>
    <row r="137" ht="13.5" customHeight="1" spans="1:30" x14ac:dyDescent="0.25">
      <c r="A137" s="4"/>
      <c r="B137" s="4"/>
      <c r="C137" s="4"/>
      <c r="D137" s="4"/>
      <c r="E137" s="4"/>
      <c r="F137" s="4"/>
      <c r="G137" s="4"/>
      <c r="H137" s="4"/>
      <c r="I137" s="4"/>
      <c r="J137" s="4"/>
      <c r="K137" s="4"/>
      <c r="L137" s="4"/>
      <c r="M137" s="4"/>
      <c r="N137" s="4"/>
      <c r="O137" s="4"/>
      <c r="P137" s="4"/>
      <c r="Q137" s="4"/>
      <c r="R137" s="16"/>
      <c r="S137" s="16"/>
      <c r="T137" s="16"/>
      <c r="U137" s="16"/>
      <c r="V137" s="16"/>
      <c r="W137" s="16"/>
      <c r="X137" s="16"/>
      <c r="Y137" s="16"/>
      <c r="Z137" s="16"/>
      <c r="AA137" s="16"/>
      <c r="AB137" s="16"/>
      <c r="AC137" s="16"/>
      <c r="AD137" s="16"/>
    </row>
    <row r="138" ht="13.5" customHeight="1" spans="1:30" x14ac:dyDescent="0.25">
      <c r="A138" s="4"/>
      <c r="B138" s="4"/>
      <c r="C138" s="4"/>
      <c r="D138" s="4"/>
      <c r="E138" s="4"/>
      <c r="F138" s="4"/>
      <c r="G138" s="4"/>
      <c r="H138" s="4"/>
      <c r="I138" s="4"/>
      <c r="J138" s="4"/>
      <c r="K138" s="4"/>
      <c r="L138" s="4"/>
      <c r="M138" s="4"/>
      <c r="N138" s="4"/>
      <c r="O138" s="4"/>
      <c r="P138" s="4"/>
      <c r="Q138" s="4"/>
      <c r="R138" s="16"/>
      <c r="S138" s="16"/>
      <c r="T138" s="16"/>
      <c r="U138" s="16"/>
      <c r="V138" s="16"/>
      <c r="W138" s="16"/>
      <c r="X138" s="16"/>
      <c r="Y138" s="16"/>
      <c r="Z138" s="16"/>
      <c r="AA138" s="16"/>
      <c r="AB138" s="16"/>
      <c r="AC138" s="16"/>
      <c r="AD138" s="16"/>
    </row>
    <row r="139" ht="13.5" customHeight="1" spans="1:30" x14ac:dyDescent="0.25">
      <c r="A139" s="4"/>
      <c r="B139" s="4"/>
      <c r="C139" s="4"/>
      <c r="D139" s="4"/>
      <c r="E139" s="4"/>
      <c r="F139" s="4"/>
      <c r="G139" s="4"/>
      <c r="H139" s="4"/>
      <c r="I139" s="4"/>
      <c r="J139" s="4"/>
      <c r="K139" s="4"/>
      <c r="L139" s="4"/>
      <c r="M139" s="4"/>
      <c r="N139" s="4"/>
      <c r="O139" s="4"/>
      <c r="P139" s="4"/>
      <c r="Q139" s="4"/>
      <c r="R139" s="16"/>
      <c r="S139" s="16"/>
      <c r="T139" s="16"/>
      <c r="U139" s="16"/>
      <c r="V139" s="16"/>
      <c r="W139" s="16"/>
      <c r="X139" s="16"/>
      <c r="Y139" s="16"/>
      <c r="Z139" s="16"/>
      <c r="AA139" s="16"/>
      <c r="AB139" s="16"/>
      <c r="AC139" s="16"/>
      <c r="AD139" s="16"/>
    </row>
    <row r="140" ht="13.5" customHeight="1" spans="1:30" x14ac:dyDescent="0.25">
      <c r="A140" s="4"/>
      <c r="B140" s="4"/>
      <c r="C140" s="4"/>
      <c r="D140" s="4"/>
      <c r="E140" s="4"/>
      <c r="F140" s="4"/>
      <c r="G140" s="4"/>
      <c r="H140" s="4"/>
      <c r="I140" s="4"/>
      <c r="J140" s="4"/>
      <c r="K140" s="4"/>
      <c r="L140" s="4"/>
      <c r="M140" s="4"/>
      <c r="N140" s="4"/>
      <c r="O140" s="4"/>
      <c r="P140" s="4"/>
      <c r="Q140" s="4"/>
      <c r="R140" s="16"/>
      <c r="S140" s="16"/>
      <c r="T140" s="16"/>
      <c r="U140" s="16"/>
      <c r="V140" s="16"/>
      <c r="W140" s="16"/>
      <c r="X140" s="16"/>
      <c r="Y140" s="16"/>
      <c r="Z140" s="16"/>
      <c r="AA140" s="16"/>
      <c r="AB140" s="16"/>
      <c r="AC140" s="16"/>
      <c r="AD140" s="16"/>
    </row>
    <row r="141" ht="13.5" customHeight="1" spans="1:30" x14ac:dyDescent="0.25">
      <c r="A141" s="4"/>
      <c r="B141" s="4"/>
      <c r="C141" s="4"/>
      <c r="D141" s="4"/>
      <c r="E141" s="4"/>
      <c r="F141" s="4"/>
      <c r="G141" s="4"/>
      <c r="H141" s="4"/>
      <c r="I141" s="4"/>
      <c r="J141" s="4"/>
      <c r="K141" s="4"/>
      <c r="L141" s="4"/>
      <c r="M141" s="4"/>
      <c r="N141" s="4"/>
      <c r="O141" s="4"/>
      <c r="P141" s="4"/>
      <c r="Q141" s="4"/>
      <c r="R141" s="16"/>
      <c r="S141" s="16"/>
      <c r="T141" s="16"/>
      <c r="U141" s="16"/>
      <c r="V141" s="16"/>
      <c r="W141" s="16"/>
      <c r="X141" s="16"/>
      <c r="Y141" s="16"/>
      <c r="Z141" s="16"/>
      <c r="AA141" s="16"/>
      <c r="AB141" s="16"/>
      <c r="AC141" s="16"/>
      <c r="AD141" s="16"/>
    </row>
    <row r="142" ht="13.5" customHeight="1" spans="1:30" x14ac:dyDescent="0.25">
      <c r="A142" s="4"/>
      <c r="B142" s="4"/>
      <c r="C142" s="4"/>
      <c r="D142" s="4"/>
      <c r="E142" s="4"/>
      <c r="F142" s="4"/>
      <c r="G142" s="4"/>
      <c r="H142" s="4"/>
      <c r="I142" s="4"/>
      <c r="J142" s="4"/>
      <c r="K142" s="4"/>
      <c r="L142" s="4"/>
      <c r="M142" s="4"/>
      <c r="N142" s="4"/>
      <c r="O142" s="4"/>
      <c r="P142" s="4"/>
      <c r="Q142" s="4"/>
      <c r="R142" s="16"/>
      <c r="S142" s="16"/>
      <c r="T142" s="16"/>
      <c r="U142" s="16"/>
      <c r="V142" s="16"/>
      <c r="W142" s="16"/>
      <c r="X142" s="16"/>
      <c r="Y142" s="16"/>
      <c r="Z142" s="16"/>
      <c r="AA142" s="16"/>
      <c r="AB142" s="16"/>
      <c r="AC142" s="16"/>
      <c r="AD142" s="16"/>
    </row>
    <row r="143" ht="13.5" customHeight="1" spans="1:30" x14ac:dyDescent="0.25">
      <c r="A143" s="4"/>
      <c r="B143" s="4"/>
      <c r="C143" s="4"/>
      <c r="D143" s="4"/>
      <c r="E143" s="4"/>
      <c r="F143" s="4"/>
      <c r="G143" s="4"/>
      <c r="H143" s="4"/>
      <c r="I143" s="4"/>
      <c r="J143" s="4"/>
      <c r="K143" s="4"/>
      <c r="L143" s="4"/>
      <c r="M143" s="4"/>
      <c r="N143" s="4"/>
      <c r="O143" s="4"/>
      <c r="P143" s="4"/>
      <c r="Q143" s="4"/>
      <c r="R143" s="16"/>
      <c r="S143" s="16"/>
      <c r="T143" s="16"/>
      <c r="U143" s="16"/>
      <c r="V143" s="16"/>
      <c r="W143" s="16"/>
      <c r="X143" s="16"/>
      <c r="Y143" s="16"/>
      <c r="Z143" s="16"/>
      <c r="AA143" s="16"/>
      <c r="AB143" s="16"/>
      <c r="AC143" s="16"/>
      <c r="AD143" s="16"/>
    </row>
    <row r="144" ht="13.5" customHeight="1" spans="1:30" x14ac:dyDescent="0.25">
      <c r="A144" s="4"/>
      <c r="B144" s="4"/>
      <c r="C144" s="4"/>
      <c r="D144" s="4"/>
      <c r="E144" s="4"/>
      <c r="F144" s="4"/>
      <c r="G144" s="4"/>
      <c r="H144" s="4"/>
      <c r="I144" s="4"/>
      <c r="J144" s="4"/>
      <c r="K144" s="4"/>
      <c r="L144" s="4"/>
      <c r="M144" s="4"/>
      <c r="N144" s="4"/>
      <c r="O144" s="4"/>
      <c r="P144" s="4"/>
      <c r="Q144" s="4"/>
      <c r="R144" s="16"/>
      <c r="S144" s="16"/>
      <c r="T144" s="16"/>
      <c r="U144" s="16"/>
      <c r="V144" s="16"/>
      <c r="W144" s="16"/>
      <c r="X144" s="16"/>
      <c r="Y144" s="16"/>
      <c r="Z144" s="16"/>
      <c r="AA144" s="16"/>
      <c r="AB144" s="16"/>
      <c r="AC144" s="16"/>
      <c r="AD144" s="16"/>
    </row>
    <row r="145" ht="13.5" customHeight="1" spans="1:30" x14ac:dyDescent="0.25">
      <c r="A145" s="4"/>
      <c r="B145" s="4"/>
      <c r="C145" s="4"/>
      <c r="D145" s="4"/>
      <c r="E145" s="4"/>
      <c r="F145" s="4"/>
      <c r="G145" s="4"/>
      <c r="H145" s="4"/>
      <c r="I145" s="4"/>
      <c r="J145" s="4"/>
      <c r="K145" s="4"/>
      <c r="L145" s="4"/>
      <c r="M145" s="4"/>
      <c r="N145" s="4"/>
      <c r="O145" s="4"/>
      <c r="P145" s="4"/>
      <c r="Q145" s="4"/>
      <c r="R145" s="16"/>
      <c r="S145" s="16"/>
      <c r="T145" s="16"/>
      <c r="U145" s="16"/>
      <c r="V145" s="16"/>
      <c r="W145" s="16"/>
      <c r="X145" s="16"/>
      <c r="Y145" s="16"/>
      <c r="Z145" s="16"/>
      <c r="AA145" s="16"/>
      <c r="AB145" s="16"/>
      <c r="AC145" s="16"/>
      <c r="AD145" s="16"/>
    </row>
    <row r="146" ht="13.5" customHeight="1" spans="1:30" x14ac:dyDescent="0.25">
      <c r="A146" s="4"/>
      <c r="B146" s="4"/>
      <c r="C146" s="4"/>
      <c r="D146" s="4"/>
      <c r="E146" s="4"/>
      <c r="F146" s="4"/>
      <c r="G146" s="4"/>
      <c r="H146" s="4"/>
      <c r="I146" s="4"/>
      <c r="J146" s="4"/>
      <c r="K146" s="4"/>
      <c r="L146" s="4"/>
      <c r="M146" s="4"/>
      <c r="N146" s="4"/>
      <c r="O146" s="4"/>
      <c r="P146" s="4"/>
      <c r="Q146" s="4"/>
      <c r="R146" s="16"/>
      <c r="S146" s="16"/>
      <c r="T146" s="16"/>
      <c r="U146" s="16"/>
      <c r="V146" s="16"/>
      <c r="W146" s="16"/>
      <c r="X146" s="16"/>
      <c r="Y146" s="16"/>
      <c r="Z146" s="16"/>
      <c r="AA146" s="16"/>
      <c r="AB146" s="16"/>
      <c r="AC146" s="16"/>
      <c r="AD146" s="16"/>
    </row>
    <row r="147" ht="13.5" customHeight="1" spans="1:30" x14ac:dyDescent="0.25">
      <c r="A147" s="4"/>
      <c r="B147" s="4"/>
      <c r="C147" s="4"/>
      <c r="D147" s="4"/>
      <c r="E147" s="4"/>
      <c r="F147" s="4"/>
      <c r="G147" s="4"/>
      <c r="H147" s="4"/>
      <c r="I147" s="4"/>
      <c r="J147" s="4"/>
      <c r="K147" s="4"/>
      <c r="L147" s="4"/>
      <c r="M147" s="4"/>
      <c r="N147" s="4"/>
      <c r="O147" s="4"/>
      <c r="P147" s="4"/>
      <c r="Q147" s="4"/>
      <c r="R147" s="16"/>
      <c r="S147" s="16"/>
      <c r="T147" s="16"/>
      <c r="U147" s="16"/>
      <c r="V147" s="16"/>
      <c r="W147" s="16"/>
      <c r="X147" s="16"/>
      <c r="Y147" s="16"/>
      <c r="Z147" s="16"/>
      <c r="AA147" s="16"/>
      <c r="AB147" s="16"/>
      <c r="AC147" s="16"/>
      <c r="AD147" s="16"/>
    </row>
    <row r="148" ht="13.5" customHeight="1" spans="1:30" x14ac:dyDescent="0.25">
      <c r="A148" s="4"/>
      <c r="B148" s="4"/>
      <c r="C148" s="4"/>
      <c r="D148" s="4"/>
      <c r="E148" s="4"/>
      <c r="F148" s="4"/>
      <c r="G148" s="4"/>
      <c r="H148" s="4"/>
      <c r="I148" s="4"/>
      <c r="J148" s="4"/>
      <c r="K148" s="4"/>
      <c r="L148" s="4"/>
      <c r="M148" s="4"/>
      <c r="N148" s="4"/>
      <c r="O148" s="4"/>
      <c r="P148" s="4"/>
      <c r="Q148" s="4"/>
      <c r="R148" s="16"/>
      <c r="S148" s="16"/>
      <c r="T148" s="16"/>
      <c r="U148" s="16"/>
      <c r="V148" s="16"/>
      <c r="W148" s="16"/>
      <c r="X148" s="16"/>
      <c r="Y148" s="16"/>
      <c r="Z148" s="16"/>
      <c r="AA148" s="16"/>
      <c r="AB148" s="16"/>
      <c r="AC148" s="16"/>
      <c r="AD148" s="16"/>
    </row>
    <row r="149" ht="13.5" customHeight="1" spans="1:30" x14ac:dyDescent="0.25">
      <c r="A149" s="4"/>
      <c r="B149" s="4"/>
      <c r="C149" s="4"/>
      <c r="D149" s="4"/>
      <c r="E149" s="4"/>
      <c r="F149" s="4"/>
      <c r="G149" s="4"/>
      <c r="H149" s="4"/>
      <c r="I149" s="4"/>
      <c r="J149" s="4"/>
      <c r="K149" s="4"/>
      <c r="L149" s="4"/>
      <c r="M149" s="4"/>
      <c r="N149" s="4"/>
      <c r="O149" s="4"/>
      <c r="P149" s="4"/>
      <c r="Q149" s="4"/>
      <c r="R149" s="16"/>
      <c r="S149" s="16"/>
      <c r="T149" s="16"/>
      <c r="U149" s="16"/>
      <c r="V149" s="16"/>
      <c r="W149" s="16"/>
      <c r="X149" s="16"/>
      <c r="Y149" s="16"/>
      <c r="Z149" s="16"/>
      <c r="AA149" s="16"/>
      <c r="AB149" s="16"/>
      <c r="AC149" s="16"/>
      <c r="AD149" s="16"/>
    </row>
    <row r="150" ht="13.5" customHeight="1" spans="1:30" x14ac:dyDescent="0.25">
      <c r="A150" s="4"/>
      <c r="B150" s="4"/>
      <c r="C150" s="4"/>
      <c r="D150" s="4"/>
      <c r="E150" s="4"/>
      <c r="F150" s="4"/>
      <c r="G150" s="4"/>
      <c r="H150" s="4"/>
      <c r="I150" s="4"/>
      <c r="J150" s="4"/>
      <c r="K150" s="4"/>
      <c r="L150" s="4"/>
      <c r="M150" s="4"/>
      <c r="N150" s="4"/>
      <c r="O150" s="4"/>
      <c r="P150" s="4"/>
      <c r="Q150" s="4"/>
      <c r="R150" s="16"/>
      <c r="S150" s="16"/>
      <c r="T150" s="16"/>
      <c r="U150" s="16"/>
      <c r="V150" s="16"/>
      <c r="W150" s="16"/>
      <c r="X150" s="16"/>
      <c r="Y150" s="16"/>
      <c r="Z150" s="16"/>
      <c r="AA150" s="16"/>
      <c r="AB150" s="16"/>
      <c r="AC150" s="16"/>
      <c r="AD150" s="16"/>
    </row>
    <row r="151" ht="13.5" customHeight="1" spans="1:30" x14ac:dyDescent="0.25">
      <c r="A151" s="4"/>
      <c r="B151" s="4"/>
      <c r="C151" s="4"/>
      <c r="D151" s="4"/>
      <c r="E151" s="4"/>
      <c r="F151" s="4"/>
      <c r="G151" s="4"/>
      <c r="H151" s="4"/>
      <c r="I151" s="4"/>
      <c r="J151" s="4"/>
      <c r="K151" s="4"/>
      <c r="L151" s="4"/>
      <c r="M151" s="4"/>
      <c r="N151" s="4"/>
      <c r="O151" s="4"/>
      <c r="P151" s="4"/>
      <c r="Q151" s="4"/>
      <c r="R151" s="16"/>
      <c r="S151" s="16"/>
      <c r="T151" s="16"/>
      <c r="U151" s="16"/>
      <c r="V151" s="16"/>
      <c r="W151" s="16"/>
      <c r="X151" s="16"/>
      <c r="Y151" s="16"/>
      <c r="Z151" s="16"/>
      <c r="AA151" s="16"/>
      <c r="AB151" s="16"/>
      <c r="AC151" s="16"/>
      <c r="AD151" s="16"/>
    </row>
    <row r="152" ht="13.5" customHeight="1" spans="1:30" x14ac:dyDescent="0.25">
      <c r="A152" s="4"/>
      <c r="B152" s="4"/>
      <c r="C152" s="4"/>
      <c r="D152" s="4"/>
      <c r="E152" s="4"/>
      <c r="F152" s="4"/>
      <c r="G152" s="4"/>
      <c r="H152" s="4"/>
      <c r="I152" s="4"/>
      <c r="J152" s="4"/>
      <c r="K152" s="4"/>
      <c r="L152" s="4"/>
      <c r="M152" s="4"/>
      <c r="N152" s="4"/>
      <c r="O152" s="4"/>
      <c r="P152" s="4"/>
      <c r="Q152" s="4"/>
      <c r="R152" s="16"/>
      <c r="S152" s="16"/>
      <c r="T152" s="16"/>
      <c r="U152" s="16"/>
      <c r="V152" s="16"/>
      <c r="W152" s="16"/>
      <c r="X152" s="16"/>
      <c r="Y152" s="16"/>
      <c r="Z152" s="16"/>
      <c r="AA152" s="16"/>
      <c r="AB152" s="16"/>
      <c r="AC152" s="16"/>
      <c r="AD152" s="16"/>
    </row>
    <row r="153" ht="13.5" customHeight="1" spans="1:30" x14ac:dyDescent="0.25">
      <c r="A153" s="4"/>
      <c r="B153" s="4"/>
      <c r="C153" s="4"/>
      <c r="D153" s="4"/>
      <c r="E153" s="4"/>
      <c r="F153" s="4"/>
      <c r="G153" s="4"/>
      <c r="H153" s="4"/>
      <c r="I153" s="4"/>
      <c r="J153" s="4"/>
      <c r="K153" s="4"/>
      <c r="L153" s="4"/>
      <c r="M153" s="4"/>
      <c r="N153" s="4"/>
      <c r="O153" s="4"/>
      <c r="P153" s="4"/>
      <c r="Q153" s="4"/>
      <c r="R153" s="16"/>
      <c r="S153" s="16"/>
      <c r="T153" s="16"/>
      <c r="U153" s="16"/>
      <c r="V153" s="16"/>
      <c r="W153" s="16"/>
      <c r="X153" s="16"/>
      <c r="Y153" s="16"/>
      <c r="Z153" s="16"/>
      <c r="AA153" s="16"/>
      <c r="AB153" s="16"/>
      <c r="AC153" s="16"/>
      <c r="AD153" s="16"/>
    </row>
    <row r="154" ht="13.5" customHeight="1" spans="1:30" x14ac:dyDescent="0.25">
      <c r="A154" s="4"/>
      <c r="B154" s="4"/>
      <c r="C154" s="4"/>
      <c r="D154" s="4"/>
      <c r="E154" s="4"/>
      <c r="F154" s="4"/>
      <c r="G154" s="4"/>
      <c r="H154" s="4"/>
      <c r="I154" s="4"/>
      <c r="J154" s="4"/>
      <c r="K154" s="4"/>
      <c r="L154" s="4"/>
      <c r="M154" s="4"/>
      <c r="N154" s="4"/>
      <c r="O154" s="4"/>
      <c r="P154" s="4"/>
      <c r="Q154" s="4"/>
      <c r="R154" s="16"/>
      <c r="S154" s="16"/>
      <c r="T154" s="16"/>
      <c r="U154" s="16"/>
      <c r="V154" s="16"/>
      <c r="W154" s="16"/>
      <c r="X154" s="16"/>
      <c r="Y154" s="16"/>
      <c r="Z154" s="16"/>
      <c r="AA154" s="16"/>
      <c r="AB154" s="16"/>
      <c r="AC154" s="16"/>
      <c r="AD154" s="16"/>
    </row>
    <row r="155" ht="13.5" customHeight="1" spans="1:30" x14ac:dyDescent="0.25">
      <c r="A155" s="4"/>
      <c r="B155" s="4"/>
      <c r="C155" s="4"/>
      <c r="D155" s="4"/>
      <c r="E155" s="4"/>
      <c r="F155" s="4"/>
      <c r="G155" s="4"/>
      <c r="H155" s="4"/>
      <c r="I155" s="4"/>
      <c r="J155" s="4"/>
      <c r="K155" s="4"/>
      <c r="L155" s="4"/>
      <c r="M155" s="4"/>
      <c r="N155" s="4"/>
      <c r="O155" s="4"/>
      <c r="P155" s="4"/>
      <c r="Q155" s="4"/>
      <c r="R155" s="16"/>
      <c r="S155" s="16"/>
      <c r="T155" s="16"/>
      <c r="U155" s="16"/>
      <c r="V155" s="16"/>
      <c r="W155" s="16"/>
      <c r="X155" s="16"/>
      <c r="Y155" s="16"/>
      <c r="Z155" s="16"/>
      <c r="AA155" s="16"/>
      <c r="AB155" s="16"/>
      <c r="AC155" s="16"/>
      <c r="AD155" s="16"/>
    </row>
    <row r="156" ht="13.5" customHeight="1" spans="1:30" x14ac:dyDescent="0.25">
      <c r="A156" s="4"/>
      <c r="B156" s="4"/>
      <c r="C156" s="4"/>
      <c r="D156" s="4"/>
      <c r="E156" s="4"/>
      <c r="F156" s="4"/>
      <c r="G156" s="4"/>
      <c r="H156" s="4"/>
      <c r="I156" s="4"/>
      <c r="J156" s="4"/>
      <c r="K156" s="4"/>
      <c r="L156" s="4"/>
      <c r="M156" s="4"/>
      <c r="N156" s="4"/>
      <c r="O156" s="4"/>
      <c r="P156" s="4"/>
      <c r="Q156" s="4"/>
      <c r="R156" s="16"/>
      <c r="S156" s="16"/>
      <c r="T156" s="16"/>
      <c r="U156" s="16"/>
      <c r="V156" s="16"/>
      <c r="W156" s="16"/>
      <c r="X156" s="16"/>
      <c r="Y156" s="16"/>
      <c r="Z156" s="16"/>
      <c r="AA156" s="16"/>
      <c r="AB156" s="16"/>
      <c r="AC156" s="16"/>
      <c r="AD156" s="16"/>
    </row>
    <row r="157" ht="13.5" customHeight="1" spans="1:30" x14ac:dyDescent="0.25">
      <c r="A157" s="4"/>
      <c r="B157" s="4"/>
      <c r="C157" s="4"/>
      <c r="D157" s="4"/>
      <c r="E157" s="4"/>
      <c r="F157" s="4"/>
      <c r="G157" s="4"/>
      <c r="H157" s="4"/>
      <c r="I157" s="4"/>
      <c r="J157" s="4"/>
      <c r="K157" s="4"/>
      <c r="L157" s="4"/>
      <c r="M157" s="4"/>
      <c r="N157" s="4"/>
      <c r="O157" s="4"/>
      <c r="P157" s="4"/>
      <c r="Q157" s="4"/>
      <c r="R157" s="16"/>
      <c r="S157" s="16"/>
      <c r="T157" s="16"/>
      <c r="U157" s="16"/>
      <c r="V157" s="16"/>
      <c r="W157" s="16"/>
      <c r="X157" s="16"/>
      <c r="Y157" s="16"/>
      <c r="Z157" s="16"/>
      <c r="AA157" s="16"/>
      <c r="AB157" s="16"/>
      <c r="AC157" s="16"/>
      <c r="AD157" s="16"/>
    </row>
    <row r="158" ht="13.5" customHeight="1" spans="1:30" x14ac:dyDescent="0.25">
      <c r="A158" s="4"/>
      <c r="B158" s="4"/>
      <c r="C158" s="4"/>
      <c r="D158" s="4"/>
      <c r="E158" s="4"/>
      <c r="F158" s="4"/>
      <c r="G158" s="4"/>
      <c r="H158" s="4"/>
      <c r="I158" s="4"/>
      <c r="J158" s="4"/>
      <c r="K158" s="4"/>
      <c r="L158" s="4"/>
      <c r="M158" s="4"/>
      <c r="N158" s="4"/>
      <c r="O158" s="4"/>
      <c r="P158" s="4"/>
      <c r="Q158" s="4"/>
      <c r="R158" s="16"/>
      <c r="S158" s="16"/>
      <c r="T158" s="16"/>
      <c r="U158" s="16"/>
      <c r="V158" s="16"/>
      <c r="W158" s="16"/>
      <c r="X158" s="16"/>
      <c r="Y158" s="16"/>
      <c r="Z158" s="16"/>
      <c r="AA158" s="16"/>
      <c r="AB158" s="16"/>
      <c r="AC158" s="16"/>
      <c r="AD158" s="16"/>
    </row>
    <row r="159" ht="13.5" customHeight="1" spans="1:30" x14ac:dyDescent="0.25">
      <c r="A159" s="4"/>
      <c r="B159" s="4"/>
      <c r="C159" s="4"/>
      <c r="D159" s="4"/>
      <c r="E159" s="4"/>
      <c r="F159" s="4"/>
      <c r="G159" s="4"/>
      <c r="H159" s="4"/>
      <c r="I159" s="4"/>
      <c r="J159" s="4"/>
      <c r="K159" s="4"/>
      <c r="L159" s="4"/>
      <c r="M159" s="4"/>
      <c r="N159" s="4"/>
      <c r="O159" s="4"/>
      <c r="P159" s="4"/>
      <c r="Q159" s="4"/>
      <c r="R159" s="16"/>
      <c r="S159" s="16"/>
      <c r="T159" s="16"/>
      <c r="U159" s="16"/>
      <c r="V159" s="16"/>
      <c r="W159" s="16"/>
      <c r="X159" s="16"/>
      <c r="Y159" s="16"/>
      <c r="Z159" s="16"/>
      <c r="AA159" s="16"/>
      <c r="AB159" s="16"/>
      <c r="AC159" s="16"/>
      <c r="AD159" s="16"/>
    </row>
    <row r="160" ht="13.5" customHeight="1" spans="1:30" x14ac:dyDescent="0.25">
      <c r="A160" s="4"/>
      <c r="B160" s="4"/>
      <c r="C160" s="4"/>
      <c r="D160" s="4"/>
      <c r="E160" s="4"/>
      <c r="F160" s="4"/>
      <c r="G160" s="4"/>
      <c r="H160" s="4"/>
      <c r="I160" s="4"/>
      <c r="J160" s="4"/>
      <c r="K160" s="4"/>
      <c r="L160" s="4"/>
      <c r="M160" s="4"/>
      <c r="N160" s="4"/>
      <c r="O160" s="4"/>
      <c r="P160" s="4"/>
      <c r="Q160" s="4"/>
      <c r="R160" s="16"/>
      <c r="S160" s="16"/>
      <c r="T160" s="16"/>
      <c r="U160" s="16"/>
      <c r="V160" s="16"/>
      <c r="W160" s="16"/>
      <c r="X160" s="16"/>
      <c r="Y160" s="16"/>
      <c r="Z160" s="16"/>
      <c r="AA160" s="16"/>
      <c r="AB160" s="16"/>
      <c r="AC160" s="16"/>
      <c r="AD160" s="16"/>
    </row>
    <row r="161" ht="13.5" customHeight="1" spans="1:30" x14ac:dyDescent="0.25">
      <c r="A161" s="4"/>
      <c r="B161" s="4"/>
      <c r="C161" s="4"/>
      <c r="D161" s="4"/>
      <c r="E161" s="4"/>
      <c r="F161" s="4"/>
      <c r="G161" s="4"/>
      <c r="H161" s="4"/>
      <c r="I161" s="4"/>
      <c r="J161" s="4"/>
      <c r="K161" s="4"/>
      <c r="L161" s="4"/>
      <c r="M161" s="4"/>
      <c r="N161" s="4"/>
      <c r="O161" s="4"/>
      <c r="P161" s="4"/>
      <c r="Q161" s="4"/>
      <c r="R161" s="16"/>
      <c r="S161" s="16"/>
      <c r="T161" s="16"/>
      <c r="U161" s="16"/>
      <c r="V161" s="16"/>
      <c r="W161" s="16"/>
      <c r="X161" s="16"/>
      <c r="Y161" s="16"/>
      <c r="Z161" s="16"/>
      <c r="AA161" s="16"/>
      <c r="AB161" s="16"/>
      <c r="AC161" s="16"/>
      <c r="AD161" s="16"/>
    </row>
    <row r="162" ht="13.5" customHeight="1" spans="1:30" x14ac:dyDescent="0.25">
      <c r="A162" s="4"/>
      <c r="B162" s="4"/>
      <c r="C162" s="4"/>
      <c r="D162" s="4"/>
      <c r="E162" s="4"/>
      <c r="F162" s="4"/>
      <c r="G162" s="4"/>
      <c r="H162" s="4"/>
      <c r="I162" s="4"/>
      <c r="J162" s="4"/>
      <c r="K162" s="4"/>
      <c r="L162" s="4"/>
      <c r="M162" s="4"/>
      <c r="N162" s="4"/>
      <c r="O162" s="4"/>
      <c r="P162" s="4"/>
      <c r="Q162" s="4"/>
      <c r="R162" s="16"/>
      <c r="S162" s="16"/>
      <c r="T162" s="16"/>
      <c r="U162" s="16"/>
      <c r="V162" s="16"/>
      <c r="W162" s="16"/>
      <c r="X162" s="16"/>
      <c r="Y162" s="16"/>
      <c r="Z162" s="16"/>
      <c r="AA162" s="16"/>
      <c r="AB162" s="16"/>
      <c r="AC162" s="16"/>
      <c r="AD162" s="16"/>
    </row>
    <row r="163" ht="13.5" customHeight="1" spans="1:30" x14ac:dyDescent="0.25">
      <c r="A163" s="4"/>
      <c r="B163" s="4"/>
      <c r="C163" s="4"/>
      <c r="D163" s="4"/>
      <c r="E163" s="4"/>
      <c r="F163" s="4"/>
      <c r="G163" s="4"/>
      <c r="H163" s="4"/>
      <c r="I163" s="4"/>
      <c r="J163" s="4"/>
      <c r="K163" s="4"/>
      <c r="L163" s="4"/>
      <c r="M163" s="4"/>
      <c r="N163" s="4"/>
      <c r="O163" s="4"/>
      <c r="P163" s="4"/>
      <c r="Q163" s="4"/>
      <c r="R163" s="16"/>
      <c r="S163" s="16"/>
      <c r="T163" s="16"/>
      <c r="U163" s="16"/>
      <c r="V163" s="16"/>
      <c r="W163" s="16"/>
      <c r="X163" s="16"/>
      <c r="Y163" s="16"/>
      <c r="Z163" s="16"/>
      <c r="AA163" s="16"/>
      <c r="AB163" s="16"/>
      <c r="AC163" s="16"/>
      <c r="AD163" s="16"/>
    </row>
    <row r="164" ht="13.5" customHeight="1" spans="1:30" x14ac:dyDescent="0.25">
      <c r="A164" s="4"/>
      <c r="B164" s="4"/>
      <c r="C164" s="4"/>
      <c r="D164" s="4"/>
      <c r="E164" s="4"/>
      <c r="F164" s="4"/>
      <c r="G164" s="4"/>
      <c r="H164" s="4"/>
      <c r="I164" s="4"/>
      <c r="J164" s="4"/>
      <c r="K164" s="4"/>
      <c r="L164" s="4"/>
      <c r="M164" s="4"/>
      <c r="N164" s="4"/>
      <c r="O164" s="4"/>
      <c r="P164" s="4"/>
      <c r="Q164" s="4"/>
      <c r="R164" s="16"/>
      <c r="S164" s="16"/>
      <c r="T164" s="16"/>
      <c r="U164" s="16"/>
      <c r="V164" s="16"/>
      <c r="W164" s="16"/>
      <c r="X164" s="16"/>
      <c r="Y164" s="16"/>
      <c r="Z164" s="16"/>
      <c r="AA164" s="16"/>
      <c r="AB164" s="16"/>
      <c r="AC164" s="16"/>
      <c r="AD164" s="16"/>
    </row>
    <row r="165" ht="13.5" customHeight="1" spans="1:30" x14ac:dyDescent="0.25">
      <c r="A165" s="4"/>
      <c r="B165" s="4"/>
      <c r="C165" s="4"/>
      <c r="D165" s="4"/>
      <c r="E165" s="4"/>
      <c r="F165" s="4"/>
      <c r="G165" s="4"/>
      <c r="H165" s="4"/>
      <c r="I165" s="4"/>
      <c r="J165" s="4"/>
      <c r="K165" s="4"/>
      <c r="L165" s="4"/>
      <c r="M165" s="4"/>
      <c r="N165" s="4"/>
      <c r="O165" s="4"/>
      <c r="P165" s="4"/>
      <c r="Q165" s="4"/>
      <c r="R165" s="16"/>
      <c r="S165" s="16"/>
      <c r="T165" s="16"/>
      <c r="U165" s="16"/>
      <c r="V165" s="16"/>
      <c r="W165" s="16"/>
      <c r="X165" s="16"/>
      <c r="Y165" s="16"/>
      <c r="Z165" s="16"/>
      <c r="AA165" s="16"/>
      <c r="AB165" s="16"/>
      <c r="AC165" s="16"/>
      <c r="AD165" s="16"/>
    </row>
    <row r="166" ht="13.5" customHeight="1" spans="1:30" x14ac:dyDescent="0.25">
      <c r="A166" s="4"/>
      <c r="B166" s="4"/>
      <c r="C166" s="4"/>
      <c r="D166" s="4"/>
      <c r="E166" s="4"/>
      <c r="F166" s="4"/>
      <c r="G166" s="4"/>
      <c r="H166" s="4"/>
      <c r="I166" s="4"/>
      <c r="J166" s="4"/>
      <c r="K166" s="4"/>
      <c r="L166" s="4"/>
      <c r="M166" s="4"/>
      <c r="N166" s="4"/>
      <c r="O166" s="4"/>
      <c r="P166" s="4"/>
      <c r="Q166" s="4"/>
      <c r="R166" s="16"/>
      <c r="S166" s="16"/>
      <c r="T166" s="16"/>
      <c r="U166" s="16"/>
      <c r="V166" s="16"/>
      <c r="W166" s="16"/>
      <c r="X166" s="16"/>
      <c r="Y166" s="16"/>
      <c r="Z166" s="16"/>
      <c r="AA166" s="16"/>
      <c r="AB166" s="16"/>
      <c r="AC166" s="16"/>
      <c r="AD166" s="16"/>
    </row>
    <row r="167" ht="13.5" customHeight="1" spans="1:30" x14ac:dyDescent="0.25">
      <c r="A167" s="4"/>
      <c r="B167" s="4"/>
      <c r="C167" s="4"/>
      <c r="D167" s="4"/>
      <c r="E167" s="4"/>
      <c r="F167" s="4"/>
      <c r="G167" s="4"/>
      <c r="H167" s="4"/>
      <c r="I167" s="4"/>
      <c r="J167" s="4"/>
      <c r="K167" s="4"/>
      <c r="L167" s="4"/>
      <c r="M167" s="4"/>
      <c r="N167" s="4"/>
      <c r="O167" s="4"/>
      <c r="P167" s="4"/>
      <c r="Q167" s="4"/>
      <c r="R167" s="16"/>
      <c r="S167" s="16"/>
      <c r="T167" s="16"/>
      <c r="U167" s="16"/>
      <c r="V167" s="16"/>
      <c r="W167" s="16"/>
      <c r="X167" s="16"/>
      <c r="Y167" s="16"/>
      <c r="Z167" s="16"/>
      <c r="AA167" s="16"/>
      <c r="AB167" s="16"/>
      <c r="AC167" s="16"/>
      <c r="AD167" s="16"/>
    </row>
    <row r="168" ht="13.5" customHeight="1" spans="1:30" x14ac:dyDescent="0.25">
      <c r="A168" s="4"/>
      <c r="B168" s="4"/>
      <c r="C168" s="4"/>
      <c r="D168" s="4"/>
      <c r="E168" s="4"/>
      <c r="F168" s="4"/>
      <c r="G168" s="4"/>
      <c r="H168" s="4"/>
      <c r="I168" s="4"/>
      <c r="J168" s="4"/>
      <c r="K168" s="4"/>
      <c r="L168" s="4"/>
      <c r="M168" s="4"/>
      <c r="N168" s="4"/>
      <c r="O168" s="4"/>
      <c r="P168" s="4"/>
      <c r="Q168" s="4"/>
      <c r="R168" s="16"/>
      <c r="S168" s="16"/>
      <c r="T168" s="16"/>
      <c r="U168" s="16"/>
      <c r="V168" s="16"/>
      <c r="W168" s="16"/>
      <c r="X168" s="16"/>
      <c r="Y168" s="16"/>
      <c r="Z168" s="16"/>
      <c r="AA168" s="16"/>
      <c r="AB168" s="16"/>
      <c r="AC168" s="16"/>
      <c r="AD168" s="16"/>
    </row>
    <row r="169" ht="13.5" customHeight="1" spans="1:30" x14ac:dyDescent="0.25">
      <c r="A169" s="4"/>
      <c r="B169" s="4"/>
      <c r="C169" s="4"/>
      <c r="D169" s="4"/>
      <c r="E169" s="4"/>
      <c r="F169" s="4"/>
      <c r="G169" s="4"/>
      <c r="H169" s="4"/>
      <c r="I169" s="4"/>
      <c r="J169" s="4"/>
      <c r="K169" s="4"/>
      <c r="L169" s="4"/>
      <c r="M169" s="4"/>
      <c r="N169" s="4"/>
      <c r="O169" s="4"/>
      <c r="P169" s="4"/>
      <c r="Q169" s="4"/>
      <c r="R169" s="16"/>
      <c r="S169" s="16"/>
      <c r="T169" s="16"/>
      <c r="U169" s="16"/>
      <c r="V169" s="16"/>
      <c r="W169" s="16"/>
      <c r="X169" s="16"/>
      <c r="Y169" s="16"/>
      <c r="Z169" s="16"/>
      <c r="AA169" s="16"/>
      <c r="AB169" s="16"/>
      <c r="AC169" s="16"/>
      <c r="AD169" s="16"/>
    </row>
    <row r="170" ht="13.5" customHeight="1" spans="1:30" x14ac:dyDescent="0.25">
      <c r="A170" s="4"/>
      <c r="B170" s="4"/>
      <c r="C170" s="4"/>
      <c r="D170" s="4"/>
      <c r="E170" s="4"/>
      <c r="F170" s="4"/>
      <c r="G170" s="4"/>
      <c r="H170" s="4"/>
      <c r="I170" s="4"/>
      <c r="J170" s="4"/>
      <c r="K170" s="4"/>
      <c r="L170" s="4"/>
      <c r="M170" s="4"/>
      <c r="N170" s="4"/>
      <c r="O170" s="4"/>
      <c r="P170" s="4"/>
      <c r="Q170" s="4"/>
      <c r="R170" s="16"/>
      <c r="S170" s="16"/>
      <c r="T170" s="16"/>
      <c r="U170" s="16"/>
      <c r="V170" s="16"/>
      <c r="W170" s="16"/>
      <c r="X170" s="16"/>
      <c r="Y170" s="16"/>
      <c r="Z170" s="16"/>
      <c r="AA170" s="16"/>
      <c r="AB170" s="16"/>
      <c r="AC170" s="16"/>
      <c r="AD170" s="16"/>
    </row>
    <row r="171" ht="13.5" customHeight="1" spans="1:30" x14ac:dyDescent="0.25">
      <c r="A171" s="4"/>
      <c r="B171" s="4"/>
      <c r="C171" s="4"/>
      <c r="D171" s="4"/>
      <c r="E171" s="4"/>
      <c r="F171" s="4"/>
      <c r="G171" s="4"/>
      <c r="H171" s="4"/>
      <c r="I171" s="4"/>
      <c r="J171" s="4"/>
      <c r="K171" s="4"/>
      <c r="L171" s="4"/>
      <c r="M171" s="4"/>
      <c r="N171" s="4"/>
      <c r="O171" s="4"/>
      <c r="P171" s="4"/>
      <c r="Q171" s="4"/>
      <c r="R171" s="16"/>
      <c r="S171" s="16"/>
      <c r="T171" s="16"/>
      <c r="U171" s="16"/>
      <c r="V171" s="16"/>
      <c r="W171" s="16"/>
      <c r="X171" s="16"/>
      <c r="Y171" s="16"/>
      <c r="Z171" s="16"/>
      <c r="AA171" s="16"/>
      <c r="AB171" s="16"/>
      <c r="AC171" s="16"/>
      <c r="AD171" s="16"/>
    </row>
    <row r="172" ht="13.5" customHeight="1" spans="1:30" x14ac:dyDescent="0.25">
      <c r="A172" s="4"/>
      <c r="B172" s="4"/>
      <c r="C172" s="4"/>
      <c r="D172" s="4"/>
      <c r="E172" s="4"/>
      <c r="F172" s="4"/>
      <c r="G172" s="4"/>
      <c r="H172" s="4"/>
      <c r="I172" s="4"/>
      <c r="J172" s="4"/>
      <c r="K172" s="4"/>
      <c r="L172" s="4"/>
      <c r="M172" s="4"/>
      <c r="N172" s="4"/>
      <c r="O172" s="4"/>
      <c r="P172" s="4"/>
      <c r="Q172" s="4"/>
      <c r="R172" s="16"/>
      <c r="S172" s="16"/>
      <c r="T172" s="16"/>
      <c r="U172" s="16"/>
      <c r="V172" s="16"/>
      <c r="W172" s="16"/>
      <c r="X172" s="16"/>
      <c r="Y172" s="16"/>
      <c r="Z172" s="16"/>
      <c r="AA172" s="16"/>
      <c r="AB172" s="16"/>
      <c r="AC172" s="16"/>
      <c r="AD172" s="16"/>
    </row>
    <row r="173" ht="13.5" customHeight="1" spans="1:30" x14ac:dyDescent="0.25">
      <c r="A173" s="4"/>
      <c r="B173" s="4"/>
      <c r="C173" s="4"/>
      <c r="D173" s="4"/>
      <c r="E173" s="4"/>
      <c r="F173" s="4"/>
      <c r="G173" s="4"/>
      <c r="H173" s="4"/>
      <c r="I173" s="4"/>
      <c r="J173" s="4"/>
      <c r="K173" s="4"/>
      <c r="L173" s="4"/>
      <c r="M173" s="4"/>
      <c r="N173" s="4"/>
      <c r="O173" s="4"/>
      <c r="P173" s="4"/>
      <c r="Q173" s="4"/>
      <c r="R173" s="16"/>
      <c r="S173" s="16"/>
      <c r="T173" s="16"/>
      <c r="U173" s="16"/>
      <c r="V173" s="16"/>
      <c r="W173" s="16"/>
      <c r="X173" s="16"/>
      <c r="Y173" s="16"/>
      <c r="Z173" s="16"/>
      <c r="AA173" s="16"/>
      <c r="AB173" s="16"/>
      <c r="AC173" s="16"/>
      <c r="AD173" s="16"/>
    </row>
    <row r="174" ht="13.5" customHeight="1" spans="1:30" x14ac:dyDescent="0.25">
      <c r="A174" s="4"/>
      <c r="B174" s="4"/>
      <c r="C174" s="4"/>
      <c r="D174" s="4"/>
      <c r="E174" s="4"/>
      <c r="F174" s="4"/>
      <c r="G174" s="4"/>
      <c r="H174" s="4"/>
      <c r="I174" s="4"/>
      <c r="J174" s="4"/>
      <c r="K174" s="4"/>
      <c r="L174" s="4"/>
      <c r="M174" s="4"/>
      <c r="N174" s="4"/>
      <c r="O174" s="4"/>
      <c r="P174" s="4"/>
      <c r="Q174" s="4"/>
      <c r="R174" s="16"/>
      <c r="S174" s="16"/>
      <c r="T174" s="16"/>
      <c r="U174" s="16"/>
      <c r="V174" s="16"/>
      <c r="W174" s="16"/>
      <c r="X174" s="16"/>
      <c r="Y174" s="16"/>
      <c r="Z174" s="16"/>
      <c r="AA174" s="16"/>
      <c r="AB174" s="16"/>
      <c r="AC174" s="16"/>
      <c r="AD174" s="16"/>
    </row>
    <row r="175" ht="13.5" customHeight="1" spans="1:30" x14ac:dyDescent="0.25">
      <c r="A175" s="4"/>
      <c r="B175" s="4"/>
      <c r="C175" s="4"/>
      <c r="D175" s="4"/>
      <c r="E175" s="4"/>
      <c r="F175" s="4"/>
      <c r="G175" s="4"/>
      <c r="H175" s="4"/>
      <c r="I175" s="4"/>
      <c r="J175" s="4"/>
      <c r="K175" s="4"/>
      <c r="L175" s="4"/>
      <c r="M175" s="4"/>
      <c r="N175" s="4"/>
      <c r="O175" s="4"/>
      <c r="P175" s="4"/>
      <c r="Q175" s="4"/>
      <c r="R175" s="16"/>
      <c r="S175" s="16"/>
      <c r="T175" s="16"/>
      <c r="U175" s="16"/>
      <c r="V175" s="16"/>
      <c r="W175" s="16"/>
      <c r="X175" s="16"/>
      <c r="Y175" s="16"/>
      <c r="Z175" s="16"/>
      <c r="AA175" s="16"/>
      <c r="AB175" s="16"/>
      <c r="AC175" s="16"/>
      <c r="AD175" s="16"/>
    </row>
    <row r="176" ht="13.5" customHeight="1" spans="1:30" x14ac:dyDescent="0.25">
      <c r="A176" s="4"/>
      <c r="B176" s="4"/>
      <c r="C176" s="4"/>
      <c r="D176" s="4"/>
      <c r="E176" s="4"/>
      <c r="F176" s="4"/>
      <c r="G176" s="4"/>
      <c r="H176" s="4"/>
      <c r="I176" s="4"/>
      <c r="J176" s="4"/>
      <c r="K176" s="4"/>
      <c r="L176" s="4"/>
      <c r="M176" s="4"/>
      <c r="N176" s="4"/>
      <c r="O176" s="4"/>
      <c r="P176" s="4"/>
      <c r="Q176" s="4"/>
      <c r="R176" s="16"/>
      <c r="S176" s="16"/>
      <c r="T176" s="16"/>
      <c r="U176" s="16"/>
      <c r="V176" s="16"/>
      <c r="W176" s="16"/>
      <c r="X176" s="16"/>
      <c r="Y176" s="16"/>
      <c r="Z176" s="16"/>
      <c r="AA176" s="16"/>
      <c r="AB176" s="16"/>
      <c r="AC176" s="16"/>
      <c r="AD176" s="16"/>
    </row>
    <row r="177" ht="13.5" customHeight="1" spans="1:30" x14ac:dyDescent="0.25">
      <c r="A177" s="4"/>
      <c r="B177" s="4"/>
      <c r="C177" s="4"/>
      <c r="D177" s="4"/>
      <c r="E177" s="4"/>
      <c r="F177" s="4"/>
      <c r="G177" s="4"/>
      <c r="H177" s="4"/>
      <c r="I177" s="4"/>
      <c r="J177" s="4"/>
      <c r="K177" s="4"/>
      <c r="L177" s="4"/>
      <c r="M177" s="4"/>
      <c r="N177" s="4"/>
      <c r="O177" s="4"/>
      <c r="P177" s="4"/>
      <c r="Q177" s="4"/>
      <c r="R177" s="16"/>
      <c r="S177" s="16"/>
      <c r="T177" s="16"/>
      <c r="U177" s="16"/>
      <c r="V177" s="16"/>
      <c r="W177" s="16"/>
      <c r="X177" s="16"/>
      <c r="Y177" s="16"/>
      <c r="Z177" s="16"/>
      <c r="AA177" s="16"/>
      <c r="AB177" s="16"/>
      <c r="AC177" s="16"/>
      <c r="AD177" s="16"/>
    </row>
    <row r="178" ht="13.5" customHeight="1" spans="1:30" x14ac:dyDescent="0.25">
      <c r="A178" s="4"/>
      <c r="B178" s="4"/>
      <c r="C178" s="4"/>
      <c r="D178" s="4"/>
      <c r="E178" s="4"/>
      <c r="F178" s="4"/>
      <c r="G178" s="4"/>
      <c r="H178" s="4"/>
      <c r="I178" s="4"/>
      <c r="J178" s="4"/>
      <c r="K178" s="4"/>
      <c r="L178" s="4"/>
      <c r="M178" s="4"/>
      <c r="N178" s="4"/>
      <c r="O178" s="4"/>
      <c r="P178" s="4"/>
      <c r="Q178" s="4"/>
      <c r="R178" s="16"/>
      <c r="S178" s="16"/>
      <c r="T178" s="16"/>
      <c r="U178" s="16"/>
      <c r="V178" s="16"/>
      <c r="W178" s="16"/>
      <c r="X178" s="16"/>
      <c r="Y178" s="16"/>
      <c r="Z178" s="16"/>
      <c r="AA178" s="16"/>
      <c r="AB178" s="16"/>
      <c r="AC178" s="16"/>
      <c r="AD178" s="16"/>
    </row>
    <row r="179" ht="13.5" customHeight="1" spans="1:30" x14ac:dyDescent="0.25">
      <c r="A179" s="4"/>
      <c r="B179" s="4"/>
      <c r="C179" s="4"/>
      <c r="D179" s="4"/>
      <c r="E179" s="4"/>
      <c r="F179" s="4"/>
      <c r="G179" s="4"/>
      <c r="H179" s="4"/>
      <c r="I179" s="4"/>
      <c r="J179" s="4"/>
      <c r="K179" s="4"/>
      <c r="L179" s="4"/>
      <c r="M179" s="4"/>
      <c r="N179" s="4"/>
      <c r="O179" s="4"/>
      <c r="P179" s="4"/>
      <c r="Q179" s="4"/>
      <c r="R179" s="16"/>
      <c r="S179" s="16"/>
      <c r="T179" s="16"/>
      <c r="U179" s="16"/>
      <c r="V179" s="16"/>
      <c r="W179" s="16"/>
      <c r="X179" s="16"/>
      <c r="Y179" s="16"/>
      <c r="Z179" s="16"/>
      <c r="AA179" s="16"/>
      <c r="AB179" s="16"/>
      <c r="AC179" s="16"/>
      <c r="AD179" s="16"/>
    </row>
    <row r="180" ht="13.5" customHeight="1" spans="1:30" x14ac:dyDescent="0.25">
      <c r="A180" s="4"/>
      <c r="B180" s="4"/>
      <c r="C180" s="4"/>
      <c r="D180" s="4"/>
      <c r="E180" s="4"/>
      <c r="F180" s="4"/>
      <c r="G180" s="4"/>
      <c r="H180" s="4"/>
      <c r="I180" s="4"/>
      <c r="J180" s="4"/>
      <c r="K180" s="4"/>
      <c r="L180" s="4"/>
      <c r="M180" s="4"/>
      <c r="N180" s="4"/>
      <c r="O180" s="4"/>
      <c r="P180" s="4"/>
      <c r="Q180" s="4"/>
      <c r="R180" s="16"/>
      <c r="S180" s="16"/>
      <c r="T180" s="16"/>
      <c r="U180" s="16"/>
      <c r="V180" s="16"/>
      <c r="W180" s="16"/>
      <c r="X180" s="16"/>
      <c r="Y180" s="16"/>
      <c r="Z180" s="16"/>
      <c r="AA180" s="16"/>
      <c r="AB180" s="16"/>
      <c r="AC180" s="16"/>
      <c r="AD180" s="16"/>
    </row>
    <row r="181" ht="13.5" customHeight="1" spans="1:30" x14ac:dyDescent="0.25">
      <c r="A181" s="4"/>
      <c r="B181" s="4"/>
      <c r="C181" s="4"/>
      <c r="D181" s="4"/>
      <c r="E181" s="4"/>
      <c r="F181" s="4"/>
      <c r="G181" s="4"/>
      <c r="H181" s="4"/>
      <c r="I181" s="4"/>
      <c r="J181" s="4"/>
      <c r="K181" s="4"/>
      <c r="L181" s="4"/>
      <c r="M181" s="4"/>
      <c r="N181" s="4"/>
      <c r="O181" s="4"/>
      <c r="P181" s="4"/>
      <c r="Q181" s="4"/>
      <c r="R181" s="16"/>
      <c r="S181" s="16"/>
      <c r="T181" s="16"/>
      <c r="U181" s="16"/>
      <c r="V181" s="16"/>
      <c r="W181" s="16"/>
      <c r="X181" s="16"/>
      <c r="Y181" s="16"/>
      <c r="Z181" s="16"/>
      <c r="AA181" s="16"/>
      <c r="AB181" s="16"/>
      <c r="AC181" s="16"/>
      <c r="AD181" s="16"/>
    </row>
    <row r="182" ht="13.5" customHeight="1" spans="1:30" x14ac:dyDescent="0.25">
      <c r="A182" s="4"/>
      <c r="B182" s="4"/>
      <c r="C182" s="4"/>
      <c r="D182" s="4"/>
      <c r="E182" s="4"/>
      <c r="F182" s="4"/>
      <c r="G182" s="4"/>
      <c r="H182" s="4"/>
      <c r="I182" s="4"/>
      <c r="J182" s="4"/>
      <c r="K182" s="4"/>
      <c r="L182" s="4"/>
      <c r="M182" s="4"/>
      <c r="N182" s="4"/>
      <c r="O182" s="4"/>
      <c r="P182" s="4"/>
      <c r="Q182" s="4"/>
      <c r="R182" s="16"/>
      <c r="S182" s="16"/>
      <c r="T182" s="16"/>
      <c r="U182" s="16"/>
      <c r="V182" s="16"/>
      <c r="W182" s="16"/>
      <c r="X182" s="16"/>
      <c r="Y182" s="16"/>
      <c r="Z182" s="16"/>
      <c r="AA182" s="16"/>
      <c r="AB182" s="16"/>
      <c r="AC182" s="16"/>
      <c r="AD182" s="16"/>
    </row>
    <row r="183" ht="13.5" customHeight="1" spans="1:30" x14ac:dyDescent="0.25">
      <c r="A183" s="4"/>
      <c r="B183" s="4"/>
      <c r="C183" s="4"/>
      <c r="D183" s="4"/>
      <c r="E183" s="4"/>
      <c r="F183" s="4"/>
      <c r="G183" s="4"/>
      <c r="H183" s="4"/>
      <c r="I183" s="4"/>
      <c r="J183" s="4"/>
      <c r="K183" s="4"/>
      <c r="L183" s="4"/>
      <c r="M183" s="4"/>
      <c r="N183" s="4"/>
      <c r="O183" s="4"/>
      <c r="P183" s="4"/>
      <c r="Q183" s="4"/>
      <c r="R183" s="16"/>
      <c r="S183" s="16"/>
      <c r="T183" s="16"/>
      <c r="U183" s="16"/>
      <c r="V183" s="16"/>
      <c r="W183" s="16"/>
      <c r="X183" s="16"/>
      <c r="Y183" s="16"/>
      <c r="Z183" s="16"/>
      <c r="AA183" s="16"/>
      <c r="AB183" s="16"/>
      <c r="AC183" s="16"/>
      <c r="AD183" s="16"/>
    </row>
    <row r="184" ht="13.5" customHeight="1" spans="1:30" x14ac:dyDescent="0.25">
      <c r="A184" s="4"/>
      <c r="B184" s="4"/>
      <c r="C184" s="4"/>
      <c r="D184" s="4"/>
      <c r="E184" s="4"/>
      <c r="F184" s="4"/>
      <c r="G184" s="4"/>
      <c r="H184" s="4"/>
      <c r="I184" s="4"/>
      <c r="J184" s="4"/>
      <c r="K184" s="4"/>
      <c r="L184" s="4"/>
      <c r="M184" s="4"/>
      <c r="N184" s="4"/>
      <c r="O184" s="4"/>
      <c r="P184" s="4"/>
      <c r="Q184" s="4"/>
      <c r="R184" s="16"/>
      <c r="S184" s="16"/>
      <c r="T184" s="16"/>
      <c r="U184" s="16"/>
      <c r="V184" s="16"/>
      <c r="W184" s="16"/>
      <c r="X184" s="16"/>
      <c r="Y184" s="16"/>
      <c r="Z184" s="16"/>
      <c r="AA184" s="16"/>
      <c r="AB184" s="16"/>
      <c r="AC184" s="16"/>
      <c r="AD184" s="16"/>
    </row>
    <row r="185" ht="13.5" customHeight="1" spans="1:30" x14ac:dyDescent="0.25">
      <c r="A185" s="4"/>
      <c r="B185" s="4"/>
      <c r="C185" s="4"/>
      <c r="D185" s="4"/>
      <c r="E185" s="4"/>
      <c r="F185" s="4"/>
      <c r="G185" s="4"/>
      <c r="H185" s="4"/>
      <c r="I185" s="4"/>
      <c r="J185" s="4"/>
      <c r="K185" s="4"/>
      <c r="L185" s="4"/>
      <c r="M185" s="4"/>
      <c r="N185" s="4"/>
      <c r="O185" s="4"/>
      <c r="P185" s="4"/>
      <c r="Q185" s="4"/>
      <c r="R185" s="16"/>
      <c r="S185" s="16"/>
      <c r="T185" s="16"/>
      <c r="U185" s="16"/>
      <c r="V185" s="16"/>
      <c r="W185" s="16"/>
      <c r="X185" s="16"/>
      <c r="Y185" s="16"/>
      <c r="Z185" s="16"/>
      <c r="AA185" s="16"/>
      <c r="AB185" s="16"/>
      <c r="AC185" s="16"/>
      <c r="AD185" s="16"/>
    </row>
    <row r="186" ht="13.5" customHeight="1" spans="1:30" x14ac:dyDescent="0.25">
      <c r="A186" s="4"/>
      <c r="B186" s="4"/>
      <c r="C186" s="4"/>
      <c r="D186" s="4"/>
      <c r="E186" s="4"/>
      <c r="F186" s="4"/>
      <c r="G186" s="4"/>
      <c r="H186" s="4"/>
      <c r="I186" s="4"/>
      <c r="J186" s="4"/>
      <c r="K186" s="4"/>
      <c r="L186" s="4"/>
      <c r="M186" s="4"/>
      <c r="N186" s="4"/>
      <c r="O186" s="4"/>
      <c r="P186" s="4"/>
      <c r="Q186" s="4"/>
      <c r="R186" s="16"/>
      <c r="S186" s="16"/>
      <c r="T186" s="16"/>
      <c r="U186" s="16"/>
      <c r="V186" s="16"/>
      <c r="W186" s="16"/>
      <c r="X186" s="16"/>
      <c r="Y186" s="16"/>
      <c r="Z186" s="16"/>
      <c r="AA186" s="16"/>
      <c r="AB186" s="16"/>
      <c r="AC186" s="16"/>
      <c r="AD186" s="16"/>
    </row>
    <row r="187" ht="13.5" customHeight="1" spans="1:30" x14ac:dyDescent="0.25">
      <c r="A187" s="4"/>
      <c r="B187" s="4"/>
      <c r="C187" s="4"/>
      <c r="D187" s="4"/>
      <c r="E187" s="4"/>
      <c r="F187" s="4"/>
      <c r="G187" s="4"/>
      <c r="H187" s="4"/>
      <c r="I187" s="4"/>
      <c r="J187" s="4"/>
      <c r="K187" s="4"/>
      <c r="L187" s="4"/>
      <c r="M187" s="4"/>
      <c r="N187" s="4"/>
      <c r="O187" s="4"/>
      <c r="P187" s="4"/>
      <c r="Q187" s="4"/>
      <c r="R187" s="16"/>
      <c r="S187" s="16"/>
      <c r="T187" s="16"/>
      <c r="U187" s="16"/>
      <c r="V187" s="16"/>
      <c r="W187" s="16"/>
      <c r="X187" s="16"/>
      <c r="Y187" s="16"/>
      <c r="Z187" s="16"/>
      <c r="AA187" s="16"/>
      <c r="AB187" s="16"/>
      <c r="AC187" s="16"/>
      <c r="AD187" s="16"/>
    </row>
    <row r="188" ht="13.5" customHeight="1" spans="1:30" x14ac:dyDescent="0.25">
      <c r="A188" s="4"/>
      <c r="B188" s="4"/>
      <c r="C188" s="4"/>
      <c r="D188" s="4"/>
      <c r="E188" s="4"/>
      <c r="F188" s="4"/>
      <c r="G188" s="4"/>
      <c r="H188" s="4"/>
      <c r="I188" s="4"/>
      <c r="J188" s="4"/>
      <c r="K188" s="4"/>
      <c r="L188" s="4"/>
      <c r="M188" s="4"/>
      <c r="N188" s="4"/>
      <c r="O188" s="4"/>
      <c r="P188" s="4"/>
      <c r="Q188" s="4"/>
      <c r="R188" s="16"/>
      <c r="S188" s="16"/>
      <c r="T188" s="16"/>
      <c r="U188" s="16"/>
      <c r="V188" s="16"/>
      <c r="W188" s="16"/>
      <c r="X188" s="16"/>
      <c r="Y188" s="16"/>
      <c r="Z188" s="16"/>
      <c r="AA188" s="16"/>
      <c r="AB188" s="16"/>
      <c r="AC188" s="16"/>
      <c r="AD188" s="16"/>
    </row>
    <row r="189" ht="13.5" customHeight="1" spans="1:30" x14ac:dyDescent="0.25">
      <c r="A189" s="4"/>
      <c r="B189" s="4"/>
      <c r="C189" s="4"/>
      <c r="D189" s="4"/>
      <c r="E189" s="4"/>
      <c r="F189" s="4"/>
      <c r="G189" s="4"/>
      <c r="H189" s="4"/>
      <c r="I189" s="4"/>
      <c r="J189" s="4"/>
      <c r="K189" s="4"/>
      <c r="L189" s="4"/>
      <c r="M189" s="4"/>
      <c r="N189" s="4"/>
      <c r="O189" s="4"/>
      <c r="P189" s="4"/>
      <c r="Q189" s="4"/>
      <c r="R189" s="16"/>
      <c r="S189" s="16"/>
      <c r="T189" s="16"/>
      <c r="U189" s="16"/>
      <c r="V189" s="16"/>
      <c r="W189" s="16"/>
      <c r="X189" s="16"/>
      <c r="Y189" s="16"/>
      <c r="Z189" s="16"/>
      <c r="AA189" s="16"/>
      <c r="AB189" s="16"/>
      <c r="AC189" s="16"/>
      <c r="AD189" s="16"/>
    </row>
    <row r="190" ht="13.5" customHeight="1" spans="1:30" x14ac:dyDescent="0.25">
      <c r="A190" s="4"/>
      <c r="B190" s="4"/>
      <c r="C190" s="4"/>
      <c r="D190" s="4"/>
      <c r="E190" s="4"/>
      <c r="F190" s="4"/>
      <c r="G190" s="4"/>
      <c r="H190" s="4"/>
      <c r="I190" s="4"/>
      <c r="J190" s="4"/>
      <c r="K190" s="4"/>
      <c r="L190" s="4"/>
      <c r="M190" s="4"/>
      <c r="N190" s="4"/>
      <c r="O190" s="4"/>
      <c r="P190" s="4"/>
      <c r="Q190" s="4"/>
      <c r="R190" s="16"/>
      <c r="S190" s="16"/>
      <c r="T190" s="16"/>
      <c r="U190" s="16"/>
      <c r="V190" s="16"/>
      <c r="W190" s="16"/>
      <c r="X190" s="16"/>
      <c r="Y190" s="16"/>
      <c r="Z190" s="16"/>
      <c r="AA190" s="16"/>
      <c r="AB190" s="16"/>
      <c r="AC190" s="16"/>
      <c r="AD190" s="16"/>
    </row>
    <row r="191" ht="13.5" customHeight="1" spans="1:30" x14ac:dyDescent="0.25">
      <c r="A191" s="4"/>
      <c r="B191" s="4"/>
      <c r="C191" s="4"/>
      <c r="D191" s="4"/>
      <c r="E191" s="4"/>
      <c r="F191" s="4"/>
      <c r="G191" s="4"/>
      <c r="H191" s="4"/>
      <c r="I191" s="4"/>
      <c r="J191" s="4"/>
      <c r="K191" s="4"/>
      <c r="L191" s="4"/>
      <c r="M191" s="4"/>
      <c r="N191" s="4"/>
      <c r="O191" s="4"/>
      <c r="P191" s="4"/>
      <c r="Q191" s="4"/>
      <c r="R191" s="16"/>
      <c r="S191" s="16"/>
      <c r="T191" s="16"/>
      <c r="U191" s="16"/>
      <c r="V191" s="16"/>
      <c r="W191" s="16"/>
      <c r="X191" s="16"/>
      <c r="Y191" s="16"/>
      <c r="Z191" s="16"/>
      <c r="AA191" s="16"/>
      <c r="AB191" s="16"/>
      <c r="AC191" s="16"/>
      <c r="AD191" s="16"/>
    </row>
    <row r="192" ht="13.5" customHeight="1" spans="1:30" x14ac:dyDescent="0.25">
      <c r="A192" s="4"/>
      <c r="B192" s="4"/>
      <c r="C192" s="4"/>
      <c r="D192" s="4"/>
      <c r="E192" s="4"/>
      <c r="F192" s="4"/>
      <c r="G192" s="4"/>
      <c r="H192" s="4"/>
      <c r="I192" s="4"/>
      <c r="J192" s="4"/>
      <c r="K192" s="4"/>
      <c r="L192" s="4"/>
      <c r="M192" s="4"/>
      <c r="N192" s="4"/>
      <c r="O192" s="4"/>
      <c r="P192" s="4"/>
      <c r="Q192" s="4"/>
      <c r="R192" s="16"/>
      <c r="S192" s="16"/>
      <c r="T192" s="16"/>
      <c r="U192" s="16"/>
      <c r="V192" s="16"/>
      <c r="W192" s="16"/>
      <c r="X192" s="16"/>
      <c r="Y192" s="16"/>
      <c r="Z192" s="16"/>
      <c r="AA192" s="16"/>
      <c r="AB192" s="16"/>
      <c r="AC192" s="16"/>
      <c r="AD192" s="16"/>
    </row>
    <row r="193" ht="13.5" customHeight="1" spans="1:30" x14ac:dyDescent="0.25">
      <c r="A193" s="4"/>
      <c r="B193" s="4"/>
      <c r="C193" s="4"/>
      <c r="D193" s="4"/>
      <c r="E193" s="4"/>
      <c r="F193" s="4"/>
      <c r="G193" s="4"/>
      <c r="H193" s="4"/>
      <c r="I193" s="4"/>
      <c r="J193" s="4"/>
      <c r="K193" s="4"/>
      <c r="L193" s="4"/>
      <c r="M193" s="4"/>
      <c r="N193" s="4"/>
      <c r="O193" s="4"/>
      <c r="P193" s="4"/>
      <c r="Q193" s="4"/>
      <c r="R193" s="16"/>
      <c r="S193" s="16"/>
      <c r="T193" s="16"/>
      <c r="U193" s="16"/>
      <c r="V193" s="16"/>
      <c r="W193" s="16"/>
      <c r="X193" s="16"/>
      <c r="Y193" s="16"/>
      <c r="Z193" s="16"/>
      <c r="AA193" s="16"/>
      <c r="AB193" s="16"/>
      <c r="AC193" s="16"/>
      <c r="AD193" s="16"/>
    </row>
    <row r="194" ht="13.5" customHeight="1" spans="1:30" x14ac:dyDescent="0.25">
      <c r="A194" s="4"/>
      <c r="B194" s="4"/>
      <c r="C194" s="4"/>
      <c r="D194" s="4"/>
      <c r="E194" s="4"/>
      <c r="F194" s="4"/>
      <c r="G194" s="4"/>
      <c r="H194" s="4"/>
      <c r="I194" s="4"/>
      <c r="J194" s="4"/>
      <c r="K194" s="4"/>
      <c r="L194" s="4"/>
      <c r="M194" s="4"/>
      <c r="N194" s="4"/>
      <c r="O194" s="4"/>
      <c r="P194" s="4"/>
      <c r="Q194" s="4"/>
      <c r="R194" s="16"/>
      <c r="S194" s="16"/>
      <c r="T194" s="16"/>
      <c r="U194" s="16"/>
      <c r="V194" s="16"/>
      <c r="W194" s="16"/>
      <c r="X194" s="16"/>
      <c r="Y194" s="16"/>
      <c r="Z194" s="16"/>
      <c r="AA194" s="16"/>
      <c r="AB194" s="16"/>
      <c r="AC194" s="16"/>
      <c r="AD194" s="16"/>
    </row>
    <row r="195" ht="13.5" customHeight="1" spans="1:30" x14ac:dyDescent="0.25">
      <c r="A195" s="4"/>
      <c r="B195" s="4"/>
      <c r="C195" s="4"/>
      <c r="D195" s="4"/>
      <c r="E195" s="4"/>
      <c r="F195" s="4"/>
      <c r="G195" s="4"/>
      <c r="H195" s="4"/>
      <c r="I195" s="4"/>
      <c r="J195" s="4"/>
      <c r="K195" s="4"/>
      <c r="L195" s="4"/>
      <c r="M195" s="4"/>
      <c r="N195" s="4"/>
      <c r="O195" s="4"/>
      <c r="P195" s="4"/>
      <c r="Q195" s="4"/>
      <c r="R195" s="16"/>
      <c r="S195" s="16"/>
      <c r="T195" s="16"/>
      <c r="U195" s="16"/>
      <c r="V195" s="16"/>
      <c r="W195" s="16"/>
      <c r="X195" s="16"/>
      <c r="Y195" s="16"/>
      <c r="Z195" s="16"/>
      <c r="AA195" s="16"/>
      <c r="AB195" s="16"/>
      <c r="AC195" s="16"/>
      <c r="AD195" s="16"/>
    </row>
    <row r="196" ht="13.5" customHeight="1" spans="1:30" x14ac:dyDescent="0.25">
      <c r="A196" s="4"/>
      <c r="B196" s="4"/>
      <c r="C196" s="4"/>
      <c r="D196" s="4"/>
      <c r="E196" s="4"/>
      <c r="F196" s="4"/>
      <c r="G196" s="4"/>
      <c r="H196" s="4"/>
      <c r="I196" s="4"/>
      <c r="J196" s="4"/>
      <c r="K196" s="4"/>
      <c r="L196" s="4"/>
      <c r="M196" s="4"/>
      <c r="N196" s="4"/>
      <c r="O196" s="4"/>
      <c r="P196" s="4"/>
      <c r="Q196" s="4"/>
      <c r="R196" s="16"/>
      <c r="S196" s="16"/>
      <c r="T196" s="16"/>
      <c r="U196" s="16"/>
      <c r="V196" s="16"/>
      <c r="W196" s="16"/>
      <c r="X196" s="16"/>
      <c r="Y196" s="16"/>
      <c r="Z196" s="16"/>
      <c r="AA196" s="16"/>
      <c r="AB196" s="16"/>
      <c r="AC196" s="16"/>
      <c r="AD196" s="16"/>
    </row>
    <row r="197" ht="13.5" customHeight="1" spans="1:30" x14ac:dyDescent="0.25">
      <c r="A197" s="4"/>
      <c r="B197" s="4"/>
      <c r="C197" s="4"/>
      <c r="D197" s="4"/>
      <c r="E197" s="4"/>
      <c r="F197" s="4"/>
      <c r="G197" s="4"/>
      <c r="H197" s="4"/>
      <c r="I197" s="4"/>
      <c r="J197" s="4"/>
      <c r="K197" s="4"/>
      <c r="L197" s="4"/>
      <c r="M197" s="4"/>
      <c r="N197" s="4"/>
      <c r="O197" s="4"/>
      <c r="P197" s="4"/>
      <c r="Q197" s="4"/>
      <c r="R197" s="16"/>
      <c r="S197" s="16"/>
      <c r="T197" s="16"/>
      <c r="U197" s="16"/>
      <c r="V197" s="16"/>
      <c r="W197" s="16"/>
      <c r="X197" s="16"/>
      <c r="Y197" s="16"/>
      <c r="Z197" s="16"/>
      <c r="AA197" s="16"/>
      <c r="AB197" s="16"/>
      <c r="AC197" s="16"/>
      <c r="AD197" s="16"/>
    </row>
    <row r="198" ht="13.5" customHeight="1" spans="1:30" x14ac:dyDescent="0.25">
      <c r="A198" s="4"/>
      <c r="B198" s="4"/>
      <c r="C198" s="4"/>
      <c r="D198" s="4"/>
      <c r="E198" s="4"/>
      <c r="F198" s="4"/>
      <c r="G198" s="4"/>
      <c r="H198" s="4"/>
      <c r="I198" s="4"/>
      <c r="J198" s="4"/>
      <c r="K198" s="4"/>
      <c r="L198" s="4"/>
      <c r="M198" s="4"/>
      <c r="N198" s="4"/>
      <c r="O198" s="4"/>
      <c r="P198" s="4"/>
      <c r="Q198" s="4"/>
      <c r="R198" s="16"/>
      <c r="S198" s="16"/>
      <c r="T198" s="16"/>
      <c r="U198" s="16"/>
      <c r="V198" s="16"/>
      <c r="W198" s="16"/>
      <c r="X198" s="16"/>
      <c r="Y198" s="16"/>
      <c r="Z198" s="16"/>
      <c r="AA198" s="16"/>
      <c r="AB198" s="16"/>
      <c r="AC198" s="16"/>
      <c r="AD198" s="16"/>
    </row>
    <row r="199" ht="13.5" customHeight="1" spans="1:30" x14ac:dyDescent="0.25">
      <c r="A199" s="4"/>
      <c r="B199" s="4"/>
      <c r="C199" s="4"/>
      <c r="D199" s="4"/>
      <c r="E199" s="4"/>
      <c r="F199" s="4"/>
      <c r="G199" s="4"/>
      <c r="H199" s="4"/>
      <c r="I199" s="4"/>
      <c r="J199" s="4"/>
      <c r="K199" s="4"/>
      <c r="L199" s="4"/>
      <c r="M199" s="4"/>
      <c r="N199" s="4"/>
      <c r="O199" s="4"/>
      <c r="P199" s="4"/>
      <c r="Q199" s="4"/>
      <c r="R199" s="16"/>
      <c r="S199" s="16"/>
      <c r="T199" s="16"/>
      <c r="U199" s="16"/>
      <c r="V199" s="16"/>
      <c r="W199" s="16"/>
      <c r="X199" s="16"/>
      <c r="Y199" s="16"/>
      <c r="Z199" s="16"/>
      <c r="AA199" s="16"/>
      <c r="AB199" s="16"/>
      <c r="AC199" s="16"/>
      <c r="AD199" s="16"/>
    </row>
    <row r="200" ht="13.5" customHeight="1" spans="1:30" x14ac:dyDescent="0.25">
      <c r="A200" s="4"/>
      <c r="B200" s="4"/>
      <c r="C200" s="4"/>
      <c r="D200" s="4"/>
      <c r="E200" s="4"/>
      <c r="F200" s="4"/>
      <c r="G200" s="4"/>
      <c r="H200" s="4"/>
      <c r="I200" s="4"/>
      <c r="J200" s="4"/>
      <c r="K200" s="4"/>
      <c r="L200" s="4"/>
      <c r="M200" s="4"/>
      <c r="N200" s="4"/>
      <c r="O200" s="4"/>
      <c r="P200" s="4"/>
      <c r="Q200" s="4"/>
      <c r="R200" s="16"/>
      <c r="S200" s="16"/>
      <c r="T200" s="16"/>
      <c r="U200" s="16"/>
      <c r="V200" s="16"/>
      <c r="W200" s="16"/>
      <c r="X200" s="16"/>
      <c r="Y200" s="16"/>
      <c r="Z200" s="16"/>
      <c r="AA200" s="16"/>
      <c r="AB200" s="16"/>
      <c r="AC200" s="16"/>
      <c r="AD200" s="16"/>
    </row>
    <row r="201" ht="13.5" customHeight="1" spans="1:30" x14ac:dyDescent="0.25">
      <c r="A201" s="4"/>
      <c r="B201" s="4"/>
      <c r="C201" s="4"/>
      <c r="D201" s="4"/>
      <c r="E201" s="4"/>
      <c r="F201" s="4"/>
      <c r="G201" s="4"/>
      <c r="H201" s="4"/>
      <c r="I201" s="4"/>
      <c r="J201" s="4"/>
      <c r="K201" s="4"/>
      <c r="L201" s="4"/>
      <c r="M201" s="4"/>
      <c r="N201" s="4"/>
      <c r="O201" s="4"/>
      <c r="P201" s="4"/>
      <c r="Q201" s="4"/>
      <c r="R201" s="16"/>
      <c r="S201" s="16"/>
      <c r="T201" s="16"/>
      <c r="U201" s="16"/>
      <c r="V201" s="16"/>
      <c r="W201" s="16"/>
      <c r="X201" s="16"/>
      <c r="Y201" s="16"/>
      <c r="Z201" s="16"/>
      <c r="AA201" s="16"/>
      <c r="AB201" s="16"/>
      <c r="AC201" s="16"/>
      <c r="AD201" s="16"/>
    </row>
    <row r="202" ht="13.5" customHeight="1" spans="1:30" x14ac:dyDescent="0.25">
      <c r="A202" s="4"/>
      <c r="B202" s="4"/>
      <c r="C202" s="4"/>
      <c r="D202" s="4"/>
      <c r="E202" s="4"/>
      <c r="F202" s="4"/>
      <c r="G202" s="4"/>
      <c r="H202" s="4"/>
      <c r="I202" s="4"/>
      <c r="J202" s="4"/>
      <c r="K202" s="4"/>
      <c r="L202" s="4"/>
      <c r="M202" s="4"/>
      <c r="N202" s="4"/>
      <c r="O202" s="4"/>
      <c r="P202" s="4"/>
      <c r="Q202" s="4"/>
      <c r="R202" s="16"/>
      <c r="S202" s="16"/>
      <c r="T202" s="16"/>
      <c r="U202" s="16"/>
      <c r="V202" s="16"/>
      <c r="W202" s="16"/>
      <c r="X202" s="16"/>
      <c r="Y202" s="16"/>
      <c r="Z202" s="16"/>
      <c r="AA202" s="16"/>
      <c r="AB202" s="16"/>
      <c r="AC202" s="16"/>
      <c r="AD202" s="16"/>
    </row>
    <row r="203" ht="13.5" customHeight="1" spans="1:30" x14ac:dyDescent="0.25">
      <c r="A203" s="4"/>
      <c r="B203" s="4"/>
      <c r="C203" s="4"/>
      <c r="D203" s="4"/>
      <c r="E203" s="4"/>
      <c r="F203" s="4"/>
      <c r="G203" s="4"/>
      <c r="H203" s="4"/>
      <c r="I203" s="4"/>
      <c r="J203" s="4"/>
      <c r="K203" s="4"/>
      <c r="L203" s="4"/>
      <c r="M203" s="4"/>
      <c r="N203" s="4"/>
      <c r="O203" s="4"/>
      <c r="P203" s="4"/>
      <c r="Q203" s="4"/>
      <c r="R203" s="16"/>
      <c r="S203" s="16"/>
      <c r="T203" s="16"/>
      <c r="U203" s="16"/>
      <c r="V203" s="16"/>
      <c r="W203" s="16"/>
      <c r="X203" s="16"/>
      <c r="Y203" s="16"/>
      <c r="Z203" s="16"/>
      <c r="AA203" s="16"/>
      <c r="AB203" s="16"/>
      <c r="AC203" s="16"/>
      <c r="AD203" s="16"/>
    </row>
    <row r="204" ht="13.5" customHeight="1" spans="1:30" x14ac:dyDescent="0.25">
      <c r="A204" s="4"/>
      <c r="B204" s="4"/>
      <c r="C204" s="4"/>
      <c r="D204" s="4"/>
      <c r="E204" s="4"/>
      <c r="F204" s="4"/>
      <c r="G204" s="4"/>
      <c r="H204" s="4"/>
      <c r="I204" s="4"/>
      <c r="J204" s="4"/>
      <c r="K204" s="4"/>
      <c r="L204" s="4"/>
      <c r="M204" s="4"/>
      <c r="N204" s="4"/>
      <c r="O204" s="4"/>
      <c r="P204" s="4"/>
      <c r="Q204" s="4"/>
      <c r="R204" s="16"/>
      <c r="S204" s="16"/>
      <c r="T204" s="16"/>
      <c r="U204" s="16"/>
      <c r="V204" s="16"/>
      <c r="W204" s="16"/>
      <c r="X204" s="16"/>
      <c r="Y204" s="16"/>
      <c r="Z204" s="16"/>
      <c r="AA204" s="16"/>
      <c r="AB204" s="16"/>
      <c r="AC204" s="16"/>
      <c r="AD204" s="16"/>
    </row>
    <row r="205" ht="13.5" customHeight="1" spans="1:30" x14ac:dyDescent="0.25">
      <c r="A205" s="4"/>
      <c r="B205" s="4"/>
      <c r="C205" s="4"/>
      <c r="D205" s="4"/>
      <c r="E205" s="4"/>
      <c r="F205" s="4"/>
      <c r="G205" s="4"/>
      <c r="H205" s="4"/>
      <c r="I205" s="4"/>
      <c r="J205" s="4"/>
      <c r="K205" s="4"/>
      <c r="L205" s="4"/>
      <c r="M205" s="4"/>
      <c r="N205" s="4"/>
      <c r="O205" s="4"/>
      <c r="P205" s="4"/>
      <c r="Q205" s="4"/>
      <c r="R205" s="16"/>
      <c r="S205" s="16"/>
      <c r="T205" s="16"/>
      <c r="U205" s="16"/>
      <c r="V205" s="16"/>
      <c r="W205" s="16"/>
      <c r="X205" s="16"/>
      <c r="Y205" s="16"/>
      <c r="Z205" s="16"/>
      <c r="AA205" s="16"/>
      <c r="AB205" s="16"/>
      <c r="AC205" s="16"/>
      <c r="AD205" s="16"/>
    </row>
    <row r="206" ht="13.5" customHeight="1" spans="1:30" x14ac:dyDescent="0.25">
      <c r="A206" s="4"/>
      <c r="B206" s="4"/>
      <c r="C206" s="4"/>
      <c r="D206" s="4"/>
      <c r="E206" s="4"/>
      <c r="F206" s="4"/>
      <c r="G206" s="4"/>
      <c r="H206" s="4"/>
      <c r="I206" s="4"/>
      <c r="J206" s="4"/>
      <c r="K206" s="4"/>
      <c r="L206" s="4"/>
      <c r="M206" s="4"/>
      <c r="N206" s="4"/>
      <c r="O206" s="4"/>
      <c r="P206" s="4"/>
      <c r="Q206" s="4"/>
      <c r="R206" s="16"/>
      <c r="S206" s="16"/>
      <c r="T206" s="16"/>
      <c r="U206" s="16"/>
      <c r="V206" s="16"/>
      <c r="W206" s="16"/>
      <c r="X206" s="16"/>
      <c r="Y206" s="16"/>
      <c r="Z206" s="16"/>
      <c r="AA206" s="16"/>
      <c r="AB206" s="16"/>
      <c r="AC206" s="16"/>
      <c r="AD206" s="16"/>
    </row>
    <row r="207" ht="13.5" customHeight="1" spans="1:30" x14ac:dyDescent="0.25">
      <c r="A207" s="4"/>
      <c r="B207" s="4"/>
      <c r="C207" s="4"/>
      <c r="D207" s="4"/>
      <c r="E207" s="4"/>
      <c r="F207" s="4"/>
      <c r="G207" s="4"/>
      <c r="H207" s="4"/>
      <c r="I207" s="4"/>
      <c r="J207" s="4"/>
      <c r="K207" s="4"/>
      <c r="L207" s="4"/>
      <c r="M207" s="4"/>
      <c r="N207" s="4"/>
      <c r="O207" s="4"/>
      <c r="P207" s="4"/>
      <c r="Q207" s="4"/>
      <c r="R207" s="16"/>
      <c r="S207" s="16"/>
      <c r="T207" s="16"/>
      <c r="U207" s="16"/>
      <c r="V207" s="16"/>
      <c r="W207" s="16"/>
      <c r="X207" s="16"/>
      <c r="Y207" s="16"/>
      <c r="Z207" s="16"/>
      <c r="AA207" s="16"/>
      <c r="AB207" s="16"/>
      <c r="AC207" s="16"/>
      <c r="AD207" s="16"/>
    </row>
    <row r="208" ht="13.5" customHeight="1" spans="1:30" x14ac:dyDescent="0.25">
      <c r="A208" s="4"/>
      <c r="B208" s="4"/>
      <c r="C208" s="4"/>
      <c r="D208" s="4"/>
      <c r="E208" s="4"/>
      <c r="F208" s="4"/>
      <c r="G208" s="4"/>
      <c r="H208" s="4"/>
      <c r="I208" s="4"/>
      <c r="J208" s="4"/>
      <c r="K208" s="4"/>
      <c r="L208" s="4"/>
      <c r="M208" s="4"/>
      <c r="N208" s="4"/>
      <c r="O208" s="4"/>
      <c r="P208" s="4"/>
      <c r="Q208" s="4"/>
      <c r="R208" s="16"/>
      <c r="S208" s="16"/>
      <c r="T208" s="16"/>
      <c r="U208" s="16"/>
      <c r="V208" s="16"/>
      <c r="W208" s="16"/>
      <c r="X208" s="16"/>
      <c r="Y208" s="16"/>
      <c r="Z208" s="16"/>
      <c r="AA208" s="16"/>
      <c r="AB208" s="16"/>
      <c r="AC208" s="16"/>
      <c r="AD208" s="16"/>
    </row>
    <row r="209" ht="13.5" customHeight="1" spans="1:30" x14ac:dyDescent="0.25">
      <c r="A209" s="4"/>
      <c r="B209" s="4"/>
      <c r="C209" s="4"/>
      <c r="D209" s="4"/>
      <c r="E209" s="4"/>
      <c r="F209" s="4"/>
      <c r="G209" s="4"/>
      <c r="H209" s="4"/>
      <c r="I209" s="4"/>
      <c r="J209" s="4"/>
      <c r="K209" s="4"/>
      <c r="L209" s="4"/>
      <c r="M209" s="4"/>
      <c r="N209" s="4"/>
      <c r="O209" s="4"/>
      <c r="P209" s="4"/>
      <c r="Q209" s="4"/>
      <c r="R209" s="16"/>
      <c r="S209" s="16"/>
      <c r="T209" s="16"/>
      <c r="U209" s="16"/>
      <c r="V209" s="16"/>
      <c r="W209" s="16"/>
      <c r="X209" s="16"/>
      <c r="Y209" s="16"/>
      <c r="Z209" s="16"/>
      <c r="AA209" s="16"/>
      <c r="AB209" s="16"/>
      <c r="AC209" s="16"/>
      <c r="AD209" s="16"/>
    </row>
    <row r="210" ht="13.5" customHeight="1" spans="1:30" x14ac:dyDescent="0.25">
      <c r="A210" s="4"/>
      <c r="B210" s="4"/>
      <c r="C210" s="4"/>
      <c r="D210" s="4"/>
      <c r="E210" s="4"/>
      <c r="F210" s="4"/>
      <c r="G210" s="4"/>
      <c r="H210" s="4"/>
      <c r="I210" s="4"/>
      <c r="J210" s="4"/>
      <c r="K210" s="4"/>
      <c r="L210" s="4"/>
      <c r="M210" s="4"/>
      <c r="N210" s="4"/>
      <c r="O210" s="4"/>
      <c r="P210" s="4"/>
      <c r="Q210" s="4"/>
      <c r="R210" s="16"/>
      <c r="S210" s="16"/>
      <c r="T210" s="16"/>
      <c r="U210" s="16"/>
      <c r="V210" s="16"/>
      <c r="W210" s="16"/>
      <c r="X210" s="16"/>
      <c r="Y210" s="16"/>
      <c r="Z210" s="16"/>
      <c r="AA210" s="16"/>
      <c r="AB210" s="16"/>
      <c r="AC210" s="16"/>
      <c r="AD210" s="16"/>
    </row>
    <row r="211" ht="13.5" customHeight="1" spans="1:30" x14ac:dyDescent="0.25">
      <c r="A211" s="4"/>
      <c r="B211" s="4"/>
      <c r="C211" s="4"/>
      <c r="D211" s="4"/>
      <c r="E211" s="4"/>
      <c r="F211" s="4"/>
      <c r="G211" s="4"/>
      <c r="H211" s="4"/>
      <c r="I211" s="4"/>
      <c r="J211" s="4"/>
      <c r="K211" s="4"/>
      <c r="L211" s="4"/>
      <c r="M211" s="4"/>
      <c r="N211" s="4"/>
      <c r="O211" s="4"/>
      <c r="P211" s="4"/>
      <c r="Q211" s="4"/>
      <c r="R211" s="16"/>
      <c r="S211" s="16"/>
      <c r="T211" s="16"/>
      <c r="U211" s="16"/>
      <c r="V211" s="16"/>
      <c r="W211" s="16"/>
      <c r="X211" s="16"/>
      <c r="Y211" s="16"/>
      <c r="Z211" s="16"/>
      <c r="AA211" s="16"/>
      <c r="AB211" s="16"/>
      <c r="AC211" s="16"/>
      <c r="AD211" s="16"/>
    </row>
    <row r="212" ht="13.5" customHeight="1" spans="1:30" x14ac:dyDescent="0.25">
      <c r="A212" s="4"/>
      <c r="B212" s="4"/>
      <c r="C212" s="4"/>
      <c r="D212" s="4"/>
      <c r="E212" s="4"/>
      <c r="F212" s="4"/>
      <c r="G212" s="4"/>
      <c r="H212" s="4"/>
      <c r="I212" s="4"/>
      <c r="J212" s="4"/>
      <c r="K212" s="4"/>
      <c r="L212" s="4"/>
      <c r="M212" s="4"/>
      <c r="N212" s="4"/>
      <c r="O212" s="4"/>
      <c r="P212" s="4"/>
      <c r="Q212" s="4"/>
      <c r="R212" s="16"/>
      <c r="S212" s="16"/>
      <c r="T212" s="16"/>
      <c r="U212" s="16"/>
      <c r="V212" s="16"/>
      <c r="W212" s="16"/>
      <c r="X212" s="16"/>
      <c r="Y212" s="16"/>
      <c r="Z212" s="16"/>
      <c r="AA212" s="16"/>
      <c r="AB212" s="16"/>
      <c r="AC212" s="16"/>
      <c r="AD212" s="16"/>
    </row>
    <row r="213" ht="13.5" customHeight="1" spans="1:30" x14ac:dyDescent="0.25">
      <c r="A213" s="4"/>
      <c r="B213" s="4"/>
      <c r="C213" s="4"/>
      <c r="D213" s="4"/>
      <c r="E213" s="4"/>
      <c r="F213" s="4"/>
      <c r="G213" s="4"/>
      <c r="H213" s="4"/>
      <c r="I213" s="4"/>
      <c r="J213" s="4"/>
      <c r="K213" s="4"/>
      <c r="L213" s="4"/>
      <c r="M213" s="4"/>
      <c r="N213" s="4"/>
      <c r="O213" s="4"/>
      <c r="P213" s="4"/>
      <c r="Q213" s="4"/>
      <c r="R213" s="16"/>
      <c r="S213" s="16"/>
      <c r="T213" s="16"/>
      <c r="U213" s="16"/>
      <c r="V213" s="16"/>
      <c r="W213" s="16"/>
      <c r="X213" s="16"/>
      <c r="Y213" s="16"/>
      <c r="Z213" s="16"/>
      <c r="AA213" s="16"/>
      <c r="AB213" s="16"/>
      <c r="AC213" s="16"/>
      <c r="AD213" s="16"/>
    </row>
    <row r="214" ht="13.5" customHeight="1" spans="1:30" x14ac:dyDescent="0.25">
      <c r="A214" s="4"/>
      <c r="B214" s="4"/>
      <c r="C214" s="4"/>
      <c r="D214" s="4"/>
      <c r="E214" s="4"/>
      <c r="F214" s="4"/>
      <c r="G214" s="4"/>
      <c r="H214" s="4"/>
      <c r="I214" s="4"/>
      <c r="J214" s="4"/>
      <c r="K214" s="4"/>
      <c r="L214" s="4"/>
      <c r="M214" s="4"/>
      <c r="N214" s="4"/>
      <c r="O214" s="4"/>
      <c r="P214" s="4"/>
      <c r="Q214" s="4"/>
      <c r="R214" s="16"/>
      <c r="S214" s="16"/>
      <c r="T214" s="16"/>
      <c r="U214" s="16"/>
      <c r="V214" s="16"/>
      <c r="W214" s="16"/>
      <c r="X214" s="16"/>
      <c r="Y214" s="16"/>
      <c r="Z214" s="16"/>
      <c r="AA214" s="16"/>
      <c r="AB214" s="16"/>
      <c r="AC214" s="16"/>
      <c r="AD214" s="16"/>
    </row>
    <row r="215" ht="13.5" customHeight="1" spans="1:30" x14ac:dyDescent="0.25">
      <c r="A215" s="4"/>
      <c r="B215" s="4"/>
      <c r="C215" s="4"/>
      <c r="D215" s="4"/>
      <c r="E215" s="4"/>
      <c r="F215" s="4"/>
      <c r="G215" s="4"/>
      <c r="H215" s="4"/>
      <c r="I215" s="4"/>
      <c r="J215" s="4"/>
      <c r="K215" s="4"/>
      <c r="L215" s="4"/>
      <c r="M215" s="4"/>
      <c r="N215" s="4"/>
      <c r="O215" s="4"/>
      <c r="P215" s="4"/>
      <c r="Q215" s="4"/>
      <c r="R215" s="16"/>
      <c r="S215" s="16"/>
      <c r="T215" s="16"/>
      <c r="U215" s="16"/>
      <c r="V215" s="16"/>
      <c r="W215" s="16"/>
      <c r="X215" s="16"/>
      <c r="Y215" s="16"/>
      <c r="Z215" s="16"/>
      <c r="AA215" s="16"/>
      <c r="AB215" s="16"/>
      <c r="AC215" s="16"/>
      <c r="AD215" s="16"/>
    </row>
    <row r="216" ht="13.5" customHeight="1" spans="1:30" x14ac:dyDescent="0.25">
      <c r="A216" s="4"/>
      <c r="B216" s="4"/>
      <c r="C216" s="4"/>
      <c r="D216" s="4"/>
      <c r="E216" s="4"/>
      <c r="F216" s="4"/>
      <c r="G216" s="4"/>
      <c r="H216" s="4"/>
      <c r="I216" s="4"/>
      <c r="J216" s="4"/>
      <c r="K216" s="4"/>
      <c r="L216" s="4"/>
      <c r="M216" s="4"/>
      <c r="N216" s="4"/>
      <c r="O216" s="4"/>
      <c r="P216" s="4"/>
      <c r="Q216" s="4"/>
      <c r="R216" s="16"/>
      <c r="S216" s="16"/>
      <c r="T216" s="16"/>
      <c r="U216" s="16"/>
      <c r="V216" s="16"/>
      <c r="W216" s="16"/>
      <c r="X216" s="16"/>
      <c r="Y216" s="16"/>
      <c r="Z216" s="16"/>
      <c r="AA216" s="16"/>
      <c r="AB216" s="16"/>
      <c r="AC216" s="16"/>
      <c r="AD216" s="16"/>
    </row>
    <row r="217" ht="13.5" customHeight="1" spans="1:30" x14ac:dyDescent="0.25">
      <c r="A217" s="4"/>
      <c r="B217" s="4"/>
      <c r="C217" s="4"/>
      <c r="D217" s="4"/>
      <c r="E217" s="4"/>
      <c r="F217" s="4"/>
      <c r="G217" s="4"/>
      <c r="H217" s="4"/>
      <c r="I217" s="4"/>
      <c r="J217" s="4"/>
      <c r="K217" s="4"/>
      <c r="L217" s="4"/>
      <c r="M217" s="4"/>
      <c r="N217" s="4"/>
      <c r="O217" s="4"/>
      <c r="P217" s="4"/>
      <c r="Q217" s="4"/>
      <c r="R217" s="16"/>
      <c r="S217" s="16"/>
      <c r="T217" s="16"/>
      <c r="U217" s="16"/>
      <c r="V217" s="16"/>
      <c r="W217" s="16"/>
      <c r="X217" s="16"/>
      <c r="Y217" s="16"/>
      <c r="Z217" s="16"/>
      <c r="AA217" s="16"/>
      <c r="AB217" s="16"/>
      <c r="AC217" s="16"/>
      <c r="AD217" s="16"/>
    </row>
    <row r="218" ht="13.5" customHeight="1" spans="1:30" x14ac:dyDescent="0.25">
      <c r="A218" s="4"/>
      <c r="B218" s="4"/>
      <c r="C218" s="4"/>
      <c r="D218" s="4"/>
      <c r="E218" s="4"/>
      <c r="F218" s="4"/>
      <c r="G218" s="4"/>
      <c r="H218" s="4"/>
      <c r="I218" s="4"/>
      <c r="J218" s="4"/>
      <c r="K218" s="4"/>
      <c r="L218" s="4"/>
      <c r="M218" s="4"/>
      <c r="N218" s="4"/>
      <c r="O218" s="4"/>
      <c r="P218" s="4"/>
      <c r="Q218" s="4"/>
      <c r="R218" s="16"/>
      <c r="S218" s="16"/>
      <c r="T218" s="16"/>
      <c r="U218" s="16"/>
      <c r="V218" s="16"/>
      <c r="W218" s="16"/>
      <c r="X218" s="16"/>
      <c r="Y218" s="16"/>
      <c r="Z218" s="16"/>
      <c r="AA218" s="16"/>
      <c r="AB218" s="16"/>
      <c r="AC218" s="16"/>
      <c r="AD218" s="16"/>
    </row>
    <row r="219" ht="13.5" customHeight="1" spans="1:30" x14ac:dyDescent="0.25">
      <c r="A219" s="4"/>
      <c r="B219" s="4"/>
      <c r="C219" s="4"/>
      <c r="D219" s="4"/>
      <c r="E219" s="4"/>
      <c r="F219" s="4"/>
      <c r="G219" s="4"/>
      <c r="H219" s="4"/>
      <c r="I219" s="4"/>
      <c r="J219" s="4"/>
      <c r="K219" s="4"/>
      <c r="L219" s="4"/>
      <c r="M219" s="4"/>
      <c r="N219" s="4"/>
      <c r="O219" s="4"/>
      <c r="P219" s="4"/>
      <c r="Q219" s="4"/>
      <c r="R219" s="16"/>
      <c r="S219" s="16"/>
      <c r="T219" s="16"/>
      <c r="U219" s="16"/>
      <c r="V219" s="16"/>
      <c r="W219" s="16"/>
      <c r="X219" s="16"/>
      <c r="Y219" s="16"/>
      <c r="Z219" s="16"/>
      <c r="AA219" s="16"/>
      <c r="AB219" s="16"/>
      <c r="AC219" s="16"/>
      <c r="AD219" s="16"/>
    </row>
    <row r="220" ht="13.5" customHeight="1" spans="1:30" x14ac:dyDescent="0.25">
      <c r="A220" s="4"/>
      <c r="B220" s="4"/>
      <c r="C220" s="4"/>
      <c r="D220" s="4"/>
      <c r="E220" s="4"/>
      <c r="F220" s="4"/>
      <c r="G220" s="4"/>
      <c r="H220" s="4"/>
      <c r="I220" s="4"/>
      <c r="J220" s="4"/>
      <c r="K220" s="4"/>
      <c r="L220" s="4"/>
      <c r="M220" s="4"/>
      <c r="N220" s="4"/>
      <c r="O220" s="4"/>
      <c r="P220" s="4"/>
      <c r="Q220" s="4"/>
      <c r="R220" s="16"/>
      <c r="S220" s="16"/>
      <c r="T220" s="16"/>
      <c r="U220" s="16"/>
      <c r="V220" s="16"/>
      <c r="W220" s="16"/>
      <c r="X220" s="16"/>
      <c r="Y220" s="16"/>
      <c r="Z220" s="16"/>
      <c r="AA220" s="16"/>
      <c r="AB220" s="16"/>
      <c r="AC220" s="16"/>
      <c r="AD220" s="16"/>
    </row>
    <row r="221" ht="13.5" customHeight="1" spans="1:30" x14ac:dyDescent="0.25">
      <c r="A221" s="4"/>
      <c r="B221" s="4"/>
      <c r="C221" s="4"/>
      <c r="D221" s="4"/>
      <c r="E221" s="4"/>
      <c r="F221" s="4"/>
      <c r="G221" s="4"/>
      <c r="H221" s="4"/>
      <c r="I221" s="4"/>
      <c r="J221" s="4"/>
      <c r="K221" s="4"/>
      <c r="L221" s="4"/>
      <c r="M221" s="4"/>
      <c r="N221" s="4"/>
      <c r="O221" s="4"/>
      <c r="P221" s="4"/>
      <c r="Q221" s="4"/>
      <c r="R221" s="16"/>
      <c r="S221" s="16"/>
      <c r="T221" s="16"/>
      <c r="U221" s="16"/>
      <c r="V221" s="16"/>
      <c r="W221" s="16"/>
      <c r="X221" s="16"/>
      <c r="Y221" s="16"/>
      <c r="Z221" s="16"/>
      <c r="AA221" s="16"/>
      <c r="AB221" s="16"/>
      <c r="AC221" s="16"/>
      <c r="AD221" s="16"/>
    </row>
    <row r="222" ht="13.5" customHeight="1" spans="1:30" x14ac:dyDescent="0.25">
      <c r="A222" s="4"/>
      <c r="B222" s="4"/>
      <c r="C222" s="4"/>
      <c r="D222" s="4"/>
      <c r="E222" s="4"/>
      <c r="F222" s="4"/>
      <c r="G222" s="4"/>
      <c r="H222" s="4"/>
      <c r="I222" s="4"/>
      <c r="J222" s="4"/>
      <c r="K222" s="4"/>
      <c r="L222" s="4"/>
      <c r="M222" s="4"/>
      <c r="N222" s="4"/>
      <c r="O222" s="4"/>
      <c r="P222" s="4"/>
      <c r="Q222" s="4"/>
      <c r="R222" s="16"/>
      <c r="S222" s="16"/>
      <c r="T222" s="16"/>
      <c r="U222" s="16"/>
      <c r="V222" s="16"/>
      <c r="W222" s="16"/>
      <c r="X222" s="16"/>
      <c r="Y222" s="16"/>
      <c r="Z222" s="16"/>
      <c r="AA222" s="16"/>
      <c r="AB222" s="16"/>
      <c r="AC222" s="16"/>
      <c r="AD222" s="16"/>
    </row>
    <row r="223" ht="13.5" customHeight="1" spans="1:30" x14ac:dyDescent="0.25">
      <c r="A223" s="4"/>
      <c r="B223" s="4"/>
      <c r="C223" s="4"/>
      <c r="D223" s="4"/>
      <c r="E223" s="4"/>
      <c r="F223" s="4"/>
      <c r="G223" s="4"/>
      <c r="H223" s="4"/>
      <c r="I223" s="4"/>
      <c r="J223" s="4"/>
      <c r="K223" s="4"/>
      <c r="L223" s="4"/>
      <c r="M223" s="4"/>
      <c r="N223" s="4"/>
      <c r="O223" s="4"/>
      <c r="P223" s="4"/>
      <c r="Q223" s="4"/>
      <c r="R223" s="16"/>
      <c r="S223" s="16"/>
      <c r="T223" s="16"/>
      <c r="U223" s="16"/>
      <c r="V223" s="16"/>
      <c r="W223" s="16"/>
      <c r="X223" s="16"/>
      <c r="Y223" s="16"/>
      <c r="Z223" s="16"/>
      <c r="AA223" s="16"/>
      <c r="AB223" s="16"/>
      <c r="AC223" s="16"/>
      <c r="AD223" s="16"/>
    </row>
    <row r="224" ht="13.5" customHeight="1" spans="1:30" x14ac:dyDescent="0.25">
      <c r="A224" s="4"/>
      <c r="B224" s="4"/>
      <c r="C224" s="4"/>
      <c r="D224" s="4"/>
      <c r="E224" s="4"/>
      <c r="F224" s="4"/>
      <c r="G224" s="4"/>
      <c r="H224" s="4"/>
      <c r="I224" s="4"/>
      <c r="J224" s="4"/>
      <c r="K224" s="4"/>
      <c r="L224" s="4"/>
      <c r="M224" s="4"/>
      <c r="N224" s="4"/>
      <c r="O224" s="4"/>
      <c r="P224" s="4"/>
      <c r="Q224" s="4"/>
      <c r="R224" s="16"/>
      <c r="S224" s="16"/>
      <c r="T224" s="16"/>
      <c r="U224" s="16"/>
      <c r="V224" s="16"/>
      <c r="W224" s="16"/>
      <c r="X224" s="16"/>
      <c r="Y224" s="16"/>
      <c r="Z224" s="16"/>
      <c r="AA224" s="16"/>
      <c r="AB224" s="16"/>
      <c r="AC224" s="16"/>
      <c r="AD224" s="16"/>
    </row>
    <row r="225" ht="13.5" customHeight="1" spans="1:30" x14ac:dyDescent="0.25">
      <c r="A225" s="4"/>
      <c r="B225" s="4"/>
      <c r="C225" s="4"/>
      <c r="D225" s="4"/>
      <c r="E225" s="4"/>
      <c r="F225" s="4"/>
      <c r="G225" s="4"/>
      <c r="H225" s="4"/>
      <c r="I225" s="4"/>
      <c r="J225" s="4"/>
      <c r="K225" s="4"/>
      <c r="L225" s="4"/>
      <c r="M225" s="4"/>
      <c r="N225" s="4"/>
      <c r="O225" s="4"/>
      <c r="P225" s="4"/>
      <c r="Q225" s="4"/>
      <c r="R225" s="16"/>
      <c r="S225" s="16"/>
      <c r="T225" s="16"/>
      <c r="U225" s="16"/>
      <c r="V225" s="16"/>
      <c r="W225" s="16"/>
      <c r="X225" s="16"/>
      <c r="Y225" s="16"/>
      <c r="Z225" s="16"/>
      <c r="AA225" s="16"/>
      <c r="AB225" s="16"/>
      <c r="AC225" s="16"/>
      <c r="AD225" s="16"/>
    </row>
    <row r="226" ht="13.5" customHeight="1" spans="1:30" x14ac:dyDescent="0.25">
      <c r="A226" s="4"/>
      <c r="B226" s="4"/>
      <c r="C226" s="4"/>
      <c r="D226" s="4"/>
      <c r="E226" s="4"/>
      <c r="F226" s="4"/>
      <c r="G226" s="4"/>
      <c r="H226" s="4"/>
      <c r="I226" s="4"/>
      <c r="J226" s="4"/>
      <c r="K226" s="4"/>
      <c r="L226" s="4"/>
      <c r="M226" s="4"/>
      <c r="N226" s="4"/>
      <c r="O226" s="4"/>
      <c r="P226" s="4"/>
      <c r="Q226" s="4"/>
      <c r="R226" s="16"/>
      <c r="S226" s="16"/>
      <c r="T226" s="16"/>
      <c r="U226" s="16"/>
      <c r="V226" s="16"/>
      <c r="W226" s="16"/>
      <c r="X226" s="16"/>
      <c r="Y226" s="16"/>
      <c r="Z226" s="16"/>
      <c r="AA226" s="16"/>
      <c r="AB226" s="16"/>
      <c r="AC226" s="16"/>
      <c r="AD226" s="16"/>
    </row>
    <row r="227" ht="13.5" customHeight="1" spans="1:30" x14ac:dyDescent="0.25">
      <c r="A227" s="4"/>
      <c r="B227" s="4"/>
      <c r="C227" s="4"/>
      <c r="D227" s="4"/>
      <c r="E227" s="4"/>
      <c r="F227" s="4"/>
      <c r="G227" s="4"/>
      <c r="H227" s="4"/>
      <c r="I227" s="4"/>
      <c r="J227" s="4"/>
      <c r="K227" s="4"/>
      <c r="L227" s="4"/>
      <c r="M227" s="4"/>
      <c r="N227" s="4"/>
      <c r="O227" s="4"/>
      <c r="P227" s="4"/>
      <c r="Q227" s="4"/>
      <c r="R227" s="16"/>
      <c r="S227" s="16"/>
      <c r="T227" s="16"/>
      <c r="U227" s="16"/>
      <c r="V227" s="16"/>
      <c r="W227" s="16"/>
      <c r="X227" s="16"/>
      <c r="Y227" s="16"/>
      <c r="Z227" s="16"/>
      <c r="AA227" s="16"/>
      <c r="AB227" s="16"/>
      <c r="AC227" s="16"/>
      <c r="AD227" s="16"/>
    </row>
    <row r="228" ht="13.5" customHeight="1" spans="1:30" x14ac:dyDescent="0.25">
      <c r="A228" s="4"/>
      <c r="B228" s="4"/>
      <c r="C228" s="4"/>
      <c r="D228" s="4"/>
      <c r="E228" s="4"/>
      <c r="F228" s="4"/>
      <c r="G228" s="4"/>
      <c r="H228" s="4"/>
      <c r="I228" s="4"/>
      <c r="J228" s="4"/>
      <c r="K228" s="4"/>
      <c r="L228" s="4"/>
      <c r="M228" s="4"/>
      <c r="N228" s="4"/>
      <c r="O228" s="4"/>
      <c r="P228" s="4"/>
      <c r="Q228" s="4"/>
      <c r="R228" s="16"/>
      <c r="S228" s="16"/>
      <c r="T228" s="16"/>
      <c r="U228" s="16"/>
      <c r="V228" s="16"/>
      <c r="W228" s="16"/>
      <c r="X228" s="16"/>
      <c r="Y228" s="16"/>
      <c r="Z228" s="16"/>
      <c r="AA228" s="16"/>
      <c r="AB228" s="16"/>
      <c r="AC228" s="16"/>
      <c r="AD228" s="16"/>
    </row>
    <row r="229" ht="13.5" customHeight="1" spans="1:30" x14ac:dyDescent="0.25">
      <c r="A229" s="4"/>
      <c r="B229" s="4"/>
      <c r="C229" s="4"/>
      <c r="D229" s="4"/>
      <c r="E229" s="4"/>
      <c r="F229" s="4"/>
      <c r="G229" s="4"/>
      <c r="H229" s="4"/>
      <c r="I229" s="4"/>
      <c r="J229" s="4"/>
      <c r="K229" s="4"/>
      <c r="L229" s="4"/>
      <c r="M229" s="4"/>
      <c r="N229" s="4"/>
      <c r="O229" s="4"/>
      <c r="P229" s="4"/>
      <c r="Q229" s="4"/>
      <c r="R229" s="16"/>
      <c r="S229" s="16"/>
      <c r="T229" s="16"/>
      <c r="U229" s="16"/>
      <c r="V229" s="16"/>
      <c r="W229" s="16"/>
      <c r="X229" s="16"/>
      <c r="Y229" s="16"/>
      <c r="Z229" s="16"/>
      <c r="AA229" s="16"/>
      <c r="AB229" s="16"/>
      <c r="AC229" s="16"/>
      <c r="AD229" s="16"/>
    </row>
    <row r="230" ht="13.5" customHeight="1" spans="1:30" x14ac:dyDescent="0.25">
      <c r="A230" s="4"/>
      <c r="B230" s="4"/>
      <c r="C230" s="4"/>
      <c r="D230" s="4"/>
      <c r="E230" s="4"/>
      <c r="F230" s="4"/>
      <c r="G230" s="4"/>
      <c r="H230" s="4"/>
      <c r="I230" s="4"/>
      <c r="J230" s="4"/>
      <c r="K230" s="4"/>
      <c r="L230" s="4"/>
      <c r="M230" s="4"/>
      <c r="N230" s="4"/>
      <c r="O230" s="4"/>
      <c r="P230" s="4"/>
      <c r="Q230" s="4"/>
      <c r="R230" s="16"/>
      <c r="S230" s="16"/>
      <c r="T230" s="16"/>
      <c r="U230" s="16"/>
      <c r="V230" s="16"/>
      <c r="W230" s="16"/>
      <c r="X230" s="16"/>
      <c r="Y230" s="16"/>
      <c r="Z230" s="16"/>
      <c r="AA230" s="16"/>
      <c r="AB230" s="16"/>
      <c r="AC230" s="16"/>
      <c r="AD230" s="16"/>
    </row>
    <row r="231" ht="13.5" customHeight="1" spans="1:30" x14ac:dyDescent="0.25">
      <c r="A231" s="4"/>
      <c r="B231" s="4"/>
      <c r="C231" s="4"/>
      <c r="D231" s="4"/>
      <c r="E231" s="4"/>
      <c r="F231" s="4"/>
      <c r="G231" s="4"/>
      <c r="H231" s="4"/>
      <c r="I231" s="4"/>
      <c r="J231" s="4"/>
      <c r="K231" s="4"/>
      <c r="L231" s="4"/>
      <c r="M231" s="4"/>
      <c r="N231" s="4"/>
      <c r="O231" s="4"/>
      <c r="P231" s="4"/>
      <c r="Q231" s="4"/>
      <c r="R231" s="16"/>
      <c r="S231" s="16"/>
      <c r="T231" s="16"/>
      <c r="U231" s="16"/>
      <c r="V231" s="16"/>
      <c r="W231" s="16"/>
      <c r="X231" s="16"/>
      <c r="Y231" s="16"/>
      <c r="Z231" s="16"/>
      <c r="AA231" s="16"/>
      <c r="AB231" s="16"/>
      <c r="AC231" s="16"/>
      <c r="AD231" s="16"/>
    </row>
    <row r="232" ht="13.5" customHeight="1" spans="1:30" x14ac:dyDescent="0.25">
      <c r="A232" s="4"/>
      <c r="B232" s="4"/>
      <c r="C232" s="4"/>
      <c r="D232" s="4"/>
      <c r="E232" s="4"/>
      <c r="F232" s="4"/>
      <c r="G232" s="4"/>
      <c r="H232" s="4"/>
      <c r="I232" s="4"/>
      <c r="J232" s="4"/>
      <c r="K232" s="4"/>
      <c r="L232" s="4"/>
      <c r="M232" s="4"/>
      <c r="N232" s="4"/>
      <c r="O232" s="4"/>
      <c r="P232" s="4"/>
      <c r="Q232" s="4"/>
      <c r="R232" s="16"/>
      <c r="S232" s="16"/>
      <c r="T232" s="16"/>
      <c r="U232" s="16"/>
      <c r="V232" s="16"/>
      <c r="W232" s="16"/>
      <c r="X232" s="16"/>
      <c r="Y232" s="16"/>
      <c r="Z232" s="16"/>
      <c r="AA232" s="16"/>
      <c r="AB232" s="16"/>
      <c r="AC232" s="16"/>
      <c r="AD232" s="16"/>
    </row>
    <row r="233" ht="13.5" customHeight="1" spans="1:30" x14ac:dyDescent="0.25">
      <c r="A233" s="4"/>
      <c r="B233" s="4"/>
      <c r="C233" s="4"/>
      <c r="D233" s="4"/>
      <c r="E233" s="4"/>
      <c r="F233" s="4"/>
      <c r="G233" s="4"/>
      <c r="H233" s="4"/>
      <c r="I233" s="4"/>
      <c r="J233" s="4"/>
      <c r="K233" s="4"/>
      <c r="L233" s="4"/>
      <c r="M233" s="4"/>
      <c r="N233" s="4"/>
      <c r="O233" s="4"/>
      <c r="P233" s="4"/>
      <c r="Q233" s="4"/>
      <c r="R233" s="16"/>
      <c r="S233" s="16"/>
      <c r="T233" s="16"/>
      <c r="U233" s="16"/>
      <c r="V233" s="16"/>
      <c r="W233" s="16"/>
      <c r="X233" s="16"/>
      <c r="Y233" s="16"/>
      <c r="Z233" s="16"/>
      <c r="AA233" s="16"/>
      <c r="AB233" s="16"/>
      <c r="AC233" s="16"/>
      <c r="AD233" s="16"/>
    </row>
    <row r="234" ht="13.5" customHeight="1" spans="1:30" x14ac:dyDescent="0.25">
      <c r="A234" s="4"/>
      <c r="B234" s="4"/>
      <c r="C234" s="4"/>
      <c r="D234" s="4"/>
      <c r="E234" s="4"/>
      <c r="F234" s="4"/>
      <c r="G234" s="4"/>
      <c r="H234" s="4"/>
      <c r="I234" s="4"/>
      <c r="J234" s="4"/>
      <c r="K234" s="4"/>
      <c r="L234" s="4"/>
      <c r="M234" s="4"/>
      <c r="N234" s="4"/>
      <c r="O234" s="4"/>
      <c r="P234" s="4"/>
      <c r="Q234" s="4"/>
      <c r="R234" s="16"/>
      <c r="S234" s="16"/>
      <c r="T234" s="16"/>
      <c r="U234" s="16"/>
      <c r="V234" s="16"/>
      <c r="W234" s="16"/>
      <c r="X234" s="16"/>
      <c r="Y234" s="16"/>
      <c r="Z234" s="16"/>
      <c r="AA234" s="16"/>
      <c r="AB234" s="16"/>
      <c r="AC234" s="16"/>
      <c r="AD234" s="16"/>
    </row>
    <row r="235" ht="13.5" customHeight="1" spans="1:30" x14ac:dyDescent="0.25">
      <c r="A235" s="4"/>
      <c r="B235" s="4"/>
      <c r="C235" s="4"/>
      <c r="D235" s="4"/>
      <c r="E235" s="4"/>
      <c r="F235" s="4"/>
      <c r="G235" s="4"/>
      <c r="H235" s="4"/>
      <c r="I235" s="4"/>
      <c r="J235" s="4"/>
      <c r="K235" s="4"/>
      <c r="L235" s="4"/>
      <c r="M235" s="4"/>
      <c r="N235" s="4"/>
      <c r="O235" s="4"/>
      <c r="P235" s="4"/>
      <c r="Q235" s="4"/>
      <c r="R235" s="16"/>
      <c r="S235" s="16"/>
      <c r="T235" s="16"/>
      <c r="U235" s="16"/>
      <c r="V235" s="16"/>
      <c r="W235" s="16"/>
      <c r="X235" s="16"/>
      <c r="Y235" s="16"/>
      <c r="Z235" s="16"/>
      <c r="AA235" s="16"/>
      <c r="AB235" s="16"/>
      <c r="AC235" s="16"/>
      <c r="AD235" s="16"/>
    </row>
    <row r="236" ht="13.5" customHeight="1" spans="1:30" x14ac:dyDescent="0.25">
      <c r="A236" s="4"/>
      <c r="B236" s="4"/>
      <c r="C236" s="4"/>
      <c r="D236" s="4"/>
      <c r="E236" s="4"/>
      <c r="F236" s="4"/>
      <c r="G236" s="4"/>
      <c r="H236" s="4"/>
      <c r="I236" s="4"/>
      <c r="J236" s="4"/>
      <c r="K236" s="4"/>
      <c r="L236" s="4"/>
      <c r="M236" s="4"/>
      <c r="N236" s="4"/>
      <c r="O236" s="4"/>
      <c r="P236" s="4"/>
      <c r="Q236" s="4"/>
      <c r="R236" s="16"/>
      <c r="S236" s="16"/>
      <c r="T236" s="16"/>
      <c r="U236" s="16"/>
      <c r="V236" s="16"/>
      <c r="W236" s="16"/>
      <c r="X236" s="16"/>
      <c r="Y236" s="16"/>
      <c r="Z236" s="16"/>
      <c r="AA236" s="16"/>
      <c r="AB236" s="16"/>
      <c r="AC236" s="16"/>
      <c r="AD236" s="16"/>
    </row>
    <row r="237" ht="13.5" customHeight="1" spans="1:30" x14ac:dyDescent="0.25">
      <c r="A237" s="4"/>
      <c r="B237" s="4"/>
      <c r="C237" s="4"/>
      <c r="D237" s="4"/>
      <c r="E237" s="4"/>
      <c r="F237" s="4"/>
      <c r="G237" s="4"/>
      <c r="H237" s="4"/>
      <c r="I237" s="4"/>
      <c r="J237" s="4"/>
      <c r="K237" s="4"/>
      <c r="L237" s="4"/>
      <c r="M237" s="4"/>
      <c r="N237" s="4"/>
      <c r="O237" s="4"/>
      <c r="P237" s="4"/>
      <c r="Q237" s="4"/>
      <c r="R237" s="16"/>
      <c r="S237" s="16"/>
      <c r="T237" s="16"/>
      <c r="U237" s="16"/>
      <c r="V237" s="16"/>
      <c r="W237" s="16"/>
      <c r="X237" s="16"/>
      <c r="Y237" s="16"/>
      <c r="Z237" s="16"/>
      <c r="AA237" s="16"/>
      <c r="AB237" s="16"/>
      <c r="AC237" s="16"/>
      <c r="AD237" s="16"/>
    </row>
    <row r="238" ht="13.5" customHeight="1" spans="1:30" x14ac:dyDescent="0.25">
      <c r="A238" s="4"/>
      <c r="B238" s="4"/>
      <c r="C238" s="4"/>
      <c r="D238" s="4"/>
      <c r="E238" s="4"/>
      <c r="F238" s="4"/>
      <c r="G238" s="4"/>
      <c r="H238" s="4"/>
      <c r="I238" s="4"/>
      <c r="J238" s="4"/>
      <c r="K238" s="4"/>
      <c r="L238" s="4"/>
      <c r="M238" s="4"/>
      <c r="N238" s="4"/>
      <c r="O238" s="4"/>
      <c r="P238" s="4"/>
      <c r="Q238" s="4"/>
      <c r="R238" s="16"/>
      <c r="S238" s="16"/>
      <c r="T238" s="16"/>
      <c r="U238" s="16"/>
      <c r="V238" s="16"/>
      <c r="W238" s="16"/>
      <c r="X238" s="16"/>
      <c r="Y238" s="16"/>
      <c r="Z238" s="16"/>
      <c r="AA238" s="16"/>
      <c r="AB238" s="16"/>
      <c r="AC238" s="16"/>
      <c r="AD238" s="16"/>
    </row>
    <row r="239" ht="13.5" customHeight="1" spans="1:30" x14ac:dyDescent="0.25">
      <c r="A239" s="4"/>
      <c r="B239" s="4"/>
      <c r="C239" s="4"/>
      <c r="D239" s="4"/>
      <c r="E239" s="4"/>
      <c r="F239" s="4"/>
      <c r="G239" s="4"/>
      <c r="H239" s="4"/>
      <c r="I239" s="4"/>
      <c r="J239" s="4"/>
      <c r="K239" s="4"/>
      <c r="L239" s="4"/>
      <c r="M239" s="4"/>
      <c r="N239" s="4"/>
      <c r="O239" s="4"/>
      <c r="P239" s="4"/>
      <c r="Q239" s="4"/>
      <c r="R239" s="16"/>
      <c r="S239" s="16"/>
      <c r="T239" s="16"/>
      <c r="U239" s="16"/>
      <c r="V239" s="16"/>
      <c r="W239" s="16"/>
      <c r="X239" s="16"/>
      <c r="Y239" s="16"/>
      <c r="Z239" s="16"/>
      <c r="AA239" s="16"/>
      <c r="AB239" s="16"/>
      <c r="AC239" s="16"/>
      <c r="AD239" s="16"/>
    </row>
    <row r="240" ht="13.5" customHeight="1" spans="1:30" x14ac:dyDescent="0.25">
      <c r="A240" s="4"/>
      <c r="B240" s="4"/>
      <c r="C240" s="4"/>
      <c r="D240" s="4"/>
      <c r="E240" s="4"/>
      <c r="F240" s="4"/>
      <c r="G240" s="4"/>
      <c r="H240" s="4"/>
      <c r="I240" s="4"/>
      <c r="J240" s="4"/>
      <c r="K240" s="4"/>
      <c r="L240" s="4"/>
      <c r="M240" s="4"/>
      <c r="N240" s="4"/>
      <c r="O240" s="4"/>
      <c r="P240" s="4"/>
      <c r="Q240" s="4"/>
      <c r="R240" s="16"/>
      <c r="S240" s="16"/>
      <c r="T240" s="16"/>
      <c r="U240" s="16"/>
      <c r="V240" s="16"/>
      <c r="W240" s="16"/>
      <c r="X240" s="16"/>
      <c r="Y240" s="16"/>
      <c r="Z240" s="16"/>
      <c r="AA240" s="16"/>
      <c r="AB240" s="16"/>
      <c r="AC240" s="16"/>
      <c r="AD240" s="16"/>
    </row>
    <row r="241" ht="13.5" customHeight="1" spans="1:30" x14ac:dyDescent="0.25">
      <c r="A241" s="4"/>
      <c r="B241" s="4"/>
      <c r="C241" s="4"/>
      <c r="D241" s="4"/>
      <c r="E241" s="4"/>
      <c r="F241" s="4"/>
      <c r="G241" s="4"/>
      <c r="H241" s="4"/>
      <c r="I241" s="4"/>
      <c r="J241" s="4"/>
      <c r="K241" s="4"/>
      <c r="L241" s="4"/>
      <c r="M241" s="4"/>
      <c r="N241" s="4"/>
      <c r="O241" s="4"/>
      <c r="P241" s="4"/>
      <c r="Q241" s="4"/>
      <c r="R241" s="16"/>
      <c r="S241" s="16"/>
      <c r="T241" s="16"/>
      <c r="U241" s="16"/>
      <c r="V241" s="16"/>
      <c r="W241" s="16"/>
      <c r="X241" s="16"/>
      <c r="Y241" s="16"/>
      <c r="Z241" s="16"/>
      <c r="AA241" s="16"/>
      <c r="AB241" s="16"/>
      <c r="AC241" s="16"/>
      <c r="AD241" s="16"/>
    </row>
    <row r="242" ht="13.5" customHeight="1" spans="1:30" x14ac:dyDescent="0.25">
      <c r="A242" s="4"/>
      <c r="B242" s="4"/>
      <c r="C242" s="4"/>
      <c r="D242" s="4"/>
      <c r="E242" s="4"/>
      <c r="F242" s="4"/>
      <c r="G242" s="4"/>
      <c r="H242" s="4"/>
      <c r="I242" s="4"/>
      <c r="J242" s="4"/>
      <c r="K242" s="4"/>
      <c r="L242" s="4"/>
      <c r="M242" s="4"/>
      <c r="N242" s="4"/>
      <c r="O242" s="4"/>
      <c r="P242" s="4"/>
      <c r="Q242" s="4"/>
      <c r="R242" s="16"/>
      <c r="S242" s="16"/>
      <c r="T242" s="16"/>
      <c r="U242" s="16"/>
      <c r="V242" s="16"/>
      <c r="W242" s="16"/>
      <c r="X242" s="16"/>
      <c r="Y242" s="16"/>
      <c r="Z242" s="16"/>
      <c r="AA242" s="16"/>
      <c r="AB242" s="16"/>
      <c r="AC242" s="16"/>
      <c r="AD242" s="16"/>
    </row>
    <row r="243" ht="13.5" customHeight="1" spans="1:30" x14ac:dyDescent="0.25">
      <c r="A243" s="4"/>
      <c r="B243" s="4"/>
      <c r="C243" s="4"/>
      <c r="D243" s="4"/>
      <c r="E243" s="4"/>
      <c r="F243" s="4"/>
      <c r="G243" s="4"/>
      <c r="H243" s="4"/>
      <c r="I243" s="4"/>
      <c r="J243" s="4"/>
      <c r="K243" s="4"/>
      <c r="L243" s="4"/>
      <c r="M243" s="4"/>
      <c r="N243" s="4"/>
      <c r="O243" s="4"/>
      <c r="P243" s="4"/>
      <c r="Q243" s="4"/>
      <c r="R243" s="16"/>
      <c r="S243" s="16"/>
      <c r="T243" s="16"/>
      <c r="U243" s="16"/>
      <c r="V243" s="16"/>
      <c r="W243" s="16"/>
      <c r="X243" s="16"/>
      <c r="Y243" s="16"/>
      <c r="Z243" s="16"/>
      <c r="AA243" s="16"/>
      <c r="AB243" s="16"/>
      <c r="AC243" s="16"/>
      <c r="AD243" s="16"/>
    </row>
    <row r="244" ht="13.5" customHeight="1" spans="1:30" x14ac:dyDescent="0.25">
      <c r="A244" s="4"/>
      <c r="B244" s="4"/>
      <c r="C244" s="4"/>
      <c r="D244" s="4"/>
      <c r="E244" s="4"/>
      <c r="F244" s="4"/>
      <c r="G244" s="4"/>
      <c r="H244" s="4"/>
      <c r="I244" s="4"/>
      <c r="J244" s="4"/>
      <c r="K244" s="4"/>
      <c r="L244" s="4"/>
      <c r="M244" s="4"/>
      <c r="N244" s="4"/>
      <c r="O244" s="4"/>
      <c r="P244" s="4"/>
      <c r="Q244" s="4"/>
      <c r="R244" s="16"/>
      <c r="S244" s="16"/>
      <c r="T244" s="16"/>
      <c r="U244" s="16"/>
      <c r="V244" s="16"/>
      <c r="W244" s="16"/>
      <c r="X244" s="16"/>
      <c r="Y244" s="16"/>
      <c r="Z244" s="16"/>
      <c r="AA244" s="16"/>
      <c r="AB244" s="16"/>
      <c r="AC244" s="16"/>
      <c r="AD244" s="16"/>
    </row>
    <row r="245" ht="13.5" customHeight="1" spans="1:30" x14ac:dyDescent="0.25">
      <c r="A245" s="4"/>
      <c r="B245" s="4"/>
      <c r="C245" s="4"/>
      <c r="D245" s="4"/>
      <c r="E245" s="4"/>
      <c r="F245" s="4"/>
      <c r="G245" s="4"/>
      <c r="H245" s="4"/>
      <c r="I245" s="4"/>
      <c r="J245" s="4"/>
      <c r="K245" s="4"/>
      <c r="L245" s="4"/>
      <c r="M245" s="4"/>
      <c r="N245" s="4"/>
      <c r="O245" s="4"/>
      <c r="P245" s="4"/>
      <c r="Q245" s="4"/>
      <c r="R245" s="16"/>
      <c r="S245" s="16"/>
      <c r="T245" s="16"/>
      <c r="U245" s="16"/>
      <c r="V245" s="16"/>
      <c r="W245" s="16"/>
      <c r="X245" s="16"/>
      <c r="Y245" s="16"/>
      <c r="Z245" s="16"/>
      <c r="AA245" s="16"/>
      <c r="AB245" s="16"/>
      <c r="AC245" s="16"/>
      <c r="AD245" s="16"/>
    </row>
    <row r="246" ht="13.5" customHeight="1" spans="1:30" x14ac:dyDescent="0.25">
      <c r="A246" s="4"/>
      <c r="B246" s="4"/>
      <c r="C246" s="4"/>
      <c r="D246" s="4"/>
      <c r="E246" s="4"/>
      <c r="F246" s="4"/>
      <c r="G246" s="4"/>
      <c r="H246" s="4"/>
      <c r="I246" s="4"/>
      <c r="J246" s="4"/>
      <c r="K246" s="4"/>
      <c r="L246" s="4"/>
      <c r="M246" s="4"/>
      <c r="N246" s="4"/>
      <c r="O246" s="4"/>
      <c r="P246" s="4"/>
      <c r="Q246" s="4"/>
      <c r="R246" s="16"/>
      <c r="S246" s="16"/>
      <c r="T246" s="16"/>
      <c r="U246" s="16"/>
      <c r="V246" s="16"/>
      <c r="W246" s="16"/>
      <c r="X246" s="16"/>
      <c r="Y246" s="16"/>
      <c r="Z246" s="16"/>
      <c r="AA246" s="16"/>
      <c r="AB246" s="16"/>
      <c r="AC246" s="16"/>
      <c r="AD246" s="16"/>
    </row>
    <row r="247" ht="13.5" customHeight="1" spans="1:30" x14ac:dyDescent="0.25">
      <c r="A247" s="4"/>
      <c r="B247" s="4"/>
      <c r="C247" s="4"/>
      <c r="D247" s="4"/>
      <c r="E247" s="4"/>
      <c r="F247" s="4"/>
      <c r="G247" s="4"/>
      <c r="H247" s="4"/>
      <c r="I247" s="4"/>
      <c r="J247" s="4"/>
      <c r="K247" s="4"/>
      <c r="L247" s="4"/>
      <c r="M247" s="4"/>
      <c r="N247" s="4"/>
      <c r="O247" s="4"/>
      <c r="P247" s="4"/>
      <c r="Q247" s="4"/>
      <c r="R247" s="16"/>
      <c r="S247" s="16"/>
      <c r="T247" s="16"/>
      <c r="U247" s="16"/>
      <c r="V247" s="16"/>
      <c r="W247" s="16"/>
      <c r="X247" s="16"/>
      <c r="Y247" s="16"/>
      <c r="Z247" s="16"/>
      <c r="AA247" s="16"/>
      <c r="AB247" s="16"/>
      <c r="AC247" s="16"/>
      <c r="AD247" s="16"/>
    </row>
    <row r="248" ht="13.5" customHeight="1" spans="1:30" x14ac:dyDescent="0.25">
      <c r="A248" s="4"/>
      <c r="B248" s="4"/>
      <c r="C248" s="4"/>
      <c r="D248" s="4"/>
      <c r="E248" s="4"/>
      <c r="F248" s="4"/>
      <c r="G248" s="4"/>
      <c r="H248" s="4"/>
      <c r="I248" s="4"/>
      <c r="J248" s="4"/>
      <c r="K248" s="4"/>
      <c r="L248" s="4"/>
      <c r="M248" s="4"/>
      <c r="N248" s="4"/>
      <c r="O248" s="4"/>
      <c r="P248" s="4"/>
      <c r="Q248" s="4"/>
      <c r="R248" s="16"/>
      <c r="S248" s="16"/>
      <c r="T248" s="16"/>
      <c r="U248" s="16"/>
      <c r="V248" s="16"/>
      <c r="W248" s="16"/>
      <c r="X248" s="16"/>
      <c r="Y248" s="16"/>
      <c r="Z248" s="16"/>
      <c r="AA248" s="16"/>
      <c r="AB248" s="16"/>
      <c r="AC248" s="16"/>
      <c r="AD248" s="16"/>
    </row>
    <row r="249" ht="13.5" customHeight="1" spans="1:30" x14ac:dyDescent="0.25">
      <c r="A249" s="4"/>
      <c r="B249" s="4"/>
      <c r="C249" s="4"/>
      <c r="D249" s="4"/>
      <c r="E249" s="4"/>
      <c r="F249" s="4"/>
      <c r="G249" s="4"/>
      <c r="H249" s="4"/>
      <c r="I249" s="4"/>
      <c r="J249" s="4"/>
      <c r="K249" s="4"/>
      <c r="L249" s="4"/>
      <c r="M249" s="4"/>
      <c r="N249" s="4"/>
      <c r="O249" s="4"/>
      <c r="P249" s="4"/>
      <c r="Q249" s="4"/>
      <c r="R249" s="16"/>
      <c r="S249" s="16"/>
      <c r="T249" s="16"/>
      <c r="U249" s="16"/>
      <c r="V249" s="16"/>
      <c r="W249" s="16"/>
      <c r="X249" s="16"/>
      <c r="Y249" s="16"/>
      <c r="Z249" s="16"/>
      <c r="AA249" s="16"/>
      <c r="AB249" s="16"/>
      <c r="AC249" s="16"/>
      <c r="AD249" s="16"/>
    </row>
    <row r="250" ht="13.5" customHeight="1" spans="1:30" x14ac:dyDescent="0.25">
      <c r="A250" s="4"/>
      <c r="B250" s="4"/>
      <c r="C250" s="4"/>
      <c r="D250" s="4"/>
      <c r="E250" s="4"/>
      <c r="F250" s="4"/>
      <c r="G250" s="4"/>
      <c r="H250" s="4"/>
      <c r="I250" s="4"/>
      <c r="J250" s="4"/>
      <c r="K250" s="4"/>
      <c r="L250" s="4"/>
      <c r="M250" s="4"/>
      <c r="N250" s="4"/>
      <c r="O250" s="4"/>
      <c r="P250" s="4"/>
      <c r="Q250" s="4"/>
      <c r="R250" s="16"/>
      <c r="S250" s="16"/>
      <c r="T250" s="16"/>
      <c r="U250" s="16"/>
      <c r="V250" s="16"/>
      <c r="W250" s="16"/>
      <c r="X250" s="16"/>
      <c r="Y250" s="16"/>
      <c r="Z250" s="16"/>
      <c r="AA250" s="16"/>
      <c r="AB250" s="16"/>
      <c r="AC250" s="16"/>
      <c r="AD250" s="16"/>
    </row>
    <row r="251" ht="13.5" customHeight="1" spans="1:30" x14ac:dyDescent="0.25">
      <c r="A251" s="4"/>
      <c r="B251" s="4"/>
      <c r="C251" s="4"/>
      <c r="D251" s="4"/>
      <c r="E251" s="4"/>
      <c r="F251" s="4"/>
      <c r="G251" s="4"/>
      <c r="H251" s="4"/>
      <c r="I251" s="4"/>
      <c r="J251" s="4"/>
      <c r="K251" s="4"/>
      <c r="L251" s="4"/>
      <c r="M251" s="4"/>
      <c r="N251" s="4"/>
      <c r="O251" s="4"/>
      <c r="P251" s="4"/>
      <c r="Q251" s="4"/>
      <c r="R251" s="16"/>
      <c r="S251" s="16"/>
      <c r="T251" s="16"/>
      <c r="U251" s="16"/>
      <c r="V251" s="16"/>
      <c r="W251" s="16"/>
      <c r="X251" s="16"/>
      <c r="Y251" s="16"/>
      <c r="Z251" s="16"/>
      <c r="AA251" s="16"/>
      <c r="AB251" s="16"/>
      <c r="AC251" s="16"/>
      <c r="AD251" s="16"/>
    </row>
    <row r="252" ht="13.5" customHeight="1" spans="1:30" x14ac:dyDescent="0.25">
      <c r="A252" s="4"/>
      <c r="B252" s="4"/>
      <c r="C252" s="4"/>
      <c r="D252" s="4"/>
      <c r="E252" s="4"/>
      <c r="F252" s="4"/>
      <c r="G252" s="4"/>
      <c r="H252" s="4"/>
      <c r="I252" s="4"/>
      <c r="J252" s="4"/>
      <c r="K252" s="4"/>
      <c r="L252" s="4"/>
      <c r="M252" s="4"/>
      <c r="N252" s="4"/>
      <c r="O252" s="4"/>
      <c r="P252" s="4"/>
      <c r="Q252" s="4"/>
      <c r="R252" s="16"/>
      <c r="S252" s="16"/>
      <c r="T252" s="16"/>
      <c r="U252" s="16"/>
      <c r="V252" s="16"/>
      <c r="W252" s="16"/>
      <c r="X252" s="16"/>
      <c r="Y252" s="16"/>
      <c r="Z252" s="16"/>
      <c r="AA252" s="16"/>
      <c r="AB252" s="16"/>
      <c r="AC252" s="16"/>
      <c r="AD252" s="16"/>
    </row>
    <row r="253" ht="13.5" customHeight="1" spans="1:30" x14ac:dyDescent="0.25">
      <c r="A253" s="4"/>
      <c r="B253" s="4"/>
      <c r="C253" s="4"/>
      <c r="D253" s="4"/>
      <c r="E253" s="4"/>
      <c r="F253" s="4"/>
      <c r="G253" s="4"/>
      <c r="H253" s="4"/>
      <c r="I253" s="4"/>
      <c r="J253" s="4"/>
      <c r="K253" s="4"/>
      <c r="L253" s="4"/>
      <c r="M253" s="4"/>
      <c r="N253" s="4"/>
      <c r="O253" s="4"/>
      <c r="P253" s="4"/>
      <c r="Q253" s="4"/>
      <c r="R253" s="16"/>
      <c r="S253" s="16"/>
      <c r="T253" s="16"/>
      <c r="U253" s="16"/>
      <c r="V253" s="16"/>
      <c r="W253" s="16"/>
      <c r="X253" s="16"/>
      <c r="Y253" s="16"/>
      <c r="Z253" s="16"/>
      <c r="AA253" s="16"/>
      <c r="AB253" s="16"/>
      <c r="AC253" s="16"/>
      <c r="AD253" s="16"/>
    </row>
    <row r="254" ht="13.5" customHeight="1" spans="1:30" x14ac:dyDescent="0.25">
      <c r="A254" s="4"/>
      <c r="B254" s="4"/>
      <c r="C254" s="4"/>
      <c r="D254" s="4"/>
      <c r="E254" s="4"/>
      <c r="F254" s="4"/>
      <c r="G254" s="4"/>
      <c r="H254" s="4"/>
      <c r="I254" s="4"/>
      <c r="J254" s="4"/>
      <c r="K254" s="4"/>
      <c r="L254" s="4"/>
      <c r="M254" s="4"/>
      <c r="N254" s="4"/>
      <c r="O254" s="4"/>
      <c r="P254" s="4"/>
      <c r="Q254" s="4"/>
      <c r="R254" s="16"/>
      <c r="S254" s="16"/>
      <c r="T254" s="16"/>
      <c r="U254" s="16"/>
      <c r="V254" s="16"/>
      <c r="W254" s="16"/>
      <c r="X254" s="16"/>
      <c r="Y254" s="16"/>
      <c r="Z254" s="16"/>
      <c r="AA254" s="16"/>
      <c r="AB254" s="16"/>
      <c r="AC254" s="16"/>
      <c r="AD254" s="16"/>
    </row>
    <row r="255" ht="13.5" customHeight="1" spans="1:30" x14ac:dyDescent="0.25">
      <c r="A255" s="4"/>
      <c r="B255" s="4"/>
      <c r="C255" s="4"/>
      <c r="D255" s="4"/>
      <c r="E255" s="4"/>
      <c r="F255" s="4"/>
      <c r="G255" s="4"/>
      <c r="H255" s="4"/>
      <c r="I255" s="4"/>
      <c r="J255" s="4"/>
      <c r="K255" s="4"/>
      <c r="L255" s="4"/>
      <c r="M255" s="4"/>
      <c r="N255" s="4"/>
      <c r="O255" s="4"/>
      <c r="P255" s="4"/>
      <c r="Q255" s="4"/>
      <c r="R255" s="16"/>
      <c r="S255" s="16"/>
      <c r="T255" s="16"/>
      <c r="U255" s="16"/>
      <c r="V255" s="16"/>
      <c r="W255" s="16"/>
      <c r="X255" s="16"/>
      <c r="Y255" s="16"/>
      <c r="Z255" s="16"/>
      <c r="AA255" s="16"/>
      <c r="AB255" s="16"/>
      <c r="AC255" s="16"/>
      <c r="AD255" s="16"/>
    </row>
    <row r="256" ht="13.5" customHeight="1" spans="1:30" x14ac:dyDescent="0.25">
      <c r="A256" s="4"/>
      <c r="B256" s="4"/>
      <c r="C256" s="4"/>
      <c r="D256" s="4"/>
      <c r="E256" s="4"/>
      <c r="F256" s="4"/>
      <c r="G256" s="4"/>
      <c r="H256" s="4"/>
      <c r="I256" s="4"/>
      <c r="J256" s="4"/>
      <c r="K256" s="4"/>
      <c r="L256" s="4"/>
      <c r="M256" s="4"/>
      <c r="N256" s="4"/>
      <c r="O256" s="4"/>
      <c r="P256" s="4"/>
      <c r="Q256" s="4"/>
      <c r="R256" s="16"/>
      <c r="S256" s="16"/>
      <c r="T256" s="16"/>
      <c r="U256" s="16"/>
      <c r="V256" s="16"/>
      <c r="W256" s="16"/>
      <c r="X256" s="16"/>
      <c r="Y256" s="16"/>
      <c r="Z256" s="16"/>
      <c r="AA256" s="16"/>
      <c r="AB256" s="16"/>
      <c r="AC256" s="16"/>
      <c r="AD256" s="16"/>
    </row>
    <row r="257" ht="13.5" customHeight="1" spans="1:30" x14ac:dyDescent="0.25">
      <c r="A257" s="4"/>
      <c r="B257" s="4"/>
      <c r="C257" s="4"/>
      <c r="D257" s="4"/>
      <c r="E257" s="4"/>
      <c r="F257" s="4"/>
      <c r="G257" s="4"/>
      <c r="H257" s="4"/>
      <c r="I257" s="4"/>
      <c r="J257" s="4"/>
      <c r="K257" s="4"/>
      <c r="L257" s="4"/>
      <c r="M257" s="4"/>
      <c r="N257" s="4"/>
      <c r="O257" s="4"/>
      <c r="P257" s="4"/>
      <c r="Q257" s="4"/>
      <c r="R257" s="16"/>
      <c r="S257" s="16"/>
      <c r="T257" s="16"/>
      <c r="U257" s="16"/>
      <c r="V257" s="16"/>
      <c r="W257" s="16"/>
      <c r="X257" s="16"/>
      <c r="Y257" s="16"/>
      <c r="Z257" s="16"/>
      <c r="AA257" s="16"/>
      <c r="AB257" s="16"/>
      <c r="AC257" s="16"/>
      <c r="AD257" s="16"/>
    </row>
    <row r="258" ht="13.5" customHeight="1" spans="1:30" x14ac:dyDescent="0.25">
      <c r="A258" s="4"/>
      <c r="B258" s="4"/>
      <c r="C258" s="4"/>
      <c r="D258" s="4"/>
      <c r="E258" s="4"/>
      <c r="F258" s="4"/>
      <c r="G258" s="4"/>
      <c r="H258" s="4"/>
      <c r="I258" s="4"/>
      <c r="J258" s="4"/>
      <c r="K258" s="4"/>
      <c r="L258" s="4"/>
      <c r="M258" s="4"/>
      <c r="N258" s="4"/>
      <c r="O258" s="4"/>
      <c r="P258" s="4"/>
      <c r="Q258" s="4"/>
      <c r="R258" s="16"/>
      <c r="S258" s="16"/>
      <c r="T258" s="16"/>
      <c r="U258" s="16"/>
      <c r="V258" s="16"/>
      <c r="W258" s="16"/>
      <c r="X258" s="16"/>
      <c r="Y258" s="16"/>
      <c r="Z258" s="16"/>
      <c r="AA258" s="16"/>
      <c r="AB258" s="16"/>
      <c r="AC258" s="16"/>
      <c r="AD258" s="16"/>
    </row>
    <row r="259" ht="13.5" customHeight="1" spans="1:30" x14ac:dyDescent="0.25">
      <c r="A259" s="4"/>
      <c r="B259" s="4"/>
      <c r="C259" s="4"/>
      <c r="D259" s="4"/>
      <c r="E259" s="4"/>
      <c r="F259" s="4"/>
      <c r="G259" s="4"/>
      <c r="H259" s="4"/>
      <c r="I259" s="4"/>
      <c r="J259" s="4"/>
      <c r="K259" s="4"/>
      <c r="L259" s="4"/>
      <c r="M259" s="4"/>
      <c r="N259" s="4"/>
      <c r="O259" s="4"/>
      <c r="P259" s="4"/>
      <c r="Q259" s="4"/>
      <c r="R259" s="16"/>
      <c r="S259" s="16"/>
      <c r="T259" s="16"/>
      <c r="U259" s="16"/>
      <c r="V259" s="16"/>
      <c r="W259" s="16"/>
      <c r="X259" s="16"/>
      <c r="Y259" s="16"/>
      <c r="Z259" s="16"/>
      <c r="AA259" s="16"/>
      <c r="AB259" s="16"/>
      <c r="AC259" s="16"/>
      <c r="AD259" s="16"/>
    </row>
    <row r="260" ht="13.5" customHeight="1" spans="1:30" x14ac:dyDescent="0.25">
      <c r="A260" s="4"/>
      <c r="B260" s="4"/>
      <c r="C260" s="4"/>
      <c r="D260" s="4"/>
      <c r="E260" s="4"/>
      <c r="F260" s="4"/>
      <c r="G260" s="4"/>
      <c r="H260" s="4"/>
      <c r="I260" s="4"/>
      <c r="J260" s="4"/>
      <c r="K260" s="4"/>
      <c r="L260" s="4"/>
      <c r="M260" s="4"/>
      <c r="N260" s="4"/>
      <c r="O260" s="4"/>
      <c r="P260" s="4"/>
      <c r="Q260" s="4"/>
      <c r="R260" s="16"/>
      <c r="S260" s="16"/>
      <c r="T260" s="16"/>
      <c r="U260" s="16"/>
      <c r="V260" s="16"/>
      <c r="W260" s="16"/>
      <c r="X260" s="16"/>
      <c r="Y260" s="16"/>
      <c r="Z260" s="16"/>
      <c r="AA260" s="16"/>
      <c r="AB260" s="16"/>
      <c r="AC260" s="16"/>
      <c r="AD260" s="16"/>
    </row>
    <row r="261" ht="13.5" customHeight="1" spans="1:30" x14ac:dyDescent="0.25">
      <c r="A261" s="4"/>
      <c r="B261" s="4"/>
      <c r="C261" s="4"/>
      <c r="D261" s="4"/>
      <c r="E261" s="4"/>
      <c r="F261" s="4"/>
      <c r="G261" s="4"/>
      <c r="H261" s="4"/>
      <c r="I261" s="4"/>
      <c r="J261" s="4"/>
      <c r="K261" s="4"/>
      <c r="L261" s="4"/>
      <c r="M261" s="4"/>
      <c r="N261" s="4"/>
      <c r="O261" s="4"/>
      <c r="P261" s="4"/>
      <c r="Q261" s="4"/>
      <c r="R261" s="16"/>
      <c r="S261" s="16"/>
      <c r="T261" s="16"/>
      <c r="U261" s="16"/>
      <c r="V261" s="16"/>
      <c r="W261" s="16"/>
      <c r="X261" s="16"/>
      <c r="Y261" s="16"/>
      <c r="Z261" s="16"/>
      <c r="AA261" s="16"/>
      <c r="AB261" s="16"/>
      <c r="AC261" s="16"/>
      <c r="AD261" s="16"/>
    </row>
    <row r="262" ht="13.5" customHeight="1" spans="1:30" x14ac:dyDescent="0.25">
      <c r="A262" s="4"/>
      <c r="B262" s="4"/>
      <c r="C262" s="4"/>
      <c r="D262" s="4"/>
      <c r="E262" s="4"/>
      <c r="F262" s="4"/>
      <c r="G262" s="4"/>
      <c r="H262" s="4"/>
      <c r="I262" s="4"/>
      <c r="J262" s="4"/>
      <c r="K262" s="4"/>
      <c r="L262" s="4"/>
      <c r="M262" s="4"/>
      <c r="N262" s="4"/>
      <c r="O262" s="4"/>
      <c r="P262" s="4"/>
      <c r="Q262" s="4"/>
      <c r="R262" s="16"/>
      <c r="S262" s="16"/>
      <c r="T262" s="16"/>
      <c r="U262" s="16"/>
      <c r="V262" s="16"/>
      <c r="W262" s="16"/>
      <c r="X262" s="16"/>
      <c r="Y262" s="16"/>
      <c r="Z262" s="16"/>
      <c r="AA262" s="16"/>
      <c r="AB262" s="16"/>
      <c r="AC262" s="16"/>
      <c r="AD262" s="16"/>
    </row>
    <row r="263" ht="13.5" customHeight="1" spans="1:30" x14ac:dyDescent="0.25">
      <c r="A263" s="4"/>
      <c r="B263" s="4"/>
      <c r="C263" s="4"/>
      <c r="D263" s="4"/>
      <c r="E263" s="4"/>
      <c r="F263" s="4"/>
      <c r="G263" s="4"/>
      <c r="H263" s="4"/>
      <c r="I263" s="4"/>
      <c r="J263" s="4"/>
      <c r="K263" s="4"/>
      <c r="L263" s="4"/>
      <c r="M263" s="4"/>
      <c r="N263" s="4"/>
      <c r="O263" s="4"/>
      <c r="P263" s="4"/>
      <c r="Q263" s="4"/>
      <c r="R263" s="16"/>
      <c r="S263" s="16"/>
      <c r="T263" s="16"/>
      <c r="U263" s="16"/>
      <c r="V263" s="16"/>
      <c r="W263" s="16"/>
      <c r="X263" s="16"/>
      <c r="Y263" s="16"/>
      <c r="Z263" s="16"/>
      <c r="AA263" s="16"/>
      <c r="AB263" s="16"/>
      <c r="AC263" s="16"/>
      <c r="AD263" s="16"/>
    </row>
    <row r="264" ht="13.5" customHeight="1" spans="1:30" x14ac:dyDescent="0.25">
      <c r="A264" s="4"/>
      <c r="B264" s="4"/>
      <c r="C264" s="4"/>
      <c r="D264" s="4"/>
      <c r="E264" s="4"/>
      <c r="F264" s="4"/>
      <c r="G264" s="4"/>
      <c r="H264" s="4"/>
      <c r="I264" s="4"/>
      <c r="J264" s="4"/>
      <c r="K264" s="4"/>
      <c r="L264" s="4"/>
      <c r="M264" s="4"/>
      <c r="N264" s="4"/>
      <c r="O264" s="4"/>
      <c r="P264" s="4"/>
      <c r="Q264" s="4"/>
      <c r="R264" s="16"/>
      <c r="S264" s="16"/>
      <c r="T264" s="16"/>
      <c r="U264" s="16"/>
      <c r="V264" s="16"/>
      <c r="W264" s="16"/>
      <c r="X264" s="16"/>
      <c r="Y264" s="16"/>
      <c r="Z264" s="16"/>
      <c r="AA264" s="16"/>
      <c r="AB264" s="16"/>
      <c r="AC264" s="16"/>
      <c r="AD264" s="16"/>
    </row>
    <row r="265" ht="13.5" customHeight="1" spans="1:30" x14ac:dyDescent="0.25">
      <c r="A265" s="4"/>
      <c r="B265" s="4"/>
      <c r="C265" s="4"/>
      <c r="D265" s="4"/>
      <c r="E265" s="4"/>
      <c r="F265" s="4"/>
      <c r="G265" s="4"/>
      <c r="H265" s="4"/>
      <c r="I265" s="4"/>
      <c r="J265" s="4"/>
      <c r="K265" s="4"/>
      <c r="L265" s="4"/>
      <c r="M265" s="4"/>
      <c r="N265" s="4"/>
      <c r="O265" s="4"/>
      <c r="P265" s="4"/>
      <c r="Q265" s="4"/>
      <c r="R265" s="16"/>
      <c r="S265" s="16"/>
      <c r="T265" s="16"/>
      <c r="U265" s="16"/>
      <c r="V265" s="16"/>
      <c r="W265" s="16"/>
      <c r="X265" s="16"/>
      <c r="Y265" s="16"/>
      <c r="Z265" s="16"/>
      <c r="AA265" s="16"/>
      <c r="AB265" s="16"/>
      <c r="AC265" s="16"/>
      <c r="AD265" s="16"/>
    </row>
    <row r="266" ht="13.5" customHeight="1" spans="1:30" x14ac:dyDescent="0.25">
      <c r="A266" s="4"/>
      <c r="B266" s="4"/>
      <c r="C266" s="4"/>
      <c r="D266" s="4"/>
      <c r="E266" s="4"/>
      <c r="F266" s="4"/>
      <c r="G266" s="4"/>
      <c r="H266" s="4"/>
      <c r="I266" s="4"/>
      <c r="J266" s="4"/>
      <c r="K266" s="4"/>
      <c r="L266" s="4"/>
      <c r="M266" s="4"/>
      <c r="N266" s="4"/>
      <c r="O266" s="4"/>
      <c r="P266" s="4"/>
      <c r="Q266" s="4"/>
      <c r="R266" s="16"/>
      <c r="S266" s="16"/>
      <c r="T266" s="16"/>
      <c r="U266" s="16"/>
      <c r="V266" s="16"/>
      <c r="W266" s="16"/>
      <c r="X266" s="16"/>
      <c r="Y266" s="16"/>
      <c r="Z266" s="16"/>
      <c r="AA266" s="16"/>
      <c r="AB266" s="16"/>
      <c r="AC266" s="16"/>
      <c r="AD266" s="16"/>
    </row>
    <row r="267" ht="13.5" customHeight="1" spans="1:30" x14ac:dyDescent="0.25">
      <c r="A267" s="4"/>
      <c r="B267" s="4"/>
      <c r="C267" s="4"/>
      <c r="D267" s="4"/>
      <c r="E267" s="4"/>
      <c r="F267" s="4"/>
      <c r="G267" s="4"/>
      <c r="H267" s="4"/>
      <c r="I267" s="4"/>
      <c r="J267" s="4"/>
      <c r="K267" s="4"/>
      <c r="L267" s="4"/>
      <c r="M267" s="4"/>
      <c r="N267" s="4"/>
      <c r="O267" s="4"/>
      <c r="P267" s="4"/>
      <c r="Q267" s="4"/>
      <c r="R267" s="16"/>
      <c r="S267" s="16"/>
      <c r="T267" s="16"/>
      <c r="U267" s="16"/>
      <c r="V267" s="16"/>
      <c r="W267" s="16"/>
      <c r="X267" s="16"/>
      <c r="Y267" s="16"/>
      <c r="Z267" s="16"/>
      <c r="AA267" s="16"/>
      <c r="AB267" s="16"/>
      <c r="AC267" s="16"/>
      <c r="AD267" s="16"/>
    </row>
    <row r="268" ht="13.5" customHeight="1" spans="1:30" x14ac:dyDescent="0.25">
      <c r="A268" s="4"/>
      <c r="B268" s="4"/>
      <c r="C268" s="4"/>
      <c r="D268" s="4"/>
      <c r="E268" s="4"/>
      <c r="F268" s="4"/>
      <c r="G268" s="4"/>
      <c r="H268" s="4"/>
      <c r="I268" s="4"/>
      <c r="J268" s="4"/>
      <c r="K268" s="4"/>
      <c r="L268" s="4"/>
      <c r="M268" s="4"/>
      <c r="N268" s="4"/>
      <c r="O268" s="4"/>
      <c r="P268" s="4"/>
      <c r="Q268" s="4"/>
      <c r="R268" s="16"/>
      <c r="S268" s="16"/>
      <c r="T268" s="16"/>
      <c r="U268" s="16"/>
      <c r="V268" s="16"/>
      <c r="W268" s="16"/>
      <c r="X268" s="16"/>
      <c r="Y268" s="16"/>
      <c r="Z268" s="16"/>
      <c r="AA268" s="16"/>
      <c r="AB268" s="16"/>
      <c r="AC268" s="16"/>
      <c r="AD268" s="16"/>
    </row>
    <row r="269" ht="13.5" customHeight="1" spans="1:30" x14ac:dyDescent="0.25">
      <c r="A269" s="4"/>
      <c r="B269" s="4"/>
      <c r="C269" s="4"/>
      <c r="D269" s="4"/>
      <c r="E269" s="4"/>
      <c r="F269" s="4"/>
      <c r="G269" s="4"/>
      <c r="H269" s="4"/>
      <c r="I269" s="4"/>
      <c r="J269" s="4"/>
      <c r="K269" s="4"/>
      <c r="L269" s="4"/>
      <c r="M269" s="4"/>
      <c r="N269" s="4"/>
      <c r="O269" s="4"/>
      <c r="P269" s="4"/>
      <c r="Q269" s="4"/>
      <c r="R269" s="16"/>
      <c r="S269" s="16"/>
      <c r="T269" s="16"/>
      <c r="U269" s="16"/>
      <c r="V269" s="16"/>
      <c r="W269" s="16"/>
      <c r="X269" s="16"/>
      <c r="Y269" s="16"/>
      <c r="Z269" s="16"/>
      <c r="AA269" s="16"/>
      <c r="AB269" s="16"/>
      <c r="AC269" s="16"/>
      <c r="AD269" s="16"/>
    </row>
    <row r="270" ht="13.5" customHeight="1" spans="1:30" x14ac:dyDescent="0.25">
      <c r="A270" s="4"/>
      <c r="B270" s="4"/>
      <c r="C270" s="4"/>
      <c r="D270" s="4"/>
      <c r="E270" s="4"/>
      <c r="F270" s="4"/>
      <c r="G270" s="4"/>
      <c r="H270" s="4"/>
      <c r="I270" s="4"/>
      <c r="J270" s="4"/>
      <c r="K270" s="4"/>
      <c r="L270" s="4"/>
      <c r="M270" s="4"/>
      <c r="N270" s="4"/>
      <c r="O270" s="4"/>
      <c r="P270" s="4"/>
      <c r="Q270" s="4"/>
      <c r="R270" s="16"/>
      <c r="S270" s="16"/>
      <c r="T270" s="16"/>
      <c r="U270" s="16"/>
      <c r="V270" s="16"/>
      <c r="W270" s="16"/>
      <c r="X270" s="16"/>
      <c r="Y270" s="16"/>
      <c r="Z270" s="16"/>
      <c r="AA270" s="16"/>
      <c r="AB270" s="16"/>
      <c r="AC270" s="16"/>
      <c r="AD270" s="16"/>
    </row>
    <row r="271" ht="13.5" customHeight="1" spans="1:30" x14ac:dyDescent="0.25">
      <c r="A271" s="4"/>
      <c r="B271" s="4"/>
      <c r="C271" s="4"/>
      <c r="D271" s="4"/>
      <c r="E271" s="4"/>
      <c r="F271" s="4"/>
      <c r="G271" s="4"/>
      <c r="H271" s="4"/>
      <c r="I271" s="4"/>
      <c r="J271" s="4"/>
      <c r="K271" s="4"/>
      <c r="L271" s="4"/>
      <c r="M271" s="4"/>
      <c r="N271" s="4"/>
      <c r="O271" s="4"/>
      <c r="P271" s="4"/>
      <c r="Q271" s="4"/>
      <c r="R271" s="16"/>
      <c r="S271" s="16"/>
      <c r="T271" s="16"/>
      <c r="U271" s="16"/>
      <c r="V271" s="16"/>
      <c r="W271" s="16"/>
      <c r="X271" s="16"/>
      <c r="Y271" s="16"/>
      <c r="Z271" s="16"/>
      <c r="AA271" s="16"/>
      <c r="AB271" s="16"/>
      <c r="AC271" s="16"/>
      <c r="AD271" s="16"/>
    </row>
    <row r="272" ht="13.5" customHeight="1" spans="1:30" x14ac:dyDescent="0.25">
      <c r="A272" s="4"/>
      <c r="B272" s="4"/>
      <c r="C272" s="4"/>
      <c r="D272" s="4"/>
      <c r="E272" s="4"/>
      <c r="F272" s="4"/>
      <c r="G272" s="4"/>
      <c r="H272" s="4"/>
      <c r="I272" s="4"/>
      <c r="J272" s="4"/>
      <c r="K272" s="4"/>
      <c r="L272" s="4"/>
      <c r="M272" s="4"/>
      <c r="N272" s="4"/>
      <c r="O272" s="4"/>
      <c r="P272" s="4"/>
      <c r="Q272" s="4"/>
      <c r="R272" s="16"/>
      <c r="S272" s="16"/>
      <c r="T272" s="16"/>
      <c r="U272" s="16"/>
      <c r="V272" s="16"/>
      <c r="W272" s="16"/>
      <c r="X272" s="16"/>
      <c r="Y272" s="16"/>
      <c r="Z272" s="16"/>
      <c r="AA272" s="16"/>
      <c r="AB272" s="16"/>
      <c r="AC272" s="16"/>
      <c r="AD272" s="16"/>
    </row>
    <row r="273" ht="13.5" customHeight="1" spans="1:30" x14ac:dyDescent="0.25">
      <c r="A273" s="4"/>
      <c r="B273" s="4"/>
      <c r="C273" s="4"/>
      <c r="D273" s="4"/>
      <c r="E273" s="4"/>
      <c r="F273" s="4"/>
      <c r="G273" s="4"/>
      <c r="H273" s="4"/>
      <c r="I273" s="4"/>
      <c r="J273" s="4"/>
      <c r="K273" s="4"/>
      <c r="L273" s="4"/>
      <c r="M273" s="4"/>
      <c r="N273" s="4"/>
      <c r="O273" s="4"/>
      <c r="P273" s="4"/>
      <c r="Q273" s="4"/>
      <c r="R273" s="16"/>
      <c r="S273" s="16"/>
      <c r="T273" s="16"/>
      <c r="U273" s="16"/>
      <c r="V273" s="16"/>
      <c r="W273" s="16"/>
      <c r="X273" s="16"/>
      <c r="Y273" s="16"/>
      <c r="Z273" s="16"/>
      <c r="AA273" s="16"/>
      <c r="AB273" s="16"/>
      <c r="AC273" s="16"/>
      <c r="AD273" s="16"/>
    </row>
    <row r="274" ht="13.5" customHeight="1" spans="1:30" x14ac:dyDescent="0.25">
      <c r="A274" s="4"/>
      <c r="B274" s="4"/>
      <c r="C274" s="4"/>
      <c r="D274" s="4"/>
      <c r="E274" s="4"/>
      <c r="F274" s="4"/>
      <c r="G274" s="4"/>
      <c r="H274" s="4"/>
      <c r="I274" s="4"/>
      <c r="J274" s="4"/>
      <c r="K274" s="4"/>
      <c r="L274" s="4"/>
      <c r="M274" s="4"/>
      <c r="N274" s="4"/>
      <c r="O274" s="4"/>
      <c r="P274" s="4"/>
      <c r="Q274" s="4"/>
      <c r="R274" s="16"/>
      <c r="S274" s="16"/>
      <c r="T274" s="16"/>
      <c r="U274" s="16"/>
      <c r="V274" s="16"/>
      <c r="W274" s="16"/>
      <c r="X274" s="16"/>
      <c r="Y274" s="16"/>
      <c r="Z274" s="16"/>
      <c r="AA274" s="16"/>
      <c r="AB274" s="16"/>
      <c r="AC274" s="16"/>
      <c r="AD274" s="16"/>
    </row>
    <row r="275" ht="13.5" customHeight="1" spans="1:30" x14ac:dyDescent="0.25">
      <c r="A275" s="4"/>
      <c r="B275" s="4"/>
      <c r="C275" s="4"/>
      <c r="D275" s="4"/>
      <c r="E275" s="4"/>
      <c r="F275" s="4"/>
      <c r="G275" s="4"/>
      <c r="H275" s="4"/>
      <c r="I275" s="4"/>
      <c r="J275" s="4"/>
      <c r="K275" s="4"/>
      <c r="L275" s="4"/>
      <c r="M275" s="4"/>
      <c r="N275" s="4"/>
      <c r="O275" s="4"/>
      <c r="P275" s="4"/>
      <c r="Q275" s="4"/>
      <c r="R275" s="16"/>
      <c r="S275" s="16"/>
      <c r="T275" s="16"/>
      <c r="U275" s="16"/>
      <c r="V275" s="16"/>
      <c r="W275" s="16"/>
      <c r="X275" s="16"/>
      <c r="Y275" s="16"/>
      <c r="Z275" s="16"/>
      <c r="AA275" s="16"/>
      <c r="AB275" s="16"/>
      <c r="AC275" s="16"/>
      <c r="AD275" s="16"/>
    </row>
    <row r="276" ht="13.5" customHeight="1" spans="1:30" x14ac:dyDescent="0.25">
      <c r="A276" s="4"/>
      <c r="B276" s="4"/>
      <c r="C276" s="4"/>
      <c r="D276" s="4"/>
      <c r="E276" s="4"/>
      <c r="F276" s="4"/>
      <c r="G276" s="4"/>
      <c r="H276" s="4"/>
      <c r="I276" s="4"/>
      <c r="J276" s="4"/>
      <c r="K276" s="4"/>
      <c r="L276" s="4"/>
      <c r="M276" s="4"/>
      <c r="N276" s="4"/>
      <c r="O276" s="4"/>
      <c r="P276" s="4"/>
      <c r="Q276" s="4"/>
      <c r="R276" s="16"/>
      <c r="S276" s="16"/>
      <c r="T276" s="16"/>
      <c r="U276" s="16"/>
      <c r="V276" s="16"/>
      <c r="W276" s="16"/>
      <c r="X276" s="16"/>
      <c r="Y276" s="16"/>
      <c r="Z276" s="16"/>
      <c r="AA276" s="16"/>
      <c r="AB276" s="16"/>
      <c r="AC276" s="16"/>
      <c r="AD276" s="16"/>
    </row>
    <row r="277" ht="13.5" customHeight="1" spans="1:30" x14ac:dyDescent="0.25">
      <c r="A277" s="4"/>
      <c r="B277" s="4"/>
      <c r="C277" s="4"/>
      <c r="D277" s="4"/>
      <c r="E277" s="4"/>
      <c r="F277" s="4"/>
      <c r="G277" s="4"/>
      <c r="H277" s="4"/>
      <c r="I277" s="4"/>
      <c r="J277" s="4"/>
      <c r="K277" s="4"/>
      <c r="L277" s="4"/>
      <c r="M277" s="4"/>
      <c r="N277" s="4"/>
      <c r="O277" s="4"/>
      <c r="P277" s="4"/>
      <c r="Q277" s="4"/>
      <c r="R277" s="16"/>
      <c r="S277" s="16"/>
      <c r="T277" s="16"/>
      <c r="U277" s="16"/>
      <c r="V277" s="16"/>
      <c r="W277" s="16"/>
      <c r="X277" s="16"/>
      <c r="Y277" s="16"/>
      <c r="Z277" s="16"/>
      <c r="AA277" s="16"/>
      <c r="AB277" s="16"/>
      <c r="AC277" s="16"/>
      <c r="AD277" s="16"/>
    </row>
    <row r="278" ht="13.5" customHeight="1" spans="1:30" x14ac:dyDescent="0.25">
      <c r="A278" s="4"/>
      <c r="B278" s="4"/>
      <c r="C278" s="4"/>
      <c r="D278" s="4"/>
      <c r="E278" s="4"/>
      <c r="F278" s="4"/>
      <c r="G278" s="4"/>
      <c r="H278" s="4"/>
      <c r="I278" s="4"/>
      <c r="J278" s="4"/>
      <c r="K278" s="4"/>
      <c r="L278" s="4"/>
      <c r="M278" s="4"/>
      <c r="N278" s="4"/>
      <c r="O278" s="4"/>
      <c r="P278" s="4"/>
      <c r="Q278" s="4"/>
      <c r="R278" s="16"/>
      <c r="S278" s="16"/>
      <c r="T278" s="16"/>
      <c r="U278" s="16"/>
      <c r="V278" s="16"/>
      <c r="W278" s="16"/>
      <c r="X278" s="16"/>
      <c r="Y278" s="16"/>
      <c r="Z278" s="16"/>
      <c r="AA278" s="16"/>
      <c r="AB278" s="16"/>
      <c r="AC278" s="16"/>
      <c r="AD278" s="16"/>
    </row>
    <row r="279" ht="13.5" customHeight="1" spans="1:30" x14ac:dyDescent="0.25">
      <c r="A279" s="4"/>
      <c r="B279" s="4"/>
      <c r="C279" s="4"/>
      <c r="D279" s="4"/>
      <c r="E279" s="4"/>
      <c r="F279" s="4"/>
      <c r="G279" s="4"/>
      <c r="H279" s="4"/>
      <c r="I279" s="4"/>
      <c r="J279" s="4"/>
      <c r="K279" s="4"/>
      <c r="L279" s="4"/>
      <c r="M279" s="4"/>
      <c r="N279" s="4"/>
      <c r="O279" s="4"/>
      <c r="P279" s="4"/>
      <c r="Q279" s="4"/>
      <c r="R279" s="16"/>
      <c r="S279" s="16"/>
      <c r="T279" s="16"/>
      <c r="U279" s="16"/>
      <c r="V279" s="16"/>
      <c r="W279" s="16"/>
      <c r="X279" s="16"/>
      <c r="Y279" s="16"/>
      <c r="Z279" s="16"/>
      <c r="AA279" s="16"/>
      <c r="AB279" s="16"/>
      <c r="AC279" s="16"/>
      <c r="AD279" s="16"/>
    </row>
    <row r="280" ht="13.5" customHeight="1" spans="1:30" x14ac:dyDescent="0.25">
      <c r="A280" s="4"/>
      <c r="B280" s="4"/>
      <c r="C280" s="4"/>
      <c r="D280" s="4"/>
      <c r="E280" s="4"/>
      <c r="F280" s="4"/>
      <c r="G280" s="4"/>
      <c r="H280" s="4"/>
      <c r="I280" s="4"/>
      <c r="J280" s="4"/>
      <c r="K280" s="4"/>
      <c r="L280" s="4"/>
      <c r="M280" s="4"/>
      <c r="N280" s="4"/>
      <c r="O280" s="4"/>
      <c r="P280" s="4"/>
      <c r="Q280" s="4"/>
      <c r="R280" s="16"/>
      <c r="S280" s="16"/>
      <c r="T280" s="16"/>
      <c r="U280" s="16"/>
      <c r="V280" s="16"/>
      <c r="W280" s="16"/>
      <c r="X280" s="16"/>
      <c r="Y280" s="16"/>
      <c r="Z280" s="16"/>
      <c r="AA280" s="16"/>
      <c r="AB280" s="16"/>
      <c r="AC280" s="16"/>
      <c r="AD280" s="16"/>
    </row>
    <row r="281" ht="13.5" customHeight="1" spans="1:30" x14ac:dyDescent="0.25">
      <c r="A281" s="4"/>
      <c r="B281" s="4"/>
      <c r="C281" s="4"/>
      <c r="D281" s="4"/>
      <c r="E281" s="4"/>
      <c r="F281" s="4"/>
      <c r="G281" s="4"/>
      <c r="H281" s="4"/>
      <c r="I281" s="4"/>
      <c r="J281" s="4"/>
      <c r="K281" s="4"/>
      <c r="L281" s="4"/>
      <c r="M281" s="4"/>
      <c r="N281" s="4"/>
      <c r="O281" s="4"/>
      <c r="P281" s="4"/>
      <c r="Q281" s="4"/>
      <c r="R281" s="16"/>
      <c r="S281" s="16"/>
      <c r="T281" s="16"/>
      <c r="U281" s="16"/>
      <c r="V281" s="16"/>
      <c r="W281" s="16"/>
      <c r="X281" s="16"/>
      <c r="Y281" s="16"/>
      <c r="Z281" s="16"/>
      <c r="AA281" s="16"/>
      <c r="AB281" s="16"/>
      <c r="AC281" s="16"/>
      <c r="AD281" s="16"/>
    </row>
    <row r="282" ht="13.5" customHeight="1" spans="1:30" x14ac:dyDescent="0.25">
      <c r="A282" s="4"/>
      <c r="B282" s="4"/>
      <c r="C282" s="4"/>
      <c r="D282" s="4"/>
      <c r="E282" s="4"/>
      <c r="F282" s="4"/>
      <c r="G282" s="4"/>
      <c r="H282" s="4"/>
      <c r="I282" s="4"/>
      <c r="J282" s="4"/>
      <c r="K282" s="4"/>
      <c r="L282" s="4"/>
      <c r="M282" s="4"/>
      <c r="N282" s="4"/>
      <c r="O282" s="4"/>
      <c r="P282" s="4"/>
      <c r="Q282" s="4"/>
      <c r="R282" s="16"/>
      <c r="S282" s="16"/>
      <c r="T282" s="16"/>
      <c r="U282" s="16"/>
      <c r="V282" s="16"/>
      <c r="W282" s="16"/>
      <c r="X282" s="16"/>
      <c r="Y282" s="16"/>
      <c r="Z282" s="16"/>
      <c r="AA282" s="16"/>
      <c r="AB282" s="16"/>
      <c r="AC282" s="16"/>
      <c r="AD282" s="16"/>
    </row>
    <row r="283" ht="13.5" customHeight="1" spans="1:30" x14ac:dyDescent="0.25">
      <c r="A283" s="4"/>
      <c r="B283" s="4"/>
      <c r="C283" s="4"/>
      <c r="D283" s="4"/>
      <c r="E283" s="4"/>
      <c r="F283" s="4"/>
      <c r="G283" s="4"/>
      <c r="H283" s="4"/>
      <c r="I283" s="4"/>
      <c r="J283" s="4"/>
      <c r="K283" s="4"/>
      <c r="L283" s="4"/>
      <c r="M283" s="4"/>
      <c r="N283" s="4"/>
      <c r="O283" s="4"/>
      <c r="P283" s="4"/>
      <c r="Q283" s="4"/>
      <c r="R283" s="16"/>
      <c r="S283" s="16"/>
      <c r="T283" s="16"/>
      <c r="U283" s="16"/>
      <c r="V283" s="16"/>
      <c r="W283" s="16"/>
      <c r="X283" s="16"/>
      <c r="Y283" s="16"/>
      <c r="Z283" s="16"/>
      <c r="AA283" s="16"/>
      <c r="AB283" s="16"/>
      <c r="AC283" s="16"/>
      <c r="AD283" s="16"/>
    </row>
    <row r="284" ht="13.5" customHeight="1" spans="1:30" x14ac:dyDescent="0.25">
      <c r="A284" s="4"/>
      <c r="B284" s="4"/>
      <c r="C284" s="4"/>
      <c r="D284" s="4"/>
      <c r="E284" s="4"/>
      <c r="F284" s="4"/>
      <c r="G284" s="4"/>
      <c r="H284" s="4"/>
      <c r="I284" s="4"/>
      <c r="J284" s="4"/>
      <c r="K284" s="4"/>
      <c r="L284" s="4"/>
      <c r="M284" s="4"/>
      <c r="N284" s="4"/>
      <c r="O284" s="4"/>
      <c r="P284" s="4"/>
      <c r="Q284" s="4"/>
      <c r="R284" s="16"/>
      <c r="S284" s="16"/>
      <c r="T284" s="16"/>
      <c r="U284" s="16"/>
      <c r="V284" s="16"/>
      <c r="W284" s="16"/>
      <c r="X284" s="16"/>
      <c r="Y284" s="16"/>
      <c r="Z284" s="16"/>
      <c r="AA284" s="16"/>
      <c r="AB284" s="16"/>
      <c r="AC284" s="16"/>
      <c r="AD284" s="16"/>
    </row>
    <row r="285" ht="13.5" customHeight="1" spans="1:30" x14ac:dyDescent="0.25">
      <c r="A285" s="4"/>
      <c r="B285" s="4"/>
      <c r="C285" s="4"/>
      <c r="D285" s="4"/>
      <c r="E285" s="4"/>
      <c r="F285" s="4"/>
      <c r="G285" s="4"/>
      <c r="H285" s="4"/>
      <c r="I285" s="4"/>
      <c r="J285" s="4"/>
      <c r="K285" s="4"/>
      <c r="L285" s="4"/>
      <c r="M285" s="4"/>
      <c r="N285" s="4"/>
      <c r="O285" s="4"/>
      <c r="P285" s="4"/>
      <c r="Q285" s="4"/>
      <c r="R285" s="16"/>
      <c r="S285" s="16"/>
      <c r="T285" s="16"/>
      <c r="U285" s="16"/>
      <c r="V285" s="16"/>
      <c r="W285" s="16"/>
      <c r="X285" s="16"/>
      <c r="Y285" s="16"/>
      <c r="Z285" s="16"/>
      <c r="AA285" s="16"/>
      <c r="AB285" s="16"/>
      <c r="AC285" s="16"/>
      <c r="AD285" s="16"/>
    </row>
    <row r="286" ht="13.5" customHeight="1" spans="1:30" x14ac:dyDescent="0.25">
      <c r="A286" s="4"/>
      <c r="B286" s="4"/>
      <c r="C286" s="4"/>
      <c r="D286" s="4"/>
      <c r="E286" s="4"/>
      <c r="F286" s="4"/>
      <c r="G286" s="4"/>
      <c r="H286" s="4"/>
      <c r="I286" s="4"/>
      <c r="J286" s="4"/>
      <c r="K286" s="4"/>
      <c r="L286" s="4"/>
      <c r="M286" s="4"/>
      <c r="N286" s="4"/>
      <c r="O286" s="4"/>
      <c r="P286" s="4"/>
      <c r="Q286" s="4"/>
      <c r="R286" s="16"/>
      <c r="S286" s="16"/>
      <c r="T286" s="16"/>
      <c r="U286" s="16"/>
      <c r="V286" s="16"/>
      <c r="W286" s="16"/>
      <c r="X286" s="16"/>
      <c r="Y286" s="16"/>
      <c r="Z286" s="16"/>
      <c r="AA286" s="16"/>
      <c r="AB286" s="16"/>
      <c r="AC286" s="16"/>
      <c r="AD286" s="16"/>
    </row>
    <row r="287" ht="13.5" customHeight="1" spans="1:30" x14ac:dyDescent="0.25">
      <c r="A287" s="4"/>
      <c r="B287" s="4"/>
      <c r="C287" s="4"/>
      <c r="D287" s="4"/>
      <c r="E287" s="4"/>
      <c r="F287" s="4"/>
      <c r="G287" s="4"/>
      <c r="H287" s="4"/>
      <c r="I287" s="4"/>
      <c r="J287" s="4"/>
      <c r="K287" s="4"/>
      <c r="L287" s="4"/>
      <c r="M287" s="4"/>
      <c r="N287" s="4"/>
      <c r="O287" s="4"/>
      <c r="P287" s="4"/>
      <c r="Q287" s="4"/>
      <c r="R287" s="16"/>
      <c r="S287" s="16"/>
      <c r="T287" s="16"/>
      <c r="U287" s="16"/>
      <c r="V287" s="16"/>
      <c r="W287" s="16"/>
      <c r="X287" s="16"/>
      <c r="Y287" s="16"/>
      <c r="Z287" s="16"/>
      <c r="AA287" s="16"/>
      <c r="AB287" s="16"/>
      <c r="AC287" s="16"/>
      <c r="AD287" s="16"/>
    </row>
    <row r="288" ht="13.5" customHeight="1" spans="1:30" x14ac:dyDescent="0.25">
      <c r="A288" s="4"/>
      <c r="B288" s="4"/>
      <c r="C288" s="4"/>
      <c r="D288" s="4"/>
      <c r="E288" s="4"/>
      <c r="F288" s="4"/>
      <c r="G288" s="4"/>
      <c r="H288" s="4"/>
      <c r="I288" s="4"/>
      <c r="J288" s="4"/>
      <c r="K288" s="4"/>
      <c r="L288" s="4"/>
      <c r="M288" s="4"/>
      <c r="N288" s="4"/>
      <c r="O288" s="4"/>
      <c r="P288" s="4"/>
      <c r="Q288" s="4"/>
      <c r="R288" s="16"/>
      <c r="S288" s="16"/>
      <c r="T288" s="16"/>
      <c r="U288" s="16"/>
      <c r="V288" s="16"/>
      <c r="W288" s="16"/>
      <c r="X288" s="16"/>
      <c r="Y288" s="16"/>
      <c r="Z288" s="16"/>
      <c r="AA288" s="16"/>
      <c r="AB288" s="16"/>
      <c r="AC288" s="16"/>
      <c r="AD288" s="16"/>
    </row>
    <row r="289" ht="13.5" customHeight="1" spans="1:30" x14ac:dyDescent="0.25">
      <c r="A289" s="4"/>
      <c r="B289" s="4"/>
      <c r="C289" s="4"/>
      <c r="D289" s="4"/>
      <c r="E289" s="4"/>
      <c r="F289" s="4"/>
      <c r="G289" s="4"/>
      <c r="H289" s="4"/>
      <c r="I289" s="4"/>
      <c r="J289" s="4"/>
      <c r="K289" s="4"/>
      <c r="L289" s="4"/>
      <c r="M289" s="4"/>
      <c r="N289" s="4"/>
      <c r="O289" s="4"/>
      <c r="P289" s="4"/>
      <c r="Q289" s="4"/>
      <c r="R289" s="16"/>
      <c r="S289" s="16"/>
      <c r="T289" s="16"/>
      <c r="U289" s="16"/>
      <c r="V289" s="16"/>
      <c r="W289" s="16"/>
      <c r="X289" s="16"/>
      <c r="Y289" s="16"/>
      <c r="Z289" s="16"/>
      <c r="AA289" s="16"/>
      <c r="AB289" s="16"/>
      <c r="AC289" s="16"/>
      <c r="AD289" s="16"/>
    </row>
    <row r="290" ht="13.5" customHeight="1" spans="1:30" x14ac:dyDescent="0.25">
      <c r="A290" s="4"/>
      <c r="B290" s="4"/>
      <c r="C290" s="4"/>
      <c r="D290" s="4"/>
      <c r="E290" s="4"/>
      <c r="F290" s="4"/>
      <c r="G290" s="4"/>
      <c r="H290" s="4"/>
      <c r="I290" s="4"/>
      <c r="J290" s="4"/>
      <c r="K290" s="4"/>
      <c r="L290" s="4"/>
      <c r="M290" s="4"/>
      <c r="N290" s="4"/>
      <c r="O290" s="4"/>
      <c r="P290" s="4"/>
      <c r="Q290" s="4"/>
      <c r="R290" s="16"/>
      <c r="S290" s="16"/>
      <c r="T290" s="16"/>
      <c r="U290" s="16"/>
      <c r="V290" s="16"/>
      <c r="W290" s="16"/>
      <c r="X290" s="16"/>
      <c r="Y290" s="16"/>
      <c r="Z290" s="16"/>
      <c r="AA290" s="16"/>
      <c r="AB290" s="16"/>
      <c r="AC290" s="16"/>
      <c r="AD290" s="16"/>
    </row>
    <row r="291" ht="13.5" customHeight="1" spans="1:30" x14ac:dyDescent="0.25">
      <c r="A291" s="4"/>
      <c r="B291" s="4"/>
      <c r="C291" s="4"/>
      <c r="D291" s="4"/>
      <c r="E291" s="4"/>
      <c r="F291" s="4"/>
      <c r="G291" s="4"/>
      <c r="H291" s="4"/>
      <c r="I291" s="4"/>
      <c r="J291" s="4"/>
      <c r="K291" s="4"/>
      <c r="L291" s="4"/>
      <c r="M291" s="4"/>
      <c r="N291" s="4"/>
      <c r="O291" s="4"/>
      <c r="P291" s="4"/>
      <c r="Q291" s="4"/>
      <c r="R291" s="16"/>
      <c r="S291" s="16"/>
      <c r="T291" s="16"/>
      <c r="U291" s="16"/>
      <c r="V291" s="16"/>
      <c r="W291" s="16"/>
      <c r="X291" s="16"/>
      <c r="Y291" s="16"/>
      <c r="Z291" s="16"/>
      <c r="AA291" s="16"/>
      <c r="AB291" s="16"/>
      <c r="AC291" s="16"/>
      <c r="AD291" s="16"/>
    </row>
    <row r="292" ht="13.5" customHeight="1" spans="1:30" x14ac:dyDescent="0.25">
      <c r="A292" s="4"/>
      <c r="B292" s="4"/>
      <c r="C292" s="4"/>
      <c r="D292" s="4"/>
      <c r="E292" s="4"/>
      <c r="F292" s="4"/>
      <c r="G292" s="4"/>
      <c r="H292" s="4"/>
      <c r="I292" s="4"/>
      <c r="J292" s="4"/>
      <c r="K292" s="4"/>
      <c r="L292" s="4"/>
      <c r="M292" s="4"/>
      <c r="N292" s="4"/>
      <c r="O292" s="4"/>
      <c r="P292" s="4"/>
      <c r="Q292" s="4"/>
      <c r="R292" s="16"/>
      <c r="S292" s="16"/>
      <c r="T292" s="16"/>
      <c r="U292" s="16"/>
      <c r="V292" s="16"/>
      <c r="W292" s="16"/>
      <c r="X292" s="16"/>
      <c r="Y292" s="16"/>
      <c r="Z292" s="16"/>
      <c r="AA292" s="16"/>
      <c r="AB292" s="16"/>
      <c r="AC292" s="16"/>
      <c r="AD292" s="16"/>
    </row>
    <row r="293" ht="13.5" customHeight="1" spans="1:30" x14ac:dyDescent="0.25">
      <c r="A293" s="4"/>
      <c r="B293" s="4"/>
      <c r="C293" s="4"/>
      <c r="D293" s="4"/>
      <c r="E293" s="4"/>
      <c r="F293" s="4"/>
      <c r="G293" s="4"/>
      <c r="H293" s="4"/>
      <c r="I293" s="4"/>
      <c r="J293" s="4"/>
      <c r="K293" s="4"/>
      <c r="L293" s="4"/>
      <c r="M293" s="4"/>
      <c r="N293" s="4"/>
      <c r="O293" s="4"/>
      <c r="P293" s="4"/>
      <c r="Q293" s="4"/>
      <c r="R293" s="16"/>
      <c r="S293" s="16"/>
      <c r="T293" s="16"/>
      <c r="U293" s="16"/>
      <c r="V293" s="16"/>
      <c r="W293" s="16"/>
      <c r="X293" s="16"/>
      <c r="Y293" s="16"/>
      <c r="Z293" s="16"/>
      <c r="AA293" s="16"/>
      <c r="AB293" s="16"/>
      <c r="AC293" s="16"/>
      <c r="AD293" s="16"/>
    </row>
    <row r="294" ht="13.5" customHeight="1" spans="1:30" x14ac:dyDescent="0.25">
      <c r="A294" s="4"/>
      <c r="B294" s="4"/>
      <c r="C294" s="4"/>
      <c r="D294" s="4"/>
      <c r="E294" s="4"/>
      <c r="F294" s="4"/>
      <c r="G294" s="4"/>
      <c r="H294" s="4"/>
      <c r="I294" s="4"/>
      <c r="J294" s="4"/>
      <c r="K294" s="4"/>
      <c r="L294" s="4"/>
      <c r="M294" s="4"/>
      <c r="N294" s="4"/>
      <c r="O294" s="4"/>
      <c r="P294" s="4"/>
      <c r="Q294" s="4"/>
      <c r="R294" s="16"/>
      <c r="S294" s="16"/>
      <c r="T294" s="16"/>
      <c r="U294" s="16"/>
      <c r="V294" s="16"/>
      <c r="W294" s="16"/>
      <c r="X294" s="16"/>
      <c r="Y294" s="16"/>
      <c r="Z294" s="16"/>
      <c r="AA294" s="16"/>
      <c r="AB294" s="16"/>
      <c r="AC294" s="16"/>
      <c r="AD294" s="16"/>
    </row>
    <row r="295" ht="13.5" customHeight="1" spans="1:30" x14ac:dyDescent="0.25">
      <c r="A295" s="4"/>
      <c r="B295" s="4"/>
      <c r="C295" s="4"/>
      <c r="D295" s="4"/>
      <c r="E295" s="4"/>
      <c r="F295" s="4"/>
      <c r="G295" s="4"/>
      <c r="H295" s="4"/>
      <c r="I295" s="4"/>
      <c r="J295" s="4"/>
      <c r="K295" s="4"/>
      <c r="L295" s="4"/>
      <c r="M295" s="4"/>
      <c r="N295" s="4"/>
      <c r="O295" s="4"/>
      <c r="P295" s="4"/>
      <c r="Q295" s="4"/>
      <c r="R295" s="16"/>
      <c r="S295" s="16"/>
      <c r="T295" s="16"/>
      <c r="U295" s="16"/>
      <c r="V295" s="16"/>
      <c r="W295" s="16"/>
      <c r="X295" s="16"/>
      <c r="Y295" s="16"/>
      <c r="Z295" s="16"/>
      <c r="AA295" s="16"/>
      <c r="AB295" s="16"/>
      <c r="AC295" s="16"/>
      <c r="AD295" s="16"/>
    </row>
    <row r="296" ht="13.5" customHeight="1" spans="1:30" x14ac:dyDescent="0.25">
      <c r="A296" s="4"/>
      <c r="B296" s="4"/>
      <c r="C296" s="4"/>
      <c r="D296" s="4"/>
      <c r="E296" s="4"/>
      <c r="F296" s="4"/>
      <c r="G296" s="4"/>
      <c r="H296" s="4"/>
      <c r="I296" s="4"/>
      <c r="J296" s="4"/>
      <c r="K296" s="4"/>
      <c r="L296" s="4"/>
      <c r="M296" s="4"/>
      <c r="N296" s="4"/>
      <c r="O296" s="4"/>
      <c r="P296" s="4"/>
      <c r="Q296" s="4"/>
      <c r="R296" s="16"/>
      <c r="S296" s="16"/>
      <c r="T296" s="16"/>
      <c r="U296" s="16"/>
      <c r="V296" s="16"/>
      <c r="W296" s="16"/>
      <c r="X296" s="16"/>
      <c r="Y296" s="16"/>
      <c r="Z296" s="16"/>
      <c r="AA296" s="16"/>
      <c r="AB296" s="16"/>
      <c r="AC296" s="16"/>
      <c r="AD296" s="16"/>
    </row>
    <row r="297" ht="13.5" customHeight="1" spans="1:30" x14ac:dyDescent="0.25">
      <c r="A297" s="4"/>
      <c r="B297" s="4"/>
      <c r="C297" s="4"/>
      <c r="D297" s="4"/>
      <c r="E297" s="4"/>
      <c r="F297" s="4"/>
      <c r="G297" s="4"/>
      <c r="H297" s="4"/>
      <c r="I297" s="4"/>
      <c r="J297" s="4"/>
      <c r="K297" s="4"/>
      <c r="L297" s="4"/>
      <c r="M297" s="4"/>
      <c r="N297" s="4"/>
      <c r="O297" s="4"/>
      <c r="P297" s="4"/>
      <c r="Q297" s="4"/>
      <c r="R297" s="16"/>
      <c r="S297" s="16"/>
      <c r="T297" s="16"/>
      <c r="U297" s="16"/>
      <c r="V297" s="16"/>
      <c r="W297" s="16"/>
      <c r="X297" s="16"/>
      <c r="Y297" s="16"/>
      <c r="Z297" s="16"/>
      <c r="AA297" s="16"/>
      <c r="AB297" s="16"/>
      <c r="AC297" s="16"/>
      <c r="AD297" s="16"/>
    </row>
    <row r="298" ht="13.5" customHeight="1" spans="1:30" x14ac:dyDescent="0.25">
      <c r="A298" s="4"/>
      <c r="B298" s="4"/>
      <c r="C298" s="4"/>
      <c r="D298" s="4"/>
      <c r="E298" s="4"/>
      <c r="F298" s="4"/>
      <c r="G298" s="4"/>
      <c r="H298" s="4"/>
      <c r="I298" s="4"/>
      <c r="J298" s="4"/>
      <c r="K298" s="4"/>
      <c r="L298" s="4"/>
      <c r="M298" s="4"/>
      <c r="N298" s="4"/>
      <c r="O298" s="4"/>
      <c r="P298" s="4"/>
      <c r="Q298" s="4"/>
      <c r="R298" s="16"/>
      <c r="S298" s="16"/>
      <c r="T298" s="16"/>
      <c r="U298" s="16"/>
      <c r="V298" s="16"/>
      <c r="W298" s="16"/>
      <c r="X298" s="16"/>
      <c r="Y298" s="16"/>
      <c r="Z298" s="16"/>
      <c r="AA298" s="16"/>
      <c r="AB298" s="16"/>
      <c r="AC298" s="16"/>
      <c r="AD298" s="16"/>
    </row>
    <row r="299" ht="13.5" customHeight="1" spans="1:30" x14ac:dyDescent="0.25">
      <c r="A299" s="4"/>
      <c r="B299" s="4"/>
      <c r="C299" s="4"/>
      <c r="D299" s="4"/>
      <c r="E299" s="4"/>
      <c r="F299" s="4"/>
      <c r="G299" s="4"/>
      <c r="H299" s="4"/>
      <c r="I299" s="4"/>
      <c r="J299" s="4"/>
      <c r="K299" s="4"/>
      <c r="L299" s="4"/>
      <c r="M299" s="4"/>
      <c r="N299" s="4"/>
      <c r="O299" s="4"/>
      <c r="P299" s="4"/>
      <c r="Q299" s="4"/>
      <c r="R299" s="16"/>
      <c r="S299" s="16"/>
      <c r="T299" s="16"/>
      <c r="U299" s="16"/>
      <c r="V299" s="16"/>
      <c r="W299" s="16"/>
      <c r="X299" s="16"/>
      <c r="Y299" s="16"/>
      <c r="Z299" s="16"/>
      <c r="AA299" s="16"/>
      <c r="AB299" s="16"/>
      <c r="AC299" s="16"/>
      <c r="AD299" s="16"/>
    </row>
    <row r="300" ht="13.5" customHeight="1" spans="1:30" x14ac:dyDescent="0.25">
      <c r="A300" s="4"/>
      <c r="B300" s="4"/>
      <c r="C300" s="4"/>
      <c r="D300" s="4"/>
      <c r="E300" s="4"/>
      <c r="F300" s="4"/>
      <c r="G300" s="4"/>
      <c r="H300" s="4"/>
      <c r="I300" s="4"/>
      <c r="J300" s="4"/>
      <c r="K300" s="4"/>
      <c r="L300" s="4"/>
      <c r="M300" s="4"/>
      <c r="N300" s="4"/>
      <c r="O300" s="4"/>
      <c r="P300" s="4"/>
      <c r="Q300" s="4"/>
      <c r="R300" s="16"/>
      <c r="S300" s="16"/>
      <c r="T300" s="16"/>
      <c r="U300" s="16"/>
      <c r="V300" s="16"/>
      <c r="W300" s="16"/>
      <c r="X300" s="16"/>
      <c r="Y300" s="16"/>
      <c r="Z300" s="16"/>
      <c r="AA300" s="16"/>
      <c r="AB300" s="16"/>
      <c r="AC300" s="16"/>
      <c r="AD300" s="16"/>
    </row>
    <row r="301" ht="13.5" customHeight="1" spans="1:30" x14ac:dyDescent="0.25">
      <c r="A301" s="4"/>
      <c r="B301" s="4"/>
      <c r="C301" s="4"/>
      <c r="D301" s="4"/>
      <c r="E301" s="4"/>
      <c r="F301" s="4"/>
      <c r="G301" s="4"/>
      <c r="H301" s="4"/>
      <c r="I301" s="4"/>
      <c r="J301" s="4"/>
      <c r="K301" s="4"/>
      <c r="L301" s="4"/>
      <c r="M301" s="4"/>
      <c r="N301" s="4"/>
      <c r="O301" s="4"/>
      <c r="P301" s="4"/>
      <c r="Q301" s="4"/>
      <c r="R301" s="16"/>
      <c r="S301" s="16"/>
      <c r="T301" s="16"/>
      <c r="U301" s="16"/>
      <c r="V301" s="16"/>
      <c r="W301" s="16"/>
      <c r="X301" s="16"/>
      <c r="Y301" s="16"/>
      <c r="Z301" s="16"/>
      <c r="AA301" s="16"/>
      <c r="AB301" s="16"/>
      <c r="AC301" s="16"/>
      <c r="AD301" s="16"/>
    </row>
    <row r="302" ht="13.5" customHeight="1" spans="1:30" x14ac:dyDescent="0.25">
      <c r="A302" s="4"/>
      <c r="B302" s="4"/>
      <c r="C302" s="4"/>
      <c r="D302" s="4"/>
      <c r="E302" s="4"/>
      <c r="F302" s="4"/>
      <c r="G302" s="4"/>
      <c r="H302" s="4"/>
      <c r="I302" s="4"/>
      <c r="J302" s="4"/>
      <c r="K302" s="4"/>
      <c r="L302" s="4"/>
      <c r="M302" s="4"/>
      <c r="N302" s="4"/>
      <c r="O302" s="4"/>
      <c r="P302" s="4"/>
      <c r="Q302" s="4"/>
      <c r="R302" s="16"/>
      <c r="S302" s="16"/>
      <c r="T302" s="16"/>
      <c r="U302" s="16"/>
      <c r="V302" s="16"/>
      <c r="W302" s="16"/>
      <c r="X302" s="16"/>
      <c r="Y302" s="16"/>
      <c r="Z302" s="16"/>
      <c r="AA302" s="16"/>
      <c r="AB302" s="16"/>
      <c r="AC302" s="16"/>
      <c r="AD302" s="16"/>
    </row>
    <row r="303" ht="13.5" customHeight="1" spans="1:30" x14ac:dyDescent="0.25">
      <c r="A303" s="4"/>
      <c r="B303" s="4"/>
      <c r="C303" s="4"/>
      <c r="D303" s="4"/>
      <c r="E303" s="4"/>
      <c r="F303" s="4"/>
      <c r="G303" s="4"/>
      <c r="H303" s="4"/>
      <c r="I303" s="4"/>
      <c r="J303" s="4"/>
      <c r="K303" s="4"/>
      <c r="L303" s="4"/>
      <c r="M303" s="4"/>
      <c r="N303" s="4"/>
      <c r="O303" s="4"/>
      <c r="P303" s="4"/>
      <c r="Q303" s="4"/>
      <c r="R303" s="16"/>
      <c r="S303" s="16"/>
      <c r="T303" s="16"/>
      <c r="U303" s="16"/>
      <c r="V303" s="16"/>
      <c r="W303" s="16"/>
      <c r="X303" s="16"/>
      <c r="Y303" s="16"/>
      <c r="Z303" s="16"/>
      <c r="AA303" s="16"/>
      <c r="AB303" s="16"/>
      <c r="AC303" s="16"/>
      <c r="AD303" s="16"/>
    </row>
    <row r="304" ht="13.5" customHeight="1" spans="1:30" x14ac:dyDescent="0.25">
      <c r="A304" s="4"/>
      <c r="B304" s="4"/>
      <c r="C304" s="4"/>
      <c r="D304" s="4"/>
      <c r="E304" s="4"/>
      <c r="F304" s="4"/>
      <c r="G304" s="4"/>
      <c r="H304" s="4"/>
      <c r="I304" s="4"/>
      <c r="J304" s="4"/>
      <c r="K304" s="4"/>
      <c r="L304" s="4"/>
      <c r="M304" s="4"/>
      <c r="N304" s="4"/>
      <c r="O304" s="4"/>
      <c r="P304" s="4"/>
      <c r="Q304" s="4"/>
      <c r="R304" s="16"/>
      <c r="S304" s="16"/>
      <c r="T304" s="16"/>
      <c r="U304" s="16"/>
      <c r="V304" s="16"/>
      <c r="W304" s="16"/>
      <c r="X304" s="16"/>
      <c r="Y304" s="16"/>
      <c r="Z304" s="16"/>
      <c r="AA304" s="16"/>
      <c r="AB304" s="16"/>
      <c r="AC304" s="16"/>
      <c r="AD304" s="16"/>
    </row>
    <row r="305" ht="13.5" customHeight="1" spans="1:30" x14ac:dyDescent="0.25">
      <c r="A305" s="4"/>
      <c r="B305" s="4"/>
      <c r="C305" s="4"/>
      <c r="D305" s="4"/>
      <c r="E305" s="4"/>
      <c r="F305" s="4"/>
      <c r="G305" s="4"/>
      <c r="H305" s="4"/>
      <c r="I305" s="4"/>
      <c r="J305" s="4"/>
      <c r="K305" s="4"/>
      <c r="L305" s="4"/>
      <c r="M305" s="4"/>
      <c r="N305" s="4"/>
      <c r="O305" s="4"/>
      <c r="P305" s="4"/>
      <c r="Q305" s="4"/>
      <c r="R305" s="16"/>
      <c r="S305" s="16"/>
      <c r="T305" s="16"/>
      <c r="U305" s="16"/>
      <c r="V305" s="16"/>
      <c r="W305" s="16"/>
      <c r="X305" s="16"/>
      <c r="Y305" s="16"/>
      <c r="Z305" s="16"/>
      <c r="AA305" s="16"/>
      <c r="AB305" s="16"/>
      <c r="AC305" s="16"/>
      <c r="AD305" s="16"/>
    </row>
    <row r="306" ht="13.5" customHeight="1" spans="1:30" x14ac:dyDescent="0.25">
      <c r="A306" s="4"/>
      <c r="B306" s="4"/>
      <c r="C306" s="4"/>
      <c r="D306" s="4"/>
      <c r="E306" s="4"/>
      <c r="F306" s="4"/>
      <c r="G306" s="4"/>
      <c r="H306" s="4"/>
      <c r="I306" s="4"/>
      <c r="J306" s="4"/>
      <c r="K306" s="4"/>
      <c r="L306" s="4"/>
      <c r="M306" s="4"/>
      <c r="N306" s="4"/>
      <c r="O306" s="4"/>
      <c r="P306" s="4"/>
      <c r="Q306" s="4"/>
      <c r="R306" s="16"/>
      <c r="S306" s="16"/>
      <c r="T306" s="16"/>
      <c r="U306" s="16"/>
      <c r="V306" s="16"/>
      <c r="W306" s="16"/>
      <c r="X306" s="16"/>
      <c r="Y306" s="16"/>
      <c r="Z306" s="16"/>
      <c r="AA306" s="16"/>
      <c r="AB306" s="16"/>
      <c r="AC306" s="16"/>
      <c r="AD306" s="16"/>
    </row>
    <row r="307" ht="13.5" customHeight="1" spans="1:30" x14ac:dyDescent="0.25">
      <c r="A307" s="4"/>
      <c r="B307" s="4"/>
      <c r="C307" s="4"/>
      <c r="D307" s="4"/>
      <c r="E307" s="4"/>
      <c r="F307" s="4"/>
      <c r="G307" s="4"/>
      <c r="H307" s="4"/>
      <c r="I307" s="4"/>
      <c r="J307" s="4"/>
      <c r="K307" s="4"/>
      <c r="L307" s="4"/>
      <c r="M307" s="4"/>
      <c r="N307" s="4"/>
      <c r="O307" s="4"/>
      <c r="P307" s="4"/>
      <c r="Q307" s="4"/>
      <c r="R307" s="16"/>
      <c r="S307" s="16"/>
      <c r="T307" s="16"/>
      <c r="U307" s="16"/>
      <c r="V307" s="16"/>
      <c r="W307" s="16"/>
      <c r="X307" s="16"/>
      <c r="Y307" s="16"/>
      <c r="Z307" s="16"/>
      <c r="AA307" s="16"/>
      <c r="AB307" s="16"/>
      <c r="AC307" s="16"/>
      <c r="AD307" s="16"/>
    </row>
    <row r="308" ht="13.5" customHeight="1" spans="1:30" x14ac:dyDescent="0.25">
      <c r="A308" s="4"/>
      <c r="B308" s="4"/>
      <c r="C308" s="4"/>
      <c r="D308" s="4"/>
      <c r="E308" s="4"/>
      <c r="F308" s="4"/>
      <c r="G308" s="4"/>
      <c r="H308" s="4"/>
      <c r="I308" s="4"/>
      <c r="J308" s="4"/>
      <c r="K308" s="4"/>
      <c r="L308" s="4"/>
      <c r="M308" s="4"/>
      <c r="N308" s="4"/>
      <c r="O308" s="4"/>
      <c r="P308" s="4"/>
      <c r="Q308" s="4"/>
      <c r="R308" s="16"/>
      <c r="S308" s="16"/>
      <c r="T308" s="16"/>
      <c r="U308" s="16"/>
      <c r="V308" s="16"/>
      <c r="W308" s="16"/>
      <c r="X308" s="16"/>
      <c r="Y308" s="16"/>
      <c r="Z308" s="16"/>
      <c r="AA308" s="16"/>
      <c r="AB308" s="16"/>
      <c r="AC308" s="16"/>
      <c r="AD308" s="16"/>
    </row>
    <row r="309" ht="13.5" customHeight="1" spans="1:30" x14ac:dyDescent="0.25">
      <c r="A309" s="4"/>
      <c r="B309" s="4"/>
      <c r="C309" s="4"/>
      <c r="D309" s="4"/>
      <c r="E309" s="4"/>
      <c r="F309" s="4"/>
      <c r="G309" s="4"/>
      <c r="H309" s="4"/>
      <c r="I309" s="4"/>
      <c r="J309" s="4"/>
      <c r="K309" s="4"/>
      <c r="L309" s="4"/>
      <c r="M309" s="4"/>
      <c r="N309" s="4"/>
      <c r="O309" s="4"/>
      <c r="P309" s="4"/>
      <c r="Q309" s="4"/>
      <c r="R309" s="16"/>
      <c r="S309" s="16"/>
      <c r="T309" s="16"/>
      <c r="U309" s="16"/>
      <c r="V309" s="16"/>
      <c r="W309" s="16"/>
      <c r="X309" s="16"/>
      <c r="Y309" s="16"/>
      <c r="Z309" s="16"/>
      <c r="AA309" s="16"/>
      <c r="AB309" s="16"/>
      <c r="AC309" s="16"/>
      <c r="AD309" s="16"/>
    </row>
    <row r="310" ht="13.5" customHeight="1" spans="1:30" x14ac:dyDescent="0.25">
      <c r="A310" s="4"/>
      <c r="B310" s="4"/>
      <c r="C310" s="4"/>
      <c r="D310" s="4"/>
      <c r="E310" s="4"/>
      <c r="F310" s="4"/>
      <c r="G310" s="4"/>
      <c r="H310" s="4"/>
      <c r="I310" s="4"/>
      <c r="J310" s="4"/>
      <c r="K310" s="4"/>
      <c r="L310" s="4"/>
      <c r="M310" s="4"/>
      <c r="N310" s="4"/>
      <c r="O310" s="4"/>
      <c r="P310" s="4"/>
      <c r="Q310" s="4"/>
      <c r="R310" s="16"/>
      <c r="S310" s="16"/>
      <c r="T310" s="16"/>
      <c r="U310" s="16"/>
      <c r="V310" s="16"/>
      <c r="W310" s="16"/>
      <c r="X310" s="16"/>
      <c r="Y310" s="16"/>
      <c r="Z310" s="16"/>
      <c r="AA310" s="16"/>
      <c r="AB310" s="16"/>
      <c r="AC310" s="16"/>
      <c r="AD310" s="16"/>
    </row>
    <row r="311" ht="13.5" customHeight="1" spans="1:30" x14ac:dyDescent="0.25">
      <c r="A311" s="4"/>
      <c r="B311" s="4"/>
      <c r="C311" s="4"/>
      <c r="D311" s="4"/>
      <c r="E311" s="4"/>
      <c r="F311" s="4"/>
      <c r="G311" s="4"/>
      <c r="H311" s="4"/>
      <c r="I311" s="4"/>
      <c r="J311" s="4"/>
      <c r="K311" s="4"/>
      <c r="L311" s="4"/>
      <c r="M311" s="4"/>
      <c r="N311" s="4"/>
      <c r="O311" s="4"/>
      <c r="P311" s="4"/>
      <c r="Q311" s="4"/>
      <c r="R311" s="16"/>
      <c r="S311" s="16"/>
      <c r="T311" s="16"/>
      <c r="U311" s="16"/>
      <c r="V311" s="16"/>
      <c r="W311" s="16"/>
      <c r="X311" s="16"/>
      <c r="Y311" s="16"/>
      <c r="Z311" s="16"/>
      <c r="AA311" s="16"/>
      <c r="AB311" s="16"/>
      <c r="AC311" s="16"/>
      <c r="AD311" s="16"/>
    </row>
    <row r="312" ht="13.5" customHeight="1" spans="1:30" x14ac:dyDescent="0.25">
      <c r="A312" s="4"/>
      <c r="B312" s="4"/>
      <c r="C312" s="4"/>
      <c r="D312" s="4"/>
      <c r="E312" s="4"/>
      <c r="F312" s="4"/>
      <c r="G312" s="4"/>
      <c r="H312" s="4"/>
      <c r="I312" s="4"/>
      <c r="J312" s="4"/>
      <c r="K312" s="4"/>
      <c r="L312" s="4"/>
      <c r="M312" s="4"/>
      <c r="N312" s="4"/>
      <c r="O312" s="4"/>
      <c r="P312" s="4"/>
      <c r="Q312" s="4"/>
      <c r="R312" s="16"/>
      <c r="S312" s="16"/>
      <c r="T312" s="16"/>
      <c r="U312" s="16"/>
      <c r="V312" s="16"/>
      <c r="W312" s="16"/>
      <c r="X312" s="16"/>
      <c r="Y312" s="16"/>
      <c r="Z312" s="16"/>
      <c r="AA312" s="16"/>
      <c r="AB312" s="16"/>
      <c r="AC312" s="16"/>
      <c r="AD312" s="16"/>
    </row>
    <row r="313" ht="13.5" customHeight="1" spans="1:30" x14ac:dyDescent="0.25">
      <c r="A313" s="4"/>
      <c r="B313" s="4"/>
      <c r="C313" s="4"/>
      <c r="D313" s="4"/>
      <c r="E313" s="4"/>
      <c r="F313" s="4"/>
      <c r="G313" s="4"/>
      <c r="H313" s="4"/>
      <c r="I313" s="4"/>
      <c r="J313" s="4"/>
      <c r="K313" s="4"/>
      <c r="L313" s="4"/>
      <c r="M313" s="4"/>
      <c r="N313" s="4"/>
      <c r="O313" s="4"/>
      <c r="P313" s="4"/>
      <c r="Q313" s="4"/>
      <c r="R313" s="16"/>
      <c r="S313" s="16"/>
      <c r="T313" s="16"/>
      <c r="U313" s="16"/>
      <c r="V313" s="16"/>
      <c r="W313" s="16"/>
      <c r="X313" s="16"/>
      <c r="Y313" s="16"/>
      <c r="Z313" s="16"/>
      <c r="AA313" s="16"/>
      <c r="AB313" s="16"/>
      <c r="AC313" s="16"/>
      <c r="AD313" s="16"/>
    </row>
    <row r="314" ht="13.5" customHeight="1" spans="1:30" x14ac:dyDescent="0.25">
      <c r="A314" s="4"/>
      <c r="B314" s="4"/>
      <c r="C314" s="4"/>
      <c r="D314" s="4"/>
      <c r="E314" s="4"/>
      <c r="F314" s="4"/>
      <c r="G314" s="4"/>
      <c r="H314" s="4"/>
      <c r="I314" s="4"/>
      <c r="J314" s="4"/>
      <c r="K314" s="4"/>
      <c r="L314" s="4"/>
      <c r="M314" s="4"/>
      <c r="N314" s="4"/>
      <c r="O314" s="4"/>
      <c r="P314" s="4"/>
      <c r="Q314" s="4"/>
      <c r="R314" s="16"/>
      <c r="S314" s="16"/>
      <c r="T314" s="16"/>
      <c r="U314" s="16"/>
      <c r="V314" s="16"/>
      <c r="W314" s="16"/>
      <c r="X314" s="16"/>
      <c r="Y314" s="16"/>
      <c r="Z314" s="16"/>
      <c r="AA314" s="16"/>
      <c r="AB314" s="16"/>
      <c r="AC314" s="16"/>
      <c r="AD314" s="16"/>
    </row>
    <row r="315" ht="13.5" customHeight="1" spans="1:30" x14ac:dyDescent="0.25">
      <c r="A315" s="4"/>
      <c r="B315" s="4"/>
      <c r="C315" s="4"/>
      <c r="D315" s="4"/>
      <c r="E315" s="4"/>
      <c r="F315" s="4"/>
      <c r="G315" s="4"/>
      <c r="H315" s="4"/>
      <c r="I315" s="4"/>
      <c r="J315" s="4"/>
      <c r="K315" s="4"/>
      <c r="L315" s="4"/>
      <c r="M315" s="4"/>
      <c r="N315" s="4"/>
      <c r="O315" s="4"/>
      <c r="P315" s="4"/>
      <c r="Q315" s="4"/>
      <c r="R315" s="16"/>
      <c r="S315" s="16"/>
      <c r="T315" s="16"/>
      <c r="U315" s="16"/>
      <c r="V315" s="16"/>
      <c r="W315" s="16"/>
      <c r="X315" s="16"/>
      <c r="Y315" s="16"/>
      <c r="Z315" s="16"/>
      <c r="AA315" s="16"/>
      <c r="AB315" s="16"/>
      <c r="AC315" s="16"/>
      <c r="AD315" s="16"/>
    </row>
    <row r="316" ht="13.5" customHeight="1" spans="1:30" x14ac:dyDescent="0.25">
      <c r="A316" s="4"/>
      <c r="B316" s="4"/>
      <c r="C316" s="4"/>
      <c r="D316" s="4"/>
      <c r="E316" s="4"/>
      <c r="F316" s="4"/>
      <c r="G316" s="4"/>
      <c r="H316" s="4"/>
      <c r="I316" s="4"/>
      <c r="J316" s="4"/>
      <c r="K316" s="4"/>
      <c r="L316" s="4"/>
      <c r="M316" s="4"/>
      <c r="N316" s="4"/>
      <c r="O316" s="4"/>
      <c r="P316" s="4"/>
      <c r="Q316" s="4"/>
      <c r="R316" s="16"/>
      <c r="S316" s="16"/>
      <c r="T316" s="16"/>
      <c r="U316" s="16"/>
      <c r="V316" s="16"/>
      <c r="W316" s="16"/>
      <c r="X316" s="16"/>
      <c r="Y316" s="16"/>
      <c r="Z316" s="16"/>
      <c r="AA316" s="16"/>
      <c r="AB316" s="16"/>
      <c r="AC316" s="16"/>
      <c r="AD316" s="16"/>
    </row>
    <row r="317" ht="13.5" customHeight="1" spans="1:30" x14ac:dyDescent="0.25">
      <c r="A317" s="4"/>
      <c r="B317" s="4"/>
      <c r="C317" s="4"/>
      <c r="D317" s="4"/>
      <c r="E317" s="4"/>
      <c r="F317" s="4"/>
      <c r="G317" s="4"/>
      <c r="H317" s="4"/>
      <c r="I317" s="4"/>
      <c r="J317" s="4"/>
      <c r="K317" s="4"/>
      <c r="L317" s="4"/>
      <c r="M317" s="4"/>
      <c r="N317" s="4"/>
      <c r="O317" s="4"/>
      <c r="P317" s="4"/>
      <c r="Q317" s="4"/>
      <c r="R317" s="16"/>
      <c r="S317" s="16"/>
      <c r="T317" s="16"/>
      <c r="U317" s="16"/>
      <c r="V317" s="16"/>
      <c r="W317" s="16"/>
      <c r="X317" s="16"/>
      <c r="Y317" s="16"/>
      <c r="Z317" s="16"/>
      <c r="AA317" s="16"/>
      <c r="AB317" s="16"/>
      <c r="AC317" s="16"/>
      <c r="AD317" s="16"/>
    </row>
    <row r="318" ht="13.5" customHeight="1" spans="1:30" x14ac:dyDescent="0.25">
      <c r="A318" s="4"/>
      <c r="B318" s="4"/>
      <c r="C318" s="4"/>
      <c r="D318" s="4"/>
      <c r="E318" s="4"/>
      <c r="F318" s="4"/>
      <c r="G318" s="4"/>
      <c r="H318" s="4"/>
      <c r="I318" s="4"/>
      <c r="J318" s="4"/>
      <c r="K318" s="4"/>
      <c r="L318" s="4"/>
      <c r="M318" s="4"/>
      <c r="N318" s="4"/>
      <c r="O318" s="4"/>
      <c r="P318" s="4"/>
      <c r="Q318" s="4"/>
      <c r="R318" s="16"/>
      <c r="S318" s="16"/>
      <c r="T318" s="16"/>
      <c r="U318" s="16"/>
      <c r="V318" s="16"/>
      <c r="W318" s="16"/>
      <c r="X318" s="16"/>
      <c r="Y318" s="16"/>
      <c r="Z318" s="16"/>
      <c r="AA318" s="16"/>
      <c r="AB318" s="16"/>
      <c r="AC318" s="16"/>
      <c r="AD318" s="16"/>
    </row>
    <row r="319" ht="13.5" customHeight="1" spans="1:30" x14ac:dyDescent="0.25">
      <c r="A319" s="4"/>
      <c r="B319" s="4"/>
      <c r="C319" s="4"/>
      <c r="D319" s="4"/>
      <c r="E319" s="4"/>
      <c r="F319" s="4"/>
      <c r="G319" s="4"/>
      <c r="H319" s="4"/>
      <c r="I319" s="4"/>
      <c r="J319" s="4"/>
      <c r="K319" s="4"/>
      <c r="L319" s="4"/>
      <c r="M319" s="4"/>
      <c r="N319" s="4"/>
      <c r="O319" s="4"/>
      <c r="P319" s="4"/>
      <c r="Q319" s="4"/>
      <c r="R319" s="16"/>
      <c r="S319" s="16"/>
      <c r="T319" s="16"/>
      <c r="U319" s="16"/>
      <c r="V319" s="16"/>
      <c r="W319" s="16"/>
      <c r="X319" s="16"/>
      <c r="Y319" s="16"/>
      <c r="Z319" s="16"/>
      <c r="AA319" s="16"/>
      <c r="AB319" s="16"/>
      <c r="AC319" s="16"/>
      <c r="AD319" s="16"/>
    </row>
    <row r="320" ht="13.5" customHeight="1" spans="1:30" x14ac:dyDescent="0.25">
      <c r="A320" s="4"/>
      <c r="B320" s="4"/>
      <c r="C320" s="4"/>
      <c r="D320" s="4"/>
      <c r="E320" s="4"/>
      <c r="F320" s="4"/>
      <c r="G320" s="4"/>
      <c r="H320" s="4"/>
      <c r="I320" s="4"/>
      <c r="J320" s="4"/>
      <c r="K320" s="4"/>
      <c r="L320" s="4"/>
      <c r="M320" s="4"/>
      <c r="N320" s="4"/>
      <c r="O320" s="4"/>
      <c r="P320" s="4"/>
      <c r="Q320" s="4"/>
      <c r="R320" s="16"/>
      <c r="S320" s="16"/>
      <c r="T320" s="16"/>
      <c r="U320" s="16"/>
      <c r="V320" s="16"/>
      <c r="W320" s="16"/>
      <c r="X320" s="16"/>
      <c r="Y320" s="16"/>
      <c r="Z320" s="16"/>
      <c r="AA320" s="16"/>
      <c r="AB320" s="16"/>
      <c r="AC320" s="16"/>
      <c r="AD320" s="16"/>
    </row>
    <row r="321" ht="13.5" customHeight="1" spans="1:30" x14ac:dyDescent="0.25">
      <c r="A321" s="4"/>
      <c r="B321" s="4"/>
      <c r="C321" s="4"/>
      <c r="D321" s="4"/>
      <c r="E321" s="4"/>
      <c r="F321" s="4"/>
      <c r="G321" s="4"/>
      <c r="H321" s="4"/>
      <c r="I321" s="4"/>
      <c r="J321" s="4"/>
      <c r="K321" s="4"/>
      <c r="L321" s="4"/>
      <c r="M321" s="4"/>
      <c r="N321" s="4"/>
      <c r="O321" s="4"/>
      <c r="P321" s="4"/>
      <c r="Q321" s="4"/>
      <c r="R321" s="16"/>
      <c r="S321" s="16"/>
      <c r="T321" s="16"/>
      <c r="U321" s="16"/>
      <c r="V321" s="16"/>
      <c r="W321" s="16"/>
      <c r="X321" s="16"/>
      <c r="Y321" s="16"/>
      <c r="Z321" s="16"/>
      <c r="AA321" s="16"/>
      <c r="AB321" s="16"/>
      <c r="AC321" s="16"/>
      <c r="AD321" s="16"/>
    </row>
    <row r="322" ht="13.5" customHeight="1" spans="1:30" x14ac:dyDescent="0.25">
      <c r="A322" s="4"/>
      <c r="B322" s="4"/>
      <c r="C322" s="4"/>
      <c r="D322" s="4"/>
      <c r="E322" s="4"/>
      <c r="F322" s="4"/>
      <c r="G322" s="4"/>
      <c r="H322" s="4"/>
      <c r="I322" s="4"/>
      <c r="J322" s="4"/>
      <c r="K322" s="4"/>
      <c r="L322" s="4"/>
      <c r="M322" s="4"/>
      <c r="N322" s="4"/>
      <c r="O322" s="4"/>
      <c r="P322" s="4"/>
      <c r="Q322" s="4"/>
      <c r="R322" s="16"/>
      <c r="S322" s="16"/>
      <c r="T322" s="16"/>
      <c r="U322" s="16"/>
      <c r="V322" s="16"/>
      <c r="W322" s="16"/>
      <c r="X322" s="16"/>
      <c r="Y322" s="16"/>
      <c r="Z322" s="16"/>
      <c r="AA322" s="16"/>
      <c r="AB322" s="16"/>
      <c r="AC322" s="16"/>
      <c r="AD322" s="16"/>
    </row>
    <row r="323" ht="13.5" customHeight="1" spans="1:30" x14ac:dyDescent="0.25">
      <c r="A323" s="4"/>
      <c r="B323" s="4"/>
      <c r="C323" s="4"/>
      <c r="D323" s="4"/>
      <c r="E323" s="4"/>
      <c r="F323" s="4"/>
      <c r="G323" s="4"/>
      <c r="H323" s="4"/>
      <c r="I323" s="4"/>
      <c r="J323" s="4"/>
      <c r="K323" s="4"/>
      <c r="L323" s="4"/>
      <c r="M323" s="4"/>
      <c r="N323" s="4"/>
      <c r="O323" s="4"/>
      <c r="P323" s="4"/>
      <c r="Q323" s="4"/>
      <c r="R323" s="16"/>
      <c r="S323" s="16"/>
      <c r="T323" s="16"/>
      <c r="U323" s="16"/>
      <c r="V323" s="16"/>
      <c r="W323" s="16"/>
      <c r="X323" s="16"/>
      <c r="Y323" s="16"/>
      <c r="Z323" s="16"/>
      <c r="AA323" s="16"/>
      <c r="AB323" s="16"/>
      <c r="AC323" s="16"/>
      <c r="AD323" s="16"/>
    </row>
    <row r="324" ht="13.5" customHeight="1" spans="1:30" x14ac:dyDescent="0.25">
      <c r="A324" s="4"/>
      <c r="B324" s="4"/>
      <c r="C324" s="4"/>
      <c r="D324" s="4"/>
      <c r="E324" s="4"/>
      <c r="F324" s="4"/>
      <c r="G324" s="4"/>
      <c r="H324" s="4"/>
      <c r="I324" s="4"/>
      <c r="J324" s="4"/>
      <c r="K324" s="4"/>
      <c r="L324" s="4"/>
      <c r="M324" s="4"/>
      <c r="N324" s="4"/>
      <c r="O324" s="4"/>
      <c r="P324" s="4"/>
      <c r="Q324" s="4"/>
      <c r="R324" s="16"/>
      <c r="S324" s="16"/>
      <c r="T324" s="16"/>
      <c r="U324" s="16"/>
      <c r="V324" s="16"/>
      <c r="W324" s="16"/>
      <c r="X324" s="16"/>
      <c r="Y324" s="16"/>
      <c r="Z324" s="16"/>
      <c r="AA324" s="16"/>
      <c r="AB324" s="16"/>
      <c r="AC324" s="16"/>
      <c r="AD324" s="16"/>
    </row>
    <row r="325" ht="13.5" customHeight="1" spans="1:30" x14ac:dyDescent="0.25">
      <c r="A325" s="4"/>
      <c r="B325" s="4"/>
      <c r="C325" s="4"/>
      <c r="D325" s="4"/>
      <c r="E325" s="4"/>
      <c r="F325" s="4"/>
      <c r="G325" s="4"/>
      <c r="H325" s="4"/>
      <c r="I325" s="4"/>
      <c r="J325" s="4"/>
      <c r="K325" s="4"/>
      <c r="L325" s="4"/>
      <c r="M325" s="4"/>
      <c r="N325" s="4"/>
      <c r="O325" s="4"/>
      <c r="P325" s="4"/>
      <c r="Q325" s="4"/>
      <c r="R325" s="16"/>
      <c r="S325" s="16"/>
      <c r="T325" s="16"/>
      <c r="U325" s="16"/>
      <c r="V325" s="16"/>
      <c r="W325" s="16"/>
      <c r="X325" s="16"/>
      <c r="Y325" s="16"/>
      <c r="Z325" s="16"/>
      <c r="AA325" s="16"/>
      <c r="AB325" s="16"/>
      <c r="AC325" s="16"/>
      <c r="AD325" s="16"/>
    </row>
    <row r="326" ht="13.5" customHeight="1" spans="1:30" x14ac:dyDescent="0.25">
      <c r="A326" s="4"/>
      <c r="B326" s="4"/>
      <c r="C326" s="4"/>
      <c r="D326" s="4"/>
      <c r="E326" s="4"/>
      <c r="F326" s="4"/>
      <c r="G326" s="4"/>
      <c r="H326" s="4"/>
      <c r="I326" s="4"/>
      <c r="J326" s="4"/>
      <c r="K326" s="4"/>
      <c r="L326" s="4"/>
      <c r="M326" s="4"/>
      <c r="N326" s="4"/>
      <c r="O326" s="4"/>
      <c r="P326" s="4"/>
      <c r="Q326" s="4"/>
      <c r="R326" s="16"/>
      <c r="S326" s="16"/>
      <c r="T326" s="16"/>
      <c r="U326" s="16"/>
      <c r="V326" s="16"/>
      <c r="W326" s="16"/>
      <c r="X326" s="16"/>
      <c r="Y326" s="16"/>
      <c r="Z326" s="16"/>
      <c r="AA326" s="16"/>
      <c r="AB326" s="16"/>
      <c r="AC326" s="16"/>
      <c r="AD326" s="16"/>
    </row>
    <row r="327" ht="13.5" customHeight="1" spans="1:30" x14ac:dyDescent="0.25">
      <c r="A327" s="4"/>
      <c r="B327" s="4"/>
      <c r="C327" s="4"/>
      <c r="D327" s="4"/>
      <c r="E327" s="4"/>
      <c r="F327" s="4"/>
      <c r="G327" s="4"/>
      <c r="H327" s="4"/>
      <c r="I327" s="4"/>
      <c r="J327" s="4"/>
      <c r="K327" s="4"/>
      <c r="L327" s="4"/>
      <c r="M327" s="4"/>
      <c r="N327" s="4"/>
      <c r="O327" s="4"/>
      <c r="P327" s="4"/>
      <c r="Q327" s="4"/>
      <c r="R327" s="16"/>
      <c r="S327" s="16"/>
      <c r="T327" s="16"/>
      <c r="U327" s="16"/>
      <c r="V327" s="16"/>
      <c r="W327" s="16"/>
      <c r="X327" s="16"/>
      <c r="Y327" s="16"/>
      <c r="Z327" s="16"/>
      <c r="AA327" s="16"/>
      <c r="AB327" s="16"/>
      <c r="AC327" s="16"/>
      <c r="AD327" s="16"/>
    </row>
    <row r="328" ht="13.5" customHeight="1" spans="1:30" x14ac:dyDescent="0.25">
      <c r="A328" s="4"/>
      <c r="B328" s="4"/>
      <c r="C328" s="4"/>
      <c r="D328" s="4"/>
      <c r="E328" s="4"/>
      <c r="F328" s="4"/>
      <c r="G328" s="4"/>
      <c r="H328" s="4"/>
      <c r="I328" s="4"/>
      <c r="J328" s="4"/>
      <c r="K328" s="4"/>
      <c r="L328" s="4"/>
      <c r="M328" s="4"/>
      <c r="N328" s="4"/>
      <c r="O328" s="4"/>
      <c r="P328" s="4"/>
      <c r="Q328" s="4"/>
      <c r="R328" s="16"/>
      <c r="S328" s="16"/>
      <c r="T328" s="16"/>
      <c r="U328" s="16"/>
      <c r="V328" s="16"/>
      <c r="W328" s="16"/>
      <c r="X328" s="16"/>
      <c r="Y328" s="16"/>
      <c r="Z328" s="16"/>
      <c r="AA328" s="16"/>
      <c r="AB328" s="16"/>
      <c r="AC328" s="16"/>
      <c r="AD328" s="16"/>
    </row>
    <row r="329" ht="13.5" customHeight="1" spans="1:30" x14ac:dyDescent="0.25">
      <c r="A329" s="4"/>
      <c r="B329" s="4"/>
      <c r="C329" s="4"/>
      <c r="D329" s="4"/>
      <c r="E329" s="4"/>
      <c r="F329" s="4"/>
      <c r="G329" s="4"/>
      <c r="H329" s="4"/>
      <c r="I329" s="4"/>
      <c r="J329" s="4"/>
      <c r="K329" s="4"/>
      <c r="L329" s="4"/>
      <c r="M329" s="4"/>
      <c r="N329" s="4"/>
      <c r="O329" s="4"/>
      <c r="P329" s="4"/>
      <c r="Q329" s="4"/>
      <c r="R329" s="16"/>
      <c r="S329" s="16"/>
      <c r="T329" s="16"/>
      <c r="U329" s="16"/>
      <c r="V329" s="16"/>
      <c r="W329" s="16"/>
      <c r="X329" s="16"/>
      <c r="Y329" s="16"/>
      <c r="Z329" s="16"/>
      <c r="AA329" s="16"/>
      <c r="AB329" s="16"/>
      <c r="AC329" s="16"/>
      <c r="AD329" s="16"/>
    </row>
    <row r="330" ht="13.5" customHeight="1" spans="1:30" x14ac:dyDescent="0.25">
      <c r="A330" s="4"/>
      <c r="B330" s="4"/>
      <c r="C330" s="4"/>
      <c r="D330" s="4"/>
      <c r="E330" s="4"/>
      <c r="F330" s="4"/>
      <c r="G330" s="4"/>
      <c r="H330" s="4"/>
      <c r="I330" s="4"/>
      <c r="J330" s="4"/>
      <c r="K330" s="4"/>
      <c r="L330" s="4"/>
      <c r="M330" s="4"/>
      <c r="N330" s="4"/>
      <c r="O330" s="4"/>
      <c r="P330" s="4"/>
      <c r="Q330" s="4"/>
      <c r="R330" s="16"/>
      <c r="S330" s="16"/>
      <c r="T330" s="16"/>
      <c r="U330" s="16"/>
      <c r="V330" s="16"/>
      <c r="W330" s="16"/>
      <c r="X330" s="16"/>
      <c r="Y330" s="16"/>
      <c r="Z330" s="16"/>
      <c r="AA330" s="16"/>
      <c r="AB330" s="16"/>
      <c r="AC330" s="16"/>
      <c r="AD330" s="16"/>
    </row>
    <row r="331" ht="13.5" customHeight="1" spans="1:30" x14ac:dyDescent="0.25">
      <c r="A331" s="4"/>
      <c r="B331" s="4"/>
      <c r="C331" s="4"/>
      <c r="D331" s="4"/>
      <c r="E331" s="4"/>
      <c r="F331" s="4"/>
      <c r="G331" s="4"/>
      <c r="H331" s="4"/>
      <c r="I331" s="4"/>
      <c r="J331" s="4"/>
      <c r="K331" s="4"/>
      <c r="L331" s="4"/>
      <c r="M331" s="4"/>
      <c r="N331" s="4"/>
      <c r="O331" s="4"/>
      <c r="P331" s="4"/>
      <c r="Q331" s="4"/>
      <c r="R331" s="16"/>
      <c r="S331" s="16"/>
      <c r="T331" s="16"/>
      <c r="U331" s="16"/>
      <c r="V331" s="16"/>
      <c r="W331" s="16"/>
      <c r="X331" s="16"/>
      <c r="Y331" s="16"/>
      <c r="Z331" s="16"/>
      <c r="AA331" s="16"/>
      <c r="AB331" s="16"/>
      <c r="AC331" s="16"/>
      <c r="AD331" s="16"/>
    </row>
    <row r="332" ht="13.5" customHeight="1" spans="1:30" x14ac:dyDescent="0.25">
      <c r="A332" s="4"/>
      <c r="B332" s="4"/>
      <c r="C332" s="4"/>
      <c r="D332" s="4"/>
      <c r="E332" s="4"/>
      <c r="F332" s="4"/>
      <c r="G332" s="4"/>
      <c r="H332" s="4"/>
      <c r="I332" s="4"/>
      <c r="J332" s="4"/>
      <c r="K332" s="4"/>
      <c r="L332" s="4"/>
      <c r="M332" s="4"/>
      <c r="N332" s="4"/>
      <c r="O332" s="4"/>
      <c r="P332" s="4"/>
      <c r="Q332" s="4"/>
      <c r="R332" s="16"/>
      <c r="S332" s="16"/>
      <c r="T332" s="16"/>
      <c r="U332" s="16"/>
      <c r="V332" s="16"/>
      <c r="W332" s="16"/>
      <c r="X332" s="16"/>
      <c r="Y332" s="16"/>
      <c r="Z332" s="16"/>
      <c r="AA332" s="16"/>
      <c r="AB332" s="16"/>
      <c r="AC332" s="16"/>
      <c r="AD332" s="16"/>
    </row>
    <row r="333" ht="13.5" customHeight="1" spans="1:30" x14ac:dyDescent="0.25">
      <c r="A333" s="4"/>
      <c r="B333" s="4"/>
      <c r="C333" s="4"/>
      <c r="D333" s="4"/>
      <c r="E333" s="4"/>
      <c r="F333" s="4"/>
      <c r="G333" s="4"/>
      <c r="H333" s="4"/>
      <c r="I333" s="4"/>
      <c r="J333" s="4"/>
      <c r="K333" s="4"/>
      <c r="L333" s="4"/>
      <c r="M333" s="4"/>
      <c r="N333" s="4"/>
      <c r="O333" s="4"/>
      <c r="P333" s="4"/>
      <c r="Q333" s="4"/>
      <c r="R333" s="16"/>
      <c r="S333" s="16"/>
      <c r="T333" s="16"/>
      <c r="U333" s="16"/>
      <c r="V333" s="16"/>
      <c r="W333" s="16"/>
      <c r="X333" s="16"/>
      <c r="Y333" s="16"/>
      <c r="Z333" s="16"/>
      <c r="AA333" s="16"/>
      <c r="AB333" s="16"/>
      <c r="AC333" s="16"/>
      <c r="AD333" s="16"/>
    </row>
    <row r="334" ht="13.5" customHeight="1" spans="1:30" x14ac:dyDescent="0.25">
      <c r="A334" s="4"/>
      <c r="B334" s="4"/>
      <c r="C334" s="4"/>
      <c r="D334" s="4"/>
      <c r="E334" s="4"/>
      <c r="F334" s="4"/>
      <c r="G334" s="4"/>
      <c r="H334" s="4"/>
      <c r="I334" s="4"/>
      <c r="J334" s="4"/>
      <c r="K334" s="4"/>
      <c r="L334" s="4"/>
      <c r="M334" s="4"/>
      <c r="N334" s="4"/>
      <c r="O334" s="4"/>
      <c r="P334" s="4"/>
      <c r="Q334" s="4"/>
      <c r="R334" s="16"/>
      <c r="S334" s="16"/>
      <c r="T334" s="16"/>
      <c r="U334" s="16"/>
      <c r="V334" s="16"/>
      <c r="W334" s="16"/>
      <c r="X334" s="16"/>
      <c r="Y334" s="16"/>
      <c r="Z334" s="16"/>
      <c r="AA334" s="16"/>
      <c r="AB334" s="16"/>
      <c r="AC334" s="16"/>
      <c r="AD334" s="16"/>
    </row>
    <row r="335" ht="13.5" customHeight="1" spans="1:30" x14ac:dyDescent="0.25">
      <c r="A335" s="4"/>
      <c r="B335" s="4"/>
      <c r="C335" s="4"/>
      <c r="D335" s="4"/>
      <c r="E335" s="4"/>
      <c r="F335" s="4"/>
      <c r="G335" s="4"/>
      <c r="H335" s="4"/>
      <c r="I335" s="4"/>
      <c r="J335" s="4"/>
      <c r="K335" s="4"/>
      <c r="L335" s="4"/>
      <c r="M335" s="4"/>
      <c r="N335" s="4"/>
      <c r="O335" s="4"/>
      <c r="P335" s="4"/>
      <c r="Q335" s="4"/>
      <c r="R335" s="16"/>
      <c r="S335" s="16"/>
      <c r="T335" s="16"/>
      <c r="U335" s="16"/>
      <c r="V335" s="16"/>
      <c r="W335" s="16"/>
      <c r="X335" s="16"/>
      <c r="Y335" s="16"/>
      <c r="Z335" s="16"/>
      <c r="AA335" s="16"/>
      <c r="AB335" s="16"/>
      <c r="AC335" s="16"/>
      <c r="AD335" s="16"/>
    </row>
    <row r="336" ht="13.5" customHeight="1" spans="1:30" x14ac:dyDescent="0.25">
      <c r="A336" s="4"/>
      <c r="B336" s="4"/>
      <c r="C336" s="4"/>
      <c r="D336" s="4"/>
      <c r="E336" s="4"/>
      <c r="F336" s="4"/>
      <c r="G336" s="4"/>
      <c r="H336" s="4"/>
      <c r="I336" s="4"/>
      <c r="J336" s="4"/>
      <c r="K336" s="4"/>
      <c r="L336" s="4"/>
      <c r="M336" s="4"/>
      <c r="N336" s="4"/>
      <c r="O336" s="4"/>
      <c r="P336" s="4"/>
      <c r="Q336" s="4"/>
      <c r="R336" s="16"/>
      <c r="S336" s="16"/>
      <c r="T336" s="16"/>
      <c r="U336" s="16"/>
      <c r="V336" s="16"/>
      <c r="W336" s="16"/>
      <c r="X336" s="16"/>
      <c r="Y336" s="16"/>
      <c r="Z336" s="16"/>
      <c r="AA336" s="16"/>
      <c r="AB336" s="16"/>
      <c r="AC336" s="16"/>
      <c r="AD336" s="16"/>
    </row>
    <row r="337" ht="13.5" customHeight="1" spans="1:30" x14ac:dyDescent="0.25">
      <c r="A337" s="4"/>
      <c r="B337" s="4"/>
      <c r="C337" s="4"/>
      <c r="D337" s="4"/>
      <c r="E337" s="4"/>
      <c r="F337" s="4"/>
      <c r="G337" s="4"/>
      <c r="H337" s="4"/>
      <c r="I337" s="4"/>
      <c r="J337" s="4"/>
      <c r="K337" s="4"/>
      <c r="L337" s="4"/>
      <c r="M337" s="4"/>
      <c r="N337" s="4"/>
      <c r="O337" s="4"/>
      <c r="P337" s="4"/>
      <c r="Q337" s="4"/>
      <c r="R337" s="16"/>
      <c r="S337" s="16"/>
      <c r="T337" s="16"/>
      <c r="U337" s="16"/>
      <c r="V337" s="16"/>
      <c r="W337" s="16"/>
      <c r="X337" s="16"/>
      <c r="Y337" s="16"/>
      <c r="Z337" s="16"/>
      <c r="AA337" s="16"/>
      <c r="AB337" s="16"/>
      <c r="AC337" s="16"/>
      <c r="AD337" s="16"/>
    </row>
    <row r="338" ht="13.5" customHeight="1" spans="1:30" x14ac:dyDescent="0.25">
      <c r="A338" s="4"/>
      <c r="B338" s="4"/>
      <c r="C338" s="4"/>
      <c r="D338" s="4"/>
      <c r="E338" s="4"/>
      <c r="F338" s="4"/>
      <c r="G338" s="4"/>
      <c r="H338" s="4"/>
      <c r="I338" s="4"/>
      <c r="J338" s="4"/>
      <c r="K338" s="4"/>
      <c r="L338" s="4"/>
      <c r="M338" s="4"/>
      <c r="N338" s="4"/>
      <c r="O338" s="4"/>
      <c r="P338" s="4"/>
      <c r="Q338" s="4"/>
      <c r="R338" s="16"/>
      <c r="S338" s="16"/>
      <c r="T338" s="16"/>
      <c r="U338" s="16"/>
      <c r="V338" s="16"/>
      <c r="W338" s="16"/>
      <c r="X338" s="16"/>
      <c r="Y338" s="16"/>
      <c r="Z338" s="16"/>
      <c r="AA338" s="16"/>
      <c r="AB338" s="16"/>
      <c r="AC338" s="16"/>
      <c r="AD338" s="16"/>
    </row>
    <row r="339" ht="13.5" customHeight="1" spans="1:30" x14ac:dyDescent="0.25">
      <c r="A339" s="4"/>
      <c r="B339" s="4"/>
      <c r="C339" s="4"/>
      <c r="D339" s="4"/>
      <c r="E339" s="4"/>
      <c r="F339" s="4"/>
      <c r="G339" s="4"/>
      <c r="H339" s="4"/>
      <c r="I339" s="4"/>
      <c r="J339" s="4"/>
      <c r="K339" s="4"/>
      <c r="L339" s="4"/>
      <c r="M339" s="4"/>
      <c r="N339" s="4"/>
      <c r="O339" s="4"/>
      <c r="P339" s="4"/>
      <c r="Q339" s="4"/>
      <c r="R339" s="16"/>
      <c r="S339" s="16"/>
      <c r="T339" s="16"/>
      <c r="U339" s="16"/>
      <c r="V339" s="16"/>
      <c r="W339" s="16"/>
      <c r="X339" s="16"/>
      <c r="Y339" s="16"/>
      <c r="Z339" s="16"/>
      <c r="AA339" s="16"/>
      <c r="AB339" s="16"/>
      <c r="AC339" s="16"/>
      <c r="AD339" s="16"/>
    </row>
    <row r="340" ht="13.5" customHeight="1" spans="1:30" x14ac:dyDescent="0.25">
      <c r="A340" s="4"/>
      <c r="B340" s="4"/>
      <c r="C340" s="4"/>
      <c r="D340" s="4"/>
      <c r="E340" s="4"/>
      <c r="F340" s="4"/>
      <c r="G340" s="4"/>
      <c r="H340" s="4"/>
      <c r="I340" s="4"/>
      <c r="J340" s="4"/>
      <c r="K340" s="4"/>
      <c r="L340" s="4"/>
      <c r="M340" s="4"/>
      <c r="N340" s="4"/>
      <c r="O340" s="4"/>
      <c r="P340" s="4"/>
      <c r="Q340" s="4"/>
      <c r="R340" s="16"/>
      <c r="S340" s="16"/>
      <c r="T340" s="16"/>
      <c r="U340" s="16"/>
      <c r="V340" s="16"/>
      <c r="W340" s="16"/>
      <c r="X340" s="16"/>
      <c r="Y340" s="16"/>
      <c r="Z340" s="16"/>
      <c r="AA340" s="16"/>
      <c r="AB340" s="16"/>
      <c r="AC340" s="16"/>
      <c r="AD340" s="16"/>
    </row>
    <row r="341" ht="13.5" customHeight="1" spans="1:30" x14ac:dyDescent="0.25">
      <c r="A341" s="4"/>
      <c r="B341" s="4"/>
      <c r="C341" s="4"/>
      <c r="D341" s="4"/>
      <c r="E341" s="4"/>
      <c r="F341" s="4"/>
      <c r="G341" s="4"/>
      <c r="H341" s="4"/>
      <c r="I341" s="4"/>
      <c r="J341" s="4"/>
      <c r="K341" s="4"/>
      <c r="L341" s="4"/>
      <c r="M341" s="4"/>
      <c r="N341" s="4"/>
      <c r="O341" s="4"/>
      <c r="P341" s="4"/>
      <c r="Q341" s="4"/>
      <c r="R341" s="16"/>
      <c r="S341" s="16"/>
      <c r="T341" s="16"/>
      <c r="U341" s="16"/>
      <c r="V341" s="16"/>
      <c r="W341" s="16"/>
      <c r="X341" s="16"/>
      <c r="Y341" s="16"/>
      <c r="Z341" s="16"/>
      <c r="AA341" s="16"/>
      <c r="AB341" s="16"/>
      <c r="AC341" s="16"/>
      <c r="AD341" s="16"/>
    </row>
    <row r="342" ht="13.5" customHeight="1" spans="1:30" x14ac:dyDescent="0.25">
      <c r="A342" s="4"/>
      <c r="B342" s="4"/>
      <c r="C342" s="4"/>
      <c r="D342" s="4"/>
      <c r="E342" s="4"/>
      <c r="F342" s="4"/>
      <c r="G342" s="4"/>
      <c r="H342" s="4"/>
      <c r="I342" s="4"/>
      <c r="J342" s="4"/>
      <c r="K342" s="4"/>
      <c r="L342" s="4"/>
      <c r="M342" s="4"/>
      <c r="N342" s="4"/>
      <c r="O342" s="4"/>
      <c r="P342" s="4"/>
      <c r="Q342" s="4"/>
      <c r="R342" s="16"/>
      <c r="S342" s="16"/>
      <c r="T342" s="16"/>
      <c r="U342" s="16"/>
      <c r="V342" s="16"/>
      <c r="W342" s="16"/>
      <c r="X342" s="16"/>
      <c r="Y342" s="16"/>
      <c r="Z342" s="16"/>
      <c r="AA342" s="16"/>
      <c r="AB342" s="16"/>
      <c r="AC342" s="16"/>
      <c r="AD342" s="16"/>
    </row>
    <row r="343" ht="13.5" customHeight="1" spans="1:30" x14ac:dyDescent="0.25">
      <c r="A343" s="4"/>
      <c r="B343" s="4"/>
      <c r="C343" s="4"/>
      <c r="D343" s="4"/>
      <c r="E343" s="4"/>
      <c r="F343" s="4"/>
      <c r="G343" s="4"/>
      <c r="H343" s="4"/>
      <c r="I343" s="4"/>
      <c r="J343" s="4"/>
      <c r="K343" s="4"/>
      <c r="L343" s="4"/>
      <c r="M343" s="4"/>
      <c r="N343" s="4"/>
      <c r="O343" s="4"/>
      <c r="P343" s="4"/>
      <c r="Q343" s="4"/>
      <c r="R343" s="16"/>
      <c r="S343" s="16"/>
      <c r="T343" s="16"/>
      <c r="U343" s="16"/>
      <c r="V343" s="16"/>
      <c r="W343" s="16"/>
      <c r="X343" s="16"/>
      <c r="Y343" s="16"/>
      <c r="Z343" s="16"/>
      <c r="AA343" s="16"/>
      <c r="AB343" s="16"/>
      <c r="AC343" s="16"/>
      <c r="AD343" s="16"/>
    </row>
    <row r="344" ht="13.5" customHeight="1" spans="1:30" x14ac:dyDescent="0.25">
      <c r="A344" s="4"/>
      <c r="B344" s="4"/>
      <c r="C344" s="4"/>
      <c r="D344" s="4"/>
      <c r="E344" s="4"/>
      <c r="F344" s="4"/>
      <c r="G344" s="4"/>
      <c r="H344" s="4"/>
      <c r="I344" s="4"/>
      <c r="J344" s="4"/>
      <c r="K344" s="4"/>
      <c r="L344" s="4"/>
      <c r="M344" s="4"/>
      <c r="N344" s="4"/>
      <c r="O344" s="4"/>
      <c r="P344" s="4"/>
      <c r="Q344" s="4"/>
      <c r="R344" s="16"/>
      <c r="S344" s="16"/>
      <c r="T344" s="16"/>
      <c r="U344" s="16"/>
      <c r="V344" s="16"/>
      <c r="W344" s="16"/>
      <c r="X344" s="16"/>
      <c r="Y344" s="16"/>
      <c r="Z344" s="16"/>
      <c r="AA344" s="16"/>
      <c r="AB344" s="16"/>
      <c r="AC344" s="16"/>
      <c r="AD344" s="16"/>
    </row>
    <row r="345" ht="13.5" customHeight="1" spans="1:30" x14ac:dyDescent="0.25">
      <c r="A345" s="4"/>
      <c r="B345" s="4"/>
      <c r="C345" s="4"/>
      <c r="D345" s="4"/>
      <c r="E345" s="4"/>
      <c r="F345" s="4"/>
      <c r="G345" s="4"/>
      <c r="H345" s="4"/>
      <c r="I345" s="4"/>
      <c r="J345" s="4"/>
      <c r="K345" s="4"/>
      <c r="L345" s="4"/>
      <c r="M345" s="4"/>
      <c r="N345" s="4"/>
      <c r="O345" s="4"/>
      <c r="P345" s="4"/>
      <c r="Q345" s="4"/>
      <c r="R345" s="16"/>
      <c r="S345" s="16"/>
      <c r="T345" s="16"/>
      <c r="U345" s="16"/>
      <c r="V345" s="16"/>
      <c r="W345" s="16"/>
      <c r="X345" s="16"/>
      <c r="Y345" s="16"/>
      <c r="Z345" s="16"/>
      <c r="AA345" s="16"/>
      <c r="AB345" s="16"/>
      <c r="AC345" s="16"/>
      <c r="AD345" s="16"/>
    </row>
    <row r="346" ht="13.5" customHeight="1" spans="1:30" x14ac:dyDescent="0.25">
      <c r="A346" s="4"/>
      <c r="B346" s="4"/>
      <c r="C346" s="4"/>
      <c r="D346" s="4"/>
      <c r="E346" s="4"/>
      <c r="F346" s="4"/>
      <c r="G346" s="4"/>
      <c r="H346" s="4"/>
      <c r="I346" s="4"/>
      <c r="J346" s="4"/>
      <c r="K346" s="4"/>
      <c r="L346" s="4"/>
      <c r="M346" s="4"/>
      <c r="N346" s="4"/>
      <c r="O346" s="4"/>
      <c r="P346" s="4"/>
      <c r="Q346" s="4"/>
      <c r="R346" s="16"/>
      <c r="S346" s="16"/>
      <c r="T346" s="16"/>
      <c r="U346" s="16"/>
      <c r="V346" s="16"/>
      <c r="W346" s="16"/>
      <c r="X346" s="16"/>
      <c r="Y346" s="16"/>
      <c r="Z346" s="16"/>
      <c r="AA346" s="16"/>
      <c r="AB346" s="16"/>
      <c r="AC346" s="16"/>
      <c r="AD346" s="16"/>
    </row>
    <row r="347" ht="13.5" customHeight="1" spans="1:30" x14ac:dyDescent="0.25">
      <c r="A347" s="4"/>
      <c r="B347" s="4"/>
      <c r="C347" s="4"/>
      <c r="D347" s="4"/>
      <c r="E347" s="4"/>
      <c r="F347" s="4"/>
      <c r="G347" s="4"/>
      <c r="H347" s="4"/>
      <c r="I347" s="4"/>
      <c r="J347" s="4"/>
      <c r="K347" s="4"/>
      <c r="L347" s="4"/>
      <c r="M347" s="4"/>
      <c r="N347" s="4"/>
      <c r="O347" s="4"/>
      <c r="P347" s="4"/>
      <c r="Q347" s="4"/>
      <c r="R347" s="16"/>
      <c r="S347" s="16"/>
      <c r="T347" s="16"/>
      <c r="U347" s="16"/>
      <c r="V347" s="16"/>
      <c r="W347" s="16"/>
      <c r="X347" s="16"/>
      <c r="Y347" s="16"/>
      <c r="Z347" s="16"/>
      <c r="AA347" s="16"/>
      <c r="AB347" s="16"/>
      <c r="AC347" s="16"/>
      <c r="AD347" s="16"/>
    </row>
    <row r="348" ht="13.5" customHeight="1" spans="1:30" x14ac:dyDescent="0.25">
      <c r="A348" s="4"/>
      <c r="B348" s="4"/>
      <c r="C348" s="4"/>
      <c r="D348" s="4"/>
      <c r="E348" s="4"/>
      <c r="F348" s="4"/>
      <c r="G348" s="4"/>
      <c r="H348" s="4"/>
      <c r="I348" s="4"/>
      <c r="J348" s="4"/>
      <c r="K348" s="4"/>
      <c r="L348" s="4"/>
      <c r="M348" s="4"/>
      <c r="N348" s="4"/>
      <c r="O348" s="4"/>
      <c r="P348" s="4"/>
      <c r="Q348" s="4"/>
      <c r="R348" s="16"/>
      <c r="S348" s="16"/>
      <c r="T348" s="16"/>
      <c r="U348" s="16"/>
      <c r="V348" s="16"/>
      <c r="W348" s="16"/>
      <c r="X348" s="16"/>
      <c r="Y348" s="16"/>
      <c r="Z348" s="16"/>
      <c r="AA348" s="16"/>
      <c r="AB348" s="16"/>
      <c r="AC348" s="16"/>
      <c r="AD348" s="16"/>
    </row>
    <row r="349" ht="13.5" customHeight="1" spans="1:30" x14ac:dyDescent="0.25">
      <c r="A349" s="4"/>
      <c r="B349" s="4"/>
      <c r="C349" s="4"/>
      <c r="D349" s="4"/>
      <c r="E349" s="4"/>
      <c r="F349" s="4"/>
      <c r="G349" s="4"/>
      <c r="H349" s="4"/>
      <c r="I349" s="4"/>
      <c r="J349" s="4"/>
      <c r="K349" s="4"/>
      <c r="L349" s="4"/>
      <c r="M349" s="4"/>
      <c r="N349" s="4"/>
      <c r="O349" s="4"/>
      <c r="P349" s="4"/>
      <c r="Q349" s="4"/>
      <c r="R349" s="16"/>
      <c r="S349" s="16"/>
      <c r="T349" s="16"/>
      <c r="U349" s="16"/>
      <c r="V349" s="16"/>
      <c r="W349" s="16"/>
      <c r="X349" s="16"/>
      <c r="Y349" s="16"/>
      <c r="Z349" s="16"/>
      <c r="AA349" s="16"/>
      <c r="AB349" s="16"/>
      <c r="AC349" s="16"/>
      <c r="AD349" s="16"/>
    </row>
    <row r="350" ht="13.5" customHeight="1" spans="1:30" x14ac:dyDescent="0.25">
      <c r="A350" s="4"/>
      <c r="B350" s="4"/>
      <c r="C350" s="4"/>
      <c r="D350" s="4"/>
      <c r="E350" s="4"/>
      <c r="F350" s="4"/>
      <c r="G350" s="4"/>
      <c r="H350" s="4"/>
      <c r="I350" s="4"/>
      <c r="J350" s="4"/>
      <c r="K350" s="4"/>
      <c r="L350" s="4"/>
      <c r="M350" s="4"/>
      <c r="N350" s="4"/>
      <c r="O350" s="4"/>
      <c r="P350" s="4"/>
      <c r="Q350" s="4"/>
      <c r="R350" s="16"/>
      <c r="S350" s="16"/>
      <c r="T350" s="16"/>
      <c r="U350" s="16"/>
      <c r="V350" s="16"/>
      <c r="W350" s="16"/>
      <c r="X350" s="16"/>
      <c r="Y350" s="16"/>
      <c r="Z350" s="16"/>
      <c r="AA350" s="16"/>
      <c r="AB350" s="16"/>
      <c r="AC350" s="16"/>
      <c r="AD350" s="16"/>
    </row>
    <row r="351" ht="13.5" customHeight="1" spans="1:30" x14ac:dyDescent="0.25">
      <c r="A351" s="4"/>
      <c r="B351" s="4"/>
      <c r="C351" s="4"/>
      <c r="D351" s="4"/>
      <c r="E351" s="4"/>
      <c r="F351" s="4"/>
      <c r="G351" s="4"/>
      <c r="H351" s="4"/>
      <c r="I351" s="4"/>
      <c r="J351" s="4"/>
      <c r="K351" s="4"/>
      <c r="L351" s="4"/>
      <c r="M351" s="4"/>
      <c r="N351" s="4"/>
      <c r="O351" s="4"/>
      <c r="P351" s="4"/>
      <c r="Q351" s="4"/>
      <c r="R351" s="16"/>
      <c r="S351" s="16"/>
      <c r="T351" s="16"/>
      <c r="U351" s="16"/>
      <c r="V351" s="16"/>
      <c r="W351" s="16"/>
      <c r="X351" s="16"/>
      <c r="Y351" s="16"/>
      <c r="Z351" s="16"/>
      <c r="AA351" s="16"/>
      <c r="AB351" s="16"/>
      <c r="AC351" s="16"/>
      <c r="AD351" s="16"/>
    </row>
    <row r="352" ht="13.5" customHeight="1" spans="1:30" x14ac:dyDescent="0.25">
      <c r="A352" s="4"/>
      <c r="B352" s="4"/>
      <c r="C352" s="4"/>
      <c r="D352" s="4"/>
      <c r="E352" s="4"/>
      <c r="F352" s="4"/>
      <c r="G352" s="4"/>
      <c r="H352" s="4"/>
      <c r="I352" s="4"/>
      <c r="J352" s="4"/>
      <c r="K352" s="4"/>
      <c r="L352" s="4"/>
      <c r="M352" s="4"/>
      <c r="N352" s="4"/>
      <c r="O352" s="4"/>
      <c r="P352" s="4"/>
      <c r="Q352" s="4"/>
      <c r="R352" s="16"/>
      <c r="S352" s="16"/>
      <c r="T352" s="16"/>
      <c r="U352" s="16"/>
      <c r="V352" s="16"/>
      <c r="W352" s="16"/>
      <c r="X352" s="16"/>
      <c r="Y352" s="16"/>
      <c r="Z352" s="16"/>
      <c r="AA352" s="16"/>
      <c r="AB352" s="16"/>
      <c r="AC352" s="16"/>
      <c r="AD352" s="16"/>
    </row>
    <row r="353" ht="13.5" customHeight="1" spans="1:30" x14ac:dyDescent="0.25">
      <c r="A353" s="4"/>
      <c r="B353" s="4"/>
      <c r="C353" s="4"/>
      <c r="D353" s="4"/>
      <c r="E353" s="4"/>
      <c r="F353" s="4"/>
      <c r="G353" s="4"/>
      <c r="H353" s="4"/>
      <c r="I353" s="4"/>
      <c r="J353" s="4"/>
      <c r="K353" s="4"/>
      <c r="L353" s="4"/>
      <c r="M353" s="4"/>
      <c r="N353" s="4"/>
      <c r="O353" s="4"/>
      <c r="P353" s="4"/>
      <c r="Q353" s="4"/>
      <c r="R353" s="16"/>
      <c r="S353" s="16"/>
      <c r="T353" s="16"/>
      <c r="U353" s="16"/>
      <c r="V353" s="16"/>
      <c r="W353" s="16"/>
      <c r="X353" s="16"/>
      <c r="Y353" s="16"/>
      <c r="Z353" s="16"/>
      <c r="AA353" s="16"/>
      <c r="AB353" s="16"/>
      <c r="AC353" s="16"/>
      <c r="AD353" s="16"/>
    </row>
    <row r="354" ht="13.5" customHeight="1" spans="1:30" x14ac:dyDescent="0.25">
      <c r="A354" s="4"/>
      <c r="B354" s="4"/>
      <c r="C354" s="4"/>
      <c r="D354" s="4"/>
      <c r="E354" s="4"/>
      <c r="F354" s="4"/>
      <c r="G354" s="4"/>
      <c r="H354" s="4"/>
      <c r="I354" s="4"/>
      <c r="J354" s="4"/>
      <c r="K354" s="4"/>
      <c r="L354" s="4"/>
      <c r="M354" s="4"/>
      <c r="N354" s="4"/>
      <c r="O354" s="4"/>
      <c r="P354" s="4"/>
      <c r="Q354" s="4"/>
      <c r="R354" s="16"/>
      <c r="S354" s="16"/>
      <c r="T354" s="16"/>
      <c r="U354" s="16"/>
      <c r="V354" s="16"/>
      <c r="W354" s="16"/>
      <c r="X354" s="16"/>
      <c r="Y354" s="16"/>
      <c r="Z354" s="16"/>
      <c r="AA354" s="16"/>
      <c r="AB354" s="16"/>
      <c r="AC354" s="16"/>
      <c r="AD354" s="16"/>
    </row>
    <row r="355" ht="13.5" customHeight="1" spans="1:30" x14ac:dyDescent="0.25">
      <c r="A355" s="4"/>
      <c r="B355" s="4"/>
      <c r="C355" s="4"/>
      <c r="D355" s="4"/>
      <c r="E355" s="4"/>
      <c r="F355" s="4"/>
      <c r="G355" s="4"/>
      <c r="H355" s="4"/>
      <c r="I355" s="4"/>
      <c r="J355" s="4"/>
      <c r="K355" s="4"/>
      <c r="L355" s="4"/>
      <c r="M355" s="4"/>
      <c r="N355" s="4"/>
      <c r="O355" s="4"/>
      <c r="P355" s="4"/>
      <c r="Q355" s="4"/>
      <c r="R355" s="16"/>
      <c r="S355" s="16"/>
      <c r="T355" s="16"/>
      <c r="U355" s="16"/>
      <c r="V355" s="16"/>
      <c r="W355" s="16"/>
      <c r="X355" s="16"/>
      <c r="Y355" s="16"/>
      <c r="Z355" s="16"/>
      <c r="AA355" s="16"/>
      <c r="AB355" s="16"/>
      <c r="AC355" s="16"/>
      <c r="AD355" s="16"/>
    </row>
    <row r="356" ht="13.5" customHeight="1" spans="1:30" x14ac:dyDescent="0.25">
      <c r="A356" s="4"/>
      <c r="B356" s="4"/>
      <c r="C356" s="4"/>
      <c r="D356" s="4"/>
      <c r="E356" s="4"/>
      <c r="F356" s="4"/>
      <c r="G356" s="4"/>
      <c r="H356" s="4"/>
      <c r="I356" s="4"/>
      <c r="J356" s="4"/>
      <c r="K356" s="4"/>
      <c r="L356" s="4"/>
      <c r="M356" s="4"/>
      <c r="N356" s="4"/>
      <c r="O356" s="4"/>
      <c r="P356" s="4"/>
      <c r="Q356" s="4"/>
      <c r="R356" s="16"/>
      <c r="S356" s="16"/>
      <c r="T356" s="16"/>
      <c r="U356" s="16"/>
      <c r="V356" s="16"/>
      <c r="W356" s="16"/>
      <c r="X356" s="16"/>
      <c r="Y356" s="16"/>
      <c r="Z356" s="16"/>
      <c r="AA356" s="16"/>
      <c r="AB356" s="16"/>
      <c r="AC356" s="16"/>
      <c r="AD356" s="16"/>
    </row>
    <row r="357" ht="13.5" customHeight="1" spans="1:30" x14ac:dyDescent="0.25">
      <c r="A357" s="4"/>
      <c r="B357" s="4"/>
      <c r="C357" s="4"/>
      <c r="D357" s="4"/>
      <c r="E357" s="4"/>
      <c r="F357" s="4"/>
      <c r="G357" s="4"/>
      <c r="H357" s="4"/>
      <c r="I357" s="4"/>
      <c r="J357" s="4"/>
      <c r="K357" s="4"/>
      <c r="L357" s="4"/>
      <c r="M357" s="4"/>
      <c r="N357" s="4"/>
      <c r="O357" s="4"/>
      <c r="P357" s="4"/>
      <c r="Q357" s="4"/>
      <c r="R357" s="16"/>
      <c r="S357" s="16"/>
      <c r="T357" s="16"/>
      <c r="U357" s="16"/>
      <c r="V357" s="16"/>
      <c r="W357" s="16"/>
      <c r="X357" s="16"/>
      <c r="Y357" s="16"/>
      <c r="Z357" s="16"/>
      <c r="AA357" s="16"/>
      <c r="AB357" s="16"/>
      <c r="AC357" s="16"/>
      <c r="AD357" s="16"/>
    </row>
    <row r="358" ht="13.5" customHeight="1" spans="1:30" x14ac:dyDescent="0.25">
      <c r="A358" s="4"/>
      <c r="B358" s="4"/>
      <c r="C358" s="4"/>
      <c r="D358" s="4"/>
      <c r="E358" s="4"/>
      <c r="F358" s="4"/>
      <c r="G358" s="4"/>
      <c r="H358" s="4"/>
      <c r="I358" s="4"/>
      <c r="J358" s="4"/>
      <c r="K358" s="4"/>
      <c r="L358" s="4"/>
      <c r="M358" s="4"/>
      <c r="N358" s="4"/>
      <c r="O358" s="4"/>
      <c r="P358" s="4"/>
      <c r="Q358" s="4"/>
      <c r="R358" s="16"/>
      <c r="S358" s="16"/>
      <c r="T358" s="16"/>
      <c r="U358" s="16"/>
      <c r="V358" s="16"/>
      <c r="W358" s="16"/>
      <c r="X358" s="16"/>
      <c r="Y358" s="16"/>
      <c r="Z358" s="16"/>
      <c r="AA358" s="16"/>
      <c r="AB358" s="16"/>
      <c r="AC358" s="16"/>
      <c r="AD358" s="16"/>
    </row>
    <row r="359" ht="13.5" customHeight="1" spans="1:30" x14ac:dyDescent="0.25">
      <c r="A359" s="4"/>
      <c r="B359" s="4"/>
      <c r="C359" s="4"/>
      <c r="D359" s="4"/>
      <c r="E359" s="4"/>
      <c r="F359" s="4"/>
      <c r="G359" s="4"/>
      <c r="H359" s="4"/>
      <c r="I359" s="4"/>
      <c r="J359" s="4"/>
      <c r="K359" s="4"/>
      <c r="L359" s="4"/>
      <c r="M359" s="4"/>
      <c r="N359" s="4"/>
      <c r="O359" s="4"/>
      <c r="P359" s="4"/>
      <c r="Q359" s="4"/>
      <c r="R359" s="16"/>
      <c r="S359" s="16"/>
      <c r="T359" s="16"/>
      <c r="U359" s="16"/>
      <c r="V359" s="16"/>
      <c r="W359" s="16"/>
      <c r="X359" s="16"/>
      <c r="Y359" s="16"/>
      <c r="Z359" s="16"/>
      <c r="AA359" s="16"/>
      <c r="AB359" s="16"/>
      <c r="AC359" s="16"/>
      <c r="AD359" s="16"/>
    </row>
    <row r="360" ht="13.5" customHeight="1" spans="1:30" x14ac:dyDescent="0.25">
      <c r="A360" s="4"/>
      <c r="B360" s="4"/>
      <c r="C360" s="4"/>
      <c r="D360" s="4"/>
      <c r="E360" s="4"/>
      <c r="F360" s="4"/>
      <c r="G360" s="4"/>
      <c r="H360" s="4"/>
      <c r="I360" s="4"/>
      <c r="J360" s="4"/>
      <c r="K360" s="4"/>
      <c r="L360" s="4"/>
      <c r="M360" s="4"/>
      <c r="N360" s="4"/>
      <c r="O360" s="4"/>
      <c r="P360" s="4"/>
      <c r="Q360" s="4"/>
      <c r="R360" s="16"/>
      <c r="S360" s="16"/>
      <c r="T360" s="16"/>
      <c r="U360" s="16"/>
      <c r="V360" s="16"/>
      <c r="W360" s="16"/>
      <c r="X360" s="16"/>
      <c r="Y360" s="16"/>
      <c r="Z360" s="16"/>
      <c r="AA360" s="16"/>
      <c r="AB360" s="16"/>
      <c r="AC360" s="16"/>
      <c r="AD360" s="16"/>
    </row>
    <row r="361" ht="13.5" customHeight="1" spans="1:30" x14ac:dyDescent="0.25">
      <c r="A361" s="4"/>
      <c r="B361" s="4"/>
      <c r="C361" s="4"/>
      <c r="D361" s="4"/>
      <c r="E361" s="4"/>
      <c r="F361" s="4"/>
      <c r="G361" s="4"/>
      <c r="H361" s="4"/>
      <c r="I361" s="4"/>
      <c r="J361" s="4"/>
      <c r="K361" s="4"/>
      <c r="L361" s="4"/>
      <c r="M361" s="4"/>
      <c r="N361" s="4"/>
      <c r="O361" s="4"/>
      <c r="P361" s="4"/>
      <c r="Q361" s="4"/>
      <c r="R361" s="16"/>
      <c r="S361" s="16"/>
      <c r="T361" s="16"/>
      <c r="U361" s="16"/>
      <c r="V361" s="16"/>
      <c r="W361" s="16"/>
      <c r="X361" s="16"/>
      <c r="Y361" s="16"/>
      <c r="Z361" s="16"/>
      <c r="AA361" s="16"/>
      <c r="AB361" s="16"/>
      <c r="AC361" s="16"/>
      <c r="AD361" s="16"/>
    </row>
    <row r="362" ht="13.5" customHeight="1" spans="1:30" x14ac:dyDescent="0.25">
      <c r="A362" s="4"/>
      <c r="B362" s="4"/>
      <c r="C362" s="4"/>
      <c r="D362" s="4"/>
      <c r="E362" s="4"/>
      <c r="F362" s="4"/>
      <c r="G362" s="4"/>
      <c r="H362" s="4"/>
      <c r="I362" s="4"/>
      <c r="J362" s="4"/>
      <c r="K362" s="4"/>
      <c r="L362" s="4"/>
      <c r="M362" s="4"/>
      <c r="N362" s="4"/>
      <c r="O362" s="4"/>
      <c r="P362" s="4"/>
      <c r="Q362" s="4"/>
      <c r="R362" s="16"/>
      <c r="S362" s="16"/>
      <c r="T362" s="16"/>
      <c r="U362" s="16"/>
      <c r="V362" s="16"/>
      <c r="W362" s="16"/>
      <c r="X362" s="16"/>
      <c r="Y362" s="16"/>
      <c r="Z362" s="16"/>
      <c r="AA362" s="16"/>
      <c r="AB362" s="16"/>
      <c r="AC362" s="16"/>
      <c r="AD362" s="16"/>
    </row>
    <row r="363" ht="13.5" customHeight="1" spans="1:30" x14ac:dyDescent="0.25">
      <c r="A363" s="4"/>
      <c r="B363" s="4"/>
      <c r="C363" s="4"/>
      <c r="D363" s="4"/>
      <c r="E363" s="4"/>
      <c r="F363" s="4"/>
      <c r="G363" s="4"/>
      <c r="H363" s="4"/>
      <c r="I363" s="4"/>
      <c r="J363" s="4"/>
      <c r="K363" s="4"/>
      <c r="L363" s="4"/>
      <c r="M363" s="4"/>
      <c r="N363" s="4"/>
      <c r="O363" s="4"/>
      <c r="P363" s="4"/>
      <c r="Q363" s="4"/>
      <c r="R363" s="16"/>
      <c r="S363" s="16"/>
      <c r="T363" s="16"/>
      <c r="U363" s="16"/>
      <c r="V363" s="16"/>
      <c r="W363" s="16"/>
      <c r="X363" s="16"/>
      <c r="Y363" s="16"/>
      <c r="Z363" s="16"/>
      <c r="AA363" s="16"/>
      <c r="AB363" s="16"/>
      <c r="AC363" s="16"/>
      <c r="AD363" s="16"/>
    </row>
    <row r="364" ht="13.5" customHeight="1" spans="1:30" x14ac:dyDescent="0.25">
      <c r="A364" s="4"/>
      <c r="B364" s="4"/>
      <c r="C364" s="4"/>
      <c r="D364" s="4"/>
      <c r="E364" s="4"/>
      <c r="F364" s="4"/>
      <c r="G364" s="4"/>
      <c r="H364" s="4"/>
      <c r="I364" s="4"/>
      <c r="J364" s="4"/>
      <c r="K364" s="4"/>
      <c r="L364" s="4"/>
      <c r="M364" s="4"/>
      <c r="N364" s="4"/>
      <c r="O364" s="4"/>
      <c r="P364" s="4"/>
      <c r="Q364" s="4"/>
      <c r="R364" s="16"/>
      <c r="S364" s="16"/>
      <c r="T364" s="16"/>
      <c r="U364" s="16"/>
      <c r="V364" s="16"/>
      <c r="W364" s="16"/>
      <c r="X364" s="16"/>
      <c r="Y364" s="16"/>
      <c r="Z364" s="16"/>
      <c r="AA364" s="16"/>
      <c r="AB364" s="16"/>
      <c r="AC364" s="16"/>
      <c r="AD364" s="16"/>
    </row>
    <row r="365" ht="13.5" customHeight="1" spans="1:30" x14ac:dyDescent="0.25">
      <c r="A365" s="4"/>
      <c r="B365" s="4"/>
      <c r="C365" s="4"/>
      <c r="D365" s="4"/>
      <c r="E365" s="4"/>
      <c r="F365" s="4"/>
      <c r="G365" s="4"/>
      <c r="H365" s="4"/>
      <c r="I365" s="4"/>
      <c r="J365" s="4"/>
      <c r="K365" s="4"/>
      <c r="L365" s="4"/>
      <c r="M365" s="4"/>
      <c r="N365" s="4"/>
      <c r="O365" s="4"/>
      <c r="P365" s="4"/>
      <c r="Q365" s="4"/>
      <c r="R365" s="16"/>
      <c r="S365" s="16"/>
      <c r="T365" s="16"/>
      <c r="U365" s="16"/>
      <c r="V365" s="16"/>
      <c r="W365" s="16"/>
      <c r="X365" s="16"/>
      <c r="Y365" s="16"/>
      <c r="Z365" s="16"/>
      <c r="AA365" s="16"/>
      <c r="AB365" s="16"/>
      <c r="AC365" s="16"/>
      <c r="AD365" s="16"/>
    </row>
    <row r="366" ht="13.5" customHeight="1" spans="1:30" x14ac:dyDescent="0.25">
      <c r="A366" s="4"/>
      <c r="B366" s="4"/>
      <c r="C366" s="4"/>
      <c r="D366" s="4"/>
      <c r="E366" s="4"/>
      <c r="F366" s="4"/>
      <c r="G366" s="4"/>
      <c r="H366" s="4"/>
      <c r="I366" s="4"/>
      <c r="J366" s="4"/>
      <c r="K366" s="4"/>
      <c r="L366" s="4"/>
      <c r="M366" s="4"/>
      <c r="N366" s="4"/>
      <c r="O366" s="4"/>
      <c r="P366" s="4"/>
      <c r="Q366" s="4"/>
      <c r="R366" s="16"/>
      <c r="S366" s="16"/>
      <c r="T366" s="16"/>
      <c r="U366" s="16"/>
      <c r="V366" s="16"/>
      <c r="W366" s="16"/>
      <c r="X366" s="16"/>
      <c r="Y366" s="16"/>
      <c r="Z366" s="16"/>
      <c r="AA366" s="16"/>
      <c r="AB366" s="16"/>
      <c r="AC366" s="16"/>
      <c r="AD366" s="16"/>
    </row>
    <row r="367" ht="13.5" customHeight="1" spans="1:30" x14ac:dyDescent="0.25">
      <c r="A367" s="4"/>
      <c r="B367" s="4"/>
      <c r="C367" s="4"/>
      <c r="D367" s="4"/>
      <c r="E367" s="4"/>
      <c r="F367" s="4"/>
      <c r="G367" s="4"/>
      <c r="H367" s="4"/>
      <c r="I367" s="4"/>
      <c r="J367" s="4"/>
      <c r="K367" s="4"/>
      <c r="L367" s="4"/>
      <c r="M367" s="4"/>
      <c r="N367" s="4"/>
      <c r="O367" s="4"/>
      <c r="P367" s="4"/>
      <c r="Q367" s="4"/>
      <c r="R367" s="16"/>
      <c r="S367" s="16"/>
      <c r="T367" s="16"/>
      <c r="U367" s="16"/>
      <c r="V367" s="16"/>
      <c r="W367" s="16"/>
      <c r="X367" s="16"/>
      <c r="Y367" s="16"/>
      <c r="Z367" s="16"/>
      <c r="AA367" s="16"/>
      <c r="AB367" s="16"/>
      <c r="AC367" s="16"/>
      <c r="AD367" s="16"/>
    </row>
    <row r="368" ht="13.5" customHeight="1" spans="1:30" x14ac:dyDescent="0.25">
      <c r="A368" s="4"/>
      <c r="B368" s="4"/>
      <c r="C368" s="4"/>
      <c r="D368" s="4"/>
      <c r="E368" s="4"/>
      <c r="F368" s="4"/>
      <c r="G368" s="4"/>
      <c r="H368" s="4"/>
      <c r="I368" s="4"/>
      <c r="J368" s="4"/>
      <c r="K368" s="4"/>
      <c r="L368" s="4"/>
      <c r="M368" s="4"/>
      <c r="N368" s="4"/>
      <c r="O368" s="4"/>
      <c r="P368" s="4"/>
      <c r="Q368" s="4"/>
      <c r="R368" s="16"/>
      <c r="S368" s="16"/>
      <c r="T368" s="16"/>
      <c r="U368" s="16"/>
      <c r="V368" s="16"/>
      <c r="W368" s="16"/>
      <c r="X368" s="16"/>
      <c r="Y368" s="16"/>
      <c r="Z368" s="16"/>
      <c r="AA368" s="16"/>
      <c r="AB368" s="16"/>
      <c r="AC368" s="16"/>
      <c r="AD368" s="16"/>
    </row>
    <row r="369" ht="13.5" customHeight="1" spans="1:30" x14ac:dyDescent="0.25">
      <c r="A369" s="4"/>
      <c r="B369" s="4"/>
      <c r="C369" s="4"/>
      <c r="D369" s="4"/>
      <c r="E369" s="4"/>
      <c r="F369" s="4"/>
      <c r="G369" s="4"/>
      <c r="H369" s="4"/>
      <c r="I369" s="4"/>
      <c r="J369" s="4"/>
      <c r="K369" s="4"/>
      <c r="L369" s="4"/>
      <c r="M369" s="4"/>
      <c r="N369" s="4"/>
      <c r="O369" s="4"/>
      <c r="P369" s="4"/>
      <c r="Q369" s="4"/>
      <c r="R369" s="16"/>
      <c r="S369" s="16"/>
      <c r="T369" s="16"/>
      <c r="U369" s="16"/>
      <c r="V369" s="16"/>
      <c r="W369" s="16"/>
      <c r="X369" s="16"/>
      <c r="Y369" s="16"/>
      <c r="Z369" s="16"/>
      <c r="AA369" s="16"/>
      <c r="AB369" s="16"/>
      <c r="AC369" s="16"/>
      <c r="AD369" s="16"/>
    </row>
    <row r="370" ht="13.5" customHeight="1" spans="1:30" x14ac:dyDescent="0.25">
      <c r="A370" s="4"/>
      <c r="B370" s="4"/>
      <c r="C370" s="4"/>
      <c r="D370" s="4"/>
      <c r="E370" s="4"/>
      <c r="F370" s="4"/>
      <c r="G370" s="4"/>
      <c r="H370" s="4"/>
      <c r="I370" s="4"/>
      <c r="J370" s="4"/>
      <c r="K370" s="4"/>
      <c r="L370" s="4"/>
      <c r="M370" s="4"/>
      <c r="N370" s="4"/>
      <c r="O370" s="4"/>
      <c r="P370" s="4"/>
      <c r="Q370" s="4"/>
      <c r="R370" s="16"/>
      <c r="S370" s="16"/>
      <c r="T370" s="16"/>
      <c r="U370" s="16"/>
      <c r="V370" s="16"/>
      <c r="W370" s="16"/>
      <c r="X370" s="16"/>
      <c r="Y370" s="16"/>
      <c r="Z370" s="16"/>
      <c r="AA370" s="16"/>
      <c r="AB370" s="16"/>
      <c r="AC370" s="16"/>
      <c r="AD370" s="16"/>
    </row>
    <row r="371" ht="13.5" customHeight="1" spans="1:30" x14ac:dyDescent="0.25">
      <c r="A371" s="4"/>
      <c r="B371" s="4"/>
      <c r="C371" s="4"/>
      <c r="D371" s="4"/>
      <c r="E371" s="4"/>
      <c r="F371" s="4"/>
      <c r="G371" s="4"/>
      <c r="H371" s="4"/>
      <c r="I371" s="4"/>
      <c r="J371" s="4"/>
      <c r="K371" s="4"/>
      <c r="L371" s="4"/>
      <c r="M371" s="4"/>
      <c r="N371" s="4"/>
      <c r="O371" s="4"/>
      <c r="P371" s="4"/>
      <c r="Q371" s="4"/>
      <c r="R371" s="16"/>
      <c r="S371" s="16"/>
      <c r="T371" s="16"/>
      <c r="U371" s="16"/>
      <c r="V371" s="16"/>
      <c r="W371" s="16"/>
      <c r="X371" s="16"/>
      <c r="Y371" s="16"/>
      <c r="Z371" s="16"/>
      <c r="AA371" s="16"/>
      <c r="AB371" s="16"/>
      <c r="AC371" s="16"/>
      <c r="AD371" s="16"/>
    </row>
    <row r="372" ht="13.5" customHeight="1" spans="1:30" x14ac:dyDescent="0.25">
      <c r="A372" s="4"/>
      <c r="B372" s="4"/>
      <c r="C372" s="4"/>
      <c r="D372" s="4"/>
      <c r="E372" s="4"/>
      <c r="F372" s="4"/>
      <c r="G372" s="4"/>
      <c r="H372" s="4"/>
      <c r="I372" s="4"/>
      <c r="J372" s="4"/>
      <c r="K372" s="4"/>
      <c r="L372" s="4"/>
      <c r="M372" s="4"/>
      <c r="N372" s="4"/>
      <c r="O372" s="4"/>
      <c r="P372" s="4"/>
      <c r="Q372" s="4"/>
      <c r="R372" s="16"/>
      <c r="S372" s="16"/>
      <c r="T372" s="16"/>
      <c r="U372" s="16"/>
      <c r="V372" s="16"/>
      <c r="W372" s="16"/>
      <c r="X372" s="16"/>
      <c r="Y372" s="16"/>
      <c r="Z372" s="16"/>
      <c r="AA372" s="16"/>
      <c r="AB372" s="16"/>
      <c r="AC372" s="16"/>
      <c r="AD372" s="16"/>
    </row>
    <row r="373" ht="13.5" customHeight="1" spans="1:30" x14ac:dyDescent="0.25">
      <c r="A373" s="4"/>
      <c r="B373" s="4"/>
      <c r="C373" s="4"/>
      <c r="D373" s="4"/>
      <c r="E373" s="4"/>
      <c r="F373" s="4"/>
      <c r="G373" s="4"/>
      <c r="H373" s="4"/>
      <c r="I373" s="4"/>
      <c r="J373" s="4"/>
      <c r="K373" s="4"/>
      <c r="L373" s="4"/>
      <c r="M373" s="4"/>
      <c r="N373" s="4"/>
      <c r="O373" s="4"/>
      <c r="P373" s="4"/>
      <c r="Q373" s="4"/>
      <c r="R373" s="16"/>
      <c r="S373" s="16"/>
      <c r="T373" s="16"/>
      <c r="U373" s="16"/>
      <c r="V373" s="16"/>
      <c r="W373" s="16"/>
      <c r="X373" s="16"/>
      <c r="Y373" s="16"/>
      <c r="Z373" s="16"/>
      <c r="AA373" s="16"/>
      <c r="AB373" s="16"/>
      <c r="AC373" s="16"/>
      <c r="AD373" s="16"/>
    </row>
    <row r="374" ht="13.5" customHeight="1" spans="1:30" x14ac:dyDescent="0.25">
      <c r="A374" s="4"/>
      <c r="B374" s="4"/>
      <c r="C374" s="4"/>
      <c r="D374" s="4"/>
      <c r="E374" s="4"/>
      <c r="F374" s="4"/>
      <c r="G374" s="4"/>
      <c r="H374" s="4"/>
      <c r="I374" s="4"/>
      <c r="J374" s="4"/>
      <c r="K374" s="4"/>
      <c r="L374" s="4"/>
      <c r="M374" s="4"/>
      <c r="N374" s="4"/>
      <c r="O374" s="4"/>
      <c r="P374" s="4"/>
      <c r="Q374" s="4"/>
      <c r="R374" s="16"/>
      <c r="S374" s="16"/>
      <c r="T374" s="16"/>
      <c r="U374" s="16"/>
      <c r="V374" s="16"/>
      <c r="W374" s="16"/>
      <c r="X374" s="16"/>
      <c r="Y374" s="16"/>
      <c r="Z374" s="16"/>
      <c r="AA374" s="16"/>
      <c r="AB374" s="16"/>
      <c r="AC374" s="16"/>
      <c r="AD374" s="16"/>
    </row>
    <row r="375" ht="13.5" customHeight="1" spans="1:30" x14ac:dyDescent="0.25">
      <c r="A375" s="4"/>
      <c r="B375" s="4"/>
      <c r="C375" s="4"/>
      <c r="D375" s="4"/>
      <c r="E375" s="4"/>
      <c r="F375" s="4"/>
      <c r="G375" s="4"/>
      <c r="H375" s="4"/>
      <c r="I375" s="4"/>
      <c r="J375" s="4"/>
      <c r="K375" s="4"/>
      <c r="L375" s="4"/>
      <c r="M375" s="4"/>
      <c r="N375" s="4"/>
      <c r="O375" s="4"/>
      <c r="P375" s="4"/>
      <c r="Q375" s="4"/>
      <c r="R375" s="16"/>
      <c r="S375" s="16"/>
      <c r="T375" s="16"/>
      <c r="U375" s="16"/>
      <c r="V375" s="16"/>
      <c r="W375" s="16"/>
      <c r="X375" s="16"/>
      <c r="Y375" s="16"/>
      <c r="Z375" s="16"/>
      <c r="AA375" s="16"/>
      <c r="AB375" s="16"/>
      <c r="AC375" s="16"/>
      <c r="AD375" s="16"/>
    </row>
    <row r="376" ht="13.5" customHeight="1" spans="1:30" x14ac:dyDescent="0.25">
      <c r="A376" s="4"/>
      <c r="B376" s="4"/>
      <c r="C376" s="4"/>
      <c r="D376" s="4"/>
      <c r="E376" s="4"/>
      <c r="F376" s="4"/>
      <c r="G376" s="4"/>
      <c r="H376" s="4"/>
      <c r="I376" s="4"/>
      <c r="J376" s="4"/>
      <c r="K376" s="4"/>
      <c r="L376" s="4"/>
      <c r="M376" s="4"/>
      <c r="N376" s="4"/>
      <c r="O376" s="4"/>
      <c r="P376" s="4"/>
      <c r="Q376" s="4"/>
      <c r="R376" s="16"/>
      <c r="S376" s="16"/>
      <c r="T376" s="16"/>
      <c r="U376" s="16"/>
      <c r="V376" s="16"/>
      <c r="W376" s="16"/>
      <c r="X376" s="16"/>
      <c r="Y376" s="16"/>
      <c r="Z376" s="16"/>
      <c r="AA376" s="16"/>
      <c r="AB376" s="16"/>
      <c r="AC376" s="16"/>
      <c r="AD376" s="16"/>
    </row>
    <row r="377" ht="13.5" customHeight="1" spans="1:30" x14ac:dyDescent="0.25">
      <c r="A377" s="4"/>
      <c r="B377" s="4"/>
      <c r="C377" s="4"/>
      <c r="D377" s="4"/>
      <c r="E377" s="4"/>
      <c r="F377" s="4"/>
      <c r="G377" s="4"/>
      <c r="H377" s="4"/>
      <c r="I377" s="4"/>
      <c r="J377" s="4"/>
      <c r="K377" s="4"/>
      <c r="L377" s="4"/>
      <c r="M377" s="4"/>
      <c r="N377" s="4"/>
      <c r="O377" s="4"/>
      <c r="P377" s="4"/>
      <c r="Q377" s="4"/>
      <c r="R377" s="16"/>
      <c r="S377" s="16"/>
      <c r="T377" s="16"/>
      <c r="U377" s="16"/>
      <c r="V377" s="16"/>
      <c r="W377" s="16"/>
      <c r="X377" s="16"/>
      <c r="Y377" s="16"/>
      <c r="Z377" s="16"/>
      <c r="AA377" s="16"/>
      <c r="AB377" s="16"/>
      <c r="AC377" s="16"/>
      <c r="AD377" s="16"/>
    </row>
    <row r="378" ht="13.5" customHeight="1" spans="1:30" x14ac:dyDescent="0.25">
      <c r="A378" s="4"/>
      <c r="B378" s="4"/>
      <c r="C378" s="4"/>
      <c r="D378" s="4"/>
      <c r="E378" s="4"/>
      <c r="F378" s="4"/>
      <c r="G378" s="4"/>
      <c r="H378" s="4"/>
      <c r="I378" s="4"/>
      <c r="J378" s="4"/>
      <c r="K378" s="4"/>
      <c r="L378" s="4"/>
      <c r="M378" s="4"/>
      <c r="N378" s="4"/>
      <c r="O378" s="4"/>
      <c r="P378" s="4"/>
      <c r="Q378" s="4"/>
      <c r="R378" s="16"/>
      <c r="S378" s="16"/>
      <c r="T378" s="16"/>
      <c r="U378" s="16"/>
      <c r="V378" s="16"/>
      <c r="W378" s="16"/>
      <c r="X378" s="16"/>
      <c r="Y378" s="16"/>
      <c r="Z378" s="16"/>
      <c r="AA378" s="16"/>
      <c r="AB378" s="16"/>
      <c r="AC378" s="16"/>
      <c r="AD378" s="16"/>
    </row>
    <row r="379" ht="13.5" customHeight="1" spans="1:30" x14ac:dyDescent="0.25">
      <c r="A379" s="4"/>
      <c r="B379" s="4"/>
      <c r="C379" s="4"/>
      <c r="D379" s="4"/>
      <c r="E379" s="4"/>
      <c r="F379" s="4"/>
      <c r="G379" s="4"/>
      <c r="H379" s="4"/>
      <c r="I379" s="4"/>
      <c r="J379" s="4"/>
      <c r="K379" s="4"/>
      <c r="L379" s="4"/>
      <c r="M379" s="4"/>
      <c r="N379" s="4"/>
      <c r="O379" s="4"/>
      <c r="P379" s="4"/>
      <c r="Q379" s="4"/>
      <c r="R379" s="16"/>
      <c r="S379" s="16"/>
      <c r="T379" s="16"/>
      <c r="U379" s="16"/>
      <c r="V379" s="16"/>
      <c r="W379" s="16"/>
      <c r="X379" s="16"/>
      <c r="Y379" s="16"/>
      <c r="Z379" s="16"/>
      <c r="AA379" s="16"/>
      <c r="AB379" s="16"/>
      <c r="AC379" s="16"/>
      <c r="AD379" s="16"/>
    </row>
    <row r="380" ht="13.5" customHeight="1" spans="1:30" x14ac:dyDescent="0.25">
      <c r="A380" s="4"/>
      <c r="B380" s="4"/>
      <c r="C380" s="4"/>
      <c r="D380" s="4"/>
      <c r="E380" s="4"/>
      <c r="F380" s="4"/>
      <c r="G380" s="4"/>
      <c r="H380" s="4"/>
      <c r="I380" s="4"/>
      <c r="J380" s="4"/>
      <c r="K380" s="4"/>
      <c r="L380" s="4"/>
      <c r="M380" s="4"/>
      <c r="N380" s="4"/>
      <c r="O380" s="4"/>
      <c r="P380" s="4"/>
      <c r="Q380" s="4"/>
      <c r="R380" s="16"/>
      <c r="S380" s="16"/>
      <c r="T380" s="16"/>
      <c r="U380" s="16"/>
      <c r="V380" s="16"/>
      <c r="W380" s="16"/>
      <c r="X380" s="16"/>
      <c r="Y380" s="16"/>
      <c r="Z380" s="16"/>
      <c r="AA380" s="16"/>
      <c r="AB380" s="16"/>
      <c r="AC380" s="16"/>
      <c r="AD380" s="16"/>
    </row>
    <row r="381" ht="13.5" customHeight="1" spans="1:30" x14ac:dyDescent="0.25">
      <c r="A381" s="4"/>
      <c r="B381" s="4"/>
      <c r="C381" s="4"/>
      <c r="D381" s="4"/>
      <c r="E381" s="4"/>
      <c r="F381" s="4"/>
      <c r="G381" s="4"/>
      <c r="H381" s="4"/>
      <c r="I381" s="4"/>
      <c r="J381" s="4"/>
      <c r="K381" s="4"/>
      <c r="L381" s="4"/>
      <c r="M381" s="4"/>
      <c r="N381" s="4"/>
      <c r="O381" s="4"/>
      <c r="P381" s="4"/>
      <c r="Q381" s="4"/>
      <c r="R381" s="16"/>
      <c r="S381" s="16"/>
      <c r="T381" s="16"/>
      <c r="U381" s="16"/>
      <c r="V381" s="16"/>
      <c r="W381" s="16"/>
      <c r="X381" s="16"/>
      <c r="Y381" s="16"/>
      <c r="Z381" s="16"/>
      <c r="AA381" s="16"/>
      <c r="AB381" s="16"/>
      <c r="AC381" s="16"/>
      <c r="AD381" s="16"/>
    </row>
    <row r="382" ht="13.5" customHeight="1" spans="1:30" x14ac:dyDescent="0.25">
      <c r="A382" s="4"/>
      <c r="B382" s="4"/>
      <c r="C382" s="4"/>
      <c r="D382" s="4"/>
      <c r="E382" s="4"/>
      <c r="F382" s="4"/>
      <c r="G382" s="4"/>
      <c r="H382" s="4"/>
      <c r="I382" s="4"/>
      <c r="J382" s="4"/>
      <c r="K382" s="4"/>
      <c r="L382" s="4"/>
      <c r="M382" s="4"/>
      <c r="N382" s="4"/>
      <c r="O382" s="4"/>
      <c r="P382" s="4"/>
      <c r="Q382" s="4"/>
      <c r="R382" s="16"/>
      <c r="S382" s="16"/>
      <c r="T382" s="16"/>
      <c r="U382" s="16"/>
      <c r="V382" s="16"/>
      <c r="W382" s="16"/>
      <c r="X382" s="16"/>
      <c r="Y382" s="16"/>
      <c r="Z382" s="16"/>
      <c r="AA382" s="16"/>
      <c r="AB382" s="16"/>
      <c r="AC382" s="16"/>
      <c r="AD382" s="16"/>
    </row>
    <row r="383" ht="13.5" customHeight="1" spans="1:30" x14ac:dyDescent="0.25">
      <c r="A383" s="4"/>
      <c r="B383" s="4"/>
      <c r="C383" s="4"/>
      <c r="D383" s="4"/>
      <c r="E383" s="4"/>
      <c r="F383" s="4"/>
      <c r="G383" s="4"/>
      <c r="H383" s="4"/>
      <c r="I383" s="4"/>
      <c r="J383" s="4"/>
      <c r="K383" s="4"/>
      <c r="L383" s="4"/>
      <c r="M383" s="4"/>
      <c r="N383" s="4"/>
      <c r="O383" s="4"/>
      <c r="P383" s="4"/>
      <c r="Q383" s="4"/>
      <c r="R383" s="16"/>
      <c r="S383" s="16"/>
      <c r="T383" s="16"/>
      <c r="U383" s="16"/>
      <c r="V383" s="16"/>
      <c r="W383" s="16"/>
      <c r="X383" s="16"/>
      <c r="Y383" s="16"/>
      <c r="Z383" s="16"/>
      <c r="AA383" s="16"/>
      <c r="AB383" s="16"/>
      <c r="AC383" s="16"/>
      <c r="AD383" s="16"/>
    </row>
    <row r="384" ht="13.5" customHeight="1" spans="1:30" x14ac:dyDescent="0.25">
      <c r="A384" s="4"/>
      <c r="B384" s="4"/>
      <c r="C384" s="4"/>
      <c r="D384" s="4"/>
      <c r="E384" s="4"/>
      <c r="F384" s="4"/>
      <c r="G384" s="4"/>
      <c r="H384" s="4"/>
      <c r="I384" s="4"/>
      <c r="J384" s="4"/>
      <c r="K384" s="4"/>
      <c r="L384" s="4"/>
      <c r="M384" s="4"/>
      <c r="N384" s="4"/>
      <c r="O384" s="4"/>
      <c r="P384" s="4"/>
      <c r="Q384" s="4"/>
      <c r="R384" s="16"/>
      <c r="S384" s="16"/>
      <c r="T384" s="16"/>
      <c r="U384" s="16"/>
      <c r="V384" s="16"/>
      <c r="W384" s="16"/>
      <c r="X384" s="16"/>
      <c r="Y384" s="16"/>
      <c r="Z384" s="16"/>
      <c r="AA384" s="16"/>
      <c r="AB384" s="16"/>
      <c r="AC384" s="16"/>
      <c r="AD384" s="16"/>
    </row>
    <row r="385" ht="13.5" customHeight="1" spans="1:30" x14ac:dyDescent="0.25">
      <c r="A385" s="4"/>
      <c r="B385" s="4"/>
      <c r="C385" s="4"/>
      <c r="D385" s="4"/>
      <c r="E385" s="4"/>
      <c r="F385" s="4"/>
      <c r="G385" s="4"/>
      <c r="H385" s="4"/>
      <c r="I385" s="4"/>
      <c r="J385" s="4"/>
      <c r="K385" s="4"/>
      <c r="L385" s="4"/>
      <c r="M385" s="4"/>
      <c r="N385" s="4"/>
      <c r="O385" s="4"/>
      <c r="P385" s="4"/>
      <c r="Q385" s="4"/>
      <c r="R385" s="16"/>
      <c r="S385" s="16"/>
      <c r="T385" s="16"/>
      <c r="U385" s="16"/>
      <c r="V385" s="16"/>
      <c r="W385" s="16"/>
      <c r="X385" s="16"/>
      <c r="Y385" s="16"/>
      <c r="Z385" s="16"/>
      <c r="AA385" s="16"/>
      <c r="AB385" s="16"/>
      <c r="AC385" s="16"/>
      <c r="AD385" s="16"/>
    </row>
    <row r="386" ht="13.5" customHeight="1" spans="1:30" x14ac:dyDescent="0.25">
      <c r="A386" s="4"/>
      <c r="B386" s="4"/>
      <c r="C386" s="4"/>
      <c r="D386" s="4"/>
      <c r="E386" s="4"/>
      <c r="F386" s="4"/>
      <c r="G386" s="4"/>
      <c r="H386" s="4"/>
      <c r="I386" s="4"/>
      <c r="J386" s="4"/>
      <c r="K386" s="4"/>
      <c r="L386" s="4"/>
      <c r="M386" s="4"/>
      <c r="N386" s="4"/>
      <c r="O386" s="4"/>
      <c r="P386" s="4"/>
      <c r="Q386" s="4"/>
      <c r="R386" s="16"/>
      <c r="S386" s="16"/>
      <c r="T386" s="16"/>
      <c r="U386" s="16"/>
      <c r="V386" s="16"/>
      <c r="W386" s="16"/>
      <c r="X386" s="16"/>
      <c r="Y386" s="16"/>
      <c r="Z386" s="16"/>
      <c r="AA386" s="16"/>
      <c r="AB386" s="16"/>
      <c r="AC386" s="16"/>
      <c r="AD386" s="16"/>
    </row>
    <row r="387" ht="13.5" customHeight="1" spans="1:30" x14ac:dyDescent="0.25">
      <c r="A387" s="4"/>
      <c r="B387" s="4"/>
      <c r="C387" s="4"/>
      <c r="D387" s="4"/>
      <c r="E387" s="4"/>
      <c r="F387" s="4"/>
      <c r="G387" s="4"/>
      <c r="H387" s="4"/>
      <c r="I387" s="4"/>
      <c r="J387" s="4"/>
      <c r="K387" s="4"/>
      <c r="L387" s="4"/>
      <c r="M387" s="4"/>
      <c r="N387" s="4"/>
      <c r="O387" s="4"/>
      <c r="P387" s="4"/>
      <c r="Q387" s="4"/>
      <c r="R387" s="16"/>
      <c r="S387" s="16"/>
      <c r="T387" s="16"/>
      <c r="U387" s="16"/>
      <c r="V387" s="16"/>
      <c r="W387" s="16"/>
      <c r="X387" s="16"/>
      <c r="Y387" s="16"/>
      <c r="Z387" s="16"/>
      <c r="AA387" s="16"/>
      <c r="AB387" s="16"/>
      <c r="AC387" s="16"/>
      <c r="AD387" s="16"/>
    </row>
    <row r="388" ht="13.5" customHeight="1" spans="1:30" x14ac:dyDescent="0.25">
      <c r="A388" s="4"/>
      <c r="B388" s="4"/>
      <c r="C388" s="4"/>
      <c r="D388" s="4"/>
      <c r="E388" s="4"/>
      <c r="F388" s="4"/>
      <c r="G388" s="4"/>
      <c r="H388" s="4"/>
      <c r="I388" s="4"/>
      <c r="J388" s="4"/>
      <c r="K388" s="4"/>
      <c r="L388" s="4"/>
      <c r="M388" s="4"/>
      <c r="N388" s="4"/>
      <c r="O388" s="4"/>
      <c r="P388" s="4"/>
      <c r="Q388" s="4"/>
      <c r="R388" s="16"/>
      <c r="S388" s="16"/>
      <c r="T388" s="16"/>
      <c r="U388" s="16"/>
      <c r="V388" s="16"/>
      <c r="W388" s="16"/>
      <c r="X388" s="16"/>
      <c r="Y388" s="16"/>
      <c r="Z388" s="16"/>
      <c r="AA388" s="16"/>
      <c r="AB388" s="16"/>
      <c r="AC388" s="16"/>
      <c r="AD388" s="16"/>
    </row>
    <row r="389" ht="13.5" customHeight="1" spans="1:30" x14ac:dyDescent="0.25">
      <c r="A389" s="4"/>
      <c r="B389" s="4"/>
      <c r="C389" s="4"/>
      <c r="D389" s="4"/>
      <c r="E389" s="4"/>
      <c r="F389" s="4"/>
      <c r="G389" s="4"/>
      <c r="H389" s="4"/>
      <c r="I389" s="4"/>
      <c r="J389" s="4"/>
      <c r="K389" s="4"/>
      <c r="L389" s="4"/>
      <c r="M389" s="4"/>
      <c r="N389" s="4"/>
      <c r="O389" s="4"/>
      <c r="P389" s="4"/>
      <c r="Q389" s="4"/>
      <c r="R389" s="16"/>
      <c r="S389" s="16"/>
      <c r="T389" s="16"/>
      <c r="U389" s="16"/>
      <c r="V389" s="16"/>
      <c r="W389" s="16"/>
      <c r="X389" s="16"/>
      <c r="Y389" s="16"/>
      <c r="Z389" s="16"/>
      <c r="AA389" s="16"/>
      <c r="AB389" s="16"/>
      <c r="AC389" s="16"/>
      <c r="AD389" s="16"/>
    </row>
    <row r="390" ht="13.5" customHeight="1" spans="1:30" x14ac:dyDescent="0.25">
      <c r="A390" s="4"/>
      <c r="B390" s="4"/>
      <c r="C390" s="4"/>
      <c r="D390" s="4"/>
      <c r="E390" s="4"/>
      <c r="F390" s="4"/>
      <c r="G390" s="4"/>
      <c r="H390" s="4"/>
      <c r="I390" s="4"/>
      <c r="J390" s="4"/>
      <c r="K390" s="4"/>
      <c r="L390" s="4"/>
      <c r="M390" s="4"/>
      <c r="N390" s="4"/>
      <c r="O390" s="4"/>
      <c r="P390" s="4"/>
      <c r="Q390" s="4"/>
      <c r="R390" s="16"/>
      <c r="S390" s="16"/>
      <c r="T390" s="16"/>
      <c r="U390" s="16"/>
      <c r="V390" s="16"/>
      <c r="W390" s="16"/>
      <c r="X390" s="16"/>
      <c r="Y390" s="16"/>
      <c r="Z390" s="16"/>
      <c r="AA390" s="16"/>
      <c r="AB390" s="16"/>
      <c r="AC390" s="16"/>
      <c r="AD390" s="16"/>
    </row>
    <row r="391" ht="13.5" customHeight="1" spans="1:30" x14ac:dyDescent="0.25">
      <c r="A391" s="4"/>
      <c r="B391" s="4"/>
      <c r="C391" s="4"/>
      <c r="D391" s="4"/>
      <c r="E391" s="4"/>
      <c r="F391" s="4"/>
      <c r="G391" s="4"/>
      <c r="H391" s="4"/>
      <c r="I391" s="4"/>
      <c r="J391" s="4"/>
      <c r="K391" s="4"/>
      <c r="L391" s="4"/>
      <c r="M391" s="4"/>
      <c r="N391" s="4"/>
      <c r="O391" s="4"/>
      <c r="P391" s="4"/>
      <c r="Q391" s="4"/>
      <c r="R391" s="16"/>
      <c r="S391" s="16"/>
      <c r="T391" s="16"/>
      <c r="U391" s="16"/>
      <c r="V391" s="16"/>
      <c r="W391" s="16"/>
      <c r="X391" s="16"/>
      <c r="Y391" s="16"/>
      <c r="Z391" s="16"/>
      <c r="AA391" s="16"/>
      <c r="AB391" s="16"/>
      <c r="AC391" s="16"/>
      <c r="AD391" s="16"/>
    </row>
    <row r="392" ht="13.5" customHeight="1" spans="1:30" x14ac:dyDescent="0.25">
      <c r="A392" s="4"/>
      <c r="B392" s="4"/>
      <c r="C392" s="4"/>
      <c r="D392" s="4"/>
      <c r="E392" s="4"/>
      <c r="F392" s="4"/>
      <c r="G392" s="4"/>
      <c r="H392" s="4"/>
      <c r="I392" s="4"/>
      <c r="J392" s="4"/>
      <c r="K392" s="4"/>
      <c r="L392" s="4"/>
      <c r="M392" s="4"/>
      <c r="N392" s="4"/>
      <c r="O392" s="4"/>
      <c r="P392" s="4"/>
      <c r="Q392" s="4"/>
      <c r="R392" s="16"/>
      <c r="S392" s="16"/>
      <c r="T392" s="16"/>
      <c r="U392" s="16"/>
      <c r="V392" s="16"/>
      <c r="W392" s="16"/>
      <c r="X392" s="16"/>
      <c r="Y392" s="16"/>
      <c r="Z392" s="16"/>
      <c r="AA392" s="16"/>
      <c r="AB392" s="16"/>
      <c r="AC392" s="16"/>
      <c r="AD392" s="16"/>
    </row>
    <row r="393" ht="13.5" customHeight="1" spans="1:30" x14ac:dyDescent="0.25">
      <c r="A393" s="4"/>
      <c r="B393" s="4"/>
      <c r="C393" s="4"/>
      <c r="D393" s="4"/>
      <c r="E393" s="4"/>
      <c r="F393" s="4"/>
      <c r="G393" s="4"/>
      <c r="H393" s="4"/>
      <c r="I393" s="4"/>
      <c r="J393" s="4"/>
      <c r="K393" s="4"/>
      <c r="L393" s="4"/>
      <c r="M393" s="4"/>
      <c r="N393" s="4"/>
      <c r="O393" s="4"/>
      <c r="P393" s="4"/>
      <c r="Q393" s="4"/>
      <c r="R393" s="16"/>
      <c r="S393" s="16"/>
      <c r="T393" s="16"/>
      <c r="U393" s="16"/>
      <c r="V393" s="16"/>
      <c r="W393" s="16"/>
      <c r="X393" s="16"/>
      <c r="Y393" s="16"/>
      <c r="Z393" s="16"/>
      <c r="AA393" s="16"/>
      <c r="AB393" s="16"/>
      <c r="AC393" s="16"/>
      <c r="AD393" s="16"/>
    </row>
    <row r="394" ht="13.5" customHeight="1" spans="1:30" x14ac:dyDescent="0.25">
      <c r="A394" s="4"/>
      <c r="B394" s="4"/>
      <c r="C394" s="4"/>
      <c r="D394" s="4"/>
      <c r="E394" s="4"/>
      <c r="F394" s="4"/>
      <c r="G394" s="4"/>
      <c r="H394" s="4"/>
      <c r="I394" s="4"/>
      <c r="J394" s="4"/>
      <c r="K394" s="4"/>
      <c r="L394" s="4"/>
      <c r="M394" s="4"/>
      <c r="N394" s="4"/>
      <c r="O394" s="4"/>
      <c r="P394" s="4"/>
      <c r="Q394" s="4"/>
      <c r="R394" s="16"/>
      <c r="S394" s="16"/>
      <c r="T394" s="16"/>
      <c r="U394" s="16"/>
      <c r="V394" s="16"/>
      <c r="W394" s="16"/>
      <c r="X394" s="16"/>
      <c r="Y394" s="16"/>
      <c r="Z394" s="16"/>
      <c r="AA394" s="16"/>
      <c r="AB394" s="16"/>
      <c r="AC394" s="16"/>
      <c r="AD394" s="16"/>
    </row>
    <row r="395" ht="13.5" customHeight="1" spans="1:30" x14ac:dyDescent="0.25">
      <c r="A395" s="4"/>
      <c r="B395" s="4"/>
      <c r="C395" s="4"/>
      <c r="D395" s="4"/>
      <c r="E395" s="4"/>
      <c r="F395" s="4"/>
      <c r="G395" s="4"/>
      <c r="H395" s="4"/>
      <c r="I395" s="4"/>
      <c r="J395" s="4"/>
      <c r="K395" s="4"/>
      <c r="L395" s="4"/>
      <c r="M395" s="4"/>
      <c r="N395" s="4"/>
      <c r="O395" s="4"/>
      <c r="P395" s="4"/>
      <c r="Q395" s="4"/>
      <c r="R395" s="16"/>
      <c r="S395" s="16"/>
      <c r="T395" s="16"/>
      <c r="U395" s="16"/>
      <c r="V395" s="16"/>
      <c r="W395" s="16"/>
      <c r="X395" s="16"/>
      <c r="Y395" s="16"/>
      <c r="Z395" s="16"/>
      <c r="AA395" s="16"/>
      <c r="AB395" s="16"/>
      <c r="AC395" s="16"/>
      <c r="AD395" s="16"/>
    </row>
    <row r="396" ht="13.5" customHeight="1" spans="1:30" x14ac:dyDescent="0.25">
      <c r="A396" s="4"/>
      <c r="B396" s="4"/>
      <c r="C396" s="4"/>
      <c r="D396" s="4"/>
      <c r="E396" s="4"/>
      <c r="F396" s="4"/>
      <c r="G396" s="4"/>
      <c r="H396" s="4"/>
      <c r="I396" s="4"/>
      <c r="J396" s="4"/>
      <c r="K396" s="4"/>
      <c r="L396" s="4"/>
      <c r="M396" s="4"/>
      <c r="N396" s="4"/>
      <c r="O396" s="4"/>
      <c r="P396" s="4"/>
      <c r="Q396" s="4"/>
      <c r="R396" s="16"/>
      <c r="S396" s="16"/>
      <c r="T396" s="16"/>
      <c r="U396" s="16"/>
      <c r="V396" s="16"/>
      <c r="W396" s="16"/>
      <c r="X396" s="16"/>
      <c r="Y396" s="16"/>
      <c r="Z396" s="16"/>
      <c r="AA396" s="16"/>
      <c r="AB396" s="16"/>
      <c r="AC396" s="16"/>
      <c r="AD396" s="16"/>
    </row>
    <row r="397" ht="13.5" customHeight="1" spans="1:30" x14ac:dyDescent="0.25">
      <c r="A397" s="4"/>
      <c r="B397" s="4"/>
      <c r="C397" s="4"/>
      <c r="D397" s="4"/>
      <c r="E397" s="4"/>
      <c r="F397" s="4"/>
      <c r="G397" s="4"/>
      <c r="H397" s="4"/>
      <c r="I397" s="4"/>
      <c r="J397" s="4"/>
      <c r="K397" s="4"/>
      <c r="L397" s="4"/>
      <c r="M397" s="4"/>
      <c r="N397" s="4"/>
      <c r="O397" s="4"/>
      <c r="P397" s="4"/>
      <c r="Q397" s="4"/>
      <c r="R397" s="16"/>
      <c r="S397" s="16"/>
      <c r="T397" s="16"/>
      <c r="U397" s="16"/>
      <c r="V397" s="16"/>
      <c r="W397" s="16"/>
      <c r="X397" s="16"/>
      <c r="Y397" s="16"/>
      <c r="Z397" s="16"/>
      <c r="AA397" s="16"/>
      <c r="AB397" s="16"/>
      <c r="AC397" s="16"/>
      <c r="AD397" s="16"/>
    </row>
    <row r="398" ht="13.5" customHeight="1" spans="1:30" x14ac:dyDescent="0.25">
      <c r="A398" s="4"/>
      <c r="B398" s="4"/>
      <c r="C398" s="4"/>
      <c r="D398" s="4"/>
      <c r="E398" s="4"/>
      <c r="F398" s="4"/>
      <c r="G398" s="4"/>
      <c r="H398" s="4"/>
      <c r="I398" s="4"/>
      <c r="J398" s="4"/>
      <c r="K398" s="4"/>
      <c r="L398" s="4"/>
      <c r="M398" s="4"/>
      <c r="N398" s="4"/>
      <c r="O398" s="4"/>
      <c r="P398" s="4"/>
      <c r="Q398" s="4"/>
      <c r="R398" s="16"/>
      <c r="S398" s="16"/>
      <c r="T398" s="16"/>
      <c r="U398" s="16"/>
      <c r="V398" s="16"/>
      <c r="W398" s="16"/>
      <c r="X398" s="16"/>
      <c r="Y398" s="16"/>
      <c r="Z398" s="16"/>
      <c r="AA398" s="16"/>
      <c r="AB398" s="16"/>
      <c r="AC398" s="16"/>
      <c r="AD398" s="16"/>
    </row>
    <row r="399" ht="13.5" customHeight="1" spans="1:30" x14ac:dyDescent="0.25">
      <c r="A399" s="4"/>
      <c r="B399" s="4"/>
      <c r="C399" s="4"/>
      <c r="D399" s="4"/>
      <c r="E399" s="4"/>
      <c r="F399" s="4"/>
      <c r="G399" s="4"/>
      <c r="H399" s="4"/>
      <c r="I399" s="4"/>
      <c r="J399" s="4"/>
      <c r="K399" s="4"/>
      <c r="L399" s="4"/>
      <c r="M399" s="4"/>
      <c r="N399" s="4"/>
      <c r="O399" s="4"/>
      <c r="P399" s="4"/>
      <c r="Q399" s="4"/>
      <c r="R399" s="16"/>
      <c r="S399" s="16"/>
      <c r="T399" s="16"/>
      <c r="U399" s="16"/>
      <c r="V399" s="16"/>
      <c r="W399" s="16"/>
      <c r="X399" s="16"/>
      <c r="Y399" s="16"/>
      <c r="Z399" s="16"/>
      <c r="AA399" s="16"/>
      <c r="AB399" s="16"/>
      <c r="AC399" s="16"/>
      <c r="AD399" s="16"/>
    </row>
    <row r="400" ht="13.5" customHeight="1" spans="1:30" x14ac:dyDescent="0.25">
      <c r="A400" s="4"/>
      <c r="B400" s="4"/>
      <c r="C400" s="4"/>
      <c r="D400" s="4"/>
      <c r="E400" s="4"/>
      <c r="F400" s="4"/>
      <c r="G400" s="4"/>
      <c r="H400" s="4"/>
      <c r="I400" s="4"/>
      <c r="J400" s="4"/>
      <c r="K400" s="4"/>
      <c r="L400" s="4"/>
      <c r="M400" s="4"/>
      <c r="N400" s="4"/>
      <c r="O400" s="4"/>
      <c r="P400" s="4"/>
      <c r="Q400" s="4"/>
      <c r="R400" s="16"/>
      <c r="S400" s="16"/>
      <c r="T400" s="16"/>
      <c r="U400" s="16"/>
      <c r="V400" s="16"/>
      <c r="W400" s="16"/>
      <c r="X400" s="16"/>
      <c r="Y400" s="16"/>
      <c r="Z400" s="16"/>
      <c r="AA400" s="16"/>
      <c r="AB400" s="16"/>
      <c r="AC400" s="16"/>
      <c r="AD400" s="16"/>
    </row>
    <row r="401" ht="13.5" customHeight="1" spans="1:30" x14ac:dyDescent="0.25">
      <c r="A401" s="4"/>
      <c r="B401" s="4"/>
      <c r="C401" s="4"/>
      <c r="D401" s="4"/>
      <c r="E401" s="4"/>
      <c r="F401" s="4"/>
      <c r="G401" s="4"/>
      <c r="H401" s="4"/>
      <c r="I401" s="4"/>
      <c r="J401" s="4"/>
      <c r="K401" s="4"/>
      <c r="L401" s="4"/>
      <c r="M401" s="4"/>
      <c r="N401" s="4"/>
      <c r="O401" s="4"/>
      <c r="P401" s="4"/>
      <c r="Q401" s="4"/>
      <c r="R401" s="16"/>
      <c r="S401" s="16"/>
      <c r="T401" s="16"/>
      <c r="U401" s="16"/>
      <c r="V401" s="16"/>
      <c r="W401" s="16"/>
      <c r="X401" s="16"/>
      <c r="Y401" s="16"/>
      <c r="Z401" s="16"/>
      <c r="AA401" s="16"/>
      <c r="AB401" s="16"/>
      <c r="AC401" s="16"/>
      <c r="AD401" s="16"/>
    </row>
    <row r="402" ht="13.5" customHeight="1" spans="1:30" x14ac:dyDescent="0.25">
      <c r="A402" s="4"/>
      <c r="B402" s="4"/>
      <c r="C402" s="4"/>
      <c r="D402" s="4"/>
      <c r="E402" s="4"/>
      <c r="F402" s="4"/>
      <c r="G402" s="4"/>
      <c r="H402" s="4"/>
      <c r="I402" s="4"/>
      <c r="J402" s="4"/>
      <c r="K402" s="4"/>
      <c r="L402" s="4"/>
      <c r="M402" s="4"/>
      <c r="N402" s="4"/>
      <c r="O402" s="4"/>
      <c r="P402" s="4"/>
      <c r="Q402" s="4"/>
      <c r="R402" s="16"/>
      <c r="S402" s="16"/>
      <c r="T402" s="16"/>
      <c r="U402" s="16"/>
      <c r="V402" s="16"/>
      <c r="W402" s="16"/>
      <c r="X402" s="16"/>
      <c r="Y402" s="16"/>
      <c r="Z402" s="16"/>
      <c r="AA402" s="16"/>
      <c r="AB402" s="16"/>
      <c r="AC402" s="16"/>
      <c r="AD402" s="16"/>
    </row>
    <row r="403" ht="13.5" customHeight="1" spans="1:30" x14ac:dyDescent="0.25">
      <c r="A403" s="4"/>
      <c r="B403" s="4"/>
      <c r="C403" s="4"/>
      <c r="D403" s="4"/>
      <c r="E403" s="4"/>
      <c r="F403" s="4"/>
      <c r="G403" s="4"/>
      <c r="H403" s="4"/>
      <c r="I403" s="4"/>
      <c r="J403" s="4"/>
      <c r="K403" s="4"/>
      <c r="L403" s="4"/>
      <c r="M403" s="4"/>
      <c r="N403" s="4"/>
      <c r="O403" s="4"/>
      <c r="P403" s="4"/>
      <c r="Q403" s="4"/>
      <c r="R403" s="16"/>
      <c r="S403" s="16"/>
      <c r="T403" s="16"/>
      <c r="U403" s="16"/>
      <c r="V403" s="16"/>
      <c r="W403" s="16"/>
      <c r="X403" s="16"/>
      <c r="Y403" s="16"/>
      <c r="Z403" s="16"/>
      <c r="AA403" s="16"/>
      <c r="AB403" s="16"/>
      <c r="AC403" s="16"/>
      <c r="AD403" s="16"/>
    </row>
    <row r="404" ht="13.5" customHeight="1" spans="1:30" x14ac:dyDescent="0.25">
      <c r="A404" s="4"/>
      <c r="B404" s="4"/>
      <c r="C404" s="4"/>
      <c r="D404" s="4"/>
      <c r="E404" s="4"/>
      <c r="F404" s="4"/>
      <c r="G404" s="4"/>
      <c r="H404" s="4"/>
      <c r="I404" s="4"/>
      <c r="J404" s="4"/>
      <c r="K404" s="4"/>
      <c r="L404" s="4"/>
      <c r="M404" s="4"/>
      <c r="N404" s="4"/>
      <c r="O404" s="4"/>
      <c r="P404" s="4"/>
      <c r="Q404" s="4"/>
      <c r="R404" s="16"/>
      <c r="S404" s="16"/>
      <c r="T404" s="16"/>
      <c r="U404" s="16"/>
      <c r="V404" s="16"/>
      <c r="W404" s="16"/>
      <c r="X404" s="16"/>
      <c r="Y404" s="16"/>
      <c r="Z404" s="16"/>
      <c r="AA404" s="16"/>
      <c r="AB404" s="16"/>
      <c r="AC404" s="16"/>
      <c r="AD404" s="16"/>
    </row>
    <row r="405" ht="13.5" customHeight="1" spans="1:30" x14ac:dyDescent="0.25">
      <c r="A405" s="4"/>
      <c r="B405" s="4"/>
      <c r="C405" s="4"/>
      <c r="D405" s="4"/>
      <c r="E405" s="4"/>
      <c r="F405" s="4"/>
      <c r="G405" s="4"/>
      <c r="H405" s="4"/>
      <c r="I405" s="4"/>
      <c r="J405" s="4"/>
      <c r="K405" s="4"/>
      <c r="L405" s="4"/>
      <c r="M405" s="4"/>
      <c r="N405" s="4"/>
      <c r="O405" s="4"/>
      <c r="P405" s="4"/>
      <c r="Q405" s="4"/>
      <c r="R405" s="16"/>
      <c r="S405" s="16"/>
      <c r="T405" s="16"/>
      <c r="U405" s="16"/>
      <c r="V405" s="16"/>
      <c r="W405" s="16"/>
      <c r="X405" s="16"/>
      <c r="Y405" s="16"/>
      <c r="Z405" s="16"/>
      <c r="AA405" s="16"/>
      <c r="AB405" s="16"/>
      <c r="AC405" s="16"/>
      <c r="AD405" s="16"/>
    </row>
    <row r="406" ht="13.5" customHeight="1" spans="1:30" x14ac:dyDescent="0.25">
      <c r="A406" s="4"/>
      <c r="B406" s="4"/>
      <c r="C406" s="4"/>
      <c r="D406" s="4"/>
      <c r="E406" s="4"/>
      <c r="F406" s="4"/>
      <c r="G406" s="4"/>
      <c r="H406" s="4"/>
      <c r="I406" s="4"/>
      <c r="J406" s="4"/>
      <c r="K406" s="4"/>
      <c r="L406" s="4"/>
      <c r="M406" s="4"/>
      <c r="N406" s="4"/>
      <c r="O406" s="4"/>
      <c r="P406" s="4"/>
      <c r="Q406" s="4"/>
      <c r="R406" s="16"/>
      <c r="S406" s="16"/>
      <c r="T406" s="16"/>
      <c r="U406" s="16"/>
      <c r="V406" s="16"/>
      <c r="W406" s="16"/>
      <c r="X406" s="16"/>
      <c r="Y406" s="16"/>
      <c r="Z406" s="16"/>
      <c r="AA406" s="16"/>
      <c r="AB406" s="16"/>
      <c r="AC406" s="16"/>
      <c r="AD406" s="16"/>
    </row>
    <row r="407" ht="13.5" customHeight="1" spans="1:30" x14ac:dyDescent="0.25">
      <c r="A407" s="4"/>
      <c r="B407" s="4"/>
      <c r="C407" s="4"/>
      <c r="D407" s="4"/>
      <c r="E407" s="4"/>
      <c r="F407" s="4"/>
      <c r="G407" s="4"/>
      <c r="H407" s="4"/>
      <c r="I407" s="4"/>
      <c r="J407" s="4"/>
      <c r="K407" s="4"/>
      <c r="L407" s="4"/>
      <c r="M407" s="4"/>
      <c r="N407" s="4"/>
      <c r="O407" s="4"/>
      <c r="P407" s="4"/>
      <c r="Q407" s="4"/>
      <c r="R407" s="16"/>
      <c r="S407" s="16"/>
      <c r="T407" s="16"/>
      <c r="U407" s="16"/>
      <c r="V407" s="16"/>
      <c r="W407" s="16"/>
      <c r="X407" s="16"/>
      <c r="Y407" s="16"/>
      <c r="Z407" s="16"/>
      <c r="AA407" s="16"/>
      <c r="AB407" s="16"/>
      <c r="AC407" s="16"/>
      <c r="AD407" s="16"/>
    </row>
    <row r="408" ht="13.5" customHeight="1" spans="1:30" x14ac:dyDescent="0.25">
      <c r="A408" s="4"/>
      <c r="B408" s="4"/>
      <c r="C408" s="4"/>
      <c r="D408" s="4"/>
      <c r="E408" s="4"/>
      <c r="F408" s="4"/>
      <c r="G408" s="4"/>
      <c r="H408" s="4"/>
      <c r="I408" s="4"/>
      <c r="J408" s="4"/>
      <c r="K408" s="4"/>
      <c r="L408" s="4"/>
      <c r="M408" s="4"/>
      <c r="N408" s="4"/>
      <c r="O408" s="4"/>
      <c r="P408" s="4"/>
      <c r="Q408" s="4"/>
      <c r="R408" s="16"/>
      <c r="S408" s="16"/>
      <c r="T408" s="16"/>
      <c r="U408" s="16"/>
      <c r="V408" s="16"/>
      <c r="W408" s="16"/>
      <c r="X408" s="16"/>
      <c r="Y408" s="16"/>
      <c r="Z408" s="16"/>
      <c r="AA408" s="16"/>
      <c r="AB408" s="16"/>
      <c r="AC408" s="16"/>
      <c r="AD408" s="16"/>
    </row>
    <row r="409" ht="13.5" customHeight="1" spans="1:30" x14ac:dyDescent="0.25">
      <c r="A409" s="4"/>
      <c r="B409" s="4"/>
      <c r="C409" s="4"/>
      <c r="D409" s="4"/>
      <c r="E409" s="4"/>
      <c r="F409" s="4"/>
      <c r="G409" s="4"/>
      <c r="H409" s="4"/>
      <c r="I409" s="4"/>
      <c r="J409" s="4"/>
      <c r="K409" s="4"/>
      <c r="L409" s="4"/>
      <c r="M409" s="4"/>
      <c r="N409" s="4"/>
      <c r="O409" s="4"/>
      <c r="P409" s="4"/>
      <c r="Q409" s="4"/>
      <c r="R409" s="16"/>
      <c r="S409" s="16"/>
      <c r="T409" s="16"/>
      <c r="U409" s="16"/>
      <c r="V409" s="16"/>
      <c r="W409" s="16"/>
      <c r="X409" s="16"/>
      <c r="Y409" s="16"/>
      <c r="Z409" s="16"/>
      <c r="AA409" s="16"/>
      <c r="AB409" s="16"/>
      <c r="AC409" s="16"/>
      <c r="AD409" s="16"/>
    </row>
    <row r="410" ht="13.5" customHeight="1" spans="1:30" x14ac:dyDescent="0.25">
      <c r="A410" s="4"/>
      <c r="B410" s="4"/>
      <c r="C410" s="4"/>
      <c r="D410" s="4"/>
      <c r="E410" s="4"/>
      <c r="F410" s="4"/>
      <c r="G410" s="4"/>
      <c r="H410" s="4"/>
      <c r="I410" s="4"/>
      <c r="J410" s="4"/>
      <c r="K410" s="4"/>
      <c r="L410" s="4"/>
      <c r="M410" s="4"/>
      <c r="N410" s="4"/>
      <c r="O410" s="4"/>
      <c r="P410" s="4"/>
      <c r="Q410" s="4"/>
      <c r="R410" s="16"/>
      <c r="S410" s="16"/>
      <c r="T410" s="16"/>
      <c r="U410" s="16"/>
      <c r="V410" s="16"/>
      <c r="W410" s="16"/>
      <c r="X410" s="16"/>
      <c r="Y410" s="16"/>
      <c r="Z410" s="16"/>
      <c r="AA410" s="16"/>
      <c r="AB410" s="16"/>
      <c r="AC410" s="16"/>
      <c r="AD410" s="16"/>
    </row>
    <row r="411" ht="13.5" customHeight="1" spans="1:30" x14ac:dyDescent="0.25">
      <c r="A411" s="4"/>
      <c r="B411" s="4"/>
      <c r="C411" s="4"/>
      <c r="D411" s="4"/>
      <c r="E411" s="4"/>
      <c r="F411" s="4"/>
      <c r="G411" s="4"/>
      <c r="H411" s="4"/>
      <c r="I411" s="4"/>
      <c r="J411" s="4"/>
      <c r="K411" s="4"/>
      <c r="L411" s="4"/>
      <c r="M411" s="4"/>
      <c r="N411" s="4"/>
      <c r="O411" s="4"/>
      <c r="P411" s="4"/>
      <c r="Q411" s="4"/>
      <c r="R411" s="16"/>
      <c r="S411" s="16"/>
      <c r="T411" s="16"/>
      <c r="U411" s="16"/>
      <c r="V411" s="16"/>
      <c r="W411" s="16"/>
      <c r="X411" s="16"/>
      <c r="Y411" s="16"/>
      <c r="Z411" s="16"/>
      <c r="AA411" s="16"/>
      <c r="AB411" s="16"/>
      <c r="AC411" s="16"/>
      <c r="AD411" s="16"/>
    </row>
    <row r="412" ht="13.5" customHeight="1" spans="1:30" x14ac:dyDescent="0.25">
      <c r="A412" s="4"/>
      <c r="B412" s="4"/>
      <c r="C412" s="4"/>
      <c r="D412" s="4"/>
      <c r="E412" s="4"/>
      <c r="F412" s="4"/>
      <c r="G412" s="4"/>
      <c r="H412" s="4"/>
      <c r="I412" s="4"/>
      <c r="J412" s="4"/>
      <c r="K412" s="4"/>
      <c r="L412" s="4"/>
      <c r="M412" s="4"/>
      <c r="N412" s="4"/>
      <c r="O412" s="4"/>
      <c r="P412" s="4"/>
      <c r="Q412" s="4"/>
      <c r="R412" s="16"/>
      <c r="S412" s="16"/>
      <c r="T412" s="16"/>
      <c r="U412" s="16"/>
      <c r="V412" s="16"/>
      <c r="W412" s="16"/>
      <c r="X412" s="16"/>
      <c r="Y412" s="16"/>
      <c r="Z412" s="16"/>
      <c r="AA412" s="16"/>
      <c r="AB412" s="16"/>
      <c r="AC412" s="16"/>
      <c r="AD412" s="16"/>
    </row>
    <row r="413" ht="13.5" customHeight="1" spans="1:30" x14ac:dyDescent="0.25">
      <c r="A413" s="4"/>
      <c r="B413" s="4"/>
      <c r="C413" s="4"/>
      <c r="D413" s="4"/>
      <c r="E413" s="4"/>
      <c r="F413" s="4"/>
      <c r="G413" s="4"/>
      <c r="H413" s="4"/>
      <c r="I413" s="4"/>
      <c r="J413" s="4"/>
      <c r="K413" s="4"/>
      <c r="L413" s="4"/>
      <c r="M413" s="4"/>
      <c r="N413" s="4"/>
      <c r="O413" s="4"/>
      <c r="P413" s="4"/>
      <c r="Q413" s="4"/>
      <c r="R413" s="16"/>
      <c r="S413" s="16"/>
      <c r="T413" s="16"/>
      <c r="U413" s="16"/>
      <c r="V413" s="16"/>
      <c r="W413" s="16"/>
      <c r="X413" s="16"/>
      <c r="Y413" s="16"/>
      <c r="Z413" s="16"/>
      <c r="AA413" s="16"/>
      <c r="AB413" s="16"/>
      <c r="AC413" s="16"/>
      <c r="AD413" s="16"/>
    </row>
    <row r="414" ht="13.5" customHeight="1" spans="1:30" x14ac:dyDescent="0.25">
      <c r="A414" s="4"/>
      <c r="B414" s="4"/>
      <c r="C414" s="4"/>
      <c r="D414" s="4"/>
      <c r="E414" s="4"/>
      <c r="F414" s="4"/>
      <c r="G414" s="4"/>
      <c r="H414" s="4"/>
      <c r="I414" s="4"/>
      <c r="J414" s="4"/>
      <c r="K414" s="4"/>
      <c r="L414" s="4"/>
      <c r="M414" s="4"/>
      <c r="N414" s="4"/>
      <c r="O414" s="4"/>
      <c r="P414" s="4"/>
      <c r="Q414" s="4"/>
      <c r="R414" s="16"/>
      <c r="S414" s="16"/>
      <c r="T414" s="16"/>
      <c r="U414" s="16"/>
      <c r="V414" s="16"/>
      <c r="W414" s="16"/>
      <c r="X414" s="16"/>
      <c r="Y414" s="16"/>
      <c r="Z414" s="16"/>
      <c r="AA414" s="16"/>
      <c r="AB414" s="16"/>
      <c r="AC414" s="16"/>
      <c r="AD414" s="16"/>
    </row>
    <row r="415" ht="13.5" customHeight="1" spans="1:30" x14ac:dyDescent="0.25">
      <c r="A415" s="4"/>
      <c r="B415" s="4"/>
      <c r="C415" s="4"/>
      <c r="D415" s="4"/>
      <c r="E415" s="4"/>
      <c r="F415" s="4"/>
      <c r="G415" s="4"/>
      <c r="H415" s="4"/>
      <c r="I415" s="4"/>
      <c r="J415" s="4"/>
      <c r="K415" s="4"/>
      <c r="L415" s="4"/>
      <c r="M415" s="4"/>
      <c r="N415" s="4"/>
      <c r="O415" s="4"/>
      <c r="P415" s="4"/>
      <c r="Q415" s="4"/>
      <c r="R415" s="16"/>
      <c r="S415" s="16"/>
      <c r="T415" s="16"/>
      <c r="U415" s="16"/>
      <c r="V415" s="16"/>
      <c r="W415" s="16"/>
      <c r="X415" s="16"/>
      <c r="Y415" s="16"/>
      <c r="Z415" s="16"/>
      <c r="AA415" s="16"/>
      <c r="AB415" s="16"/>
      <c r="AC415" s="16"/>
      <c r="AD415" s="16"/>
    </row>
    <row r="416" ht="13.5" customHeight="1" spans="1:30" x14ac:dyDescent="0.25">
      <c r="A416" s="4"/>
      <c r="B416" s="4"/>
      <c r="C416" s="4"/>
      <c r="D416" s="4"/>
      <c r="E416" s="4"/>
      <c r="F416" s="4"/>
      <c r="G416" s="4"/>
      <c r="H416" s="4"/>
      <c r="I416" s="4"/>
      <c r="J416" s="4"/>
      <c r="K416" s="4"/>
      <c r="L416" s="4"/>
      <c r="M416" s="4"/>
      <c r="N416" s="4"/>
      <c r="O416" s="4"/>
      <c r="P416" s="4"/>
      <c r="Q416" s="4"/>
      <c r="R416" s="16"/>
      <c r="S416" s="16"/>
      <c r="T416" s="16"/>
      <c r="U416" s="16"/>
      <c r="V416" s="16"/>
      <c r="W416" s="16"/>
      <c r="X416" s="16"/>
      <c r="Y416" s="16"/>
      <c r="Z416" s="16"/>
      <c r="AA416" s="16"/>
      <c r="AB416" s="16"/>
      <c r="AC416" s="16"/>
      <c r="AD416" s="16"/>
    </row>
    <row r="417" ht="13.5" customHeight="1" spans="1:30" x14ac:dyDescent="0.25">
      <c r="A417" s="4"/>
      <c r="B417" s="4"/>
      <c r="C417" s="4"/>
      <c r="D417" s="4"/>
      <c r="E417" s="4"/>
      <c r="F417" s="4"/>
      <c r="G417" s="4"/>
      <c r="H417" s="4"/>
      <c r="I417" s="4"/>
      <c r="J417" s="4"/>
      <c r="K417" s="4"/>
      <c r="L417" s="4"/>
      <c r="M417" s="4"/>
      <c r="N417" s="4"/>
      <c r="O417" s="4"/>
      <c r="P417" s="4"/>
      <c r="Q417" s="4"/>
      <c r="R417" s="16"/>
      <c r="S417" s="16"/>
      <c r="T417" s="16"/>
      <c r="U417" s="16"/>
      <c r="V417" s="16"/>
      <c r="W417" s="16"/>
      <c r="X417" s="16"/>
      <c r="Y417" s="16"/>
      <c r="Z417" s="16"/>
      <c r="AA417" s="16"/>
      <c r="AB417" s="16"/>
      <c r="AC417" s="16"/>
      <c r="AD417" s="16"/>
    </row>
    <row r="418" ht="13.5" customHeight="1" spans="1:30" x14ac:dyDescent="0.25">
      <c r="A418" s="4"/>
      <c r="B418" s="4"/>
      <c r="C418" s="4"/>
      <c r="D418" s="4"/>
      <c r="E418" s="4"/>
      <c r="F418" s="4"/>
      <c r="G418" s="4"/>
      <c r="H418" s="4"/>
      <c r="I418" s="4"/>
      <c r="J418" s="4"/>
      <c r="K418" s="4"/>
      <c r="L418" s="4"/>
      <c r="M418" s="4"/>
      <c r="N418" s="4"/>
      <c r="O418" s="4"/>
      <c r="P418" s="4"/>
      <c r="Q418" s="4"/>
      <c r="R418" s="16"/>
      <c r="S418" s="16"/>
      <c r="T418" s="16"/>
      <c r="U418" s="16"/>
      <c r="V418" s="16"/>
      <c r="W418" s="16"/>
      <c r="X418" s="16"/>
      <c r="Y418" s="16"/>
      <c r="Z418" s="16"/>
      <c r="AA418" s="16"/>
      <c r="AB418" s="16"/>
      <c r="AC418" s="16"/>
      <c r="AD418" s="16"/>
    </row>
    <row r="419" ht="13.5" customHeight="1" spans="1:30" x14ac:dyDescent="0.25">
      <c r="A419" s="4"/>
      <c r="B419" s="4"/>
      <c r="C419" s="4"/>
      <c r="D419" s="4"/>
      <c r="E419" s="4"/>
      <c r="F419" s="4"/>
      <c r="G419" s="4"/>
      <c r="H419" s="4"/>
      <c r="I419" s="4"/>
      <c r="J419" s="4"/>
      <c r="K419" s="4"/>
      <c r="L419" s="4"/>
      <c r="M419" s="4"/>
      <c r="N419" s="4"/>
      <c r="O419" s="4"/>
      <c r="P419" s="4"/>
      <c r="Q419" s="4"/>
      <c r="R419" s="16"/>
      <c r="S419" s="16"/>
      <c r="T419" s="16"/>
      <c r="U419" s="16"/>
      <c r="V419" s="16"/>
      <c r="W419" s="16"/>
      <c r="X419" s="16"/>
      <c r="Y419" s="16"/>
      <c r="Z419" s="16"/>
      <c r="AA419" s="16"/>
      <c r="AB419" s="16"/>
      <c r="AC419" s="16"/>
      <c r="AD419" s="16"/>
    </row>
    <row r="420" ht="13.5" customHeight="1" spans="1:30" x14ac:dyDescent="0.25">
      <c r="A420" s="4"/>
      <c r="B420" s="4"/>
      <c r="C420" s="4"/>
      <c r="D420" s="4"/>
      <c r="E420" s="4"/>
      <c r="F420" s="4"/>
      <c r="G420" s="4"/>
      <c r="H420" s="4"/>
      <c r="I420" s="4"/>
      <c r="J420" s="4"/>
      <c r="K420" s="4"/>
      <c r="L420" s="4"/>
      <c r="M420" s="4"/>
      <c r="N420" s="4"/>
      <c r="O420" s="4"/>
      <c r="P420" s="4"/>
      <c r="Q420" s="4"/>
      <c r="R420" s="16"/>
      <c r="S420" s="16"/>
      <c r="T420" s="16"/>
      <c r="U420" s="16"/>
      <c r="V420" s="16"/>
      <c r="W420" s="16"/>
      <c r="X420" s="16"/>
      <c r="Y420" s="16"/>
      <c r="Z420" s="16"/>
      <c r="AA420" s="16"/>
      <c r="AB420" s="16"/>
      <c r="AC420" s="16"/>
      <c r="AD420" s="16"/>
    </row>
    <row r="421" ht="13.5" customHeight="1" spans="1:30" x14ac:dyDescent="0.25">
      <c r="A421" s="4"/>
      <c r="B421" s="4"/>
      <c r="C421" s="4"/>
      <c r="D421" s="4"/>
      <c r="E421" s="4"/>
      <c r="F421" s="4"/>
      <c r="G421" s="4"/>
      <c r="H421" s="4"/>
      <c r="I421" s="4"/>
      <c r="J421" s="4"/>
      <c r="K421" s="4"/>
      <c r="L421" s="4"/>
      <c r="M421" s="4"/>
      <c r="N421" s="4"/>
      <c r="O421" s="4"/>
      <c r="P421" s="4"/>
      <c r="Q421" s="4"/>
      <c r="R421" s="16"/>
      <c r="S421" s="16"/>
      <c r="T421" s="16"/>
      <c r="U421" s="16"/>
      <c r="V421" s="16"/>
      <c r="W421" s="16"/>
      <c r="X421" s="16"/>
      <c r="Y421" s="16"/>
      <c r="Z421" s="16"/>
      <c r="AA421" s="16"/>
      <c r="AB421" s="16"/>
      <c r="AC421" s="16"/>
      <c r="AD421" s="16"/>
    </row>
    <row r="422" ht="13.5" customHeight="1" spans="1:30" x14ac:dyDescent="0.25">
      <c r="A422" s="4"/>
      <c r="B422" s="4"/>
      <c r="C422" s="4"/>
      <c r="D422" s="4"/>
      <c r="E422" s="4"/>
      <c r="F422" s="4"/>
      <c r="G422" s="4"/>
      <c r="H422" s="4"/>
      <c r="I422" s="4"/>
      <c r="J422" s="4"/>
      <c r="K422" s="4"/>
      <c r="L422" s="4"/>
      <c r="M422" s="4"/>
      <c r="N422" s="4"/>
      <c r="O422" s="4"/>
      <c r="P422" s="4"/>
      <c r="Q422" s="4"/>
      <c r="R422" s="16"/>
      <c r="S422" s="16"/>
      <c r="T422" s="16"/>
      <c r="U422" s="16"/>
      <c r="V422" s="16"/>
      <c r="W422" s="16"/>
      <c r="X422" s="16"/>
      <c r="Y422" s="16"/>
      <c r="Z422" s="16"/>
      <c r="AA422" s="16"/>
      <c r="AB422" s="16"/>
      <c r="AC422" s="16"/>
      <c r="AD422" s="16"/>
    </row>
    <row r="423" ht="13.5" customHeight="1" spans="1:30" x14ac:dyDescent="0.25">
      <c r="A423" s="4"/>
      <c r="B423" s="4"/>
      <c r="C423" s="4"/>
      <c r="D423" s="4"/>
      <c r="E423" s="4"/>
      <c r="F423" s="4"/>
      <c r="G423" s="4"/>
      <c r="H423" s="4"/>
      <c r="I423" s="4"/>
      <c r="J423" s="4"/>
      <c r="K423" s="4"/>
      <c r="L423" s="4"/>
      <c r="M423" s="4"/>
      <c r="N423" s="4"/>
      <c r="O423" s="4"/>
      <c r="P423" s="4"/>
      <c r="Q423" s="4"/>
      <c r="R423" s="16"/>
      <c r="S423" s="16"/>
      <c r="T423" s="16"/>
      <c r="U423" s="16"/>
      <c r="V423" s="16"/>
      <c r="W423" s="16"/>
      <c r="X423" s="16"/>
      <c r="Y423" s="16"/>
      <c r="Z423" s="16"/>
      <c r="AA423" s="16"/>
      <c r="AB423" s="16"/>
      <c r="AC423" s="16"/>
      <c r="AD423" s="16"/>
    </row>
    <row r="424" ht="13.5" customHeight="1" spans="1:30" x14ac:dyDescent="0.25">
      <c r="A424" s="4"/>
      <c r="B424" s="4"/>
      <c r="C424" s="4"/>
      <c r="D424" s="4"/>
      <c r="E424" s="4"/>
      <c r="F424" s="4"/>
      <c r="G424" s="4"/>
      <c r="H424" s="4"/>
      <c r="I424" s="4"/>
      <c r="J424" s="4"/>
      <c r="K424" s="4"/>
      <c r="L424" s="4"/>
      <c r="M424" s="4"/>
      <c r="N424" s="4"/>
      <c r="O424" s="4"/>
      <c r="P424" s="4"/>
      <c r="Q424" s="4"/>
      <c r="R424" s="16"/>
      <c r="S424" s="16"/>
      <c r="T424" s="16"/>
      <c r="U424" s="16"/>
      <c r="V424" s="16"/>
      <c r="W424" s="16"/>
      <c r="X424" s="16"/>
      <c r="Y424" s="16"/>
      <c r="Z424" s="16"/>
      <c r="AA424" s="16"/>
      <c r="AB424" s="16"/>
      <c r="AC424" s="16"/>
      <c r="AD424" s="16"/>
    </row>
    <row r="425" ht="13.5" customHeight="1" spans="1:30" x14ac:dyDescent="0.25">
      <c r="A425" s="4"/>
      <c r="B425" s="4"/>
      <c r="C425" s="4"/>
      <c r="D425" s="4"/>
      <c r="E425" s="4"/>
      <c r="F425" s="4"/>
      <c r="G425" s="4"/>
      <c r="H425" s="4"/>
      <c r="I425" s="4"/>
      <c r="J425" s="4"/>
      <c r="K425" s="4"/>
      <c r="L425" s="4"/>
      <c r="M425" s="4"/>
      <c r="N425" s="4"/>
      <c r="O425" s="4"/>
      <c r="P425" s="4"/>
      <c r="Q425" s="4"/>
      <c r="R425" s="16"/>
      <c r="S425" s="16"/>
      <c r="T425" s="16"/>
      <c r="U425" s="16"/>
      <c r="V425" s="16"/>
      <c r="W425" s="16"/>
      <c r="X425" s="16"/>
      <c r="Y425" s="16"/>
      <c r="Z425" s="16"/>
      <c r="AA425" s="16"/>
      <c r="AB425" s="16"/>
      <c r="AC425" s="16"/>
      <c r="AD425" s="16"/>
    </row>
    <row r="426" ht="13.5" customHeight="1" spans="1:30" x14ac:dyDescent="0.25">
      <c r="A426" s="4"/>
      <c r="B426" s="4"/>
      <c r="C426" s="4"/>
      <c r="D426" s="4"/>
      <c r="E426" s="4"/>
      <c r="F426" s="4"/>
      <c r="G426" s="4"/>
      <c r="H426" s="4"/>
      <c r="I426" s="4"/>
      <c r="J426" s="4"/>
      <c r="K426" s="4"/>
      <c r="L426" s="4"/>
      <c r="M426" s="4"/>
      <c r="N426" s="4"/>
      <c r="O426" s="4"/>
      <c r="P426" s="4"/>
      <c r="Q426" s="4"/>
      <c r="R426" s="16"/>
      <c r="S426" s="16"/>
      <c r="T426" s="16"/>
      <c r="U426" s="16"/>
      <c r="V426" s="16"/>
      <c r="W426" s="16"/>
      <c r="X426" s="16"/>
      <c r="Y426" s="16"/>
      <c r="Z426" s="16"/>
      <c r="AA426" s="16"/>
      <c r="AB426" s="16"/>
      <c r="AC426" s="16"/>
      <c r="AD426" s="16"/>
    </row>
    <row r="427" ht="13.5" customHeight="1" spans="1:30" x14ac:dyDescent="0.25">
      <c r="A427" s="4"/>
      <c r="B427" s="4"/>
      <c r="C427" s="4"/>
      <c r="D427" s="4"/>
      <c r="E427" s="4"/>
      <c r="F427" s="4"/>
      <c r="G427" s="4"/>
      <c r="H427" s="4"/>
      <c r="I427" s="4"/>
      <c r="J427" s="4"/>
      <c r="K427" s="4"/>
      <c r="L427" s="4"/>
      <c r="M427" s="4"/>
      <c r="N427" s="4"/>
      <c r="O427" s="4"/>
      <c r="P427" s="4"/>
      <c r="Q427" s="4"/>
      <c r="R427" s="16"/>
      <c r="S427" s="16"/>
      <c r="T427" s="16"/>
      <c r="U427" s="16"/>
      <c r="V427" s="16"/>
      <c r="W427" s="16"/>
      <c r="X427" s="16"/>
      <c r="Y427" s="16"/>
      <c r="Z427" s="16"/>
      <c r="AA427" s="16"/>
      <c r="AB427" s="16"/>
      <c r="AC427" s="16"/>
      <c r="AD427" s="16"/>
    </row>
    <row r="428" ht="13.5" customHeight="1" spans="1:30" x14ac:dyDescent="0.25">
      <c r="A428" s="4"/>
      <c r="B428" s="4"/>
      <c r="C428" s="4"/>
      <c r="D428" s="4"/>
      <c r="E428" s="4"/>
      <c r="F428" s="4"/>
      <c r="G428" s="4"/>
      <c r="H428" s="4"/>
      <c r="I428" s="4"/>
      <c r="J428" s="4"/>
      <c r="K428" s="4"/>
      <c r="L428" s="4"/>
      <c r="M428" s="4"/>
      <c r="N428" s="4"/>
      <c r="O428" s="4"/>
      <c r="P428" s="4"/>
      <c r="Q428" s="4"/>
      <c r="R428" s="16"/>
      <c r="S428" s="16"/>
      <c r="T428" s="16"/>
      <c r="U428" s="16"/>
      <c r="V428" s="16"/>
      <c r="W428" s="16"/>
      <c r="X428" s="16"/>
      <c r="Y428" s="16"/>
      <c r="Z428" s="16"/>
      <c r="AA428" s="16"/>
      <c r="AB428" s="16"/>
      <c r="AC428" s="16"/>
      <c r="AD428" s="16"/>
    </row>
    <row r="429" ht="13.5" customHeight="1" spans="1:30" x14ac:dyDescent="0.25">
      <c r="A429" s="4"/>
      <c r="B429" s="4"/>
      <c r="C429" s="4"/>
      <c r="D429" s="4"/>
      <c r="E429" s="4"/>
      <c r="F429" s="4"/>
      <c r="G429" s="4"/>
      <c r="H429" s="4"/>
      <c r="I429" s="4"/>
      <c r="J429" s="4"/>
      <c r="K429" s="4"/>
      <c r="L429" s="4"/>
      <c r="M429" s="4"/>
      <c r="N429" s="4"/>
      <c r="O429" s="4"/>
      <c r="P429" s="4"/>
      <c r="Q429" s="4"/>
      <c r="R429" s="16"/>
      <c r="S429" s="16"/>
      <c r="T429" s="16"/>
      <c r="U429" s="16"/>
      <c r="V429" s="16"/>
      <c r="W429" s="16"/>
      <c r="X429" s="16"/>
      <c r="Y429" s="16"/>
      <c r="Z429" s="16"/>
      <c r="AA429" s="16"/>
      <c r="AB429" s="16"/>
      <c r="AC429" s="16"/>
      <c r="AD429" s="16"/>
    </row>
    <row r="430" ht="13.5" customHeight="1" spans="1:30" x14ac:dyDescent="0.25">
      <c r="A430" s="4"/>
      <c r="B430" s="4"/>
      <c r="C430" s="4"/>
      <c r="D430" s="4"/>
      <c r="E430" s="4"/>
      <c r="F430" s="4"/>
      <c r="G430" s="4"/>
      <c r="H430" s="4"/>
      <c r="I430" s="4"/>
      <c r="J430" s="4"/>
      <c r="K430" s="4"/>
      <c r="L430" s="4"/>
      <c r="M430" s="4"/>
      <c r="N430" s="4"/>
      <c r="O430" s="4"/>
      <c r="P430" s="4"/>
      <c r="Q430" s="4"/>
      <c r="R430" s="16"/>
      <c r="S430" s="16"/>
      <c r="T430" s="16"/>
      <c r="U430" s="16"/>
      <c r="V430" s="16"/>
      <c r="W430" s="16"/>
      <c r="X430" s="16"/>
      <c r="Y430" s="16"/>
      <c r="Z430" s="16"/>
      <c r="AA430" s="16"/>
      <c r="AB430" s="16"/>
      <c r="AC430" s="16"/>
      <c r="AD430" s="16"/>
    </row>
    <row r="431" ht="13.5" customHeight="1" spans="1:30" x14ac:dyDescent="0.25">
      <c r="A431" s="4"/>
      <c r="B431" s="4"/>
      <c r="C431" s="4"/>
      <c r="D431" s="4"/>
      <c r="E431" s="4"/>
      <c r="F431" s="4"/>
      <c r="G431" s="4"/>
      <c r="H431" s="4"/>
      <c r="I431" s="4"/>
      <c r="J431" s="4"/>
      <c r="K431" s="4"/>
      <c r="L431" s="4"/>
      <c r="M431" s="4"/>
      <c r="N431" s="4"/>
      <c r="O431" s="4"/>
      <c r="P431" s="4"/>
      <c r="Q431" s="4"/>
      <c r="R431" s="16"/>
      <c r="S431" s="16"/>
      <c r="T431" s="16"/>
      <c r="U431" s="16"/>
      <c r="V431" s="16"/>
      <c r="W431" s="16"/>
      <c r="X431" s="16"/>
      <c r="Y431" s="16"/>
      <c r="Z431" s="16"/>
      <c r="AA431" s="16"/>
      <c r="AB431" s="16"/>
      <c r="AC431" s="16"/>
      <c r="AD431" s="16"/>
    </row>
    <row r="432" ht="13.5" customHeight="1" spans="1:30" x14ac:dyDescent="0.25">
      <c r="A432" s="4"/>
      <c r="B432" s="4"/>
      <c r="C432" s="4"/>
      <c r="D432" s="4"/>
      <c r="E432" s="4"/>
      <c r="F432" s="4"/>
      <c r="G432" s="4"/>
      <c r="H432" s="4"/>
      <c r="I432" s="4"/>
      <c r="J432" s="4"/>
      <c r="K432" s="4"/>
      <c r="L432" s="4"/>
      <c r="M432" s="4"/>
      <c r="N432" s="4"/>
      <c r="O432" s="4"/>
      <c r="P432" s="4"/>
      <c r="Q432" s="4"/>
      <c r="R432" s="16"/>
      <c r="S432" s="16"/>
      <c r="T432" s="16"/>
      <c r="U432" s="16"/>
      <c r="V432" s="16"/>
      <c r="W432" s="16"/>
      <c r="X432" s="16"/>
      <c r="Y432" s="16"/>
      <c r="Z432" s="16"/>
      <c r="AA432" s="16"/>
      <c r="AB432" s="16"/>
      <c r="AC432" s="16"/>
      <c r="AD432" s="16"/>
    </row>
    <row r="433" ht="13.5" customHeight="1" spans="1:30" x14ac:dyDescent="0.25">
      <c r="A433" s="4"/>
      <c r="B433" s="4"/>
      <c r="C433" s="4"/>
      <c r="D433" s="4"/>
      <c r="E433" s="4"/>
      <c r="F433" s="4"/>
      <c r="G433" s="4"/>
      <c r="H433" s="4"/>
      <c r="I433" s="4"/>
      <c r="J433" s="4"/>
      <c r="K433" s="4"/>
      <c r="L433" s="4"/>
      <c r="M433" s="4"/>
      <c r="N433" s="4"/>
      <c r="O433" s="4"/>
      <c r="P433" s="4"/>
      <c r="Q433" s="4"/>
      <c r="R433" s="16"/>
      <c r="S433" s="16"/>
      <c r="T433" s="16"/>
      <c r="U433" s="16"/>
      <c r="V433" s="16"/>
      <c r="W433" s="16"/>
      <c r="X433" s="16"/>
      <c r="Y433" s="16"/>
      <c r="Z433" s="16"/>
      <c r="AA433" s="16"/>
      <c r="AB433" s="16"/>
      <c r="AC433" s="16"/>
      <c r="AD433" s="16"/>
    </row>
    <row r="434" ht="13.5" customHeight="1" spans="1:30" x14ac:dyDescent="0.25">
      <c r="A434" s="4"/>
      <c r="B434" s="4"/>
      <c r="C434" s="4"/>
      <c r="D434" s="4"/>
      <c r="E434" s="4"/>
      <c r="F434" s="4"/>
      <c r="G434" s="4"/>
      <c r="H434" s="4"/>
      <c r="I434" s="4"/>
      <c r="J434" s="4"/>
      <c r="K434" s="4"/>
      <c r="L434" s="4"/>
      <c r="M434" s="4"/>
      <c r="N434" s="4"/>
      <c r="O434" s="4"/>
      <c r="P434" s="4"/>
      <c r="Q434" s="4"/>
      <c r="R434" s="16"/>
      <c r="S434" s="16"/>
      <c r="T434" s="16"/>
      <c r="U434" s="16"/>
      <c r="V434" s="16"/>
      <c r="W434" s="16"/>
      <c r="X434" s="16"/>
      <c r="Y434" s="16"/>
      <c r="Z434" s="16"/>
      <c r="AA434" s="16"/>
      <c r="AB434" s="16"/>
      <c r="AC434" s="16"/>
      <c r="AD434" s="16"/>
    </row>
    <row r="435" ht="13.5" customHeight="1" spans="1:30" x14ac:dyDescent="0.25">
      <c r="A435" s="4"/>
      <c r="B435" s="4"/>
      <c r="C435" s="4"/>
      <c r="D435" s="4"/>
      <c r="E435" s="4"/>
      <c r="F435" s="4"/>
      <c r="G435" s="4"/>
      <c r="H435" s="4"/>
      <c r="I435" s="4"/>
      <c r="J435" s="4"/>
      <c r="K435" s="4"/>
      <c r="L435" s="4"/>
      <c r="M435" s="4"/>
      <c r="N435" s="4"/>
      <c r="O435" s="4"/>
      <c r="P435" s="4"/>
      <c r="Q435" s="4"/>
      <c r="R435" s="16"/>
      <c r="S435" s="16"/>
      <c r="T435" s="16"/>
      <c r="U435" s="16"/>
      <c r="V435" s="16"/>
      <c r="W435" s="16"/>
      <c r="X435" s="16"/>
      <c r="Y435" s="16"/>
      <c r="Z435" s="16"/>
      <c r="AA435" s="16"/>
      <c r="AB435" s="16"/>
      <c r="AC435" s="16"/>
      <c r="AD435" s="16"/>
    </row>
    <row r="436" ht="13.5" customHeight="1" spans="1:30" x14ac:dyDescent="0.25">
      <c r="A436" s="4"/>
      <c r="B436" s="4"/>
      <c r="C436" s="4"/>
      <c r="D436" s="4"/>
      <c r="E436" s="4"/>
      <c r="F436" s="4"/>
      <c r="G436" s="4"/>
      <c r="H436" s="4"/>
      <c r="I436" s="4"/>
      <c r="J436" s="4"/>
      <c r="K436" s="4"/>
      <c r="L436" s="4"/>
      <c r="M436" s="4"/>
      <c r="N436" s="4"/>
      <c r="O436" s="4"/>
      <c r="P436" s="4"/>
      <c r="Q436" s="4"/>
      <c r="R436" s="16"/>
      <c r="S436" s="16"/>
      <c r="T436" s="16"/>
      <c r="U436" s="16"/>
      <c r="V436" s="16"/>
      <c r="W436" s="16"/>
      <c r="X436" s="16"/>
      <c r="Y436" s="16"/>
      <c r="Z436" s="16"/>
      <c r="AA436" s="16"/>
      <c r="AB436" s="16"/>
      <c r="AC436" s="16"/>
      <c r="AD436" s="16"/>
    </row>
    <row r="437" ht="13.5" customHeight="1" spans="1:30" x14ac:dyDescent="0.25">
      <c r="A437" s="4"/>
      <c r="B437" s="4"/>
      <c r="C437" s="4"/>
      <c r="D437" s="4"/>
      <c r="E437" s="4"/>
      <c r="F437" s="4"/>
      <c r="G437" s="4"/>
      <c r="H437" s="4"/>
      <c r="I437" s="4"/>
      <c r="J437" s="4"/>
      <c r="K437" s="4"/>
      <c r="L437" s="4"/>
      <c r="M437" s="4"/>
      <c r="N437" s="4"/>
      <c r="O437" s="4"/>
      <c r="P437" s="4"/>
      <c r="Q437" s="4"/>
      <c r="R437" s="16"/>
      <c r="S437" s="16"/>
      <c r="T437" s="16"/>
      <c r="U437" s="16"/>
      <c r="V437" s="16"/>
      <c r="W437" s="16"/>
      <c r="X437" s="16"/>
      <c r="Y437" s="16"/>
      <c r="Z437" s="16"/>
      <c r="AA437" s="16"/>
      <c r="AB437" s="16"/>
      <c r="AC437" s="16"/>
      <c r="AD437" s="16"/>
    </row>
    <row r="438" ht="13.5" customHeight="1" spans="1:30" x14ac:dyDescent="0.25">
      <c r="A438" s="4"/>
      <c r="B438" s="4"/>
      <c r="C438" s="4"/>
      <c r="D438" s="4"/>
      <c r="E438" s="4"/>
      <c r="F438" s="4"/>
      <c r="G438" s="4"/>
      <c r="H438" s="4"/>
      <c r="I438" s="4"/>
      <c r="J438" s="4"/>
      <c r="K438" s="4"/>
      <c r="L438" s="4"/>
      <c r="M438" s="4"/>
      <c r="N438" s="4"/>
      <c r="O438" s="4"/>
      <c r="P438" s="4"/>
      <c r="Q438" s="4"/>
      <c r="R438" s="16"/>
      <c r="S438" s="16"/>
      <c r="T438" s="16"/>
      <c r="U438" s="16"/>
      <c r="V438" s="16"/>
      <c r="W438" s="16"/>
      <c r="X438" s="16"/>
      <c r="Y438" s="16"/>
      <c r="Z438" s="16"/>
      <c r="AA438" s="16"/>
      <c r="AB438" s="16"/>
      <c r="AC438" s="16"/>
      <c r="AD438" s="16"/>
    </row>
    <row r="439" ht="13.5" customHeight="1" spans="1:30" x14ac:dyDescent="0.25">
      <c r="A439" s="4"/>
      <c r="B439" s="4"/>
      <c r="C439" s="4"/>
      <c r="D439" s="4"/>
      <c r="E439" s="4"/>
      <c r="F439" s="4"/>
      <c r="G439" s="4"/>
      <c r="H439" s="4"/>
      <c r="I439" s="4"/>
      <c r="J439" s="4"/>
      <c r="K439" s="4"/>
      <c r="L439" s="4"/>
      <c r="M439" s="4"/>
      <c r="N439" s="4"/>
      <c r="O439" s="4"/>
      <c r="P439" s="4"/>
      <c r="Q439" s="4"/>
      <c r="R439" s="16"/>
      <c r="S439" s="16"/>
      <c r="T439" s="16"/>
      <c r="U439" s="16"/>
      <c r="V439" s="16"/>
      <c r="W439" s="16"/>
      <c r="X439" s="16"/>
      <c r="Y439" s="16"/>
      <c r="Z439" s="16"/>
      <c r="AA439" s="16"/>
      <c r="AB439" s="16"/>
      <c r="AC439" s="16"/>
      <c r="AD439" s="16"/>
    </row>
    <row r="440" ht="13.5" customHeight="1" spans="1:30" x14ac:dyDescent="0.25">
      <c r="A440" s="4"/>
      <c r="B440" s="4"/>
      <c r="C440" s="4"/>
      <c r="D440" s="4"/>
      <c r="E440" s="4"/>
      <c r="F440" s="4"/>
      <c r="G440" s="4"/>
      <c r="H440" s="4"/>
      <c r="I440" s="4"/>
      <c r="J440" s="4"/>
      <c r="K440" s="4"/>
      <c r="L440" s="4"/>
      <c r="M440" s="4"/>
      <c r="N440" s="4"/>
      <c r="O440" s="4"/>
      <c r="P440" s="4"/>
      <c r="Q440" s="4"/>
      <c r="R440" s="16"/>
      <c r="S440" s="16"/>
      <c r="T440" s="16"/>
      <c r="U440" s="16"/>
      <c r="V440" s="16"/>
      <c r="W440" s="16"/>
      <c r="X440" s="16"/>
      <c r="Y440" s="16"/>
      <c r="Z440" s="16"/>
      <c r="AA440" s="16"/>
      <c r="AB440" s="16"/>
      <c r="AC440" s="16"/>
      <c r="AD440" s="16"/>
    </row>
    <row r="441" ht="13.5" customHeight="1" spans="1:30" x14ac:dyDescent="0.25">
      <c r="A441" s="4"/>
      <c r="B441" s="4"/>
      <c r="C441" s="4"/>
      <c r="D441" s="4"/>
      <c r="E441" s="4"/>
      <c r="F441" s="4"/>
      <c r="G441" s="4"/>
      <c r="H441" s="4"/>
      <c r="I441" s="4"/>
      <c r="J441" s="4"/>
      <c r="K441" s="4"/>
      <c r="L441" s="4"/>
      <c r="M441" s="4"/>
      <c r="N441" s="4"/>
      <c r="O441" s="4"/>
      <c r="P441" s="4"/>
      <c r="Q441" s="4"/>
      <c r="R441" s="16"/>
      <c r="S441" s="16"/>
      <c r="T441" s="16"/>
      <c r="U441" s="16"/>
      <c r="V441" s="16"/>
      <c r="W441" s="16"/>
      <c r="X441" s="16"/>
      <c r="Y441" s="16"/>
      <c r="Z441" s="16"/>
      <c r="AA441" s="16"/>
      <c r="AB441" s="16"/>
      <c r="AC441" s="16"/>
      <c r="AD441" s="16"/>
    </row>
    <row r="442" ht="13.5" customHeight="1" spans="1:30" x14ac:dyDescent="0.25">
      <c r="A442" s="4"/>
      <c r="B442" s="4"/>
      <c r="C442" s="4"/>
      <c r="D442" s="4"/>
      <c r="E442" s="4"/>
      <c r="F442" s="4"/>
      <c r="G442" s="4"/>
      <c r="H442" s="4"/>
      <c r="I442" s="4"/>
      <c r="J442" s="4"/>
      <c r="K442" s="4"/>
      <c r="L442" s="4"/>
      <c r="M442" s="4"/>
      <c r="N442" s="4"/>
      <c r="O442" s="4"/>
      <c r="P442" s="4"/>
      <c r="Q442" s="4"/>
      <c r="R442" s="16"/>
      <c r="S442" s="16"/>
      <c r="T442" s="16"/>
      <c r="U442" s="16"/>
      <c r="V442" s="16"/>
      <c r="W442" s="16"/>
      <c r="X442" s="16"/>
      <c r="Y442" s="16"/>
      <c r="Z442" s="16"/>
      <c r="AA442" s="16"/>
      <c r="AB442" s="16"/>
      <c r="AC442" s="16"/>
      <c r="AD442" s="16"/>
    </row>
    <row r="443" ht="13.5" customHeight="1" spans="1:30" x14ac:dyDescent="0.25">
      <c r="A443" s="4"/>
      <c r="B443" s="4"/>
      <c r="C443" s="4"/>
      <c r="D443" s="4"/>
      <c r="E443" s="4"/>
      <c r="F443" s="4"/>
      <c r="G443" s="4"/>
      <c r="H443" s="4"/>
      <c r="I443" s="4"/>
      <c r="J443" s="4"/>
      <c r="K443" s="4"/>
      <c r="L443" s="4"/>
      <c r="M443" s="4"/>
      <c r="N443" s="4"/>
      <c r="O443" s="4"/>
      <c r="P443" s="4"/>
      <c r="Q443" s="4"/>
      <c r="R443" s="16"/>
      <c r="S443" s="16"/>
      <c r="T443" s="16"/>
      <c r="U443" s="16"/>
      <c r="V443" s="16"/>
      <c r="W443" s="16"/>
      <c r="X443" s="16"/>
      <c r="Y443" s="16"/>
      <c r="Z443" s="16"/>
      <c r="AA443" s="16"/>
      <c r="AB443" s="16"/>
      <c r="AC443" s="16"/>
      <c r="AD443" s="16"/>
    </row>
    <row r="444" ht="13.5" customHeight="1" spans="1:30" x14ac:dyDescent="0.25">
      <c r="A444" s="4"/>
      <c r="B444" s="4"/>
      <c r="C444" s="4"/>
      <c r="D444" s="4"/>
      <c r="E444" s="4"/>
      <c r="F444" s="4"/>
      <c r="G444" s="4"/>
      <c r="H444" s="4"/>
      <c r="I444" s="4"/>
      <c r="J444" s="4"/>
      <c r="K444" s="4"/>
      <c r="L444" s="4"/>
      <c r="M444" s="4"/>
      <c r="N444" s="4"/>
      <c r="O444" s="4"/>
      <c r="P444" s="4"/>
      <c r="Q444" s="4"/>
      <c r="R444" s="16"/>
      <c r="S444" s="16"/>
      <c r="T444" s="16"/>
      <c r="U444" s="16"/>
      <c r="V444" s="16"/>
      <c r="W444" s="16"/>
      <c r="X444" s="16"/>
      <c r="Y444" s="16"/>
      <c r="Z444" s="16"/>
      <c r="AA444" s="16"/>
      <c r="AB444" s="16"/>
      <c r="AC444" s="16"/>
      <c r="AD444" s="16"/>
    </row>
    <row r="445" ht="13.5" customHeight="1" spans="1:30" x14ac:dyDescent="0.25">
      <c r="A445" s="4"/>
      <c r="B445" s="4"/>
      <c r="C445" s="4"/>
      <c r="D445" s="4"/>
      <c r="E445" s="4"/>
      <c r="F445" s="4"/>
      <c r="G445" s="4"/>
      <c r="H445" s="4"/>
      <c r="I445" s="4"/>
      <c r="J445" s="4"/>
      <c r="K445" s="4"/>
      <c r="L445" s="4"/>
      <c r="M445" s="4"/>
      <c r="N445" s="4"/>
      <c r="O445" s="4"/>
      <c r="P445" s="4"/>
      <c r="Q445" s="4"/>
      <c r="R445" s="16"/>
      <c r="S445" s="16"/>
      <c r="T445" s="16"/>
      <c r="U445" s="16"/>
      <c r="V445" s="16"/>
      <c r="W445" s="16"/>
      <c r="X445" s="16"/>
      <c r="Y445" s="16"/>
      <c r="Z445" s="16"/>
      <c r="AA445" s="16"/>
      <c r="AB445" s="16"/>
      <c r="AC445" s="16"/>
      <c r="AD445" s="16"/>
    </row>
    <row r="446" ht="13.5" customHeight="1" spans="1:30" x14ac:dyDescent="0.25">
      <c r="A446" s="4"/>
      <c r="B446" s="4"/>
      <c r="C446" s="4"/>
      <c r="D446" s="4"/>
      <c r="E446" s="4"/>
      <c r="F446" s="4"/>
      <c r="G446" s="4"/>
      <c r="H446" s="4"/>
      <c r="I446" s="4"/>
      <c r="J446" s="4"/>
      <c r="K446" s="4"/>
      <c r="L446" s="4"/>
      <c r="M446" s="4"/>
      <c r="N446" s="4"/>
      <c r="O446" s="4"/>
      <c r="P446" s="4"/>
      <c r="Q446" s="4"/>
      <c r="R446" s="16"/>
      <c r="S446" s="16"/>
      <c r="T446" s="16"/>
      <c r="U446" s="16"/>
      <c r="V446" s="16"/>
      <c r="W446" s="16"/>
      <c r="X446" s="16"/>
      <c r="Y446" s="16"/>
      <c r="Z446" s="16"/>
      <c r="AA446" s="16"/>
      <c r="AB446" s="16"/>
      <c r="AC446" s="16"/>
      <c r="AD446" s="16"/>
    </row>
    <row r="447" ht="13.5" customHeight="1" spans="1:30" x14ac:dyDescent="0.25">
      <c r="A447" s="4"/>
      <c r="B447" s="4"/>
      <c r="C447" s="4"/>
      <c r="D447" s="4"/>
      <c r="E447" s="4"/>
      <c r="F447" s="4"/>
      <c r="G447" s="4"/>
      <c r="H447" s="4"/>
      <c r="I447" s="4"/>
      <c r="J447" s="4"/>
      <c r="K447" s="4"/>
      <c r="L447" s="4"/>
      <c r="M447" s="4"/>
      <c r="N447" s="4"/>
      <c r="O447" s="4"/>
      <c r="P447" s="4"/>
      <c r="Q447" s="4"/>
      <c r="R447" s="16"/>
      <c r="S447" s="16"/>
      <c r="T447" s="16"/>
      <c r="U447" s="16"/>
      <c r="V447" s="16"/>
      <c r="W447" s="16"/>
      <c r="X447" s="16"/>
      <c r="Y447" s="16"/>
      <c r="Z447" s="16"/>
      <c r="AA447" s="16"/>
      <c r="AB447" s="16"/>
      <c r="AC447" s="16"/>
      <c r="AD447" s="16"/>
    </row>
    <row r="448" ht="13.5" customHeight="1" spans="1:30" x14ac:dyDescent="0.25">
      <c r="A448" s="4"/>
      <c r="B448" s="4"/>
      <c r="C448" s="4"/>
      <c r="D448" s="4"/>
      <c r="E448" s="4"/>
      <c r="F448" s="4"/>
      <c r="G448" s="4"/>
      <c r="H448" s="4"/>
      <c r="I448" s="4"/>
      <c r="J448" s="4"/>
      <c r="K448" s="4"/>
      <c r="L448" s="4"/>
      <c r="M448" s="4"/>
      <c r="N448" s="4"/>
      <c r="O448" s="4"/>
      <c r="P448" s="4"/>
      <c r="Q448" s="4"/>
      <c r="R448" s="16"/>
      <c r="S448" s="16"/>
      <c r="T448" s="16"/>
      <c r="U448" s="16"/>
      <c r="V448" s="16"/>
      <c r="W448" s="16"/>
      <c r="X448" s="16"/>
      <c r="Y448" s="16"/>
      <c r="Z448" s="16"/>
      <c r="AA448" s="16"/>
      <c r="AB448" s="16"/>
      <c r="AC448" s="16"/>
      <c r="AD448" s="16"/>
    </row>
    <row r="449" ht="13.5" customHeight="1" spans="1:30" x14ac:dyDescent="0.25">
      <c r="A449" s="4"/>
      <c r="B449" s="4"/>
      <c r="C449" s="4"/>
      <c r="D449" s="4"/>
      <c r="E449" s="4"/>
      <c r="F449" s="4"/>
      <c r="G449" s="4"/>
      <c r="H449" s="4"/>
      <c r="I449" s="4"/>
      <c r="J449" s="4"/>
      <c r="K449" s="4"/>
      <c r="L449" s="4"/>
      <c r="M449" s="4"/>
      <c r="N449" s="4"/>
      <c r="O449" s="4"/>
      <c r="P449" s="4"/>
      <c r="Q449" s="4"/>
      <c r="R449" s="16"/>
      <c r="S449" s="16"/>
      <c r="T449" s="16"/>
      <c r="U449" s="16"/>
      <c r="V449" s="16"/>
      <c r="W449" s="16"/>
      <c r="X449" s="16"/>
      <c r="Y449" s="16"/>
      <c r="Z449" s="16"/>
      <c r="AA449" s="16"/>
      <c r="AB449" s="16"/>
      <c r="AC449" s="16"/>
      <c r="AD449" s="16"/>
    </row>
    <row r="450" ht="13.5" customHeight="1" spans="1:30" x14ac:dyDescent="0.25">
      <c r="A450" s="4"/>
      <c r="B450" s="4"/>
      <c r="C450" s="4"/>
      <c r="D450" s="4"/>
      <c r="E450" s="4"/>
      <c r="F450" s="4"/>
      <c r="G450" s="4"/>
      <c r="H450" s="4"/>
      <c r="I450" s="4"/>
      <c r="J450" s="4"/>
      <c r="K450" s="4"/>
      <c r="L450" s="4"/>
      <c r="M450" s="4"/>
      <c r="N450" s="4"/>
      <c r="O450" s="4"/>
      <c r="P450" s="4"/>
      <c r="Q450" s="4"/>
      <c r="R450" s="16"/>
      <c r="S450" s="16"/>
      <c r="T450" s="16"/>
      <c r="U450" s="16"/>
      <c r="V450" s="16"/>
      <c r="W450" s="16"/>
      <c r="X450" s="16"/>
      <c r="Y450" s="16"/>
      <c r="Z450" s="16"/>
      <c r="AA450" s="16"/>
      <c r="AB450" s="16"/>
      <c r="AC450" s="16"/>
      <c r="AD450" s="16"/>
    </row>
    <row r="451" ht="13.5" customHeight="1" spans="1:30" x14ac:dyDescent="0.25">
      <c r="A451" s="4"/>
      <c r="B451" s="4"/>
      <c r="C451" s="4"/>
      <c r="D451" s="4"/>
      <c r="E451" s="4"/>
      <c r="F451" s="4"/>
      <c r="G451" s="4"/>
      <c r="H451" s="4"/>
      <c r="I451" s="4"/>
      <c r="J451" s="4"/>
      <c r="K451" s="4"/>
      <c r="L451" s="4"/>
      <c r="M451" s="4"/>
      <c r="N451" s="4"/>
      <c r="O451" s="4"/>
      <c r="P451" s="4"/>
      <c r="Q451" s="4"/>
      <c r="R451" s="16"/>
      <c r="S451" s="16"/>
      <c r="T451" s="16"/>
      <c r="U451" s="16"/>
      <c r="V451" s="16"/>
      <c r="W451" s="16"/>
      <c r="X451" s="16"/>
      <c r="Y451" s="16"/>
      <c r="Z451" s="16"/>
      <c r="AA451" s="16"/>
      <c r="AB451" s="16"/>
      <c r="AC451" s="16"/>
      <c r="AD451" s="16"/>
    </row>
    <row r="452" ht="13.5" customHeight="1" spans="1:30" x14ac:dyDescent="0.25">
      <c r="A452" s="4"/>
      <c r="B452" s="4"/>
      <c r="C452" s="4"/>
      <c r="D452" s="4"/>
      <c r="E452" s="4"/>
      <c r="F452" s="4"/>
      <c r="G452" s="4"/>
      <c r="H452" s="4"/>
      <c r="I452" s="4"/>
      <c r="J452" s="4"/>
      <c r="K452" s="4"/>
      <c r="L452" s="4"/>
      <c r="M452" s="4"/>
      <c r="N452" s="4"/>
      <c r="O452" s="4"/>
      <c r="P452" s="4"/>
      <c r="Q452" s="4"/>
      <c r="R452" s="16"/>
      <c r="S452" s="16"/>
      <c r="T452" s="16"/>
      <c r="U452" s="16"/>
      <c r="V452" s="16"/>
      <c r="W452" s="16"/>
      <c r="X452" s="16"/>
      <c r="Y452" s="16"/>
      <c r="Z452" s="16"/>
      <c r="AA452" s="16"/>
      <c r="AB452" s="16"/>
      <c r="AC452" s="16"/>
      <c r="AD452" s="16"/>
    </row>
    <row r="453" ht="13.5" customHeight="1" spans="1:30" x14ac:dyDescent="0.25">
      <c r="A453" s="4"/>
      <c r="B453" s="4"/>
      <c r="C453" s="4"/>
      <c r="D453" s="4"/>
      <c r="E453" s="4"/>
      <c r="F453" s="4"/>
      <c r="G453" s="4"/>
      <c r="H453" s="4"/>
      <c r="I453" s="4"/>
      <c r="J453" s="4"/>
      <c r="K453" s="4"/>
      <c r="L453" s="4"/>
      <c r="M453" s="4"/>
      <c r="N453" s="4"/>
      <c r="O453" s="4"/>
      <c r="P453" s="4"/>
      <c r="Q453" s="4"/>
      <c r="R453" s="16"/>
      <c r="S453" s="16"/>
      <c r="T453" s="16"/>
      <c r="U453" s="16"/>
      <c r="V453" s="16"/>
      <c r="W453" s="16"/>
      <c r="X453" s="16"/>
      <c r="Y453" s="16"/>
      <c r="Z453" s="16"/>
      <c r="AA453" s="16"/>
      <c r="AB453" s="16"/>
      <c r="AC453" s="16"/>
      <c r="AD453" s="16"/>
    </row>
    <row r="454" ht="13.5" customHeight="1" spans="1:30" x14ac:dyDescent="0.25">
      <c r="A454" s="4"/>
      <c r="B454" s="4"/>
      <c r="C454" s="4"/>
      <c r="D454" s="4"/>
      <c r="E454" s="4"/>
      <c r="F454" s="4"/>
      <c r="G454" s="4"/>
      <c r="H454" s="4"/>
      <c r="I454" s="4"/>
      <c r="J454" s="4"/>
      <c r="K454" s="4"/>
      <c r="L454" s="4"/>
      <c r="M454" s="4"/>
      <c r="N454" s="4"/>
      <c r="O454" s="4"/>
      <c r="P454" s="4"/>
      <c r="Q454" s="4"/>
      <c r="R454" s="16"/>
      <c r="S454" s="16"/>
      <c r="T454" s="16"/>
      <c r="U454" s="16"/>
      <c r="V454" s="16"/>
      <c r="W454" s="16"/>
      <c r="X454" s="16"/>
      <c r="Y454" s="16"/>
      <c r="Z454" s="16"/>
      <c r="AA454" s="16"/>
      <c r="AB454" s="16"/>
      <c r="AC454" s="16"/>
      <c r="AD454" s="16"/>
    </row>
    <row r="455" ht="13.5" customHeight="1" spans="1:30" x14ac:dyDescent="0.25">
      <c r="A455" s="4"/>
      <c r="B455" s="4"/>
      <c r="C455" s="4"/>
      <c r="D455" s="4"/>
      <c r="E455" s="4"/>
      <c r="F455" s="4"/>
      <c r="G455" s="4"/>
      <c r="H455" s="4"/>
      <c r="I455" s="4"/>
      <c r="J455" s="4"/>
      <c r="K455" s="4"/>
      <c r="L455" s="4"/>
      <c r="M455" s="4"/>
      <c r="N455" s="4"/>
      <c r="O455" s="4"/>
      <c r="P455" s="4"/>
      <c r="Q455" s="4"/>
      <c r="R455" s="16"/>
      <c r="S455" s="16"/>
      <c r="T455" s="16"/>
      <c r="U455" s="16"/>
      <c r="V455" s="16"/>
      <c r="W455" s="16"/>
      <c r="X455" s="16"/>
      <c r="Y455" s="16"/>
      <c r="Z455" s="16"/>
      <c r="AA455" s="16"/>
      <c r="AB455" s="16"/>
      <c r="AC455" s="16"/>
      <c r="AD455" s="16"/>
    </row>
    <row r="456" ht="13.5" customHeight="1" spans="1:30" x14ac:dyDescent="0.25">
      <c r="A456" s="4"/>
      <c r="B456" s="4"/>
      <c r="C456" s="4"/>
      <c r="D456" s="4"/>
      <c r="E456" s="4"/>
      <c r="F456" s="4"/>
      <c r="G456" s="4"/>
      <c r="H456" s="4"/>
      <c r="I456" s="4"/>
      <c r="J456" s="4"/>
      <c r="K456" s="4"/>
      <c r="L456" s="4"/>
      <c r="M456" s="4"/>
      <c r="N456" s="4"/>
      <c r="O456" s="4"/>
      <c r="P456" s="4"/>
      <c r="Q456" s="4"/>
      <c r="R456" s="16"/>
      <c r="S456" s="16"/>
      <c r="T456" s="16"/>
      <c r="U456" s="16"/>
      <c r="V456" s="16"/>
      <c r="W456" s="16"/>
      <c r="X456" s="16"/>
      <c r="Y456" s="16"/>
      <c r="Z456" s="16"/>
      <c r="AA456" s="16"/>
      <c r="AB456" s="16"/>
      <c r="AC456" s="16"/>
      <c r="AD456" s="16"/>
    </row>
    <row r="457" ht="13.5" customHeight="1" spans="1:30" x14ac:dyDescent="0.25">
      <c r="A457" s="4"/>
      <c r="B457" s="4"/>
      <c r="C457" s="4"/>
      <c r="D457" s="4"/>
      <c r="E457" s="4"/>
      <c r="F457" s="4"/>
      <c r="G457" s="4"/>
      <c r="H457" s="4"/>
      <c r="I457" s="4"/>
      <c r="J457" s="4"/>
      <c r="K457" s="4"/>
      <c r="L457" s="4"/>
      <c r="M457" s="4"/>
      <c r="N457" s="4"/>
      <c r="O457" s="4"/>
      <c r="P457" s="4"/>
      <c r="Q457" s="4"/>
      <c r="R457" s="16"/>
      <c r="S457" s="16"/>
      <c r="T457" s="16"/>
      <c r="U457" s="16"/>
      <c r="V457" s="16"/>
      <c r="W457" s="16"/>
      <c r="X457" s="16"/>
      <c r="Y457" s="16"/>
      <c r="Z457" s="16"/>
      <c r="AA457" s="16"/>
      <c r="AB457" s="16"/>
      <c r="AC457" s="16"/>
      <c r="AD457" s="16"/>
    </row>
    <row r="458" ht="13.5" customHeight="1" spans="1:30" x14ac:dyDescent="0.25">
      <c r="A458" s="4"/>
      <c r="B458" s="4"/>
      <c r="C458" s="4"/>
      <c r="D458" s="4"/>
      <c r="E458" s="4"/>
      <c r="F458" s="4"/>
      <c r="G458" s="4"/>
      <c r="H458" s="4"/>
      <c r="I458" s="4"/>
      <c r="J458" s="4"/>
      <c r="K458" s="4"/>
      <c r="L458" s="4"/>
      <c r="M458" s="4"/>
      <c r="N458" s="4"/>
      <c r="O458" s="4"/>
      <c r="P458" s="4"/>
      <c r="Q458" s="4"/>
      <c r="R458" s="16"/>
      <c r="S458" s="16"/>
      <c r="T458" s="16"/>
      <c r="U458" s="16"/>
      <c r="V458" s="16"/>
      <c r="W458" s="16"/>
      <c r="X458" s="16"/>
      <c r="Y458" s="16"/>
      <c r="Z458" s="16"/>
      <c r="AA458" s="16"/>
      <c r="AB458" s="16"/>
      <c r="AC458" s="16"/>
      <c r="AD458" s="16"/>
    </row>
    <row r="459" ht="13.5" customHeight="1" spans="1:30" x14ac:dyDescent="0.25">
      <c r="A459" s="4"/>
      <c r="B459" s="4"/>
      <c r="C459" s="4"/>
      <c r="D459" s="4"/>
      <c r="E459" s="4"/>
      <c r="F459" s="4"/>
      <c r="G459" s="4"/>
      <c r="H459" s="4"/>
      <c r="I459" s="4"/>
      <c r="J459" s="4"/>
      <c r="K459" s="4"/>
      <c r="L459" s="4"/>
      <c r="M459" s="4"/>
      <c r="N459" s="4"/>
      <c r="O459" s="4"/>
      <c r="P459" s="4"/>
      <c r="Q459" s="4"/>
      <c r="R459" s="16"/>
      <c r="S459" s="16"/>
      <c r="T459" s="16"/>
      <c r="U459" s="16"/>
      <c r="V459" s="16"/>
      <c r="W459" s="16"/>
      <c r="X459" s="16"/>
      <c r="Y459" s="16"/>
      <c r="Z459" s="16"/>
      <c r="AA459" s="16"/>
      <c r="AB459" s="16"/>
      <c r="AC459" s="16"/>
      <c r="AD459" s="16"/>
    </row>
    <row r="460" ht="13.5" customHeight="1" spans="1:30" x14ac:dyDescent="0.25">
      <c r="A460" s="4"/>
      <c r="B460" s="4"/>
      <c r="C460" s="4"/>
      <c r="D460" s="4"/>
      <c r="E460" s="4"/>
      <c r="F460" s="4"/>
      <c r="G460" s="4"/>
      <c r="H460" s="4"/>
      <c r="I460" s="4"/>
      <c r="J460" s="4"/>
      <c r="K460" s="4"/>
      <c r="L460" s="4"/>
      <c r="M460" s="4"/>
      <c r="N460" s="4"/>
      <c r="O460" s="4"/>
      <c r="P460" s="4"/>
      <c r="Q460" s="4"/>
      <c r="R460" s="16"/>
      <c r="S460" s="16"/>
      <c r="T460" s="16"/>
      <c r="U460" s="16"/>
      <c r="V460" s="16"/>
      <c r="W460" s="16"/>
      <c r="X460" s="16"/>
      <c r="Y460" s="16"/>
      <c r="Z460" s="16"/>
      <c r="AA460" s="16"/>
      <c r="AB460" s="16"/>
      <c r="AC460" s="16"/>
      <c r="AD460" s="16"/>
    </row>
    <row r="461" ht="13.5" customHeight="1" spans="1:30" x14ac:dyDescent="0.25">
      <c r="A461" s="4"/>
      <c r="B461" s="4"/>
      <c r="C461" s="4"/>
      <c r="D461" s="4"/>
      <c r="E461" s="4"/>
      <c r="F461" s="4"/>
      <c r="G461" s="4"/>
      <c r="H461" s="4"/>
      <c r="I461" s="4"/>
      <c r="J461" s="4"/>
      <c r="K461" s="4"/>
      <c r="L461" s="4"/>
      <c r="M461" s="4"/>
      <c r="N461" s="4"/>
      <c r="O461" s="4"/>
      <c r="P461" s="4"/>
      <c r="Q461" s="4"/>
      <c r="R461" s="16"/>
      <c r="S461" s="16"/>
      <c r="T461" s="16"/>
      <c r="U461" s="16"/>
      <c r="V461" s="16"/>
      <c r="W461" s="16"/>
      <c r="X461" s="16"/>
      <c r="Y461" s="16"/>
      <c r="Z461" s="16"/>
      <c r="AA461" s="16"/>
      <c r="AB461" s="16"/>
      <c r="AC461" s="16"/>
      <c r="AD461" s="16"/>
    </row>
    <row r="462" ht="13.5" customHeight="1" spans="1:30" x14ac:dyDescent="0.25">
      <c r="A462" s="4"/>
      <c r="B462" s="4"/>
      <c r="C462" s="4"/>
      <c r="D462" s="4"/>
      <c r="E462" s="4"/>
      <c r="F462" s="4"/>
      <c r="G462" s="4"/>
      <c r="H462" s="4"/>
      <c r="I462" s="4"/>
      <c r="J462" s="4"/>
      <c r="K462" s="4"/>
      <c r="L462" s="4"/>
      <c r="M462" s="4"/>
      <c r="N462" s="4"/>
      <c r="O462" s="4"/>
      <c r="P462" s="4"/>
      <c r="Q462" s="4"/>
      <c r="R462" s="16"/>
      <c r="S462" s="16"/>
      <c r="T462" s="16"/>
      <c r="U462" s="16"/>
      <c r="V462" s="16"/>
      <c r="W462" s="16"/>
      <c r="X462" s="16"/>
      <c r="Y462" s="16"/>
      <c r="Z462" s="16"/>
      <c r="AA462" s="16"/>
      <c r="AB462" s="16"/>
      <c r="AC462" s="16"/>
      <c r="AD462" s="16"/>
    </row>
    <row r="463" ht="13.5" customHeight="1" spans="1:30" x14ac:dyDescent="0.25">
      <c r="A463" s="4"/>
      <c r="B463" s="4"/>
      <c r="C463" s="4"/>
      <c r="D463" s="4"/>
      <c r="E463" s="4"/>
      <c r="F463" s="4"/>
      <c r="G463" s="4"/>
      <c r="H463" s="4"/>
      <c r="I463" s="4"/>
      <c r="J463" s="4"/>
      <c r="K463" s="4"/>
      <c r="L463" s="4"/>
      <c r="M463" s="4"/>
      <c r="N463" s="4"/>
      <c r="O463" s="4"/>
      <c r="P463" s="4"/>
      <c r="Q463" s="4"/>
      <c r="R463" s="16"/>
      <c r="S463" s="16"/>
      <c r="T463" s="16"/>
      <c r="U463" s="16"/>
      <c r="V463" s="16"/>
      <c r="W463" s="16"/>
      <c r="X463" s="16"/>
      <c r="Y463" s="16"/>
      <c r="Z463" s="16"/>
      <c r="AA463" s="16"/>
      <c r="AB463" s="16"/>
      <c r="AC463" s="16"/>
      <c r="AD463" s="16"/>
    </row>
    <row r="464" ht="13.5" customHeight="1" spans="1:30" x14ac:dyDescent="0.25">
      <c r="A464" s="4"/>
      <c r="B464" s="4"/>
      <c r="C464" s="4"/>
      <c r="D464" s="4"/>
      <c r="E464" s="4"/>
      <c r="F464" s="4"/>
      <c r="G464" s="4"/>
      <c r="H464" s="4"/>
      <c r="I464" s="4"/>
      <c r="J464" s="4"/>
      <c r="K464" s="4"/>
      <c r="L464" s="4"/>
      <c r="M464" s="4"/>
      <c r="N464" s="4"/>
      <c r="O464" s="4"/>
      <c r="P464" s="4"/>
      <c r="Q464" s="4"/>
      <c r="R464" s="16"/>
      <c r="S464" s="16"/>
      <c r="T464" s="16"/>
      <c r="U464" s="16"/>
      <c r="V464" s="16"/>
      <c r="W464" s="16"/>
      <c r="X464" s="16"/>
      <c r="Y464" s="16"/>
      <c r="Z464" s="16"/>
      <c r="AA464" s="16"/>
      <c r="AB464" s="16"/>
      <c r="AC464" s="16"/>
      <c r="AD464" s="16"/>
    </row>
    <row r="465" ht="13.5" customHeight="1" spans="1:30" x14ac:dyDescent="0.25">
      <c r="A465" s="4"/>
      <c r="B465" s="4"/>
      <c r="C465" s="4"/>
      <c r="D465" s="4"/>
      <c r="E465" s="4"/>
      <c r="F465" s="4"/>
      <c r="G465" s="4"/>
      <c r="H465" s="4"/>
      <c r="I465" s="4"/>
      <c r="J465" s="4"/>
      <c r="K465" s="4"/>
      <c r="L465" s="4"/>
      <c r="M465" s="4"/>
      <c r="N465" s="4"/>
      <c r="O465" s="4"/>
      <c r="P465" s="4"/>
      <c r="Q465" s="4"/>
      <c r="R465" s="16"/>
      <c r="S465" s="16"/>
      <c r="T465" s="16"/>
      <c r="U465" s="16"/>
      <c r="V465" s="16"/>
      <c r="W465" s="16"/>
      <c r="X465" s="16"/>
      <c r="Y465" s="16"/>
      <c r="Z465" s="16"/>
      <c r="AA465" s="16"/>
      <c r="AB465" s="16"/>
      <c r="AC465" s="16"/>
      <c r="AD465" s="16"/>
    </row>
    <row r="466" ht="13.5" customHeight="1" spans="1:30" x14ac:dyDescent="0.25">
      <c r="A466" s="4"/>
      <c r="B466" s="4"/>
      <c r="C466" s="4"/>
      <c r="D466" s="4"/>
      <c r="E466" s="4"/>
      <c r="F466" s="4"/>
      <c r="G466" s="4"/>
      <c r="H466" s="4"/>
      <c r="I466" s="4"/>
      <c r="J466" s="4"/>
      <c r="K466" s="4"/>
      <c r="L466" s="4"/>
      <c r="M466" s="4"/>
      <c r="N466" s="4"/>
      <c r="O466" s="4"/>
      <c r="P466" s="4"/>
      <c r="Q466" s="4"/>
      <c r="R466" s="16"/>
      <c r="S466" s="16"/>
      <c r="T466" s="16"/>
      <c r="U466" s="16"/>
      <c r="V466" s="16"/>
      <c r="W466" s="16"/>
      <c r="X466" s="16"/>
      <c r="Y466" s="16"/>
      <c r="Z466" s="16"/>
      <c r="AA466" s="16"/>
      <c r="AB466" s="16"/>
      <c r="AC466" s="16"/>
      <c r="AD466" s="16"/>
    </row>
    <row r="467" ht="13.5" customHeight="1" spans="1:30" x14ac:dyDescent="0.25">
      <c r="A467" s="4"/>
      <c r="B467" s="4"/>
      <c r="C467" s="4"/>
      <c r="D467" s="4"/>
      <c r="E467" s="4"/>
      <c r="F467" s="4"/>
      <c r="G467" s="4"/>
      <c r="H467" s="4"/>
      <c r="I467" s="4"/>
      <c r="J467" s="4"/>
      <c r="K467" s="4"/>
      <c r="L467" s="4"/>
      <c r="M467" s="4"/>
      <c r="N467" s="4"/>
      <c r="O467" s="4"/>
      <c r="P467" s="4"/>
      <c r="Q467" s="4"/>
      <c r="R467" s="16"/>
      <c r="S467" s="16"/>
      <c r="T467" s="16"/>
      <c r="U467" s="16"/>
      <c r="V467" s="16"/>
      <c r="W467" s="16"/>
      <c r="X467" s="16"/>
      <c r="Y467" s="16"/>
      <c r="Z467" s="16"/>
      <c r="AA467" s="16"/>
      <c r="AB467" s="16"/>
      <c r="AC467" s="16"/>
      <c r="AD467" s="16"/>
    </row>
    <row r="468" ht="13.5" customHeight="1" spans="1:30" x14ac:dyDescent="0.25">
      <c r="A468" s="4"/>
      <c r="B468" s="4"/>
      <c r="C468" s="4"/>
      <c r="D468" s="4"/>
      <c r="E468" s="4"/>
      <c r="F468" s="4"/>
      <c r="G468" s="4"/>
      <c r="H468" s="4"/>
      <c r="I468" s="4"/>
      <c r="J468" s="4"/>
      <c r="K468" s="4"/>
      <c r="L468" s="4"/>
      <c r="M468" s="4"/>
      <c r="N468" s="4"/>
      <c r="O468" s="4"/>
      <c r="P468" s="4"/>
      <c r="Q468" s="4"/>
      <c r="R468" s="16"/>
      <c r="S468" s="16"/>
      <c r="T468" s="16"/>
      <c r="U468" s="16"/>
      <c r="V468" s="16"/>
      <c r="W468" s="16"/>
      <c r="X468" s="16"/>
      <c r="Y468" s="16"/>
      <c r="Z468" s="16"/>
      <c r="AA468" s="16"/>
      <c r="AB468" s="16"/>
      <c r="AC468" s="16"/>
      <c r="AD468" s="16"/>
    </row>
    <row r="469" ht="13.5" customHeight="1" spans="1:30" x14ac:dyDescent="0.25">
      <c r="A469" s="4"/>
      <c r="B469" s="4"/>
      <c r="C469" s="4"/>
      <c r="D469" s="4"/>
      <c r="E469" s="4"/>
      <c r="F469" s="4"/>
      <c r="G469" s="4"/>
      <c r="H469" s="4"/>
      <c r="I469" s="4"/>
      <c r="J469" s="4"/>
      <c r="K469" s="4"/>
      <c r="L469" s="4"/>
      <c r="M469" s="4"/>
      <c r="N469" s="4"/>
      <c r="O469" s="4"/>
      <c r="P469" s="4"/>
      <c r="Q469" s="4"/>
      <c r="R469" s="16"/>
      <c r="S469" s="16"/>
      <c r="T469" s="16"/>
      <c r="U469" s="16"/>
      <c r="V469" s="16"/>
      <c r="W469" s="16"/>
      <c r="X469" s="16"/>
      <c r="Y469" s="16"/>
      <c r="Z469" s="16"/>
      <c r="AA469" s="16"/>
      <c r="AB469" s="16"/>
      <c r="AC469" s="16"/>
      <c r="AD469" s="16"/>
    </row>
    <row r="470" ht="13.5" customHeight="1" spans="1:30" x14ac:dyDescent="0.25">
      <c r="A470" s="4"/>
      <c r="B470" s="4"/>
      <c r="C470" s="4"/>
      <c r="D470" s="4"/>
      <c r="E470" s="4"/>
      <c r="F470" s="4"/>
      <c r="G470" s="4"/>
      <c r="H470" s="4"/>
      <c r="I470" s="4"/>
      <c r="J470" s="4"/>
      <c r="K470" s="4"/>
      <c r="L470" s="4"/>
      <c r="M470" s="4"/>
      <c r="N470" s="4"/>
      <c r="O470" s="4"/>
      <c r="P470" s="4"/>
      <c r="Q470" s="4"/>
      <c r="R470" s="16"/>
      <c r="S470" s="16"/>
      <c r="T470" s="16"/>
      <c r="U470" s="16"/>
      <c r="V470" s="16"/>
      <c r="W470" s="16"/>
      <c r="X470" s="16"/>
      <c r="Y470" s="16"/>
      <c r="Z470" s="16"/>
      <c r="AA470" s="16"/>
      <c r="AB470" s="16"/>
      <c r="AC470" s="16"/>
      <c r="AD470" s="16"/>
    </row>
    <row r="471" ht="13.5" customHeight="1" spans="1:30" x14ac:dyDescent="0.25">
      <c r="A471" s="4"/>
      <c r="B471" s="4"/>
      <c r="C471" s="4"/>
      <c r="D471" s="4"/>
      <c r="E471" s="4"/>
      <c r="F471" s="4"/>
      <c r="G471" s="4"/>
      <c r="H471" s="4"/>
      <c r="I471" s="4"/>
      <c r="J471" s="4"/>
      <c r="K471" s="4"/>
      <c r="L471" s="4"/>
      <c r="M471" s="4"/>
      <c r="N471" s="4"/>
      <c r="O471" s="4"/>
      <c r="P471" s="4"/>
      <c r="Q471" s="4"/>
      <c r="R471" s="16"/>
      <c r="S471" s="16"/>
      <c r="T471" s="16"/>
      <c r="U471" s="16"/>
      <c r="V471" s="16"/>
      <c r="W471" s="16"/>
      <c r="X471" s="16"/>
      <c r="Y471" s="16"/>
      <c r="Z471" s="16"/>
      <c r="AA471" s="16"/>
      <c r="AB471" s="16"/>
      <c r="AC471" s="16"/>
      <c r="AD471" s="16"/>
    </row>
    <row r="472" ht="13.5" customHeight="1" spans="1:30" x14ac:dyDescent="0.25">
      <c r="A472" s="4"/>
      <c r="B472" s="4"/>
      <c r="C472" s="4"/>
      <c r="D472" s="4"/>
      <c r="E472" s="4"/>
      <c r="F472" s="4"/>
      <c r="G472" s="4"/>
      <c r="H472" s="4"/>
      <c r="I472" s="4"/>
      <c r="J472" s="4"/>
      <c r="K472" s="4"/>
      <c r="L472" s="4"/>
      <c r="M472" s="4"/>
      <c r="N472" s="4"/>
      <c r="O472" s="4"/>
      <c r="P472" s="4"/>
      <c r="Q472" s="4"/>
      <c r="R472" s="16"/>
      <c r="S472" s="16"/>
      <c r="T472" s="16"/>
      <c r="U472" s="16"/>
      <c r="V472" s="16"/>
      <c r="W472" s="16"/>
      <c r="X472" s="16"/>
      <c r="Y472" s="16"/>
      <c r="Z472" s="16"/>
      <c r="AA472" s="16"/>
      <c r="AB472" s="16"/>
      <c r="AC472" s="16"/>
      <c r="AD472" s="16"/>
    </row>
    <row r="473" ht="13.5" customHeight="1" spans="1:30" x14ac:dyDescent="0.25">
      <c r="A473" s="4"/>
      <c r="B473" s="4"/>
      <c r="C473" s="4"/>
      <c r="D473" s="4"/>
      <c r="E473" s="4"/>
      <c r="F473" s="4"/>
      <c r="G473" s="4"/>
      <c r="H473" s="4"/>
      <c r="I473" s="4"/>
      <c r="J473" s="4"/>
      <c r="K473" s="4"/>
      <c r="L473" s="4"/>
      <c r="M473" s="4"/>
      <c r="N473" s="4"/>
      <c r="O473" s="4"/>
      <c r="P473" s="4"/>
      <c r="Q473" s="4"/>
      <c r="R473" s="16"/>
      <c r="S473" s="16"/>
      <c r="T473" s="16"/>
      <c r="U473" s="16"/>
      <c r="V473" s="16"/>
      <c r="W473" s="16"/>
      <c r="X473" s="16"/>
      <c r="Y473" s="16"/>
      <c r="Z473" s="16"/>
      <c r="AA473" s="16"/>
      <c r="AB473" s="16"/>
      <c r="AC473" s="16"/>
      <c r="AD473" s="16"/>
    </row>
    <row r="474" ht="13.5" customHeight="1" spans="1:30" x14ac:dyDescent="0.25">
      <c r="A474" s="4"/>
      <c r="B474" s="4"/>
      <c r="C474" s="4"/>
      <c r="D474" s="4"/>
      <c r="E474" s="4"/>
      <c r="F474" s="4"/>
      <c r="G474" s="4"/>
      <c r="H474" s="4"/>
      <c r="I474" s="4"/>
      <c r="J474" s="4"/>
      <c r="K474" s="4"/>
      <c r="L474" s="4"/>
      <c r="M474" s="4"/>
      <c r="N474" s="4"/>
      <c r="O474" s="4"/>
      <c r="P474" s="4"/>
      <c r="Q474" s="4"/>
      <c r="R474" s="16"/>
      <c r="S474" s="16"/>
      <c r="T474" s="16"/>
      <c r="U474" s="16"/>
      <c r="V474" s="16"/>
      <c r="W474" s="16"/>
      <c r="X474" s="16"/>
      <c r="Y474" s="16"/>
      <c r="Z474" s="16"/>
      <c r="AA474" s="16"/>
      <c r="AB474" s="16"/>
      <c r="AC474" s="16"/>
      <c r="AD474" s="16"/>
    </row>
    <row r="475" ht="13.5" customHeight="1" spans="1:30" x14ac:dyDescent="0.25">
      <c r="A475" s="4"/>
      <c r="B475" s="4"/>
      <c r="C475" s="4"/>
      <c r="D475" s="4"/>
      <c r="E475" s="4"/>
      <c r="F475" s="4"/>
      <c r="G475" s="4"/>
      <c r="H475" s="4"/>
      <c r="I475" s="4"/>
      <c r="J475" s="4"/>
      <c r="K475" s="4"/>
      <c r="L475" s="4"/>
      <c r="M475" s="4"/>
      <c r="N475" s="4"/>
      <c r="O475" s="4"/>
      <c r="P475" s="4"/>
      <c r="Q475" s="4"/>
      <c r="R475" s="16"/>
      <c r="S475" s="16"/>
      <c r="T475" s="16"/>
      <c r="U475" s="16"/>
      <c r="V475" s="16"/>
      <c r="W475" s="16"/>
      <c r="X475" s="16"/>
      <c r="Y475" s="16"/>
      <c r="Z475" s="16"/>
      <c r="AA475" s="16"/>
      <c r="AB475" s="16"/>
      <c r="AC475" s="16"/>
      <c r="AD475" s="16"/>
    </row>
    <row r="476" ht="13.5" customHeight="1" spans="1:30" x14ac:dyDescent="0.25">
      <c r="A476" s="4"/>
      <c r="B476" s="4"/>
      <c r="C476" s="4"/>
      <c r="D476" s="4"/>
      <c r="E476" s="4"/>
      <c r="F476" s="4"/>
      <c r="G476" s="4"/>
      <c r="H476" s="4"/>
      <c r="I476" s="4"/>
      <c r="J476" s="4"/>
      <c r="K476" s="4"/>
      <c r="L476" s="4"/>
      <c r="M476" s="4"/>
      <c r="N476" s="4"/>
      <c r="O476" s="4"/>
      <c r="P476" s="4"/>
      <c r="Q476" s="4"/>
      <c r="R476" s="16"/>
      <c r="S476" s="16"/>
      <c r="T476" s="16"/>
      <c r="U476" s="16"/>
      <c r="V476" s="16"/>
      <c r="W476" s="16"/>
      <c r="X476" s="16"/>
      <c r="Y476" s="16"/>
      <c r="Z476" s="16"/>
      <c r="AA476" s="16"/>
      <c r="AB476" s="16"/>
      <c r="AC476" s="16"/>
      <c r="AD476" s="16"/>
    </row>
    <row r="477" ht="13.5" customHeight="1" spans="1:30" x14ac:dyDescent="0.25">
      <c r="A477" s="4"/>
      <c r="B477" s="4"/>
      <c r="C477" s="4"/>
      <c r="D477" s="4"/>
      <c r="E477" s="4"/>
      <c r="F477" s="4"/>
      <c r="G477" s="4"/>
      <c r="H477" s="4"/>
      <c r="I477" s="4"/>
      <c r="J477" s="4"/>
      <c r="K477" s="4"/>
      <c r="L477" s="4"/>
      <c r="M477" s="4"/>
      <c r="N477" s="4"/>
      <c r="O477" s="4"/>
      <c r="P477" s="4"/>
      <c r="Q477" s="4"/>
      <c r="R477" s="16"/>
      <c r="S477" s="16"/>
      <c r="T477" s="16"/>
      <c r="U477" s="16"/>
      <c r="V477" s="16"/>
      <c r="W477" s="16"/>
      <c r="X477" s="16"/>
      <c r="Y477" s="16"/>
      <c r="Z477" s="16"/>
      <c r="AA477" s="16"/>
      <c r="AB477" s="16"/>
      <c r="AC477" s="16"/>
      <c r="AD477" s="16"/>
    </row>
    <row r="478" ht="13.5" customHeight="1" spans="1:30" x14ac:dyDescent="0.25">
      <c r="A478" s="4"/>
      <c r="B478" s="4"/>
      <c r="C478" s="4"/>
      <c r="D478" s="4"/>
      <c r="E478" s="4"/>
      <c r="F478" s="4"/>
      <c r="G478" s="4"/>
      <c r="H478" s="4"/>
      <c r="I478" s="4"/>
      <c r="J478" s="4"/>
      <c r="K478" s="4"/>
      <c r="L478" s="4"/>
      <c r="M478" s="4"/>
      <c r="N478" s="4"/>
      <c r="O478" s="4"/>
      <c r="P478" s="4"/>
      <c r="Q478" s="4"/>
      <c r="R478" s="16"/>
      <c r="S478" s="16"/>
      <c r="T478" s="16"/>
      <c r="U478" s="16"/>
      <c r="V478" s="16"/>
      <c r="W478" s="16"/>
      <c r="X478" s="16"/>
      <c r="Y478" s="16"/>
      <c r="Z478" s="16"/>
      <c r="AA478" s="16"/>
      <c r="AB478" s="16"/>
      <c r="AC478" s="16"/>
      <c r="AD478" s="16"/>
    </row>
    <row r="479" ht="13.5" customHeight="1" spans="1:30" x14ac:dyDescent="0.25">
      <c r="A479" s="4"/>
      <c r="B479" s="4"/>
      <c r="C479" s="4"/>
      <c r="D479" s="4"/>
      <c r="E479" s="4"/>
      <c r="F479" s="4"/>
      <c r="G479" s="4"/>
      <c r="H479" s="4"/>
      <c r="I479" s="4"/>
      <c r="J479" s="4"/>
      <c r="K479" s="4"/>
      <c r="L479" s="4"/>
      <c r="M479" s="4"/>
      <c r="N479" s="4"/>
      <c r="O479" s="4"/>
      <c r="P479" s="4"/>
      <c r="Q479" s="4"/>
      <c r="R479" s="16"/>
      <c r="S479" s="16"/>
      <c r="T479" s="16"/>
      <c r="U479" s="16"/>
      <c r="V479" s="16"/>
      <c r="W479" s="16"/>
      <c r="X479" s="16"/>
      <c r="Y479" s="16"/>
      <c r="Z479" s="16"/>
      <c r="AA479" s="16"/>
      <c r="AB479" s="16"/>
      <c r="AC479" s="16"/>
      <c r="AD479" s="16"/>
    </row>
    <row r="480" ht="13.5" customHeight="1" spans="1:30" x14ac:dyDescent="0.25">
      <c r="A480" s="4"/>
      <c r="B480" s="4"/>
      <c r="C480" s="4"/>
      <c r="D480" s="4"/>
      <c r="E480" s="4"/>
      <c r="F480" s="4"/>
      <c r="G480" s="4"/>
      <c r="H480" s="4"/>
      <c r="I480" s="4"/>
      <c r="J480" s="4"/>
      <c r="K480" s="4"/>
      <c r="L480" s="4"/>
      <c r="M480" s="4"/>
      <c r="N480" s="4"/>
      <c r="O480" s="4"/>
      <c r="P480" s="4"/>
      <c r="Q480" s="4"/>
      <c r="R480" s="16"/>
      <c r="S480" s="16"/>
      <c r="T480" s="16"/>
      <c r="U480" s="16"/>
      <c r="V480" s="16"/>
      <c r="W480" s="16"/>
      <c r="X480" s="16"/>
      <c r="Y480" s="16"/>
      <c r="Z480" s="16"/>
      <c r="AA480" s="16"/>
      <c r="AB480" s="16"/>
      <c r="AC480" s="16"/>
      <c r="AD480" s="16"/>
    </row>
    <row r="481" ht="13.5" customHeight="1" spans="1:30" x14ac:dyDescent="0.25">
      <c r="A481" s="4"/>
      <c r="B481" s="4"/>
      <c r="C481" s="4"/>
      <c r="D481" s="4"/>
      <c r="E481" s="4"/>
      <c r="F481" s="4"/>
      <c r="G481" s="4"/>
      <c r="H481" s="4"/>
      <c r="I481" s="4"/>
      <c r="J481" s="4"/>
      <c r="K481" s="4"/>
      <c r="L481" s="4"/>
      <c r="M481" s="4"/>
      <c r="N481" s="4"/>
      <c r="O481" s="4"/>
      <c r="P481" s="4"/>
      <c r="Q481" s="4"/>
      <c r="R481" s="16"/>
      <c r="S481" s="16"/>
      <c r="T481" s="16"/>
      <c r="U481" s="16"/>
      <c r="V481" s="16"/>
      <c r="W481" s="16"/>
      <c r="X481" s="16"/>
      <c r="Y481" s="16"/>
      <c r="Z481" s="16"/>
      <c r="AA481" s="16"/>
      <c r="AB481" s="16"/>
      <c r="AC481" s="16"/>
      <c r="AD481" s="16"/>
    </row>
    <row r="482" ht="13.5" customHeight="1" spans="1:30" x14ac:dyDescent="0.25">
      <c r="A482" s="4"/>
      <c r="B482" s="4"/>
      <c r="C482" s="4"/>
      <c r="D482" s="4"/>
      <c r="E482" s="4"/>
      <c r="F482" s="4"/>
      <c r="G482" s="4"/>
      <c r="H482" s="4"/>
      <c r="I482" s="4"/>
      <c r="J482" s="4"/>
      <c r="K482" s="4"/>
      <c r="L482" s="4"/>
      <c r="M482" s="4"/>
      <c r="N482" s="4"/>
      <c r="O482" s="4"/>
      <c r="P482" s="4"/>
      <c r="Q482" s="4"/>
      <c r="R482" s="16"/>
      <c r="S482" s="16"/>
      <c r="T482" s="16"/>
      <c r="U482" s="16"/>
      <c r="V482" s="16"/>
      <c r="W482" s="16"/>
      <c r="X482" s="16"/>
      <c r="Y482" s="16"/>
      <c r="Z482" s="16"/>
      <c r="AA482" s="16"/>
      <c r="AB482" s="16"/>
      <c r="AC482" s="16"/>
      <c r="AD482" s="16"/>
    </row>
    <row r="483" ht="13.5" customHeight="1" spans="1:30" x14ac:dyDescent="0.25">
      <c r="A483" s="4"/>
      <c r="B483" s="4"/>
      <c r="C483" s="4"/>
      <c r="D483" s="4"/>
      <c r="E483" s="4"/>
      <c r="F483" s="4"/>
      <c r="G483" s="4"/>
      <c r="H483" s="4"/>
      <c r="I483" s="4"/>
      <c r="J483" s="4"/>
      <c r="K483" s="4"/>
      <c r="L483" s="4"/>
      <c r="M483" s="4"/>
      <c r="N483" s="4"/>
      <c r="O483" s="4"/>
      <c r="P483" s="4"/>
      <c r="Q483" s="4"/>
      <c r="R483" s="16"/>
      <c r="S483" s="16"/>
      <c r="T483" s="16"/>
      <c r="U483" s="16"/>
      <c r="V483" s="16"/>
      <c r="W483" s="16"/>
      <c r="X483" s="16"/>
      <c r="Y483" s="16"/>
      <c r="Z483" s="16"/>
      <c r="AA483" s="16"/>
      <c r="AB483" s="16"/>
      <c r="AC483" s="16"/>
      <c r="AD483" s="16"/>
    </row>
    <row r="484" ht="13.5" customHeight="1" spans="1:30" x14ac:dyDescent="0.25">
      <c r="A484" s="4"/>
      <c r="B484" s="4"/>
      <c r="C484" s="4"/>
      <c r="D484" s="4"/>
      <c r="E484" s="4"/>
      <c r="F484" s="4"/>
      <c r="G484" s="4"/>
      <c r="H484" s="4"/>
      <c r="I484" s="4"/>
      <c r="J484" s="4"/>
      <c r="K484" s="4"/>
      <c r="L484" s="4"/>
      <c r="M484" s="4"/>
      <c r="N484" s="4"/>
      <c r="O484" s="4"/>
      <c r="P484" s="4"/>
      <c r="Q484" s="4"/>
      <c r="R484" s="16"/>
      <c r="S484" s="16"/>
      <c r="T484" s="16"/>
      <c r="U484" s="16"/>
      <c r="V484" s="16"/>
      <c r="W484" s="16"/>
      <c r="X484" s="16"/>
      <c r="Y484" s="16"/>
      <c r="Z484" s="16"/>
      <c r="AA484" s="16"/>
      <c r="AB484" s="16"/>
      <c r="AC484" s="16"/>
      <c r="AD484" s="16"/>
    </row>
    <row r="485" ht="13.5" customHeight="1" spans="1:30" x14ac:dyDescent="0.25">
      <c r="A485" s="4"/>
      <c r="B485" s="4"/>
      <c r="C485" s="4"/>
      <c r="D485" s="4"/>
      <c r="E485" s="4"/>
      <c r="F485" s="4"/>
      <c r="G485" s="4"/>
      <c r="H485" s="4"/>
      <c r="I485" s="4"/>
      <c r="J485" s="4"/>
      <c r="K485" s="4"/>
      <c r="L485" s="4"/>
      <c r="M485" s="4"/>
      <c r="N485" s="4"/>
      <c r="O485" s="4"/>
      <c r="P485" s="4"/>
      <c r="Q485" s="4"/>
      <c r="R485" s="16"/>
      <c r="S485" s="16"/>
      <c r="T485" s="16"/>
      <c r="U485" s="16"/>
      <c r="V485" s="16"/>
      <c r="W485" s="16"/>
      <c r="X485" s="16"/>
      <c r="Y485" s="16"/>
      <c r="Z485" s="16"/>
      <c r="AA485" s="16"/>
      <c r="AB485" s="16"/>
      <c r="AC485" s="16"/>
      <c r="AD485" s="16"/>
    </row>
    <row r="486" ht="13.5" customHeight="1" spans="1:30" x14ac:dyDescent="0.25">
      <c r="A486" s="4"/>
      <c r="B486" s="4"/>
      <c r="C486" s="4"/>
      <c r="D486" s="4"/>
      <c r="E486" s="4"/>
      <c r="F486" s="4"/>
      <c r="G486" s="4"/>
      <c r="H486" s="4"/>
      <c r="I486" s="4"/>
      <c r="J486" s="4"/>
      <c r="K486" s="4"/>
      <c r="L486" s="4"/>
      <c r="M486" s="4"/>
      <c r="N486" s="4"/>
      <c r="O486" s="4"/>
      <c r="P486" s="4"/>
      <c r="Q486" s="4"/>
      <c r="R486" s="16"/>
      <c r="S486" s="16"/>
      <c r="T486" s="16"/>
      <c r="U486" s="16"/>
      <c r="V486" s="16"/>
      <c r="W486" s="16"/>
      <c r="X486" s="16"/>
      <c r="Y486" s="16"/>
      <c r="Z486" s="16"/>
      <c r="AA486" s="16"/>
      <c r="AB486" s="16"/>
      <c r="AC486" s="16"/>
      <c r="AD486" s="16"/>
    </row>
    <row r="487" ht="13.5" customHeight="1" spans="1:30" x14ac:dyDescent="0.25">
      <c r="A487" s="4"/>
      <c r="B487" s="4"/>
      <c r="C487" s="4"/>
      <c r="D487" s="4"/>
      <c r="E487" s="4"/>
      <c r="F487" s="4"/>
      <c r="G487" s="4"/>
      <c r="H487" s="4"/>
      <c r="I487" s="4"/>
      <c r="J487" s="4"/>
      <c r="K487" s="4"/>
      <c r="L487" s="4"/>
      <c r="M487" s="4"/>
      <c r="N487" s="4"/>
      <c r="O487" s="4"/>
      <c r="P487" s="4"/>
      <c r="Q487" s="4"/>
      <c r="R487" s="16"/>
      <c r="S487" s="16"/>
      <c r="T487" s="16"/>
      <c r="U487" s="16"/>
      <c r="V487" s="16"/>
      <c r="W487" s="16"/>
      <c r="X487" s="16"/>
      <c r="Y487" s="16"/>
      <c r="Z487" s="16"/>
      <c r="AA487" s="16"/>
      <c r="AB487" s="16"/>
      <c r="AC487" s="16"/>
      <c r="AD487" s="16"/>
    </row>
    <row r="488" ht="13.5" customHeight="1" spans="1:30" x14ac:dyDescent="0.25">
      <c r="A488" s="4"/>
      <c r="B488" s="4"/>
      <c r="C488" s="4"/>
      <c r="D488" s="4"/>
      <c r="E488" s="4"/>
      <c r="F488" s="4"/>
      <c r="G488" s="4"/>
      <c r="H488" s="4"/>
      <c r="I488" s="4"/>
      <c r="J488" s="4"/>
      <c r="K488" s="4"/>
      <c r="L488" s="4"/>
      <c r="M488" s="4"/>
      <c r="N488" s="4"/>
      <c r="O488" s="4"/>
      <c r="P488" s="4"/>
      <c r="Q488" s="4"/>
      <c r="R488" s="16"/>
      <c r="S488" s="16"/>
      <c r="T488" s="16"/>
      <c r="U488" s="16"/>
      <c r="V488" s="16"/>
      <c r="W488" s="16"/>
      <c r="X488" s="16"/>
      <c r="Y488" s="16"/>
      <c r="Z488" s="16"/>
      <c r="AA488" s="16"/>
      <c r="AB488" s="16"/>
      <c r="AC488" s="16"/>
      <c r="AD488" s="16"/>
    </row>
    <row r="489" ht="13.5" customHeight="1" spans="1:30" x14ac:dyDescent="0.25">
      <c r="A489" s="4"/>
      <c r="B489" s="4"/>
      <c r="C489" s="4"/>
      <c r="D489" s="4"/>
      <c r="E489" s="4"/>
      <c r="F489" s="4"/>
      <c r="G489" s="4"/>
      <c r="H489" s="4"/>
      <c r="I489" s="4"/>
      <c r="J489" s="4"/>
      <c r="K489" s="4"/>
      <c r="L489" s="4"/>
      <c r="M489" s="4"/>
      <c r="N489" s="4"/>
      <c r="O489" s="4"/>
      <c r="P489" s="4"/>
      <c r="Q489" s="4"/>
      <c r="R489" s="16"/>
      <c r="S489" s="16"/>
      <c r="T489" s="16"/>
      <c r="U489" s="16"/>
      <c r="V489" s="16"/>
      <c r="W489" s="16"/>
      <c r="X489" s="16"/>
      <c r="Y489" s="16"/>
      <c r="Z489" s="16"/>
      <c r="AA489" s="16"/>
      <c r="AB489" s="16"/>
      <c r="AC489" s="16"/>
      <c r="AD489" s="16"/>
    </row>
    <row r="490" ht="13.5" customHeight="1" spans="1:30" x14ac:dyDescent="0.25">
      <c r="A490" s="4"/>
      <c r="B490" s="4"/>
      <c r="C490" s="4"/>
      <c r="D490" s="4"/>
      <c r="E490" s="4"/>
      <c r="F490" s="4"/>
      <c r="G490" s="4"/>
      <c r="H490" s="4"/>
      <c r="I490" s="4"/>
      <c r="J490" s="4"/>
      <c r="K490" s="4"/>
      <c r="L490" s="4"/>
      <c r="M490" s="4"/>
      <c r="N490" s="4"/>
      <c r="O490" s="4"/>
      <c r="P490" s="4"/>
      <c r="Q490" s="4"/>
      <c r="R490" s="16"/>
      <c r="S490" s="16"/>
      <c r="T490" s="16"/>
      <c r="U490" s="16"/>
      <c r="V490" s="16"/>
      <c r="W490" s="16"/>
      <c r="X490" s="16"/>
      <c r="Y490" s="16"/>
      <c r="Z490" s="16"/>
      <c r="AA490" s="16"/>
      <c r="AB490" s="16"/>
      <c r="AC490" s="16"/>
      <c r="AD490" s="16"/>
    </row>
    <row r="491" ht="13.5" customHeight="1" spans="1:30" x14ac:dyDescent="0.25">
      <c r="A491" s="4"/>
      <c r="B491" s="4"/>
      <c r="C491" s="4"/>
      <c r="D491" s="4"/>
      <c r="E491" s="4"/>
      <c r="F491" s="4"/>
      <c r="G491" s="4"/>
      <c r="H491" s="4"/>
      <c r="I491" s="4"/>
      <c r="J491" s="4"/>
      <c r="K491" s="4"/>
      <c r="L491" s="4"/>
      <c r="M491" s="4"/>
      <c r="N491" s="4"/>
      <c r="O491" s="4"/>
      <c r="P491" s="4"/>
      <c r="Q491" s="4"/>
      <c r="R491" s="16"/>
      <c r="S491" s="16"/>
      <c r="T491" s="16"/>
      <c r="U491" s="16"/>
      <c r="V491" s="16"/>
      <c r="W491" s="16"/>
      <c r="X491" s="16"/>
      <c r="Y491" s="16"/>
      <c r="Z491" s="16"/>
      <c r="AA491" s="16"/>
      <c r="AB491" s="16"/>
      <c r="AC491" s="16"/>
      <c r="AD491" s="16"/>
    </row>
    <row r="492" ht="13.5" customHeight="1" spans="1:30" x14ac:dyDescent="0.25">
      <c r="A492" s="4"/>
      <c r="B492" s="4"/>
      <c r="C492" s="4"/>
      <c r="D492" s="4"/>
      <c r="E492" s="4"/>
      <c r="F492" s="4"/>
      <c r="G492" s="4"/>
      <c r="H492" s="4"/>
      <c r="I492" s="4"/>
      <c r="J492" s="4"/>
      <c r="K492" s="4"/>
      <c r="L492" s="4"/>
      <c r="M492" s="4"/>
      <c r="N492" s="4"/>
      <c r="O492" s="4"/>
      <c r="P492" s="4"/>
      <c r="Q492" s="4"/>
      <c r="R492" s="16"/>
      <c r="S492" s="16"/>
      <c r="T492" s="16"/>
      <c r="U492" s="16"/>
      <c r="V492" s="16"/>
      <c r="W492" s="16"/>
      <c r="X492" s="16"/>
      <c r="Y492" s="16"/>
      <c r="Z492" s="16"/>
      <c r="AA492" s="16"/>
      <c r="AB492" s="16"/>
      <c r="AC492" s="16"/>
      <c r="AD492" s="16"/>
    </row>
    <row r="493" ht="13.5" customHeight="1" spans="1:30" x14ac:dyDescent="0.25">
      <c r="A493" s="4"/>
      <c r="B493" s="4"/>
      <c r="C493" s="4"/>
      <c r="D493" s="4"/>
      <c r="E493" s="4"/>
      <c r="F493" s="4"/>
      <c r="G493" s="4"/>
      <c r="H493" s="4"/>
      <c r="I493" s="4"/>
      <c r="J493" s="4"/>
      <c r="K493" s="4"/>
      <c r="L493" s="4"/>
      <c r="M493" s="4"/>
      <c r="N493" s="4"/>
      <c r="O493" s="4"/>
      <c r="P493" s="4"/>
      <c r="Q493" s="4"/>
      <c r="R493" s="16"/>
      <c r="S493" s="16"/>
      <c r="T493" s="16"/>
      <c r="U493" s="16"/>
      <c r="V493" s="16"/>
      <c r="W493" s="16"/>
      <c r="X493" s="16"/>
      <c r="Y493" s="16"/>
      <c r="Z493" s="16"/>
      <c r="AA493" s="16"/>
      <c r="AB493" s="16"/>
      <c r="AC493" s="16"/>
      <c r="AD493" s="16"/>
    </row>
    <row r="494" ht="13.5" customHeight="1" spans="1:30" x14ac:dyDescent="0.25">
      <c r="A494" s="4"/>
      <c r="B494" s="4"/>
      <c r="C494" s="4"/>
      <c r="D494" s="4"/>
      <c r="E494" s="4"/>
      <c r="F494" s="4"/>
      <c r="G494" s="4"/>
      <c r="H494" s="4"/>
      <c r="I494" s="4"/>
      <c r="J494" s="4"/>
      <c r="K494" s="4"/>
      <c r="L494" s="4"/>
      <c r="M494" s="4"/>
      <c r="N494" s="4"/>
      <c r="O494" s="4"/>
      <c r="P494" s="4"/>
      <c r="Q494" s="4"/>
      <c r="R494" s="16"/>
      <c r="S494" s="16"/>
      <c r="T494" s="16"/>
      <c r="U494" s="16"/>
      <c r="V494" s="16"/>
      <c r="W494" s="16"/>
      <c r="X494" s="16"/>
      <c r="Y494" s="16"/>
      <c r="Z494" s="16"/>
      <c r="AA494" s="16"/>
      <c r="AB494" s="16"/>
      <c r="AC494" s="16"/>
      <c r="AD494" s="16"/>
    </row>
    <row r="495" ht="13.5" customHeight="1" spans="1:30" x14ac:dyDescent="0.25">
      <c r="A495" s="4"/>
      <c r="B495" s="4"/>
      <c r="C495" s="4"/>
      <c r="D495" s="4"/>
      <c r="E495" s="4"/>
      <c r="F495" s="4"/>
      <c r="G495" s="4"/>
      <c r="H495" s="4"/>
      <c r="I495" s="4"/>
      <c r="J495" s="4"/>
      <c r="K495" s="4"/>
      <c r="L495" s="4"/>
      <c r="M495" s="4"/>
      <c r="N495" s="4"/>
      <c r="O495" s="4"/>
      <c r="P495" s="4"/>
      <c r="Q495" s="4"/>
      <c r="R495" s="16"/>
      <c r="S495" s="16"/>
      <c r="T495" s="16"/>
      <c r="U495" s="16"/>
      <c r="V495" s="16"/>
      <c r="W495" s="16"/>
      <c r="X495" s="16"/>
      <c r="Y495" s="16"/>
      <c r="Z495" s="16"/>
      <c r="AA495" s="16"/>
      <c r="AB495" s="16"/>
      <c r="AC495" s="16"/>
      <c r="AD495" s="16"/>
    </row>
    <row r="496" ht="13.5" customHeight="1" spans="1:30" x14ac:dyDescent="0.25">
      <c r="A496" s="4"/>
      <c r="B496" s="4"/>
      <c r="C496" s="4"/>
      <c r="D496" s="4"/>
      <c r="E496" s="4"/>
      <c r="F496" s="4"/>
      <c r="G496" s="4"/>
      <c r="H496" s="4"/>
      <c r="I496" s="4"/>
      <c r="J496" s="4"/>
      <c r="K496" s="4"/>
      <c r="L496" s="4"/>
      <c r="M496" s="4"/>
      <c r="N496" s="4"/>
      <c r="O496" s="4"/>
      <c r="P496" s="4"/>
      <c r="Q496" s="4"/>
      <c r="R496" s="16"/>
      <c r="S496" s="16"/>
      <c r="T496" s="16"/>
      <c r="U496" s="16"/>
      <c r="V496" s="16"/>
      <c r="W496" s="16"/>
      <c r="X496" s="16"/>
      <c r="Y496" s="16"/>
      <c r="Z496" s="16"/>
      <c r="AA496" s="16"/>
      <c r="AB496" s="16"/>
      <c r="AC496" s="16"/>
      <c r="AD496" s="16"/>
    </row>
    <row r="497" ht="13.5" customHeight="1" spans="1:30" x14ac:dyDescent="0.25">
      <c r="A497" s="4"/>
      <c r="B497" s="4"/>
      <c r="C497" s="4"/>
      <c r="D497" s="4"/>
      <c r="E497" s="4"/>
      <c r="F497" s="4"/>
      <c r="G497" s="4"/>
      <c r="H497" s="4"/>
      <c r="I497" s="4"/>
      <c r="J497" s="4"/>
      <c r="K497" s="4"/>
      <c r="L497" s="4"/>
      <c r="M497" s="4"/>
      <c r="N497" s="4"/>
      <c r="O497" s="4"/>
      <c r="P497" s="4"/>
      <c r="Q497" s="4"/>
      <c r="R497" s="16"/>
      <c r="S497" s="16"/>
      <c r="T497" s="16"/>
      <c r="U497" s="16"/>
      <c r="V497" s="16"/>
      <c r="W497" s="16"/>
      <c r="X497" s="16"/>
      <c r="Y497" s="16"/>
      <c r="Z497" s="16"/>
      <c r="AA497" s="16"/>
      <c r="AB497" s="16"/>
      <c r="AC497" s="16"/>
      <c r="AD497" s="16"/>
    </row>
    <row r="498" ht="13.5" customHeight="1" spans="1:30" x14ac:dyDescent="0.25">
      <c r="A498" s="4"/>
      <c r="B498" s="4"/>
      <c r="C498" s="4"/>
      <c r="D498" s="4"/>
      <c r="E498" s="4"/>
      <c r="F498" s="4"/>
      <c r="G498" s="4"/>
      <c r="H498" s="4"/>
      <c r="I498" s="4"/>
      <c r="J498" s="4"/>
      <c r="K498" s="4"/>
      <c r="L498" s="4"/>
      <c r="M498" s="4"/>
      <c r="N498" s="4"/>
      <c r="O498" s="4"/>
      <c r="P498" s="4"/>
      <c r="Q498" s="4"/>
      <c r="R498" s="16"/>
      <c r="S498" s="16"/>
      <c r="T498" s="16"/>
      <c r="U498" s="16"/>
      <c r="V498" s="16"/>
      <c r="W498" s="16"/>
      <c r="X498" s="16"/>
      <c r="Y498" s="16"/>
      <c r="Z498" s="16"/>
      <c r="AA498" s="16"/>
      <c r="AB498" s="16"/>
      <c r="AC498" s="16"/>
      <c r="AD498" s="16"/>
    </row>
    <row r="499" ht="13.5" customHeight="1" spans="1:30" x14ac:dyDescent="0.25">
      <c r="A499" s="4"/>
      <c r="B499" s="4"/>
      <c r="C499" s="4"/>
      <c r="D499" s="4"/>
      <c r="E499" s="4"/>
      <c r="F499" s="4"/>
      <c r="G499" s="4"/>
      <c r="H499" s="4"/>
      <c r="I499" s="4"/>
      <c r="J499" s="4"/>
      <c r="K499" s="4"/>
      <c r="L499" s="4"/>
      <c r="M499" s="4"/>
      <c r="N499" s="4"/>
      <c r="O499" s="4"/>
      <c r="P499" s="4"/>
      <c r="Q499" s="4"/>
      <c r="R499" s="16"/>
      <c r="S499" s="16"/>
      <c r="T499" s="16"/>
      <c r="U499" s="16"/>
      <c r="V499" s="16"/>
      <c r="W499" s="16"/>
      <c r="X499" s="16"/>
      <c r="Y499" s="16"/>
      <c r="Z499" s="16"/>
      <c r="AA499" s="16"/>
      <c r="AB499" s="16"/>
      <c r="AC499" s="16"/>
      <c r="AD499" s="16"/>
    </row>
    <row r="500" ht="13.5" customHeight="1" spans="1:30" x14ac:dyDescent="0.25">
      <c r="A500" s="4"/>
      <c r="B500" s="4"/>
      <c r="C500" s="4"/>
      <c r="D500" s="4"/>
      <c r="E500" s="4"/>
      <c r="F500" s="4"/>
      <c r="G500" s="4"/>
      <c r="H500" s="4"/>
      <c r="I500" s="4"/>
      <c r="J500" s="4"/>
      <c r="K500" s="4"/>
      <c r="L500" s="4"/>
      <c r="M500" s="4"/>
      <c r="N500" s="4"/>
      <c r="O500" s="4"/>
      <c r="P500" s="4"/>
      <c r="Q500" s="4"/>
      <c r="R500" s="16"/>
      <c r="S500" s="16"/>
      <c r="T500" s="16"/>
      <c r="U500" s="16"/>
      <c r="V500" s="16"/>
      <c r="W500" s="16"/>
      <c r="X500" s="16"/>
      <c r="Y500" s="16"/>
      <c r="Z500" s="16"/>
      <c r="AA500" s="16"/>
      <c r="AB500" s="16"/>
      <c r="AC500" s="16"/>
      <c r="AD500" s="16"/>
    </row>
    <row r="501" ht="13.5" customHeight="1" spans="1:30" x14ac:dyDescent="0.25">
      <c r="A501" s="4"/>
      <c r="B501" s="4"/>
      <c r="C501" s="4"/>
      <c r="D501" s="4"/>
      <c r="E501" s="4"/>
      <c r="F501" s="4"/>
      <c r="G501" s="4"/>
      <c r="H501" s="4"/>
      <c r="I501" s="4"/>
      <c r="J501" s="4"/>
      <c r="K501" s="4"/>
      <c r="L501" s="4"/>
      <c r="M501" s="4"/>
      <c r="N501" s="4"/>
      <c r="O501" s="4"/>
      <c r="P501" s="4"/>
      <c r="Q501" s="4"/>
      <c r="R501" s="16"/>
      <c r="S501" s="16"/>
      <c r="T501" s="16"/>
      <c r="U501" s="16"/>
      <c r="V501" s="16"/>
      <c r="W501" s="16"/>
      <c r="X501" s="16"/>
      <c r="Y501" s="16"/>
      <c r="Z501" s="16"/>
      <c r="AA501" s="16"/>
      <c r="AB501" s="16"/>
      <c r="AC501" s="16"/>
      <c r="AD501" s="16"/>
    </row>
    <row r="502" ht="13.5" customHeight="1" spans="1:30" x14ac:dyDescent="0.25">
      <c r="A502" s="4"/>
      <c r="B502" s="4"/>
      <c r="C502" s="4"/>
      <c r="D502" s="4"/>
      <c r="E502" s="4"/>
      <c r="F502" s="4"/>
      <c r="G502" s="4"/>
      <c r="H502" s="4"/>
      <c r="I502" s="4"/>
      <c r="J502" s="4"/>
      <c r="K502" s="4"/>
      <c r="L502" s="4"/>
      <c r="M502" s="4"/>
      <c r="N502" s="4"/>
      <c r="O502" s="4"/>
      <c r="P502" s="4"/>
      <c r="Q502" s="4"/>
      <c r="R502" s="16"/>
      <c r="S502" s="16"/>
      <c r="T502" s="16"/>
      <c r="U502" s="16"/>
      <c r="V502" s="16"/>
      <c r="W502" s="16"/>
      <c r="X502" s="16"/>
      <c r="Y502" s="16"/>
      <c r="Z502" s="16"/>
      <c r="AA502" s="16"/>
      <c r="AB502" s="16"/>
      <c r="AC502" s="16"/>
      <c r="AD502" s="16"/>
    </row>
    <row r="503" ht="13.5" customHeight="1" spans="1:30" x14ac:dyDescent="0.25">
      <c r="A503" s="4"/>
      <c r="B503" s="4"/>
      <c r="C503" s="4"/>
      <c r="D503" s="4"/>
      <c r="E503" s="4"/>
      <c r="F503" s="4"/>
      <c r="G503" s="4"/>
      <c r="H503" s="4"/>
      <c r="I503" s="4"/>
      <c r="J503" s="4"/>
      <c r="K503" s="4"/>
      <c r="L503" s="4"/>
      <c r="M503" s="4"/>
      <c r="N503" s="4"/>
      <c r="O503" s="4"/>
      <c r="P503" s="4"/>
      <c r="Q503" s="4"/>
      <c r="R503" s="16"/>
      <c r="S503" s="16"/>
      <c r="T503" s="16"/>
      <c r="U503" s="16"/>
      <c r="V503" s="16"/>
      <c r="W503" s="16"/>
      <c r="X503" s="16"/>
      <c r="Y503" s="16"/>
      <c r="Z503" s="16"/>
      <c r="AA503" s="16"/>
      <c r="AB503" s="16"/>
      <c r="AC503" s="16"/>
      <c r="AD503" s="16"/>
    </row>
    <row r="504" ht="13.5" customHeight="1" spans="1:30" x14ac:dyDescent="0.25">
      <c r="A504" s="4"/>
      <c r="B504" s="4"/>
      <c r="C504" s="4"/>
      <c r="D504" s="4"/>
      <c r="E504" s="4"/>
      <c r="F504" s="4"/>
      <c r="G504" s="4"/>
      <c r="H504" s="4"/>
      <c r="I504" s="4"/>
      <c r="J504" s="4"/>
      <c r="K504" s="4"/>
      <c r="L504" s="4"/>
      <c r="M504" s="4"/>
      <c r="N504" s="4"/>
      <c r="O504" s="4"/>
      <c r="P504" s="4"/>
      <c r="Q504" s="4"/>
      <c r="R504" s="16"/>
      <c r="S504" s="16"/>
      <c r="T504" s="16"/>
      <c r="U504" s="16"/>
      <c r="V504" s="16"/>
      <c r="W504" s="16"/>
      <c r="X504" s="16"/>
      <c r="Y504" s="16"/>
      <c r="Z504" s="16"/>
      <c r="AA504" s="16"/>
      <c r="AB504" s="16"/>
      <c r="AC504" s="16"/>
      <c r="AD504" s="16"/>
    </row>
    <row r="505" ht="13.5" customHeight="1" spans="1:30" x14ac:dyDescent="0.25">
      <c r="A505" s="4"/>
      <c r="B505" s="4"/>
      <c r="C505" s="4"/>
      <c r="D505" s="4"/>
      <c r="E505" s="4"/>
      <c r="F505" s="4"/>
      <c r="G505" s="4"/>
      <c r="H505" s="4"/>
      <c r="I505" s="4"/>
      <c r="J505" s="4"/>
      <c r="K505" s="4"/>
      <c r="L505" s="4"/>
      <c r="M505" s="4"/>
      <c r="N505" s="4"/>
      <c r="O505" s="4"/>
      <c r="P505" s="4"/>
      <c r="Q505" s="4"/>
      <c r="R505" s="16"/>
      <c r="S505" s="16"/>
      <c r="T505" s="16"/>
      <c r="U505" s="16"/>
      <c r="V505" s="16"/>
      <c r="W505" s="16"/>
      <c r="X505" s="16"/>
      <c r="Y505" s="16"/>
      <c r="Z505" s="16"/>
      <c r="AA505" s="16"/>
      <c r="AB505" s="16"/>
      <c r="AC505" s="16"/>
      <c r="AD505" s="16"/>
    </row>
    <row r="506" ht="13.5" customHeight="1" spans="1:30" x14ac:dyDescent="0.25">
      <c r="A506" s="4"/>
      <c r="B506" s="4"/>
      <c r="C506" s="4"/>
      <c r="D506" s="4"/>
      <c r="E506" s="4"/>
      <c r="F506" s="4"/>
      <c r="G506" s="4"/>
      <c r="H506" s="4"/>
      <c r="I506" s="4"/>
      <c r="J506" s="4"/>
      <c r="K506" s="4"/>
      <c r="L506" s="4"/>
      <c r="M506" s="4"/>
      <c r="N506" s="4"/>
      <c r="O506" s="4"/>
      <c r="P506" s="4"/>
      <c r="Q506" s="4"/>
      <c r="R506" s="16"/>
      <c r="S506" s="16"/>
      <c r="T506" s="16"/>
      <c r="U506" s="16"/>
      <c r="V506" s="16"/>
      <c r="W506" s="16"/>
      <c r="X506" s="16"/>
      <c r="Y506" s="16"/>
      <c r="Z506" s="16"/>
      <c r="AA506" s="16"/>
      <c r="AB506" s="16"/>
      <c r="AC506" s="16"/>
      <c r="AD506" s="16"/>
    </row>
    <row r="507" ht="13.5" customHeight="1" spans="1:30" x14ac:dyDescent="0.25">
      <c r="A507" s="4"/>
      <c r="B507" s="4"/>
      <c r="C507" s="4"/>
      <c r="D507" s="4"/>
      <c r="E507" s="4"/>
      <c r="F507" s="4"/>
      <c r="G507" s="4"/>
      <c r="H507" s="4"/>
      <c r="I507" s="4"/>
      <c r="J507" s="4"/>
      <c r="K507" s="4"/>
      <c r="L507" s="4"/>
      <c r="M507" s="4"/>
      <c r="N507" s="4"/>
      <c r="O507" s="4"/>
      <c r="P507" s="4"/>
      <c r="Q507" s="4"/>
      <c r="R507" s="16"/>
      <c r="S507" s="16"/>
      <c r="T507" s="16"/>
      <c r="U507" s="16"/>
      <c r="V507" s="16"/>
      <c r="W507" s="16"/>
      <c r="X507" s="16"/>
      <c r="Y507" s="16"/>
      <c r="Z507" s="16"/>
      <c r="AA507" s="16"/>
      <c r="AB507" s="16"/>
      <c r="AC507" s="16"/>
      <c r="AD507" s="16"/>
    </row>
    <row r="508" ht="13.5" customHeight="1" spans="1:30" x14ac:dyDescent="0.25">
      <c r="A508" s="4"/>
      <c r="B508" s="4"/>
      <c r="C508" s="4"/>
      <c r="D508" s="4"/>
      <c r="E508" s="4"/>
      <c r="F508" s="4"/>
      <c r="G508" s="4"/>
      <c r="H508" s="4"/>
      <c r="I508" s="4"/>
      <c r="J508" s="4"/>
      <c r="K508" s="4"/>
      <c r="L508" s="4"/>
      <c r="M508" s="4"/>
      <c r="N508" s="4"/>
      <c r="O508" s="4"/>
      <c r="P508" s="4"/>
      <c r="Q508" s="4"/>
      <c r="R508" s="16"/>
      <c r="S508" s="16"/>
      <c r="T508" s="16"/>
      <c r="U508" s="16"/>
      <c r="V508" s="16"/>
      <c r="W508" s="16"/>
      <c r="X508" s="16"/>
      <c r="Y508" s="16"/>
      <c r="Z508" s="16"/>
      <c r="AA508" s="16"/>
      <c r="AB508" s="16"/>
      <c r="AC508" s="16"/>
      <c r="AD508" s="16"/>
    </row>
    <row r="509" ht="13.5" customHeight="1" spans="1:30" x14ac:dyDescent="0.25">
      <c r="A509" s="4"/>
      <c r="B509" s="4"/>
      <c r="C509" s="4"/>
      <c r="D509" s="4"/>
      <c r="E509" s="4"/>
      <c r="F509" s="4"/>
      <c r="G509" s="4"/>
      <c r="H509" s="4"/>
      <c r="I509" s="4"/>
      <c r="J509" s="4"/>
      <c r="K509" s="4"/>
      <c r="L509" s="4"/>
      <c r="M509" s="4"/>
      <c r="N509" s="4"/>
      <c r="O509" s="4"/>
      <c r="P509" s="4"/>
      <c r="Q509" s="4"/>
      <c r="R509" s="16"/>
      <c r="S509" s="16"/>
      <c r="T509" s="16"/>
      <c r="U509" s="16"/>
      <c r="V509" s="16"/>
      <c r="W509" s="16"/>
      <c r="X509" s="16"/>
      <c r="Y509" s="16"/>
      <c r="Z509" s="16"/>
      <c r="AA509" s="16"/>
      <c r="AB509" s="16"/>
      <c r="AC509" s="16"/>
      <c r="AD509" s="16"/>
    </row>
    <row r="510" ht="13.5" customHeight="1" spans="1:30" x14ac:dyDescent="0.25">
      <c r="A510" s="4"/>
      <c r="B510" s="4"/>
      <c r="C510" s="4"/>
      <c r="D510" s="4"/>
      <c r="E510" s="4"/>
      <c r="F510" s="4"/>
      <c r="G510" s="4"/>
      <c r="H510" s="4"/>
      <c r="I510" s="4"/>
      <c r="J510" s="4"/>
      <c r="K510" s="4"/>
      <c r="L510" s="4"/>
      <c r="M510" s="4"/>
      <c r="N510" s="4"/>
      <c r="O510" s="4"/>
      <c r="P510" s="4"/>
      <c r="Q510" s="4"/>
      <c r="R510" s="16"/>
      <c r="S510" s="16"/>
      <c r="T510" s="16"/>
      <c r="U510" s="16"/>
      <c r="V510" s="16"/>
      <c r="W510" s="16"/>
      <c r="X510" s="16"/>
      <c r="Y510" s="16"/>
      <c r="Z510" s="16"/>
      <c r="AA510" s="16"/>
      <c r="AB510" s="16"/>
      <c r="AC510" s="16"/>
      <c r="AD510" s="16"/>
    </row>
    <row r="511" ht="13.5" customHeight="1" spans="1:30" x14ac:dyDescent="0.25">
      <c r="A511" s="4"/>
      <c r="B511" s="4"/>
      <c r="C511" s="4"/>
      <c r="D511" s="4"/>
      <c r="E511" s="4"/>
      <c r="F511" s="4"/>
      <c r="G511" s="4"/>
      <c r="H511" s="4"/>
      <c r="I511" s="4"/>
      <c r="J511" s="4"/>
      <c r="K511" s="4"/>
      <c r="L511" s="4"/>
      <c r="M511" s="4"/>
      <c r="N511" s="4"/>
      <c r="O511" s="4"/>
      <c r="P511" s="4"/>
      <c r="Q511" s="4"/>
      <c r="R511" s="16"/>
      <c r="S511" s="16"/>
      <c r="T511" s="16"/>
      <c r="U511" s="16"/>
      <c r="V511" s="16"/>
      <c r="W511" s="16"/>
      <c r="X511" s="16"/>
      <c r="Y511" s="16"/>
      <c r="Z511" s="16"/>
      <c r="AA511" s="16"/>
      <c r="AB511" s="16"/>
      <c r="AC511" s="16"/>
      <c r="AD511" s="16"/>
    </row>
    <row r="512" ht="13.5" customHeight="1" spans="1:30" x14ac:dyDescent="0.25">
      <c r="A512" s="4"/>
      <c r="B512" s="4"/>
      <c r="C512" s="4"/>
      <c r="D512" s="4"/>
      <c r="E512" s="4"/>
      <c r="F512" s="4"/>
      <c r="G512" s="4"/>
      <c r="H512" s="4"/>
      <c r="I512" s="4"/>
      <c r="J512" s="4"/>
      <c r="K512" s="4"/>
      <c r="L512" s="4"/>
      <c r="M512" s="4"/>
      <c r="N512" s="4"/>
      <c r="O512" s="4"/>
      <c r="P512" s="4"/>
      <c r="Q512" s="4"/>
      <c r="R512" s="16"/>
      <c r="S512" s="16"/>
      <c r="T512" s="16"/>
      <c r="U512" s="16"/>
      <c r="V512" s="16"/>
      <c r="W512" s="16"/>
      <c r="X512" s="16"/>
      <c r="Y512" s="16"/>
      <c r="Z512" s="16"/>
      <c r="AA512" s="16"/>
      <c r="AB512" s="16"/>
      <c r="AC512" s="16"/>
      <c r="AD512" s="16"/>
    </row>
    <row r="513" ht="13.5" customHeight="1" spans="1:30" x14ac:dyDescent="0.25">
      <c r="A513" s="4"/>
      <c r="B513" s="4"/>
      <c r="C513" s="4"/>
      <c r="D513" s="4"/>
      <c r="E513" s="4"/>
      <c r="F513" s="4"/>
      <c r="G513" s="4"/>
      <c r="H513" s="4"/>
      <c r="I513" s="4"/>
      <c r="J513" s="4"/>
      <c r="K513" s="4"/>
      <c r="L513" s="4"/>
      <c r="M513" s="4"/>
      <c r="N513" s="4"/>
      <c r="O513" s="4"/>
      <c r="P513" s="4"/>
      <c r="Q513" s="4"/>
      <c r="R513" s="16"/>
      <c r="S513" s="16"/>
      <c r="T513" s="16"/>
      <c r="U513" s="16"/>
      <c r="V513" s="16"/>
      <c r="W513" s="16"/>
      <c r="X513" s="16"/>
      <c r="Y513" s="16"/>
      <c r="Z513" s="16"/>
      <c r="AA513" s="16"/>
      <c r="AB513" s="16"/>
      <c r="AC513" s="16"/>
      <c r="AD513" s="16"/>
    </row>
    <row r="514" ht="13.5" customHeight="1" spans="1:30" x14ac:dyDescent="0.25">
      <c r="A514" s="4"/>
      <c r="B514" s="4"/>
      <c r="C514" s="4"/>
      <c r="D514" s="4"/>
      <c r="E514" s="4"/>
      <c r="F514" s="4"/>
      <c r="G514" s="4"/>
      <c r="H514" s="4"/>
      <c r="I514" s="4"/>
      <c r="J514" s="4"/>
      <c r="K514" s="4"/>
      <c r="L514" s="4"/>
      <c r="M514" s="4"/>
      <c r="N514" s="4"/>
      <c r="O514" s="4"/>
      <c r="P514" s="4"/>
      <c r="Q514" s="4"/>
      <c r="R514" s="16"/>
      <c r="S514" s="16"/>
      <c r="T514" s="16"/>
      <c r="U514" s="16"/>
      <c r="V514" s="16"/>
      <c r="W514" s="16"/>
      <c r="X514" s="16"/>
      <c r="Y514" s="16"/>
      <c r="Z514" s="16"/>
      <c r="AA514" s="16"/>
      <c r="AB514" s="16"/>
      <c r="AC514" s="16"/>
      <c r="AD514" s="16"/>
    </row>
    <row r="515" ht="13.5" customHeight="1" spans="1:30" x14ac:dyDescent="0.25">
      <c r="A515" s="4"/>
      <c r="B515" s="4"/>
      <c r="C515" s="4"/>
      <c r="D515" s="4"/>
      <c r="E515" s="4"/>
      <c r="F515" s="4"/>
      <c r="G515" s="4"/>
      <c r="H515" s="4"/>
      <c r="I515" s="4"/>
      <c r="J515" s="4"/>
      <c r="K515" s="4"/>
      <c r="L515" s="4"/>
      <c r="M515" s="4"/>
      <c r="N515" s="4"/>
      <c r="O515" s="4"/>
      <c r="P515" s="4"/>
      <c r="Q515" s="4"/>
      <c r="R515" s="16"/>
      <c r="S515" s="16"/>
      <c r="T515" s="16"/>
      <c r="U515" s="16"/>
      <c r="V515" s="16"/>
      <c r="W515" s="16"/>
      <c r="X515" s="16"/>
      <c r="Y515" s="16"/>
      <c r="Z515" s="16"/>
      <c r="AA515" s="16"/>
      <c r="AB515" s="16"/>
      <c r="AC515" s="16"/>
      <c r="AD515" s="16"/>
    </row>
    <row r="516" ht="13.5" customHeight="1" spans="1:30" x14ac:dyDescent="0.25">
      <c r="A516" s="4"/>
      <c r="B516" s="4"/>
      <c r="C516" s="4"/>
      <c r="D516" s="4"/>
      <c r="E516" s="4"/>
      <c r="F516" s="4"/>
      <c r="G516" s="4"/>
      <c r="H516" s="4"/>
      <c r="I516" s="4"/>
      <c r="J516" s="4"/>
      <c r="K516" s="4"/>
      <c r="L516" s="4"/>
      <c r="M516" s="4"/>
      <c r="N516" s="4"/>
      <c r="O516" s="4"/>
      <c r="P516" s="4"/>
      <c r="Q516" s="4"/>
      <c r="R516" s="16"/>
      <c r="S516" s="16"/>
      <c r="T516" s="16"/>
      <c r="U516" s="16"/>
      <c r="V516" s="16"/>
      <c r="W516" s="16"/>
      <c r="X516" s="16"/>
      <c r="Y516" s="16"/>
      <c r="Z516" s="16"/>
      <c r="AA516" s="16"/>
      <c r="AB516" s="16"/>
      <c r="AC516" s="16"/>
      <c r="AD516" s="16"/>
    </row>
    <row r="517" ht="13.5" customHeight="1" spans="1:30" x14ac:dyDescent="0.25">
      <c r="A517" s="4"/>
      <c r="B517" s="4"/>
      <c r="C517" s="4"/>
      <c r="D517" s="4"/>
      <c r="E517" s="4"/>
      <c r="F517" s="4"/>
      <c r="G517" s="4"/>
      <c r="H517" s="4"/>
      <c r="I517" s="4"/>
      <c r="J517" s="4"/>
      <c r="K517" s="4"/>
      <c r="L517" s="4"/>
      <c r="M517" s="4"/>
      <c r="N517" s="4"/>
      <c r="O517" s="4"/>
      <c r="P517" s="4"/>
      <c r="Q517" s="4"/>
      <c r="R517" s="16"/>
      <c r="S517" s="16"/>
      <c r="T517" s="16"/>
      <c r="U517" s="16"/>
      <c r="V517" s="16"/>
      <c r="W517" s="16"/>
      <c r="X517" s="16"/>
      <c r="Y517" s="16"/>
      <c r="Z517" s="16"/>
      <c r="AA517" s="16"/>
      <c r="AB517" s="16"/>
      <c r="AC517" s="16"/>
      <c r="AD517" s="16"/>
    </row>
    <row r="518" ht="13.5" customHeight="1" spans="1:30" x14ac:dyDescent="0.25">
      <c r="A518" s="4"/>
      <c r="B518" s="4"/>
      <c r="C518" s="4"/>
      <c r="D518" s="4"/>
      <c r="E518" s="4"/>
      <c r="F518" s="4"/>
      <c r="G518" s="4"/>
      <c r="H518" s="4"/>
      <c r="I518" s="4"/>
      <c r="J518" s="4"/>
      <c r="K518" s="4"/>
      <c r="L518" s="4"/>
      <c r="M518" s="4"/>
      <c r="N518" s="4"/>
      <c r="O518" s="4"/>
      <c r="P518" s="4"/>
      <c r="Q518" s="4"/>
      <c r="R518" s="16"/>
      <c r="S518" s="16"/>
      <c r="T518" s="16"/>
      <c r="U518" s="16"/>
      <c r="V518" s="16"/>
      <c r="W518" s="16"/>
      <c r="X518" s="16"/>
      <c r="Y518" s="16"/>
      <c r="Z518" s="16"/>
      <c r="AA518" s="16"/>
      <c r="AB518" s="16"/>
      <c r="AC518" s="16"/>
      <c r="AD518" s="16"/>
    </row>
    <row r="519" ht="13.5" customHeight="1" spans="1:30" x14ac:dyDescent="0.25">
      <c r="A519" s="4"/>
      <c r="B519" s="4"/>
      <c r="C519" s="4"/>
      <c r="D519" s="4"/>
      <c r="E519" s="4"/>
      <c r="F519" s="4"/>
      <c r="G519" s="4"/>
      <c r="H519" s="4"/>
      <c r="I519" s="4"/>
      <c r="J519" s="4"/>
      <c r="K519" s="4"/>
      <c r="L519" s="4"/>
      <c r="M519" s="4"/>
      <c r="N519" s="4"/>
      <c r="O519" s="4"/>
      <c r="P519" s="4"/>
      <c r="Q519" s="4"/>
      <c r="R519" s="16"/>
      <c r="S519" s="16"/>
      <c r="T519" s="16"/>
      <c r="U519" s="16"/>
      <c r="V519" s="16"/>
      <c r="W519" s="16"/>
      <c r="X519" s="16"/>
      <c r="Y519" s="16"/>
      <c r="Z519" s="16"/>
      <c r="AA519" s="16"/>
      <c r="AB519" s="16"/>
      <c r="AC519" s="16"/>
      <c r="AD519" s="16"/>
    </row>
    <row r="520" ht="13.5" customHeight="1" spans="1:30" x14ac:dyDescent="0.25">
      <c r="A520" s="4"/>
      <c r="B520" s="4"/>
      <c r="C520" s="4"/>
      <c r="D520" s="4"/>
      <c r="E520" s="4"/>
      <c r="F520" s="4"/>
      <c r="G520" s="4"/>
      <c r="H520" s="4"/>
      <c r="I520" s="4"/>
      <c r="J520" s="4"/>
      <c r="K520" s="4"/>
      <c r="L520" s="4"/>
      <c r="M520" s="4"/>
      <c r="N520" s="4"/>
      <c r="O520" s="4"/>
      <c r="P520" s="4"/>
      <c r="Q520" s="4"/>
      <c r="R520" s="16"/>
      <c r="S520" s="16"/>
      <c r="T520" s="16"/>
      <c r="U520" s="16"/>
      <c r="V520" s="16"/>
      <c r="W520" s="16"/>
      <c r="X520" s="16"/>
      <c r="Y520" s="16"/>
      <c r="Z520" s="16"/>
      <c r="AA520" s="16"/>
      <c r="AB520" s="16"/>
      <c r="AC520" s="16"/>
      <c r="AD520" s="16"/>
    </row>
    <row r="521" ht="13.5" customHeight="1" spans="1:30" x14ac:dyDescent="0.25">
      <c r="A521" s="4"/>
      <c r="B521" s="4"/>
      <c r="C521" s="4"/>
      <c r="D521" s="4"/>
      <c r="E521" s="4"/>
      <c r="F521" s="4"/>
      <c r="G521" s="4"/>
      <c r="H521" s="4"/>
      <c r="I521" s="4"/>
      <c r="J521" s="4"/>
      <c r="K521" s="4"/>
      <c r="L521" s="4"/>
      <c r="M521" s="4"/>
      <c r="N521" s="4"/>
      <c r="O521" s="4"/>
      <c r="P521" s="4"/>
      <c r="Q521" s="4"/>
      <c r="R521" s="16"/>
      <c r="S521" s="16"/>
      <c r="T521" s="16"/>
      <c r="U521" s="16"/>
      <c r="V521" s="16"/>
      <c r="W521" s="16"/>
      <c r="X521" s="16"/>
      <c r="Y521" s="16"/>
      <c r="Z521" s="16"/>
      <c r="AA521" s="16"/>
      <c r="AB521" s="16"/>
      <c r="AC521" s="16"/>
      <c r="AD521" s="16"/>
    </row>
    <row r="522" ht="13.5" customHeight="1" spans="1:30" x14ac:dyDescent="0.25">
      <c r="A522" s="4"/>
      <c r="B522" s="4"/>
      <c r="C522" s="4"/>
      <c r="D522" s="4"/>
      <c r="E522" s="4"/>
      <c r="F522" s="4"/>
      <c r="G522" s="4"/>
      <c r="H522" s="4"/>
      <c r="I522" s="4"/>
      <c r="J522" s="4"/>
      <c r="K522" s="4"/>
      <c r="L522" s="4"/>
      <c r="M522" s="4"/>
      <c r="N522" s="4"/>
      <c r="O522" s="4"/>
      <c r="P522" s="4"/>
      <c r="Q522" s="4"/>
      <c r="R522" s="16"/>
      <c r="S522" s="16"/>
      <c r="T522" s="16"/>
      <c r="U522" s="16"/>
      <c r="V522" s="16"/>
      <c r="W522" s="16"/>
      <c r="X522" s="16"/>
      <c r="Y522" s="16"/>
      <c r="Z522" s="16"/>
      <c r="AA522" s="16"/>
      <c r="AB522" s="16"/>
      <c r="AC522" s="16"/>
      <c r="AD522" s="16"/>
    </row>
    <row r="523" ht="13.5" customHeight="1" spans="1:30" x14ac:dyDescent="0.25">
      <c r="A523" s="4"/>
      <c r="B523" s="4"/>
      <c r="C523" s="4"/>
      <c r="D523" s="4"/>
      <c r="E523" s="4"/>
      <c r="F523" s="4"/>
      <c r="G523" s="4"/>
      <c r="H523" s="4"/>
      <c r="I523" s="4"/>
      <c r="J523" s="4"/>
      <c r="K523" s="4"/>
      <c r="L523" s="4"/>
      <c r="M523" s="4"/>
      <c r="N523" s="4"/>
      <c r="O523" s="4"/>
      <c r="P523" s="4"/>
      <c r="Q523" s="4"/>
      <c r="R523" s="16"/>
      <c r="S523" s="16"/>
      <c r="T523" s="16"/>
      <c r="U523" s="16"/>
      <c r="V523" s="16"/>
      <c r="W523" s="16"/>
      <c r="X523" s="16"/>
      <c r="Y523" s="16"/>
      <c r="Z523" s="16"/>
      <c r="AA523" s="16"/>
      <c r="AB523" s="16"/>
      <c r="AC523" s="16"/>
      <c r="AD523" s="16"/>
    </row>
    <row r="524" ht="13.5" customHeight="1" spans="1:30" x14ac:dyDescent="0.25">
      <c r="A524" s="4"/>
      <c r="B524" s="4"/>
      <c r="C524" s="4"/>
      <c r="D524" s="4"/>
      <c r="E524" s="4"/>
      <c r="F524" s="4"/>
      <c r="G524" s="4"/>
      <c r="H524" s="4"/>
      <c r="I524" s="4"/>
      <c r="J524" s="4"/>
      <c r="K524" s="4"/>
      <c r="L524" s="4"/>
      <c r="M524" s="4"/>
      <c r="N524" s="4"/>
      <c r="O524" s="4"/>
      <c r="P524" s="4"/>
      <c r="Q524" s="4"/>
      <c r="R524" s="16"/>
      <c r="S524" s="16"/>
      <c r="T524" s="16"/>
      <c r="U524" s="16"/>
      <c r="V524" s="16"/>
      <c r="W524" s="16"/>
      <c r="X524" s="16"/>
      <c r="Y524" s="16"/>
      <c r="Z524" s="16"/>
      <c r="AA524" s="16"/>
      <c r="AB524" s="16"/>
      <c r="AC524" s="16"/>
      <c r="AD524" s="16"/>
    </row>
    <row r="525" ht="13.5" customHeight="1" spans="1:30" x14ac:dyDescent="0.25">
      <c r="A525" s="4"/>
      <c r="B525" s="4"/>
      <c r="C525" s="4"/>
      <c r="D525" s="4"/>
      <c r="E525" s="4"/>
      <c r="F525" s="4"/>
      <c r="G525" s="4"/>
      <c r="H525" s="4"/>
      <c r="I525" s="4"/>
      <c r="J525" s="4"/>
      <c r="K525" s="4"/>
      <c r="L525" s="4"/>
      <c r="M525" s="4"/>
      <c r="N525" s="4"/>
      <c r="O525" s="4"/>
      <c r="P525" s="4"/>
      <c r="Q525" s="4"/>
      <c r="R525" s="16"/>
      <c r="S525" s="16"/>
      <c r="T525" s="16"/>
      <c r="U525" s="16"/>
      <c r="V525" s="16"/>
      <c r="W525" s="16"/>
      <c r="X525" s="16"/>
      <c r="Y525" s="16"/>
      <c r="Z525" s="16"/>
      <c r="AA525" s="16"/>
      <c r="AB525" s="16"/>
      <c r="AC525" s="16"/>
      <c r="AD525" s="16"/>
    </row>
    <row r="526" ht="13.5" customHeight="1" spans="1:30" x14ac:dyDescent="0.25">
      <c r="A526" s="4"/>
      <c r="B526" s="4"/>
      <c r="C526" s="4"/>
      <c r="D526" s="4"/>
      <c r="E526" s="4"/>
      <c r="F526" s="4"/>
      <c r="G526" s="4"/>
      <c r="H526" s="4"/>
      <c r="I526" s="4"/>
      <c r="J526" s="4"/>
      <c r="K526" s="4"/>
      <c r="L526" s="4"/>
      <c r="M526" s="4"/>
      <c r="N526" s="4"/>
      <c r="O526" s="4"/>
      <c r="P526" s="4"/>
      <c r="Q526" s="4"/>
      <c r="R526" s="16"/>
      <c r="S526" s="16"/>
      <c r="T526" s="16"/>
      <c r="U526" s="16"/>
      <c r="V526" s="16"/>
      <c r="W526" s="16"/>
      <c r="X526" s="16"/>
      <c r="Y526" s="16"/>
      <c r="Z526" s="16"/>
      <c r="AA526" s="16"/>
      <c r="AB526" s="16"/>
      <c r="AC526" s="16"/>
      <c r="AD526" s="16"/>
    </row>
    <row r="527" ht="13.5" customHeight="1" spans="1:30" x14ac:dyDescent="0.25">
      <c r="A527" s="4"/>
      <c r="B527" s="4"/>
      <c r="C527" s="4"/>
      <c r="D527" s="4"/>
      <c r="E527" s="4"/>
      <c r="F527" s="4"/>
      <c r="G527" s="4"/>
      <c r="H527" s="4"/>
      <c r="I527" s="4"/>
      <c r="J527" s="4"/>
      <c r="K527" s="4"/>
      <c r="L527" s="4"/>
      <c r="M527" s="4"/>
      <c r="N527" s="4"/>
      <c r="O527" s="4"/>
      <c r="P527" s="4"/>
      <c r="Q527" s="4"/>
      <c r="R527" s="16"/>
      <c r="S527" s="16"/>
      <c r="T527" s="16"/>
      <c r="U527" s="16"/>
      <c r="V527" s="16"/>
      <c r="W527" s="16"/>
      <c r="X527" s="16"/>
      <c r="Y527" s="16"/>
      <c r="Z527" s="16"/>
      <c r="AA527" s="16"/>
      <c r="AB527" s="16"/>
      <c r="AC527" s="16"/>
      <c r="AD527" s="16"/>
    </row>
    <row r="528" ht="13.5" customHeight="1" spans="1:30" x14ac:dyDescent="0.25">
      <c r="A528" s="4"/>
      <c r="B528" s="4"/>
      <c r="C528" s="4"/>
      <c r="D528" s="4"/>
      <c r="E528" s="4"/>
      <c r="F528" s="4"/>
      <c r="G528" s="4"/>
      <c r="H528" s="4"/>
      <c r="I528" s="4"/>
      <c r="J528" s="4"/>
      <c r="K528" s="4"/>
      <c r="L528" s="4"/>
      <c r="M528" s="4"/>
      <c r="N528" s="4"/>
      <c r="O528" s="4"/>
      <c r="P528" s="4"/>
      <c r="Q528" s="4"/>
      <c r="R528" s="16"/>
      <c r="S528" s="16"/>
      <c r="T528" s="16"/>
      <c r="U528" s="16"/>
      <c r="V528" s="16"/>
      <c r="W528" s="16"/>
      <c r="X528" s="16"/>
      <c r="Y528" s="16"/>
      <c r="Z528" s="16"/>
      <c r="AA528" s="16"/>
      <c r="AB528" s="16"/>
      <c r="AC528" s="16"/>
      <c r="AD528" s="16"/>
    </row>
    <row r="529" ht="13.5" customHeight="1" spans="1:30" x14ac:dyDescent="0.25">
      <c r="A529" s="4"/>
      <c r="B529" s="4"/>
      <c r="C529" s="4"/>
      <c r="D529" s="4"/>
      <c r="E529" s="4"/>
      <c r="F529" s="4"/>
      <c r="G529" s="4"/>
      <c r="H529" s="4"/>
      <c r="I529" s="4"/>
      <c r="J529" s="4"/>
      <c r="K529" s="4"/>
      <c r="L529" s="4"/>
      <c r="M529" s="4"/>
      <c r="N529" s="4"/>
      <c r="O529" s="4"/>
      <c r="P529" s="4"/>
      <c r="Q529" s="4"/>
      <c r="R529" s="16"/>
      <c r="S529" s="16"/>
      <c r="T529" s="16"/>
      <c r="U529" s="16"/>
      <c r="V529" s="16"/>
      <c r="W529" s="16"/>
      <c r="X529" s="16"/>
      <c r="Y529" s="16"/>
      <c r="Z529" s="16"/>
      <c r="AA529" s="16"/>
      <c r="AB529" s="16"/>
      <c r="AC529" s="16"/>
      <c r="AD529" s="16"/>
    </row>
    <row r="530" ht="13.5" customHeight="1" spans="1:30" x14ac:dyDescent="0.25">
      <c r="A530" s="4"/>
      <c r="B530" s="4"/>
      <c r="C530" s="4"/>
      <c r="D530" s="4"/>
      <c r="E530" s="4"/>
      <c r="F530" s="4"/>
      <c r="G530" s="4"/>
      <c r="H530" s="4"/>
      <c r="I530" s="4"/>
      <c r="J530" s="4"/>
      <c r="K530" s="4"/>
      <c r="L530" s="4"/>
      <c r="M530" s="4"/>
      <c r="N530" s="4"/>
      <c r="O530" s="4"/>
      <c r="P530" s="4"/>
      <c r="Q530" s="4"/>
      <c r="R530" s="16"/>
      <c r="S530" s="16"/>
      <c r="T530" s="16"/>
      <c r="U530" s="16"/>
      <c r="V530" s="16"/>
      <c r="W530" s="16"/>
      <c r="X530" s="16"/>
      <c r="Y530" s="16"/>
      <c r="Z530" s="16"/>
      <c r="AA530" s="16"/>
      <c r="AB530" s="16"/>
      <c r="AC530" s="16"/>
      <c r="AD530" s="16"/>
    </row>
    <row r="531" ht="13.5" customHeight="1" spans="1:30" x14ac:dyDescent="0.25">
      <c r="A531" s="4"/>
      <c r="B531" s="4"/>
      <c r="C531" s="4"/>
      <c r="D531" s="4"/>
      <c r="E531" s="4"/>
      <c r="F531" s="4"/>
      <c r="G531" s="4"/>
      <c r="H531" s="4"/>
      <c r="I531" s="4"/>
      <c r="J531" s="4"/>
      <c r="K531" s="4"/>
      <c r="L531" s="4"/>
      <c r="M531" s="4"/>
      <c r="N531" s="4"/>
      <c r="O531" s="4"/>
      <c r="P531" s="4"/>
      <c r="Q531" s="4"/>
      <c r="R531" s="16"/>
      <c r="S531" s="16"/>
      <c r="T531" s="16"/>
      <c r="U531" s="16"/>
      <c r="V531" s="16"/>
      <c r="W531" s="16"/>
      <c r="X531" s="16"/>
      <c r="Y531" s="16"/>
      <c r="Z531" s="16"/>
      <c r="AA531" s="16"/>
      <c r="AB531" s="16"/>
      <c r="AC531" s="16"/>
      <c r="AD531" s="16"/>
    </row>
    <row r="532" ht="13.5" customHeight="1" spans="1:30" x14ac:dyDescent="0.25">
      <c r="A532" s="4"/>
      <c r="B532" s="4"/>
      <c r="C532" s="4"/>
      <c r="D532" s="4"/>
      <c r="E532" s="4"/>
      <c r="F532" s="4"/>
      <c r="G532" s="4"/>
      <c r="H532" s="4"/>
      <c r="I532" s="4"/>
      <c r="J532" s="4"/>
      <c r="K532" s="4"/>
      <c r="L532" s="4"/>
      <c r="M532" s="4"/>
      <c r="N532" s="4"/>
      <c r="O532" s="4"/>
      <c r="P532" s="4"/>
      <c r="Q532" s="4"/>
      <c r="R532" s="16"/>
      <c r="S532" s="16"/>
      <c r="T532" s="16"/>
      <c r="U532" s="16"/>
      <c r="V532" s="16"/>
      <c r="W532" s="16"/>
      <c r="X532" s="16"/>
      <c r="Y532" s="16"/>
      <c r="Z532" s="16"/>
      <c r="AA532" s="16"/>
      <c r="AB532" s="16"/>
      <c r="AC532" s="16"/>
      <c r="AD532" s="16"/>
    </row>
    <row r="533" ht="13.5" customHeight="1" spans="1:30" x14ac:dyDescent="0.25">
      <c r="A533" s="4"/>
      <c r="B533" s="4"/>
      <c r="C533" s="4"/>
      <c r="D533" s="4"/>
      <c r="E533" s="4"/>
      <c r="F533" s="4"/>
      <c r="G533" s="4"/>
      <c r="H533" s="4"/>
      <c r="I533" s="4"/>
      <c r="J533" s="4"/>
      <c r="K533" s="4"/>
      <c r="L533" s="4"/>
      <c r="M533" s="4"/>
      <c r="N533" s="4"/>
      <c r="O533" s="4"/>
      <c r="P533" s="4"/>
      <c r="Q533" s="4"/>
      <c r="R533" s="16"/>
      <c r="S533" s="16"/>
      <c r="T533" s="16"/>
      <c r="U533" s="16"/>
      <c r="V533" s="16"/>
      <c r="W533" s="16"/>
      <c r="X533" s="16"/>
      <c r="Y533" s="16"/>
      <c r="Z533" s="16"/>
      <c r="AA533" s="16"/>
      <c r="AB533" s="16"/>
      <c r="AC533" s="16"/>
      <c r="AD533" s="16"/>
    </row>
    <row r="534" ht="13.5" customHeight="1" spans="1:30" x14ac:dyDescent="0.25">
      <c r="A534" s="4"/>
      <c r="B534" s="4"/>
      <c r="C534" s="4"/>
      <c r="D534" s="4"/>
      <c r="E534" s="4"/>
      <c r="F534" s="4"/>
      <c r="G534" s="4"/>
      <c r="H534" s="4"/>
      <c r="I534" s="4"/>
      <c r="J534" s="4"/>
      <c r="K534" s="4"/>
      <c r="L534" s="4"/>
      <c r="M534" s="4"/>
      <c r="N534" s="4"/>
      <c r="O534" s="4"/>
      <c r="P534" s="4"/>
      <c r="Q534" s="4"/>
      <c r="R534" s="16"/>
      <c r="S534" s="16"/>
      <c r="T534" s="16"/>
      <c r="U534" s="16"/>
      <c r="V534" s="16"/>
      <c r="W534" s="16"/>
      <c r="X534" s="16"/>
      <c r="Y534" s="16"/>
      <c r="Z534" s="16"/>
      <c r="AA534" s="16"/>
      <c r="AB534" s="16"/>
      <c r="AC534" s="16"/>
      <c r="AD534" s="16"/>
    </row>
    <row r="535" ht="13.5" customHeight="1" spans="1:30" x14ac:dyDescent="0.25">
      <c r="A535" s="4"/>
      <c r="B535" s="4"/>
      <c r="C535" s="4"/>
      <c r="D535" s="4"/>
      <c r="E535" s="4"/>
      <c r="F535" s="4"/>
      <c r="G535" s="4"/>
      <c r="H535" s="4"/>
      <c r="I535" s="4"/>
      <c r="J535" s="4"/>
      <c r="K535" s="4"/>
      <c r="L535" s="4"/>
      <c r="M535" s="4"/>
      <c r="N535" s="4"/>
      <c r="O535" s="4"/>
      <c r="P535" s="4"/>
      <c r="Q535" s="4"/>
      <c r="R535" s="16"/>
      <c r="S535" s="16"/>
      <c r="T535" s="16"/>
      <c r="U535" s="16"/>
      <c r="V535" s="16"/>
      <c r="W535" s="16"/>
      <c r="X535" s="16"/>
      <c r="Y535" s="16"/>
      <c r="Z535" s="16"/>
      <c r="AA535" s="16"/>
      <c r="AB535" s="16"/>
      <c r="AC535" s="16"/>
      <c r="AD535" s="16"/>
    </row>
    <row r="536" ht="13.5" customHeight="1" spans="1:30" x14ac:dyDescent="0.25">
      <c r="A536" s="4"/>
      <c r="B536" s="4"/>
      <c r="C536" s="4"/>
      <c r="D536" s="4"/>
      <c r="E536" s="4"/>
      <c r="F536" s="4"/>
      <c r="G536" s="4"/>
      <c r="H536" s="4"/>
      <c r="I536" s="4"/>
      <c r="J536" s="4"/>
      <c r="K536" s="4"/>
      <c r="L536" s="4"/>
      <c r="M536" s="4"/>
      <c r="N536" s="4"/>
      <c r="O536" s="4"/>
      <c r="P536" s="4"/>
      <c r="Q536" s="4"/>
      <c r="R536" s="16"/>
      <c r="S536" s="16"/>
      <c r="T536" s="16"/>
      <c r="U536" s="16"/>
      <c r="V536" s="16"/>
      <c r="W536" s="16"/>
      <c r="X536" s="16"/>
      <c r="Y536" s="16"/>
      <c r="Z536" s="16"/>
      <c r="AA536" s="16"/>
      <c r="AB536" s="16"/>
      <c r="AC536" s="16"/>
      <c r="AD536" s="16"/>
    </row>
    <row r="537" ht="13.5" customHeight="1" spans="1:30" x14ac:dyDescent="0.25">
      <c r="A537" s="4"/>
      <c r="B537" s="4"/>
      <c r="C537" s="4"/>
      <c r="D537" s="4"/>
      <c r="E537" s="4"/>
      <c r="F537" s="4"/>
      <c r="G537" s="4"/>
      <c r="H537" s="4"/>
      <c r="I537" s="4"/>
      <c r="J537" s="4"/>
      <c r="K537" s="4"/>
      <c r="L537" s="4"/>
      <c r="M537" s="4"/>
      <c r="N537" s="4"/>
      <c r="O537" s="4"/>
      <c r="P537" s="4"/>
      <c r="Q537" s="4"/>
      <c r="R537" s="16"/>
      <c r="S537" s="16"/>
      <c r="T537" s="16"/>
      <c r="U537" s="16"/>
      <c r="V537" s="16"/>
      <c r="W537" s="16"/>
      <c r="X537" s="16"/>
      <c r="Y537" s="16"/>
      <c r="Z537" s="16"/>
      <c r="AA537" s="16"/>
      <c r="AB537" s="16"/>
      <c r="AC537" s="16"/>
      <c r="AD537" s="16"/>
    </row>
    <row r="538" ht="13.5" customHeight="1" spans="1:30" x14ac:dyDescent="0.25">
      <c r="A538" s="4"/>
      <c r="B538" s="4"/>
      <c r="C538" s="4"/>
      <c r="D538" s="4"/>
      <c r="E538" s="4"/>
      <c r="F538" s="4"/>
      <c r="G538" s="4"/>
      <c r="H538" s="4"/>
      <c r="I538" s="4"/>
      <c r="J538" s="4"/>
      <c r="K538" s="4"/>
      <c r="L538" s="4"/>
      <c r="M538" s="4"/>
      <c r="N538" s="4"/>
      <c r="O538" s="4"/>
      <c r="P538" s="4"/>
      <c r="Q538" s="4"/>
      <c r="R538" s="16"/>
      <c r="S538" s="16"/>
      <c r="T538" s="16"/>
      <c r="U538" s="16"/>
      <c r="V538" s="16"/>
      <c r="W538" s="16"/>
      <c r="X538" s="16"/>
      <c r="Y538" s="16"/>
      <c r="Z538" s="16"/>
      <c r="AA538" s="16"/>
      <c r="AB538" s="16"/>
      <c r="AC538" s="16"/>
      <c r="AD538" s="16"/>
    </row>
    <row r="539" ht="13.5" customHeight="1" spans="1:30" x14ac:dyDescent="0.25">
      <c r="A539" s="4"/>
      <c r="B539" s="4"/>
      <c r="C539" s="4"/>
      <c r="D539" s="4"/>
      <c r="E539" s="4"/>
      <c r="F539" s="4"/>
      <c r="G539" s="4"/>
      <c r="H539" s="4"/>
      <c r="I539" s="4"/>
      <c r="J539" s="4"/>
      <c r="K539" s="4"/>
      <c r="L539" s="4"/>
      <c r="M539" s="4"/>
      <c r="N539" s="4"/>
      <c r="O539" s="4"/>
      <c r="P539" s="4"/>
      <c r="Q539" s="4"/>
      <c r="R539" s="16"/>
      <c r="S539" s="16"/>
      <c r="T539" s="16"/>
      <c r="U539" s="16"/>
      <c r="V539" s="16"/>
      <c r="W539" s="16"/>
      <c r="X539" s="16"/>
      <c r="Y539" s="16"/>
      <c r="Z539" s="16"/>
      <c r="AA539" s="16"/>
      <c r="AB539" s="16"/>
      <c r="AC539" s="16"/>
      <c r="AD539" s="16"/>
    </row>
    <row r="540" ht="13.5" customHeight="1" spans="1:30" x14ac:dyDescent="0.25">
      <c r="A540" s="4"/>
      <c r="B540" s="4"/>
      <c r="C540" s="4"/>
      <c r="D540" s="4"/>
      <c r="E540" s="4"/>
      <c r="F540" s="4"/>
      <c r="G540" s="4"/>
      <c r="H540" s="4"/>
      <c r="I540" s="4"/>
      <c r="J540" s="4"/>
      <c r="K540" s="4"/>
      <c r="L540" s="4"/>
      <c r="M540" s="4"/>
      <c r="N540" s="4"/>
      <c r="O540" s="4"/>
      <c r="P540" s="4"/>
      <c r="Q540" s="4"/>
      <c r="R540" s="16"/>
      <c r="S540" s="16"/>
      <c r="T540" s="16"/>
      <c r="U540" s="16"/>
      <c r="V540" s="16"/>
      <c r="W540" s="16"/>
      <c r="X540" s="16"/>
      <c r="Y540" s="16"/>
      <c r="Z540" s="16"/>
      <c r="AA540" s="16"/>
      <c r="AB540" s="16"/>
      <c r="AC540" s="16"/>
      <c r="AD540" s="16"/>
    </row>
    <row r="541" ht="13.5" customHeight="1" spans="1:30" x14ac:dyDescent="0.25">
      <c r="A541" s="4"/>
      <c r="B541" s="4"/>
      <c r="C541" s="4"/>
      <c r="D541" s="4"/>
      <c r="E541" s="4"/>
      <c r="F541" s="4"/>
      <c r="G541" s="4"/>
      <c r="H541" s="4"/>
      <c r="I541" s="4"/>
      <c r="J541" s="4"/>
      <c r="K541" s="4"/>
      <c r="L541" s="4"/>
      <c r="M541" s="4"/>
      <c r="N541" s="4"/>
      <c r="O541" s="4"/>
      <c r="P541" s="4"/>
      <c r="Q541" s="4"/>
      <c r="R541" s="16"/>
      <c r="S541" s="16"/>
      <c r="T541" s="16"/>
      <c r="U541" s="16"/>
      <c r="V541" s="16"/>
      <c r="W541" s="16"/>
      <c r="X541" s="16"/>
      <c r="Y541" s="16"/>
      <c r="Z541" s="16"/>
      <c r="AA541" s="16"/>
      <c r="AB541" s="16"/>
      <c r="AC541" s="16"/>
      <c r="AD541" s="16"/>
    </row>
    <row r="542" ht="13.5" customHeight="1" spans="1:30" x14ac:dyDescent="0.25">
      <c r="A542" s="4"/>
      <c r="B542" s="4"/>
      <c r="C542" s="4"/>
      <c r="D542" s="4"/>
      <c r="E542" s="4"/>
      <c r="F542" s="4"/>
      <c r="G542" s="4"/>
      <c r="H542" s="4"/>
      <c r="I542" s="4"/>
      <c r="J542" s="4"/>
      <c r="K542" s="4"/>
      <c r="L542" s="4"/>
      <c r="M542" s="4"/>
      <c r="N542" s="4"/>
      <c r="O542" s="4"/>
      <c r="P542" s="4"/>
      <c r="Q542" s="4"/>
      <c r="R542" s="16"/>
      <c r="S542" s="16"/>
      <c r="T542" s="16"/>
      <c r="U542" s="16"/>
      <c r="V542" s="16"/>
      <c r="W542" s="16"/>
      <c r="X542" s="16"/>
      <c r="Y542" s="16"/>
      <c r="Z542" s="16"/>
      <c r="AA542" s="16"/>
      <c r="AB542" s="16"/>
      <c r="AC542" s="16"/>
      <c r="AD542" s="16"/>
    </row>
    <row r="543" ht="13.5" customHeight="1" spans="1:30" x14ac:dyDescent="0.25">
      <c r="A543" s="4"/>
      <c r="B543" s="4"/>
      <c r="C543" s="4"/>
      <c r="D543" s="4"/>
      <c r="E543" s="4"/>
      <c r="F543" s="4"/>
      <c r="G543" s="4"/>
      <c r="H543" s="4"/>
      <c r="I543" s="4"/>
      <c r="J543" s="4"/>
      <c r="K543" s="4"/>
      <c r="L543" s="4"/>
      <c r="M543" s="4"/>
      <c r="N543" s="4"/>
      <c r="O543" s="4"/>
      <c r="P543" s="4"/>
      <c r="Q543" s="4"/>
      <c r="R543" s="16"/>
      <c r="S543" s="16"/>
      <c r="T543" s="16"/>
      <c r="U543" s="16"/>
      <c r="V543" s="16"/>
      <c r="W543" s="16"/>
      <c r="X543" s="16"/>
      <c r="Y543" s="16"/>
      <c r="Z543" s="16"/>
      <c r="AA543" s="16"/>
      <c r="AB543" s="16"/>
      <c r="AC543" s="16"/>
      <c r="AD543" s="16"/>
    </row>
    <row r="544" ht="13.5" customHeight="1" spans="1:30" x14ac:dyDescent="0.25">
      <c r="A544" s="4"/>
      <c r="B544" s="4"/>
      <c r="C544" s="4"/>
      <c r="D544" s="4"/>
      <c r="E544" s="4"/>
      <c r="F544" s="4"/>
      <c r="G544" s="4"/>
      <c r="H544" s="4"/>
      <c r="I544" s="4"/>
      <c r="J544" s="4"/>
      <c r="K544" s="4"/>
      <c r="L544" s="4"/>
      <c r="M544" s="4"/>
      <c r="N544" s="4"/>
      <c r="O544" s="4"/>
      <c r="P544" s="4"/>
      <c r="Q544" s="4"/>
      <c r="R544" s="16"/>
      <c r="S544" s="16"/>
      <c r="T544" s="16"/>
      <c r="U544" s="16"/>
      <c r="V544" s="16"/>
      <c r="W544" s="16"/>
      <c r="X544" s="16"/>
      <c r="Y544" s="16"/>
      <c r="Z544" s="16"/>
      <c r="AA544" s="16"/>
      <c r="AB544" s="16"/>
      <c r="AC544" s="16"/>
      <c r="AD544" s="16"/>
    </row>
    <row r="545" ht="13.5" customHeight="1" spans="1:30" x14ac:dyDescent="0.25">
      <c r="A545" s="4"/>
      <c r="B545" s="4"/>
      <c r="C545" s="4"/>
      <c r="D545" s="4"/>
      <c r="E545" s="4"/>
      <c r="F545" s="4"/>
      <c r="G545" s="4"/>
      <c r="H545" s="4"/>
      <c r="I545" s="4"/>
      <c r="J545" s="4"/>
      <c r="K545" s="4"/>
      <c r="L545" s="4"/>
      <c r="M545" s="4"/>
      <c r="N545" s="4"/>
      <c r="O545" s="4"/>
      <c r="P545" s="4"/>
      <c r="Q545" s="4"/>
      <c r="R545" s="16"/>
      <c r="S545" s="16"/>
      <c r="T545" s="16"/>
      <c r="U545" s="16"/>
      <c r="V545" s="16"/>
      <c r="W545" s="16"/>
      <c r="X545" s="16"/>
      <c r="Y545" s="16"/>
      <c r="Z545" s="16"/>
      <c r="AA545" s="16"/>
      <c r="AB545" s="16"/>
      <c r="AC545" s="16"/>
      <c r="AD545" s="16"/>
    </row>
    <row r="546" ht="13.5" customHeight="1" spans="1:30" x14ac:dyDescent="0.25">
      <c r="A546" s="4"/>
      <c r="B546" s="4"/>
      <c r="C546" s="4"/>
      <c r="D546" s="4"/>
      <c r="E546" s="4"/>
      <c r="F546" s="4"/>
      <c r="G546" s="4"/>
      <c r="H546" s="4"/>
      <c r="I546" s="4"/>
      <c r="J546" s="4"/>
      <c r="K546" s="4"/>
      <c r="L546" s="4"/>
      <c r="M546" s="4"/>
      <c r="N546" s="4"/>
      <c r="O546" s="4"/>
      <c r="P546" s="4"/>
      <c r="Q546" s="4"/>
      <c r="R546" s="16"/>
      <c r="S546" s="16"/>
      <c r="T546" s="16"/>
      <c r="U546" s="16"/>
      <c r="V546" s="16"/>
      <c r="W546" s="16"/>
      <c r="X546" s="16"/>
      <c r="Y546" s="16"/>
      <c r="Z546" s="16"/>
      <c r="AA546" s="16"/>
      <c r="AB546" s="16"/>
      <c r="AC546" s="16"/>
      <c r="AD546" s="16"/>
    </row>
    <row r="547" ht="13.5" customHeight="1" spans="1:30" x14ac:dyDescent="0.25">
      <c r="A547" s="4"/>
      <c r="B547" s="4"/>
      <c r="C547" s="4"/>
      <c r="D547" s="4"/>
      <c r="E547" s="4"/>
      <c r="F547" s="4"/>
      <c r="G547" s="4"/>
      <c r="H547" s="4"/>
      <c r="I547" s="4"/>
      <c r="J547" s="4"/>
      <c r="K547" s="4"/>
      <c r="L547" s="4"/>
      <c r="M547" s="4"/>
      <c r="N547" s="4"/>
      <c r="O547" s="4"/>
      <c r="P547" s="4"/>
      <c r="Q547" s="4"/>
      <c r="R547" s="16"/>
      <c r="S547" s="16"/>
      <c r="T547" s="16"/>
      <c r="U547" s="16"/>
      <c r="V547" s="16"/>
      <c r="W547" s="16"/>
      <c r="X547" s="16"/>
      <c r="Y547" s="16"/>
      <c r="Z547" s="16"/>
      <c r="AA547" s="16"/>
      <c r="AB547" s="16"/>
      <c r="AC547" s="16"/>
      <c r="AD547" s="16"/>
    </row>
    <row r="548" ht="13.5" customHeight="1" spans="1:30" x14ac:dyDescent="0.25">
      <c r="A548" s="4"/>
      <c r="B548" s="4"/>
      <c r="C548" s="4"/>
      <c r="D548" s="4"/>
      <c r="E548" s="4"/>
      <c r="F548" s="4"/>
      <c r="G548" s="4"/>
      <c r="H548" s="4"/>
      <c r="I548" s="4"/>
      <c r="J548" s="4"/>
      <c r="K548" s="4"/>
      <c r="L548" s="4"/>
      <c r="M548" s="4"/>
      <c r="N548" s="4"/>
      <c r="O548" s="4"/>
      <c r="P548" s="4"/>
      <c r="Q548" s="4"/>
      <c r="R548" s="16"/>
      <c r="S548" s="16"/>
      <c r="T548" s="16"/>
      <c r="U548" s="16"/>
      <c r="V548" s="16"/>
      <c r="W548" s="16"/>
      <c r="X548" s="16"/>
      <c r="Y548" s="16"/>
      <c r="Z548" s="16"/>
      <c r="AA548" s="16"/>
      <c r="AB548" s="16"/>
      <c r="AC548" s="16"/>
      <c r="AD548" s="16"/>
    </row>
    <row r="549" ht="13.5" customHeight="1" spans="1:30" x14ac:dyDescent="0.25">
      <c r="A549" s="4"/>
      <c r="B549" s="4"/>
      <c r="C549" s="4"/>
      <c r="D549" s="4"/>
      <c r="E549" s="4"/>
      <c r="F549" s="4"/>
      <c r="G549" s="4"/>
      <c r="H549" s="4"/>
      <c r="I549" s="4"/>
      <c r="J549" s="4"/>
      <c r="K549" s="4"/>
      <c r="L549" s="4"/>
      <c r="M549" s="4"/>
      <c r="N549" s="4"/>
      <c r="O549" s="4"/>
      <c r="P549" s="4"/>
      <c r="Q549" s="4"/>
      <c r="R549" s="16"/>
      <c r="S549" s="16"/>
      <c r="T549" s="16"/>
      <c r="U549" s="16"/>
      <c r="V549" s="16"/>
      <c r="W549" s="16"/>
      <c r="X549" s="16"/>
      <c r="Y549" s="16"/>
      <c r="Z549" s="16"/>
      <c r="AA549" s="16"/>
      <c r="AB549" s="16"/>
      <c r="AC549" s="16"/>
      <c r="AD549" s="16"/>
    </row>
    <row r="550" ht="13.5" customHeight="1" spans="1:30" x14ac:dyDescent="0.25">
      <c r="A550" s="4"/>
      <c r="B550" s="4"/>
      <c r="C550" s="4"/>
      <c r="D550" s="4"/>
      <c r="E550" s="4"/>
      <c r="F550" s="4"/>
      <c r="G550" s="4"/>
      <c r="H550" s="4"/>
      <c r="I550" s="4"/>
      <c r="J550" s="4"/>
      <c r="K550" s="4"/>
      <c r="L550" s="4"/>
      <c r="M550" s="4"/>
      <c r="N550" s="4"/>
      <c r="O550" s="4"/>
      <c r="P550" s="4"/>
      <c r="Q550" s="4"/>
      <c r="R550" s="16"/>
      <c r="S550" s="16"/>
      <c r="T550" s="16"/>
      <c r="U550" s="16"/>
      <c r="V550" s="16"/>
      <c r="W550" s="16"/>
      <c r="X550" s="16"/>
      <c r="Y550" s="16"/>
      <c r="Z550" s="16"/>
      <c r="AA550" s="16"/>
      <c r="AB550" s="16"/>
      <c r="AC550" s="16"/>
      <c r="AD550" s="16"/>
    </row>
    <row r="551" ht="13.5" customHeight="1" spans="1:30" x14ac:dyDescent="0.25">
      <c r="A551" s="4"/>
      <c r="B551" s="4"/>
      <c r="C551" s="4"/>
      <c r="D551" s="4"/>
      <c r="E551" s="4"/>
      <c r="F551" s="4"/>
      <c r="G551" s="4"/>
      <c r="H551" s="4"/>
      <c r="I551" s="4"/>
      <c r="J551" s="4"/>
      <c r="K551" s="4"/>
      <c r="L551" s="4"/>
      <c r="M551" s="4"/>
      <c r="N551" s="4"/>
      <c r="O551" s="4"/>
      <c r="P551" s="4"/>
      <c r="Q551" s="4"/>
      <c r="R551" s="16"/>
      <c r="S551" s="16"/>
      <c r="T551" s="16"/>
      <c r="U551" s="16"/>
      <c r="V551" s="16"/>
      <c r="W551" s="16"/>
      <c r="X551" s="16"/>
      <c r="Y551" s="16"/>
      <c r="Z551" s="16"/>
      <c r="AA551" s="16"/>
      <c r="AB551" s="16"/>
      <c r="AC551" s="16"/>
      <c r="AD551" s="16"/>
    </row>
    <row r="552" ht="13.5" customHeight="1" spans="1:30" x14ac:dyDescent="0.25">
      <c r="A552" s="4"/>
      <c r="B552" s="4"/>
      <c r="C552" s="4"/>
      <c r="D552" s="4"/>
      <c r="E552" s="4"/>
      <c r="F552" s="4"/>
      <c r="G552" s="4"/>
      <c r="H552" s="4"/>
      <c r="I552" s="4"/>
      <c r="J552" s="4"/>
      <c r="K552" s="4"/>
      <c r="L552" s="4"/>
      <c r="M552" s="4"/>
      <c r="N552" s="4"/>
      <c r="O552" s="4"/>
      <c r="P552" s="4"/>
      <c r="Q552" s="4"/>
      <c r="R552" s="16"/>
      <c r="S552" s="16"/>
      <c r="T552" s="16"/>
      <c r="U552" s="16"/>
      <c r="V552" s="16"/>
      <c r="W552" s="16"/>
      <c r="X552" s="16"/>
      <c r="Y552" s="16"/>
      <c r="Z552" s="16"/>
      <c r="AA552" s="16"/>
      <c r="AB552" s="16"/>
      <c r="AC552" s="16"/>
      <c r="AD552" s="16"/>
    </row>
    <row r="553" ht="13.5" customHeight="1" spans="1:30" x14ac:dyDescent="0.25">
      <c r="A553" s="4"/>
      <c r="B553" s="4"/>
      <c r="C553" s="4"/>
      <c r="D553" s="4"/>
      <c r="E553" s="4"/>
      <c r="F553" s="4"/>
      <c r="G553" s="4"/>
      <c r="H553" s="4"/>
      <c r="I553" s="4"/>
      <c r="J553" s="4"/>
      <c r="K553" s="4"/>
      <c r="L553" s="4"/>
      <c r="M553" s="4"/>
      <c r="N553" s="4"/>
      <c r="O553" s="4"/>
      <c r="P553" s="4"/>
      <c r="Q553" s="4"/>
      <c r="R553" s="16"/>
      <c r="S553" s="16"/>
      <c r="T553" s="16"/>
      <c r="U553" s="16"/>
      <c r="V553" s="16"/>
      <c r="W553" s="16"/>
      <c r="X553" s="16"/>
      <c r="Y553" s="16"/>
      <c r="Z553" s="16"/>
      <c r="AA553" s="16"/>
      <c r="AB553" s="16"/>
      <c r="AC553" s="16"/>
      <c r="AD553" s="16"/>
    </row>
    <row r="554" ht="13.5" customHeight="1" spans="1:30" x14ac:dyDescent="0.25">
      <c r="A554" s="4"/>
      <c r="B554" s="4"/>
      <c r="C554" s="4"/>
      <c r="D554" s="4"/>
      <c r="E554" s="4"/>
      <c r="F554" s="4"/>
      <c r="G554" s="4"/>
      <c r="H554" s="4"/>
      <c r="I554" s="4"/>
      <c r="J554" s="4"/>
      <c r="K554" s="4"/>
      <c r="L554" s="4"/>
      <c r="M554" s="4"/>
      <c r="N554" s="4"/>
      <c r="O554" s="4"/>
      <c r="P554" s="4"/>
      <c r="Q554" s="4"/>
      <c r="R554" s="16"/>
      <c r="S554" s="16"/>
      <c r="T554" s="16"/>
      <c r="U554" s="16"/>
      <c r="V554" s="16"/>
      <c r="W554" s="16"/>
      <c r="X554" s="16"/>
      <c r="Y554" s="16"/>
      <c r="Z554" s="16"/>
      <c r="AA554" s="16"/>
      <c r="AB554" s="16"/>
      <c r="AC554" s="16"/>
      <c r="AD554" s="16"/>
    </row>
    <row r="555" ht="13.5" customHeight="1" spans="1:30" x14ac:dyDescent="0.25">
      <c r="A555" s="4"/>
      <c r="B555" s="4"/>
      <c r="C555" s="4"/>
      <c r="D555" s="4"/>
      <c r="E555" s="4"/>
      <c r="F555" s="4"/>
      <c r="G555" s="4"/>
      <c r="H555" s="4"/>
      <c r="I555" s="4"/>
      <c r="J555" s="4"/>
      <c r="K555" s="4"/>
      <c r="L555" s="4"/>
      <c r="M555" s="4"/>
      <c r="N555" s="4"/>
      <c r="O555" s="4"/>
      <c r="P555" s="4"/>
      <c r="Q555" s="4"/>
      <c r="R555" s="16"/>
      <c r="S555" s="16"/>
      <c r="T555" s="16"/>
      <c r="U555" s="16"/>
      <c r="V555" s="16"/>
      <c r="W555" s="16"/>
      <c r="X555" s="16"/>
      <c r="Y555" s="16"/>
      <c r="Z555" s="16"/>
      <c r="AA555" s="16"/>
      <c r="AB555" s="16"/>
      <c r="AC555" s="16"/>
      <c r="AD555" s="16"/>
    </row>
    <row r="556" ht="13.5" customHeight="1" spans="1:30" x14ac:dyDescent="0.25">
      <c r="A556" s="4"/>
      <c r="B556" s="4"/>
      <c r="C556" s="4"/>
      <c r="D556" s="4"/>
      <c r="E556" s="4"/>
      <c r="F556" s="4"/>
      <c r="G556" s="4"/>
      <c r="H556" s="4"/>
      <c r="I556" s="4"/>
      <c r="J556" s="4"/>
      <c r="K556" s="4"/>
      <c r="L556" s="4"/>
      <c r="M556" s="4"/>
      <c r="N556" s="4"/>
      <c r="O556" s="4"/>
      <c r="P556" s="4"/>
      <c r="Q556" s="4"/>
      <c r="R556" s="16"/>
      <c r="S556" s="16"/>
      <c r="T556" s="16"/>
      <c r="U556" s="16"/>
      <c r="V556" s="16"/>
      <c r="W556" s="16"/>
      <c r="X556" s="16"/>
      <c r="Y556" s="16"/>
      <c r="Z556" s="16"/>
      <c r="AA556" s="16"/>
      <c r="AB556" s="16"/>
      <c r="AC556" s="16"/>
      <c r="AD556" s="16"/>
    </row>
    <row r="557" ht="13.5" customHeight="1" spans="1:30" x14ac:dyDescent="0.25">
      <c r="A557" s="4"/>
      <c r="B557" s="4"/>
      <c r="C557" s="4"/>
      <c r="D557" s="4"/>
      <c r="E557" s="4"/>
      <c r="F557" s="4"/>
      <c r="G557" s="4"/>
      <c r="H557" s="4"/>
      <c r="I557" s="4"/>
      <c r="J557" s="4"/>
      <c r="K557" s="4"/>
      <c r="L557" s="4"/>
      <c r="M557" s="4"/>
      <c r="N557" s="4"/>
      <c r="O557" s="4"/>
      <c r="P557" s="4"/>
      <c r="Q557" s="4"/>
      <c r="R557" s="16"/>
      <c r="S557" s="16"/>
      <c r="T557" s="16"/>
      <c r="U557" s="16"/>
      <c r="V557" s="16"/>
      <c r="W557" s="16"/>
      <c r="X557" s="16"/>
      <c r="Y557" s="16"/>
      <c r="Z557" s="16"/>
      <c r="AA557" s="16"/>
      <c r="AB557" s="16"/>
      <c r="AC557" s="16"/>
      <c r="AD557" s="16"/>
    </row>
    <row r="558" ht="13.5" customHeight="1" spans="1:30" x14ac:dyDescent="0.25">
      <c r="A558" s="4"/>
      <c r="B558" s="4"/>
      <c r="C558" s="4"/>
      <c r="D558" s="4"/>
      <c r="E558" s="4"/>
      <c r="F558" s="4"/>
      <c r="G558" s="4"/>
      <c r="H558" s="4"/>
      <c r="I558" s="4"/>
      <c r="J558" s="4"/>
      <c r="K558" s="4"/>
      <c r="L558" s="4"/>
      <c r="M558" s="4"/>
      <c r="N558" s="4"/>
      <c r="O558" s="4"/>
      <c r="P558" s="4"/>
      <c r="Q558" s="4"/>
      <c r="R558" s="16"/>
      <c r="S558" s="16"/>
      <c r="T558" s="16"/>
      <c r="U558" s="16"/>
      <c r="V558" s="16"/>
      <c r="W558" s="16"/>
      <c r="X558" s="16"/>
      <c r="Y558" s="16"/>
      <c r="Z558" s="16"/>
      <c r="AA558" s="16"/>
      <c r="AB558" s="16"/>
      <c r="AC558" s="16"/>
      <c r="AD558" s="16"/>
    </row>
    <row r="559" ht="13.5" customHeight="1" spans="1:30" x14ac:dyDescent="0.25">
      <c r="A559" s="4"/>
      <c r="B559" s="4"/>
      <c r="C559" s="4"/>
      <c r="D559" s="4"/>
      <c r="E559" s="4"/>
      <c r="F559" s="4"/>
      <c r="G559" s="4"/>
      <c r="H559" s="4"/>
      <c r="I559" s="4"/>
      <c r="J559" s="4"/>
      <c r="K559" s="4"/>
      <c r="L559" s="4"/>
      <c r="M559" s="4"/>
      <c r="N559" s="4"/>
      <c r="O559" s="4"/>
      <c r="P559" s="4"/>
      <c r="Q559" s="4"/>
      <c r="R559" s="16"/>
      <c r="S559" s="16"/>
      <c r="T559" s="16"/>
      <c r="U559" s="16"/>
      <c r="V559" s="16"/>
      <c r="W559" s="16"/>
      <c r="X559" s="16"/>
      <c r="Y559" s="16"/>
      <c r="Z559" s="16"/>
      <c r="AA559" s="16"/>
      <c r="AB559" s="16"/>
      <c r="AC559" s="16"/>
      <c r="AD559" s="16"/>
    </row>
    <row r="560" ht="13.5" customHeight="1" spans="1:30" x14ac:dyDescent="0.25">
      <c r="A560" s="4"/>
      <c r="B560" s="4"/>
      <c r="C560" s="4"/>
      <c r="D560" s="4"/>
      <c r="E560" s="4"/>
      <c r="F560" s="4"/>
      <c r="G560" s="4"/>
      <c r="H560" s="4"/>
      <c r="I560" s="4"/>
      <c r="J560" s="4"/>
      <c r="K560" s="4"/>
      <c r="L560" s="4"/>
      <c r="M560" s="4"/>
      <c r="N560" s="4"/>
      <c r="O560" s="4"/>
      <c r="P560" s="4"/>
      <c r="Q560" s="4"/>
      <c r="R560" s="16"/>
      <c r="S560" s="16"/>
      <c r="T560" s="16"/>
      <c r="U560" s="16"/>
      <c r="V560" s="16"/>
      <c r="W560" s="16"/>
      <c r="X560" s="16"/>
      <c r="Y560" s="16"/>
      <c r="Z560" s="16"/>
      <c r="AA560" s="16"/>
      <c r="AB560" s="16"/>
      <c r="AC560" s="16"/>
      <c r="AD560" s="16"/>
    </row>
    <row r="561" ht="13.5" customHeight="1" spans="1:30" x14ac:dyDescent="0.25">
      <c r="A561" s="4"/>
      <c r="B561" s="4"/>
      <c r="C561" s="4"/>
      <c r="D561" s="4"/>
      <c r="E561" s="4"/>
      <c r="F561" s="4"/>
      <c r="G561" s="4"/>
      <c r="H561" s="4"/>
      <c r="I561" s="4"/>
      <c r="J561" s="4"/>
      <c r="K561" s="4"/>
      <c r="L561" s="4"/>
      <c r="M561" s="4"/>
      <c r="N561" s="4"/>
      <c r="O561" s="4"/>
      <c r="P561" s="4"/>
      <c r="Q561" s="4"/>
      <c r="R561" s="16"/>
      <c r="S561" s="16"/>
      <c r="T561" s="16"/>
      <c r="U561" s="16"/>
      <c r="V561" s="16"/>
      <c r="W561" s="16"/>
      <c r="X561" s="16"/>
      <c r="Y561" s="16"/>
      <c r="Z561" s="16"/>
      <c r="AA561" s="16"/>
      <c r="AB561" s="16"/>
      <c r="AC561" s="16"/>
      <c r="AD561" s="16"/>
    </row>
    <row r="562" ht="13.5" customHeight="1" spans="1:30" x14ac:dyDescent="0.25">
      <c r="A562" s="4"/>
      <c r="B562" s="4"/>
      <c r="C562" s="4"/>
      <c r="D562" s="4"/>
      <c r="E562" s="4"/>
      <c r="F562" s="4"/>
      <c r="G562" s="4"/>
      <c r="H562" s="4"/>
      <c r="I562" s="4"/>
      <c r="J562" s="4"/>
      <c r="K562" s="4"/>
      <c r="L562" s="4"/>
      <c r="M562" s="4"/>
      <c r="N562" s="4"/>
      <c r="O562" s="4"/>
      <c r="P562" s="4"/>
      <c r="Q562" s="4"/>
      <c r="R562" s="16"/>
      <c r="S562" s="16"/>
      <c r="T562" s="16"/>
      <c r="U562" s="16"/>
      <c r="V562" s="16"/>
      <c r="W562" s="16"/>
      <c r="X562" s="16"/>
      <c r="Y562" s="16"/>
      <c r="Z562" s="16"/>
      <c r="AA562" s="16"/>
      <c r="AB562" s="16"/>
      <c r="AC562" s="16"/>
      <c r="AD562" s="16"/>
    </row>
    <row r="563" ht="13.5" customHeight="1" spans="1:30" x14ac:dyDescent="0.25">
      <c r="A563" s="4"/>
      <c r="B563" s="4"/>
      <c r="C563" s="4"/>
      <c r="D563" s="4"/>
      <c r="E563" s="4"/>
      <c r="F563" s="4"/>
      <c r="G563" s="4"/>
      <c r="H563" s="4"/>
      <c r="I563" s="4"/>
      <c r="J563" s="4"/>
      <c r="K563" s="4"/>
      <c r="L563" s="4"/>
      <c r="M563" s="4"/>
      <c r="N563" s="4"/>
      <c r="O563" s="4"/>
      <c r="P563" s="4"/>
      <c r="Q563" s="4"/>
      <c r="R563" s="16"/>
      <c r="S563" s="16"/>
      <c r="T563" s="16"/>
      <c r="U563" s="16"/>
      <c r="V563" s="16"/>
      <c r="W563" s="16"/>
      <c r="X563" s="16"/>
      <c r="Y563" s="16"/>
      <c r="Z563" s="16"/>
      <c r="AA563" s="16"/>
      <c r="AB563" s="16"/>
      <c r="AC563" s="16"/>
      <c r="AD563" s="16"/>
    </row>
    <row r="564" ht="13.5" customHeight="1" spans="1:30" x14ac:dyDescent="0.25">
      <c r="A564" s="4"/>
      <c r="B564" s="4"/>
      <c r="C564" s="4"/>
      <c r="D564" s="4"/>
      <c r="E564" s="4"/>
      <c r="F564" s="4"/>
      <c r="G564" s="4"/>
      <c r="H564" s="4"/>
      <c r="I564" s="4"/>
      <c r="J564" s="4"/>
      <c r="K564" s="4"/>
      <c r="L564" s="4"/>
      <c r="M564" s="4"/>
      <c r="N564" s="4"/>
      <c r="O564" s="4"/>
      <c r="P564" s="4"/>
      <c r="Q564" s="4"/>
      <c r="R564" s="16"/>
      <c r="S564" s="16"/>
      <c r="T564" s="16"/>
      <c r="U564" s="16"/>
      <c r="V564" s="16"/>
      <c r="W564" s="16"/>
      <c r="X564" s="16"/>
      <c r="Y564" s="16"/>
      <c r="Z564" s="16"/>
      <c r="AA564" s="16"/>
      <c r="AB564" s="16"/>
      <c r="AC564" s="16"/>
      <c r="AD564" s="16"/>
    </row>
    <row r="565" ht="13.5" customHeight="1" spans="1:30" x14ac:dyDescent="0.25">
      <c r="A565" s="4"/>
      <c r="B565" s="4"/>
      <c r="C565" s="4"/>
      <c r="D565" s="4"/>
      <c r="E565" s="4"/>
      <c r="F565" s="4"/>
      <c r="G565" s="4"/>
      <c r="H565" s="4"/>
      <c r="I565" s="4"/>
      <c r="J565" s="4"/>
      <c r="K565" s="4"/>
      <c r="L565" s="4"/>
      <c r="M565" s="4"/>
      <c r="N565" s="4"/>
      <c r="O565" s="4"/>
      <c r="P565" s="4"/>
      <c r="Q565" s="4"/>
      <c r="R565" s="16"/>
      <c r="S565" s="16"/>
      <c r="T565" s="16"/>
      <c r="U565" s="16"/>
      <c r="V565" s="16"/>
      <c r="W565" s="16"/>
      <c r="X565" s="16"/>
      <c r="Y565" s="16"/>
      <c r="Z565" s="16"/>
      <c r="AA565" s="16"/>
      <c r="AB565" s="16"/>
      <c r="AC565" s="16"/>
      <c r="AD565" s="16"/>
    </row>
    <row r="566" ht="13.5" customHeight="1" spans="1:30" x14ac:dyDescent="0.25">
      <c r="A566" s="4"/>
      <c r="B566" s="4"/>
      <c r="C566" s="4"/>
      <c r="D566" s="4"/>
      <c r="E566" s="4"/>
      <c r="F566" s="4"/>
      <c r="G566" s="4"/>
      <c r="H566" s="4"/>
      <c r="I566" s="4"/>
      <c r="J566" s="4"/>
      <c r="K566" s="4"/>
      <c r="L566" s="4"/>
      <c r="M566" s="4"/>
      <c r="N566" s="4"/>
      <c r="O566" s="4"/>
      <c r="P566" s="4"/>
      <c r="Q566" s="4"/>
      <c r="R566" s="16"/>
      <c r="S566" s="16"/>
      <c r="T566" s="16"/>
      <c r="U566" s="16"/>
      <c r="V566" s="16"/>
      <c r="W566" s="16"/>
      <c r="X566" s="16"/>
      <c r="Y566" s="16"/>
      <c r="Z566" s="16"/>
      <c r="AA566" s="16"/>
      <c r="AB566" s="16"/>
      <c r="AC566" s="16"/>
      <c r="AD566" s="16"/>
    </row>
    <row r="567" ht="13.5" customHeight="1" spans="1:30" x14ac:dyDescent="0.25">
      <c r="A567" s="4"/>
      <c r="B567" s="4"/>
      <c r="C567" s="4"/>
      <c r="D567" s="4"/>
      <c r="E567" s="4"/>
      <c r="F567" s="4"/>
      <c r="G567" s="4"/>
      <c r="H567" s="4"/>
      <c r="I567" s="4"/>
      <c r="J567" s="4"/>
      <c r="K567" s="4"/>
      <c r="L567" s="4"/>
      <c r="M567" s="4"/>
      <c r="N567" s="4"/>
      <c r="O567" s="4"/>
      <c r="P567" s="4"/>
      <c r="Q567" s="4"/>
      <c r="R567" s="16"/>
      <c r="S567" s="16"/>
      <c r="T567" s="16"/>
      <c r="U567" s="16"/>
      <c r="V567" s="16"/>
      <c r="W567" s="16"/>
      <c r="X567" s="16"/>
      <c r="Y567" s="16"/>
      <c r="Z567" s="16"/>
      <c r="AA567" s="16"/>
      <c r="AB567" s="16"/>
      <c r="AC567" s="16"/>
      <c r="AD567" s="16"/>
    </row>
    <row r="568" ht="13.5" customHeight="1" spans="1:30" x14ac:dyDescent="0.25">
      <c r="A568" s="4"/>
      <c r="B568" s="4"/>
      <c r="C568" s="4"/>
      <c r="D568" s="4"/>
      <c r="E568" s="4"/>
      <c r="F568" s="4"/>
      <c r="G568" s="4"/>
      <c r="H568" s="4"/>
      <c r="I568" s="4"/>
      <c r="J568" s="4"/>
      <c r="K568" s="4"/>
      <c r="L568" s="4"/>
      <c r="M568" s="4"/>
      <c r="N568" s="4"/>
      <c r="O568" s="4"/>
      <c r="P568" s="4"/>
      <c r="Q568" s="4"/>
      <c r="R568" s="16"/>
      <c r="S568" s="16"/>
      <c r="T568" s="16"/>
      <c r="U568" s="16"/>
      <c r="V568" s="16"/>
      <c r="W568" s="16"/>
      <c r="X568" s="16"/>
      <c r="Y568" s="16"/>
      <c r="Z568" s="16"/>
      <c r="AA568" s="16"/>
      <c r="AB568" s="16"/>
      <c r="AC568" s="16"/>
      <c r="AD568" s="16"/>
    </row>
    <row r="569" ht="13.5" customHeight="1" spans="1:30" x14ac:dyDescent="0.25">
      <c r="A569" s="4"/>
      <c r="B569" s="4"/>
      <c r="C569" s="4"/>
      <c r="D569" s="4"/>
      <c r="E569" s="4"/>
      <c r="F569" s="4"/>
      <c r="G569" s="4"/>
      <c r="H569" s="4"/>
      <c r="I569" s="4"/>
      <c r="J569" s="4"/>
      <c r="K569" s="4"/>
      <c r="L569" s="4"/>
      <c r="M569" s="4"/>
      <c r="N569" s="4"/>
      <c r="O569" s="4"/>
      <c r="P569" s="4"/>
      <c r="Q569" s="4"/>
      <c r="R569" s="16"/>
      <c r="S569" s="16"/>
      <c r="T569" s="16"/>
      <c r="U569" s="16"/>
      <c r="V569" s="16"/>
      <c r="W569" s="16"/>
      <c r="X569" s="16"/>
      <c r="Y569" s="16"/>
      <c r="Z569" s="16"/>
      <c r="AA569" s="16"/>
      <c r="AB569" s="16"/>
      <c r="AC569" s="16"/>
      <c r="AD569" s="16"/>
    </row>
    <row r="570" ht="13.5" customHeight="1" spans="1:30" x14ac:dyDescent="0.25">
      <c r="A570" s="4"/>
      <c r="B570" s="4"/>
      <c r="C570" s="4"/>
      <c r="D570" s="4"/>
      <c r="E570" s="4"/>
      <c r="F570" s="4"/>
      <c r="G570" s="4"/>
      <c r="H570" s="4"/>
      <c r="I570" s="4"/>
      <c r="J570" s="4"/>
      <c r="K570" s="4"/>
      <c r="L570" s="4"/>
      <c r="M570" s="4"/>
      <c r="N570" s="4"/>
      <c r="O570" s="4"/>
      <c r="P570" s="4"/>
      <c r="Q570" s="4"/>
      <c r="R570" s="16"/>
      <c r="S570" s="16"/>
      <c r="T570" s="16"/>
      <c r="U570" s="16"/>
      <c r="V570" s="16"/>
      <c r="W570" s="16"/>
      <c r="X570" s="16"/>
      <c r="Y570" s="16"/>
      <c r="Z570" s="16"/>
      <c r="AA570" s="16"/>
      <c r="AB570" s="16"/>
      <c r="AC570" s="16"/>
      <c r="AD570" s="16"/>
    </row>
    <row r="571" ht="13.5" customHeight="1" spans="1:30" x14ac:dyDescent="0.25">
      <c r="A571" s="4"/>
      <c r="B571" s="4"/>
      <c r="C571" s="4"/>
      <c r="D571" s="4"/>
      <c r="E571" s="4"/>
      <c r="F571" s="4"/>
      <c r="G571" s="4"/>
      <c r="H571" s="4"/>
      <c r="I571" s="4"/>
      <c r="J571" s="4"/>
      <c r="K571" s="4"/>
      <c r="L571" s="4"/>
      <c r="M571" s="4"/>
      <c r="N571" s="4"/>
      <c r="O571" s="4"/>
      <c r="P571" s="4"/>
      <c r="Q571" s="4"/>
      <c r="R571" s="16"/>
      <c r="S571" s="16"/>
      <c r="T571" s="16"/>
      <c r="U571" s="16"/>
      <c r="V571" s="16"/>
      <c r="W571" s="16"/>
      <c r="X571" s="16"/>
      <c r="Y571" s="16"/>
      <c r="Z571" s="16"/>
      <c r="AA571" s="16"/>
      <c r="AB571" s="16"/>
      <c r="AC571" s="16"/>
      <c r="AD571" s="16"/>
    </row>
    <row r="572" ht="13.5" customHeight="1" spans="1:30" x14ac:dyDescent="0.25">
      <c r="A572" s="4"/>
      <c r="B572" s="4"/>
      <c r="C572" s="4"/>
      <c r="D572" s="4"/>
      <c r="E572" s="4"/>
      <c r="F572" s="4"/>
      <c r="G572" s="4"/>
      <c r="H572" s="4"/>
      <c r="I572" s="4"/>
      <c r="J572" s="4"/>
      <c r="K572" s="4"/>
      <c r="L572" s="4"/>
      <c r="M572" s="4"/>
      <c r="N572" s="4"/>
      <c r="O572" s="4"/>
      <c r="P572" s="4"/>
      <c r="Q572" s="4"/>
      <c r="R572" s="16"/>
      <c r="S572" s="16"/>
      <c r="T572" s="16"/>
      <c r="U572" s="16"/>
      <c r="V572" s="16"/>
      <c r="W572" s="16"/>
      <c r="X572" s="16"/>
      <c r="Y572" s="16"/>
      <c r="Z572" s="16"/>
      <c r="AA572" s="16"/>
      <c r="AB572" s="16"/>
      <c r="AC572" s="16"/>
      <c r="AD572" s="16"/>
    </row>
    <row r="573" ht="13.5" customHeight="1" spans="1:30" x14ac:dyDescent="0.25">
      <c r="A573" s="4"/>
      <c r="B573" s="4"/>
      <c r="C573" s="4"/>
      <c r="D573" s="4"/>
      <c r="E573" s="4"/>
      <c r="F573" s="4"/>
      <c r="G573" s="4"/>
      <c r="H573" s="4"/>
      <c r="I573" s="4"/>
      <c r="J573" s="4"/>
      <c r="K573" s="4"/>
      <c r="L573" s="4"/>
      <c r="M573" s="4"/>
      <c r="N573" s="4"/>
      <c r="O573" s="4"/>
      <c r="P573" s="4"/>
      <c r="Q573" s="4"/>
      <c r="R573" s="16"/>
      <c r="S573" s="16"/>
      <c r="T573" s="16"/>
      <c r="U573" s="16"/>
      <c r="V573" s="16"/>
      <c r="W573" s="16"/>
      <c r="X573" s="16"/>
      <c r="Y573" s="16"/>
      <c r="Z573" s="16"/>
      <c r="AA573" s="16"/>
      <c r="AB573" s="16"/>
      <c r="AC573" s="16"/>
      <c r="AD573" s="16"/>
    </row>
    <row r="574" ht="13.5" customHeight="1" spans="1:30" x14ac:dyDescent="0.25">
      <c r="A574" s="4"/>
      <c r="B574" s="4"/>
      <c r="C574" s="4"/>
      <c r="D574" s="4"/>
      <c r="E574" s="4"/>
      <c r="F574" s="4"/>
      <c r="G574" s="4"/>
      <c r="H574" s="4"/>
      <c r="I574" s="4"/>
      <c r="J574" s="4"/>
      <c r="K574" s="4"/>
      <c r="L574" s="4"/>
      <c r="M574" s="4"/>
      <c r="N574" s="4"/>
      <c r="O574" s="4"/>
      <c r="P574" s="4"/>
      <c r="Q574" s="4"/>
      <c r="R574" s="16"/>
      <c r="S574" s="16"/>
      <c r="T574" s="16"/>
      <c r="U574" s="16"/>
      <c r="V574" s="16"/>
      <c r="W574" s="16"/>
      <c r="X574" s="16"/>
      <c r="Y574" s="16"/>
      <c r="Z574" s="16"/>
      <c r="AA574" s="16"/>
      <c r="AB574" s="16"/>
      <c r="AC574" s="16"/>
      <c r="AD574" s="16"/>
    </row>
    <row r="575" ht="13.5" customHeight="1" spans="1:30" x14ac:dyDescent="0.25">
      <c r="A575" s="4"/>
      <c r="B575" s="4"/>
      <c r="C575" s="4"/>
      <c r="D575" s="4"/>
      <c r="E575" s="4"/>
      <c r="F575" s="4"/>
      <c r="G575" s="4"/>
      <c r="H575" s="4"/>
      <c r="I575" s="4"/>
      <c r="J575" s="4"/>
      <c r="K575" s="4"/>
      <c r="L575" s="4"/>
      <c r="M575" s="4"/>
      <c r="N575" s="4"/>
      <c r="O575" s="4"/>
      <c r="P575" s="4"/>
      <c r="Q575" s="4"/>
      <c r="R575" s="16"/>
      <c r="S575" s="16"/>
      <c r="T575" s="16"/>
      <c r="U575" s="16"/>
      <c r="V575" s="16"/>
      <c r="W575" s="16"/>
      <c r="X575" s="16"/>
      <c r="Y575" s="16"/>
      <c r="Z575" s="16"/>
      <c r="AA575" s="16"/>
      <c r="AB575" s="16"/>
      <c r="AC575" s="16"/>
      <c r="AD575" s="16"/>
    </row>
    <row r="576" ht="13.5" customHeight="1" spans="1:30" x14ac:dyDescent="0.25">
      <c r="A576" s="4"/>
      <c r="B576" s="4"/>
      <c r="C576" s="4"/>
      <c r="D576" s="4"/>
      <c r="E576" s="4"/>
      <c r="F576" s="4"/>
      <c r="G576" s="4"/>
      <c r="H576" s="4"/>
      <c r="I576" s="4"/>
      <c r="J576" s="4"/>
      <c r="K576" s="4"/>
      <c r="L576" s="4"/>
      <c r="M576" s="4"/>
      <c r="N576" s="4"/>
      <c r="O576" s="4"/>
      <c r="P576" s="4"/>
      <c r="Q576" s="4"/>
      <c r="R576" s="16"/>
      <c r="S576" s="16"/>
      <c r="T576" s="16"/>
      <c r="U576" s="16"/>
      <c r="V576" s="16"/>
      <c r="W576" s="16"/>
      <c r="X576" s="16"/>
      <c r="Y576" s="16"/>
      <c r="Z576" s="16"/>
      <c r="AA576" s="16"/>
      <c r="AB576" s="16"/>
      <c r="AC576" s="16"/>
      <c r="AD576" s="16"/>
    </row>
    <row r="577" ht="13.5" customHeight="1" spans="1:30" x14ac:dyDescent="0.25">
      <c r="A577" s="4"/>
      <c r="B577" s="4"/>
      <c r="C577" s="4"/>
      <c r="D577" s="4"/>
      <c r="E577" s="4"/>
      <c r="F577" s="4"/>
      <c r="G577" s="4"/>
      <c r="H577" s="4"/>
      <c r="I577" s="4"/>
      <c r="J577" s="4"/>
      <c r="K577" s="4"/>
      <c r="L577" s="4"/>
      <c r="M577" s="4"/>
      <c r="N577" s="4"/>
      <c r="O577" s="4"/>
      <c r="P577" s="4"/>
      <c r="Q577" s="4"/>
      <c r="R577" s="16"/>
      <c r="S577" s="16"/>
      <c r="T577" s="16"/>
      <c r="U577" s="16"/>
      <c r="V577" s="16"/>
      <c r="W577" s="16"/>
      <c r="X577" s="16"/>
      <c r="Y577" s="16"/>
      <c r="Z577" s="16"/>
      <c r="AA577" s="16"/>
      <c r="AB577" s="16"/>
      <c r="AC577" s="16"/>
      <c r="AD577" s="16"/>
    </row>
    <row r="578" ht="13.5" customHeight="1" spans="1:30" x14ac:dyDescent="0.25">
      <c r="A578" s="4"/>
      <c r="B578" s="4"/>
      <c r="C578" s="4"/>
      <c r="D578" s="4"/>
      <c r="E578" s="4"/>
      <c r="F578" s="4"/>
      <c r="G578" s="4"/>
      <c r="H578" s="4"/>
      <c r="I578" s="4"/>
      <c r="J578" s="4"/>
      <c r="K578" s="4"/>
      <c r="L578" s="4"/>
      <c r="M578" s="4"/>
      <c r="N578" s="4"/>
      <c r="O578" s="4"/>
      <c r="P578" s="4"/>
      <c r="Q578" s="4"/>
      <c r="R578" s="16"/>
      <c r="S578" s="16"/>
      <c r="T578" s="16"/>
      <c r="U578" s="16"/>
      <c r="V578" s="16"/>
      <c r="W578" s="16"/>
      <c r="X578" s="16"/>
      <c r="Y578" s="16"/>
      <c r="Z578" s="16"/>
      <c r="AA578" s="16"/>
      <c r="AB578" s="16"/>
      <c r="AC578" s="16"/>
      <c r="AD578" s="16"/>
    </row>
    <row r="579" ht="13.5" customHeight="1" spans="1:30" x14ac:dyDescent="0.25">
      <c r="A579" s="4"/>
      <c r="B579" s="4"/>
      <c r="C579" s="4"/>
      <c r="D579" s="4"/>
      <c r="E579" s="4"/>
      <c r="F579" s="4"/>
      <c r="G579" s="4"/>
      <c r="H579" s="4"/>
      <c r="I579" s="4"/>
      <c r="J579" s="4"/>
      <c r="K579" s="4"/>
      <c r="L579" s="4"/>
      <c r="M579" s="4"/>
      <c r="N579" s="4"/>
      <c r="O579" s="4"/>
      <c r="P579" s="4"/>
      <c r="Q579" s="4"/>
      <c r="R579" s="16"/>
      <c r="S579" s="16"/>
      <c r="T579" s="16"/>
      <c r="U579" s="16"/>
      <c r="V579" s="16"/>
      <c r="W579" s="16"/>
      <c r="X579" s="16"/>
      <c r="Y579" s="16"/>
      <c r="Z579" s="16"/>
      <c r="AA579" s="16"/>
      <c r="AB579" s="16"/>
      <c r="AC579" s="16"/>
      <c r="AD579" s="16"/>
    </row>
    <row r="580" ht="13.5" customHeight="1" spans="1:30" x14ac:dyDescent="0.25">
      <c r="A580" s="4"/>
      <c r="B580" s="4"/>
      <c r="C580" s="4"/>
      <c r="D580" s="4"/>
      <c r="E580" s="4"/>
      <c r="F580" s="4"/>
      <c r="G580" s="4"/>
      <c r="H580" s="4"/>
      <c r="I580" s="4"/>
      <c r="J580" s="4"/>
      <c r="K580" s="4"/>
      <c r="L580" s="4"/>
      <c r="M580" s="4"/>
      <c r="N580" s="4"/>
      <c r="O580" s="4"/>
      <c r="P580" s="4"/>
      <c r="Q580" s="4"/>
      <c r="R580" s="16"/>
      <c r="S580" s="16"/>
      <c r="T580" s="16"/>
      <c r="U580" s="16"/>
      <c r="V580" s="16"/>
      <c r="W580" s="16"/>
      <c r="X580" s="16"/>
      <c r="Y580" s="16"/>
      <c r="Z580" s="16"/>
      <c r="AA580" s="16"/>
      <c r="AB580" s="16"/>
      <c r="AC580" s="16"/>
      <c r="AD580" s="16"/>
    </row>
    <row r="581" ht="13.5" customHeight="1" spans="1:30" x14ac:dyDescent="0.25">
      <c r="A581" s="4"/>
      <c r="B581" s="4"/>
      <c r="C581" s="4"/>
      <c r="D581" s="4"/>
      <c r="E581" s="4"/>
      <c r="F581" s="4"/>
      <c r="G581" s="4"/>
      <c r="H581" s="4"/>
      <c r="I581" s="4"/>
      <c r="J581" s="4"/>
      <c r="K581" s="4"/>
      <c r="L581" s="4"/>
      <c r="M581" s="4"/>
      <c r="N581" s="4"/>
      <c r="O581" s="4"/>
      <c r="P581" s="4"/>
      <c r="Q581" s="4"/>
      <c r="R581" s="16"/>
      <c r="S581" s="16"/>
      <c r="T581" s="16"/>
      <c r="U581" s="16"/>
      <c r="V581" s="16"/>
      <c r="W581" s="16"/>
      <c r="X581" s="16"/>
      <c r="Y581" s="16"/>
      <c r="Z581" s="16"/>
      <c r="AA581" s="16"/>
      <c r="AB581" s="16"/>
      <c r="AC581" s="16"/>
      <c r="AD581" s="16"/>
    </row>
    <row r="582" ht="13.5" customHeight="1" spans="1:30" x14ac:dyDescent="0.25">
      <c r="A582" s="4"/>
      <c r="B582" s="4"/>
      <c r="C582" s="4"/>
      <c r="D582" s="4"/>
      <c r="E582" s="4"/>
      <c r="F582" s="4"/>
      <c r="G582" s="4"/>
      <c r="H582" s="4"/>
      <c r="I582" s="4"/>
      <c r="J582" s="4"/>
      <c r="K582" s="4"/>
      <c r="L582" s="4"/>
      <c r="M582" s="4"/>
      <c r="N582" s="4"/>
      <c r="O582" s="4"/>
      <c r="P582" s="4"/>
      <c r="Q582" s="4"/>
      <c r="R582" s="16"/>
      <c r="S582" s="16"/>
      <c r="T582" s="16"/>
      <c r="U582" s="16"/>
      <c r="V582" s="16"/>
      <c r="W582" s="16"/>
      <c r="X582" s="16"/>
      <c r="Y582" s="16"/>
      <c r="Z582" s="16"/>
      <c r="AA582" s="16"/>
      <c r="AB582" s="16"/>
      <c r="AC582" s="16"/>
      <c r="AD582" s="16"/>
    </row>
    <row r="583" ht="13.5" customHeight="1" spans="1:30" x14ac:dyDescent="0.25">
      <c r="A583" s="4"/>
      <c r="B583" s="4"/>
      <c r="C583" s="4"/>
      <c r="D583" s="4"/>
      <c r="E583" s="4"/>
      <c r="F583" s="4"/>
      <c r="G583" s="4"/>
      <c r="H583" s="4"/>
      <c r="I583" s="4"/>
      <c r="J583" s="4"/>
      <c r="K583" s="4"/>
      <c r="L583" s="4"/>
      <c r="M583" s="4"/>
      <c r="N583" s="4"/>
      <c r="O583" s="4"/>
      <c r="P583" s="4"/>
      <c r="Q583" s="4"/>
      <c r="R583" s="16"/>
      <c r="S583" s="16"/>
      <c r="T583" s="16"/>
      <c r="U583" s="16"/>
      <c r="V583" s="16"/>
      <c r="W583" s="16"/>
      <c r="X583" s="16"/>
      <c r="Y583" s="16"/>
      <c r="Z583" s="16"/>
      <c r="AA583" s="16"/>
      <c r="AB583" s="16"/>
      <c r="AC583" s="16"/>
      <c r="AD583" s="16"/>
    </row>
    <row r="584" ht="13.5" customHeight="1" spans="1:30" x14ac:dyDescent="0.25">
      <c r="A584" s="4"/>
      <c r="B584" s="4"/>
      <c r="C584" s="4"/>
      <c r="D584" s="4"/>
      <c r="E584" s="4"/>
      <c r="F584" s="4"/>
      <c r="G584" s="4"/>
      <c r="H584" s="4"/>
      <c r="I584" s="4"/>
      <c r="J584" s="4"/>
      <c r="K584" s="4"/>
      <c r="L584" s="4"/>
      <c r="M584" s="4"/>
      <c r="N584" s="4"/>
      <c r="O584" s="4"/>
      <c r="P584" s="4"/>
      <c r="Q584" s="4"/>
      <c r="R584" s="16"/>
      <c r="S584" s="16"/>
      <c r="T584" s="16"/>
      <c r="U584" s="16"/>
      <c r="V584" s="16"/>
      <c r="W584" s="16"/>
      <c r="X584" s="16"/>
      <c r="Y584" s="16"/>
      <c r="Z584" s="16"/>
      <c r="AA584" s="16"/>
      <c r="AB584" s="16"/>
      <c r="AC584" s="16"/>
      <c r="AD584" s="16"/>
    </row>
    <row r="585" ht="13.5" customHeight="1" spans="1:30" x14ac:dyDescent="0.25">
      <c r="A585" s="4"/>
      <c r="B585" s="4"/>
      <c r="C585" s="4"/>
      <c r="D585" s="4"/>
      <c r="E585" s="4"/>
      <c r="F585" s="4"/>
      <c r="G585" s="4"/>
      <c r="H585" s="4"/>
      <c r="I585" s="4"/>
      <c r="J585" s="4"/>
      <c r="K585" s="4"/>
      <c r="L585" s="4"/>
      <c r="M585" s="4"/>
      <c r="N585" s="4"/>
      <c r="O585" s="4"/>
      <c r="P585" s="4"/>
      <c r="Q585" s="4"/>
      <c r="R585" s="16"/>
      <c r="S585" s="16"/>
      <c r="T585" s="16"/>
      <c r="U585" s="16"/>
      <c r="V585" s="16"/>
      <c r="W585" s="16"/>
      <c r="X585" s="16"/>
      <c r="Y585" s="16"/>
      <c r="Z585" s="16"/>
      <c r="AA585" s="16"/>
      <c r="AB585" s="16"/>
      <c r="AC585" s="16"/>
      <c r="AD585" s="16"/>
    </row>
    <row r="586" ht="13.5" customHeight="1" spans="1:30" x14ac:dyDescent="0.25">
      <c r="A586" s="4"/>
      <c r="B586" s="4"/>
      <c r="C586" s="4"/>
      <c r="D586" s="4"/>
      <c r="E586" s="4"/>
      <c r="F586" s="4"/>
      <c r="G586" s="4"/>
      <c r="H586" s="4"/>
      <c r="I586" s="4"/>
      <c r="J586" s="4"/>
      <c r="K586" s="4"/>
      <c r="L586" s="4"/>
      <c r="M586" s="4"/>
      <c r="N586" s="4"/>
      <c r="O586" s="4"/>
      <c r="P586" s="4"/>
      <c r="Q586" s="4"/>
      <c r="R586" s="16"/>
      <c r="S586" s="16"/>
      <c r="T586" s="16"/>
      <c r="U586" s="16"/>
      <c r="V586" s="16"/>
      <c r="W586" s="16"/>
      <c r="X586" s="16"/>
      <c r="Y586" s="16"/>
      <c r="Z586" s="16"/>
      <c r="AA586" s="16"/>
      <c r="AB586" s="16"/>
      <c r="AC586" s="16"/>
      <c r="AD586" s="16"/>
    </row>
    <row r="587" ht="13.5" customHeight="1" spans="1:30" x14ac:dyDescent="0.25">
      <c r="A587" s="4"/>
      <c r="B587" s="4"/>
      <c r="C587" s="4"/>
      <c r="D587" s="4"/>
      <c r="E587" s="4"/>
      <c r="F587" s="4"/>
      <c r="G587" s="4"/>
      <c r="H587" s="4"/>
      <c r="I587" s="4"/>
      <c r="J587" s="4"/>
      <c r="K587" s="4"/>
      <c r="L587" s="4"/>
      <c r="M587" s="4"/>
      <c r="N587" s="4"/>
      <c r="O587" s="4"/>
      <c r="P587" s="4"/>
      <c r="Q587" s="4"/>
      <c r="R587" s="16"/>
      <c r="S587" s="16"/>
      <c r="T587" s="16"/>
      <c r="U587" s="16"/>
      <c r="V587" s="16"/>
      <c r="W587" s="16"/>
      <c r="X587" s="16"/>
      <c r="Y587" s="16"/>
      <c r="Z587" s="16"/>
      <c r="AA587" s="16"/>
      <c r="AB587" s="16"/>
      <c r="AC587" s="16"/>
      <c r="AD587" s="16"/>
    </row>
    <row r="588" ht="13.5" customHeight="1" spans="1:30" x14ac:dyDescent="0.25">
      <c r="A588" s="4"/>
      <c r="B588" s="4"/>
      <c r="C588" s="4"/>
      <c r="D588" s="4"/>
      <c r="E588" s="4"/>
      <c r="F588" s="4"/>
      <c r="G588" s="4"/>
      <c r="H588" s="4"/>
      <c r="I588" s="4"/>
      <c r="J588" s="4"/>
      <c r="K588" s="4"/>
      <c r="L588" s="4"/>
      <c r="M588" s="4"/>
      <c r="N588" s="4"/>
      <c r="O588" s="4"/>
      <c r="P588" s="4"/>
      <c r="Q588" s="4"/>
      <c r="R588" s="16"/>
      <c r="S588" s="16"/>
      <c r="T588" s="16"/>
      <c r="U588" s="16"/>
      <c r="V588" s="16"/>
      <c r="W588" s="16"/>
      <c r="X588" s="16"/>
      <c r="Y588" s="16"/>
      <c r="Z588" s="16"/>
      <c r="AA588" s="16"/>
      <c r="AB588" s="16"/>
      <c r="AC588" s="16"/>
      <c r="AD588" s="16"/>
    </row>
    <row r="589" ht="13.5" customHeight="1" spans="1:30" x14ac:dyDescent="0.25">
      <c r="A589" s="4"/>
      <c r="B589" s="4"/>
      <c r="C589" s="4"/>
      <c r="D589" s="4"/>
      <c r="E589" s="4"/>
      <c r="F589" s="4"/>
      <c r="G589" s="4"/>
      <c r="H589" s="4"/>
      <c r="I589" s="4"/>
      <c r="J589" s="4"/>
      <c r="K589" s="4"/>
      <c r="L589" s="4"/>
      <c r="M589" s="4"/>
      <c r="N589" s="4"/>
      <c r="O589" s="4"/>
      <c r="P589" s="4"/>
      <c r="Q589" s="4"/>
      <c r="R589" s="16"/>
      <c r="S589" s="16"/>
      <c r="T589" s="16"/>
      <c r="U589" s="16"/>
      <c r="V589" s="16"/>
      <c r="W589" s="16"/>
      <c r="X589" s="16"/>
      <c r="Y589" s="16"/>
      <c r="Z589" s="16"/>
      <c r="AA589" s="16"/>
      <c r="AB589" s="16"/>
      <c r="AC589" s="16"/>
      <c r="AD589" s="16"/>
    </row>
    <row r="590" ht="13.5" customHeight="1" spans="1:30" x14ac:dyDescent="0.25">
      <c r="A590" s="4"/>
      <c r="B590" s="4"/>
      <c r="C590" s="4"/>
      <c r="D590" s="4"/>
      <c r="E590" s="4"/>
      <c r="F590" s="4"/>
      <c r="G590" s="4"/>
      <c r="H590" s="4"/>
      <c r="I590" s="4"/>
      <c r="J590" s="4"/>
      <c r="K590" s="4"/>
      <c r="L590" s="4"/>
      <c r="M590" s="4"/>
      <c r="N590" s="4"/>
      <c r="O590" s="4"/>
      <c r="P590" s="4"/>
      <c r="Q590" s="4"/>
      <c r="R590" s="16"/>
      <c r="S590" s="16"/>
      <c r="T590" s="16"/>
      <c r="U590" s="16"/>
      <c r="V590" s="16"/>
      <c r="W590" s="16"/>
      <c r="X590" s="16"/>
      <c r="Y590" s="16"/>
      <c r="Z590" s="16"/>
      <c r="AA590" s="16"/>
      <c r="AB590" s="16"/>
      <c r="AC590" s="16"/>
      <c r="AD590" s="16"/>
    </row>
    <row r="591" ht="13.5" customHeight="1" spans="1:30" x14ac:dyDescent="0.25">
      <c r="A591" s="4"/>
      <c r="B591" s="4"/>
      <c r="C591" s="4"/>
      <c r="D591" s="4"/>
      <c r="E591" s="4"/>
      <c r="F591" s="4"/>
      <c r="G591" s="4"/>
      <c r="H591" s="4"/>
      <c r="I591" s="4"/>
      <c r="J591" s="4"/>
      <c r="K591" s="4"/>
      <c r="L591" s="4"/>
      <c r="M591" s="4"/>
      <c r="N591" s="4"/>
      <c r="O591" s="4"/>
      <c r="P591" s="4"/>
      <c r="Q591" s="4"/>
      <c r="R591" s="16"/>
      <c r="S591" s="16"/>
      <c r="T591" s="16"/>
      <c r="U591" s="16"/>
      <c r="V591" s="16"/>
      <c r="W591" s="16"/>
      <c r="X591" s="16"/>
      <c r="Y591" s="16"/>
      <c r="Z591" s="16"/>
      <c r="AA591" s="16"/>
      <c r="AB591" s="16"/>
      <c r="AC591" s="16"/>
      <c r="AD591" s="16"/>
    </row>
    <row r="592" ht="13.5" customHeight="1" spans="1:30" x14ac:dyDescent="0.25">
      <c r="A592" s="4"/>
      <c r="B592" s="4"/>
      <c r="C592" s="4"/>
      <c r="D592" s="4"/>
      <c r="E592" s="4"/>
      <c r="F592" s="4"/>
      <c r="G592" s="4"/>
      <c r="H592" s="4"/>
      <c r="I592" s="4"/>
      <c r="J592" s="4"/>
      <c r="K592" s="4"/>
      <c r="L592" s="4"/>
      <c r="M592" s="4"/>
      <c r="N592" s="4"/>
      <c r="O592" s="4"/>
      <c r="P592" s="4"/>
      <c r="Q592" s="4"/>
      <c r="R592" s="16"/>
      <c r="S592" s="16"/>
      <c r="T592" s="16"/>
      <c r="U592" s="16"/>
      <c r="V592" s="16"/>
      <c r="W592" s="16"/>
      <c r="X592" s="16"/>
      <c r="Y592" s="16"/>
      <c r="Z592" s="16"/>
      <c r="AA592" s="16"/>
      <c r="AB592" s="16"/>
      <c r="AC592" s="16"/>
      <c r="AD592" s="16"/>
    </row>
    <row r="593" ht="13.5" customHeight="1" spans="1:30" x14ac:dyDescent="0.25">
      <c r="A593" s="4"/>
      <c r="B593" s="4"/>
      <c r="C593" s="4"/>
      <c r="D593" s="4"/>
      <c r="E593" s="4"/>
      <c r="F593" s="4"/>
      <c r="G593" s="4"/>
      <c r="H593" s="4"/>
      <c r="I593" s="4"/>
      <c r="J593" s="4"/>
      <c r="K593" s="4"/>
      <c r="L593" s="4"/>
      <c r="M593" s="4"/>
      <c r="N593" s="4"/>
      <c r="O593" s="4"/>
      <c r="P593" s="4"/>
      <c r="Q593" s="4"/>
      <c r="R593" s="16"/>
      <c r="S593" s="16"/>
      <c r="T593" s="16"/>
      <c r="U593" s="16"/>
      <c r="V593" s="16"/>
      <c r="W593" s="16"/>
      <c r="X593" s="16"/>
      <c r="Y593" s="16"/>
      <c r="Z593" s="16"/>
      <c r="AA593" s="16"/>
      <c r="AB593" s="16"/>
      <c r="AC593" s="16"/>
      <c r="AD593" s="16"/>
    </row>
    <row r="594" ht="13.5" customHeight="1" spans="1:30" x14ac:dyDescent="0.25">
      <c r="A594" s="4"/>
      <c r="B594" s="4"/>
      <c r="C594" s="4"/>
      <c r="D594" s="4"/>
      <c r="E594" s="4"/>
      <c r="F594" s="4"/>
      <c r="G594" s="4"/>
      <c r="H594" s="4"/>
      <c r="I594" s="4"/>
      <c r="J594" s="4"/>
      <c r="K594" s="4"/>
      <c r="L594" s="4"/>
      <c r="M594" s="4"/>
      <c r="N594" s="4"/>
      <c r="O594" s="4"/>
      <c r="P594" s="4"/>
      <c r="Q594" s="4"/>
      <c r="R594" s="16"/>
      <c r="S594" s="16"/>
      <c r="T594" s="16"/>
      <c r="U594" s="16"/>
      <c r="V594" s="16"/>
      <c r="W594" s="16"/>
      <c r="X594" s="16"/>
      <c r="Y594" s="16"/>
      <c r="Z594" s="16"/>
      <c r="AA594" s="16"/>
      <c r="AB594" s="16"/>
      <c r="AC594" s="16"/>
      <c r="AD594" s="16"/>
    </row>
    <row r="595" ht="13.5" customHeight="1" spans="1:30" x14ac:dyDescent="0.25">
      <c r="A595" s="4"/>
      <c r="B595" s="4"/>
      <c r="C595" s="4"/>
      <c r="D595" s="4"/>
      <c r="E595" s="4"/>
      <c r="F595" s="4"/>
      <c r="G595" s="4"/>
      <c r="H595" s="4"/>
      <c r="I595" s="4"/>
      <c r="J595" s="4"/>
      <c r="K595" s="4"/>
      <c r="L595" s="4"/>
      <c r="M595" s="4"/>
      <c r="N595" s="4"/>
      <c r="O595" s="4"/>
      <c r="P595" s="4"/>
      <c r="Q595" s="4"/>
      <c r="R595" s="16"/>
      <c r="S595" s="16"/>
      <c r="T595" s="16"/>
      <c r="U595" s="16"/>
      <c r="V595" s="16"/>
      <c r="W595" s="16"/>
      <c r="X595" s="16"/>
      <c r="Y595" s="16"/>
      <c r="Z595" s="16"/>
      <c r="AA595" s="16"/>
      <c r="AB595" s="16"/>
      <c r="AC595" s="16"/>
      <c r="AD595" s="16"/>
    </row>
    <row r="596" ht="13.5" customHeight="1" spans="1:30" x14ac:dyDescent="0.25">
      <c r="A596" s="4"/>
      <c r="B596" s="4"/>
      <c r="C596" s="4"/>
      <c r="D596" s="4"/>
      <c r="E596" s="4"/>
      <c r="F596" s="4"/>
      <c r="G596" s="4"/>
      <c r="H596" s="4"/>
      <c r="I596" s="4"/>
      <c r="J596" s="4"/>
      <c r="K596" s="4"/>
      <c r="L596" s="4"/>
      <c r="M596" s="4"/>
      <c r="N596" s="4"/>
      <c r="O596" s="4"/>
      <c r="P596" s="4"/>
      <c r="Q596" s="4"/>
      <c r="R596" s="16"/>
      <c r="S596" s="16"/>
      <c r="T596" s="16"/>
      <c r="U596" s="16"/>
      <c r="V596" s="16"/>
      <c r="W596" s="16"/>
      <c r="X596" s="16"/>
      <c r="Y596" s="16"/>
      <c r="Z596" s="16"/>
      <c r="AA596" s="16"/>
      <c r="AB596" s="16"/>
      <c r="AC596" s="16"/>
      <c r="AD596" s="16"/>
    </row>
    <row r="597" ht="13.5" customHeight="1" spans="1:30" x14ac:dyDescent="0.25">
      <c r="A597" s="4"/>
      <c r="B597" s="4"/>
      <c r="C597" s="4"/>
      <c r="D597" s="4"/>
      <c r="E597" s="4"/>
      <c r="F597" s="4"/>
      <c r="G597" s="4"/>
      <c r="H597" s="4"/>
      <c r="I597" s="4"/>
      <c r="J597" s="4"/>
      <c r="K597" s="4"/>
      <c r="L597" s="4"/>
      <c r="M597" s="4"/>
      <c r="N597" s="4"/>
      <c r="O597" s="4"/>
      <c r="P597" s="4"/>
      <c r="Q597" s="4"/>
      <c r="R597" s="16"/>
      <c r="S597" s="16"/>
      <c r="T597" s="16"/>
      <c r="U597" s="16"/>
      <c r="V597" s="16"/>
      <c r="W597" s="16"/>
      <c r="X597" s="16"/>
      <c r="Y597" s="16"/>
      <c r="Z597" s="16"/>
      <c r="AA597" s="16"/>
      <c r="AB597" s="16"/>
      <c r="AC597" s="16"/>
      <c r="AD597" s="16"/>
    </row>
    <row r="598" ht="13.5" customHeight="1" spans="1:30" x14ac:dyDescent="0.25">
      <c r="A598" s="4"/>
      <c r="B598" s="4"/>
      <c r="C598" s="4"/>
      <c r="D598" s="4"/>
      <c r="E598" s="4"/>
      <c r="F598" s="4"/>
      <c r="G598" s="4"/>
      <c r="H598" s="4"/>
      <c r="I598" s="4"/>
      <c r="J598" s="4"/>
      <c r="K598" s="4"/>
      <c r="L598" s="4"/>
      <c r="M598" s="4"/>
      <c r="N598" s="4"/>
      <c r="O598" s="4"/>
      <c r="P598" s="4"/>
      <c r="Q598" s="4"/>
      <c r="R598" s="16"/>
      <c r="S598" s="16"/>
      <c r="T598" s="16"/>
      <c r="U598" s="16"/>
      <c r="V598" s="16"/>
      <c r="W598" s="16"/>
      <c r="X598" s="16"/>
      <c r="Y598" s="16"/>
      <c r="Z598" s="16"/>
      <c r="AA598" s="16"/>
      <c r="AB598" s="16"/>
      <c r="AC598" s="16"/>
      <c r="AD598" s="16"/>
    </row>
    <row r="599" ht="13.5" customHeight="1" spans="1:30" x14ac:dyDescent="0.25">
      <c r="A599" s="4"/>
      <c r="B599" s="4"/>
      <c r="C599" s="4"/>
      <c r="D599" s="4"/>
      <c r="E599" s="4"/>
      <c r="F599" s="4"/>
      <c r="G599" s="4"/>
      <c r="H599" s="4"/>
      <c r="I599" s="4"/>
      <c r="J599" s="4"/>
      <c r="K599" s="4"/>
      <c r="L599" s="4"/>
      <c r="M599" s="4"/>
      <c r="N599" s="4"/>
      <c r="O599" s="4"/>
      <c r="P599" s="4"/>
      <c r="Q599" s="4"/>
      <c r="R599" s="16"/>
      <c r="S599" s="16"/>
      <c r="T599" s="16"/>
      <c r="U599" s="16"/>
      <c r="V599" s="16"/>
      <c r="W599" s="16"/>
      <c r="X599" s="16"/>
      <c r="Y599" s="16"/>
      <c r="Z599" s="16"/>
      <c r="AA599" s="16"/>
      <c r="AB599" s="16"/>
      <c r="AC599" s="16"/>
      <c r="AD599" s="16"/>
    </row>
    <row r="600" ht="13.5" customHeight="1" spans="1:30" x14ac:dyDescent="0.25">
      <c r="A600" s="4"/>
      <c r="B600" s="4"/>
      <c r="C600" s="4"/>
      <c r="D600" s="4"/>
      <c r="E600" s="4"/>
      <c r="F600" s="4"/>
      <c r="G600" s="4"/>
      <c r="H600" s="4"/>
      <c r="I600" s="4"/>
      <c r="J600" s="4"/>
      <c r="K600" s="4"/>
      <c r="L600" s="4"/>
      <c r="M600" s="4"/>
      <c r="N600" s="4"/>
      <c r="O600" s="4"/>
      <c r="P600" s="4"/>
      <c r="Q600" s="4"/>
      <c r="R600" s="16"/>
      <c r="S600" s="16"/>
      <c r="T600" s="16"/>
      <c r="U600" s="16"/>
      <c r="V600" s="16"/>
      <c r="W600" s="16"/>
      <c r="X600" s="16"/>
      <c r="Y600" s="16"/>
      <c r="Z600" s="16"/>
      <c r="AA600" s="16"/>
      <c r="AB600" s="16"/>
      <c r="AC600" s="16"/>
      <c r="AD600" s="16"/>
    </row>
    <row r="601" ht="13.5" customHeight="1" spans="1:30" x14ac:dyDescent="0.25">
      <c r="A601" s="4"/>
      <c r="B601" s="4"/>
      <c r="C601" s="4"/>
      <c r="D601" s="4"/>
      <c r="E601" s="4"/>
      <c r="F601" s="4"/>
      <c r="G601" s="4"/>
      <c r="H601" s="4"/>
      <c r="I601" s="4"/>
      <c r="J601" s="4"/>
      <c r="K601" s="4"/>
      <c r="L601" s="4"/>
      <c r="M601" s="4"/>
      <c r="N601" s="4"/>
      <c r="O601" s="4"/>
      <c r="P601" s="4"/>
      <c r="Q601" s="4"/>
      <c r="R601" s="16"/>
      <c r="S601" s="16"/>
      <c r="T601" s="16"/>
      <c r="U601" s="16"/>
      <c r="V601" s="16"/>
      <c r="W601" s="16"/>
      <c r="X601" s="16"/>
      <c r="Y601" s="16"/>
      <c r="Z601" s="16"/>
      <c r="AA601" s="16"/>
      <c r="AB601" s="16"/>
      <c r="AC601" s="16"/>
      <c r="AD601" s="16"/>
    </row>
    <row r="602" ht="13.5" customHeight="1" spans="1:30" x14ac:dyDescent="0.25">
      <c r="A602" s="4"/>
      <c r="B602" s="4"/>
      <c r="C602" s="4"/>
      <c r="D602" s="4"/>
      <c r="E602" s="4"/>
      <c r="F602" s="4"/>
      <c r="G602" s="4"/>
      <c r="H602" s="4"/>
      <c r="I602" s="4"/>
      <c r="J602" s="4"/>
      <c r="K602" s="4"/>
      <c r="L602" s="4"/>
      <c r="M602" s="4"/>
      <c r="N602" s="4"/>
      <c r="O602" s="4"/>
      <c r="P602" s="4"/>
      <c r="Q602" s="4"/>
      <c r="R602" s="16"/>
      <c r="S602" s="16"/>
      <c r="T602" s="16"/>
      <c r="U602" s="16"/>
      <c r="V602" s="16"/>
      <c r="W602" s="16"/>
      <c r="X602" s="16"/>
      <c r="Y602" s="16"/>
      <c r="Z602" s="16"/>
      <c r="AA602" s="16"/>
      <c r="AB602" s="16"/>
      <c r="AC602" s="16"/>
      <c r="AD602" s="16"/>
    </row>
    <row r="603" ht="13.5" customHeight="1" spans="1:30" x14ac:dyDescent="0.25">
      <c r="A603" s="4"/>
      <c r="B603" s="4"/>
      <c r="C603" s="4"/>
      <c r="D603" s="4"/>
      <c r="E603" s="4"/>
      <c r="F603" s="4"/>
      <c r="G603" s="4"/>
      <c r="H603" s="4"/>
      <c r="I603" s="4"/>
      <c r="J603" s="4"/>
      <c r="K603" s="4"/>
      <c r="L603" s="4"/>
      <c r="M603" s="4"/>
      <c r="N603" s="4"/>
      <c r="O603" s="4"/>
      <c r="P603" s="4"/>
      <c r="Q603" s="4"/>
      <c r="R603" s="16"/>
      <c r="S603" s="16"/>
      <c r="T603" s="16"/>
      <c r="U603" s="16"/>
      <c r="V603" s="16"/>
      <c r="W603" s="16"/>
      <c r="X603" s="16"/>
      <c r="Y603" s="16"/>
      <c r="Z603" s="16"/>
      <c r="AA603" s="16"/>
      <c r="AB603" s="16"/>
      <c r="AC603" s="16"/>
      <c r="AD603" s="16"/>
    </row>
    <row r="604" ht="13.5" customHeight="1" spans="1:30" x14ac:dyDescent="0.25">
      <c r="A604" s="4"/>
      <c r="B604" s="4"/>
      <c r="C604" s="4"/>
      <c r="D604" s="4"/>
      <c r="E604" s="4"/>
      <c r="F604" s="4"/>
      <c r="G604" s="4"/>
      <c r="H604" s="4"/>
      <c r="I604" s="4"/>
      <c r="J604" s="4"/>
      <c r="K604" s="4"/>
      <c r="L604" s="4"/>
      <c r="M604" s="4"/>
      <c r="N604" s="4"/>
      <c r="O604" s="4"/>
      <c r="P604" s="4"/>
      <c r="Q604" s="4"/>
      <c r="R604" s="16"/>
      <c r="S604" s="16"/>
      <c r="T604" s="16"/>
      <c r="U604" s="16"/>
      <c r="V604" s="16"/>
      <c r="W604" s="16"/>
      <c r="X604" s="16"/>
      <c r="Y604" s="16"/>
      <c r="Z604" s="16"/>
      <c r="AA604" s="16"/>
      <c r="AB604" s="16"/>
      <c r="AC604" s="16"/>
      <c r="AD604" s="16"/>
    </row>
    <row r="605" ht="13.5" customHeight="1" spans="1:30" x14ac:dyDescent="0.25">
      <c r="A605" s="4"/>
      <c r="B605" s="4"/>
      <c r="C605" s="4"/>
      <c r="D605" s="4"/>
      <c r="E605" s="4"/>
      <c r="F605" s="4"/>
      <c r="G605" s="4"/>
      <c r="H605" s="4"/>
      <c r="I605" s="4"/>
      <c r="J605" s="4"/>
      <c r="K605" s="4"/>
      <c r="L605" s="4"/>
      <c r="M605" s="4"/>
      <c r="N605" s="4"/>
      <c r="O605" s="4"/>
      <c r="P605" s="4"/>
      <c r="Q605" s="4"/>
      <c r="R605" s="16"/>
      <c r="S605" s="16"/>
      <c r="T605" s="16"/>
      <c r="U605" s="16"/>
      <c r="V605" s="16"/>
      <c r="W605" s="16"/>
      <c r="X605" s="16"/>
      <c r="Y605" s="16"/>
      <c r="Z605" s="16"/>
      <c r="AA605" s="16"/>
      <c r="AB605" s="16"/>
      <c r="AC605" s="16"/>
      <c r="AD605" s="16"/>
    </row>
    <row r="606" ht="13.5" customHeight="1" spans="1:30" x14ac:dyDescent="0.25">
      <c r="A606" s="4"/>
      <c r="B606" s="4"/>
      <c r="C606" s="4"/>
      <c r="D606" s="4"/>
      <c r="E606" s="4"/>
      <c r="F606" s="4"/>
      <c r="G606" s="4"/>
      <c r="H606" s="4"/>
      <c r="I606" s="4"/>
      <c r="J606" s="4"/>
      <c r="K606" s="4"/>
      <c r="L606" s="4"/>
      <c r="M606" s="4"/>
      <c r="N606" s="4"/>
      <c r="O606" s="4"/>
      <c r="P606" s="4"/>
      <c r="Q606" s="4"/>
      <c r="R606" s="16"/>
      <c r="S606" s="16"/>
      <c r="T606" s="16"/>
      <c r="U606" s="16"/>
      <c r="V606" s="16"/>
      <c r="W606" s="16"/>
      <c r="X606" s="16"/>
      <c r="Y606" s="16"/>
      <c r="Z606" s="16"/>
      <c r="AA606" s="16"/>
      <c r="AB606" s="16"/>
      <c r="AC606" s="16"/>
      <c r="AD606" s="16"/>
    </row>
    <row r="607" ht="13.5" customHeight="1" spans="1:30" x14ac:dyDescent="0.25">
      <c r="A607" s="4"/>
      <c r="B607" s="4"/>
      <c r="C607" s="4"/>
      <c r="D607" s="4"/>
      <c r="E607" s="4"/>
      <c r="F607" s="4"/>
      <c r="G607" s="4"/>
      <c r="H607" s="4"/>
      <c r="I607" s="4"/>
      <c r="J607" s="4"/>
      <c r="K607" s="4"/>
      <c r="L607" s="4"/>
      <c r="M607" s="4"/>
      <c r="N607" s="4"/>
      <c r="O607" s="4"/>
      <c r="P607" s="4"/>
      <c r="Q607" s="4"/>
      <c r="R607" s="16"/>
      <c r="S607" s="16"/>
      <c r="T607" s="16"/>
      <c r="U607" s="16"/>
      <c r="V607" s="16"/>
      <c r="W607" s="16"/>
      <c r="X607" s="16"/>
      <c r="Y607" s="16"/>
      <c r="Z607" s="16"/>
      <c r="AA607" s="16"/>
      <c r="AB607" s="16"/>
      <c r="AC607" s="16"/>
      <c r="AD607" s="16"/>
    </row>
    <row r="608" ht="13.5" customHeight="1" spans="1:30" x14ac:dyDescent="0.25">
      <c r="A608" s="4"/>
      <c r="B608" s="4"/>
      <c r="C608" s="4"/>
      <c r="D608" s="4"/>
      <c r="E608" s="4"/>
      <c r="F608" s="4"/>
      <c r="G608" s="4"/>
      <c r="H608" s="4"/>
      <c r="I608" s="4"/>
      <c r="J608" s="4"/>
      <c r="K608" s="4"/>
      <c r="L608" s="4"/>
      <c r="M608" s="4"/>
      <c r="N608" s="4"/>
      <c r="O608" s="4"/>
      <c r="P608" s="4"/>
      <c r="Q608" s="4"/>
      <c r="R608" s="16"/>
      <c r="S608" s="16"/>
      <c r="T608" s="16"/>
      <c r="U608" s="16"/>
      <c r="V608" s="16"/>
      <c r="W608" s="16"/>
      <c r="X608" s="16"/>
      <c r="Y608" s="16"/>
      <c r="Z608" s="16"/>
      <c r="AA608" s="16"/>
      <c r="AB608" s="16"/>
      <c r="AC608" s="16"/>
      <c r="AD608" s="16"/>
    </row>
    <row r="609" ht="13.5" customHeight="1" spans="1:30" x14ac:dyDescent="0.25">
      <c r="A609" s="4"/>
      <c r="B609" s="4"/>
      <c r="C609" s="4"/>
      <c r="D609" s="4"/>
      <c r="E609" s="4"/>
      <c r="F609" s="4"/>
      <c r="G609" s="4"/>
      <c r="H609" s="4"/>
      <c r="I609" s="4"/>
      <c r="J609" s="4"/>
      <c r="K609" s="4"/>
      <c r="L609" s="4"/>
      <c r="M609" s="4"/>
      <c r="N609" s="4"/>
      <c r="O609" s="4"/>
      <c r="P609" s="4"/>
      <c r="Q609" s="4"/>
      <c r="R609" s="16"/>
      <c r="S609" s="16"/>
      <c r="T609" s="16"/>
      <c r="U609" s="16"/>
      <c r="V609" s="16"/>
      <c r="W609" s="16"/>
      <c r="X609" s="16"/>
      <c r="Y609" s="16"/>
      <c r="Z609" s="16"/>
      <c r="AA609" s="16"/>
      <c r="AB609" s="16"/>
      <c r="AC609" s="16"/>
      <c r="AD609" s="16"/>
    </row>
    <row r="610" ht="13.5" customHeight="1" spans="1:30" x14ac:dyDescent="0.25">
      <c r="A610" s="4"/>
      <c r="B610" s="4"/>
      <c r="C610" s="4"/>
      <c r="D610" s="4"/>
      <c r="E610" s="4"/>
      <c r="F610" s="4"/>
      <c r="G610" s="4"/>
      <c r="H610" s="4"/>
      <c r="I610" s="4"/>
      <c r="J610" s="4"/>
      <c r="K610" s="4"/>
      <c r="L610" s="4"/>
      <c r="M610" s="4"/>
      <c r="N610" s="4"/>
      <c r="O610" s="4"/>
      <c r="P610" s="4"/>
      <c r="Q610" s="4"/>
      <c r="R610" s="16"/>
      <c r="S610" s="16"/>
      <c r="T610" s="16"/>
      <c r="U610" s="16"/>
      <c r="V610" s="16"/>
      <c r="W610" s="16"/>
      <c r="X610" s="16"/>
      <c r="Y610" s="16"/>
      <c r="Z610" s="16"/>
      <c r="AA610" s="16"/>
      <c r="AB610" s="16"/>
      <c r="AC610" s="16"/>
      <c r="AD610" s="16"/>
    </row>
    <row r="611" ht="13.5" customHeight="1" spans="1:30" x14ac:dyDescent="0.25">
      <c r="A611" s="4"/>
      <c r="B611" s="4"/>
      <c r="C611" s="4"/>
      <c r="D611" s="4"/>
      <c r="E611" s="4"/>
      <c r="F611" s="4"/>
      <c r="G611" s="4"/>
      <c r="H611" s="4"/>
      <c r="I611" s="4"/>
      <c r="J611" s="4"/>
      <c r="K611" s="4"/>
      <c r="L611" s="4"/>
      <c r="M611" s="4"/>
      <c r="N611" s="4"/>
      <c r="O611" s="4"/>
      <c r="P611" s="4"/>
      <c r="Q611" s="4"/>
      <c r="R611" s="16"/>
      <c r="S611" s="16"/>
      <c r="T611" s="16"/>
      <c r="U611" s="16"/>
      <c r="V611" s="16"/>
      <c r="W611" s="16"/>
      <c r="X611" s="16"/>
      <c r="Y611" s="16"/>
      <c r="Z611" s="16"/>
      <c r="AA611" s="16"/>
      <c r="AB611" s="16"/>
      <c r="AC611" s="16"/>
      <c r="AD611" s="16"/>
    </row>
    <row r="612" ht="13.5" customHeight="1" spans="1:30" x14ac:dyDescent="0.25">
      <c r="A612" s="4"/>
      <c r="B612" s="4"/>
      <c r="C612" s="4"/>
      <c r="D612" s="4"/>
      <c r="E612" s="4"/>
      <c r="F612" s="4"/>
      <c r="G612" s="4"/>
      <c r="H612" s="4"/>
      <c r="I612" s="4"/>
      <c r="J612" s="4"/>
      <c r="K612" s="4"/>
      <c r="L612" s="4"/>
      <c r="M612" s="4"/>
      <c r="N612" s="4"/>
      <c r="O612" s="4"/>
      <c r="P612" s="4"/>
      <c r="Q612" s="4"/>
      <c r="R612" s="16"/>
      <c r="S612" s="16"/>
      <c r="T612" s="16"/>
      <c r="U612" s="16"/>
      <c r="V612" s="16"/>
      <c r="W612" s="16"/>
      <c r="X612" s="16"/>
      <c r="Y612" s="16"/>
      <c r="Z612" s="16"/>
      <c r="AA612" s="16"/>
      <c r="AB612" s="16"/>
      <c r="AC612" s="16"/>
      <c r="AD612" s="16"/>
    </row>
    <row r="613" ht="13.5" customHeight="1" spans="1:30" x14ac:dyDescent="0.25">
      <c r="A613" s="4"/>
      <c r="B613" s="4"/>
      <c r="C613" s="4"/>
      <c r="D613" s="4"/>
      <c r="E613" s="4"/>
      <c r="F613" s="4"/>
      <c r="G613" s="4"/>
      <c r="H613" s="4"/>
      <c r="I613" s="4"/>
      <c r="J613" s="4"/>
      <c r="K613" s="4"/>
      <c r="L613" s="4"/>
      <c r="M613" s="4"/>
      <c r="N613" s="4"/>
      <c r="O613" s="4"/>
      <c r="P613" s="4"/>
      <c r="Q613" s="4"/>
      <c r="R613" s="16"/>
      <c r="S613" s="16"/>
      <c r="T613" s="16"/>
      <c r="U613" s="16"/>
      <c r="V613" s="16"/>
      <c r="W613" s="16"/>
      <c r="X613" s="16"/>
      <c r="Y613" s="16"/>
      <c r="Z613" s="16"/>
      <c r="AA613" s="16"/>
      <c r="AB613" s="16"/>
      <c r="AC613" s="16"/>
      <c r="AD613" s="16"/>
    </row>
    <row r="614" ht="13.5" customHeight="1" spans="1:30" x14ac:dyDescent="0.25">
      <c r="A614" s="4"/>
      <c r="B614" s="4"/>
      <c r="C614" s="4"/>
      <c r="D614" s="4"/>
      <c r="E614" s="4"/>
      <c r="F614" s="4"/>
      <c r="G614" s="4"/>
      <c r="H614" s="4"/>
      <c r="I614" s="4"/>
      <c r="J614" s="4"/>
      <c r="K614" s="4"/>
      <c r="L614" s="4"/>
      <c r="M614" s="4"/>
      <c r="N614" s="4"/>
      <c r="O614" s="4"/>
      <c r="P614" s="4"/>
      <c r="Q614" s="4"/>
      <c r="R614" s="16"/>
      <c r="S614" s="16"/>
      <c r="T614" s="16"/>
      <c r="U614" s="16"/>
      <c r="V614" s="16"/>
      <c r="W614" s="16"/>
      <c r="X614" s="16"/>
      <c r="Y614" s="16"/>
      <c r="Z614" s="16"/>
      <c r="AA614" s="16"/>
      <c r="AB614" s="16"/>
      <c r="AC614" s="16"/>
      <c r="AD614" s="16"/>
    </row>
    <row r="615" ht="13.5" customHeight="1" spans="1:30" x14ac:dyDescent="0.25">
      <c r="A615" s="4"/>
      <c r="B615" s="4"/>
      <c r="C615" s="4"/>
      <c r="D615" s="4"/>
      <c r="E615" s="4"/>
      <c r="F615" s="4"/>
      <c r="G615" s="4"/>
      <c r="H615" s="4"/>
      <c r="I615" s="4"/>
      <c r="J615" s="4"/>
      <c r="K615" s="4"/>
      <c r="L615" s="4"/>
      <c r="M615" s="4"/>
      <c r="N615" s="4"/>
      <c r="O615" s="4"/>
      <c r="P615" s="4"/>
      <c r="Q615" s="4"/>
      <c r="R615" s="16"/>
      <c r="S615" s="16"/>
      <c r="T615" s="16"/>
      <c r="U615" s="16"/>
      <c r="V615" s="16"/>
      <c r="W615" s="16"/>
      <c r="X615" s="16"/>
      <c r="Y615" s="16"/>
      <c r="Z615" s="16"/>
      <c r="AA615" s="16"/>
      <c r="AB615" s="16"/>
      <c r="AC615" s="16"/>
      <c r="AD615" s="16"/>
    </row>
    <row r="616" ht="13.5" customHeight="1" spans="1:30" x14ac:dyDescent="0.25">
      <c r="A616" s="4"/>
      <c r="B616" s="4"/>
      <c r="C616" s="4"/>
      <c r="D616" s="4"/>
      <c r="E616" s="4"/>
      <c r="F616" s="4"/>
      <c r="G616" s="4"/>
      <c r="H616" s="4"/>
      <c r="I616" s="4"/>
      <c r="J616" s="4"/>
      <c r="K616" s="4"/>
      <c r="L616" s="4"/>
      <c r="M616" s="4"/>
      <c r="N616" s="4"/>
      <c r="O616" s="4"/>
      <c r="P616" s="4"/>
      <c r="Q616" s="4"/>
      <c r="R616" s="16"/>
      <c r="S616" s="16"/>
      <c r="T616" s="16"/>
      <c r="U616" s="16"/>
      <c r="V616" s="16"/>
      <c r="W616" s="16"/>
      <c r="X616" s="16"/>
      <c r="Y616" s="16"/>
      <c r="Z616" s="16"/>
      <c r="AA616" s="16"/>
      <c r="AB616" s="16"/>
      <c r="AC616" s="16"/>
      <c r="AD616" s="16"/>
    </row>
    <row r="617" ht="13.5" customHeight="1" spans="1:30" x14ac:dyDescent="0.25">
      <c r="A617" s="4"/>
      <c r="B617" s="4"/>
      <c r="C617" s="4"/>
      <c r="D617" s="4"/>
      <c r="E617" s="4"/>
      <c r="F617" s="4"/>
      <c r="G617" s="4"/>
      <c r="H617" s="4"/>
      <c r="I617" s="4"/>
      <c r="J617" s="4"/>
      <c r="K617" s="4"/>
      <c r="L617" s="4"/>
      <c r="M617" s="4"/>
      <c r="N617" s="4"/>
      <c r="O617" s="4"/>
      <c r="P617" s="4"/>
      <c r="Q617" s="4"/>
      <c r="R617" s="16"/>
      <c r="S617" s="16"/>
      <c r="T617" s="16"/>
      <c r="U617" s="16"/>
      <c r="V617" s="16"/>
      <c r="W617" s="16"/>
      <c r="X617" s="16"/>
      <c r="Y617" s="16"/>
      <c r="Z617" s="16"/>
      <c r="AA617" s="16"/>
      <c r="AB617" s="16"/>
      <c r="AC617" s="16"/>
      <c r="AD617" s="16"/>
    </row>
    <row r="618" ht="13.5" customHeight="1" spans="1:30" x14ac:dyDescent="0.25">
      <c r="A618" s="4"/>
      <c r="B618" s="4"/>
      <c r="C618" s="4"/>
      <c r="D618" s="4"/>
      <c r="E618" s="4"/>
      <c r="F618" s="4"/>
      <c r="G618" s="4"/>
      <c r="H618" s="4"/>
      <c r="I618" s="4"/>
      <c r="J618" s="4"/>
      <c r="K618" s="4"/>
      <c r="L618" s="4"/>
      <c r="M618" s="4"/>
      <c r="N618" s="4"/>
      <c r="O618" s="4"/>
      <c r="P618" s="4"/>
      <c r="Q618" s="4"/>
      <c r="R618" s="16"/>
      <c r="S618" s="16"/>
      <c r="T618" s="16"/>
      <c r="U618" s="16"/>
      <c r="V618" s="16"/>
      <c r="W618" s="16"/>
      <c r="X618" s="16"/>
      <c r="Y618" s="16"/>
      <c r="Z618" s="16"/>
      <c r="AA618" s="16"/>
      <c r="AB618" s="16"/>
      <c r="AC618" s="16"/>
      <c r="AD618" s="16"/>
    </row>
    <row r="619" ht="13.5" customHeight="1" spans="1:30" x14ac:dyDescent="0.25">
      <c r="A619" s="4"/>
      <c r="B619" s="4"/>
      <c r="C619" s="4"/>
      <c r="D619" s="4"/>
      <c r="E619" s="4"/>
      <c r="F619" s="4"/>
      <c r="G619" s="4"/>
      <c r="H619" s="4"/>
      <c r="I619" s="4"/>
      <c r="J619" s="4"/>
      <c r="K619" s="4"/>
      <c r="L619" s="4"/>
      <c r="M619" s="4"/>
      <c r="N619" s="4"/>
      <c r="O619" s="4"/>
      <c r="P619" s="4"/>
      <c r="Q619" s="4"/>
      <c r="R619" s="16"/>
      <c r="S619" s="16"/>
      <c r="T619" s="16"/>
      <c r="U619" s="16"/>
      <c r="V619" s="16"/>
      <c r="W619" s="16"/>
      <c r="X619" s="16"/>
      <c r="Y619" s="16"/>
      <c r="Z619" s="16"/>
      <c r="AA619" s="16"/>
      <c r="AB619" s="16"/>
      <c r="AC619" s="16"/>
      <c r="AD619" s="16"/>
    </row>
    <row r="620" ht="13.5" customHeight="1" spans="1:30" x14ac:dyDescent="0.25">
      <c r="A620" s="4"/>
      <c r="B620" s="4"/>
      <c r="C620" s="4"/>
      <c r="D620" s="4"/>
      <c r="E620" s="4"/>
      <c r="F620" s="4"/>
      <c r="G620" s="4"/>
      <c r="H620" s="4"/>
      <c r="I620" s="4"/>
      <c r="J620" s="4"/>
      <c r="K620" s="4"/>
      <c r="L620" s="4"/>
      <c r="M620" s="4"/>
      <c r="N620" s="4"/>
      <c r="O620" s="4"/>
      <c r="P620" s="4"/>
      <c r="Q620" s="4"/>
      <c r="R620" s="16"/>
      <c r="S620" s="16"/>
      <c r="T620" s="16"/>
      <c r="U620" s="16"/>
      <c r="V620" s="16"/>
      <c r="W620" s="16"/>
      <c r="X620" s="16"/>
      <c r="Y620" s="16"/>
      <c r="Z620" s="16"/>
      <c r="AA620" s="16"/>
      <c r="AB620" s="16"/>
      <c r="AC620" s="16"/>
      <c r="AD620" s="16"/>
    </row>
    <row r="621" ht="13.5" customHeight="1" spans="1:30" x14ac:dyDescent="0.25">
      <c r="A621" s="4"/>
      <c r="B621" s="4"/>
      <c r="C621" s="4"/>
      <c r="D621" s="4"/>
      <c r="E621" s="4"/>
      <c r="F621" s="4"/>
      <c r="G621" s="4"/>
      <c r="H621" s="4"/>
      <c r="I621" s="4"/>
      <c r="J621" s="4"/>
      <c r="K621" s="4"/>
      <c r="L621" s="4"/>
      <c r="M621" s="4"/>
      <c r="N621" s="4"/>
      <c r="O621" s="4"/>
      <c r="P621" s="4"/>
      <c r="Q621" s="4"/>
      <c r="R621" s="16"/>
      <c r="S621" s="16"/>
      <c r="T621" s="16"/>
      <c r="U621" s="16"/>
      <c r="V621" s="16"/>
      <c r="W621" s="16"/>
      <c r="X621" s="16"/>
      <c r="Y621" s="16"/>
      <c r="Z621" s="16"/>
      <c r="AA621" s="16"/>
      <c r="AB621" s="16"/>
      <c r="AC621" s="16"/>
      <c r="AD621" s="16"/>
    </row>
    <row r="622" ht="13.5" customHeight="1" spans="1:30" x14ac:dyDescent="0.25">
      <c r="A622" s="4"/>
      <c r="B622" s="4"/>
      <c r="C622" s="4"/>
      <c r="D622" s="4"/>
      <c r="E622" s="4"/>
      <c r="F622" s="4"/>
      <c r="G622" s="4"/>
      <c r="H622" s="4"/>
      <c r="I622" s="4"/>
      <c r="J622" s="4"/>
      <c r="K622" s="4"/>
      <c r="L622" s="4"/>
      <c r="M622" s="4"/>
      <c r="N622" s="4"/>
      <c r="O622" s="4"/>
      <c r="P622" s="4"/>
      <c r="Q622" s="4"/>
      <c r="R622" s="16"/>
      <c r="S622" s="16"/>
      <c r="T622" s="16"/>
      <c r="U622" s="16"/>
      <c r="V622" s="16"/>
      <c r="W622" s="16"/>
      <c r="X622" s="16"/>
      <c r="Y622" s="16"/>
      <c r="Z622" s="16"/>
      <c r="AA622" s="16"/>
      <c r="AB622" s="16"/>
      <c r="AC622" s="16"/>
      <c r="AD622" s="16"/>
    </row>
    <row r="623" ht="13.5" customHeight="1" spans="1:30" x14ac:dyDescent="0.25">
      <c r="A623" s="4"/>
      <c r="B623" s="4"/>
      <c r="C623" s="4"/>
      <c r="D623" s="4"/>
      <c r="E623" s="4"/>
      <c r="F623" s="4"/>
      <c r="G623" s="4"/>
      <c r="H623" s="4"/>
      <c r="I623" s="4"/>
      <c r="J623" s="4"/>
      <c r="K623" s="4"/>
      <c r="L623" s="4"/>
      <c r="M623" s="4"/>
      <c r="N623" s="4"/>
      <c r="O623" s="4"/>
      <c r="P623" s="4"/>
      <c r="Q623" s="4"/>
      <c r="R623" s="16"/>
      <c r="S623" s="16"/>
      <c r="T623" s="16"/>
      <c r="U623" s="16"/>
      <c r="V623" s="16"/>
      <c r="W623" s="16"/>
      <c r="X623" s="16"/>
      <c r="Y623" s="16"/>
      <c r="Z623" s="16"/>
      <c r="AA623" s="16"/>
      <c r="AB623" s="16"/>
      <c r="AC623" s="16"/>
      <c r="AD623" s="16"/>
    </row>
    <row r="624" ht="13.5" customHeight="1" spans="1:30" x14ac:dyDescent="0.25">
      <c r="A624" s="4"/>
      <c r="B624" s="4"/>
      <c r="C624" s="4"/>
      <c r="D624" s="4"/>
      <c r="E624" s="4"/>
      <c r="F624" s="4"/>
      <c r="G624" s="4"/>
      <c r="H624" s="4"/>
      <c r="I624" s="4"/>
      <c r="J624" s="4"/>
      <c r="K624" s="4"/>
      <c r="L624" s="4"/>
      <c r="M624" s="4"/>
      <c r="N624" s="4"/>
      <c r="O624" s="4"/>
      <c r="P624" s="4"/>
      <c r="Q624" s="4"/>
      <c r="R624" s="16"/>
      <c r="S624" s="16"/>
      <c r="T624" s="16"/>
      <c r="U624" s="16"/>
      <c r="V624" s="16"/>
      <c r="W624" s="16"/>
      <c r="X624" s="16"/>
      <c r="Y624" s="16"/>
      <c r="Z624" s="16"/>
      <c r="AA624" s="16"/>
      <c r="AB624" s="16"/>
      <c r="AC624" s="16"/>
      <c r="AD624" s="16"/>
    </row>
    <row r="625" ht="13.5" customHeight="1" spans="1:30" x14ac:dyDescent="0.25">
      <c r="A625" s="4"/>
      <c r="B625" s="4"/>
      <c r="C625" s="4"/>
      <c r="D625" s="4"/>
      <c r="E625" s="4"/>
      <c r="F625" s="4"/>
      <c r="G625" s="4"/>
      <c r="H625" s="4"/>
      <c r="I625" s="4"/>
      <c r="J625" s="4"/>
      <c r="K625" s="4"/>
      <c r="L625" s="4"/>
      <c r="M625" s="4"/>
      <c r="N625" s="4"/>
      <c r="O625" s="4"/>
      <c r="P625" s="4"/>
      <c r="Q625" s="4"/>
      <c r="R625" s="16"/>
      <c r="S625" s="16"/>
      <c r="T625" s="16"/>
      <c r="U625" s="16"/>
      <c r="V625" s="16"/>
      <c r="W625" s="16"/>
      <c r="X625" s="16"/>
      <c r="Y625" s="16"/>
      <c r="Z625" s="16"/>
      <c r="AA625" s="16"/>
      <c r="AB625" s="16"/>
      <c r="AC625" s="16"/>
      <c r="AD625" s="16"/>
    </row>
    <row r="626" ht="13.5" customHeight="1" spans="1:30" x14ac:dyDescent="0.25">
      <c r="A626" s="4"/>
      <c r="B626" s="4"/>
      <c r="C626" s="4"/>
      <c r="D626" s="4"/>
      <c r="E626" s="4"/>
      <c r="F626" s="4"/>
      <c r="G626" s="4"/>
      <c r="H626" s="4"/>
      <c r="I626" s="4"/>
      <c r="J626" s="4"/>
      <c r="K626" s="4"/>
      <c r="L626" s="4"/>
      <c r="M626" s="4"/>
      <c r="N626" s="4"/>
      <c r="O626" s="4"/>
      <c r="P626" s="4"/>
      <c r="Q626" s="4"/>
      <c r="R626" s="16"/>
      <c r="S626" s="16"/>
      <c r="T626" s="16"/>
      <c r="U626" s="16"/>
      <c r="V626" s="16"/>
      <c r="W626" s="16"/>
      <c r="X626" s="16"/>
      <c r="Y626" s="16"/>
      <c r="Z626" s="16"/>
      <c r="AA626" s="16"/>
      <c r="AB626" s="16"/>
      <c r="AC626" s="16"/>
      <c r="AD626" s="16"/>
    </row>
    <row r="627" ht="13.5" customHeight="1" spans="1:30" x14ac:dyDescent="0.25">
      <c r="A627" s="4"/>
      <c r="B627" s="4"/>
      <c r="C627" s="4"/>
      <c r="D627" s="4"/>
      <c r="E627" s="4"/>
      <c r="F627" s="4"/>
      <c r="G627" s="4"/>
      <c r="H627" s="4"/>
      <c r="I627" s="4"/>
      <c r="J627" s="4"/>
      <c r="K627" s="4"/>
      <c r="L627" s="4"/>
      <c r="M627" s="4"/>
      <c r="N627" s="4"/>
      <c r="O627" s="4"/>
      <c r="P627" s="4"/>
      <c r="Q627" s="4"/>
      <c r="R627" s="16"/>
      <c r="S627" s="16"/>
      <c r="T627" s="16"/>
      <c r="U627" s="16"/>
      <c r="V627" s="16"/>
      <c r="W627" s="16"/>
      <c r="X627" s="16"/>
      <c r="Y627" s="16"/>
      <c r="Z627" s="16"/>
      <c r="AA627" s="16"/>
      <c r="AB627" s="16"/>
      <c r="AC627" s="16"/>
      <c r="AD627" s="16"/>
    </row>
    <row r="628" ht="13.5" customHeight="1" spans="1:30" x14ac:dyDescent="0.25">
      <c r="A628" s="4"/>
      <c r="B628" s="4"/>
      <c r="C628" s="4"/>
      <c r="D628" s="4"/>
      <c r="E628" s="4"/>
      <c r="F628" s="4"/>
      <c r="G628" s="4"/>
      <c r="H628" s="4"/>
      <c r="I628" s="4"/>
      <c r="J628" s="4"/>
      <c r="K628" s="4"/>
      <c r="L628" s="4"/>
      <c r="M628" s="4"/>
      <c r="N628" s="4"/>
      <c r="O628" s="4"/>
      <c r="P628" s="4"/>
      <c r="Q628" s="4"/>
      <c r="R628" s="16"/>
      <c r="S628" s="16"/>
      <c r="T628" s="16"/>
      <c r="U628" s="16"/>
      <c r="V628" s="16"/>
      <c r="W628" s="16"/>
      <c r="X628" s="16"/>
      <c r="Y628" s="16"/>
      <c r="Z628" s="16"/>
      <c r="AA628" s="16"/>
      <c r="AB628" s="16"/>
      <c r="AC628" s="16"/>
      <c r="AD628" s="16"/>
    </row>
    <row r="629" ht="13.5" customHeight="1" spans="1:30" x14ac:dyDescent="0.25">
      <c r="A629" s="4"/>
      <c r="B629" s="4"/>
      <c r="C629" s="4"/>
      <c r="D629" s="4"/>
      <c r="E629" s="4"/>
      <c r="F629" s="4"/>
      <c r="G629" s="4"/>
      <c r="H629" s="4"/>
      <c r="I629" s="4"/>
      <c r="J629" s="4"/>
      <c r="K629" s="4"/>
      <c r="L629" s="4"/>
      <c r="M629" s="4"/>
      <c r="N629" s="4"/>
      <c r="O629" s="4"/>
      <c r="P629" s="4"/>
      <c r="Q629" s="4"/>
      <c r="R629" s="16"/>
      <c r="S629" s="16"/>
      <c r="T629" s="16"/>
      <c r="U629" s="16"/>
      <c r="V629" s="16"/>
      <c r="W629" s="16"/>
      <c r="X629" s="16"/>
      <c r="Y629" s="16"/>
      <c r="Z629" s="16"/>
      <c r="AA629" s="16"/>
      <c r="AB629" s="16"/>
      <c r="AC629" s="16"/>
      <c r="AD629" s="16"/>
    </row>
    <row r="630" ht="13.5" customHeight="1" spans="1:30" x14ac:dyDescent="0.25">
      <c r="A630" s="4"/>
      <c r="B630" s="4"/>
      <c r="C630" s="4"/>
      <c r="D630" s="4"/>
      <c r="E630" s="4"/>
      <c r="F630" s="4"/>
      <c r="G630" s="4"/>
      <c r="H630" s="4"/>
      <c r="I630" s="4"/>
      <c r="J630" s="4"/>
      <c r="K630" s="4"/>
      <c r="L630" s="4"/>
      <c r="M630" s="4"/>
      <c r="N630" s="4"/>
      <c r="O630" s="4"/>
      <c r="P630" s="4"/>
      <c r="Q630" s="4"/>
      <c r="R630" s="16"/>
      <c r="S630" s="16"/>
      <c r="T630" s="16"/>
      <c r="U630" s="16"/>
      <c r="V630" s="16"/>
      <c r="W630" s="16"/>
      <c r="X630" s="16"/>
      <c r="Y630" s="16"/>
      <c r="Z630" s="16"/>
      <c r="AA630" s="16"/>
      <c r="AB630" s="16"/>
      <c r="AC630" s="16"/>
      <c r="AD630" s="16"/>
    </row>
    <row r="631" ht="13.5" customHeight="1" spans="1:30" x14ac:dyDescent="0.25">
      <c r="A631" s="4"/>
      <c r="B631" s="4"/>
      <c r="C631" s="4"/>
      <c r="D631" s="4"/>
      <c r="E631" s="4"/>
      <c r="F631" s="4"/>
      <c r="G631" s="4"/>
      <c r="H631" s="4"/>
      <c r="I631" s="4"/>
      <c r="J631" s="4"/>
      <c r="K631" s="4"/>
      <c r="L631" s="4"/>
      <c r="M631" s="4"/>
      <c r="N631" s="4"/>
      <c r="O631" s="4"/>
      <c r="P631" s="4"/>
      <c r="Q631" s="4"/>
      <c r="R631" s="16"/>
      <c r="S631" s="16"/>
      <c r="T631" s="16"/>
      <c r="U631" s="16"/>
      <c r="V631" s="16"/>
      <c r="W631" s="16"/>
      <c r="X631" s="16"/>
      <c r="Y631" s="16"/>
      <c r="Z631" s="16"/>
      <c r="AA631" s="16"/>
      <c r="AB631" s="16"/>
      <c r="AC631" s="16"/>
      <c r="AD631" s="16"/>
    </row>
    <row r="632" ht="13.5" customHeight="1" spans="1:30" x14ac:dyDescent="0.25">
      <c r="A632" s="4"/>
      <c r="B632" s="4"/>
      <c r="C632" s="4"/>
      <c r="D632" s="4"/>
      <c r="E632" s="4"/>
      <c r="F632" s="4"/>
      <c r="G632" s="4"/>
      <c r="H632" s="4"/>
      <c r="I632" s="4"/>
      <c r="J632" s="4"/>
      <c r="K632" s="4"/>
      <c r="L632" s="4"/>
      <c r="M632" s="4"/>
      <c r="N632" s="4"/>
      <c r="O632" s="4"/>
      <c r="P632" s="4"/>
      <c r="Q632" s="4"/>
      <c r="R632" s="16"/>
      <c r="S632" s="16"/>
      <c r="T632" s="16"/>
      <c r="U632" s="16"/>
      <c r="V632" s="16"/>
      <c r="W632" s="16"/>
      <c r="X632" s="16"/>
      <c r="Y632" s="16"/>
      <c r="Z632" s="16"/>
      <c r="AA632" s="16"/>
      <c r="AB632" s="16"/>
      <c r="AC632" s="16"/>
      <c r="AD632" s="16"/>
    </row>
    <row r="633" ht="13.5" customHeight="1" spans="1:30" x14ac:dyDescent="0.25">
      <c r="A633" s="4"/>
      <c r="B633" s="4"/>
      <c r="C633" s="4"/>
      <c r="D633" s="4"/>
      <c r="E633" s="4"/>
      <c r="F633" s="4"/>
      <c r="G633" s="4"/>
      <c r="H633" s="4"/>
      <c r="I633" s="4"/>
      <c r="J633" s="4"/>
      <c r="K633" s="4"/>
      <c r="L633" s="4"/>
      <c r="M633" s="4"/>
      <c r="N633" s="4"/>
      <c r="O633" s="4"/>
      <c r="P633" s="4"/>
      <c r="Q633" s="4"/>
      <c r="R633" s="16"/>
      <c r="S633" s="16"/>
      <c r="T633" s="16"/>
      <c r="U633" s="16"/>
      <c r="V633" s="16"/>
      <c r="W633" s="16"/>
      <c r="X633" s="16"/>
      <c r="Y633" s="16"/>
      <c r="Z633" s="16"/>
      <c r="AA633" s="16"/>
      <c r="AB633" s="16"/>
      <c r="AC633" s="16"/>
      <c r="AD633" s="16"/>
    </row>
    <row r="634" ht="13.5" customHeight="1" spans="1:30" x14ac:dyDescent="0.25">
      <c r="A634" s="4"/>
      <c r="B634" s="4"/>
      <c r="C634" s="4"/>
      <c r="D634" s="4"/>
      <c r="E634" s="4"/>
      <c r="F634" s="4"/>
      <c r="G634" s="4"/>
      <c r="H634" s="4"/>
      <c r="I634" s="4"/>
      <c r="J634" s="4"/>
      <c r="K634" s="4"/>
      <c r="L634" s="4"/>
      <c r="M634" s="4"/>
      <c r="N634" s="4"/>
      <c r="O634" s="4"/>
      <c r="P634" s="4"/>
      <c r="Q634" s="4"/>
      <c r="R634" s="16"/>
      <c r="S634" s="16"/>
      <c r="T634" s="16"/>
      <c r="U634" s="16"/>
      <c r="V634" s="16"/>
      <c r="W634" s="16"/>
      <c r="X634" s="16"/>
      <c r="Y634" s="16"/>
      <c r="Z634" s="16"/>
      <c r="AA634" s="16"/>
      <c r="AB634" s="16"/>
      <c r="AC634" s="16"/>
      <c r="AD634" s="16"/>
    </row>
    <row r="635" ht="13.5" customHeight="1" spans="1:30" x14ac:dyDescent="0.25">
      <c r="A635" s="4"/>
      <c r="B635" s="4"/>
      <c r="C635" s="4"/>
      <c r="D635" s="4"/>
      <c r="E635" s="4"/>
      <c r="F635" s="4"/>
      <c r="G635" s="4"/>
      <c r="H635" s="4"/>
      <c r="I635" s="4"/>
      <c r="J635" s="4"/>
      <c r="K635" s="4"/>
      <c r="L635" s="4"/>
      <c r="M635" s="4"/>
      <c r="N635" s="4"/>
      <c r="O635" s="4"/>
      <c r="P635" s="4"/>
      <c r="Q635" s="4"/>
      <c r="R635" s="16"/>
      <c r="S635" s="16"/>
      <c r="T635" s="16"/>
      <c r="U635" s="16"/>
      <c r="V635" s="16"/>
      <c r="W635" s="16"/>
      <c r="X635" s="16"/>
      <c r="Y635" s="16"/>
      <c r="Z635" s="16"/>
      <c r="AA635" s="16"/>
      <c r="AB635" s="16"/>
      <c r="AC635" s="16"/>
      <c r="AD635" s="16"/>
    </row>
    <row r="636" ht="13.5" customHeight="1" spans="1:30" x14ac:dyDescent="0.25">
      <c r="A636" s="4"/>
      <c r="B636" s="4"/>
      <c r="C636" s="4"/>
      <c r="D636" s="4"/>
      <c r="E636" s="4"/>
      <c r="F636" s="4"/>
      <c r="G636" s="4"/>
      <c r="H636" s="4"/>
      <c r="I636" s="4"/>
      <c r="J636" s="4"/>
      <c r="K636" s="4"/>
      <c r="L636" s="4"/>
      <c r="M636" s="4"/>
      <c r="N636" s="4"/>
      <c r="O636" s="4"/>
      <c r="P636" s="4"/>
      <c r="Q636" s="4"/>
      <c r="R636" s="16"/>
      <c r="S636" s="16"/>
      <c r="T636" s="16"/>
      <c r="U636" s="16"/>
      <c r="V636" s="16"/>
      <c r="W636" s="16"/>
      <c r="X636" s="16"/>
      <c r="Y636" s="16"/>
      <c r="Z636" s="16"/>
      <c r="AA636" s="16"/>
      <c r="AB636" s="16"/>
      <c r="AC636" s="16"/>
      <c r="AD636" s="16"/>
    </row>
    <row r="637" ht="13.5" customHeight="1" spans="1:30" x14ac:dyDescent="0.25">
      <c r="A637" s="4"/>
      <c r="B637" s="4"/>
      <c r="C637" s="4"/>
      <c r="D637" s="4"/>
      <c r="E637" s="4"/>
      <c r="F637" s="4"/>
      <c r="G637" s="4"/>
      <c r="H637" s="4"/>
      <c r="I637" s="4"/>
      <c r="J637" s="4"/>
      <c r="K637" s="4"/>
      <c r="L637" s="4"/>
      <c r="M637" s="4"/>
      <c r="N637" s="4"/>
      <c r="O637" s="4"/>
      <c r="P637" s="4"/>
      <c r="Q637" s="4"/>
      <c r="R637" s="16"/>
      <c r="S637" s="16"/>
      <c r="T637" s="16"/>
      <c r="U637" s="16"/>
      <c r="V637" s="16"/>
      <c r="W637" s="16"/>
      <c r="X637" s="16"/>
      <c r="Y637" s="16"/>
      <c r="Z637" s="16"/>
      <c r="AA637" s="16"/>
      <c r="AB637" s="16"/>
      <c r="AC637" s="16"/>
      <c r="AD637" s="16"/>
    </row>
    <row r="638" ht="13.5" customHeight="1" spans="1:30" x14ac:dyDescent="0.25">
      <c r="A638" s="4"/>
      <c r="B638" s="4"/>
      <c r="C638" s="4"/>
      <c r="D638" s="4"/>
      <c r="E638" s="4"/>
      <c r="F638" s="4"/>
      <c r="G638" s="4"/>
      <c r="H638" s="4"/>
      <c r="I638" s="4"/>
      <c r="J638" s="4"/>
      <c r="K638" s="4"/>
      <c r="L638" s="4"/>
      <c r="M638" s="4"/>
      <c r="N638" s="4"/>
      <c r="O638" s="4"/>
      <c r="P638" s="4"/>
      <c r="Q638" s="4"/>
      <c r="R638" s="16"/>
      <c r="S638" s="16"/>
      <c r="T638" s="16"/>
      <c r="U638" s="16"/>
      <c r="V638" s="16"/>
      <c r="W638" s="16"/>
      <c r="X638" s="16"/>
      <c r="Y638" s="16"/>
      <c r="Z638" s="16"/>
      <c r="AA638" s="16"/>
      <c r="AB638" s="16"/>
      <c r="AC638" s="16"/>
      <c r="AD638" s="16"/>
    </row>
    <row r="639" ht="13.5" customHeight="1" spans="1:30" x14ac:dyDescent="0.25">
      <c r="A639" s="4"/>
      <c r="B639" s="4"/>
      <c r="C639" s="4"/>
      <c r="D639" s="4"/>
      <c r="E639" s="4"/>
      <c r="F639" s="4"/>
      <c r="G639" s="4"/>
      <c r="H639" s="4"/>
      <c r="I639" s="4"/>
      <c r="J639" s="4"/>
      <c r="K639" s="4"/>
      <c r="L639" s="4"/>
      <c r="M639" s="4"/>
      <c r="N639" s="4"/>
      <c r="O639" s="4"/>
      <c r="P639" s="4"/>
      <c r="Q639" s="4"/>
      <c r="R639" s="16"/>
      <c r="S639" s="16"/>
      <c r="T639" s="16"/>
      <c r="U639" s="16"/>
      <c r="V639" s="16"/>
      <c r="W639" s="16"/>
      <c r="X639" s="16"/>
      <c r="Y639" s="16"/>
      <c r="Z639" s="16"/>
      <c r="AA639" s="16"/>
      <c r="AB639" s="16"/>
      <c r="AC639" s="16"/>
      <c r="AD639" s="16"/>
    </row>
    <row r="640" ht="13.5" customHeight="1" spans="1:30" x14ac:dyDescent="0.25">
      <c r="A640" s="4"/>
      <c r="B640" s="4"/>
      <c r="C640" s="4"/>
      <c r="D640" s="4"/>
      <c r="E640" s="4"/>
      <c r="F640" s="4"/>
      <c r="G640" s="4"/>
      <c r="H640" s="4"/>
      <c r="I640" s="4"/>
      <c r="J640" s="4"/>
      <c r="K640" s="4"/>
      <c r="L640" s="4"/>
      <c r="M640" s="4"/>
      <c r="N640" s="4"/>
      <c r="O640" s="4"/>
      <c r="P640" s="4"/>
      <c r="Q640" s="4"/>
      <c r="R640" s="16"/>
      <c r="S640" s="16"/>
      <c r="T640" s="16"/>
      <c r="U640" s="16"/>
      <c r="V640" s="16"/>
      <c r="W640" s="16"/>
      <c r="X640" s="16"/>
      <c r="Y640" s="16"/>
      <c r="Z640" s="16"/>
      <c r="AA640" s="16"/>
      <c r="AB640" s="16"/>
      <c r="AC640" s="16"/>
      <c r="AD640" s="16"/>
    </row>
    <row r="641" ht="13.5" customHeight="1" spans="1:30" x14ac:dyDescent="0.25">
      <c r="A641" s="4"/>
      <c r="B641" s="4"/>
      <c r="C641" s="4"/>
      <c r="D641" s="4"/>
      <c r="E641" s="4"/>
      <c r="F641" s="4"/>
      <c r="G641" s="4"/>
      <c r="H641" s="4"/>
      <c r="I641" s="4"/>
      <c r="J641" s="4"/>
      <c r="K641" s="4"/>
      <c r="L641" s="4"/>
      <c r="M641" s="4"/>
      <c r="N641" s="4"/>
      <c r="O641" s="4"/>
      <c r="P641" s="4"/>
      <c r="Q641" s="4"/>
      <c r="R641" s="16"/>
      <c r="S641" s="16"/>
      <c r="T641" s="16"/>
      <c r="U641" s="16"/>
      <c r="V641" s="16"/>
      <c r="W641" s="16"/>
      <c r="X641" s="16"/>
      <c r="Y641" s="16"/>
      <c r="Z641" s="16"/>
      <c r="AA641" s="16"/>
      <c r="AB641" s="16"/>
      <c r="AC641" s="16"/>
      <c r="AD641" s="16"/>
    </row>
    <row r="642" ht="13.5" customHeight="1" spans="1:30" x14ac:dyDescent="0.25">
      <c r="A642" s="4"/>
      <c r="B642" s="4"/>
      <c r="C642" s="4"/>
      <c r="D642" s="4"/>
      <c r="E642" s="4"/>
      <c r="F642" s="4"/>
      <c r="G642" s="4"/>
      <c r="H642" s="4"/>
      <c r="I642" s="4"/>
      <c r="J642" s="4"/>
      <c r="K642" s="4"/>
      <c r="L642" s="4"/>
      <c r="M642" s="4"/>
      <c r="N642" s="4"/>
      <c r="O642" s="4"/>
      <c r="P642" s="4"/>
      <c r="Q642" s="4"/>
      <c r="R642" s="16"/>
      <c r="S642" s="16"/>
      <c r="T642" s="16"/>
      <c r="U642" s="16"/>
      <c r="V642" s="16"/>
      <c r="W642" s="16"/>
      <c r="X642" s="16"/>
      <c r="Y642" s="16"/>
      <c r="Z642" s="16"/>
      <c r="AA642" s="16"/>
      <c r="AB642" s="16"/>
      <c r="AC642" s="16"/>
      <c r="AD642" s="16"/>
    </row>
    <row r="643" ht="13.5" customHeight="1" spans="1:30" x14ac:dyDescent="0.25">
      <c r="A643" s="4"/>
      <c r="B643" s="4"/>
      <c r="C643" s="4"/>
      <c r="D643" s="4"/>
      <c r="E643" s="4"/>
      <c r="F643" s="4"/>
      <c r="G643" s="4"/>
      <c r="H643" s="4"/>
      <c r="I643" s="4"/>
      <c r="J643" s="4"/>
      <c r="K643" s="4"/>
      <c r="L643" s="4"/>
      <c r="M643" s="4"/>
      <c r="N643" s="4"/>
      <c r="O643" s="4"/>
      <c r="P643" s="4"/>
      <c r="Q643" s="4"/>
      <c r="R643" s="16"/>
      <c r="S643" s="16"/>
      <c r="T643" s="16"/>
      <c r="U643" s="16"/>
      <c r="V643" s="16"/>
      <c r="W643" s="16"/>
      <c r="X643" s="16"/>
      <c r="Y643" s="16"/>
      <c r="Z643" s="16"/>
      <c r="AA643" s="16"/>
      <c r="AB643" s="16"/>
      <c r="AC643" s="16"/>
      <c r="AD643" s="16"/>
    </row>
    <row r="644" ht="13.5" customHeight="1" spans="1:30" x14ac:dyDescent="0.25">
      <c r="A644" s="4"/>
      <c r="B644" s="4"/>
      <c r="C644" s="4"/>
      <c r="D644" s="4"/>
      <c r="E644" s="4"/>
      <c r="F644" s="4"/>
      <c r="G644" s="4"/>
      <c r="H644" s="4"/>
      <c r="I644" s="4"/>
      <c r="J644" s="4"/>
      <c r="K644" s="4"/>
      <c r="L644" s="4"/>
      <c r="M644" s="4"/>
      <c r="N644" s="4"/>
      <c r="O644" s="4"/>
      <c r="P644" s="4"/>
      <c r="Q644" s="4"/>
      <c r="R644" s="16"/>
      <c r="S644" s="16"/>
      <c r="T644" s="16"/>
      <c r="U644" s="16"/>
      <c r="V644" s="16"/>
      <c r="W644" s="16"/>
      <c r="X644" s="16"/>
      <c r="Y644" s="16"/>
      <c r="Z644" s="16"/>
      <c r="AA644" s="16"/>
      <c r="AB644" s="16"/>
      <c r="AC644" s="16"/>
      <c r="AD644" s="16"/>
    </row>
    <row r="645" ht="13.5" customHeight="1" spans="1:30" x14ac:dyDescent="0.25">
      <c r="A645" s="4"/>
      <c r="B645" s="4"/>
      <c r="C645" s="4"/>
      <c r="D645" s="4"/>
      <c r="E645" s="4"/>
      <c r="F645" s="4"/>
      <c r="G645" s="4"/>
      <c r="H645" s="4"/>
      <c r="I645" s="4"/>
      <c r="J645" s="4"/>
      <c r="K645" s="4"/>
      <c r="L645" s="4"/>
      <c r="M645" s="4"/>
      <c r="N645" s="4"/>
      <c r="O645" s="4"/>
      <c r="P645" s="4"/>
      <c r="Q645" s="4"/>
      <c r="R645" s="16"/>
      <c r="S645" s="16"/>
      <c r="T645" s="16"/>
      <c r="U645" s="16"/>
      <c r="V645" s="16"/>
      <c r="W645" s="16"/>
      <c r="X645" s="16"/>
      <c r="Y645" s="16"/>
      <c r="Z645" s="16"/>
      <c r="AA645" s="16"/>
      <c r="AB645" s="16"/>
      <c r="AC645" s="16"/>
      <c r="AD645" s="16"/>
    </row>
    <row r="646" ht="13.5" customHeight="1" spans="1:30" x14ac:dyDescent="0.25">
      <c r="A646" s="4"/>
      <c r="B646" s="4"/>
      <c r="C646" s="4"/>
      <c r="D646" s="4"/>
      <c r="E646" s="4"/>
      <c r="F646" s="4"/>
      <c r="G646" s="4"/>
      <c r="H646" s="4"/>
      <c r="I646" s="4"/>
      <c r="J646" s="4"/>
      <c r="K646" s="4"/>
      <c r="L646" s="4"/>
      <c r="M646" s="4"/>
      <c r="N646" s="4"/>
      <c r="O646" s="4"/>
      <c r="P646" s="4"/>
      <c r="Q646" s="4"/>
      <c r="R646" s="16"/>
      <c r="S646" s="16"/>
      <c r="T646" s="16"/>
      <c r="U646" s="16"/>
      <c r="V646" s="16"/>
      <c r="W646" s="16"/>
      <c r="X646" s="16"/>
      <c r="Y646" s="16"/>
      <c r="Z646" s="16"/>
      <c r="AA646" s="16"/>
      <c r="AB646" s="16"/>
      <c r="AC646" s="16"/>
      <c r="AD646" s="16"/>
    </row>
    <row r="647" ht="13.5" customHeight="1" spans="1:30" x14ac:dyDescent="0.25">
      <c r="A647" s="4"/>
      <c r="B647" s="4"/>
      <c r="C647" s="4"/>
      <c r="D647" s="4"/>
      <c r="E647" s="4"/>
      <c r="F647" s="4"/>
      <c r="G647" s="4"/>
      <c r="H647" s="4"/>
      <c r="I647" s="4"/>
      <c r="J647" s="4"/>
      <c r="K647" s="4"/>
      <c r="L647" s="4"/>
      <c r="M647" s="4"/>
      <c r="N647" s="4"/>
      <c r="O647" s="4"/>
      <c r="P647" s="4"/>
      <c r="Q647" s="4"/>
      <c r="R647" s="16"/>
      <c r="S647" s="16"/>
      <c r="T647" s="16"/>
      <c r="U647" s="16"/>
      <c r="V647" s="16"/>
      <c r="W647" s="16"/>
      <c r="X647" s="16"/>
      <c r="Y647" s="16"/>
      <c r="Z647" s="16"/>
      <c r="AA647" s="16"/>
      <c r="AB647" s="16"/>
      <c r="AC647" s="16"/>
      <c r="AD647" s="16"/>
    </row>
    <row r="648" ht="13.5" customHeight="1" spans="1:30" x14ac:dyDescent="0.25">
      <c r="A648" s="4"/>
      <c r="B648" s="4"/>
      <c r="C648" s="4"/>
      <c r="D648" s="4"/>
      <c r="E648" s="4"/>
      <c r="F648" s="4"/>
      <c r="G648" s="4"/>
      <c r="H648" s="4"/>
      <c r="I648" s="4"/>
      <c r="J648" s="4"/>
      <c r="K648" s="4"/>
      <c r="L648" s="4"/>
      <c r="M648" s="4"/>
      <c r="N648" s="4"/>
      <c r="O648" s="4"/>
      <c r="P648" s="4"/>
      <c r="Q648" s="4"/>
      <c r="R648" s="16"/>
      <c r="S648" s="16"/>
      <c r="T648" s="16"/>
      <c r="U648" s="16"/>
      <c r="V648" s="16"/>
      <c r="W648" s="16"/>
      <c r="X648" s="16"/>
      <c r="Y648" s="16"/>
      <c r="Z648" s="16"/>
      <c r="AA648" s="16"/>
      <c r="AB648" s="16"/>
      <c r="AC648" s="16"/>
      <c r="AD648" s="16"/>
    </row>
    <row r="649" ht="13.5" customHeight="1" spans="1:30" x14ac:dyDescent="0.25">
      <c r="A649" s="4"/>
      <c r="B649" s="4"/>
      <c r="C649" s="4"/>
      <c r="D649" s="4"/>
      <c r="E649" s="4"/>
      <c r="F649" s="4"/>
      <c r="G649" s="4"/>
      <c r="H649" s="4"/>
      <c r="I649" s="4"/>
      <c r="J649" s="4"/>
      <c r="K649" s="4"/>
      <c r="L649" s="4"/>
      <c r="M649" s="4"/>
      <c r="N649" s="4"/>
      <c r="O649" s="4"/>
      <c r="P649" s="4"/>
      <c r="Q649" s="4"/>
      <c r="R649" s="16"/>
      <c r="S649" s="16"/>
      <c r="T649" s="16"/>
      <c r="U649" s="16"/>
      <c r="V649" s="16"/>
      <c r="W649" s="16"/>
      <c r="X649" s="16"/>
      <c r="Y649" s="16"/>
      <c r="Z649" s="16"/>
      <c r="AA649" s="16"/>
      <c r="AB649" s="16"/>
      <c r="AC649" s="16"/>
      <c r="AD649" s="16"/>
    </row>
    <row r="650" ht="13.5" customHeight="1" spans="1:30" x14ac:dyDescent="0.25">
      <c r="A650" s="4"/>
      <c r="B650" s="4"/>
      <c r="C650" s="4"/>
      <c r="D650" s="4"/>
      <c r="E650" s="4"/>
      <c r="F650" s="4"/>
      <c r="G650" s="4"/>
      <c r="H650" s="4"/>
      <c r="I650" s="4"/>
      <c r="J650" s="4"/>
      <c r="K650" s="4"/>
      <c r="L650" s="4"/>
      <c r="M650" s="4"/>
      <c r="N650" s="4"/>
      <c r="O650" s="4"/>
      <c r="P650" s="4"/>
      <c r="Q650" s="4"/>
      <c r="R650" s="16"/>
      <c r="S650" s="16"/>
      <c r="T650" s="16"/>
      <c r="U650" s="16"/>
      <c r="V650" s="16"/>
      <c r="W650" s="16"/>
      <c r="X650" s="16"/>
      <c r="Y650" s="16"/>
      <c r="Z650" s="16"/>
      <c r="AA650" s="16"/>
      <c r="AB650" s="16"/>
      <c r="AC650" s="16"/>
      <c r="AD650" s="16"/>
    </row>
    <row r="651" ht="13.5" customHeight="1" spans="1:30" x14ac:dyDescent="0.25">
      <c r="A651" s="4"/>
      <c r="B651" s="4"/>
      <c r="C651" s="4"/>
      <c r="D651" s="4"/>
      <c r="E651" s="4"/>
      <c r="F651" s="4"/>
      <c r="G651" s="4"/>
      <c r="H651" s="4"/>
      <c r="I651" s="4"/>
      <c r="J651" s="4"/>
      <c r="K651" s="4"/>
      <c r="L651" s="4"/>
      <c r="M651" s="4"/>
      <c r="N651" s="4"/>
      <c r="O651" s="4"/>
      <c r="P651" s="4"/>
      <c r="Q651" s="4"/>
      <c r="R651" s="16"/>
      <c r="S651" s="16"/>
      <c r="T651" s="16"/>
      <c r="U651" s="16"/>
      <c r="V651" s="16"/>
      <c r="W651" s="16"/>
      <c r="X651" s="16"/>
      <c r="Y651" s="16"/>
      <c r="Z651" s="16"/>
      <c r="AA651" s="16"/>
      <c r="AB651" s="16"/>
      <c r="AC651" s="16"/>
      <c r="AD651" s="16"/>
    </row>
    <row r="652" ht="13.5" customHeight="1" spans="1:30" x14ac:dyDescent="0.25">
      <c r="A652" s="4"/>
      <c r="B652" s="4"/>
      <c r="C652" s="4"/>
      <c r="D652" s="4"/>
      <c r="E652" s="4"/>
      <c r="F652" s="4"/>
      <c r="G652" s="4"/>
      <c r="H652" s="4"/>
      <c r="I652" s="4"/>
      <c r="J652" s="4"/>
      <c r="K652" s="4"/>
      <c r="L652" s="4"/>
      <c r="M652" s="4"/>
      <c r="N652" s="4"/>
      <c r="O652" s="4"/>
      <c r="P652" s="4"/>
      <c r="Q652" s="4"/>
      <c r="R652" s="16"/>
      <c r="S652" s="16"/>
      <c r="T652" s="16"/>
      <c r="U652" s="16"/>
      <c r="V652" s="16"/>
      <c r="W652" s="16"/>
      <c r="X652" s="16"/>
      <c r="Y652" s="16"/>
      <c r="Z652" s="16"/>
      <c r="AA652" s="16"/>
      <c r="AB652" s="16"/>
      <c r="AC652" s="16"/>
      <c r="AD652" s="16"/>
    </row>
    <row r="653" ht="13.5" customHeight="1" spans="1:30" x14ac:dyDescent="0.25">
      <c r="A653" s="4"/>
      <c r="B653" s="4"/>
      <c r="C653" s="4"/>
      <c r="D653" s="4"/>
      <c r="E653" s="4"/>
      <c r="F653" s="4"/>
      <c r="G653" s="4"/>
      <c r="H653" s="4"/>
      <c r="I653" s="4"/>
      <c r="J653" s="4"/>
      <c r="K653" s="4"/>
      <c r="L653" s="4"/>
      <c r="M653" s="4"/>
      <c r="N653" s="4"/>
      <c r="O653" s="4"/>
      <c r="P653" s="4"/>
      <c r="Q653" s="4"/>
      <c r="R653" s="16"/>
      <c r="S653" s="16"/>
      <c r="T653" s="16"/>
      <c r="U653" s="16"/>
      <c r="V653" s="16"/>
      <c r="W653" s="16"/>
      <c r="X653" s="16"/>
      <c r="Y653" s="16"/>
      <c r="Z653" s="16"/>
      <c r="AA653" s="16"/>
      <c r="AB653" s="16"/>
      <c r="AC653" s="16"/>
      <c r="AD653" s="16"/>
    </row>
    <row r="654" ht="13.5" customHeight="1" spans="1:30" x14ac:dyDescent="0.25">
      <c r="A654" s="4"/>
      <c r="B654" s="4"/>
      <c r="C654" s="4"/>
      <c r="D654" s="4"/>
      <c r="E654" s="4"/>
      <c r="F654" s="4"/>
      <c r="G654" s="4"/>
      <c r="H654" s="4"/>
      <c r="I654" s="4"/>
      <c r="J654" s="4"/>
      <c r="K654" s="4"/>
      <c r="L654" s="4"/>
      <c r="M654" s="4"/>
      <c r="N654" s="4"/>
      <c r="O654" s="4"/>
      <c r="P654" s="4"/>
      <c r="Q654" s="4"/>
      <c r="R654" s="16"/>
      <c r="S654" s="16"/>
      <c r="T654" s="16"/>
      <c r="U654" s="16"/>
      <c r="V654" s="16"/>
      <c r="W654" s="16"/>
      <c r="X654" s="16"/>
      <c r="Y654" s="16"/>
      <c r="Z654" s="16"/>
      <c r="AA654" s="16"/>
      <c r="AB654" s="16"/>
      <c r="AC654" s="16"/>
      <c r="AD654" s="16"/>
    </row>
    <row r="655" ht="13.5" customHeight="1" spans="1:30" x14ac:dyDescent="0.25">
      <c r="A655" s="4"/>
      <c r="B655" s="4"/>
      <c r="C655" s="4"/>
      <c r="D655" s="4"/>
      <c r="E655" s="4"/>
      <c r="F655" s="4"/>
      <c r="G655" s="4"/>
      <c r="H655" s="4"/>
      <c r="I655" s="4"/>
      <c r="J655" s="4"/>
      <c r="K655" s="4"/>
      <c r="L655" s="4"/>
      <c r="M655" s="4"/>
      <c r="N655" s="4"/>
      <c r="O655" s="4"/>
      <c r="P655" s="4"/>
      <c r="Q655" s="4"/>
      <c r="R655" s="16"/>
      <c r="S655" s="16"/>
      <c r="T655" s="16"/>
      <c r="U655" s="16"/>
      <c r="V655" s="16"/>
      <c r="W655" s="16"/>
      <c r="X655" s="16"/>
      <c r="Y655" s="16"/>
      <c r="Z655" s="16"/>
      <c r="AA655" s="16"/>
      <c r="AB655" s="16"/>
      <c r="AC655" s="16"/>
      <c r="AD655" s="16"/>
    </row>
    <row r="656" ht="13.5" customHeight="1" spans="1:30" x14ac:dyDescent="0.25">
      <c r="A656" s="4"/>
      <c r="B656" s="4"/>
      <c r="C656" s="4"/>
      <c r="D656" s="4"/>
      <c r="E656" s="4"/>
      <c r="F656" s="4"/>
      <c r="G656" s="4"/>
      <c r="H656" s="4"/>
      <c r="I656" s="4"/>
      <c r="J656" s="4"/>
      <c r="K656" s="4"/>
      <c r="L656" s="4"/>
      <c r="M656" s="4"/>
      <c r="N656" s="4"/>
      <c r="O656" s="4"/>
      <c r="P656" s="4"/>
      <c r="Q656" s="4"/>
      <c r="R656" s="16"/>
      <c r="S656" s="16"/>
      <c r="T656" s="16"/>
      <c r="U656" s="16"/>
      <c r="V656" s="16"/>
      <c r="W656" s="16"/>
      <c r="X656" s="16"/>
      <c r="Y656" s="16"/>
      <c r="Z656" s="16"/>
      <c r="AA656" s="16"/>
      <c r="AB656" s="16"/>
      <c r="AC656" s="16"/>
      <c r="AD656" s="16"/>
    </row>
    <row r="657" ht="13.5" customHeight="1" spans="1:30" x14ac:dyDescent="0.25">
      <c r="A657" s="4"/>
      <c r="B657" s="4"/>
      <c r="C657" s="4"/>
      <c r="D657" s="4"/>
      <c r="E657" s="4"/>
      <c r="F657" s="4"/>
      <c r="G657" s="4"/>
      <c r="H657" s="4"/>
      <c r="I657" s="4"/>
      <c r="J657" s="4"/>
      <c r="K657" s="4"/>
      <c r="L657" s="4"/>
      <c r="M657" s="4"/>
      <c r="N657" s="4"/>
      <c r="O657" s="4"/>
      <c r="P657" s="4"/>
      <c r="Q657" s="4"/>
      <c r="R657" s="16"/>
      <c r="S657" s="16"/>
      <c r="T657" s="16"/>
      <c r="U657" s="16"/>
      <c r="V657" s="16"/>
      <c r="W657" s="16"/>
      <c r="X657" s="16"/>
      <c r="Y657" s="16"/>
      <c r="Z657" s="16"/>
      <c r="AA657" s="16"/>
      <c r="AB657" s="16"/>
      <c r="AC657" s="16"/>
      <c r="AD657" s="16"/>
    </row>
    <row r="658" ht="13.5" customHeight="1" spans="1:30" x14ac:dyDescent="0.25">
      <c r="A658" s="4"/>
      <c r="B658" s="4"/>
      <c r="C658" s="4"/>
      <c r="D658" s="4"/>
      <c r="E658" s="4"/>
      <c r="F658" s="4"/>
      <c r="G658" s="4"/>
      <c r="H658" s="4"/>
      <c r="I658" s="4"/>
      <c r="J658" s="4"/>
      <c r="K658" s="4"/>
      <c r="L658" s="4"/>
      <c r="M658" s="4"/>
      <c r="N658" s="4"/>
      <c r="O658" s="4"/>
      <c r="P658" s="4"/>
      <c r="Q658" s="4"/>
      <c r="R658" s="16"/>
      <c r="S658" s="16"/>
      <c r="T658" s="16"/>
      <c r="U658" s="16"/>
      <c r="V658" s="16"/>
      <c r="W658" s="16"/>
      <c r="X658" s="16"/>
      <c r="Y658" s="16"/>
      <c r="Z658" s="16"/>
      <c r="AA658" s="16"/>
      <c r="AB658" s="16"/>
      <c r="AC658" s="16"/>
      <c r="AD658" s="16"/>
    </row>
    <row r="659" ht="13.5" customHeight="1" spans="1:30" x14ac:dyDescent="0.25">
      <c r="A659" s="4"/>
      <c r="B659" s="4"/>
      <c r="C659" s="4"/>
      <c r="D659" s="4"/>
      <c r="E659" s="4"/>
      <c r="F659" s="4"/>
      <c r="G659" s="4"/>
      <c r="H659" s="4"/>
      <c r="I659" s="4"/>
      <c r="J659" s="4"/>
      <c r="K659" s="4"/>
      <c r="L659" s="4"/>
      <c r="M659" s="4"/>
      <c r="N659" s="4"/>
      <c r="O659" s="4"/>
      <c r="P659" s="4"/>
      <c r="Q659" s="4"/>
      <c r="R659" s="16"/>
      <c r="S659" s="16"/>
      <c r="T659" s="16"/>
      <c r="U659" s="16"/>
      <c r="V659" s="16"/>
      <c r="W659" s="16"/>
      <c r="X659" s="16"/>
      <c r="Y659" s="16"/>
      <c r="Z659" s="16"/>
      <c r="AA659" s="16"/>
      <c r="AB659" s="16"/>
      <c r="AC659" s="16"/>
      <c r="AD659" s="16"/>
    </row>
    <row r="660" ht="13.5" customHeight="1" spans="1:30" x14ac:dyDescent="0.25">
      <c r="A660" s="4"/>
      <c r="B660" s="4"/>
      <c r="C660" s="4"/>
      <c r="D660" s="4"/>
      <c r="E660" s="4"/>
      <c r="F660" s="4"/>
      <c r="G660" s="4"/>
      <c r="H660" s="4"/>
      <c r="I660" s="4"/>
      <c r="J660" s="4"/>
      <c r="K660" s="4"/>
      <c r="L660" s="4"/>
      <c r="M660" s="4"/>
      <c r="N660" s="4"/>
      <c r="O660" s="4"/>
      <c r="P660" s="4"/>
      <c r="Q660" s="4"/>
      <c r="R660" s="16"/>
      <c r="S660" s="16"/>
      <c r="T660" s="16"/>
      <c r="U660" s="16"/>
      <c r="V660" s="16"/>
      <c r="W660" s="16"/>
      <c r="X660" s="16"/>
      <c r="Y660" s="16"/>
      <c r="Z660" s="16"/>
      <c r="AA660" s="16"/>
      <c r="AB660" s="16"/>
      <c r="AC660" s="16"/>
      <c r="AD660" s="16"/>
    </row>
    <row r="661" ht="13.5" customHeight="1" spans="1:30" x14ac:dyDescent="0.25">
      <c r="A661" s="4"/>
      <c r="B661" s="4"/>
      <c r="C661" s="4"/>
      <c r="D661" s="4"/>
      <c r="E661" s="4"/>
      <c r="F661" s="4"/>
      <c r="G661" s="4"/>
      <c r="H661" s="4"/>
      <c r="I661" s="4"/>
      <c r="J661" s="4"/>
      <c r="K661" s="4"/>
      <c r="L661" s="4"/>
      <c r="M661" s="4"/>
      <c r="N661" s="4"/>
      <c r="O661" s="4"/>
      <c r="P661" s="4"/>
      <c r="Q661" s="4"/>
      <c r="R661" s="16"/>
      <c r="S661" s="16"/>
      <c r="T661" s="16"/>
      <c r="U661" s="16"/>
      <c r="V661" s="16"/>
      <c r="W661" s="16"/>
      <c r="X661" s="16"/>
      <c r="Y661" s="16"/>
      <c r="Z661" s="16"/>
      <c r="AA661" s="16"/>
      <c r="AB661" s="16"/>
      <c r="AC661" s="16"/>
      <c r="AD661" s="16"/>
    </row>
    <row r="662" ht="13.5" customHeight="1" spans="1:30" x14ac:dyDescent="0.25">
      <c r="A662" s="4"/>
      <c r="B662" s="4"/>
      <c r="C662" s="4"/>
      <c r="D662" s="4"/>
      <c r="E662" s="4"/>
      <c r="F662" s="4"/>
      <c r="G662" s="4"/>
      <c r="H662" s="4"/>
      <c r="I662" s="4"/>
      <c r="J662" s="4"/>
      <c r="K662" s="4"/>
      <c r="L662" s="4"/>
      <c r="M662" s="4"/>
      <c r="N662" s="4"/>
      <c r="O662" s="4"/>
      <c r="P662" s="4"/>
      <c r="Q662" s="4"/>
      <c r="R662" s="16"/>
      <c r="S662" s="16"/>
      <c r="T662" s="16"/>
      <c r="U662" s="16"/>
      <c r="V662" s="16"/>
      <c r="W662" s="16"/>
      <c r="X662" s="16"/>
      <c r="Y662" s="16"/>
      <c r="Z662" s="16"/>
      <c r="AA662" s="16"/>
      <c r="AB662" s="16"/>
      <c r="AC662" s="16"/>
      <c r="AD662" s="16"/>
    </row>
    <row r="663" ht="13.5" customHeight="1" spans="1:30" x14ac:dyDescent="0.25">
      <c r="A663" s="4"/>
      <c r="B663" s="4"/>
      <c r="C663" s="4"/>
      <c r="D663" s="4"/>
      <c r="E663" s="4"/>
      <c r="F663" s="4"/>
      <c r="G663" s="4"/>
      <c r="H663" s="4"/>
      <c r="I663" s="4"/>
      <c r="J663" s="4"/>
      <c r="K663" s="4"/>
      <c r="L663" s="4"/>
      <c r="M663" s="4"/>
      <c r="N663" s="4"/>
      <c r="O663" s="4"/>
      <c r="P663" s="4"/>
      <c r="Q663" s="4"/>
      <c r="R663" s="16"/>
      <c r="S663" s="16"/>
      <c r="T663" s="16"/>
      <c r="U663" s="16"/>
      <c r="V663" s="16"/>
      <c r="W663" s="16"/>
      <c r="X663" s="16"/>
      <c r="Y663" s="16"/>
      <c r="Z663" s="16"/>
      <c r="AA663" s="16"/>
      <c r="AB663" s="16"/>
      <c r="AC663" s="16"/>
      <c r="AD663" s="16"/>
    </row>
    <row r="664" ht="13.5" customHeight="1" spans="1:30" x14ac:dyDescent="0.25">
      <c r="A664" s="4"/>
      <c r="B664" s="4"/>
      <c r="C664" s="4"/>
      <c r="D664" s="4"/>
      <c r="E664" s="4"/>
      <c r="F664" s="4"/>
      <c r="G664" s="4"/>
      <c r="H664" s="4"/>
      <c r="I664" s="4"/>
      <c r="J664" s="4"/>
      <c r="K664" s="4"/>
      <c r="L664" s="4"/>
      <c r="M664" s="4"/>
      <c r="N664" s="4"/>
      <c r="O664" s="4"/>
      <c r="P664" s="4"/>
      <c r="Q664" s="4"/>
      <c r="R664" s="16"/>
      <c r="S664" s="16"/>
      <c r="T664" s="16"/>
      <c r="U664" s="16"/>
      <c r="V664" s="16"/>
      <c r="W664" s="16"/>
      <c r="X664" s="16"/>
      <c r="Y664" s="16"/>
      <c r="Z664" s="16"/>
      <c r="AA664" s="16"/>
      <c r="AB664" s="16"/>
      <c r="AC664" s="16"/>
      <c r="AD664" s="16"/>
    </row>
    <row r="665" ht="13.5" customHeight="1" spans="1:30" x14ac:dyDescent="0.25">
      <c r="A665" s="4"/>
      <c r="B665" s="4"/>
      <c r="C665" s="4"/>
      <c r="D665" s="4"/>
      <c r="E665" s="4"/>
      <c r="F665" s="4"/>
      <c r="G665" s="4"/>
      <c r="H665" s="4"/>
      <c r="I665" s="4"/>
      <c r="J665" s="4"/>
      <c r="K665" s="4"/>
      <c r="L665" s="4"/>
      <c r="M665" s="4"/>
      <c r="N665" s="4"/>
      <c r="O665" s="4"/>
      <c r="P665" s="4"/>
      <c r="Q665" s="4"/>
      <c r="R665" s="16"/>
      <c r="S665" s="16"/>
      <c r="T665" s="16"/>
      <c r="U665" s="16"/>
      <c r="V665" s="16"/>
      <c r="W665" s="16"/>
      <c r="X665" s="16"/>
      <c r="Y665" s="16"/>
      <c r="Z665" s="16"/>
      <c r="AA665" s="16"/>
      <c r="AB665" s="16"/>
      <c r="AC665" s="16"/>
      <c r="AD665" s="16"/>
    </row>
    <row r="666" ht="13.5" customHeight="1" spans="1:30" x14ac:dyDescent="0.25">
      <c r="A666" s="4"/>
      <c r="B666" s="4"/>
      <c r="C666" s="4"/>
      <c r="D666" s="4"/>
      <c r="E666" s="4"/>
      <c r="F666" s="4"/>
      <c r="G666" s="4"/>
      <c r="H666" s="4"/>
      <c r="I666" s="4"/>
      <c r="J666" s="4"/>
      <c r="K666" s="4"/>
      <c r="L666" s="4"/>
      <c r="M666" s="4"/>
      <c r="N666" s="4"/>
      <c r="O666" s="4"/>
      <c r="P666" s="4"/>
      <c r="Q666" s="4"/>
      <c r="R666" s="16"/>
      <c r="S666" s="16"/>
      <c r="T666" s="16"/>
      <c r="U666" s="16"/>
      <c r="V666" s="16"/>
      <c r="W666" s="16"/>
      <c r="X666" s="16"/>
      <c r="Y666" s="16"/>
      <c r="Z666" s="16"/>
      <c r="AA666" s="16"/>
      <c r="AB666" s="16"/>
      <c r="AC666" s="16"/>
      <c r="AD666" s="16"/>
    </row>
    <row r="667" ht="13.5" customHeight="1" spans="1:30" x14ac:dyDescent="0.25">
      <c r="A667" s="4"/>
      <c r="B667" s="4"/>
      <c r="C667" s="4"/>
      <c r="D667" s="4"/>
      <c r="E667" s="4"/>
      <c r="F667" s="4"/>
      <c r="G667" s="4"/>
      <c r="H667" s="4"/>
      <c r="I667" s="4"/>
      <c r="J667" s="4"/>
      <c r="K667" s="4"/>
      <c r="L667" s="4"/>
      <c r="M667" s="4"/>
      <c r="N667" s="4"/>
      <c r="O667" s="4"/>
      <c r="P667" s="4"/>
      <c r="Q667" s="4"/>
      <c r="R667" s="16"/>
      <c r="S667" s="16"/>
      <c r="T667" s="16"/>
      <c r="U667" s="16"/>
      <c r="V667" s="16"/>
      <c r="W667" s="16"/>
      <c r="X667" s="16"/>
      <c r="Y667" s="16"/>
      <c r="Z667" s="16"/>
      <c r="AA667" s="16"/>
      <c r="AB667" s="16"/>
      <c r="AC667" s="16"/>
      <c r="AD667" s="16"/>
    </row>
    <row r="668" ht="13.5" customHeight="1" spans="1:30" x14ac:dyDescent="0.25">
      <c r="A668" s="4"/>
      <c r="B668" s="4"/>
      <c r="C668" s="4"/>
      <c r="D668" s="4"/>
      <c r="E668" s="4"/>
      <c r="F668" s="4"/>
      <c r="G668" s="4"/>
      <c r="H668" s="4"/>
      <c r="I668" s="4"/>
      <c r="J668" s="4"/>
      <c r="K668" s="4"/>
      <c r="L668" s="4"/>
      <c r="M668" s="4"/>
      <c r="N668" s="4"/>
      <c r="O668" s="4"/>
      <c r="P668" s="4"/>
      <c r="Q668" s="4"/>
      <c r="R668" s="16"/>
      <c r="S668" s="16"/>
      <c r="T668" s="16"/>
      <c r="U668" s="16"/>
      <c r="V668" s="16"/>
      <c r="W668" s="16"/>
      <c r="X668" s="16"/>
      <c r="Y668" s="16"/>
      <c r="Z668" s="16"/>
      <c r="AA668" s="16"/>
      <c r="AB668" s="16"/>
      <c r="AC668" s="16"/>
      <c r="AD668" s="16"/>
    </row>
    <row r="669" ht="13.5" customHeight="1" spans="1:30" x14ac:dyDescent="0.25">
      <c r="A669" s="4"/>
      <c r="B669" s="4"/>
      <c r="C669" s="4"/>
      <c r="D669" s="4"/>
      <c r="E669" s="4"/>
      <c r="F669" s="4"/>
      <c r="G669" s="4"/>
      <c r="H669" s="4"/>
      <c r="I669" s="4"/>
      <c r="J669" s="4"/>
      <c r="K669" s="4"/>
      <c r="L669" s="4"/>
      <c r="M669" s="4"/>
      <c r="N669" s="4"/>
      <c r="O669" s="4"/>
      <c r="P669" s="4"/>
      <c r="Q669" s="4"/>
      <c r="R669" s="16"/>
      <c r="S669" s="16"/>
      <c r="T669" s="16"/>
      <c r="U669" s="16"/>
      <c r="V669" s="16"/>
      <c r="W669" s="16"/>
      <c r="X669" s="16"/>
      <c r="Y669" s="16"/>
      <c r="Z669" s="16"/>
      <c r="AA669" s="16"/>
      <c r="AB669" s="16"/>
      <c r="AC669" s="16"/>
      <c r="AD669" s="16"/>
    </row>
    <row r="670" ht="13.5" customHeight="1" spans="1:30" x14ac:dyDescent="0.25">
      <c r="A670" s="4"/>
      <c r="B670" s="4"/>
      <c r="C670" s="4"/>
      <c r="D670" s="4"/>
      <c r="E670" s="4"/>
      <c r="F670" s="4"/>
      <c r="G670" s="4"/>
      <c r="H670" s="4"/>
      <c r="I670" s="4"/>
      <c r="J670" s="4"/>
      <c r="K670" s="4"/>
      <c r="L670" s="4"/>
      <c r="M670" s="4"/>
      <c r="N670" s="4"/>
      <c r="O670" s="4"/>
      <c r="P670" s="4"/>
      <c r="Q670" s="4"/>
      <c r="R670" s="16"/>
      <c r="S670" s="16"/>
      <c r="T670" s="16"/>
      <c r="U670" s="16"/>
      <c r="V670" s="16"/>
      <c r="W670" s="16"/>
      <c r="X670" s="16"/>
      <c r="Y670" s="16"/>
      <c r="Z670" s="16"/>
      <c r="AA670" s="16"/>
      <c r="AB670" s="16"/>
      <c r="AC670" s="16"/>
      <c r="AD670" s="16"/>
    </row>
    <row r="671" ht="13.5" customHeight="1" spans="1:30" x14ac:dyDescent="0.25">
      <c r="A671" s="4"/>
      <c r="B671" s="4"/>
      <c r="C671" s="4"/>
      <c r="D671" s="4"/>
      <c r="E671" s="4"/>
      <c r="F671" s="4"/>
      <c r="G671" s="4"/>
      <c r="H671" s="4"/>
      <c r="I671" s="4"/>
      <c r="J671" s="4"/>
      <c r="K671" s="4"/>
      <c r="L671" s="4"/>
      <c r="M671" s="4"/>
      <c r="N671" s="4"/>
      <c r="O671" s="4"/>
      <c r="P671" s="4"/>
      <c r="Q671" s="4"/>
      <c r="R671" s="16"/>
      <c r="S671" s="16"/>
      <c r="T671" s="16"/>
      <c r="U671" s="16"/>
      <c r="V671" s="16"/>
      <c r="W671" s="16"/>
      <c r="X671" s="16"/>
      <c r="Y671" s="16"/>
      <c r="Z671" s="16"/>
      <c r="AA671" s="16"/>
      <c r="AB671" s="16"/>
      <c r="AC671" s="16"/>
      <c r="AD671" s="16"/>
    </row>
    <row r="672" ht="13.5" customHeight="1" spans="1:30" x14ac:dyDescent="0.25">
      <c r="A672" s="4"/>
      <c r="B672" s="4"/>
      <c r="C672" s="4"/>
      <c r="D672" s="4"/>
      <c r="E672" s="4"/>
      <c r="F672" s="4"/>
      <c r="G672" s="4"/>
      <c r="H672" s="4"/>
      <c r="I672" s="4"/>
      <c r="J672" s="4"/>
      <c r="K672" s="4"/>
      <c r="L672" s="4"/>
      <c r="M672" s="4"/>
      <c r="N672" s="4"/>
      <c r="O672" s="4"/>
      <c r="P672" s="4"/>
      <c r="Q672" s="4"/>
      <c r="R672" s="16"/>
      <c r="S672" s="16"/>
      <c r="T672" s="16"/>
      <c r="U672" s="16"/>
      <c r="V672" s="16"/>
      <c r="W672" s="16"/>
      <c r="X672" s="16"/>
      <c r="Y672" s="16"/>
      <c r="Z672" s="16"/>
      <c r="AA672" s="16"/>
      <c r="AB672" s="16"/>
      <c r="AC672" s="16"/>
      <c r="AD672" s="16"/>
    </row>
    <row r="673" ht="13.5" customHeight="1" spans="1:30" x14ac:dyDescent="0.25">
      <c r="A673" s="4"/>
      <c r="B673" s="4"/>
      <c r="C673" s="4"/>
      <c r="D673" s="4"/>
      <c r="E673" s="4"/>
      <c r="F673" s="4"/>
      <c r="G673" s="4"/>
      <c r="H673" s="4"/>
      <c r="I673" s="4"/>
      <c r="J673" s="4"/>
      <c r="K673" s="4"/>
      <c r="L673" s="4"/>
      <c r="M673" s="4"/>
      <c r="N673" s="4"/>
      <c r="O673" s="4"/>
      <c r="P673" s="4"/>
      <c r="Q673" s="4"/>
      <c r="R673" s="16"/>
      <c r="S673" s="16"/>
      <c r="T673" s="16"/>
      <c r="U673" s="16"/>
      <c r="V673" s="16"/>
      <c r="W673" s="16"/>
      <c r="X673" s="16"/>
      <c r="Y673" s="16"/>
      <c r="Z673" s="16"/>
      <c r="AA673" s="16"/>
      <c r="AB673" s="16"/>
      <c r="AC673" s="16"/>
      <c r="AD673" s="16"/>
    </row>
    <row r="674" ht="13.5" customHeight="1" spans="1:30" x14ac:dyDescent="0.25">
      <c r="A674" s="4"/>
      <c r="B674" s="4"/>
      <c r="C674" s="4"/>
      <c r="D674" s="4"/>
      <c r="E674" s="4"/>
      <c r="F674" s="4"/>
      <c r="G674" s="4"/>
      <c r="H674" s="4"/>
      <c r="I674" s="4"/>
      <c r="J674" s="4"/>
      <c r="K674" s="4"/>
      <c r="L674" s="4"/>
      <c r="M674" s="4"/>
      <c r="N674" s="4"/>
      <c r="O674" s="4"/>
      <c r="P674" s="4"/>
      <c r="Q674" s="4"/>
      <c r="R674" s="16"/>
      <c r="S674" s="16"/>
      <c r="T674" s="16"/>
      <c r="U674" s="16"/>
      <c r="V674" s="16"/>
      <c r="W674" s="16"/>
      <c r="X674" s="16"/>
      <c r="Y674" s="16"/>
      <c r="Z674" s="16"/>
      <c r="AA674" s="16"/>
      <c r="AB674" s="16"/>
      <c r="AC674" s="16"/>
      <c r="AD674" s="16"/>
    </row>
    <row r="675" ht="13.5" customHeight="1" spans="1:30" x14ac:dyDescent="0.25">
      <c r="A675" s="4"/>
      <c r="B675" s="4"/>
      <c r="C675" s="4"/>
      <c r="D675" s="4"/>
      <c r="E675" s="4"/>
      <c r="F675" s="4"/>
      <c r="G675" s="4"/>
      <c r="H675" s="4"/>
      <c r="I675" s="4"/>
      <c r="J675" s="4"/>
      <c r="K675" s="4"/>
      <c r="L675" s="4"/>
      <c r="M675" s="4"/>
      <c r="N675" s="4"/>
      <c r="O675" s="4"/>
      <c r="P675" s="4"/>
      <c r="Q675" s="4"/>
      <c r="R675" s="16"/>
      <c r="S675" s="16"/>
      <c r="T675" s="16"/>
      <c r="U675" s="16"/>
      <c r="V675" s="16"/>
      <c r="W675" s="16"/>
      <c r="X675" s="16"/>
      <c r="Y675" s="16"/>
      <c r="Z675" s="16"/>
      <c r="AA675" s="16"/>
      <c r="AB675" s="16"/>
      <c r="AC675" s="16"/>
      <c r="AD675" s="16"/>
    </row>
    <row r="676" ht="13.5" customHeight="1" spans="1:30" x14ac:dyDescent="0.25">
      <c r="A676" s="4"/>
      <c r="B676" s="4"/>
      <c r="C676" s="4"/>
      <c r="D676" s="4"/>
      <c r="E676" s="4"/>
      <c r="F676" s="4"/>
      <c r="G676" s="4"/>
      <c r="H676" s="4"/>
      <c r="I676" s="4"/>
      <c r="J676" s="4"/>
      <c r="K676" s="4"/>
      <c r="L676" s="4"/>
      <c r="M676" s="4"/>
      <c r="N676" s="4"/>
      <c r="O676" s="4"/>
      <c r="P676" s="4"/>
      <c r="Q676" s="4"/>
      <c r="R676" s="16"/>
      <c r="S676" s="16"/>
      <c r="T676" s="16"/>
      <c r="U676" s="16"/>
      <c r="V676" s="16"/>
      <c r="W676" s="16"/>
      <c r="X676" s="16"/>
      <c r="Y676" s="16"/>
      <c r="Z676" s="16"/>
      <c r="AA676" s="16"/>
      <c r="AB676" s="16"/>
      <c r="AC676" s="16"/>
      <c r="AD676" s="16"/>
    </row>
    <row r="677" ht="13.5" customHeight="1" spans="1:30" x14ac:dyDescent="0.25">
      <c r="A677" s="4"/>
      <c r="B677" s="4"/>
      <c r="C677" s="4"/>
      <c r="D677" s="4"/>
      <c r="E677" s="4"/>
      <c r="F677" s="4"/>
      <c r="G677" s="4"/>
      <c r="H677" s="4"/>
      <c r="I677" s="4"/>
      <c r="J677" s="4"/>
      <c r="K677" s="4"/>
      <c r="L677" s="4"/>
      <c r="M677" s="4"/>
      <c r="N677" s="4"/>
      <c r="O677" s="4"/>
      <c r="P677" s="4"/>
      <c r="Q677" s="4"/>
      <c r="R677" s="16"/>
      <c r="S677" s="16"/>
      <c r="T677" s="16"/>
      <c r="U677" s="16"/>
      <c r="V677" s="16"/>
      <c r="W677" s="16"/>
      <c r="X677" s="16"/>
      <c r="Y677" s="16"/>
      <c r="Z677" s="16"/>
      <c r="AA677" s="16"/>
      <c r="AB677" s="16"/>
      <c r="AC677" s="16"/>
      <c r="AD677" s="16"/>
    </row>
    <row r="678" ht="13.5" customHeight="1" spans="1:30" x14ac:dyDescent="0.25">
      <c r="A678" s="4"/>
      <c r="B678" s="4"/>
      <c r="C678" s="4"/>
      <c r="D678" s="4"/>
      <c r="E678" s="4"/>
      <c r="F678" s="4"/>
      <c r="G678" s="4"/>
      <c r="H678" s="4"/>
      <c r="I678" s="4"/>
      <c r="J678" s="4"/>
      <c r="K678" s="4"/>
      <c r="L678" s="4"/>
      <c r="M678" s="4"/>
      <c r="N678" s="4"/>
      <c r="O678" s="4"/>
      <c r="P678" s="4"/>
      <c r="Q678" s="4"/>
      <c r="R678" s="16"/>
      <c r="S678" s="16"/>
      <c r="T678" s="16"/>
      <c r="U678" s="16"/>
      <c r="V678" s="16"/>
      <c r="W678" s="16"/>
      <c r="X678" s="16"/>
      <c r="Y678" s="16"/>
      <c r="Z678" s="16"/>
      <c r="AA678" s="16"/>
      <c r="AB678" s="16"/>
      <c r="AC678" s="16"/>
      <c r="AD678" s="16"/>
    </row>
    <row r="679" ht="13.5" customHeight="1" spans="1:30" x14ac:dyDescent="0.25">
      <c r="A679" s="4"/>
      <c r="B679" s="4"/>
      <c r="C679" s="4"/>
      <c r="D679" s="4"/>
      <c r="E679" s="4"/>
      <c r="F679" s="4"/>
      <c r="G679" s="4"/>
      <c r="H679" s="4"/>
      <c r="I679" s="4"/>
      <c r="J679" s="4"/>
      <c r="K679" s="4"/>
      <c r="L679" s="4"/>
      <c r="M679" s="4"/>
      <c r="N679" s="4"/>
      <c r="O679" s="4"/>
      <c r="P679" s="4"/>
      <c r="Q679" s="4"/>
      <c r="R679" s="16"/>
      <c r="S679" s="16"/>
      <c r="T679" s="16"/>
      <c r="U679" s="16"/>
      <c r="V679" s="16"/>
      <c r="W679" s="16"/>
      <c r="X679" s="16"/>
      <c r="Y679" s="16"/>
      <c r="Z679" s="16"/>
      <c r="AA679" s="16"/>
      <c r="AB679" s="16"/>
      <c r="AC679" s="16"/>
      <c r="AD679" s="16"/>
    </row>
    <row r="680" ht="13.5" customHeight="1" spans="1:30" x14ac:dyDescent="0.25">
      <c r="A680" s="4"/>
      <c r="B680" s="4"/>
      <c r="C680" s="4"/>
      <c r="D680" s="4"/>
      <c r="E680" s="4"/>
      <c r="F680" s="4"/>
      <c r="G680" s="4"/>
      <c r="H680" s="4"/>
      <c r="I680" s="4"/>
      <c r="J680" s="4"/>
      <c r="K680" s="4"/>
      <c r="L680" s="4"/>
      <c r="M680" s="4"/>
      <c r="N680" s="4"/>
      <c r="O680" s="4"/>
      <c r="P680" s="4"/>
      <c r="Q680" s="4"/>
      <c r="R680" s="16"/>
      <c r="S680" s="16"/>
      <c r="T680" s="16"/>
      <c r="U680" s="16"/>
      <c r="V680" s="16"/>
      <c r="W680" s="16"/>
      <c r="X680" s="16"/>
      <c r="Y680" s="16"/>
      <c r="Z680" s="16"/>
      <c r="AA680" s="16"/>
      <c r="AB680" s="16"/>
      <c r="AC680" s="16"/>
      <c r="AD680" s="16"/>
    </row>
    <row r="681" ht="13.5" customHeight="1" spans="1:30" x14ac:dyDescent="0.25">
      <c r="A681" s="4"/>
      <c r="B681" s="4"/>
      <c r="C681" s="4"/>
      <c r="D681" s="4"/>
      <c r="E681" s="4"/>
      <c r="F681" s="4"/>
      <c r="G681" s="4"/>
      <c r="H681" s="4"/>
      <c r="I681" s="4"/>
      <c r="J681" s="4"/>
      <c r="K681" s="4"/>
      <c r="L681" s="4"/>
      <c r="M681" s="4"/>
      <c r="N681" s="4"/>
      <c r="O681" s="4"/>
      <c r="P681" s="4"/>
      <c r="Q681" s="4"/>
      <c r="R681" s="16"/>
      <c r="S681" s="16"/>
      <c r="T681" s="16"/>
      <c r="U681" s="16"/>
      <c r="V681" s="16"/>
      <c r="W681" s="16"/>
      <c r="X681" s="16"/>
      <c r="Y681" s="16"/>
      <c r="Z681" s="16"/>
      <c r="AA681" s="16"/>
      <c r="AB681" s="16"/>
      <c r="AC681" s="16"/>
      <c r="AD681" s="16"/>
    </row>
    <row r="682" ht="13.5" customHeight="1" spans="1:30" x14ac:dyDescent="0.25">
      <c r="A682" s="4"/>
      <c r="B682" s="4"/>
      <c r="C682" s="4"/>
      <c r="D682" s="4"/>
      <c r="E682" s="4"/>
      <c r="F682" s="4"/>
      <c r="G682" s="4"/>
      <c r="H682" s="4"/>
      <c r="I682" s="4"/>
      <c r="J682" s="4"/>
      <c r="K682" s="4"/>
      <c r="L682" s="4"/>
      <c r="M682" s="4"/>
      <c r="N682" s="4"/>
      <c r="O682" s="4"/>
      <c r="P682" s="4"/>
      <c r="Q682" s="4"/>
      <c r="R682" s="16"/>
      <c r="S682" s="16"/>
      <c r="T682" s="16"/>
      <c r="U682" s="16"/>
      <c r="V682" s="16"/>
      <c r="W682" s="16"/>
      <c r="X682" s="16"/>
      <c r="Y682" s="16"/>
      <c r="Z682" s="16"/>
      <c r="AA682" s="16"/>
      <c r="AB682" s="16"/>
      <c r="AC682" s="16"/>
      <c r="AD682" s="16"/>
    </row>
    <row r="683" ht="13.5" customHeight="1" spans="1:30" x14ac:dyDescent="0.25">
      <c r="A683" s="4"/>
      <c r="B683" s="4"/>
      <c r="C683" s="4"/>
      <c r="D683" s="4"/>
      <c r="E683" s="4"/>
      <c r="F683" s="4"/>
      <c r="G683" s="4"/>
      <c r="H683" s="4"/>
      <c r="I683" s="4"/>
      <c r="J683" s="4"/>
      <c r="K683" s="4"/>
      <c r="L683" s="4"/>
      <c r="M683" s="4"/>
      <c r="N683" s="4"/>
      <c r="O683" s="4"/>
      <c r="P683" s="4"/>
      <c r="Q683" s="4"/>
      <c r="R683" s="16"/>
      <c r="S683" s="16"/>
      <c r="T683" s="16"/>
      <c r="U683" s="16"/>
      <c r="V683" s="16"/>
      <c r="W683" s="16"/>
      <c r="X683" s="16"/>
      <c r="Y683" s="16"/>
      <c r="Z683" s="16"/>
      <c r="AA683" s="16"/>
      <c r="AB683" s="16"/>
      <c r="AC683" s="16"/>
      <c r="AD683" s="16"/>
    </row>
    <row r="684" ht="13.5" customHeight="1" spans="1:30" x14ac:dyDescent="0.25">
      <c r="A684" s="4"/>
      <c r="B684" s="4"/>
      <c r="C684" s="4"/>
      <c r="D684" s="4"/>
      <c r="E684" s="4"/>
      <c r="F684" s="4"/>
      <c r="G684" s="4"/>
      <c r="H684" s="4"/>
      <c r="I684" s="4"/>
      <c r="J684" s="4"/>
      <c r="K684" s="4"/>
      <c r="L684" s="4"/>
      <c r="M684" s="4"/>
      <c r="N684" s="4"/>
      <c r="O684" s="4"/>
      <c r="P684" s="4"/>
      <c r="Q684" s="4"/>
      <c r="R684" s="16"/>
      <c r="S684" s="16"/>
      <c r="T684" s="16"/>
      <c r="U684" s="16"/>
      <c r="V684" s="16"/>
      <c r="W684" s="16"/>
      <c r="X684" s="16"/>
      <c r="Y684" s="16"/>
      <c r="Z684" s="16"/>
      <c r="AA684" s="16"/>
      <c r="AB684" s="16"/>
      <c r="AC684" s="16"/>
      <c r="AD684" s="16"/>
    </row>
    <row r="685" ht="13.5" customHeight="1" spans="1:30" x14ac:dyDescent="0.25">
      <c r="A685" s="4"/>
      <c r="B685" s="4"/>
      <c r="C685" s="4"/>
      <c r="D685" s="4"/>
      <c r="E685" s="4"/>
      <c r="F685" s="4"/>
      <c r="G685" s="4"/>
      <c r="H685" s="4"/>
      <c r="I685" s="4"/>
      <c r="J685" s="4"/>
      <c r="K685" s="4"/>
      <c r="L685" s="4"/>
      <c r="M685" s="4"/>
      <c r="N685" s="4"/>
      <c r="O685" s="4"/>
      <c r="P685" s="4"/>
      <c r="Q685" s="4"/>
      <c r="R685" s="16"/>
      <c r="S685" s="16"/>
      <c r="T685" s="16"/>
      <c r="U685" s="16"/>
      <c r="V685" s="16"/>
      <c r="W685" s="16"/>
      <c r="X685" s="16"/>
      <c r="Y685" s="16"/>
      <c r="Z685" s="16"/>
      <c r="AA685" s="16"/>
      <c r="AB685" s="16"/>
      <c r="AC685" s="16"/>
      <c r="AD685" s="16"/>
    </row>
    <row r="686" ht="13.5" customHeight="1" spans="1:30" x14ac:dyDescent="0.25">
      <c r="A686" s="4"/>
      <c r="B686" s="4"/>
      <c r="C686" s="4"/>
      <c r="D686" s="4"/>
      <c r="E686" s="4"/>
      <c r="F686" s="4"/>
      <c r="G686" s="4"/>
      <c r="H686" s="4"/>
      <c r="I686" s="4"/>
      <c r="J686" s="4"/>
      <c r="K686" s="4"/>
      <c r="L686" s="4"/>
      <c r="M686" s="4"/>
      <c r="N686" s="4"/>
      <c r="O686" s="4"/>
      <c r="P686" s="4"/>
      <c r="Q686" s="4"/>
      <c r="R686" s="16"/>
      <c r="S686" s="16"/>
      <c r="T686" s="16"/>
      <c r="U686" s="16"/>
      <c r="V686" s="16"/>
      <c r="W686" s="16"/>
      <c r="X686" s="16"/>
      <c r="Y686" s="16"/>
      <c r="Z686" s="16"/>
      <c r="AA686" s="16"/>
      <c r="AB686" s="16"/>
      <c r="AC686" s="16"/>
      <c r="AD686" s="16"/>
    </row>
    <row r="687" ht="13.5" customHeight="1" spans="1:30" x14ac:dyDescent="0.25">
      <c r="A687" s="4"/>
      <c r="B687" s="4"/>
      <c r="C687" s="4"/>
      <c r="D687" s="4"/>
      <c r="E687" s="4"/>
      <c r="F687" s="4"/>
      <c r="G687" s="4"/>
      <c r="H687" s="4"/>
      <c r="I687" s="4"/>
      <c r="J687" s="4"/>
      <c r="K687" s="4"/>
      <c r="L687" s="4"/>
      <c r="M687" s="4"/>
      <c r="N687" s="4"/>
      <c r="O687" s="4"/>
      <c r="P687" s="4"/>
      <c r="Q687" s="4"/>
      <c r="R687" s="16"/>
      <c r="S687" s="16"/>
      <c r="T687" s="16"/>
      <c r="U687" s="16"/>
      <c r="V687" s="16"/>
      <c r="W687" s="16"/>
      <c r="X687" s="16"/>
      <c r="Y687" s="16"/>
      <c r="Z687" s="16"/>
      <c r="AA687" s="16"/>
      <c r="AB687" s="16"/>
      <c r="AC687" s="16"/>
      <c r="AD687" s="16"/>
    </row>
    <row r="688" ht="13.5" customHeight="1" spans="1:30" x14ac:dyDescent="0.25">
      <c r="A688" s="4"/>
      <c r="B688" s="4"/>
      <c r="C688" s="4"/>
      <c r="D688" s="4"/>
      <c r="E688" s="4"/>
      <c r="F688" s="4"/>
      <c r="G688" s="4"/>
      <c r="H688" s="4"/>
      <c r="I688" s="4"/>
      <c r="J688" s="4"/>
      <c r="K688" s="4"/>
      <c r="L688" s="4"/>
      <c r="M688" s="4"/>
      <c r="N688" s="4"/>
      <c r="O688" s="4"/>
      <c r="P688" s="4"/>
      <c r="Q688" s="4"/>
      <c r="R688" s="16"/>
      <c r="S688" s="16"/>
      <c r="T688" s="16"/>
      <c r="U688" s="16"/>
      <c r="V688" s="16"/>
      <c r="W688" s="16"/>
      <c r="X688" s="16"/>
      <c r="Y688" s="16"/>
      <c r="Z688" s="16"/>
      <c r="AA688" s="16"/>
      <c r="AB688" s="16"/>
      <c r="AC688" s="16"/>
      <c r="AD688" s="16"/>
    </row>
    <row r="689" ht="13.5" customHeight="1" spans="1:30" x14ac:dyDescent="0.25">
      <c r="A689" s="4"/>
      <c r="B689" s="4"/>
      <c r="C689" s="4"/>
      <c r="D689" s="4"/>
      <c r="E689" s="4"/>
      <c r="F689" s="4"/>
      <c r="G689" s="4"/>
      <c r="H689" s="4"/>
      <c r="I689" s="4"/>
      <c r="J689" s="4"/>
      <c r="K689" s="4"/>
      <c r="L689" s="4"/>
      <c r="M689" s="4"/>
      <c r="N689" s="4"/>
      <c r="O689" s="4"/>
      <c r="P689" s="4"/>
      <c r="Q689" s="4"/>
      <c r="R689" s="16"/>
      <c r="S689" s="16"/>
      <c r="T689" s="16"/>
      <c r="U689" s="16"/>
      <c r="V689" s="16"/>
      <c r="W689" s="16"/>
      <c r="X689" s="16"/>
      <c r="Y689" s="16"/>
      <c r="Z689" s="16"/>
      <c r="AA689" s="16"/>
      <c r="AB689" s="16"/>
      <c r="AC689" s="16"/>
      <c r="AD689" s="16"/>
    </row>
    <row r="690" ht="13.5" customHeight="1" spans="1:30" x14ac:dyDescent="0.25">
      <c r="A690" s="4"/>
      <c r="B690" s="4"/>
      <c r="C690" s="4"/>
      <c r="D690" s="4"/>
      <c r="E690" s="4"/>
      <c r="F690" s="4"/>
      <c r="G690" s="4"/>
      <c r="H690" s="4"/>
      <c r="I690" s="4"/>
      <c r="J690" s="4"/>
      <c r="K690" s="4"/>
      <c r="L690" s="4"/>
      <c r="M690" s="4"/>
      <c r="N690" s="4"/>
      <c r="O690" s="4"/>
      <c r="P690" s="4"/>
      <c r="Q690" s="4"/>
      <c r="R690" s="16"/>
      <c r="S690" s="16"/>
      <c r="T690" s="16"/>
      <c r="U690" s="16"/>
      <c r="V690" s="16"/>
      <c r="W690" s="16"/>
      <c r="X690" s="16"/>
      <c r="Y690" s="16"/>
      <c r="Z690" s="16"/>
      <c r="AA690" s="16"/>
      <c r="AB690" s="16"/>
      <c r="AC690" s="16"/>
      <c r="AD690" s="16"/>
    </row>
    <row r="691" ht="13.5" customHeight="1" spans="1:30" x14ac:dyDescent="0.25">
      <c r="A691" s="4"/>
      <c r="B691" s="4"/>
      <c r="C691" s="4"/>
      <c r="D691" s="4"/>
      <c r="E691" s="4"/>
      <c r="F691" s="4"/>
      <c r="G691" s="4"/>
      <c r="H691" s="4"/>
      <c r="I691" s="4"/>
      <c r="J691" s="4"/>
      <c r="K691" s="4"/>
      <c r="L691" s="4"/>
      <c r="M691" s="4"/>
      <c r="N691" s="4"/>
      <c r="O691" s="4"/>
      <c r="P691" s="4"/>
      <c r="Q691" s="4"/>
      <c r="R691" s="16"/>
      <c r="S691" s="16"/>
      <c r="T691" s="16"/>
      <c r="U691" s="16"/>
      <c r="V691" s="16"/>
      <c r="W691" s="16"/>
      <c r="X691" s="16"/>
      <c r="Y691" s="16"/>
      <c r="Z691" s="16"/>
      <c r="AA691" s="16"/>
      <c r="AB691" s="16"/>
      <c r="AC691" s="16"/>
      <c r="AD691" s="16"/>
    </row>
    <row r="692" ht="13.5" customHeight="1" spans="1:30" x14ac:dyDescent="0.25">
      <c r="A692" s="4"/>
      <c r="B692" s="4"/>
      <c r="C692" s="4"/>
      <c r="D692" s="4"/>
      <c r="E692" s="4"/>
      <c r="F692" s="4"/>
      <c r="G692" s="4"/>
      <c r="H692" s="4"/>
      <c r="I692" s="4"/>
      <c r="J692" s="4"/>
      <c r="K692" s="4"/>
      <c r="L692" s="4"/>
      <c r="M692" s="4"/>
      <c r="N692" s="4"/>
      <c r="O692" s="4"/>
      <c r="P692" s="4"/>
      <c r="Q692" s="4"/>
      <c r="R692" s="16"/>
      <c r="S692" s="16"/>
      <c r="T692" s="16"/>
      <c r="U692" s="16"/>
      <c r="V692" s="16"/>
      <c r="W692" s="16"/>
      <c r="X692" s="16"/>
      <c r="Y692" s="16"/>
      <c r="Z692" s="16"/>
      <c r="AA692" s="16"/>
      <c r="AB692" s="16"/>
      <c r="AC692" s="16"/>
      <c r="AD692" s="16"/>
    </row>
    <row r="693" ht="13.5" customHeight="1" spans="1:30" x14ac:dyDescent="0.25">
      <c r="A693" s="4"/>
      <c r="B693" s="4"/>
      <c r="C693" s="4"/>
      <c r="D693" s="4"/>
      <c r="E693" s="4"/>
      <c r="F693" s="4"/>
      <c r="G693" s="4"/>
      <c r="H693" s="4"/>
      <c r="I693" s="4"/>
      <c r="J693" s="4"/>
      <c r="K693" s="4"/>
      <c r="L693" s="4"/>
      <c r="M693" s="4"/>
      <c r="N693" s="4"/>
      <c r="O693" s="4"/>
      <c r="P693" s="4"/>
      <c r="Q693" s="4"/>
      <c r="R693" s="16"/>
      <c r="S693" s="16"/>
      <c r="T693" s="16"/>
      <c r="U693" s="16"/>
      <c r="V693" s="16"/>
      <c r="W693" s="16"/>
      <c r="X693" s="16"/>
      <c r="Y693" s="16"/>
      <c r="Z693" s="16"/>
      <c r="AA693" s="16"/>
      <c r="AB693" s="16"/>
      <c r="AC693" s="16"/>
      <c r="AD693" s="16"/>
    </row>
    <row r="694" ht="13.5" customHeight="1" spans="1:30" x14ac:dyDescent="0.25">
      <c r="A694" s="4"/>
      <c r="B694" s="4"/>
      <c r="C694" s="4"/>
      <c r="D694" s="4"/>
      <c r="E694" s="4"/>
      <c r="F694" s="4"/>
      <c r="G694" s="4"/>
      <c r="H694" s="4"/>
      <c r="I694" s="4"/>
      <c r="J694" s="4"/>
      <c r="K694" s="4"/>
      <c r="L694" s="4"/>
      <c r="M694" s="4"/>
      <c r="N694" s="4"/>
      <c r="O694" s="4"/>
      <c r="P694" s="4"/>
      <c r="Q694" s="4"/>
      <c r="R694" s="16"/>
      <c r="S694" s="16"/>
      <c r="T694" s="16"/>
      <c r="U694" s="16"/>
      <c r="V694" s="16"/>
      <c r="W694" s="16"/>
      <c r="X694" s="16"/>
      <c r="Y694" s="16"/>
      <c r="Z694" s="16"/>
      <c r="AA694" s="16"/>
      <c r="AB694" s="16"/>
      <c r="AC694" s="16"/>
      <c r="AD694" s="16"/>
    </row>
    <row r="695" ht="13.5" customHeight="1" spans="1:30" x14ac:dyDescent="0.25">
      <c r="A695" s="4"/>
      <c r="B695" s="4"/>
      <c r="C695" s="4"/>
      <c r="D695" s="4"/>
      <c r="E695" s="4"/>
      <c r="F695" s="4"/>
      <c r="G695" s="4"/>
      <c r="H695" s="4"/>
      <c r="I695" s="4"/>
      <c r="J695" s="4"/>
      <c r="K695" s="4"/>
      <c r="L695" s="4"/>
      <c r="M695" s="4"/>
      <c r="N695" s="4"/>
      <c r="O695" s="4"/>
      <c r="P695" s="4"/>
      <c r="Q695" s="4"/>
      <c r="R695" s="16"/>
      <c r="S695" s="16"/>
      <c r="T695" s="16"/>
      <c r="U695" s="16"/>
      <c r="V695" s="16"/>
      <c r="W695" s="16"/>
      <c r="X695" s="16"/>
      <c r="Y695" s="16"/>
      <c r="Z695" s="16"/>
      <c r="AA695" s="16"/>
      <c r="AB695" s="16"/>
      <c r="AC695" s="16"/>
      <c r="AD695" s="16"/>
    </row>
    <row r="696" ht="13.5" customHeight="1" spans="1:30" x14ac:dyDescent="0.25">
      <c r="A696" s="4"/>
      <c r="B696" s="4"/>
      <c r="C696" s="4"/>
      <c r="D696" s="4"/>
      <c r="E696" s="4"/>
      <c r="F696" s="4"/>
      <c r="G696" s="4"/>
      <c r="H696" s="4"/>
      <c r="I696" s="4"/>
      <c r="J696" s="4"/>
      <c r="K696" s="4"/>
      <c r="L696" s="4"/>
      <c r="M696" s="4"/>
      <c r="N696" s="4"/>
      <c r="O696" s="4"/>
      <c r="P696" s="4"/>
      <c r="Q696" s="4"/>
      <c r="R696" s="16"/>
      <c r="S696" s="16"/>
      <c r="T696" s="16"/>
      <c r="U696" s="16"/>
      <c r="V696" s="16"/>
      <c r="W696" s="16"/>
      <c r="X696" s="16"/>
      <c r="Y696" s="16"/>
      <c r="Z696" s="16"/>
      <c r="AA696" s="16"/>
      <c r="AB696" s="16"/>
      <c r="AC696" s="16"/>
      <c r="AD696" s="16"/>
    </row>
    <row r="697" ht="13.5" customHeight="1" spans="1:30" x14ac:dyDescent="0.25">
      <c r="A697" s="4"/>
      <c r="B697" s="4"/>
      <c r="C697" s="4"/>
      <c r="D697" s="4"/>
      <c r="E697" s="4"/>
      <c r="F697" s="4"/>
      <c r="G697" s="4"/>
      <c r="H697" s="4"/>
      <c r="I697" s="4"/>
      <c r="J697" s="4"/>
      <c r="K697" s="4"/>
      <c r="L697" s="4"/>
      <c r="M697" s="4"/>
      <c r="N697" s="4"/>
      <c r="O697" s="4"/>
      <c r="P697" s="4"/>
      <c r="Q697" s="4"/>
      <c r="R697" s="16"/>
      <c r="S697" s="16"/>
      <c r="T697" s="16"/>
      <c r="U697" s="16"/>
      <c r="V697" s="16"/>
      <c r="W697" s="16"/>
      <c r="X697" s="16"/>
      <c r="Y697" s="16"/>
      <c r="Z697" s="16"/>
      <c r="AA697" s="16"/>
      <c r="AB697" s="16"/>
      <c r="AC697" s="16"/>
      <c r="AD697" s="16"/>
    </row>
    <row r="698" ht="13.5" customHeight="1" spans="1:30" x14ac:dyDescent="0.25">
      <c r="A698" s="4"/>
      <c r="B698" s="4"/>
      <c r="C698" s="4"/>
      <c r="D698" s="4"/>
      <c r="E698" s="4"/>
      <c r="F698" s="4"/>
      <c r="G698" s="4"/>
      <c r="H698" s="4"/>
      <c r="I698" s="4"/>
      <c r="J698" s="4"/>
      <c r="K698" s="4"/>
      <c r="L698" s="4"/>
      <c r="M698" s="4"/>
      <c r="N698" s="4"/>
      <c r="O698" s="4"/>
      <c r="P698" s="4"/>
      <c r="Q698" s="4"/>
      <c r="R698" s="16"/>
      <c r="S698" s="16"/>
      <c r="T698" s="16"/>
      <c r="U698" s="16"/>
      <c r="V698" s="16"/>
      <c r="W698" s="16"/>
      <c r="X698" s="16"/>
      <c r="Y698" s="16"/>
      <c r="Z698" s="16"/>
      <c r="AA698" s="16"/>
      <c r="AB698" s="16"/>
      <c r="AC698" s="16"/>
      <c r="AD698" s="16"/>
    </row>
    <row r="699" ht="13.5" customHeight="1" spans="1:30" x14ac:dyDescent="0.25">
      <c r="A699" s="4"/>
      <c r="B699" s="4"/>
      <c r="C699" s="4"/>
      <c r="D699" s="4"/>
      <c r="E699" s="4"/>
      <c r="F699" s="4"/>
      <c r="G699" s="4"/>
      <c r="H699" s="4"/>
      <c r="I699" s="4"/>
      <c r="J699" s="4"/>
      <c r="K699" s="4"/>
      <c r="L699" s="4"/>
      <c r="M699" s="4"/>
      <c r="N699" s="4"/>
      <c r="O699" s="4"/>
      <c r="P699" s="4"/>
      <c r="Q699" s="4"/>
      <c r="R699" s="16"/>
      <c r="S699" s="16"/>
      <c r="T699" s="16"/>
      <c r="U699" s="16"/>
      <c r="V699" s="16"/>
      <c r="W699" s="16"/>
      <c r="X699" s="16"/>
      <c r="Y699" s="16"/>
      <c r="Z699" s="16"/>
      <c r="AA699" s="16"/>
      <c r="AB699" s="16"/>
      <c r="AC699" s="16"/>
      <c r="AD699" s="16"/>
    </row>
    <row r="700" ht="13.5" customHeight="1" spans="1:30" x14ac:dyDescent="0.25">
      <c r="A700" s="4"/>
      <c r="B700" s="4"/>
      <c r="C700" s="4"/>
      <c r="D700" s="4"/>
      <c r="E700" s="4"/>
      <c r="F700" s="4"/>
      <c r="G700" s="4"/>
      <c r="H700" s="4"/>
      <c r="I700" s="4"/>
      <c r="J700" s="4"/>
      <c r="K700" s="4"/>
      <c r="L700" s="4"/>
      <c r="M700" s="4"/>
      <c r="N700" s="4"/>
      <c r="O700" s="4"/>
      <c r="P700" s="4"/>
      <c r="Q700" s="4"/>
      <c r="R700" s="16"/>
      <c r="S700" s="16"/>
      <c r="T700" s="16"/>
      <c r="U700" s="16"/>
      <c r="V700" s="16"/>
      <c r="W700" s="16"/>
      <c r="X700" s="16"/>
      <c r="Y700" s="16"/>
      <c r="Z700" s="16"/>
      <c r="AA700" s="16"/>
      <c r="AB700" s="16"/>
      <c r="AC700" s="16"/>
      <c r="AD700" s="16"/>
    </row>
    <row r="701" ht="13.5" customHeight="1" spans="1:30" x14ac:dyDescent="0.25">
      <c r="A701" s="4"/>
      <c r="B701" s="4"/>
      <c r="C701" s="4"/>
      <c r="D701" s="4"/>
      <c r="E701" s="4"/>
      <c r="F701" s="4"/>
      <c r="G701" s="4"/>
      <c r="H701" s="4"/>
      <c r="I701" s="4"/>
      <c r="J701" s="4"/>
      <c r="K701" s="4"/>
      <c r="L701" s="4"/>
      <c r="M701" s="4"/>
      <c r="N701" s="4"/>
      <c r="O701" s="4"/>
      <c r="P701" s="4"/>
      <c r="Q701" s="4"/>
      <c r="R701" s="16"/>
      <c r="S701" s="16"/>
      <c r="T701" s="16"/>
      <c r="U701" s="16"/>
      <c r="V701" s="16"/>
      <c r="W701" s="16"/>
      <c r="X701" s="16"/>
      <c r="Y701" s="16"/>
      <c r="Z701" s="16"/>
      <c r="AA701" s="16"/>
      <c r="AB701" s="16"/>
      <c r="AC701" s="16"/>
      <c r="AD701" s="16"/>
    </row>
    <row r="702" ht="13.5" customHeight="1" spans="1:30" x14ac:dyDescent="0.25">
      <c r="A702" s="4"/>
      <c r="B702" s="4"/>
      <c r="C702" s="4"/>
      <c r="D702" s="4"/>
      <c r="E702" s="4"/>
      <c r="F702" s="4"/>
      <c r="G702" s="4"/>
      <c r="H702" s="4"/>
      <c r="I702" s="4"/>
      <c r="J702" s="4"/>
      <c r="K702" s="4"/>
      <c r="L702" s="4"/>
      <c r="M702" s="4"/>
      <c r="N702" s="4"/>
      <c r="O702" s="4"/>
      <c r="P702" s="4"/>
      <c r="Q702" s="4"/>
      <c r="R702" s="16"/>
      <c r="S702" s="16"/>
      <c r="T702" s="16"/>
      <c r="U702" s="16"/>
      <c r="V702" s="16"/>
      <c r="W702" s="16"/>
      <c r="X702" s="16"/>
      <c r="Y702" s="16"/>
      <c r="Z702" s="16"/>
      <c r="AA702" s="16"/>
      <c r="AB702" s="16"/>
      <c r="AC702" s="16"/>
      <c r="AD702" s="16"/>
    </row>
    <row r="703" ht="13.5" customHeight="1" spans="1:30" x14ac:dyDescent="0.25">
      <c r="A703" s="4"/>
      <c r="B703" s="4"/>
      <c r="C703" s="4"/>
      <c r="D703" s="4"/>
      <c r="E703" s="4"/>
      <c r="F703" s="4"/>
      <c r="G703" s="4"/>
      <c r="H703" s="4"/>
      <c r="I703" s="4"/>
      <c r="J703" s="4"/>
      <c r="K703" s="4"/>
      <c r="L703" s="4"/>
      <c r="M703" s="4"/>
      <c r="N703" s="4"/>
      <c r="O703" s="4"/>
      <c r="P703" s="4"/>
      <c r="Q703" s="4"/>
      <c r="R703" s="16"/>
      <c r="S703" s="16"/>
      <c r="T703" s="16"/>
      <c r="U703" s="16"/>
      <c r="V703" s="16"/>
      <c r="W703" s="16"/>
      <c r="X703" s="16"/>
      <c r="Y703" s="16"/>
      <c r="Z703" s="16"/>
      <c r="AA703" s="16"/>
      <c r="AB703" s="16"/>
      <c r="AC703" s="16"/>
      <c r="AD703" s="16"/>
    </row>
    <row r="704" ht="13.5" customHeight="1" spans="1:30" x14ac:dyDescent="0.25">
      <c r="A704" s="4"/>
      <c r="B704" s="4"/>
      <c r="C704" s="4"/>
      <c r="D704" s="4"/>
      <c r="E704" s="4"/>
      <c r="F704" s="4"/>
      <c r="G704" s="4"/>
      <c r="H704" s="4"/>
      <c r="I704" s="4"/>
      <c r="J704" s="4"/>
      <c r="K704" s="4"/>
      <c r="L704" s="4"/>
      <c r="M704" s="4"/>
      <c r="N704" s="4"/>
      <c r="O704" s="4"/>
      <c r="P704" s="4"/>
      <c r="Q704" s="4"/>
      <c r="R704" s="16"/>
      <c r="S704" s="16"/>
      <c r="T704" s="16"/>
      <c r="U704" s="16"/>
      <c r="V704" s="16"/>
      <c r="W704" s="16"/>
      <c r="X704" s="16"/>
      <c r="Y704" s="16"/>
      <c r="Z704" s="16"/>
      <c r="AA704" s="16"/>
      <c r="AB704" s="16"/>
      <c r="AC704" s="16"/>
      <c r="AD704" s="16"/>
    </row>
    <row r="705" ht="13.5" customHeight="1" spans="1:30" x14ac:dyDescent="0.25">
      <c r="A705" s="4"/>
      <c r="B705" s="4"/>
      <c r="C705" s="4"/>
      <c r="D705" s="4"/>
      <c r="E705" s="4"/>
      <c r="F705" s="4"/>
      <c r="G705" s="4"/>
      <c r="H705" s="4"/>
      <c r="I705" s="4"/>
      <c r="J705" s="4"/>
      <c r="K705" s="4"/>
      <c r="L705" s="4"/>
      <c r="M705" s="4"/>
      <c r="N705" s="4"/>
      <c r="O705" s="4"/>
      <c r="P705" s="4"/>
      <c r="Q705" s="4"/>
      <c r="R705" s="16"/>
      <c r="S705" s="16"/>
      <c r="T705" s="16"/>
      <c r="U705" s="16"/>
      <c r="V705" s="16"/>
      <c r="W705" s="16"/>
      <c r="X705" s="16"/>
      <c r="Y705" s="16"/>
      <c r="Z705" s="16"/>
      <c r="AA705" s="16"/>
      <c r="AB705" s="16"/>
      <c r="AC705" s="16"/>
      <c r="AD705" s="16"/>
    </row>
    <row r="706" ht="13.5" customHeight="1" spans="1:30" x14ac:dyDescent="0.25">
      <c r="A706" s="4"/>
      <c r="B706" s="4"/>
      <c r="C706" s="4"/>
      <c r="D706" s="4"/>
      <c r="E706" s="4"/>
      <c r="F706" s="4"/>
      <c r="G706" s="4"/>
      <c r="H706" s="4"/>
      <c r="I706" s="4"/>
      <c r="J706" s="4"/>
      <c r="K706" s="4"/>
      <c r="L706" s="4"/>
      <c r="M706" s="4"/>
      <c r="N706" s="4"/>
      <c r="O706" s="4"/>
      <c r="P706" s="4"/>
      <c r="Q706" s="4"/>
      <c r="R706" s="16"/>
      <c r="S706" s="16"/>
      <c r="T706" s="16"/>
      <c r="U706" s="16"/>
      <c r="V706" s="16"/>
      <c r="W706" s="16"/>
      <c r="X706" s="16"/>
      <c r="Y706" s="16"/>
      <c r="Z706" s="16"/>
      <c r="AA706" s="16"/>
      <c r="AB706" s="16"/>
      <c r="AC706" s="16"/>
      <c r="AD706" s="16"/>
    </row>
    <row r="707" ht="13.5" customHeight="1" spans="1:30" x14ac:dyDescent="0.25">
      <c r="A707" s="4"/>
      <c r="B707" s="4"/>
      <c r="C707" s="4"/>
      <c r="D707" s="4"/>
      <c r="E707" s="4"/>
      <c r="F707" s="4"/>
      <c r="G707" s="4"/>
      <c r="H707" s="4"/>
      <c r="I707" s="4"/>
      <c r="J707" s="4"/>
      <c r="K707" s="4"/>
      <c r="L707" s="4"/>
      <c r="M707" s="4"/>
      <c r="N707" s="4"/>
      <c r="O707" s="4"/>
      <c r="P707" s="4"/>
      <c r="Q707" s="4"/>
      <c r="R707" s="16"/>
      <c r="S707" s="16"/>
      <c r="T707" s="16"/>
      <c r="U707" s="16"/>
      <c r="V707" s="16"/>
      <c r="W707" s="16"/>
      <c r="X707" s="16"/>
      <c r="Y707" s="16"/>
      <c r="Z707" s="16"/>
      <c r="AA707" s="16"/>
      <c r="AB707" s="16"/>
      <c r="AC707" s="16"/>
      <c r="AD707" s="16"/>
    </row>
    <row r="708" ht="13.5" customHeight="1" spans="1:30" x14ac:dyDescent="0.25">
      <c r="A708" s="4"/>
      <c r="B708" s="4"/>
      <c r="C708" s="4"/>
      <c r="D708" s="4"/>
      <c r="E708" s="4"/>
      <c r="F708" s="4"/>
      <c r="G708" s="4"/>
      <c r="H708" s="4"/>
      <c r="I708" s="4"/>
      <c r="J708" s="4"/>
      <c r="K708" s="4"/>
      <c r="L708" s="4"/>
      <c r="M708" s="4"/>
      <c r="N708" s="4"/>
      <c r="O708" s="4"/>
      <c r="P708" s="4"/>
      <c r="Q708" s="4"/>
      <c r="R708" s="16"/>
      <c r="S708" s="16"/>
      <c r="T708" s="16"/>
      <c r="U708" s="16"/>
      <c r="V708" s="16"/>
      <c r="W708" s="16"/>
      <c r="X708" s="16"/>
      <c r="Y708" s="16"/>
      <c r="Z708" s="16"/>
      <c r="AA708" s="16"/>
      <c r="AB708" s="16"/>
      <c r="AC708" s="16"/>
      <c r="AD708" s="16"/>
    </row>
    <row r="709" ht="13.5" customHeight="1" spans="1:30" x14ac:dyDescent="0.25">
      <c r="A709" s="4"/>
      <c r="B709" s="4"/>
      <c r="C709" s="4"/>
      <c r="D709" s="4"/>
      <c r="E709" s="4"/>
      <c r="F709" s="4"/>
      <c r="G709" s="4"/>
      <c r="H709" s="4"/>
      <c r="I709" s="4"/>
      <c r="J709" s="4"/>
      <c r="K709" s="4"/>
      <c r="L709" s="4"/>
      <c r="M709" s="4"/>
      <c r="N709" s="4"/>
      <c r="O709" s="4"/>
      <c r="P709" s="4"/>
      <c r="Q709" s="4"/>
      <c r="R709" s="16"/>
      <c r="S709" s="16"/>
      <c r="T709" s="16"/>
      <c r="U709" s="16"/>
      <c r="V709" s="16"/>
      <c r="W709" s="16"/>
      <c r="X709" s="16"/>
      <c r="Y709" s="16"/>
      <c r="Z709" s="16"/>
      <c r="AA709" s="16"/>
      <c r="AB709" s="16"/>
      <c r="AC709" s="16"/>
      <c r="AD709" s="16"/>
    </row>
    <row r="710" ht="13.5" customHeight="1" spans="1:30" x14ac:dyDescent="0.25">
      <c r="A710" s="4"/>
      <c r="B710" s="4"/>
      <c r="C710" s="4"/>
      <c r="D710" s="4"/>
      <c r="E710" s="4"/>
      <c r="F710" s="4"/>
      <c r="G710" s="4"/>
      <c r="H710" s="4"/>
      <c r="I710" s="4"/>
      <c r="J710" s="4"/>
      <c r="K710" s="4"/>
      <c r="L710" s="4"/>
      <c r="M710" s="4"/>
      <c r="N710" s="4"/>
      <c r="O710" s="4"/>
      <c r="P710" s="4"/>
      <c r="Q710" s="4"/>
      <c r="R710" s="16"/>
      <c r="S710" s="16"/>
      <c r="T710" s="16"/>
      <c r="U710" s="16"/>
      <c r="V710" s="16"/>
      <c r="W710" s="16"/>
      <c r="X710" s="16"/>
      <c r="Y710" s="16"/>
      <c r="Z710" s="16"/>
      <c r="AA710" s="16"/>
      <c r="AB710" s="16"/>
      <c r="AC710" s="16"/>
      <c r="AD710" s="16"/>
    </row>
    <row r="711" ht="13.5" customHeight="1" spans="1:30" x14ac:dyDescent="0.25">
      <c r="A711" s="4"/>
      <c r="B711" s="4"/>
      <c r="C711" s="4"/>
      <c r="D711" s="4"/>
      <c r="E711" s="4"/>
      <c r="F711" s="4"/>
      <c r="G711" s="4"/>
      <c r="H711" s="4"/>
      <c r="I711" s="4"/>
      <c r="J711" s="4"/>
      <c r="K711" s="4"/>
      <c r="L711" s="4"/>
      <c r="M711" s="4"/>
      <c r="N711" s="4"/>
      <c r="O711" s="4"/>
      <c r="P711" s="4"/>
      <c r="Q711" s="4"/>
      <c r="R711" s="16"/>
      <c r="S711" s="16"/>
      <c r="T711" s="16"/>
      <c r="U711" s="16"/>
      <c r="V711" s="16"/>
      <c r="W711" s="16"/>
      <c r="X711" s="16"/>
      <c r="Y711" s="16"/>
      <c r="Z711" s="16"/>
      <c r="AA711" s="16"/>
      <c r="AB711" s="16"/>
      <c r="AC711" s="16"/>
      <c r="AD711" s="16"/>
    </row>
    <row r="712" ht="13.5" customHeight="1" spans="1:30" x14ac:dyDescent="0.25">
      <c r="A712" s="4"/>
      <c r="B712" s="4"/>
      <c r="C712" s="4"/>
      <c r="D712" s="4"/>
      <c r="E712" s="4"/>
      <c r="F712" s="4"/>
      <c r="G712" s="4"/>
      <c r="H712" s="4"/>
      <c r="I712" s="4"/>
      <c r="J712" s="4"/>
      <c r="K712" s="4"/>
      <c r="L712" s="4"/>
      <c r="M712" s="4"/>
      <c r="N712" s="4"/>
      <c r="O712" s="4"/>
      <c r="P712" s="4"/>
      <c r="Q712" s="4"/>
      <c r="R712" s="16"/>
      <c r="S712" s="16"/>
      <c r="T712" s="16"/>
      <c r="U712" s="16"/>
      <c r="V712" s="16"/>
      <c r="W712" s="16"/>
      <c r="X712" s="16"/>
      <c r="Y712" s="16"/>
      <c r="Z712" s="16"/>
      <c r="AA712" s="16"/>
      <c r="AB712" s="16"/>
      <c r="AC712" s="16"/>
      <c r="AD712" s="16"/>
    </row>
    <row r="713" ht="13.5" customHeight="1" spans="1:30" x14ac:dyDescent="0.25">
      <c r="A713" s="4"/>
      <c r="B713" s="4"/>
      <c r="C713" s="4"/>
      <c r="D713" s="4"/>
      <c r="E713" s="4"/>
      <c r="F713" s="4"/>
      <c r="G713" s="4"/>
      <c r="H713" s="4"/>
      <c r="I713" s="4"/>
      <c r="J713" s="4"/>
      <c r="K713" s="4"/>
      <c r="L713" s="4"/>
      <c r="M713" s="4"/>
      <c r="N713" s="4"/>
      <c r="O713" s="4"/>
      <c r="P713" s="4"/>
      <c r="Q713" s="4"/>
      <c r="R713" s="16"/>
      <c r="S713" s="16"/>
      <c r="T713" s="16"/>
      <c r="U713" s="16"/>
      <c r="V713" s="16"/>
      <c r="W713" s="16"/>
      <c r="X713" s="16"/>
      <c r="Y713" s="16"/>
      <c r="Z713" s="16"/>
      <c r="AA713" s="16"/>
      <c r="AB713" s="16"/>
      <c r="AC713" s="16"/>
      <c r="AD713" s="16"/>
    </row>
    <row r="714" ht="13.5" customHeight="1" spans="1:30" x14ac:dyDescent="0.25">
      <c r="A714" s="4"/>
      <c r="B714" s="4"/>
      <c r="C714" s="4"/>
      <c r="D714" s="4"/>
      <c r="E714" s="4"/>
      <c r="F714" s="4"/>
      <c r="G714" s="4"/>
      <c r="H714" s="4"/>
      <c r="I714" s="4"/>
      <c r="J714" s="4"/>
      <c r="K714" s="4"/>
      <c r="L714" s="4"/>
      <c r="M714" s="4"/>
      <c r="N714" s="4"/>
      <c r="O714" s="4"/>
      <c r="P714" s="4"/>
      <c r="Q714" s="4"/>
      <c r="R714" s="16"/>
      <c r="S714" s="16"/>
      <c r="T714" s="16"/>
      <c r="U714" s="16"/>
      <c r="V714" s="16"/>
      <c r="W714" s="16"/>
      <c r="X714" s="16"/>
      <c r="Y714" s="16"/>
      <c r="Z714" s="16"/>
      <c r="AA714" s="16"/>
      <c r="AB714" s="16"/>
      <c r="AC714" s="16"/>
      <c r="AD714" s="16"/>
    </row>
    <row r="715" ht="13.5" customHeight="1" spans="1:30" x14ac:dyDescent="0.25">
      <c r="A715" s="4"/>
      <c r="B715" s="4"/>
      <c r="C715" s="4"/>
      <c r="D715" s="4"/>
      <c r="E715" s="4"/>
      <c r="F715" s="4"/>
      <c r="G715" s="4"/>
      <c r="H715" s="4"/>
      <c r="I715" s="4"/>
      <c r="J715" s="4"/>
      <c r="K715" s="4"/>
      <c r="L715" s="4"/>
      <c r="M715" s="4"/>
      <c r="N715" s="4"/>
      <c r="O715" s="4"/>
      <c r="P715" s="4"/>
      <c r="Q715" s="4"/>
      <c r="R715" s="16"/>
      <c r="S715" s="16"/>
      <c r="T715" s="16"/>
      <c r="U715" s="16"/>
      <c r="V715" s="16"/>
      <c r="W715" s="16"/>
      <c r="X715" s="16"/>
      <c r="Y715" s="16"/>
      <c r="Z715" s="16"/>
      <c r="AA715" s="16"/>
      <c r="AB715" s="16"/>
      <c r="AC715" s="16"/>
      <c r="AD715" s="16"/>
    </row>
    <row r="716" ht="13.5" customHeight="1" spans="1:30" x14ac:dyDescent="0.25">
      <c r="A716" s="4"/>
      <c r="B716" s="4"/>
      <c r="C716" s="4"/>
      <c r="D716" s="4"/>
      <c r="E716" s="4"/>
      <c r="F716" s="4"/>
      <c r="G716" s="4"/>
      <c r="H716" s="4"/>
      <c r="I716" s="4"/>
      <c r="J716" s="4"/>
      <c r="K716" s="4"/>
      <c r="L716" s="4"/>
      <c r="M716" s="4"/>
      <c r="N716" s="4"/>
      <c r="O716" s="4"/>
      <c r="P716" s="4"/>
      <c r="Q716" s="4"/>
      <c r="R716" s="16"/>
      <c r="S716" s="16"/>
      <c r="T716" s="16"/>
      <c r="U716" s="16"/>
      <c r="V716" s="16"/>
      <c r="W716" s="16"/>
      <c r="X716" s="16"/>
      <c r="Y716" s="16"/>
      <c r="Z716" s="16"/>
      <c r="AA716" s="16"/>
      <c r="AB716" s="16"/>
      <c r="AC716" s="16"/>
      <c r="AD716" s="16"/>
    </row>
    <row r="717" ht="13.5" customHeight="1" spans="1:30" x14ac:dyDescent="0.25">
      <c r="A717" s="4"/>
      <c r="B717" s="4"/>
      <c r="C717" s="4"/>
      <c r="D717" s="4"/>
      <c r="E717" s="4"/>
      <c r="F717" s="4"/>
      <c r="G717" s="4"/>
      <c r="H717" s="4"/>
      <c r="I717" s="4"/>
      <c r="J717" s="4"/>
      <c r="K717" s="4"/>
      <c r="L717" s="4"/>
      <c r="M717" s="4"/>
      <c r="N717" s="4"/>
      <c r="O717" s="4"/>
      <c r="P717" s="4"/>
      <c r="Q717" s="4"/>
      <c r="R717" s="16"/>
      <c r="S717" s="16"/>
      <c r="T717" s="16"/>
      <c r="U717" s="16"/>
      <c r="V717" s="16"/>
      <c r="W717" s="16"/>
      <c r="X717" s="16"/>
      <c r="Y717" s="16"/>
      <c r="Z717" s="16"/>
      <c r="AA717" s="16"/>
      <c r="AB717" s="16"/>
      <c r="AC717" s="16"/>
      <c r="AD717" s="16"/>
    </row>
    <row r="718" ht="13.5" customHeight="1" spans="1:30" x14ac:dyDescent="0.25">
      <c r="A718" s="4"/>
      <c r="B718" s="4"/>
      <c r="C718" s="4"/>
      <c r="D718" s="4"/>
      <c r="E718" s="4"/>
      <c r="F718" s="4"/>
      <c r="G718" s="4"/>
      <c r="H718" s="4"/>
      <c r="I718" s="4"/>
      <c r="J718" s="4"/>
      <c r="K718" s="4"/>
      <c r="L718" s="4"/>
      <c r="M718" s="4"/>
      <c r="N718" s="4"/>
      <c r="O718" s="4"/>
      <c r="P718" s="4"/>
      <c r="Q718" s="4"/>
      <c r="R718" s="16"/>
      <c r="S718" s="16"/>
      <c r="T718" s="16"/>
      <c r="U718" s="16"/>
      <c r="V718" s="16"/>
      <c r="W718" s="16"/>
      <c r="X718" s="16"/>
      <c r="Y718" s="16"/>
      <c r="Z718" s="16"/>
      <c r="AA718" s="16"/>
      <c r="AB718" s="16"/>
      <c r="AC718" s="16"/>
      <c r="AD718" s="16"/>
    </row>
    <row r="719" ht="13.5" customHeight="1" spans="1:30" x14ac:dyDescent="0.25">
      <c r="A719" s="4"/>
      <c r="B719" s="4"/>
      <c r="C719" s="4"/>
      <c r="D719" s="4"/>
      <c r="E719" s="4"/>
      <c r="F719" s="4"/>
      <c r="G719" s="4"/>
      <c r="H719" s="4"/>
      <c r="I719" s="4"/>
      <c r="J719" s="4"/>
      <c r="K719" s="4"/>
      <c r="L719" s="4"/>
      <c r="M719" s="4"/>
      <c r="N719" s="4"/>
      <c r="O719" s="4"/>
      <c r="P719" s="4"/>
      <c r="Q719" s="4"/>
      <c r="R719" s="16"/>
      <c r="S719" s="16"/>
      <c r="T719" s="16"/>
      <c r="U719" s="16"/>
      <c r="V719" s="16"/>
      <c r="W719" s="16"/>
      <c r="X719" s="16"/>
      <c r="Y719" s="16"/>
      <c r="Z719" s="16"/>
      <c r="AA719" s="16"/>
      <c r="AB719" s="16"/>
      <c r="AC719" s="16"/>
      <c r="AD719" s="16"/>
    </row>
    <row r="720" ht="13.5" customHeight="1" spans="1:30" x14ac:dyDescent="0.25">
      <c r="A720" s="4"/>
      <c r="B720" s="4"/>
      <c r="C720" s="4"/>
      <c r="D720" s="4"/>
      <c r="E720" s="4"/>
      <c r="F720" s="4"/>
      <c r="G720" s="4"/>
      <c r="H720" s="4"/>
      <c r="I720" s="4"/>
      <c r="J720" s="4"/>
      <c r="K720" s="4"/>
      <c r="L720" s="4"/>
      <c r="M720" s="4"/>
      <c r="N720" s="4"/>
      <c r="O720" s="4"/>
      <c r="P720" s="4"/>
      <c r="Q720" s="4"/>
      <c r="R720" s="16"/>
      <c r="S720" s="16"/>
      <c r="T720" s="16"/>
      <c r="U720" s="16"/>
      <c r="V720" s="16"/>
      <c r="W720" s="16"/>
      <c r="X720" s="16"/>
      <c r="Y720" s="16"/>
      <c r="Z720" s="16"/>
      <c r="AA720" s="16"/>
      <c r="AB720" s="16"/>
      <c r="AC720" s="16"/>
      <c r="AD720" s="16"/>
    </row>
    <row r="721" ht="13.5" customHeight="1" spans="1:30" x14ac:dyDescent="0.25">
      <c r="A721" s="4"/>
      <c r="B721" s="4"/>
      <c r="C721" s="4"/>
      <c r="D721" s="4"/>
      <c r="E721" s="4"/>
      <c r="F721" s="4"/>
      <c r="G721" s="4"/>
      <c r="H721" s="4"/>
      <c r="I721" s="4"/>
      <c r="J721" s="4"/>
      <c r="K721" s="4"/>
      <c r="L721" s="4"/>
      <c r="M721" s="4"/>
      <c r="N721" s="4"/>
      <c r="O721" s="4"/>
      <c r="P721" s="4"/>
      <c r="Q721" s="4"/>
      <c r="R721" s="16"/>
      <c r="S721" s="16"/>
      <c r="T721" s="16"/>
      <c r="U721" s="16"/>
      <c r="V721" s="16"/>
      <c r="W721" s="16"/>
      <c r="X721" s="16"/>
      <c r="Y721" s="16"/>
      <c r="Z721" s="16"/>
      <c r="AA721" s="16"/>
      <c r="AB721" s="16"/>
      <c r="AC721" s="16"/>
      <c r="AD721" s="16"/>
    </row>
    <row r="722" ht="13.5" customHeight="1" spans="1:30" x14ac:dyDescent="0.25">
      <c r="A722" s="4"/>
      <c r="B722" s="4"/>
      <c r="C722" s="4"/>
      <c r="D722" s="4"/>
      <c r="E722" s="4"/>
      <c r="F722" s="4"/>
      <c r="G722" s="4"/>
      <c r="H722" s="4"/>
      <c r="I722" s="4"/>
      <c r="J722" s="4"/>
      <c r="K722" s="4"/>
      <c r="L722" s="4"/>
      <c r="M722" s="4"/>
      <c r="N722" s="4"/>
      <c r="O722" s="4"/>
      <c r="P722" s="4"/>
      <c r="Q722" s="4"/>
      <c r="R722" s="16"/>
      <c r="S722" s="16"/>
      <c r="T722" s="16"/>
      <c r="U722" s="16"/>
      <c r="V722" s="16"/>
      <c r="W722" s="16"/>
      <c r="X722" s="16"/>
      <c r="Y722" s="16"/>
      <c r="Z722" s="16"/>
      <c r="AA722" s="16"/>
      <c r="AB722" s="16"/>
      <c r="AC722" s="16"/>
      <c r="AD722" s="16"/>
    </row>
    <row r="723" ht="13.5" customHeight="1" spans="1:30" x14ac:dyDescent="0.25">
      <c r="A723" s="4"/>
      <c r="B723" s="4"/>
      <c r="C723" s="4"/>
      <c r="D723" s="4"/>
      <c r="E723" s="4"/>
      <c r="F723" s="4"/>
      <c r="G723" s="4"/>
      <c r="H723" s="4"/>
      <c r="I723" s="4"/>
      <c r="J723" s="4"/>
      <c r="K723" s="4"/>
      <c r="L723" s="4"/>
      <c r="M723" s="4"/>
      <c r="N723" s="4"/>
      <c r="O723" s="4"/>
      <c r="P723" s="4"/>
      <c r="Q723" s="4"/>
      <c r="R723" s="16"/>
      <c r="S723" s="16"/>
      <c r="T723" s="16"/>
      <c r="U723" s="16"/>
      <c r="V723" s="16"/>
      <c r="W723" s="16"/>
      <c r="X723" s="16"/>
      <c r="Y723" s="16"/>
      <c r="Z723" s="16"/>
      <c r="AA723" s="16"/>
      <c r="AB723" s="16"/>
      <c r="AC723" s="16"/>
      <c r="AD723" s="16"/>
    </row>
    <row r="724" ht="13.5" customHeight="1" spans="1:30" x14ac:dyDescent="0.25">
      <c r="A724" s="4"/>
      <c r="B724" s="4"/>
      <c r="C724" s="4"/>
      <c r="D724" s="4"/>
      <c r="E724" s="4"/>
      <c r="F724" s="4"/>
      <c r="G724" s="4"/>
      <c r="H724" s="4"/>
      <c r="I724" s="4"/>
      <c r="J724" s="4"/>
      <c r="K724" s="4"/>
      <c r="L724" s="4"/>
      <c r="M724" s="4"/>
      <c r="N724" s="4"/>
      <c r="O724" s="4"/>
      <c r="P724" s="4"/>
      <c r="Q724" s="4"/>
      <c r="R724" s="16"/>
      <c r="S724" s="16"/>
      <c r="T724" s="16"/>
      <c r="U724" s="16"/>
      <c r="V724" s="16"/>
      <c r="W724" s="16"/>
      <c r="X724" s="16"/>
      <c r="Y724" s="16"/>
      <c r="Z724" s="16"/>
      <c r="AA724" s="16"/>
      <c r="AB724" s="16"/>
      <c r="AC724" s="16"/>
      <c r="AD724" s="16"/>
    </row>
    <row r="725" ht="13.5" customHeight="1" spans="1:30" x14ac:dyDescent="0.25">
      <c r="A725" s="4"/>
      <c r="B725" s="4"/>
      <c r="C725" s="4"/>
      <c r="D725" s="4"/>
      <c r="E725" s="4"/>
      <c r="F725" s="4"/>
      <c r="G725" s="4"/>
      <c r="H725" s="4"/>
      <c r="I725" s="4"/>
      <c r="J725" s="4"/>
      <c r="K725" s="4"/>
      <c r="L725" s="4"/>
      <c r="M725" s="4"/>
      <c r="N725" s="4"/>
      <c r="O725" s="4"/>
      <c r="P725" s="4"/>
      <c r="Q725" s="4"/>
      <c r="R725" s="16"/>
      <c r="S725" s="16"/>
      <c r="T725" s="16"/>
      <c r="U725" s="16"/>
      <c r="V725" s="16"/>
      <c r="W725" s="16"/>
      <c r="X725" s="16"/>
      <c r="Y725" s="16"/>
      <c r="Z725" s="16"/>
      <c r="AA725" s="16"/>
      <c r="AB725" s="16"/>
      <c r="AC725" s="16"/>
      <c r="AD725" s="16"/>
    </row>
    <row r="726" ht="13.5" customHeight="1" spans="1:30" x14ac:dyDescent="0.25">
      <c r="A726" s="4"/>
      <c r="B726" s="4"/>
      <c r="C726" s="4"/>
      <c r="D726" s="4"/>
      <c r="E726" s="4"/>
      <c r="F726" s="4"/>
      <c r="G726" s="4"/>
      <c r="H726" s="4"/>
      <c r="I726" s="4"/>
      <c r="J726" s="4"/>
      <c r="K726" s="4"/>
      <c r="L726" s="4"/>
      <c r="M726" s="4"/>
      <c r="N726" s="4"/>
      <c r="O726" s="4"/>
      <c r="P726" s="4"/>
      <c r="Q726" s="4"/>
      <c r="R726" s="16"/>
      <c r="S726" s="16"/>
      <c r="T726" s="16"/>
      <c r="U726" s="16"/>
      <c r="V726" s="16"/>
      <c r="W726" s="16"/>
      <c r="X726" s="16"/>
      <c r="Y726" s="16"/>
      <c r="Z726" s="16"/>
      <c r="AA726" s="16"/>
      <c r="AB726" s="16"/>
      <c r="AC726" s="16"/>
      <c r="AD726" s="16"/>
    </row>
    <row r="727" ht="13.5" customHeight="1" spans="1:30" x14ac:dyDescent="0.25">
      <c r="A727" s="4"/>
      <c r="B727" s="4"/>
      <c r="C727" s="4"/>
      <c r="D727" s="4"/>
      <c r="E727" s="4"/>
      <c r="F727" s="4"/>
      <c r="G727" s="4"/>
      <c r="H727" s="4"/>
      <c r="I727" s="4"/>
      <c r="J727" s="4"/>
      <c r="K727" s="4"/>
      <c r="L727" s="4"/>
      <c r="M727" s="4"/>
      <c r="N727" s="4"/>
      <c r="O727" s="4"/>
      <c r="P727" s="4"/>
      <c r="Q727" s="4"/>
      <c r="R727" s="16"/>
      <c r="S727" s="16"/>
      <c r="T727" s="16"/>
      <c r="U727" s="16"/>
      <c r="V727" s="16"/>
      <c r="W727" s="16"/>
      <c r="X727" s="16"/>
      <c r="Y727" s="16"/>
      <c r="Z727" s="16"/>
      <c r="AA727" s="16"/>
      <c r="AB727" s="16"/>
      <c r="AC727" s="16"/>
      <c r="AD727" s="16"/>
    </row>
    <row r="728" ht="13.5" customHeight="1" spans="1:30" x14ac:dyDescent="0.25">
      <c r="A728" s="4"/>
      <c r="B728" s="4"/>
      <c r="C728" s="4"/>
      <c r="D728" s="4"/>
      <c r="E728" s="4"/>
      <c r="F728" s="4"/>
      <c r="G728" s="4"/>
      <c r="H728" s="4"/>
      <c r="I728" s="4"/>
      <c r="J728" s="4"/>
      <c r="K728" s="4"/>
      <c r="L728" s="4"/>
      <c r="M728" s="4"/>
      <c r="N728" s="4"/>
      <c r="O728" s="4"/>
      <c r="P728" s="4"/>
      <c r="Q728" s="4"/>
      <c r="R728" s="16"/>
      <c r="S728" s="16"/>
      <c r="T728" s="16"/>
      <c r="U728" s="16"/>
      <c r="V728" s="16"/>
      <c r="W728" s="16"/>
      <c r="X728" s="16"/>
      <c r="Y728" s="16"/>
      <c r="Z728" s="16"/>
      <c r="AA728" s="16"/>
      <c r="AB728" s="16"/>
      <c r="AC728" s="16"/>
      <c r="AD728" s="16"/>
    </row>
    <row r="729" ht="13.5" customHeight="1" spans="1:30" x14ac:dyDescent="0.25">
      <c r="A729" s="4"/>
      <c r="B729" s="4"/>
      <c r="C729" s="4"/>
      <c r="D729" s="4"/>
      <c r="E729" s="4"/>
      <c r="F729" s="4"/>
      <c r="G729" s="4"/>
      <c r="H729" s="4"/>
      <c r="I729" s="4"/>
      <c r="J729" s="4"/>
      <c r="K729" s="4"/>
      <c r="L729" s="4"/>
      <c r="M729" s="4"/>
      <c r="N729" s="4"/>
      <c r="O729" s="4"/>
      <c r="P729" s="4"/>
      <c r="Q729" s="4"/>
      <c r="R729" s="16"/>
      <c r="S729" s="16"/>
      <c r="T729" s="16"/>
      <c r="U729" s="16"/>
      <c r="V729" s="16"/>
      <c r="W729" s="16"/>
      <c r="X729" s="16"/>
      <c r="Y729" s="16"/>
      <c r="Z729" s="16"/>
      <c r="AA729" s="16"/>
      <c r="AB729" s="16"/>
      <c r="AC729" s="16"/>
      <c r="AD729" s="16"/>
    </row>
    <row r="730" ht="13.5" customHeight="1" spans="1:30" x14ac:dyDescent="0.25">
      <c r="A730" s="4"/>
      <c r="B730" s="4"/>
      <c r="C730" s="4"/>
      <c r="D730" s="4"/>
      <c r="E730" s="4"/>
      <c r="F730" s="4"/>
      <c r="G730" s="4"/>
      <c r="H730" s="4"/>
      <c r="I730" s="4"/>
      <c r="J730" s="4"/>
      <c r="K730" s="4"/>
      <c r="L730" s="4"/>
      <c r="M730" s="4"/>
      <c r="N730" s="4"/>
      <c r="O730" s="4"/>
      <c r="P730" s="4"/>
      <c r="Q730" s="4"/>
      <c r="R730" s="16"/>
      <c r="S730" s="16"/>
      <c r="T730" s="16"/>
      <c r="U730" s="16"/>
      <c r="V730" s="16"/>
      <c r="W730" s="16"/>
      <c r="X730" s="16"/>
      <c r="Y730" s="16"/>
      <c r="Z730" s="16"/>
      <c r="AA730" s="16"/>
      <c r="AB730" s="16"/>
      <c r="AC730" s="16"/>
      <c r="AD730" s="16"/>
    </row>
    <row r="731" ht="13.5" customHeight="1" spans="1:30" x14ac:dyDescent="0.25">
      <c r="A731" s="4"/>
      <c r="B731" s="4"/>
      <c r="C731" s="4"/>
      <c r="D731" s="4"/>
      <c r="E731" s="4"/>
      <c r="F731" s="4"/>
      <c r="G731" s="4"/>
      <c r="H731" s="4"/>
      <c r="I731" s="4"/>
      <c r="J731" s="4"/>
      <c r="K731" s="4"/>
      <c r="L731" s="4"/>
      <c r="M731" s="4"/>
      <c r="N731" s="4"/>
      <c r="O731" s="4"/>
      <c r="P731" s="4"/>
      <c r="Q731" s="4"/>
      <c r="R731" s="16"/>
      <c r="S731" s="16"/>
      <c r="T731" s="16"/>
      <c r="U731" s="16"/>
      <c r="V731" s="16"/>
      <c r="W731" s="16"/>
      <c r="X731" s="16"/>
      <c r="Y731" s="16"/>
      <c r="Z731" s="16"/>
      <c r="AA731" s="16"/>
      <c r="AB731" s="16"/>
      <c r="AC731" s="16"/>
      <c r="AD731" s="16"/>
    </row>
    <row r="732" ht="13.5" customHeight="1" spans="1:30" x14ac:dyDescent="0.25">
      <c r="A732" s="4"/>
      <c r="B732" s="4"/>
      <c r="C732" s="4"/>
      <c r="D732" s="4"/>
      <c r="E732" s="4"/>
      <c r="F732" s="4"/>
      <c r="G732" s="4"/>
      <c r="H732" s="4"/>
      <c r="I732" s="4"/>
      <c r="J732" s="4"/>
      <c r="K732" s="4"/>
      <c r="L732" s="4"/>
      <c r="M732" s="4"/>
      <c r="N732" s="4"/>
      <c r="O732" s="4"/>
      <c r="P732" s="4"/>
      <c r="Q732" s="4"/>
      <c r="R732" s="16"/>
      <c r="S732" s="16"/>
      <c r="T732" s="16"/>
      <c r="U732" s="16"/>
      <c r="V732" s="16"/>
      <c r="W732" s="16"/>
      <c r="X732" s="16"/>
      <c r="Y732" s="16"/>
      <c r="Z732" s="16"/>
      <c r="AA732" s="16"/>
      <c r="AB732" s="16"/>
      <c r="AC732" s="16"/>
      <c r="AD732" s="16"/>
    </row>
    <row r="733" ht="13.5" customHeight="1" spans="1:30" x14ac:dyDescent="0.25">
      <c r="A733" s="4"/>
      <c r="B733" s="4"/>
      <c r="C733" s="4"/>
      <c r="D733" s="4"/>
      <c r="E733" s="4"/>
      <c r="F733" s="4"/>
      <c r="G733" s="4"/>
      <c r="H733" s="4"/>
      <c r="I733" s="4"/>
      <c r="J733" s="4"/>
      <c r="K733" s="4"/>
      <c r="L733" s="4"/>
      <c r="M733" s="4"/>
      <c r="N733" s="4"/>
      <c r="O733" s="4"/>
      <c r="P733" s="4"/>
      <c r="Q733" s="4"/>
      <c r="R733" s="16"/>
      <c r="S733" s="16"/>
      <c r="T733" s="16"/>
      <c r="U733" s="16"/>
      <c r="V733" s="16"/>
      <c r="W733" s="16"/>
      <c r="X733" s="16"/>
      <c r="Y733" s="16"/>
      <c r="Z733" s="16"/>
      <c r="AA733" s="16"/>
      <c r="AB733" s="16"/>
      <c r="AC733" s="16"/>
      <c r="AD733" s="16"/>
    </row>
    <row r="734" ht="13.5" customHeight="1" spans="1:30" x14ac:dyDescent="0.25">
      <c r="A734" s="4"/>
      <c r="B734" s="4"/>
      <c r="C734" s="4"/>
      <c r="D734" s="4"/>
      <c r="E734" s="4"/>
      <c r="F734" s="4"/>
      <c r="G734" s="4"/>
      <c r="H734" s="4"/>
      <c r="I734" s="4"/>
      <c r="J734" s="4"/>
      <c r="K734" s="4"/>
      <c r="L734" s="4"/>
      <c r="M734" s="4"/>
      <c r="N734" s="4"/>
      <c r="O734" s="4"/>
      <c r="P734" s="4"/>
      <c r="Q734" s="4"/>
      <c r="R734" s="16"/>
      <c r="S734" s="16"/>
      <c r="T734" s="16"/>
      <c r="U734" s="16"/>
      <c r="V734" s="16"/>
      <c r="W734" s="16"/>
      <c r="X734" s="16"/>
      <c r="Y734" s="16"/>
      <c r="Z734" s="16"/>
      <c r="AA734" s="16"/>
      <c r="AB734" s="16"/>
      <c r="AC734" s="16"/>
      <c r="AD734" s="16"/>
    </row>
    <row r="735" ht="13.5" customHeight="1" spans="1:30" x14ac:dyDescent="0.25">
      <c r="A735" s="4"/>
      <c r="B735" s="4"/>
      <c r="C735" s="4"/>
      <c r="D735" s="4"/>
      <c r="E735" s="4"/>
      <c r="F735" s="4"/>
      <c r="G735" s="4"/>
      <c r="H735" s="4"/>
      <c r="I735" s="4"/>
      <c r="J735" s="4"/>
      <c r="K735" s="4"/>
      <c r="L735" s="4"/>
      <c r="M735" s="4"/>
      <c r="N735" s="4"/>
      <c r="O735" s="4"/>
      <c r="P735" s="4"/>
      <c r="Q735" s="4"/>
      <c r="R735" s="16"/>
      <c r="S735" s="16"/>
      <c r="T735" s="16"/>
      <c r="U735" s="16"/>
      <c r="V735" s="16"/>
      <c r="W735" s="16"/>
      <c r="X735" s="16"/>
      <c r="Y735" s="16"/>
      <c r="Z735" s="16"/>
      <c r="AA735" s="16"/>
      <c r="AB735" s="16"/>
      <c r="AC735" s="16"/>
      <c r="AD735" s="16"/>
    </row>
    <row r="736" ht="13.5" customHeight="1" spans="1:30" x14ac:dyDescent="0.25">
      <c r="A736" s="4"/>
      <c r="B736" s="4"/>
      <c r="C736" s="4"/>
      <c r="D736" s="4"/>
      <c r="E736" s="4"/>
      <c r="F736" s="4"/>
      <c r="G736" s="4"/>
      <c r="H736" s="4"/>
      <c r="I736" s="4"/>
      <c r="J736" s="4"/>
      <c r="K736" s="4"/>
      <c r="L736" s="4"/>
      <c r="M736" s="4"/>
      <c r="N736" s="4"/>
      <c r="O736" s="4"/>
      <c r="P736" s="4"/>
      <c r="Q736" s="4"/>
      <c r="R736" s="16"/>
      <c r="S736" s="16"/>
      <c r="T736" s="16"/>
      <c r="U736" s="16"/>
      <c r="V736" s="16"/>
      <c r="W736" s="16"/>
      <c r="X736" s="16"/>
      <c r="Y736" s="16"/>
      <c r="Z736" s="16"/>
      <c r="AA736" s="16"/>
      <c r="AB736" s="16"/>
      <c r="AC736" s="16"/>
      <c r="AD736" s="16"/>
    </row>
    <row r="737" ht="13.5" customHeight="1" spans="1:30" x14ac:dyDescent="0.25">
      <c r="A737" s="4"/>
      <c r="B737" s="4"/>
      <c r="C737" s="4"/>
      <c r="D737" s="4"/>
      <c r="E737" s="4"/>
      <c r="F737" s="4"/>
      <c r="G737" s="4"/>
      <c r="H737" s="4"/>
      <c r="I737" s="4"/>
      <c r="J737" s="4"/>
      <c r="K737" s="4"/>
      <c r="L737" s="4"/>
      <c r="M737" s="4"/>
      <c r="N737" s="4"/>
      <c r="O737" s="4"/>
      <c r="P737" s="4"/>
      <c r="Q737" s="4"/>
      <c r="R737" s="16"/>
      <c r="S737" s="16"/>
      <c r="T737" s="16"/>
      <c r="U737" s="16"/>
      <c r="V737" s="16"/>
      <c r="W737" s="16"/>
      <c r="X737" s="16"/>
      <c r="Y737" s="16"/>
      <c r="Z737" s="16"/>
      <c r="AA737" s="16"/>
      <c r="AB737" s="16"/>
      <c r="AC737" s="16"/>
      <c r="AD737" s="16"/>
    </row>
    <row r="738" ht="13.5" customHeight="1" spans="1:30" x14ac:dyDescent="0.25">
      <c r="A738" s="4"/>
      <c r="B738" s="4"/>
      <c r="C738" s="4"/>
      <c r="D738" s="4"/>
      <c r="E738" s="4"/>
      <c r="F738" s="4"/>
      <c r="G738" s="4"/>
      <c r="H738" s="4"/>
      <c r="I738" s="4"/>
      <c r="J738" s="4"/>
      <c r="K738" s="4"/>
      <c r="L738" s="4"/>
      <c r="M738" s="4"/>
      <c r="N738" s="4"/>
      <c r="O738" s="4"/>
      <c r="P738" s="4"/>
      <c r="Q738" s="4"/>
      <c r="R738" s="16"/>
      <c r="S738" s="16"/>
      <c r="T738" s="16"/>
      <c r="U738" s="16"/>
      <c r="V738" s="16"/>
      <c r="W738" s="16"/>
      <c r="X738" s="16"/>
      <c r="Y738" s="16"/>
      <c r="Z738" s="16"/>
      <c r="AA738" s="16"/>
      <c r="AB738" s="16"/>
      <c r="AC738" s="16"/>
      <c r="AD738" s="16"/>
    </row>
    <row r="739" ht="13.5" customHeight="1" spans="1:30" x14ac:dyDescent="0.25">
      <c r="A739" s="4"/>
      <c r="B739" s="4"/>
      <c r="C739" s="4"/>
      <c r="D739" s="4"/>
      <c r="E739" s="4"/>
      <c r="F739" s="4"/>
      <c r="G739" s="4"/>
      <c r="H739" s="4"/>
      <c r="I739" s="4"/>
      <c r="J739" s="4"/>
      <c r="K739" s="4"/>
      <c r="L739" s="4"/>
      <c r="M739" s="4"/>
      <c r="N739" s="4"/>
      <c r="O739" s="4"/>
      <c r="P739" s="4"/>
      <c r="Q739" s="4"/>
      <c r="R739" s="16"/>
      <c r="S739" s="16"/>
      <c r="T739" s="16"/>
      <c r="U739" s="16"/>
      <c r="V739" s="16"/>
      <c r="W739" s="16"/>
      <c r="X739" s="16"/>
      <c r="Y739" s="16"/>
      <c r="Z739" s="16"/>
      <c r="AA739" s="16"/>
      <c r="AB739" s="16"/>
      <c r="AC739" s="16"/>
      <c r="AD739" s="16"/>
    </row>
    <row r="740" ht="13.5" customHeight="1" spans="1:30" x14ac:dyDescent="0.25">
      <c r="A740" s="4"/>
      <c r="B740" s="4"/>
      <c r="C740" s="4"/>
      <c r="D740" s="4"/>
      <c r="E740" s="4"/>
      <c r="F740" s="4"/>
      <c r="G740" s="4"/>
      <c r="H740" s="4"/>
      <c r="I740" s="4"/>
      <c r="J740" s="4"/>
      <c r="K740" s="4"/>
      <c r="L740" s="4"/>
      <c r="M740" s="4"/>
      <c r="N740" s="4"/>
      <c r="O740" s="4"/>
      <c r="P740" s="4"/>
      <c r="Q740" s="4"/>
      <c r="R740" s="16"/>
      <c r="S740" s="16"/>
      <c r="T740" s="16"/>
      <c r="U740" s="16"/>
      <c r="V740" s="16"/>
      <c r="W740" s="16"/>
      <c r="X740" s="16"/>
      <c r="Y740" s="16"/>
      <c r="Z740" s="16"/>
      <c r="AA740" s="16"/>
      <c r="AB740" s="16"/>
      <c r="AC740" s="16"/>
      <c r="AD740" s="16"/>
    </row>
    <row r="741" ht="13.5" customHeight="1" spans="1:30" x14ac:dyDescent="0.25">
      <c r="A741" s="4"/>
      <c r="B741" s="4"/>
      <c r="C741" s="4"/>
      <c r="D741" s="4"/>
      <c r="E741" s="4"/>
      <c r="F741" s="4"/>
      <c r="G741" s="4"/>
      <c r="H741" s="4"/>
      <c r="I741" s="4"/>
      <c r="J741" s="4"/>
      <c r="K741" s="4"/>
      <c r="L741" s="4"/>
      <c r="M741" s="4"/>
      <c r="N741" s="4"/>
      <c r="O741" s="4"/>
      <c r="P741" s="4"/>
      <c r="Q741" s="4"/>
      <c r="R741" s="16"/>
      <c r="S741" s="16"/>
      <c r="T741" s="16"/>
      <c r="U741" s="16"/>
      <c r="V741" s="16"/>
      <c r="W741" s="16"/>
      <c r="X741" s="16"/>
      <c r="Y741" s="16"/>
      <c r="Z741" s="16"/>
      <c r="AA741" s="16"/>
      <c r="AB741" s="16"/>
      <c r="AC741" s="16"/>
      <c r="AD741" s="16"/>
    </row>
    <row r="742" ht="13.5" customHeight="1" spans="1:30" x14ac:dyDescent="0.25">
      <c r="A742" s="4"/>
      <c r="B742" s="4"/>
      <c r="C742" s="4"/>
      <c r="D742" s="4"/>
      <c r="E742" s="4"/>
      <c r="F742" s="4"/>
      <c r="G742" s="4"/>
      <c r="H742" s="4"/>
      <c r="I742" s="4"/>
      <c r="J742" s="4"/>
      <c r="K742" s="4"/>
      <c r="L742" s="4"/>
      <c r="M742" s="4"/>
      <c r="N742" s="4"/>
      <c r="O742" s="4"/>
      <c r="P742" s="4"/>
      <c r="Q742" s="4"/>
      <c r="R742" s="16"/>
      <c r="S742" s="16"/>
      <c r="T742" s="16"/>
      <c r="U742" s="16"/>
      <c r="V742" s="16"/>
      <c r="W742" s="16"/>
      <c r="X742" s="16"/>
      <c r="Y742" s="16"/>
      <c r="Z742" s="16"/>
      <c r="AA742" s="16"/>
      <c r="AB742" s="16"/>
      <c r="AC742" s="16"/>
      <c r="AD742" s="16"/>
    </row>
    <row r="743" ht="13.5" customHeight="1" spans="1:30" x14ac:dyDescent="0.25">
      <c r="A743" s="4"/>
      <c r="B743" s="4"/>
      <c r="C743" s="4"/>
      <c r="D743" s="4"/>
      <c r="E743" s="4"/>
      <c r="F743" s="4"/>
      <c r="G743" s="4"/>
      <c r="H743" s="4"/>
      <c r="I743" s="4"/>
      <c r="J743" s="4"/>
      <c r="K743" s="4"/>
      <c r="L743" s="4"/>
      <c r="M743" s="4"/>
      <c r="N743" s="4"/>
      <c r="O743" s="4"/>
      <c r="P743" s="4"/>
      <c r="Q743" s="4"/>
      <c r="R743" s="16"/>
      <c r="S743" s="16"/>
      <c r="T743" s="16"/>
      <c r="U743" s="16"/>
      <c r="V743" s="16"/>
      <c r="W743" s="16"/>
      <c r="X743" s="16"/>
      <c r="Y743" s="16"/>
      <c r="Z743" s="16"/>
      <c r="AA743" s="16"/>
      <c r="AB743" s="16"/>
      <c r="AC743" s="16"/>
      <c r="AD743" s="16"/>
    </row>
    <row r="744" ht="13.5" customHeight="1" spans="1:30" x14ac:dyDescent="0.25">
      <c r="A744" s="4"/>
      <c r="B744" s="4"/>
      <c r="C744" s="4"/>
      <c r="D744" s="4"/>
      <c r="E744" s="4"/>
      <c r="F744" s="4"/>
      <c r="G744" s="4"/>
      <c r="H744" s="4"/>
      <c r="I744" s="4"/>
      <c r="J744" s="4"/>
      <c r="K744" s="4"/>
      <c r="L744" s="4"/>
      <c r="M744" s="4"/>
      <c r="N744" s="4"/>
      <c r="O744" s="4"/>
      <c r="P744" s="4"/>
      <c r="Q744" s="4"/>
      <c r="R744" s="16"/>
      <c r="S744" s="16"/>
      <c r="T744" s="16"/>
      <c r="U744" s="16"/>
      <c r="V744" s="16"/>
      <c r="W744" s="16"/>
      <c r="X744" s="16"/>
      <c r="Y744" s="16"/>
      <c r="Z744" s="16"/>
      <c r="AA744" s="16"/>
      <c r="AB744" s="16"/>
      <c r="AC744" s="16"/>
      <c r="AD744" s="16"/>
    </row>
    <row r="745" ht="13.5" customHeight="1" spans="1:30" x14ac:dyDescent="0.25">
      <c r="A745" s="4"/>
      <c r="B745" s="4"/>
      <c r="C745" s="4"/>
      <c r="D745" s="4"/>
      <c r="E745" s="4"/>
      <c r="F745" s="4"/>
      <c r="G745" s="4"/>
      <c r="H745" s="4"/>
      <c r="I745" s="4"/>
      <c r="J745" s="4"/>
      <c r="K745" s="4"/>
      <c r="L745" s="4"/>
      <c r="M745" s="4"/>
      <c r="N745" s="4"/>
      <c r="O745" s="4"/>
      <c r="P745" s="4"/>
      <c r="Q745" s="4"/>
      <c r="R745" s="16"/>
      <c r="S745" s="16"/>
      <c r="T745" s="16"/>
      <c r="U745" s="16"/>
      <c r="V745" s="16"/>
      <c r="W745" s="16"/>
      <c r="X745" s="16"/>
      <c r="Y745" s="16"/>
      <c r="Z745" s="16"/>
      <c r="AA745" s="16"/>
      <c r="AB745" s="16"/>
      <c r="AC745" s="16"/>
      <c r="AD745" s="16"/>
    </row>
    <row r="746" ht="13.5" customHeight="1" spans="1:30" x14ac:dyDescent="0.25">
      <c r="A746" s="4"/>
      <c r="B746" s="4"/>
      <c r="C746" s="4"/>
      <c r="D746" s="4"/>
      <c r="E746" s="4"/>
      <c r="F746" s="4"/>
      <c r="G746" s="4"/>
      <c r="H746" s="4"/>
      <c r="I746" s="4"/>
      <c r="J746" s="4"/>
      <c r="K746" s="4"/>
      <c r="L746" s="4"/>
      <c r="M746" s="4"/>
      <c r="N746" s="4"/>
      <c r="O746" s="4"/>
      <c r="P746" s="4"/>
      <c r="Q746" s="4"/>
      <c r="R746" s="16"/>
      <c r="S746" s="16"/>
      <c r="T746" s="16"/>
      <c r="U746" s="16"/>
      <c r="V746" s="16"/>
      <c r="W746" s="16"/>
      <c r="X746" s="16"/>
      <c r="Y746" s="16"/>
      <c r="Z746" s="16"/>
      <c r="AA746" s="16"/>
      <c r="AB746" s="16"/>
      <c r="AC746" s="16"/>
      <c r="AD746" s="16"/>
    </row>
    <row r="747" ht="13.5" customHeight="1" spans="1:30" x14ac:dyDescent="0.25">
      <c r="A747" s="4"/>
      <c r="B747" s="4"/>
      <c r="C747" s="4"/>
      <c r="D747" s="4"/>
      <c r="E747" s="4"/>
      <c r="F747" s="4"/>
      <c r="G747" s="4"/>
      <c r="H747" s="4"/>
      <c r="I747" s="4"/>
      <c r="J747" s="4"/>
      <c r="K747" s="4"/>
      <c r="L747" s="4"/>
      <c r="M747" s="4"/>
      <c r="N747" s="4"/>
      <c r="O747" s="4"/>
      <c r="P747" s="4"/>
      <c r="Q747" s="4"/>
      <c r="R747" s="16"/>
      <c r="S747" s="16"/>
      <c r="T747" s="16"/>
      <c r="U747" s="16"/>
      <c r="V747" s="16"/>
      <c r="W747" s="16"/>
      <c r="X747" s="16"/>
      <c r="Y747" s="16"/>
      <c r="Z747" s="16"/>
      <c r="AA747" s="16"/>
      <c r="AB747" s="16"/>
      <c r="AC747" s="16"/>
      <c r="AD747" s="16"/>
    </row>
    <row r="748" ht="13.5" customHeight="1" spans="1:30" x14ac:dyDescent="0.25">
      <c r="A748" s="4"/>
      <c r="B748" s="4"/>
      <c r="C748" s="4"/>
      <c r="D748" s="4"/>
      <c r="E748" s="4"/>
      <c r="F748" s="4"/>
      <c r="G748" s="4"/>
      <c r="H748" s="4"/>
      <c r="I748" s="4"/>
      <c r="J748" s="4"/>
      <c r="K748" s="4"/>
      <c r="L748" s="4"/>
      <c r="M748" s="4"/>
      <c r="N748" s="4"/>
      <c r="O748" s="4"/>
      <c r="P748" s="4"/>
      <c r="Q748" s="4"/>
      <c r="R748" s="16"/>
      <c r="S748" s="16"/>
      <c r="T748" s="16"/>
      <c r="U748" s="16"/>
      <c r="V748" s="16"/>
      <c r="W748" s="16"/>
      <c r="X748" s="16"/>
      <c r="Y748" s="16"/>
      <c r="Z748" s="16"/>
      <c r="AA748" s="16"/>
      <c r="AB748" s="16"/>
      <c r="AC748" s="16"/>
      <c r="AD748" s="16"/>
    </row>
    <row r="749" ht="13.5" customHeight="1" spans="1:30" x14ac:dyDescent="0.25">
      <c r="A749" s="4"/>
      <c r="B749" s="4"/>
      <c r="C749" s="4"/>
      <c r="D749" s="4"/>
      <c r="E749" s="4"/>
      <c r="F749" s="4"/>
      <c r="G749" s="4"/>
      <c r="H749" s="4"/>
      <c r="I749" s="4"/>
      <c r="J749" s="4"/>
      <c r="K749" s="4"/>
      <c r="L749" s="4"/>
      <c r="M749" s="4"/>
      <c r="N749" s="4"/>
      <c r="O749" s="4"/>
      <c r="P749" s="4"/>
      <c r="Q749" s="4"/>
      <c r="R749" s="16"/>
      <c r="S749" s="16"/>
      <c r="T749" s="16"/>
      <c r="U749" s="16"/>
      <c r="V749" s="16"/>
      <c r="W749" s="16"/>
      <c r="X749" s="16"/>
      <c r="Y749" s="16"/>
      <c r="Z749" s="16"/>
      <c r="AA749" s="16"/>
      <c r="AB749" s="16"/>
      <c r="AC749" s="16"/>
      <c r="AD749" s="16"/>
    </row>
    <row r="750" ht="13.5" customHeight="1" spans="1:30" x14ac:dyDescent="0.25">
      <c r="A750" s="4"/>
      <c r="B750" s="4"/>
      <c r="C750" s="4"/>
      <c r="D750" s="4"/>
      <c r="E750" s="4"/>
      <c r="F750" s="4"/>
      <c r="G750" s="4"/>
      <c r="H750" s="4"/>
      <c r="I750" s="4"/>
      <c r="J750" s="4"/>
      <c r="K750" s="4"/>
      <c r="L750" s="4"/>
      <c r="M750" s="4"/>
      <c r="N750" s="4"/>
      <c r="O750" s="4"/>
      <c r="P750" s="4"/>
      <c r="Q750" s="4"/>
      <c r="R750" s="16"/>
      <c r="S750" s="16"/>
      <c r="T750" s="16"/>
      <c r="U750" s="16"/>
      <c r="V750" s="16"/>
      <c r="W750" s="16"/>
      <c r="X750" s="16"/>
      <c r="Y750" s="16"/>
      <c r="Z750" s="16"/>
      <c r="AA750" s="16"/>
      <c r="AB750" s="16"/>
      <c r="AC750" s="16"/>
      <c r="AD750" s="16"/>
    </row>
    <row r="751" ht="13.5" customHeight="1" spans="1:30" x14ac:dyDescent="0.25">
      <c r="A751" s="4"/>
      <c r="B751" s="4"/>
      <c r="C751" s="4"/>
      <c r="D751" s="4"/>
      <c r="E751" s="4"/>
      <c r="F751" s="4"/>
      <c r="G751" s="4"/>
      <c r="H751" s="4"/>
      <c r="I751" s="4"/>
      <c r="J751" s="4"/>
      <c r="K751" s="4"/>
      <c r="L751" s="4"/>
      <c r="M751" s="4"/>
      <c r="N751" s="4"/>
      <c r="O751" s="4"/>
      <c r="P751" s="4"/>
      <c r="Q751" s="4"/>
      <c r="R751" s="16"/>
      <c r="S751" s="16"/>
      <c r="T751" s="16"/>
      <c r="U751" s="16"/>
      <c r="V751" s="16"/>
      <c r="W751" s="16"/>
      <c r="X751" s="16"/>
      <c r="Y751" s="16"/>
      <c r="Z751" s="16"/>
      <c r="AA751" s="16"/>
      <c r="AB751" s="16"/>
      <c r="AC751" s="16"/>
      <c r="AD751" s="16"/>
    </row>
    <row r="752" ht="13.5" customHeight="1" spans="1:30" x14ac:dyDescent="0.25">
      <c r="A752" s="4"/>
      <c r="B752" s="4"/>
      <c r="C752" s="4"/>
      <c r="D752" s="4"/>
      <c r="E752" s="4"/>
      <c r="F752" s="4"/>
      <c r="G752" s="4"/>
      <c r="H752" s="4"/>
      <c r="I752" s="4"/>
      <c r="J752" s="4"/>
      <c r="K752" s="4"/>
      <c r="L752" s="4"/>
      <c r="M752" s="4"/>
      <c r="N752" s="4"/>
      <c r="O752" s="4"/>
      <c r="P752" s="4"/>
      <c r="Q752" s="4"/>
      <c r="R752" s="16"/>
      <c r="S752" s="16"/>
      <c r="T752" s="16"/>
      <c r="U752" s="16"/>
      <c r="V752" s="16"/>
      <c r="W752" s="16"/>
      <c r="X752" s="16"/>
      <c r="Y752" s="16"/>
      <c r="Z752" s="16"/>
      <c r="AA752" s="16"/>
      <c r="AB752" s="16"/>
      <c r="AC752" s="16"/>
      <c r="AD752" s="16"/>
    </row>
    <row r="753" ht="13.5" customHeight="1" spans="1:30" x14ac:dyDescent="0.25">
      <c r="A753" s="4"/>
      <c r="B753" s="4"/>
      <c r="C753" s="4"/>
      <c r="D753" s="4"/>
      <c r="E753" s="4"/>
      <c r="F753" s="4"/>
      <c r="G753" s="4"/>
      <c r="H753" s="4"/>
      <c r="I753" s="4"/>
      <c r="J753" s="4"/>
      <c r="K753" s="4"/>
      <c r="L753" s="4"/>
      <c r="M753" s="4"/>
      <c r="N753" s="4"/>
      <c r="O753" s="4"/>
      <c r="P753" s="4"/>
      <c r="Q753" s="4"/>
      <c r="R753" s="16"/>
      <c r="S753" s="16"/>
      <c r="T753" s="16"/>
      <c r="U753" s="16"/>
      <c r="V753" s="16"/>
      <c r="W753" s="16"/>
      <c r="X753" s="16"/>
      <c r="Y753" s="16"/>
      <c r="Z753" s="16"/>
      <c r="AA753" s="16"/>
      <c r="AB753" s="16"/>
      <c r="AC753" s="16"/>
      <c r="AD753" s="16"/>
    </row>
    <row r="754" ht="13.5" customHeight="1" spans="1:30" x14ac:dyDescent="0.25">
      <c r="A754" s="4"/>
      <c r="B754" s="4"/>
      <c r="C754" s="4"/>
      <c r="D754" s="4"/>
      <c r="E754" s="4"/>
      <c r="F754" s="4"/>
      <c r="G754" s="4"/>
      <c r="H754" s="4"/>
      <c r="I754" s="4"/>
      <c r="J754" s="4"/>
      <c r="K754" s="4"/>
      <c r="L754" s="4"/>
      <c r="M754" s="4"/>
      <c r="N754" s="4"/>
      <c r="O754" s="4"/>
      <c r="P754" s="4"/>
      <c r="Q754" s="4"/>
      <c r="R754" s="16"/>
      <c r="S754" s="16"/>
      <c r="T754" s="16"/>
      <c r="U754" s="16"/>
      <c r="V754" s="16"/>
      <c r="W754" s="16"/>
      <c r="X754" s="16"/>
      <c r="Y754" s="16"/>
      <c r="Z754" s="16"/>
      <c r="AA754" s="16"/>
      <c r="AB754" s="16"/>
      <c r="AC754" s="16"/>
      <c r="AD754" s="16"/>
    </row>
    <row r="755" ht="13.5" customHeight="1" spans="1:30" x14ac:dyDescent="0.25">
      <c r="A755" s="4"/>
      <c r="B755" s="4"/>
      <c r="C755" s="4"/>
      <c r="D755" s="4"/>
      <c r="E755" s="4"/>
      <c r="F755" s="4"/>
      <c r="G755" s="4"/>
      <c r="H755" s="4"/>
      <c r="I755" s="4"/>
      <c r="J755" s="4"/>
      <c r="K755" s="4"/>
      <c r="L755" s="4"/>
      <c r="M755" s="4"/>
      <c r="N755" s="4"/>
      <c r="O755" s="4"/>
      <c r="P755" s="4"/>
      <c r="Q755" s="4"/>
      <c r="R755" s="16"/>
      <c r="S755" s="16"/>
      <c r="T755" s="16"/>
      <c r="U755" s="16"/>
      <c r="V755" s="16"/>
      <c r="W755" s="16"/>
      <c r="X755" s="16"/>
      <c r="Y755" s="16"/>
      <c r="Z755" s="16"/>
      <c r="AA755" s="16"/>
      <c r="AB755" s="16"/>
      <c r="AC755" s="16"/>
      <c r="AD755" s="16"/>
    </row>
    <row r="756" ht="13.5" customHeight="1" spans="1:30" x14ac:dyDescent="0.25">
      <c r="A756" s="4"/>
      <c r="B756" s="4"/>
      <c r="C756" s="4"/>
      <c r="D756" s="4"/>
      <c r="E756" s="4"/>
      <c r="F756" s="4"/>
      <c r="G756" s="4"/>
      <c r="H756" s="4"/>
      <c r="I756" s="4"/>
      <c r="J756" s="4"/>
      <c r="K756" s="4"/>
      <c r="L756" s="4"/>
      <c r="M756" s="4"/>
      <c r="N756" s="4"/>
      <c r="O756" s="4"/>
      <c r="P756" s="4"/>
      <c r="Q756" s="4"/>
      <c r="R756" s="16"/>
      <c r="S756" s="16"/>
      <c r="T756" s="16"/>
      <c r="U756" s="16"/>
      <c r="V756" s="16"/>
      <c r="W756" s="16"/>
      <c r="X756" s="16"/>
      <c r="Y756" s="16"/>
      <c r="Z756" s="16"/>
      <c r="AA756" s="16"/>
      <c r="AB756" s="16"/>
      <c r="AC756" s="16"/>
      <c r="AD756" s="16"/>
    </row>
    <row r="757" ht="13.5" customHeight="1" spans="1:30" x14ac:dyDescent="0.25">
      <c r="A757" s="4"/>
      <c r="B757" s="4"/>
      <c r="C757" s="4"/>
      <c r="D757" s="4"/>
      <c r="E757" s="4"/>
      <c r="F757" s="4"/>
      <c r="G757" s="4"/>
      <c r="H757" s="4"/>
      <c r="I757" s="4"/>
      <c r="J757" s="4"/>
      <c r="K757" s="4"/>
      <c r="L757" s="4"/>
      <c r="M757" s="4"/>
      <c r="N757" s="4"/>
      <c r="O757" s="4"/>
      <c r="P757" s="4"/>
      <c r="Q757" s="4"/>
      <c r="R757" s="16"/>
      <c r="S757" s="16"/>
      <c r="T757" s="16"/>
      <c r="U757" s="16"/>
      <c r="V757" s="16"/>
      <c r="W757" s="16"/>
      <c r="X757" s="16"/>
      <c r="Y757" s="16"/>
      <c r="Z757" s="16"/>
      <c r="AA757" s="16"/>
      <c r="AB757" s="16"/>
      <c r="AC757" s="16"/>
      <c r="AD757" s="16"/>
    </row>
    <row r="758" ht="13.5" customHeight="1" spans="1:30" x14ac:dyDescent="0.25">
      <c r="A758" s="4"/>
      <c r="B758" s="4"/>
      <c r="C758" s="4"/>
      <c r="D758" s="4"/>
      <c r="E758" s="4"/>
      <c r="F758" s="4"/>
      <c r="G758" s="4"/>
      <c r="H758" s="4"/>
      <c r="I758" s="4"/>
      <c r="J758" s="4"/>
      <c r="K758" s="4"/>
      <c r="L758" s="4"/>
      <c r="M758" s="4"/>
      <c r="N758" s="4"/>
      <c r="O758" s="4"/>
      <c r="P758" s="4"/>
      <c r="Q758" s="4"/>
      <c r="R758" s="16"/>
      <c r="S758" s="16"/>
      <c r="T758" s="16"/>
      <c r="U758" s="16"/>
      <c r="V758" s="16"/>
      <c r="W758" s="16"/>
      <c r="X758" s="16"/>
      <c r="Y758" s="16"/>
      <c r="Z758" s="16"/>
      <c r="AA758" s="16"/>
      <c r="AB758" s="16"/>
      <c r="AC758" s="16"/>
      <c r="AD758" s="16"/>
    </row>
    <row r="759" ht="13.5" customHeight="1" spans="1:30" x14ac:dyDescent="0.25">
      <c r="A759" s="4"/>
      <c r="B759" s="4"/>
      <c r="C759" s="4"/>
      <c r="D759" s="4"/>
      <c r="E759" s="4"/>
      <c r="F759" s="4"/>
      <c r="G759" s="4"/>
      <c r="H759" s="4"/>
      <c r="I759" s="4"/>
      <c r="J759" s="4"/>
      <c r="K759" s="4"/>
      <c r="L759" s="4"/>
      <c r="M759" s="4"/>
      <c r="N759" s="4"/>
      <c r="O759" s="4"/>
      <c r="P759" s="4"/>
      <c r="Q759" s="4"/>
      <c r="R759" s="16"/>
      <c r="S759" s="16"/>
      <c r="T759" s="16"/>
      <c r="U759" s="16"/>
      <c r="V759" s="16"/>
      <c r="W759" s="16"/>
      <c r="X759" s="16"/>
      <c r="Y759" s="16"/>
      <c r="Z759" s="16"/>
      <c r="AA759" s="16"/>
      <c r="AB759" s="16"/>
      <c r="AC759" s="16"/>
      <c r="AD759" s="16"/>
    </row>
    <row r="760" ht="13.5" customHeight="1" spans="1:30" x14ac:dyDescent="0.25">
      <c r="A760" s="4"/>
      <c r="B760" s="4"/>
      <c r="C760" s="4"/>
      <c r="D760" s="4"/>
      <c r="E760" s="4"/>
      <c r="F760" s="4"/>
      <c r="G760" s="4"/>
      <c r="H760" s="4"/>
      <c r="I760" s="4"/>
      <c r="J760" s="4"/>
      <c r="K760" s="4"/>
      <c r="L760" s="4"/>
      <c r="M760" s="4"/>
      <c r="N760" s="4"/>
      <c r="O760" s="4"/>
      <c r="P760" s="4"/>
      <c r="Q760" s="4"/>
      <c r="R760" s="16"/>
      <c r="S760" s="16"/>
      <c r="T760" s="16"/>
      <c r="U760" s="16"/>
      <c r="V760" s="16"/>
      <c r="W760" s="16"/>
      <c r="X760" s="16"/>
      <c r="Y760" s="16"/>
      <c r="Z760" s="16"/>
      <c r="AA760" s="16"/>
      <c r="AB760" s="16"/>
      <c r="AC760" s="16"/>
      <c r="AD760" s="16"/>
    </row>
    <row r="761" ht="13.5" customHeight="1" spans="1:30" x14ac:dyDescent="0.25">
      <c r="A761" s="4"/>
      <c r="B761" s="4"/>
      <c r="C761" s="4"/>
      <c r="D761" s="4"/>
      <c r="E761" s="4"/>
      <c r="F761" s="4"/>
      <c r="G761" s="4"/>
      <c r="H761" s="4"/>
      <c r="I761" s="4"/>
      <c r="J761" s="4"/>
      <c r="K761" s="4"/>
      <c r="L761" s="4"/>
      <c r="M761" s="4"/>
      <c r="N761" s="4"/>
      <c r="O761" s="4"/>
      <c r="P761" s="4"/>
      <c r="Q761" s="4"/>
      <c r="R761" s="16"/>
      <c r="S761" s="16"/>
      <c r="T761" s="16"/>
      <c r="U761" s="16"/>
      <c r="V761" s="16"/>
      <c r="W761" s="16"/>
      <c r="X761" s="16"/>
      <c r="Y761" s="16"/>
      <c r="Z761" s="16"/>
      <c r="AA761" s="16"/>
      <c r="AB761" s="16"/>
      <c r="AC761" s="16"/>
      <c r="AD761" s="16"/>
    </row>
    <row r="762" ht="13.5" customHeight="1" spans="1:30" x14ac:dyDescent="0.25">
      <c r="A762" s="4"/>
      <c r="B762" s="4"/>
      <c r="C762" s="4"/>
      <c r="D762" s="4"/>
      <c r="E762" s="4"/>
      <c r="F762" s="4"/>
      <c r="G762" s="4"/>
      <c r="H762" s="4"/>
      <c r="I762" s="4"/>
      <c r="J762" s="4"/>
      <c r="K762" s="4"/>
      <c r="L762" s="4"/>
      <c r="M762" s="4"/>
      <c r="N762" s="4"/>
      <c r="O762" s="4"/>
      <c r="P762" s="4"/>
      <c r="Q762" s="4"/>
      <c r="R762" s="16"/>
      <c r="S762" s="16"/>
      <c r="T762" s="16"/>
      <c r="U762" s="16"/>
      <c r="V762" s="16"/>
      <c r="W762" s="16"/>
      <c r="X762" s="16"/>
      <c r="Y762" s="16"/>
      <c r="Z762" s="16"/>
      <c r="AA762" s="16"/>
      <c r="AB762" s="16"/>
      <c r="AC762" s="16"/>
      <c r="AD762" s="16"/>
    </row>
    <row r="763" ht="13.5" customHeight="1" spans="1:30" x14ac:dyDescent="0.25">
      <c r="A763" s="4"/>
      <c r="B763" s="4"/>
      <c r="C763" s="4"/>
      <c r="D763" s="4"/>
      <c r="E763" s="4"/>
      <c r="F763" s="4"/>
      <c r="G763" s="4"/>
      <c r="H763" s="4"/>
      <c r="I763" s="4"/>
      <c r="J763" s="4"/>
      <c r="K763" s="4"/>
      <c r="L763" s="4"/>
      <c r="M763" s="4"/>
      <c r="N763" s="4"/>
      <c r="O763" s="4"/>
      <c r="P763" s="4"/>
      <c r="Q763" s="4"/>
      <c r="R763" s="16"/>
      <c r="S763" s="16"/>
      <c r="T763" s="16"/>
      <c r="U763" s="16"/>
      <c r="V763" s="16"/>
      <c r="W763" s="16"/>
      <c r="X763" s="16"/>
      <c r="Y763" s="16"/>
      <c r="Z763" s="16"/>
      <c r="AA763" s="16"/>
      <c r="AB763" s="16"/>
      <c r="AC763" s="16"/>
      <c r="AD763" s="16"/>
    </row>
    <row r="764" ht="13.5" customHeight="1" spans="1:30" x14ac:dyDescent="0.25">
      <c r="A764" s="4"/>
      <c r="B764" s="4"/>
      <c r="C764" s="4"/>
      <c r="D764" s="4"/>
      <c r="E764" s="4"/>
      <c r="F764" s="4"/>
      <c r="G764" s="4"/>
      <c r="H764" s="4"/>
      <c r="I764" s="4"/>
      <c r="J764" s="4"/>
      <c r="K764" s="4"/>
      <c r="L764" s="4"/>
      <c r="M764" s="4"/>
      <c r="N764" s="4"/>
      <c r="O764" s="4"/>
      <c r="P764" s="4"/>
      <c r="Q764" s="4"/>
      <c r="R764" s="16"/>
      <c r="S764" s="16"/>
      <c r="T764" s="16"/>
      <c r="U764" s="16"/>
      <c r="V764" s="16"/>
      <c r="W764" s="16"/>
      <c r="X764" s="16"/>
      <c r="Y764" s="16"/>
      <c r="Z764" s="16"/>
      <c r="AA764" s="16"/>
      <c r="AB764" s="16"/>
      <c r="AC764" s="16"/>
      <c r="AD764" s="16"/>
    </row>
    <row r="765" ht="13.5" customHeight="1" spans="1:30" x14ac:dyDescent="0.25">
      <c r="A765" s="4"/>
      <c r="B765" s="4"/>
      <c r="C765" s="4"/>
      <c r="D765" s="4"/>
      <c r="E765" s="4"/>
      <c r="F765" s="4"/>
      <c r="G765" s="4"/>
      <c r="H765" s="4"/>
      <c r="I765" s="4"/>
      <c r="J765" s="4"/>
      <c r="K765" s="4"/>
      <c r="L765" s="4"/>
      <c r="M765" s="4"/>
      <c r="N765" s="4"/>
      <c r="O765" s="4"/>
      <c r="P765" s="4"/>
      <c r="Q765" s="4"/>
      <c r="R765" s="16"/>
      <c r="S765" s="16"/>
      <c r="T765" s="16"/>
      <c r="U765" s="16"/>
      <c r="V765" s="16"/>
      <c r="W765" s="16"/>
      <c r="X765" s="16"/>
      <c r="Y765" s="16"/>
      <c r="Z765" s="16"/>
      <c r="AA765" s="16"/>
      <c r="AB765" s="16"/>
      <c r="AC765" s="16"/>
      <c r="AD765" s="16"/>
    </row>
    <row r="766" ht="13.5" customHeight="1" spans="1:30" x14ac:dyDescent="0.25">
      <c r="A766" s="4"/>
      <c r="B766" s="4"/>
      <c r="C766" s="4"/>
      <c r="D766" s="4"/>
      <c r="E766" s="4"/>
      <c r="F766" s="4"/>
      <c r="G766" s="4"/>
      <c r="H766" s="4"/>
      <c r="I766" s="4"/>
      <c r="J766" s="4"/>
      <c r="K766" s="4"/>
      <c r="L766" s="4"/>
      <c r="M766" s="4"/>
      <c r="N766" s="4"/>
      <c r="O766" s="4"/>
      <c r="P766" s="4"/>
      <c r="Q766" s="4"/>
      <c r="R766" s="16"/>
      <c r="S766" s="16"/>
      <c r="T766" s="16"/>
      <c r="U766" s="16"/>
      <c r="V766" s="16"/>
      <c r="W766" s="16"/>
      <c r="X766" s="16"/>
      <c r="Y766" s="16"/>
      <c r="Z766" s="16"/>
      <c r="AA766" s="16"/>
      <c r="AB766" s="16"/>
      <c r="AC766" s="16"/>
      <c r="AD766" s="16"/>
    </row>
    <row r="767" ht="13.5" customHeight="1" spans="1:30" x14ac:dyDescent="0.25">
      <c r="A767" s="4"/>
      <c r="B767" s="4"/>
      <c r="C767" s="4"/>
      <c r="D767" s="4"/>
      <c r="E767" s="4"/>
      <c r="F767" s="4"/>
      <c r="G767" s="4"/>
      <c r="H767" s="4"/>
      <c r="I767" s="4"/>
      <c r="J767" s="4"/>
      <c r="K767" s="4"/>
      <c r="L767" s="4"/>
      <c r="M767" s="4"/>
      <c r="N767" s="4"/>
      <c r="O767" s="4"/>
      <c r="P767" s="4"/>
      <c r="Q767" s="4"/>
      <c r="R767" s="16"/>
      <c r="S767" s="16"/>
      <c r="T767" s="16"/>
      <c r="U767" s="16"/>
      <c r="V767" s="16"/>
      <c r="W767" s="16"/>
      <c r="X767" s="16"/>
      <c r="Y767" s="16"/>
      <c r="Z767" s="16"/>
      <c r="AA767" s="16"/>
      <c r="AB767" s="16"/>
      <c r="AC767" s="16"/>
      <c r="AD767" s="16"/>
    </row>
    <row r="768" ht="13.5" customHeight="1" spans="1:30" x14ac:dyDescent="0.25">
      <c r="A768" s="4"/>
      <c r="B768" s="4"/>
      <c r="C768" s="4"/>
      <c r="D768" s="4"/>
      <c r="E768" s="4"/>
      <c r="F768" s="4"/>
      <c r="G768" s="4"/>
      <c r="H768" s="4"/>
      <c r="I768" s="4"/>
      <c r="J768" s="4"/>
      <c r="K768" s="4"/>
      <c r="L768" s="4"/>
      <c r="M768" s="4"/>
      <c r="N768" s="4"/>
      <c r="O768" s="4"/>
      <c r="P768" s="4"/>
      <c r="Q768" s="4"/>
      <c r="R768" s="16"/>
      <c r="S768" s="16"/>
      <c r="T768" s="16"/>
      <c r="U768" s="16"/>
      <c r="V768" s="16"/>
      <c r="W768" s="16"/>
      <c r="X768" s="16"/>
      <c r="Y768" s="16"/>
      <c r="Z768" s="16"/>
      <c r="AA768" s="16"/>
      <c r="AB768" s="16"/>
      <c r="AC768" s="16"/>
      <c r="AD768" s="16"/>
    </row>
    <row r="769" ht="13.5" customHeight="1" spans="1:30" x14ac:dyDescent="0.25">
      <c r="A769" s="4"/>
      <c r="B769" s="4"/>
      <c r="C769" s="4"/>
      <c r="D769" s="4"/>
      <c r="E769" s="4"/>
      <c r="F769" s="4"/>
      <c r="G769" s="4"/>
      <c r="H769" s="4"/>
      <c r="I769" s="4"/>
      <c r="J769" s="4"/>
      <c r="K769" s="4"/>
      <c r="L769" s="4"/>
      <c r="M769" s="4"/>
      <c r="N769" s="4"/>
      <c r="O769" s="4"/>
      <c r="P769" s="4"/>
      <c r="Q769" s="4"/>
      <c r="R769" s="16"/>
      <c r="S769" s="16"/>
      <c r="T769" s="16"/>
      <c r="U769" s="16"/>
      <c r="V769" s="16"/>
      <c r="W769" s="16"/>
      <c r="X769" s="16"/>
      <c r="Y769" s="16"/>
      <c r="Z769" s="16"/>
      <c r="AA769" s="16"/>
      <c r="AB769" s="16"/>
      <c r="AC769" s="16"/>
      <c r="AD769" s="16"/>
    </row>
    <row r="770" ht="13.5" customHeight="1" spans="1:30" x14ac:dyDescent="0.25">
      <c r="A770" s="4"/>
      <c r="B770" s="4"/>
      <c r="C770" s="4"/>
      <c r="D770" s="4"/>
      <c r="E770" s="4"/>
      <c r="F770" s="4"/>
      <c r="G770" s="4"/>
      <c r="H770" s="4"/>
      <c r="I770" s="4"/>
      <c r="J770" s="4"/>
      <c r="K770" s="4"/>
      <c r="L770" s="4"/>
      <c r="M770" s="4"/>
      <c r="N770" s="4"/>
      <c r="O770" s="4"/>
      <c r="P770" s="4"/>
      <c r="Q770" s="4"/>
      <c r="R770" s="16"/>
      <c r="S770" s="16"/>
      <c r="T770" s="16"/>
      <c r="U770" s="16"/>
      <c r="V770" s="16"/>
      <c r="W770" s="16"/>
      <c r="X770" s="16"/>
      <c r="Y770" s="16"/>
      <c r="Z770" s="16"/>
      <c r="AA770" s="16"/>
      <c r="AB770" s="16"/>
      <c r="AC770" s="16"/>
      <c r="AD770" s="16"/>
    </row>
    <row r="771" ht="13.5" customHeight="1" spans="1:30" x14ac:dyDescent="0.25">
      <c r="A771" s="4"/>
      <c r="B771" s="4"/>
      <c r="C771" s="4"/>
      <c r="D771" s="4"/>
      <c r="E771" s="4"/>
      <c r="F771" s="4"/>
      <c r="G771" s="4"/>
      <c r="H771" s="4"/>
      <c r="I771" s="4"/>
      <c r="J771" s="4"/>
      <c r="K771" s="4"/>
      <c r="L771" s="4"/>
      <c r="M771" s="4"/>
      <c r="N771" s="4"/>
      <c r="O771" s="4"/>
      <c r="P771" s="4"/>
      <c r="Q771" s="4"/>
      <c r="R771" s="16"/>
      <c r="S771" s="16"/>
      <c r="T771" s="16"/>
      <c r="U771" s="16"/>
      <c r="V771" s="16"/>
      <c r="W771" s="16"/>
      <c r="X771" s="16"/>
      <c r="Y771" s="16"/>
      <c r="Z771" s="16"/>
      <c r="AA771" s="16"/>
      <c r="AB771" s="16"/>
      <c r="AC771" s="16"/>
      <c r="AD771" s="16"/>
    </row>
    <row r="772" ht="13.5" customHeight="1" spans="1:30" x14ac:dyDescent="0.25">
      <c r="A772" s="4"/>
      <c r="B772" s="4"/>
      <c r="C772" s="4"/>
      <c r="D772" s="4"/>
      <c r="E772" s="4"/>
      <c r="F772" s="4"/>
      <c r="G772" s="4"/>
      <c r="H772" s="4"/>
      <c r="I772" s="4"/>
      <c r="J772" s="4"/>
      <c r="K772" s="4"/>
      <c r="L772" s="4"/>
      <c r="M772" s="4"/>
      <c r="N772" s="4"/>
      <c r="O772" s="4"/>
      <c r="P772" s="4"/>
      <c r="Q772" s="4"/>
      <c r="R772" s="16"/>
      <c r="S772" s="16"/>
      <c r="T772" s="16"/>
      <c r="U772" s="16"/>
      <c r="V772" s="16"/>
      <c r="W772" s="16"/>
      <c r="X772" s="16"/>
      <c r="Y772" s="16"/>
      <c r="Z772" s="16"/>
      <c r="AA772" s="16"/>
      <c r="AB772" s="16"/>
      <c r="AC772" s="16"/>
      <c r="AD772" s="16"/>
    </row>
    <row r="773" ht="13.5" customHeight="1" spans="1:30" x14ac:dyDescent="0.25">
      <c r="A773" s="4"/>
      <c r="B773" s="4"/>
      <c r="C773" s="4"/>
      <c r="D773" s="4"/>
      <c r="E773" s="4"/>
      <c r="F773" s="4"/>
      <c r="G773" s="4"/>
      <c r="H773" s="4"/>
      <c r="I773" s="4"/>
      <c r="J773" s="4"/>
      <c r="K773" s="4"/>
      <c r="L773" s="4"/>
      <c r="M773" s="4"/>
      <c r="N773" s="4"/>
      <c r="O773" s="4"/>
      <c r="P773" s="4"/>
      <c r="Q773" s="4"/>
      <c r="R773" s="16"/>
      <c r="S773" s="16"/>
      <c r="T773" s="16"/>
      <c r="U773" s="16"/>
      <c r="V773" s="16"/>
      <c r="W773" s="16"/>
      <c r="X773" s="16"/>
      <c r="Y773" s="16"/>
      <c r="Z773" s="16"/>
      <c r="AA773" s="16"/>
      <c r="AB773" s="16"/>
      <c r="AC773" s="16"/>
      <c r="AD773" s="16"/>
    </row>
    <row r="774" ht="13.5" customHeight="1" spans="1:30" x14ac:dyDescent="0.25">
      <c r="A774" s="4"/>
      <c r="B774" s="4"/>
      <c r="C774" s="4"/>
      <c r="D774" s="4"/>
      <c r="E774" s="4"/>
      <c r="F774" s="4"/>
      <c r="G774" s="4"/>
      <c r="H774" s="4"/>
      <c r="I774" s="4"/>
      <c r="J774" s="4"/>
      <c r="K774" s="4"/>
      <c r="L774" s="4"/>
      <c r="M774" s="4"/>
      <c r="N774" s="4"/>
      <c r="O774" s="4"/>
      <c r="P774" s="4"/>
      <c r="Q774" s="4"/>
      <c r="R774" s="16"/>
      <c r="S774" s="16"/>
      <c r="T774" s="16"/>
      <c r="U774" s="16"/>
      <c r="V774" s="16"/>
      <c r="W774" s="16"/>
      <c r="X774" s="16"/>
      <c r="Y774" s="16"/>
      <c r="Z774" s="16"/>
      <c r="AA774" s="16"/>
      <c r="AB774" s="16"/>
      <c r="AC774" s="16"/>
      <c r="AD774" s="16"/>
    </row>
    <row r="775" ht="13.5" customHeight="1" spans="1:30" x14ac:dyDescent="0.25">
      <c r="A775" s="4"/>
      <c r="B775" s="4"/>
      <c r="C775" s="4"/>
      <c r="D775" s="4"/>
      <c r="E775" s="4"/>
      <c r="F775" s="4"/>
      <c r="G775" s="4"/>
      <c r="H775" s="4"/>
      <c r="I775" s="4"/>
      <c r="J775" s="4"/>
      <c r="K775" s="4"/>
      <c r="L775" s="4"/>
      <c r="M775" s="4"/>
      <c r="N775" s="4"/>
      <c r="O775" s="4"/>
      <c r="P775" s="4"/>
      <c r="Q775" s="4"/>
      <c r="R775" s="16"/>
      <c r="S775" s="16"/>
      <c r="T775" s="16"/>
      <c r="U775" s="16"/>
      <c r="V775" s="16"/>
      <c r="W775" s="16"/>
      <c r="X775" s="16"/>
      <c r="Y775" s="16"/>
      <c r="Z775" s="16"/>
      <c r="AA775" s="16"/>
      <c r="AB775" s="16"/>
      <c r="AC775" s="16"/>
      <c r="AD775" s="16"/>
    </row>
    <row r="776" ht="13.5" customHeight="1" spans="1:30" x14ac:dyDescent="0.25">
      <c r="A776" s="4"/>
      <c r="B776" s="4"/>
      <c r="C776" s="4"/>
      <c r="D776" s="4"/>
      <c r="E776" s="4"/>
      <c r="F776" s="4"/>
      <c r="G776" s="4"/>
      <c r="H776" s="4"/>
      <c r="I776" s="4"/>
      <c r="J776" s="4"/>
      <c r="K776" s="4"/>
      <c r="L776" s="4"/>
      <c r="M776" s="4"/>
      <c r="N776" s="4"/>
      <c r="O776" s="4"/>
      <c r="P776" s="4"/>
      <c r="Q776" s="4"/>
      <c r="R776" s="16"/>
      <c r="S776" s="16"/>
      <c r="T776" s="16"/>
      <c r="U776" s="16"/>
      <c r="V776" s="16"/>
      <c r="W776" s="16"/>
      <c r="X776" s="16"/>
      <c r="Y776" s="16"/>
      <c r="Z776" s="16"/>
      <c r="AA776" s="16"/>
      <c r="AB776" s="16"/>
      <c r="AC776" s="16"/>
      <c r="AD776" s="16"/>
    </row>
    <row r="777" ht="13.5" customHeight="1" spans="1:30" x14ac:dyDescent="0.25">
      <c r="A777" s="4"/>
      <c r="B777" s="4"/>
      <c r="C777" s="4"/>
      <c r="D777" s="4"/>
      <c r="E777" s="4"/>
      <c r="F777" s="4"/>
      <c r="G777" s="4"/>
      <c r="H777" s="4"/>
      <c r="I777" s="4"/>
      <c r="J777" s="4"/>
      <c r="K777" s="4"/>
      <c r="L777" s="4"/>
      <c r="M777" s="4"/>
      <c r="N777" s="4"/>
      <c r="O777" s="4"/>
      <c r="P777" s="4"/>
      <c r="Q777" s="4"/>
      <c r="R777" s="16"/>
      <c r="S777" s="16"/>
      <c r="T777" s="16"/>
      <c r="U777" s="16"/>
      <c r="V777" s="16"/>
      <c r="W777" s="16"/>
      <c r="X777" s="16"/>
      <c r="Y777" s="16"/>
      <c r="Z777" s="16"/>
      <c r="AA777" s="16"/>
      <c r="AB777" s="16"/>
      <c r="AC777" s="16"/>
      <c r="AD777" s="16"/>
    </row>
    <row r="778" ht="13.5" customHeight="1" spans="1:30" x14ac:dyDescent="0.25">
      <c r="A778" s="4"/>
      <c r="B778" s="4"/>
      <c r="C778" s="4"/>
      <c r="D778" s="4"/>
      <c r="E778" s="4"/>
      <c r="F778" s="4"/>
      <c r="G778" s="4"/>
      <c r="H778" s="4"/>
      <c r="I778" s="4"/>
      <c r="J778" s="4"/>
      <c r="K778" s="4"/>
      <c r="L778" s="4"/>
      <c r="M778" s="4"/>
      <c r="N778" s="4"/>
      <c r="O778" s="4"/>
      <c r="P778" s="4"/>
      <c r="Q778" s="4"/>
      <c r="R778" s="16"/>
      <c r="S778" s="16"/>
      <c r="T778" s="16"/>
      <c r="U778" s="16"/>
      <c r="V778" s="16"/>
      <c r="W778" s="16"/>
      <c r="X778" s="16"/>
      <c r="Y778" s="16"/>
      <c r="Z778" s="16"/>
      <c r="AA778" s="16"/>
      <c r="AB778" s="16"/>
      <c r="AC778" s="16"/>
      <c r="AD778" s="16"/>
    </row>
    <row r="779" ht="13.5" customHeight="1" spans="1:30" x14ac:dyDescent="0.25">
      <c r="A779" s="4"/>
      <c r="B779" s="4"/>
      <c r="C779" s="4"/>
      <c r="D779" s="4"/>
      <c r="E779" s="4"/>
      <c r="F779" s="4"/>
      <c r="G779" s="4"/>
      <c r="H779" s="4"/>
      <c r="I779" s="4"/>
      <c r="J779" s="4"/>
      <c r="K779" s="4"/>
      <c r="L779" s="4"/>
      <c r="M779" s="4"/>
      <c r="N779" s="4"/>
      <c r="O779" s="4"/>
      <c r="P779" s="4"/>
      <c r="Q779" s="4"/>
      <c r="R779" s="16"/>
      <c r="S779" s="16"/>
      <c r="T779" s="16"/>
      <c r="U779" s="16"/>
      <c r="V779" s="16"/>
      <c r="W779" s="16"/>
      <c r="X779" s="16"/>
      <c r="Y779" s="16"/>
      <c r="Z779" s="16"/>
      <c r="AA779" s="16"/>
      <c r="AB779" s="16"/>
      <c r="AC779" s="16"/>
      <c r="AD779" s="16"/>
    </row>
    <row r="780" ht="13.5" customHeight="1" spans="1:30" x14ac:dyDescent="0.25">
      <c r="A780" s="4"/>
      <c r="B780" s="4"/>
      <c r="C780" s="4"/>
      <c r="D780" s="4"/>
      <c r="E780" s="4"/>
      <c r="F780" s="4"/>
      <c r="G780" s="4"/>
      <c r="H780" s="4"/>
      <c r="I780" s="4"/>
      <c r="J780" s="4"/>
      <c r="K780" s="4"/>
      <c r="L780" s="4"/>
      <c r="M780" s="4"/>
      <c r="N780" s="4"/>
      <c r="O780" s="4"/>
      <c r="P780" s="4"/>
      <c r="Q780" s="4"/>
      <c r="R780" s="16"/>
      <c r="S780" s="16"/>
      <c r="T780" s="16"/>
      <c r="U780" s="16"/>
      <c r="V780" s="16"/>
      <c r="W780" s="16"/>
      <c r="X780" s="16"/>
      <c r="Y780" s="16"/>
      <c r="Z780" s="16"/>
      <c r="AA780" s="16"/>
      <c r="AB780" s="16"/>
      <c r="AC780" s="16"/>
      <c r="AD780" s="16"/>
    </row>
    <row r="781" ht="13.5" customHeight="1" spans="1:30" x14ac:dyDescent="0.25">
      <c r="A781" s="4"/>
      <c r="B781" s="4"/>
      <c r="C781" s="4"/>
      <c r="D781" s="4"/>
      <c r="E781" s="4"/>
      <c r="F781" s="4"/>
      <c r="G781" s="4"/>
      <c r="H781" s="4"/>
      <c r="I781" s="4"/>
      <c r="J781" s="4"/>
      <c r="K781" s="4"/>
      <c r="L781" s="4"/>
      <c r="M781" s="4"/>
      <c r="N781" s="4"/>
      <c r="O781" s="4"/>
      <c r="P781" s="4"/>
      <c r="Q781" s="4"/>
      <c r="R781" s="16"/>
      <c r="S781" s="16"/>
      <c r="T781" s="16"/>
      <c r="U781" s="16"/>
      <c r="V781" s="16"/>
      <c r="W781" s="16"/>
      <c r="X781" s="16"/>
      <c r="Y781" s="16"/>
      <c r="Z781" s="16"/>
      <c r="AA781" s="16"/>
      <c r="AB781" s="16"/>
      <c r="AC781" s="16"/>
      <c r="AD781" s="16"/>
    </row>
    <row r="782" ht="13.5" customHeight="1" spans="1:30" x14ac:dyDescent="0.25">
      <c r="A782" s="4"/>
      <c r="B782" s="4"/>
      <c r="C782" s="4"/>
      <c r="D782" s="4"/>
      <c r="E782" s="4"/>
      <c r="F782" s="4"/>
      <c r="G782" s="4"/>
      <c r="H782" s="4"/>
      <c r="I782" s="4"/>
      <c r="J782" s="4"/>
      <c r="K782" s="4"/>
      <c r="L782" s="4"/>
      <c r="M782" s="4"/>
      <c r="N782" s="4"/>
      <c r="O782" s="4"/>
      <c r="P782" s="4"/>
      <c r="Q782" s="4"/>
      <c r="R782" s="16"/>
      <c r="S782" s="16"/>
      <c r="T782" s="16"/>
      <c r="U782" s="16"/>
      <c r="V782" s="16"/>
      <c r="W782" s="16"/>
      <c r="X782" s="16"/>
      <c r="Y782" s="16"/>
      <c r="Z782" s="16"/>
      <c r="AA782" s="16"/>
      <c r="AB782" s="16"/>
      <c r="AC782" s="16"/>
      <c r="AD782" s="16"/>
    </row>
    <row r="783" ht="13.5" customHeight="1" spans="1:30" x14ac:dyDescent="0.25">
      <c r="A783" s="4"/>
      <c r="B783" s="4"/>
      <c r="C783" s="4"/>
      <c r="D783" s="4"/>
      <c r="E783" s="4"/>
      <c r="F783" s="4"/>
      <c r="G783" s="4"/>
      <c r="H783" s="4"/>
      <c r="I783" s="4"/>
      <c r="J783" s="4"/>
      <c r="K783" s="4"/>
      <c r="L783" s="4"/>
      <c r="M783" s="4"/>
      <c r="N783" s="4"/>
      <c r="O783" s="4"/>
      <c r="P783" s="4"/>
      <c r="Q783" s="4"/>
      <c r="R783" s="16"/>
      <c r="S783" s="16"/>
      <c r="T783" s="16"/>
      <c r="U783" s="16"/>
      <c r="V783" s="16"/>
      <c r="W783" s="16"/>
      <c r="X783" s="16"/>
      <c r="Y783" s="16"/>
      <c r="Z783" s="16"/>
      <c r="AA783" s="16"/>
      <c r="AB783" s="16"/>
      <c r="AC783" s="16"/>
      <c r="AD783" s="16"/>
    </row>
    <row r="784" ht="13.5" customHeight="1" spans="1:30" x14ac:dyDescent="0.25">
      <c r="A784" s="4"/>
      <c r="B784" s="4"/>
      <c r="C784" s="4"/>
      <c r="D784" s="4"/>
      <c r="E784" s="4"/>
      <c r="F784" s="4"/>
      <c r="G784" s="4"/>
      <c r="H784" s="4"/>
      <c r="I784" s="4"/>
      <c r="J784" s="4"/>
      <c r="K784" s="4"/>
      <c r="L784" s="4"/>
      <c r="M784" s="4"/>
      <c r="N784" s="4"/>
      <c r="O784" s="4"/>
      <c r="P784" s="4"/>
      <c r="Q784" s="4"/>
      <c r="R784" s="16"/>
      <c r="S784" s="16"/>
      <c r="T784" s="16"/>
      <c r="U784" s="16"/>
      <c r="V784" s="16"/>
      <c r="W784" s="16"/>
      <c r="X784" s="16"/>
      <c r="Y784" s="16"/>
      <c r="Z784" s="16"/>
      <c r="AA784" s="16"/>
      <c r="AB784" s="16"/>
      <c r="AC784" s="16"/>
      <c r="AD784" s="16"/>
    </row>
    <row r="785" ht="13.5" customHeight="1" spans="1:30" x14ac:dyDescent="0.25">
      <c r="A785" s="4"/>
      <c r="B785" s="4"/>
      <c r="C785" s="4"/>
      <c r="D785" s="4"/>
      <c r="E785" s="4"/>
      <c r="F785" s="4"/>
      <c r="G785" s="4"/>
      <c r="H785" s="4"/>
      <c r="I785" s="4"/>
      <c r="J785" s="4"/>
      <c r="K785" s="4"/>
      <c r="L785" s="4"/>
      <c r="M785" s="4"/>
      <c r="N785" s="4"/>
      <c r="O785" s="4"/>
      <c r="P785" s="4"/>
      <c r="Q785" s="4"/>
      <c r="R785" s="16"/>
      <c r="S785" s="16"/>
      <c r="T785" s="16"/>
      <c r="U785" s="16"/>
      <c r="V785" s="16"/>
      <c r="W785" s="16"/>
      <c r="X785" s="16"/>
      <c r="Y785" s="16"/>
      <c r="Z785" s="16"/>
      <c r="AA785" s="16"/>
      <c r="AB785" s="16"/>
      <c r="AC785" s="16"/>
      <c r="AD785" s="16"/>
    </row>
    <row r="786" ht="13.5" customHeight="1" spans="1:30" x14ac:dyDescent="0.25">
      <c r="A786" s="4"/>
      <c r="B786" s="4"/>
      <c r="C786" s="4"/>
      <c r="D786" s="4"/>
      <c r="E786" s="4"/>
      <c r="F786" s="4"/>
      <c r="G786" s="4"/>
      <c r="H786" s="4"/>
      <c r="I786" s="4"/>
      <c r="J786" s="4"/>
      <c r="K786" s="4"/>
      <c r="L786" s="4"/>
      <c r="M786" s="4"/>
      <c r="N786" s="4"/>
      <c r="O786" s="4"/>
      <c r="P786" s="4"/>
      <c r="Q786" s="4"/>
      <c r="R786" s="16"/>
      <c r="S786" s="16"/>
      <c r="T786" s="16"/>
      <c r="U786" s="16"/>
      <c r="V786" s="16"/>
      <c r="W786" s="16"/>
      <c r="X786" s="16"/>
      <c r="Y786" s="16"/>
      <c r="Z786" s="16"/>
      <c r="AA786" s="16"/>
      <c r="AB786" s="16"/>
      <c r="AC786" s="16"/>
      <c r="AD786" s="16"/>
    </row>
    <row r="787" ht="13.5" customHeight="1" spans="1:30" x14ac:dyDescent="0.25">
      <c r="A787" s="4"/>
      <c r="B787" s="4"/>
      <c r="C787" s="4"/>
      <c r="D787" s="4"/>
      <c r="E787" s="4"/>
      <c r="F787" s="4"/>
      <c r="G787" s="4"/>
      <c r="H787" s="4"/>
      <c r="I787" s="4"/>
      <c r="J787" s="4"/>
      <c r="K787" s="4"/>
      <c r="L787" s="4"/>
      <c r="M787" s="4"/>
      <c r="N787" s="4"/>
      <c r="O787" s="4"/>
      <c r="P787" s="4"/>
      <c r="Q787" s="4"/>
      <c r="R787" s="16"/>
      <c r="S787" s="16"/>
      <c r="T787" s="16"/>
      <c r="U787" s="16"/>
      <c r="V787" s="16"/>
      <c r="W787" s="16"/>
      <c r="X787" s="16"/>
      <c r="Y787" s="16"/>
      <c r="Z787" s="16"/>
      <c r="AA787" s="16"/>
      <c r="AB787" s="16"/>
      <c r="AC787" s="16"/>
      <c r="AD787" s="16"/>
    </row>
    <row r="788" ht="13.5" customHeight="1" spans="1:30" x14ac:dyDescent="0.25">
      <c r="A788" s="4"/>
      <c r="B788" s="4"/>
      <c r="C788" s="4"/>
      <c r="D788" s="4"/>
      <c r="E788" s="4"/>
      <c r="F788" s="4"/>
      <c r="G788" s="4"/>
      <c r="H788" s="4"/>
      <c r="I788" s="4"/>
      <c r="J788" s="4"/>
      <c r="K788" s="4"/>
      <c r="L788" s="4"/>
      <c r="M788" s="4"/>
      <c r="N788" s="4"/>
      <c r="O788" s="4"/>
      <c r="P788" s="4"/>
      <c r="Q788" s="4"/>
      <c r="R788" s="16"/>
      <c r="S788" s="16"/>
      <c r="T788" s="16"/>
      <c r="U788" s="16"/>
      <c r="V788" s="16"/>
      <c r="W788" s="16"/>
      <c r="X788" s="16"/>
      <c r="Y788" s="16"/>
      <c r="Z788" s="16"/>
      <c r="AA788" s="16"/>
      <c r="AB788" s="16"/>
      <c r="AC788" s="16"/>
      <c r="AD788" s="16"/>
    </row>
    <row r="789" ht="13.5" customHeight="1" spans="1:30" x14ac:dyDescent="0.25">
      <c r="A789" s="4"/>
      <c r="B789" s="4"/>
      <c r="C789" s="4"/>
      <c r="D789" s="4"/>
      <c r="E789" s="4"/>
      <c r="F789" s="4"/>
      <c r="G789" s="4"/>
      <c r="H789" s="4"/>
      <c r="I789" s="4"/>
      <c r="J789" s="4"/>
      <c r="K789" s="4"/>
      <c r="L789" s="4"/>
      <c r="M789" s="4"/>
      <c r="N789" s="4"/>
      <c r="O789" s="4"/>
      <c r="P789" s="4"/>
      <c r="Q789" s="4"/>
      <c r="R789" s="16"/>
      <c r="S789" s="16"/>
      <c r="T789" s="16"/>
      <c r="U789" s="16"/>
      <c r="V789" s="16"/>
      <c r="W789" s="16"/>
      <c r="X789" s="16"/>
      <c r="Y789" s="16"/>
      <c r="Z789" s="16"/>
      <c r="AA789" s="16"/>
      <c r="AB789" s="16"/>
      <c r="AC789" s="16"/>
      <c r="AD789" s="16"/>
    </row>
    <row r="790" ht="13.5" customHeight="1" spans="1:30" x14ac:dyDescent="0.25">
      <c r="A790" s="4"/>
      <c r="B790" s="4"/>
      <c r="C790" s="4"/>
      <c r="D790" s="4"/>
      <c r="E790" s="4"/>
      <c r="F790" s="4"/>
      <c r="G790" s="4"/>
      <c r="H790" s="4"/>
      <c r="I790" s="4"/>
      <c r="J790" s="4"/>
      <c r="K790" s="4"/>
      <c r="L790" s="4"/>
      <c r="M790" s="4"/>
      <c r="N790" s="4"/>
      <c r="O790" s="4"/>
      <c r="P790" s="4"/>
      <c r="Q790" s="4"/>
      <c r="R790" s="16"/>
      <c r="S790" s="16"/>
      <c r="T790" s="16"/>
      <c r="U790" s="16"/>
      <c r="V790" s="16"/>
      <c r="W790" s="16"/>
      <c r="X790" s="16"/>
      <c r="Y790" s="16"/>
      <c r="Z790" s="16"/>
      <c r="AA790" s="16"/>
      <c r="AB790" s="16"/>
      <c r="AC790" s="16"/>
      <c r="AD790" s="16"/>
    </row>
    <row r="791" ht="13.5" customHeight="1" spans="1:30" x14ac:dyDescent="0.25">
      <c r="A791" s="4"/>
      <c r="B791" s="4"/>
      <c r="C791" s="4"/>
      <c r="D791" s="4"/>
      <c r="E791" s="4"/>
      <c r="F791" s="4"/>
      <c r="G791" s="4"/>
      <c r="H791" s="4"/>
      <c r="I791" s="4"/>
      <c r="J791" s="4"/>
      <c r="K791" s="4"/>
      <c r="L791" s="4"/>
      <c r="M791" s="4"/>
      <c r="N791" s="4"/>
      <c r="O791" s="4"/>
      <c r="P791" s="4"/>
      <c r="Q791" s="4"/>
      <c r="R791" s="16"/>
      <c r="S791" s="16"/>
      <c r="T791" s="16"/>
      <c r="U791" s="16"/>
      <c r="V791" s="16"/>
      <c r="W791" s="16"/>
      <c r="X791" s="16"/>
      <c r="Y791" s="16"/>
      <c r="Z791" s="16"/>
      <c r="AA791" s="16"/>
      <c r="AB791" s="16"/>
      <c r="AC791" s="16"/>
      <c r="AD791" s="16"/>
    </row>
    <row r="792" ht="13.5" customHeight="1" spans="1:30" x14ac:dyDescent="0.25">
      <c r="A792" s="4"/>
      <c r="B792" s="4"/>
      <c r="C792" s="4"/>
      <c r="D792" s="4"/>
      <c r="E792" s="4"/>
      <c r="F792" s="4"/>
      <c r="G792" s="4"/>
      <c r="H792" s="4"/>
      <c r="I792" s="4"/>
      <c r="J792" s="4"/>
      <c r="K792" s="4"/>
      <c r="L792" s="4"/>
      <c r="M792" s="4"/>
      <c r="N792" s="4"/>
      <c r="O792" s="4"/>
      <c r="P792" s="4"/>
      <c r="Q792" s="4"/>
      <c r="R792" s="16"/>
      <c r="S792" s="16"/>
      <c r="T792" s="16"/>
      <c r="U792" s="16"/>
      <c r="V792" s="16"/>
      <c r="W792" s="16"/>
      <c r="X792" s="16"/>
      <c r="Y792" s="16"/>
      <c r="Z792" s="16"/>
      <c r="AA792" s="16"/>
      <c r="AB792" s="16"/>
      <c r="AC792" s="16"/>
      <c r="AD792" s="16"/>
    </row>
    <row r="793" ht="13.5" customHeight="1" spans="1:30" x14ac:dyDescent="0.25">
      <c r="A793" s="4"/>
      <c r="B793" s="4"/>
      <c r="C793" s="4"/>
      <c r="D793" s="4"/>
      <c r="E793" s="4"/>
      <c r="F793" s="4"/>
      <c r="G793" s="4"/>
      <c r="H793" s="4"/>
      <c r="I793" s="4"/>
      <c r="J793" s="4"/>
      <c r="K793" s="4"/>
      <c r="L793" s="4"/>
      <c r="M793" s="4"/>
      <c r="N793" s="4"/>
      <c r="O793" s="4"/>
      <c r="P793" s="4"/>
      <c r="Q793" s="4"/>
      <c r="R793" s="16"/>
      <c r="S793" s="16"/>
      <c r="T793" s="16"/>
      <c r="U793" s="16"/>
      <c r="V793" s="16"/>
      <c r="W793" s="16"/>
      <c r="X793" s="16"/>
      <c r="Y793" s="16"/>
      <c r="Z793" s="16"/>
      <c r="AA793" s="16"/>
      <c r="AB793" s="16"/>
      <c r="AC793" s="16"/>
      <c r="AD793" s="16"/>
    </row>
    <row r="794" ht="13.5" customHeight="1" spans="1:30" x14ac:dyDescent="0.25">
      <c r="A794" s="4"/>
      <c r="B794" s="4"/>
      <c r="C794" s="4"/>
      <c r="D794" s="4"/>
      <c r="E794" s="4"/>
      <c r="F794" s="4"/>
      <c r="G794" s="4"/>
      <c r="H794" s="4"/>
      <c r="I794" s="4"/>
      <c r="J794" s="4"/>
      <c r="K794" s="4"/>
      <c r="L794" s="4"/>
      <c r="M794" s="4"/>
      <c r="N794" s="4"/>
      <c r="O794" s="4"/>
      <c r="P794" s="4"/>
      <c r="Q794" s="4"/>
      <c r="R794" s="16"/>
      <c r="S794" s="16"/>
      <c r="T794" s="16"/>
      <c r="U794" s="16"/>
      <c r="V794" s="16"/>
      <c r="W794" s="16"/>
      <c r="X794" s="16"/>
      <c r="Y794" s="16"/>
      <c r="Z794" s="16"/>
      <c r="AA794" s="16"/>
      <c r="AB794" s="16"/>
      <c r="AC794" s="16"/>
      <c r="AD794" s="16"/>
    </row>
    <row r="795" ht="13.5" customHeight="1" spans="1:30" x14ac:dyDescent="0.25">
      <c r="A795" s="4"/>
      <c r="B795" s="4"/>
      <c r="C795" s="4"/>
      <c r="D795" s="4"/>
      <c r="E795" s="4"/>
      <c r="F795" s="4"/>
      <c r="G795" s="4"/>
      <c r="H795" s="4"/>
      <c r="I795" s="4"/>
      <c r="J795" s="4"/>
      <c r="K795" s="4"/>
      <c r="L795" s="4"/>
      <c r="M795" s="4"/>
      <c r="N795" s="4"/>
      <c r="O795" s="4"/>
      <c r="P795" s="4"/>
      <c r="Q795" s="4"/>
      <c r="R795" s="16"/>
      <c r="S795" s="16"/>
      <c r="T795" s="16"/>
      <c r="U795" s="16"/>
      <c r="V795" s="16"/>
      <c r="W795" s="16"/>
      <c r="X795" s="16"/>
      <c r="Y795" s="16"/>
      <c r="Z795" s="16"/>
      <c r="AA795" s="16"/>
      <c r="AB795" s="16"/>
      <c r="AC795" s="16"/>
      <c r="AD795" s="16"/>
    </row>
    <row r="796" ht="13.5" customHeight="1" spans="1:30" x14ac:dyDescent="0.25">
      <c r="A796" s="4"/>
      <c r="B796" s="4"/>
      <c r="C796" s="4"/>
      <c r="D796" s="4"/>
      <c r="E796" s="4"/>
      <c r="F796" s="4"/>
      <c r="G796" s="4"/>
      <c r="H796" s="4"/>
      <c r="I796" s="4"/>
      <c r="J796" s="4"/>
      <c r="K796" s="4"/>
      <c r="L796" s="4"/>
      <c r="M796" s="4"/>
      <c r="N796" s="4"/>
      <c r="O796" s="4"/>
      <c r="P796" s="4"/>
      <c r="Q796" s="4"/>
      <c r="R796" s="16"/>
      <c r="S796" s="16"/>
      <c r="T796" s="16"/>
      <c r="U796" s="16"/>
      <c r="V796" s="16"/>
      <c r="W796" s="16"/>
      <c r="X796" s="16"/>
      <c r="Y796" s="16"/>
      <c r="Z796" s="16"/>
      <c r="AA796" s="16"/>
      <c r="AB796" s="16"/>
      <c r="AC796" s="16"/>
      <c r="AD796" s="16"/>
    </row>
    <row r="797" ht="13.5" customHeight="1" spans="1:30" x14ac:dyDescent="0.25">
      <c r="A797" s="4"/>
      <c r="B797" s="4"/>
      <c r="C797" s="4"/>
      <c r="D797" s="4"/>
      <c r="E797" s="4"/>
      <c r="F797" s="4"/>
      <c r="G797" s="4"/>
      <c r="H797" s="4"/>
      <c r="I797" s="4"/>
      <c r="J797" s="4"/>
      <c r="K797" s="4"/>
      <c r="L797" s="4"/>
      <c r="M797" s="4"/>
      <c r="N797" s="4"/>
      <c r="O797" s="4"/>
      <c r="P797" s="4"/>
      <c r="Q797" s="4"/>
      <c r="R797" s="16"/>
      <c r="S797" s="16"/>
      <c r="T797" s="16"/>
      <c r="U797" s="16"/>
      <c r="V797" s="16"/>
      <c r="W797" s="16"/>
      <c r="X797" s="16"/>
      <c r="Y797" s="16"/>
      <c r="Z797" s="16"/>
      <c r="AA797" s="16"/>
      <c r="AB797" s="16"/>
      <c r="AC797" s="16"/>
      <c r="AD797" s="16"/>
    </row>
    <row r="798" ht="13.5" customHeight="1" spans="1:30" x14ac:dyDescent="0.25">
      <c r="A798" s="4"/>
      <c r="B798" s="4"/>
      <c r="C798" s="4"/>
      <c r="D798" s="4"/>
      <c r="E798" s="4"/>
      <c r="F798" s="4"/>
      <c r="G798" s="4"/>
      <c r="H798" s="4"/>
      <c r="I798" s="4"/>
      <c r="J798" s="4"/>
      <c r="K798" s="4"/>
      <c r="L798" s="4"/>
      <c r="M798" s="4"/>
      <c r="N798" s="4"/>
      <c r="O798" s="4"/>
      <c r="P798" s="4"/>
      <c r="Q798" s="4"/>
      <c r="R798" s="16"/>
      <c r="S798" s="16"/>
      <c r="T798" s="16"/>
      <c r="U798" s="16"/>
      <c r="V798" s="16"/>
      <c r="W798" s="16"/>
      <c r="X798" s="16"/>
      <c r="Y798" s="16"/>
      <c r="Z798" s="16"/>
      <c r="AA798" s="16"/>
      <c r="AB798" s="16"/>
      <c r="AC798" s="16"/>
      <c r="AD798" s="16"/>
    </row>
    <row r="799" ht="13.5" customHeight="1" spans="1:30" x14ac:dyDescent="0.25">
      <c r="A799" s="4"/>
      <c r="B799" s="4"/>
      <c r="C799" s="4"/>
      <c r="D799" s="4"/>
      <c r="E799" s="4"/>
      <c r="F799" s="4"/>
      <c r="G799" s="4"/>
      <c r="H799" s="4"/>
      <c r="I799" s="4"/>
      <c r="J799" s="4"/>
      <c r="K799" s="4"/>
      <c r="L799" s="4"/>
      <c r="M799" s="4"/>
      <c r="N799" s="4"/>
      <c r="O799" s="4"/>
      <c r="P799" s="4"/>
      <c r="Q799" s="4"/>
      <c r="R799" s="16"/>
      <c r="S799" s="16"/>
      <c r="T799" s="16"/>
      <c r="U799" s="16"/>
      <c r="V799" s="16"/>
      <c r="W799" s="16"/>
      <c r="X799" s="16"/>
      <c r="Y799" s="16"/>
      <c r="Z799" s="16"/>
      <c r="AA799" s="16"/>
      <c r="AB799" s="16"/>
      <c r="AC799" s="16"/>
      <c r="AD799" s="16"/>
    </row>
    <row r="800" ht="13.5" customHeight="1" spans="1:30" x14ac:dyDescent="0.25">
      <c r="A800" s="4"/>
      <c r="B800" s="4"/>
      <c r="C800" s="4"/>
      <c r="D800" s="4"/>
      <c r="E800" s="4"/>
      <c r="F800" s="4"/>
      <c r="G800" s="4"/>
      <c r="H800" s="4"/>
      <c r="I800" s="4"/>
      <c r="J800" s="4"/>
      <c r="K800" s="4"/>
      <c r="L800" s="4"/>
      <c r="M800" s="4"/>
      <c r="N800" s="4"/>
      <c r="O800" s="4"/>
      <c r="P800" s="4"/>
      <c r="Q800" s="4"/>
      <c r="R800" s="16"/>
      <c r="S800" s="16"/>
      <c r="T800" s="16"/>
      <c r="U800" s="16"/>
      <c r="V800" s="16"/>
      <c r="W800" s="16"/>
      <c r="X800" s="16"/>
      <c r="Y800" s="16"/>
      <c r="Z800" s="16"/>
      <c r="AA800" s="16"/>
      <c r="AB800" s="16"/>
      <c r="AC800" s="16"/>
      <c r="AD800" s="16"/>
    </row>
    <row r="801" ht="13.5" customHeight="1" spans="1:30" x14ac:dyDescent="0.25">
      <c r="A801" s="4"/>
      <c r="B801" s="4"/>
      <c r="C801" s="4"/>
      <c r="D801" s="4"/>
      <c r="E801" s="4"/>
      <c r="F801" s="4"/>
      <c r="G801" s="4"/>
      <c r="H801" s="4"/>
      <c r="I801" s="4"/>
      <c r="J801" s="4"/>
      <c r="K801" s="4"/>
      <c r="L801" s="4"/>
      <c r="M801" s="4"/>
      <c r="N801" s="4"/>
      <c r="O801" s="4"/>
      <c r="P801" s="4"/>
      <c r="Q801" s="4"/>
      <c r="R801" s="16"/>
      <c r="S801" s="16"/>
      <c r="T801" s="16"/>
      <c r="U801" s="16"/>
      <c r="V801" s="16"/>
      <c r="W801" s="16"/>
      <c r="X801" s="16"/>
      <c r="Y801" s="16"/>
      <c r="Z801" s="16"/>
      <c r="AA801" s="16"/>
      <c r="AB801" s="16"/>
      <c r="AC801" s="16"/>
      <c r="AD801" s="16"/>
    </row>
    <row r="802" ht="13.5" customHeight="1" spans="1:30" x14ac:dyDescent="0.25">
      <c r="A802" s="4"/>
      <c r="B802" s="4"/>
      <c r="C802" s="4"/>
      <c r="D802" s="4"/>
      <c r="E802" s="4"/>
      <c r="F802" s="4"/>
      <c r="G802" s="4"/>
      <c r="H802" s="4"/>
      <c r="I802" s="4"/>
      <c r="J802" s="4"/>
      <c r="K802" s="4"/>
      <c r="L802" s="4"/>
      <c r="M802" s="4"/>
      <c r="N802" s="4"/>
      <c r="O802" s="4"/>
      <c r="P802" s="4"/>
      <c r="Q802" s="4"/>
      <c r="R802" s="16"/>
      <c r="S802" s="16"/>
      <c r="T802" s="16"/>
      <c r="U802" s="16"/>
      <c r="V802" s="16"/>
      <c r="W802" s="16"/>
      <c r="X802" s="16"/>
      <c r="Y802" s="16"/>
      <c r="Z802" s="16"/>
      <c r="AA802" s="16"/>
      <c r="AB802" s="16"/>
      <c r="AC802" s="16"/>
      <c r="AD802" s="16"/>
    </row>
    <row r="803" ht="13.5" customHeight="1" spans="1:30" x14ac:dyDescent="0.25">
      <c r="A803" s="4"/>
      <c r="B803" s="4"/>
      <c r="C803" s="4"/>
      <c r="D803" s="4"/>
      <c r="E803" s="4"/>
      <c r="F803" s="4"/>
      <c r="G803" s="4"/>
      <c r="H803" s="4"/>
      <c r="I803" s="4"/>
      <c r="J803" s="4"/>
      <c r="K803" s="4"/>
      <c r="L803" s="4"/>
      <c r="M803" s="4"/>
      <c r="N803" s="4"/>
      <c r="O803" s="4"/>
      <c r="P803" s="4"/>
      <c r="Q803" s="4"/>
      <c r="R803" s="16"/>
      <c r="S803" s="16"/>
      <c r="T803" s="16"/>
      <c r="U803" s="16"/>
      <c r="V803" s="16"/>
      <c r="W803" s="16"/>
      <c r="X803" s="16"/>
      <c r="Y803" s="16"/>
      <c r="Z803" s="16"/>
      <c r="AA803" s="16"/>
      <c r="AB803" s="16"/>
      <c r="AC803" s="16"/>
      <c r="AD803" s="16"/>
    </row>
    <row r="804" ht="13.5" customHeight="1" spans="1:30" x14ac:dyDescent="0.25">
      <c r="A804" s="4"/>
      <c r="B804" s="4"/>
      <c r="C804" s="4"/>
      <c r="D804" s="4"/>
      <c r="E804" s="4"/>
      <c r="F804" s="4"/>
      <c r="G804" s="4"/>
      <c r="H804" s="4"/>
      <c r="I804" s="4"/>
      <c r="J804" s="4"/>
      <c r="K804" s="4"/>
      <c r="L804" s="4"/>
      <c r="M804" s="4"/>
      <c r="N804" s="4"/>
      <c r="O804" s="4"/>
      <c r="P804" s="4"/>
      <c r="Q804" s="4"/>
      <c r="R804" s="16"/>
      <c r="S804" s="16"/>
      <c r="T804" s="16"/>
      <c r="U804" s="16"/>
      <c r="V804" s="16"/>
      <c r="W804" s="16"/>
      <c r="X804" s="16"/>
      <c r="Y804" s="16"/>
      <c r="Z804" s="16"/>
      <c r="AA804" s="16"/>
      <c r="AB804" s="16"/>
      <c r="AC804" s="16"/>
      <c r="AD804" s="16"/>
    </row>
    <row r="805" ht="13.5" customHeight="1" spans="1:30" x14ac:dyDescent="0.25">
      <c r="A805" s="4"/>
      <c r="B805" s="4"/>
      <c r="C805" s="4"/>
      <c r="D805" s="4"/>
      <c r="E805" s="4"/>
      <c r="F805" s="4"/>
      <c r="G805" s="4"/>
      <c r="H805" s="4"/>
      <c r="I805" s="4"/>
      <c r="J805" s="4"/>
      <c r="K805" s="4"/>
      <c r="L805" s="4"/>
      <c r="M805" s="4"/>
      <c r="N805" s="4"/>
      <c r="O805" s="4"/>
      <c r="P805" s="4"/>
      <c r="Q805" s="4"/>
      <c r="R805" s="16"/>
      <c r="S805" s="16"/>
      <c r="T805" s="16"/>
      <c r="U805" s="16"/>
      <c r="V805" s="16"/>
      <c r="W805" s="16"/>
      <c r="X805" s="16"/>
      <c r="Y805" s="16"/>
      <c r="Z805" s="16"/>
      <c r="AA805" s="16"/>
      <c r="AB805" s="16"/>
      <c r="AC805" s="16"/>
      <c r="AD805" s="16"/>
    </row>
    <row r="806" ht="13.5" customHeight="1" spans="1:30" x14ac:dyDescent="0.25">
      <c r="A806" s="4"/>
      <c r="B806" s="4"/>
      <c r="C806" s="4"/>
      <c r="D806" s="4"/>
      <c r="E806" s="4"/>
      <c r="F806" s="4"/>
      <c r="G806" s="4"/>
      <c r="H806" s="4"/>
      <c r="I806" s="4"/>
      <c r="J806" s="4"/>
      <c r="K806" s="4"/>
      <c r="L806" s="4"/>
      <c r="M806" s="4"/>
      <c r="N806" s="4"/>
      <c r="O806" s="4"/>
      <c r="P806" s="4"/>
      <c r="Q806" s="4"/>
      <c r="R806" s="16"/>
      <c r="S806" s="16"/>
      <c r="T806" s="16"/>
      <c r="U806" s="16"/>
      <c r="V806" s="16"/>
      <c r="W806" s="16"/>
      <c r="X806" s="16"/>
      <c r="Y806" s="16"/>
      <c r="Z806" s="16"/>
      <c r="AA806" s="16"/>
      <c r="AB806" s="16"/>
      <c r="AC806" s="16"/>
      <c r="AD806" s="16"/>
    </row>
    <row r="807" ht="13.5" customHeight="1" spans="1:30" x14ac:dyDescent="0.25">
      <c r="A807" s="4"/>
      <c r="B807" s="4"/>
      <c r="C807" s="4"/>
      <c r="D807" s="4"/>
      <c r="E807" s="4"/>
      <c r="F807" s="4"/>
      <c r="G807" s="4"/>
      <c r="H807" s="4"/>
      <c r="I807" s="4"/>
      <c r="J807" s="4"/>
      <c r="K807" s="4"/>
      <c r="L807" s="4"/>
      <c r="M807" s="4"/>
      <c r="N807" s="4"/>
      <c r="O807" s="4"/>
      <c r="P807" s="4"/>
      <c r="Q807" s="4"/>
      <c r="R807" s="16"/>
      <c r="S807" s="16"/>
      <c r="T807" s="16"/>
      <c r="U807" s="16"/>
      <c r="V807" s="16"/>
      <c r="W807" s="16"/>
      <c r="X807" s="16"/>
      <c r="Y807" s="16"/>
      <c r="Z807" s="16"/>
      <c r="AA807" s="16"/>
      <c r="AB807" s="16"/>
      <c r="AC807" s="16"/>
      <c r="AD807" s="16"/>
    </row>
    <row r="808" ht="13.5" customHeight="1" spans="1:30" x14ac:dyDescent="0.25">
      <c r="A808" s="4"/>
      <c r="B808" s="4"/>
      <c r="C808" s="4"/>
      <c r="D808" s="4"/>
      <c r="E808" s="4"/>
      <c r="F808" s="4"/>
      <c r="G808" s="4"/>
      <c r="H808" s="4"/>
      <c r="I808" s="4"/>
      <c r="J808" s="4"/>
      <c r="K808" s="4"/>
      <c r="L808" s="4"/>
      <c r="M808" s="4"/>
      <c r="N808" s="4"/>
      <c r="O808" s="4"/>
      <c r="P808" s="4"/>
      <c r="Q808" s="4"/>
      <c r="R808" s="16"/>
      <c r="S808" s="16"/>
      <c r="T808" s="16"/>
      <c r="U808" s="16"/>
      <c r="V808" s="16"/>
      <c r="W808" s="16"/>
      <c r="X808" s="16"/>
      <c r="Y808" s="16"/>
      <c r="Z808" s="16"/>
      <c r="AA808" s="16"/>
      <c r="AB808" s="16"/>
      <c r="AC808" s="16"/>
      <c r="AD808" s="16"/>
    </row>
    <row r="809" ht="13.5" customHeight="1" spans="1:30" x14ac:dyDescent="0.25">
      <c r="A809" s="4"/>
      <c r="B809" s="4"/>
      <c r="C809" s="4"/>
      <c r="D809" s="4"/>
      <c r="E809" s="4"/>
      <c r="F809" s="4"/>
      <c r="G809" s="4"/>
      <c r="H809" s="4"/>
      <c r="I809" s="4"/>
      <c r="J809" s="4"/>
      <c r="K809" s="4"/>
      <c r="L809" s="4"/>
      <c r="M809" s="4"/>
      <c r="N809" s="4"/>
      <c r="O809" s="4"/>
      <c r="P809" s="4"/>
      <c r="Q809" s="4"/>
      <c r="R809" s="16"/>
      <c r="S809" s="16"/>
      <c r="T809" s="16"/>
      <c r="U809" s="16"/>
      <c r="V809" s="16"/>
      <c r="W809" s="16"/>
      <c r="X809" s="16"/>
      <c r="Y809" s="16"/>
      <c r="Z809" s="16"/>
      <c r="AA809" s="16"/>
      <c r="AB809" s="16"/>
      <c r="AC809" s="16"/>
      <c r="AD809" s="16"/>
    </row>
    <row r="810" ht="13.5" customHeight="1" spans="1:30" x14ac:dyDescent="0.25">
      <c r="A810" s="4"/>
      <c r="B810" s="4"/>
      <c r="C810" s="4"/>
      <c r="D810" s="4"/>
      <c r="E810" s="4"/>
      <c r="F810" s="4"/>
      <c r="G810" s="4"/>
      <c r="H810" s="4"/>
      <c r="I810" s="4"/>
      <c r="J810" s="4"/>
      <c r="K810" s="4"/>
      <c r="L810" s="4"/>
      <c r="M810" s="4"/>
      <c r="N810" s="4"/>
      <c r="O810" s="4"/>
      <c r="P810" s="4"/>
      <c r="Q810" s="4"/>
      <c r="R810" s="16"/>
      <c r="S810" s="16"/>
      <c r="T810" s="16"/>
      <c r="U810" s="16"/>
      <c r="V810" s="16"/>
      <c r="W810" s="16"/>
      <c r="X810" s="16"/>
      <c r="Y810" s="16"/>
      <c r="Z810" s="16"/>
      <c r="AA810" s="16"/>
      <c r="AB810" s="16"/>
      <c r="AC810" s="16"/>
      <c r="AD810" s="16"/>
    </row>
    <row r="811" ht="13.5" customHeight="1" spans="1:30" x14ac:dyDescent="0.25">
      <c r="A811" s="4"/>
      <c r="B811" s="4"/>
      <c r="C811" s="4"/>
      <c r="D811" s="4"/>
      <c r="E811" s="4"/>
      <c r="F811" s="4"/>
      <c r="G811" s="4"/>
      <c r="H811" s="4"/>
      <c r="I811" s="4"/>
      <c r="J811" s="4"/>
      <c r="K811" s="4"/>
      <c r="L811" s="4"/>
      <c r="M811" s="4"/>
      <c r="N811" s="4"/>
      <c r="O811" s="4"/>
      <c r="P811" s="4"/>
      <c r="Q811" s="4"/>
      <c r="R811" s="16"/>
      <c r="S811" s="16"/>
      <c r="T811" s="16"/>
      <c r="U811" s="16"/>
      <c r="V811" s="16"/>
      <c r="W811" s="16"/>
      <c r="X811" s="16"/>
      <c r="Y811" s="16"/>
      <c r="Z811" s="16"/>
      <c r="AA811" s="16"/>
      <c r="AB811" s="16"/>
      <c r="AC811" s="16"/>
      <c r="AD811" s="16"/>
    </row>
    <row r="812" ht="13.5" customHeight="1" spans="1:30" x14ac:dyDescent="0.25">
      <c r="A812" s="4"/>
      <c r="B812" s="4"/>
      <c r="C812" s="4"/>
      <c r="D812" s="4"/>
      <c r="E812" s="4"/>
      <c r="F812" s="4"/>
      <c r="G812" s="4"/>
      <c r="H812" s="4"/>
      <c r="I812" s="4"/>
      <c r="J812" s="4"/>
      <c r="K812" s="4"/>
      <c r="L812" s="4"/>
      <c r="M812" s="4"/>
      <c r="N812" s="4"/>
      <c r="O812" s="4"/>
      <c r="P812" s="4"/>
      <c r="Q812" s="4"/>
      <c r="R812" s="16"/>
      <c r="S812" s="16"/>
      <c r="T812" s="16"/>
      <c r="U812" s="16"/>
      <c r="V812" s="16"/>
      <c r="W812" s="16"/>
      <c r="X812" s="16"/>
      <c r="Y812" s="16"/>
      <c r="Z812" s="16"/>
      <c r="AA812" s="16"/>
      <c r="AB812" s="16"/>
      <c r="AC812" s="16"/>
      <c r="AD812" s="16"/>
    </row>
    <row r="813" ht="13.5" customHeight="1" spans="1:30" x14ac:dyDescent="0.25">
      <c r="A813" s="4"/>
      <c r="B813" s="4"/>
      <c r="C813" s="4"/>
      <c r="D813" s="4"/>
      <c r="E813" s="4"/>
      <c r="F813" s="4"/>
      <c r="G813" s="4"/>
      <c r="H813" s="4"/>
      <c r="I813" s="4"/>
      <c r="J813" s="4"/>
      <c r="K813" s="4"/>
      <c r="L813" s="4"/>
      <c r="M813" s="4"/>
      <c r="N813" s="4"/>
      <c r="O813" s="4"/>
      <c r="P813" s="4"/>
      <c r="Q813" s="4"/>
      <c r="R813" s="16"/>
      <c r="S813" s="16"/>
      <c r="T813" s="16"/>
      <c r="U813" s="16"/>
      <c r="V813" s="16"/>
      <c r="W813" s="16"/>
      <c r="X813" s="16"/>
      <c r="Y813" s="16"/>
      <c r="Z813" s="16"/>
      <c r="AA813" s="16"/>
      <c r="AB813" s="16"/>
      <c r="AC813" s="16"/>
      <c r="AD813" s="16"/>
    </row>
    <row r="814" ht="13.5" customHeight="1" spans="1:30" x14ac:dyDescent="0.25">
      <c r="A814" s="4"/>
      <c r="B814" s="4"/>
      <c r="C814" s="4"/>
      <c r="D814" s="4"/>
      <c r="E814" s="4"/>
      <c r="F814" s="4"/>
      <c r="G814" s="4"/>
      <c r="H814" s="4"/>
      <c r="I814" s="4"/>
      <c r="J814" s="4"/>
      <c r="K814" s="4"/>
      <c r="L814" s="4"/>
      <c r="M814" s="4"/>
      <c r="N814" s="4"/>
      <c r="O814" s="4"/>
      <c r="P814" s="4"/>
      <c r="Q814" s="4"/>
      <c r="R814" s="16"/>
      <c r="S814" s="16"/>
      <c r="T814" s="16"/>
      <c r="U814" s="16"/>
      <c r="V814" s="16"/>
      <c r="W814" s="16"/>
      <c r="X814" s="16"/>
      <c r="Y814" s="16"/>
      <c r="Z814" s="16"/>
      <c r="AA814" s="16"/>
      <c r="AB814" s="16"/>
      <c r="AC814" s="16"/>
      <c r="AD814" s="16"/>
    </row>
    <row r="815" ht="13.5" customHeight="1" spans="1:30" x14ac:dyDescent="0.25">
      <c r="A815" s="4"/>
      <c r="B815" s="4"/>
      <c r="C815" s="4"/>
      <c r="D815" s="4"/>
      <c r="E815" s="4"/>
      <c r="F815" s="4"/>
      <c r="G815" s="4"/>
      <c r="H815" s="4"/>
      <c r="I815" s="4"/>
      <c r="J815" s="4"/>
      <c r="K815" s="4"/>
      <c r="L815" s="4"/>
      <c r="M815" s="4"/>
      <c r="N815" s="4"/>
      <c r="O815" s="4"/>
      <c r="P815" s="4"/>
      <c r="Q815" s="4"/>
      <c r="R815" s="16"/>
      <c r="S815" s="16"/>
      <c r="T815" s="16"/>
      <c r="U815" s="16"/>
      <c r="V815" s="16"/>
      <c r="W815" s="16"/>
      <c r="X815" s="16"/>
      <c r="Y815" s="16"/>
      <c r="Z815" s="16"/>
      <c r="AA815" s="16"/>
      <c r="AB815" s="16"/>
      <c r="AC815" s="16"/>
      <c r="AD815" s="16"/>
    </row>
    <row r="816" ht="13.5" customHeight="1" spans="1:30" x14ac:dyDescent="0.25">
      <c r="A816" s="4"/>
      <c r="B816" s="4"/>
      <c r="C816" s="4"/>
      <c r="D816" s="4"/>
      <c r="E816" s="4"/>
      <c r="F816" s="4"/>
      <c r="G816" s="4"/>
      <c r="H816" s="4"/>
      <c r="I816" s="4"/>
      <c r="J816" s="4"/>
      <c r="K816" s="4"/>
      <c r="L816" s="4"/>
      <c r="M816" s="4"/>
      <c r="N816" s="4"/>
      <c r="O816" s="4"/>
      <c r="P816" s="4"/>
      <c r="Q816" s="4"/>
      <c r="R816" s="16"/>
      <c r="S816" s="16"/>
      <c r="T816" s="16"/>
      <c r="U816" s="16"/>
      <c r="V816" s="16"/>
      <c r="W816" s="16"/>
      <c r="X816" s="16"/>
      <c r="Y816" s="16"/>
      <c r="Z816" s="16"/>
      <c r="AA816" s="16"/>
      <c r="AB816" s="16"/>
      <c r="AC816" s="16"/>
      <c r="AD816" s="16"/>
    </row>
    <row r="817" ht="13.5" customHeight="1" spans="1:30" x14ac:dyDescent="0.25">
      <c r="A817" s="4"/>
      <c r="B817" s="4"/>
      <c r="C817" s="4"/>
      <c r="D817" s="4"/>
      <c r="E817" s="4"/>
      <c r="F817" s="4"/>
      <c r="G817" s="4"/>
      <c r="H817" s="4"/>
      <c r="I817" s="4"/>
      <c r="J817" s="4"/>
      <c r="K817" s="4"/>
      <c r="L817" s="4"/>
      <c r="M817" s="4"/>
      <c r="N817" s="4"/>
      <c r="O817" s="4"/>
      <c r="P817" s="4"/>
      <c r="Q817" s="4"/>
      <c r="R817" s="16"/>
      <c r="S817" s="16"/>
      <c r="T817" s="16"/>
      <c r="U817" s="16"/>
      <c r="V817" s="16"/>
      <c r="W817" s="16"/>
      <c r="X817" s="16"/>
      <c r="Y817" s="16"/>
      <c r="Z817" s="16"/>
      <c r="AA817" s="16"/>
      <c r="AB817" s="16"/>
      <c r="AC817" s="16"/>
      <c r="AD817" s="16"/>
    </row>
    <row r="818" ht="13.5" customHeight="1" spans="1:30" x14ac:dyDescent="0.25">
      <c r="A818" s="4"/>
      <c r="B818" s="4"/>
      <c r="C818" s="4"/>
      <c r="D818" s="4"/>
      <c r="E818" s="4"/>
      <c r="F818" s="4"/>
      <c r="G818" s="4"/>
      <c r="H818" s="4"/>
      <c r="I818" s="4"/>
      <c r="J818" s="4"/>
      <c r="K818" s="4"/>
      <c r="L818" s="4"/>
      <c r="M818" s="4"/>
      <c r="N818" s="4"/>
      <c r="O818" s="4"/>
      <c r="P818" s="4"/>
      <c r="Q818" s="4"/>
      <c r="R818" s="16"/>
      <c r="S818" s="16"/>
      <c r="T818" s="16"/>
      <c r="U818" s="16"/>
      <c r="V818" s="16"/>
      <c r="W818" s="16"/>
      <c r="X818" s="16"/>
      <c r="Y818" s="16"/>
      <c r="Z818" s="16"/>
      <c r="AA818" s="16"/>
      <c r="AB818" s="16"/>
      <c r="AC818" s="16"/>
      <c r="AD818" s="16"/>
    </row>
    <row r="819" ht="13.5" customHeight="1" spans="1:30" x14ac:dyDescent="0.25">
      <c r="A819" s="4"/>
      <c r="B819" s="4"/>
      <c r="C819" s="4"/>
      <c r="D819" s="4"/>
      <c r="E819" s="4"/>
      <c r="F819" s="4"/>
      <c r="G819" s="4"/>
      <c r="H819" s="4"/>
      <c r="I819" s="4"/>
      <c r="J819" s="4"/>
      <c r="K819" s="4"/>
      <c r="L819" s="4"/>
      <c r="M819" s="4"/>
      <c r="N819" s="4"/>
      <c r="O819" s="4"/>
      <c r="P819" s="4"/>
      <c r="Q819" s="4"/>
      <c r="R819" s="16"/>
      <c r="S819" s="16"/>
      <c r="T819" s="16"/>
      <c r="U819" s="16"/>
      <c r="V819" s="16"/>
      <c r="W819" s="16"/>
      <c r="X819" s="16"/>
      <c r="Y819" s="16"/>
      <c r="Z819" s="16"/>
      <c r="AA819" s="16"/>
      <c r="AB819" s="16"/>
      <c r="AC819" s="16"/>
      <c r="AD819" s="16"/>
    </row>
    <row r="820" ht="13.5" customHeight="1" spans="1:30" x14ac:dyDescent="0.25">
      <c r="A820" s="4"/>
      <c r="B820" s="4"/>
      <c r="C820" s="4"/>
      <c r="D820" s="4"/>
      <c r="E820" s="4"/>
      <c r="F820" s="4"/>
      <c r="G820" s="4"/>
      <c r="H820" s="4"/>
      <c r="I820" s="4"/>
      <c r="J820" s="4"/>
      <c r="K820" s="4"/>
      <c r="L820" s="4"/>
      <c r="M820" s="4"/>
      <c r="N820" s="4"/>
      <c r="O820" s="4"/>
      <c r="P820" s="4"/>
      <c r="Q820" s="4"/>
      <c r="R820" s="16"/>
      <c r="S820" s="16"/>
      <c r="T820" s="16"/>
      <c r="U820" s="16"/>
      <c r="V820" s="16"/>
      <c r="W820" s="16"/>
      <c r="X820" s="16"/>
      <c r="Y820" s="16"/>
      <c r="Z820" s="16"/>
      <c r="AA820" s="16"/>
      <c r="AB820" s="16"/>
      <c r="AC820" s="16"/>
      <c r="AD820" s="16"/>
    </row>
    <row r="821" ht="13.5" customHeight="1" spans="1:30" x14ac:dyDescent="0.25">
      <c r="A821" s="4"/>
      <c r="B821" s="4"/>
      <c r="C821" s="4"/>
      <c r="D821" s="4"/>
      <c r="E821" s="4"/>
      <c r="F821" s="4"/>
      <c r="G821" s="4"/>
      <c r="H821" s="4"/>
      <c r="I821" s="4"/>
      <c r="J821" s="4"/>
      <c r="K821" s="4"/>
      <c r="L821" s="4"/>
      <c r="M821" s="4"/>
      <c r="N821" s="4"/>
      <c r="O821" s="4"/>
      <c r="P821" s="4"/>
      <c r="Q821" s="4"/>
      <c r="R821" s="16"/>
      <c r="S821" s="16"/>
      <c r="T821" s="16"/>
      <c r="U821" s="16"/>
      <c r="V821" s="16"/>
      <c r="W821" s="16"/>
      <c r="X821" s="16"/>
      <c r="Y821" s="16"/>
      <c r="Z821" s="16"/>
      <c r="AA821" s="16"/>
      <c r="AB821" s="16"/>
      <c r="AC821" s="16"/>
      <c r="AD821" s="16"/>
    </row>
    <row r="822" ht="13.5" customHeight="1" spans="1:30" x14ac:dyDescent="0.25">
      <c r="A822" s="4"/>
      <c r="B822" s="4"/>
      <c r="C822" s="4"/>
      <c r="D822" s="4"/>
      <c r="E822" s="4"/>
      <c r="F822" s="4"/>
      <c r="G822" s="4"/>
      <c r="H822" s="4"/>
      <c r="I822" s="4"/>
      <c r="J822" s="4"/>
      <c r="K822" s="4"/>
      <c r="L822" s="4"/>
      <c r="M822" s="4"/>
      <c r="N822" s="4"/>
      <c r="O822" s="4"/>
      <c r="P822" s="4"/>
      <c r="Q822" s="4"/>
      <c r="R822" s="16"/>
      <c r="S822" s="16"/>
      <c r="T822" s="16"/>
      <c r="U822" s="16"/>
      <c r="V822" s="16"/>
      <c r="W822" s="16"/>
      <c r="X822" s="16"/>
      <c r="Y822" s="16"/>
      <c r="Z822" s="16"/>
      <c r="AA822" s="16"/>
      <c r="AB822" s="16"/>
      <c r="AC822" s="16"/>
      <c r="AD822" s="16"/>
    </row>
    <row r="823" ht="13.5" customHeight="1" spans="1:30" x14ac:dyDescent="0.25">
      <c r="A823" s="4"/>
      <c r="B823" s="4"/>
      <c r="C823" s="4"/>
      <c r="D823" s="4"/>
      <c r="E823" s="4"/>
      <c r="F823" s="4"/>
      <c r="G823" s="4"/>
      <c r="H823" s="4"/>
      <c r="I823" s="4"/>
      <c r="J823" s="4"/>
      <c r="K823" s="4"/>
      <c r="L823" s="4"/>
      <c r="M823" s="4"/>
      <c r="N823" s="4"/>
      <c r="O823" s="4"/>
      <c r="P823" s="4"/>
      <c r="Q823" s="4"/>
      <c r="R823" s="16"/>
      <c r="S823" s="16"/>
      <c r="T823" s="16"/>
      <c r="U823" s="16"/>
      <c r="V823" s="16"/>
      <c r="W823" s="16"/>
      <c r="X823" s="16"/>
      <c r="Y823" s="16"/>
      <c r="Z823" s="16"/>
      <c r="AA823" s="16"/>
      <c r="AB823" s="16"/>
      <c r="AC823" s="16"/>
      <c r="AD823" s="16"/>
    </row>
    <row r="824" ht="13.5" customHeight="1" spans="1:30" x14ac:dyDescent="0.25">
      <c r="A824" s="4"/>
      <c r="B824" s="4"/>
      <c r="C824" s="4"/>
      <c r="D824" s="4"/>
      <c r="E824" s="4"/>
      <c r="F824" s="4"/>
      <c r="G824" s="4"/>
      <c r="H824" s="4"/>
      <c r="I824" s="4"/>
      <c r="J824" s="4"/>
      <c r="K824" s="4"/>
      <c r="L824" s="4"/>
      <c r="M824" s="4"/>
      <c r="N824" s="4"/>
      <c r="O824" s="4"/>
      <c r="P824" s="4"/>
      <c r="Q824" s="4"/>
      <c r="R824" s="16"/>
      <c r="S824" s="16"/>
      <c r="T824" s="16"/>
      <c r="U824" s="16"/>
      <c r="V824" s="16"/>
      <c r="W824" s="16"/>
      <c r="X824" s="16"/>
      <c r="Y824" s="16"/>
      <c r="Z824" s="16"/>
      <c r="AA824" s="16"/>
      <c r="AB824" s="16"/>
      <c r="AC824" s="16"/>
      <c r="AD824" s="16"/>
    </row>
    <row r="825" ht="13.5" customHeight="1" spans="1:30" x14ac:dyDescent="0.25">
      <c r="A825" s="4"/>
      <c r="B825" s="4"/>
      <c r="C825" s="4"/>
      <c r="D825" s="4"/>
      <c r="E825" s="4"/>
      <c r="F825" s="4"/>
      <c r="G825" s="4"/>
      <c r="H825" s="4"/>
      <c r="I825" s="4"/>
      <c r="J825" s="4"/>
      <c r="K825" s="4"/>
      <c r="L825" s="4"/>
      <c r="M825" s="4"/>
      <c r="N825" s="4"/>
      <c r="O825" s="4"/>
      <c r="P825" s="4"/>
      <c r="Q825" s="4"/>
      <c r="R825" s="16"/>
      <c r="S825" s="16"/>
      <c r="T825" s="16"/>
      <c r="U825" s="16"/>
      <c r="V825" s="16"/>
      <c r="W825" s="16"/>
      <c r="X825" s="16"/>
      <c r="Y825" s="16"/>
      <c r="Z825" s="16"/>
      <c r="AA825" s="16"/>
      <c r="AB825" s="16"/>
      <c r="AC825" s="16"/>
      <c r="AD825" s="16"/>
    </row>
    <row r="826" ht="13.5" customHeight="1" spans="1:30" x14ac:dyDescent="0.25">
      <c r="A826" s="4"/>
      <c r="B826" s="4"/>
      <c r="C826" s="4"/>
      <c r="D826" s="4"/>
      <c r="E826" s="4"/>
      <c r="F826" s="4"/>
      <c r="G826" s="4"/>
      <c r="H826" s="4"/>
      <c r="I826" s="4"/>
      <c r="J826" s="4"/>
      <c r="K826" s="4"/>
      <c r="L826" s="4"/>
      <c r="M826" s="4"/>
      <c r="N826" s="4"/>
      <c r="O826" s="4"/>
      <c r="P826" s="4"/>
      <c r="Q826" s="4"/>
      <c r="R826" s="16"/>
      <c r="S826" s="16"/>
      <c r="T826" s="16"/>
      <c r="U826" s="16"/>
      <c r="V826" s="16"/>
      <c r="W826" s="16"/>
      <c r="X826" s="16"/>
      <c r="Y826" s="16"/>
      <c r="Z826" s="16"/>
      <c r="AA826" s="16"/>
      <c r="AB826" s="16"/>
      <c r="AC826" s="16"/>
      <c r="AD826" s="16"/>
    </row>
    <row r="827" ht="13.5" customHeight="1" spans="1:30" x14ac:dyDescent="0.25">
      <c r="A827" s="4"/>
      <c r="B827" s="4"/>
      <c r="C827" s="4"/>
      <c r="D827" s="4"/>
      <c r="E827" s="4"/>
      <c r="F827" s="4"/>
      <c r="G827" s="4"/>
      <c r="H827" s="4"/>
      <c r="I827" s="4"/>
      <c r="J827" s="4"/>
      <c r="K827" s="4"/>
      <c r="L827" s="4"/>
      <c r="M827" s="4"/>
      <c r="N827" s="4"/>
      <c r="O827" s="4"/>
      <c r="P827" s="4"/>
      <c r="Q827" s="4"/>
      <c r="R827" s="16"/>
      <c r="S827" s="16"/>
      <c r="T827" s="16"/>
      <c r="U827" s="16"/>
      <c r="V827" s="16"/>
      <c r="W827" s="16"/>
      <c r="X827" s="16"/>
      <c r="Y827" s="16"/>
      <c r="Z827" s="16"/>
      <c r="AA827" s="16"/>
      <c r="AB827" s="16"/>
      <c r="AC827" s="16"/>
      <c r="AD827" s="16"/>
    </row>
    <row r="828" ht="13.5" customHeight="1" spans="1:30" x14ac:dyDescent="0.25">
      <c r="A828" s="4"/>
      <c r="B828" s="4"/>
      <c r="C828" s="4"/>
      <c r="D828" s="4"/>
      <c r="E828" s="4"/>
      <c r="F828" s="4"/>
      <c r="G828" s="4"/>
      <c r="H828" s="4"/>
      <c r="I828" s="4"/>
      <c r="J828" s="4"/>
      <c r="K828" s="4"/>
      <c r="L828" s="4"/>
      <c r="M828" s="4"/>
      <c r="N828" s="4"/>
      <c r="O828" s="4"/>
      <c r="P828" s="4"/>
      <c r="Q828" s="4"/>
      <c r="R828" s="16"/>
      <c r="S828" s="16"/>
      <c r="T828" s="16"/>
      <c r="U828" s="16"/>
      <c r="V828" s="16"/>
      <c r="W828" s="16"/>
      <c r="X828" s="16"/>
      <c r="Y828" s="16"/>
      <c r="Z828" s="16"/>
      <c r="AA828" s="16"/>
      <c r="AB828" s="16"/>
      <c r="AC828" s="16"/>
      <c r="AD828" s="16"/>
    </row>
    <row r="829" ht="13.5" customHeight="1" spans="1:30" x14ac:dyDescent="0.25">
      <c r="A829" s="4"/>
      <c r="B829" s="4"/>
      <c r="C829" s="4"/>
      <c r="D829" s="4"/>
      <c r="E829" s="4"/>
      <c r="F829" s="4"/>
      <c r="G829" s="4"/>
      <c r="H829" s="4"/>
      <c r="I829" s="4"/>
      <c r="J829" s="4"/>
      <c r="K829" s="4"/>
      <c r="L829" s="4"/>
      <c r="M829" s="4"/>
      <c r="N829" s="4"/>
      <c r="O829" s="4"/>
      <c r="P829" s="4"/>
      <c r="Q829" s="4"/>
      <c r="R829" s="16"/>
      <c r="S829" s="16"/>
      <c r="T829" s="16"/>
      <c r="U829" s="16"/>
      <c r="V829" s="16"/>
      <c r="W829" s="16"/>
      <c r="X829" s="16"/>
      <c r="Y829" s="16"/>
      <c r="Z829" s="16"/>
      <c r="AA829" s="16"/>
      <c r="AB829" s="16"/>
      <c r="AC829" s="16"/>
      <c r="AD829" s="16"/>
    </row>
    <row r="830" ht="13.5" customHeight="1" spans="1:30" x14ac:dyDescent="0.25">
      <c r="A830" s="4"/>
      <c r="B830" s="4"/>
      <c r="C830" s="4"/>
      <c r="D830" s="4"/>
      <c r="E830" s="4"/>
      <c r="F830" s="4"/>
      <c r="G830" s="4"/>
      <c r="H830" s="4"/>
      <c r="I830" s="4"/>
      <c r="J830" s="4"/>
      <c r="K830" s="4"/>
      <c r="L830" s="4"/>
      <c r="M830" s="4"/>
      <c r="N830" s="4"/>
      <c r="O830" s="4"/>
      <c r="P830" s="4"/>
      <c r="Q830" s="4"/>
      <c r="R830" s="16"/>
      <c r="S830" s="16"/>
      <c r="T830" s="16"/>
      <c r="U830" s="16"/>
      <c r="V830" s="16"/>
      <c r="W830" s="16"/>
      <c r="X830" s="16"/>
      <c r="Y830" s="16"/>
      <c r="Z830" s="16"/>
      <c r="AA830" s="16"/>
      <c r="AB830" s="16"/>
      <c r="AC830" s="16"/>
      <c r="AD830" s="16"/>
    </row>
    <row r="831" ht="13.5" customHeight="1" spans="1:30" x14ac:dyDescent="0.25">
      <c r="A831" s="4"/>
      <c r="B831" s="4"/>
      <c r="C831" s="4"/>
      <c r="D831" s="4"/>
      <c r="E831" s="4"/>
      <c r="F831" s="4"/>
      <c r="G831" s="4"/>
      <c r="H831" s="4"/>
      <c r="I831" s="4"/>
      <c r="J831" s="4"/>
      <c r="K831" s="4"/>
      <c r="L831" s="4"/>
      <c r="M831" s="4"/>
      <c r="N831" s="4"/>
      <c r="O831" s="4"/>
      <c r="P831" s="4"/>
      <c r="Q831" s="4"/>
      <c r="R831" s="16"/>
      <c r="S831" s="16"/>
      <c r="T831" s="16"/>
      <c r="U831" s="16"/>
      <c r="V831" s="16"/>
      <c r="W831" s="16"/>
      <c r="X831" s="16"/>
      <c r="Y831" s="16"/>
      <c r="Z831" s="16"/>
      <c r="AA831" s="16"/>
      <c r="AB831" s="16"/>
      <c r="AC831" s="16"/>
      <c r="AD831" s="16"/>
    </row>
    <row r="832" ht="13.5" customHeight="1" spans="1:30" x14ac:dyDescent="0.25">
      <c r="A832" s="4"/>
      <c r="B832" s="4"/>
      <c r="C832" s="4"/>
      <c r="D832" s="4"/>
      <c r="E832" s="4"/>
      <c r="F832" s="4"/>
      <c r="G832" s="4"/>
      <c r="H832" s="4"/>
      <c r="I832" s="4"/>
      <c r="J832" s="4"/>
      <c r="K832" s="4"/>
      <c r="L832" s="4"/>
      <c r="M832" s="4"/>
      <c r="N832" s="4"/>
      <c r="O832" s="4"/>
      <c r="P832" s="4"/>
      <c r="Q832" s="4"/>
      <c r="R832" s="16"/>
      <c r="S832" s="16"/>
      <c r="T832" s="16"/>
      <c r="U832" s="16"/>
      <c r="V832" s="16"/>
      <c r="W832" s="16"/>
      <c r="X832" s="16"/>
      <c r="Y832" s="16"/>
      <c r="Z832" s="16"/>
      <c r="AA832" s="16"/>
      <c r="AB832" s="16"/>
      <c r="AC832" s="16"/>
      <c r="AD832" s="16"/>
    </row>
    <row r="833" ht="13.5" customHeight="1" spans="1:30" x14ac:dyDescent="0.25">
      <c r="A833" s="4"/>
      <c r="B833" s="4"/>
      <c r="C833" s="4"/>
      <c r="D833" s="4"/>
      <c r="E833" s="4"/>
      <c r="F833" s="4"/>
      <c r="G833" s="4"/>
      <c r="H833" s="4"/>
      <c r="I833" s="4"/>
      <c r="J833" s="4"/>
      <c r="K833" s="4"/>
      <c r="L833" s="4"/>
      <c r="M833" s="4"/>
      <c r="N833" s="4"/>
      <c r="O833" s="4"/>
      <c r="P833" s="4"/>
      <c r="Q833" s="4"/>
      <c r="R833" s="16"/>
      <c r="S833" s="16"/>
      <c r="T833" s="16"/>
      <c r="U833" s="16"/>
      <c r="V833" s="16"/>
      <c r="W833" s="16"/>
      <c r="X833" s="16"/>
      <c r="Y833" s="16"/>
      <c r="Z833" s="16"/>
      <c r="AA833" s="16"/>
      <c r="AB833" s="16"/>
      <c r="AC833" s="16"/>
      <c r="AD833" s="16"/>
    </row>
    <row r="834" ht="13.5" customHeight="1" spans="1:30" x14ac:dyDescent="0.25">
      <c r="A834" s="4"/>
      <c r="B834" s="4"/>
      <c r="C834" s="4"/>
      <c r="D834" s="4"/>
      <c r="E834" s="4"/>
      <c r="F834" s="4"/>
      <c r="G834" s="4"/>
      <c r="H834" s="4"/>
      <c r="I834" s="4"/>
      <c r="J834" s="4"/>
      <c r="K834" s="4"/>
      <c r="L834" s="4"/>
      <c r="M834" s="4"/>
      <c r="N834" s="4"/>
      <c r="O834" s="4"/>
      <c r="P834" s="4"/>
      <c r="Q834" s="4"/>
      <c r="R834" s="16"/>
      <c r="S834" s="16"/>
      <c r="T834" s="16"/>
      <c r="U834" s="16"/>
      <c r="V834" s="16"/>
      <c r="W834" s="16"/>
      <c r="X834" s="16"/>
      <c r="Y834" s="16"/>
      <c r="Z834" s="16"/>
      <c r="AA834" s="16"/>
      <c r="AB834" s="16"/>
      <c r="AC834" s="16"/>
      <c r="AD834" s="16"/>
    </row>
    <row r="835" ht="13.5" customHeight="1" spans="1:30" x14ac:dyDescent="0.25">
      <c r="A835" s="4"/>
      <c r="B835" s="4"/>
      <c r="C835" s="4"/>
      <c r="D835" s="4"/>
      <c r="E835" s="4"/>
      <c r="F835" s="4"/>
      <c r="G835" s="4"/>
      <c r="H835" s="4"/>
      <c r="I835" s="4"/>
      <c r="J835" s="4"/>
      <c r="K835" s="4"/>
      <c r="L835" s="4"/>
      <c r="M835" s="4"/>
      <c r="N835" s="4"/>
      <c r="O835" s="4"/>
      <c r="P835" s="4"/>
      <c r="Q835" s="4"/>
      <c r="R835" s="16"/>
      <c r="S835" s="16"/>
      <c r="T835" s="16"/>
      <c r="U835" s="16"/>
      <c r="V835" s="16"/>
      <c r="W835" s="16"/>
      <c r="X835" s="16"/>
      <c r="Y835" s="16"/>
      <c r="Z835" s="16"/>
      <c r="AA835" s="16"/>
      <c r="AB835" s="16"/>
      <c r="AC835" s="16"/>
      <c r="AD835" s="16"/>
    </row>
    <row r="836" ht="13.5" customHeight="1" spans="1:30" x14ac:dyDescent="0.25">
      <c r="A836" s="4"/>
      <c r="B836" s="4"/>
      <c r="C836" s="4"/>
      <c r="D836" s="4"/>
      <c r="E836" s="4"/>
      <c r="F836" s="4"/>
      <c r="G836" s="4"/>
      <c r="H836" s="4"/>
      <c r="I836" s="4"/>
      <c r="J836" s="4"/>
      <c r="K836" s="4"/>
      <c r="L836" s="4"/>
      <c r="M836" s="4"/>
      <c r="N836" s="4"/>
      <c r="O836" s="4"/>
      <c r="P836" s="4"/>
      <c r="Q836" s="4"/>
      <c r="R836" s="16"/>
      <c r="S836" s="16"/>
      <c r="T836" s="16"/>
      <c r="U836" s="16"/>
      <c r="V836" s="16"/>
      <c r="W836" s="16"/>
      <c r="X836" s="16"/>
      <c r="Y836" s="16"/>
      <c r="Z836" s="16"/>
      <c r="AA836" s="16"/>
      <c r="AB836" s="16"/>
      <c r="AC836" s="16"/>
      <c r="AD836" s="16"/>
    </row>
    <row r="837" ht="13.5" customHeight="1" spans="1:30" x14ac:dyDescent="0.25">
      <c r="A837" s="4"/>
      <c r="B837" s="4"/>
      <c r="C837" s="4"/>
      <c r="D837" s="4"/>
      <c r="E837" s="4"/>
      <c r="F837" s="4"/>
      <c r="G837" s="4"/>
      <c r="H837" s="4"/>
      <c r="I837" s="4"/>
      <c r="J837" s="4"/>
      <c r="K837" s="4"/>
      <c r="L837" s="4"/>
      <c r="M837" s="4"/>
      <c r="N837" s="4"/>
      <c r="O837" s="4"/>
      <c r="P837" s="4"/>
      <c r="Q837" s="4"/>
      <c r="R837" s="16"/>
      <c r="S837" s="16"/>
      <c r="T837" s="16"/>
      <c r="U837" s="16"/>
      <c r="V837" s="16"/>
      <c r="W837" s="16"/>
      <c r="X837" s="16"/>
      <c r="Y837" s="16"/>
      <c r="Z837" s="16"/>
      <c r="AA837" s="16"/>
      <c r="AB837" s="16"/>
      <c r="AC837" s="16"/>
      <c r="AD837" s="16"/>
    </row>
    <row r="838" ht="13.5" customHeight="1" spans="1:30" x14ac:dyDescent="0.25">
      <c r="A838" s="4"/>
      <c r="B838" s="4"/>
      <c r="C838" s="4"/>
      <c r="D838" s="4"/>
      <c r="E838" s="4"/>
      <c r="F838" s="4"/>
      <c r="G838" s="4"/>
      <c r="H838" s="4"/>
      <c r="I838" s="4"/>
      <c r="J838" s="4"/>
      <c r="K838" s="4"/>
      <c r="L838" s="4"/>
      <c r="M838" s="4"/>
      <c r="N838" s="4"/>
      <c r="O838" s="4"/>
      <c r="P838" s="4"/>
      <c r="Q838" s="4"/>
      <c r="R838" s="16"/>
      <c r="S838" s="16"/>
      <c r="T838" s="16"/>
      <c r="U838" s="16"/>
      <c r="V838" s="16"/>
      <c r="W838" s="16"/>
      <c r="X838" s="16"/>
      <c r="Y838" s="16"/>
      <c r="Z838" s="16"/>
      <c r="AA838" s="16"/>
      <c r="AB838" s="16"/>
      <c r="AC838" s="16"/>
      <c r="AD838" s="16"/>
    </row>
    <row r="839" ht="13.5" customHeight="1" spans="1:30" x14ac:dyDescent="0.25">
      <c r="A839" s="4"/>
      <c r="B839" s="4"/>
      <c r="C839" s="4"/>
      <c r="D839" s="4"/>
      <c r="E839" s="4"/>
      <c r="F839" s="4"/>
      <c r="G839" s="4"/>
      <c r="H839" s="4"/>
      <c r="I839" s="4"/>
      <c r="J839" s="4"/>
      <c r="K839" s="4"/>
      <c r="L839" s="4"/>
      <c r="M839" s="4"/>
      <c r="N839" s="4"/>
      <c r="O839" s="4"/>
      <c r="P839" s="4"/>
      <c r="Q839" s="4"/>
      <c r="R839" s="16"/>
      <c r="S839" s="16"/>
      <c r="T839" s="16"/>
      <c r="U839" s="16"/>
      <c r="V839" s="16"/>
      <c r="W839" s="16"/>
      <c r="X839" s="16"/>
      <c r="Y839" s="16"/>
      <c r="Z839" s="16"/>
      <c r="AA839" s="16"/>
      <c r="AB839" s="16"/>
      <c r="AC839" s="16"/>
      <c r="AD839" s="16"/>
    </row>
    <row r="840" ht="13.5" customHeight="1" spans="1:30" x14ac:dyDescent="0.25">
      <c r="A840" s="4"/>
      <c r="B840" s="4"/>
      <c r="C840" s="4"/>
      <c r="D840" s="4"/>
      <c r="E840" s="4"/>
      <c r="F840" s="4"/>
      <c r="G840" s="4"/>
      <c r="H840" s="4"/>
      <c r="I840" s="4"/>
      <c r="J840" s="4"/>
      <c r="K840" s="4"/>
      <c r="L840" s="4"/>
      <c r="M840" s="4"/>
      <c r="N840" s="4"/>
      <c r="O840" s="4"/>
      <c r="P840" s="4"/>
      <c r="Q840" s="4"/>
      <c r="R840" s="16"/>
      <c r="S840" s="16"/>
      <c r="T840" s="16"/>
      <c r="U840" s="16"/>
      <c r="V840" s="16"/>
      <c r="W840" s="16"/>
      <c r="X840" s="16"/>
      <c r="Y840" s="16"/>
      <c r="Z840" s="16"/>
      <c r="AA840" s="16"/>
      <c r="AB840" s="16"/>
      <c r="AC840" s="16"/>
      <c r="AD840" s="16"/>
    </row>
    <row r="841" ht="13.5" customHeight="1" spans="1:30" x14ac:dyDescent="0.25">
      <c r="A841" s="4"/>
      <c r="B841" s="4"/>
      <c r="C841" s="4"/>
      <c r="D841" s="4"/>
      <c r="E841" s="4"/>
      <c r="F841" s="4"/>
      <c r="G841" s="4"/>
      <c r="H841" s="4"/>
      <c r="I841" s="4"/>
      <c r="J841" s="4"/>
      <c r="K841" s="4"/>
      <c r="L841" s="4"/>
      <c r="M841" s="4"/>
      <c r="N841" s="4"/>
      <c r="O841" s="4"/>
      <c r="P841" s="4"/>
      <c r="Q841" s="4"/>
      <c r="R841" s="16"/>
      <c r="S841" s="16"/>
      <c r="T841" s="16"/>
      <c r="U841" s="16"/>
      <c r="V841" s="16"/>
      <c r="W841" s="16"/>
      <c r="X841" s="16"/>
      <c r="Y841" s="16"/>
      <c r="Z841" s="16"/>
      <c r="AA841" s="16"/>
      <c r="AB841" s="16"/>
      <c r="AC841" s="16"/>
      <c r="AD841" s="16"/>
    </row>
    <row r="842" ht="13.5" customHeight="1" spans="1:30" x14ac:dyDescent="0.25">
      <c r="A842" s="4"/>
      <c r="B842" s="4"/>
      <c r="C842" s="4"/>
      <c r="D842" s="4"/>
      <c r="E842" s="4"/>
      <c r="F842" s="4"/>
      <c r="G842" s="4"/>
      <c r="H842" s="4"/>
      <c r="I842" s="4"/>
      <c r="J842" s="4"/>
      <c r="K842" s="4"/>
      <c r="L842" s="4"/>
      <c r="M842" s="4"/>
      <c r="N842" s="4"/>
      <c r="O842" s="4"/>
      <c r="P842" s="4"/>
      <c r="Q842" s="4"/>
      <c r="R842" s="16"/>
      <c r="S842" s="16"/>
      <c r="T842" s="16"/>
      <c r="U842" s="16"/>
      <c r="V842" s="16"/>
      <c r="W842" s="16"/>
      <c r="X842" s="16"/>
      <c r="Y842" s="16"/>
      <c r="Z842" s="16"/>
      <c r="AA842" s="16"/>
      <c r="AB842" s="16"/>
      <c r="AC842" s="16"/>
      <c r="AD842" s="16"/>
    </row>
    <row r="843" ht="13.5" customHeight="1" spans="1:30" x14ac:dyDescent="0.25">
      <c r="A843" s="4"/>
      <c r="B843" s="4"/>
      <c r="C843" s="4"/>
      <c r="D843" s="4"/>
      <c r="E843" s="4"/>
      <c r="F843" s="4"/>
      <c r="G843" s="4"/>
      <c r="H843" s="4"/>
      <c r="I843" s="4"/>
      <c r="J843" s="4"/>
      <c r="K843" s="4"/>
      <c r="L843" s="4"/>
      <c r="M843" s="4"/>
      <c r="N843" s="4"/>
      <c r="O843" s="4"/>
      <c r="P843" s="4"/>
      <c r="Q843" s="4"/>
      <c r="R843" s="16"/>
      <c r="S843" s="16"/>
      <c r="T843" s="16"/>
      <c r="U843" s="16"/>
      <c r="V843" s="16"/>
      <c r="W843" s="16"/>
      <c r="X843" s="16"/>
      <c r="Y843" s="16"/>
      <c r="Z843" s="16"/>
      <c r="AA843" s="16"/>
      <c r="AB843" s="16"/>
      <c r="AC843" s="16"/>
      <c r="AD843" s="16"/>
    </row>
    <row r="844" ht="13.5" customHeight="1" spans="1:30" x14ac:dyDescent="0.25">
      <c r="A844" s="4"/>
      <c r="B844" s="4"/>
      <c r="C844" s="4"/>
      <c r="D844" s="4"/>
      <c r="E844" s="4"/>
      <c r="F844" s="4"/>
      <c r="G844" s="4"/>
      <c r="H844" s="4"/>
      <c r="I844" s="4"/>
      <c r="J844" s="4"/>
      <c r="K844" s="4"/>
      <c r="L844" s="4"/>
      <c r="M844" s="4"/>
      <c r="N844" s="4"/>
      <c r="O844" s="4"/>
      <c r="P844" s="4"/>
      <c r="Q844" s="4"/>
      <c r="R844" s="16"/>
      <c r="S844" s="16"/>
      <c r="T844" s="16"/>
      <c r="U844" s="16"/>
      <c r="V844" s="16"/>
      <c r="W844" s="16"/>
      <c r="X844" s="16"/>
      <c r="Y844" s="16"/>
      <c r="Z844" s="16"/>
      <c r="AA844" s="16"/>
      <c r="AB844" s="16"/>
      <c r="AC844" s="16"/>
      <c r="AD844" s="16"/>
    </row>
    <row r="845" ht="13.5" customHeight="1" spans="1:30" x14ac:dyDescent="0.25">
      <c r="A845" s="4"/>
      <c r="B845" s="4"/>
      <c r="C845" s="4"/>
      <c r="D845" s="4"/>
      <c r="E845" s="4"/>
      <c r="F845" s="4"/>
      <c r="G845" s="4"/>
      <c r="H845" s="4"/>
      <c r="I845" s="4"/>
      <c r="J845" s="4"/>
      <c r="K845" s="4"/>
      <c r="L845" s="4"/>
      <c r="M845" s="4"/>
      <c r="N845" s="4"/>
      <c r="O845" s="4"/>
      <c r="P845" s="4"/>
      <c r="Q845" s="4"/>
      <c r="R845" s="16"/>
      <c r="S845" s="16"/>
      <c r="T845" s="16"/>
      <c r="U845" s="16"/>
      <c r="V845" s="16"/>
      <c r="W845" s="16"/>
      <c r="X845" s="16"/>
      <c r="Y845" s="16"/>
      <c r="Z845" s="16"/>
      <c r="AA845" s="16"/>
      <c r="AB845" s="16"/>
      <c r="AC845" s="16"/>
      <c r="AD845" s="16"/>
    </row>
    <row r="846" ht="13.5" customHeight="1" spans="1:30" x14ac:dyDescent="0.25">
      <c r="A846" s="4"/>
      <c r="B846" s="4"/>
      <c r="C846" s="4"/>
      <c r="D846" s="4"/>
      <c r="E846" s="4"/>
      <c r="F846" s="4"/>
      <c r="G846" s="4"/>
      <c r="H846" s="4"/>
      <c r="I846" s="4"/>
      <c r="J846" s="4"/>
      <c r="K846" s="4"/>
      <c r="L846" s="4"/>
      <c r="M846" s="4"/>
      <c r="N846" s="4"/>
      <c r="O846" s="4"/>
      <c r="P846" s="4"/>
      <c r="Q846" s="4"/>
      <c r="R846" s="16"/>
      <c r="S846" s="16"/>
      <c r="T846" s="16"/>
      <c r="U846" s="16"/>
      <c r="V846" s="16"/>
      <c r="W846" s="16"/>
      <c r="X846" s="16"/>
      <c r="Y846" s="16"/>
      <c r="Z846" s="16"/>
      <c r="AA846" s="16"/>
      <c r="AB846" s="16"/>
      <c r="AC846" s="16"/>
      <c r="AD846" s="16"/>
    </row>
    <row r="847" ht="13.5" customHeight="1" spans="1:30" x14ac:dyDescent="0.25">
      <c r="A847" s="4"/>
      <c r="B847" s="4"/>
      <c r="C847" s="4"/>
      <c r="D847" s="4"/>
      <c r="E847" s="4"/>
      <c r="F847" s="4"/>
      <c r="G847" s="4"/>
      <c r="H847" s="4"/>
      <c r="I847" s="4"/>
      <c r="J847" s="4"/>
      <c r="K847" s="4"/>
      <c r="L847" s="4"/>
      <c r="M847" s="4"/>
      <c r="N847" s="4"/>
      <c r="O847" s="4"/>
      <c r="P847" s="4"/>
      <c r="Q847" s="4"/>
      <c r="R847" s="16"/>
      <c r="S847" s="16"/>
      <c r="T847" s="16"/>
      <c r="U847" s="16"/>
      <c r="V847" s="16"/>
      <c r="W847" s="16"/>
      <c r="X847" s="16"/>
      <c r="Y847" s="16"/>
      <c r="Z847" s="16"/>
      <c r="AA847" s="16"/>
      <c r="AB847" s="16"/>
      <c r="AC847" s="16"/>
      <c r="AD847" s="16"/>
    </row>
    <row r="848" ht="13.5" customHeight="1" spans="1:30" x14ac:dyDescent="0.25">
      <c r="A848" s="4"/>
      <c r="B848" s="4"/>
      <c r="C848" s="4"/>
      <c r="D848" s="4"/>
      <c r="E848" s="4"/>
      <c r="F848" s="4"/>
      <c r="G848" s="4"/>
      <c r="H848" s="4"/>
      <c r="I848" s="4"/>
      <c r="J848" s="4"/>
      <c r="K848" s="4"/>
      <c r="L848" s="4"/>
      <c r="M848" s="4"/>
      <c r="N848" s="4"/>
      <c r="O848" s="4"/>
      <c r="P848" s="4"/>
      <c r="Q848" s="4"/>
      <c r="R848" s="16"/>
      <c r="S848" s="16"/>
      <c r="T848" s="16"/>
      <c r="U848" s="16"/>
      <c r="V848" s="16"/>
      <c r="W848" s="16"/>
      <c r="X848" s="16"/>
      <c r="Y848" s="16"/>
      <c r="Z848" s="16"/>
      <c r="AA848" s="16"/>
      <c r="AB848" s="16"/>
      <c r="AC848" s="16"/>
      <c r="AD848" s="16"/>
    </row>
    <row r="849" ht="13.5" customHeight="1" spans="1:30" x14ac:dyDescent="0.25">
      <c r="A849" s="4"/>
      <c r="B849" s="4"/>
      <c r="C849" s="4"/>
      <c r="D849" s="4"/>
      <c r="E849" s="4"/>
      <c r="F849" s="4"/>
      <c r="G849" s="4"/>
      <c r="H849" s="4"/>
      <c r="I849" s="4"/>
      <c r="J849" s="4"/>
      <c r="K849" s="4"/>
      <c r="L849" s="4"/>
      <c r="M849" s="4"/>
      <c r="N849" s="4"/>
      <c r="O849" s="4"/>
      <c r="P849" s="4"/>
      <c r="Q849" s="4"/>
      <c r="R849" s="16"/>
      <c r="S849" s="16"/>
      <c r="T849" s="16"/>
      <c r="U849" s="16"/>
      <c r="V849" s="16"/>
      <c r="W849" s="16"/>
      <c r="X849" s="16"/>
      <c r="Y849" s="16"/>
      <c r="Z849" s="16"/>
      <c r="AA849" s="16"/>
      <c r="AB849" s="16"/>
      <c r="AC849" s="16"/>
      <c r="AD849" s="16"/>
    </row>
    <row r="850" ht="13.5" customHeight="1" spans="1:30" x14ac:dyDescent="0.25">
      <c r="A850" s="4"/>
      <c r="B850" s="4"/>
      <c r="C850" s="4"/>
      <c r="D850" s="4"/>
      <c r="E850" s="4"/>
      <c r="F850" s="4"/>
      <c r="G850" s="4"/>
      <c r="H850" s="4"/>
      <c r="I850" s="4"/>
      <c r="J850" s="4"/>
      <c r="K850" s="4"/>
      <c r="L850" s="4"/>
      <c r="M850" s="4"/>
      <c r="N850" s="4"/>
      <c r="O850" s="4"/>
      <c r="P850" s="4"/>
      <c r="Q850" s="4"/>
      <c r="R850" s="16"/>
      <c r="S850" s="16"/>
      <c r="T850" s="16"/>
      <c r="U850" s="16"/>
      <c r="V850" s="16"/>
      <c r="W850" s="16"/>
      <c r="X850" s="16"/>
      <c r="Y850" s="16"/>
      <c r="Z850" s="16"/>
      <c r="AA850" s="16"/>
      <c r="AB850" s="16"/>
      <c r="AC850" s="16"/>
      <c r="AD850" s="16"/>
    </row>
    <row r="851" ht="13.5" customHeight="1" spans="1:30" x14ac:dyDescent="0.25">
      <c r="A851" s="4"/>
      <c r="B851" s="4"/>
      <c r="C851" s="4"/>
      <c r="D851" s="4"/>
      <c r="E851" s="4"/>
      <c r="F851" s="4"/>
      <c r="G851" s="4"/>
      <c r="H851" s="4"/>
      <c r="I851" s="4"/>
      <c r="J851" s="4"/>
      <c r="K851" s="4"/>
      <c r="L851" s="4"/>
      <c r="M851" s="4"/>
      <c r="N851" s="4"/>
      <c r="O851" s="4"/>
      <c r="P851" s="4"/>
      <c r="Q851" s="4"/>
      <c r="R851" s="16"/>
      <c r="S851" s="16"/>
      <c r="T851" s="16"/>
      <c r="U851" s="16"/>
      <c r="V851" s="16"/>
      <c r="W851" s="16"/>
      <c r="X851" s="16"/>
      <c r="Y851" s="16"/>
      <c r="Z851" s="16"/>
      <c r="AA851" s="16"/>
      <c r="AB851" s="16"/>
      <c r="AC851" s="16"/>
      <c r="AD851" s="16"/>
    </row>
    <row r="852" ht="13.5" customHeight="1" spans="1:30" x14ac:dyDescent="0.25">
      <c r="A852" s="4"/>
      <c r="B852" s="4"/>
      <c r="C852" s="4"/>
      <c r="D852" s="4"/>
      <c r="E852" s="4"/>
      <c r="F852" s="4"/>
      <c r="G852" s="4"/>
      <c r="H852" s="4"/>
      <c r="I852" s="4"/>
      <c r="J852" s="4"/>
      <c r="K852" s="4"/>
      <c r="L852" s="4"/>
      <c r="M852" s="4"/>
      <c r="N852" s="4"/>
      <c r="O852" s="4"/>
      <c r="P852" s="4"/>
      <c r="Q852" s="4"/>
      <c r="R852" s="16"/>
      <c r="S852" s="16"/>
      <c r="T852" s="16"/>
      <c r="U852" s="16"/>
      <c r="V852" s="16"/>
      <c r="W852" s="16"/>
      <c r="X852" s="16"/>
      <c r="Y852" s="16"/>
      <c r="Z852" s="16"/>
      <c r="AA852" s="16"/>
      <c r="AB852" s="16"/>
      <c r="AC852" s="16"/>
      <c r="AD852" s="16"/>
    </row>
    <row r="853" ht="13.5" customHeight="1" spans="1:30" x14ac:dyDescent="0.25">
      <c r="A853" s="4"/>
      <c r="B853" s="4"/>
      <c r="C853" s="4"/>
      <c r="D853" s="4"/>
      <c r="E853" s="4"/>
      <c r="F853" s="4"/>
      <c r="G853" s="4"/>
      <c r="H853" s="4"/>
      <c r="I853" s="4"/>
      <c r="J853" s="4"/>
      <c r="K853" s="4"/>
      <c r="L853" s="4"/>
      <c r="M853" s="4"/>
      <c r="N853" s="4"/>
      <c r="O853" s="4"/>
      <c r="P853" s="4"/>
      <c r="Q853" s="4"/>
      <c r="R853" s="16"/>
      <c r="S853" s="16"/>
      <c r="T853" s="16"/>
      <c r="U853" s="16"/>
      <c r="V853" s="16"/>
      <c r="W853" s="16"/>
      <c r="X853" s="16"/>
      <c r="Y853" s="16"/>
      <c r="Z853" s="16"/>
      <c r="AA853" s="16"/>
      <c r="AB853" s="16"/>
      <c r="AC853" s="16"/>
      <c r="AD853" s="16"/>
    </row>
    <row r="854" ht="13.5" customHeight="1" spans="1:30" x14ac:dyDescent="0.25">
      <c r="A854" s="4"/>
      <c r="B854" s="4"/>
      <c r="C854" s="4"/>
      <c r="D854" s="4"/>
      <c r="E854" s="4"/>
      <c r="F854" s="4"/>
      <c r="G854" s="4"/>
      <c r="H854" s="4"/>
      <c r="I854" s="4"/>
      <c r="J854" s="4"/>
      <c r="K854" s="4"/>
      <c r="L854" s="4"/>
      <c r="M854" s="4"/>
      <c r="N854" s="4"/>
      <c r="O854" s="4"/>
      <c r="P854" s="4"/>
      <c r="Q854" s="4"/>
      <c r="R854" s="16"/>
      <c r="S854" s="16"/>
      <c r="T854" s="16"/>
      <c r="U854" s="16"/>
      <c r="V854" s="16"/>
      <c r="W854" s="16"/>
      <c r="X854" s="16"/>
      <c r="Y854" s="16"/>
      <c r="Z854" s="16"/>
      <c r="AA854" s="16"/>
      <c r="AB854" s="16"/>
      <c r="AC854" s="16"/>
      <c r="AD854" s="16"/>
    </row>
    <row r="855" ht="13.5" customHeight="1" spans="1:30" x14ac:dyDescent="0.25">
      <c r="A855" s="4"/>
      <c r="B855" s="4"/>
      <c r="C855" s="4"/>
      <c r="D855" s="4"/>
      <c r="E855" s="4"/>
      <c r="F855" s="4"/>
      <c r="G855" s="4"/>
      <c r="H855" s="4"/>
      <c r="I855" s="4"/>
      <c r="J855" s="4"/>
      <c r="K855" s="4"/>
      <c r="L855" s="4"/>
      <c r="M855" s="4"/>
      <c r="N855" s="4"/>
      <c r="O855" s="4"/>
      <c r="P855" s="4"/>
      <c r="Q855" s="4"/>
      <c r="R855" s="16"/>
      <c r="S855" s="16"/>
      <c r="T855" s="16"/>
      <c r="U855" s="16"/>
      <c r="V855" s="16"/>
      <c r="W855" s="16"/>
      <c r="X855" s="16"/>
      <c r="Y855" s="16"/>
      <c r="Z855" s="16"/>
      <c r="AA855" s="16"/>
      <c r="AB855" s="16"/>
      <c r="AC855" s="16"/>
      <c r="AD855" s="16"/>
    </row>
    <row r="856" ht="13.5" customHeight="1" spans="1:30" x14ac:dyDescent="0.25">
      <c r="A856" s="4"/>
      <c r="B856" s="4"/>
      <c r="C856" s="4"/>
      <c r="D856" s="4"/>
      <c r="E856" s="4"/>
      <c r="F856" s="4"/>
      <c r="G856" s="4"/>
      <c r="H856" s="4"/>
      <c r="I856" s="4"/>
      <c r="J856" s="4"/>
      <c r="K856" s="4"/>
      <c r="L856" s="4"/>
      <c r="M856" s="4"/>
      <c r="N856" s="4"/>
      <c r="O856" s="4"/>
      <c r="P856" s="4"/>
      <c r="Q856" s="4"/>
      <c r="R856" s="16"/>
      <c r="S856" s="16"/>
      <c r="T856" s="16"/>
      <c r="U856" s="16"/>
      <c r="V856" s="16"/>
      <c r="W856" s="16"/>
      <c r="X856" s="16"/>
      <c r="Y856" s="16"/>
      <c r="Z856" s="16"/>
      <c r="AA856" s="16"/>
      <c r="AB856" s="16"/>
      <c r="AC856" s="16"/>
      <c r="AD856" s="16"/>
    </row>
    <row r="857" ht="13.5" customHeight="1" spans="1:30" x14ac:dyDescent="0.25">
      <c r="A857" s="4"/>
      <c r="B857" s="4"/>
      <c r="C857" s="4"/>
      <c r="D857" s="4"/>
      <c r="E857" s="4"/>
      <c r="F857" s="4"/>
      <c r="G857" s="4"/>
      <c r="H857" s="4"/>
      <c r="I857" s="4"/>
      <c r="J857" s="4"/>
      <c r="K857" s="4"/>
      <c r="L857" s="4"/>
      <c r="M857" s="4"/>
      <c r="N857" s="4"/>
      <c r="O857" s="4"/>
      <c r="P857" s="4"/>
      <c r="Q857" s="4"/>
      <c r="R857" s="16"/>
      <c r="S857" s="16"/>
      <c r="T857" s="16"/>
      <c r="U857" s="16"/>
      <c r="V857" s="16"/>
      <c r="W857" s="16"/>
      <c r="X857" s="16"/>
      <c r="Y857" s="16"/>
      <c r="Z857" s="16"/>
      <c r="AA857" s="16"/>
      <c r="AB857" s="16"/>
      <c r="AC857" s="16"/>
      <c r="AD857" s="16"/>
    </row>
    <row r="858" ht="13.5" customHeight="1" spans="1:30" x14ac:dyDescent="0.25">
      <c r="A858" s="4"/>
      <c r="B858" s="4"/>
      <c r="C858" s="4"/>
      <c r="D858" s="4"/>
      <c r="E858" s="4"/>
      <c r="F858" s="4"/>
      <c r="G858" s="4"/>
      <c r="H858" s="4"/>
      <c r="I858" s="4"/>
      <c r="J858" s="4"/>
      <c r="K858" s="4"/>
      <c r="L858" s="4"/>
      <c r="M858" s="4"/>
      <c r="N858" s="4"/>
      <c r="O858" s="4"/>
      <c r="P858" s="4"/>
      <c r="Q858" s="4"/>
      <c r="R858" s="16"/>
      <c r="S858" s="16"/>
      <c r="T858" s="16"/>
      <c r="U858" s="16"/>
      <c r="V858" s="16"/>
      <c r="W858" s="16"/>
      <c r="X858" s="16"/>
      <c r="Y858" s="16"/>
      <c r="Z858" s="16"/>
      <c r="AA858" s="16"/>
      <c r="AB858" s="16"/>
      <c r="AC858" s="16"/>
      <c r="AD858" s="16"/>
    </row>
    <row r="859" ht="13.5" customHeight="1" spans="1:30" x14ac:dyDescent="0.25">
      <c r="A859" s="4"/>
      <c r="B859" s="4"/>
      <c r="C859" s="4"/>
      <c r="D859" s="4"/>
      <c r="E859" s="4"/>
      <c r="F859" s="4"/>
      <c r="G859" s="4"/>
      <c r="H859" s="4"/>
      <c r="I859" s="4"/>
      <c r="J859" s="4"/>
      <c r="K859" s="4"/>
      <c r="L859" s="4"/>
      <c r="M859" s="4"/>
      <c r="N859" s="4"/>
      <c r="O859" s="4"/>
      <c r="P859" s="4"/>
      <c r="Q859" s="4"/>
      <c r="R859" s="16"/>
      <c r="S859" s="16"/>
      <c r="T859" s="16"/>
      <c r="U859" s="16"/>
      <c r="V859" s="16"/>
      <c r="W859" s="16"/>
      <c r="X859" s="16"/>
      <c r="Y859" s="16"/>
      <c r="Z859" s="16"/>
      <c r="AA859" s="16"/>
      <c r="AB859" s="16"/>
      <c r="AC859" s="16"/>
      <c r="AD859" s="16"/>
    </row>
    <row r="860" ht="13.5" customHeight="1" spans="1:30" x14ac:dyDescent="0.25">
      <c r="A860" s="4"/>
      <c r="B860" s="4"/>
      <c r="C860" s="4"/>
      <c r="D860" s="4"/>
      <c r="E860" s="4"/>
      <c r="F860" s="4"/>
      <c r="G860" s="4"/>
      <c r="H860" s="4"/>
      <c r="I860" s="4"/>
      <c r="J860" s="4"/>
      <c r="K860" s="4"/>
      <c r="L860" s="4"/>
      <c r="M860" s="4"/>
      <c r="N860" s="4"/>
      <c r="O860" s="4"/>
      <c r="P860" s="4"/>
      <c r="Q860" s="4"/>
      <c r="R860" s="16"/>
      <c r="S860" s="16"/>
      <c r="T860" s="16"/>
      <c r="U860" s="16"/>
      <c r="V860" s="16"/>
      <c r="W860" s="16"/>
      <c r="X860" s="16"/>
      <c r="Y860" s="16"/>
      <c r="Z860" s="16"/>
      <c r="AA860" s="16"/>
      <c r="AB860" s="16"/>
      <c r="AC860" s="16"/>
      <c r="AD860" s="16"/>
    </row>
    <row r="861" ht="13.5" customHeight="1" spans="1:30" x14ac:dyDescent="0.25">
      <c r="A861" s="4"/>
      <c r="B861" s="4"/>
      <c r="C861" s="4"/>
      <c r="D861" s="4"/>
      <c r="E861" s="4"/>
      <c r="F861" s="4"/>
      <c r="G861" s="4"/>
      <c r="H861" s="4"/>
      <c r="I861" s="4"/>
      <c r="J861" s="4"/>
      <c r="K861" s="4"/>
      <c r="L861" s="4"/>
      <c r="M861" s="4"/>
      <c r="N861" s="4"/>
      <c r="O861" s="4"/>
      <c r="P861" s="4"/>
      <c r="Q861" s="4"/>
      <c r="R861" s="16"/>
      <c r="S861" s="16"/>
      <c r="T861" s="16"/>
      <c r="U861" s="16"/>
      <c r="V861" s="16"/>
      <c r="W861" s="16"/>
      <c r="X861" s="16"/>
      <c r="Y861" s="16"/>
      <c r="Z861" s="16"/>
      <c r="AA861" s="16"/>
      <c r="AB861" s="16"/>
      <c r="AC861" s="16"/>
      <c r="AD861" s="16"/>
    </row>
    <row r="862" ht="13.5" customHeight="1" spans="1:30" x14ac:dyDescent="0.25">
      <c r="A862" s="4"/>
      <c r="B862" s="4"/>
      <c r="C862" s="4"/>
      <c r="D862" s="4"/>
      <c r="E862" s="4"/>
      <c r="F862" s="4"/>
      <c r="G862" s="4"/>
      <c r="H862" s="4"/>
      <c r="I862" s="4"/>
      <c r="J862" s="4"/>
      <c r="K862" s="4"/>
      <c r="L862" s="4"/>
      <c r="M862" s="4"/>
      <c r="N862" s="4"/>
      <c r="O862" s="4"/>
      <c r="P862" s="4"/>
      <c r="Q862" s="4"/>
      <c r="R862" s="16"/>
      <c r="S862" s="16"/>
      <c r="T862" s="16"/>
      <c r="U862" s="16"/>
      <c r="V862" s="16"/>
      <c r="W862" s="16"/>
      <c r="X862" s="16"/>
      <c r="Y862" s="16"/>
      <c r="Z862" s="16"/>
      <c r="AA862" s="16"/>
      <c r="AB862" s="16"/>
      <c r="AC862" s="16"/>
      <c r="AD862" s="16"/>
    </row>
    <row r="863" ht="13.5" customHeight="1" spans="1:30" x14ac:dyDescent="0.25">
      <c r="A863" s="4"/>
      <c r="B863" s="4"/>
      <c r="C863" s="4"/>
      <c r="D863" s="4"/>
      <c r="E863" s="4"/>
      <c r="F863" s="4"/>
      <c r="G863" s="4"/>
      <c r="H863" s="4"/>
      <c r="I863" s="4"/>
      <c r="J863" s="4"/>
      <c r="K863" s="4"/>
      <c r="L863" s="4"/>
      <c r="M863" s="4"/>
      <c r="N863" s="4"/>
      <c r="O863" s="4"/>
      <c r="P863" s="4"/>
      <c r="Q863" s="4"/>
      <c r="R863" s="16"/>
      <c r="S863" s="16"/>
      <c r="T863" s="16"/>
      <c r="U863" s="16"/>
      <c r="V863" s="16"/>
      <c r="W863" s="16"/>
      <c r="X863" s="16"/>
      <c r="Y863" s="16"/>
      <c r="Z863" s="16"/>
      <c r="AA863" s="16"/>
      <c r="AB863" s="16"/>
      <c r="AC863" s="16"/>
      <c r="AD863" s="16"/>
    </row>
    <row r="864" ht="13.5" customHeight="1" spans="1:30" x14ac:dyDescent="0.25">
      <c r="A864" s="4"/>
      <c r="B864" s="4"/>
      <c r="C864" s="4"/>
      <c r="D864" s="4"/>
      <c r="E864" s="4"/>
      <c r="F864" s="4"/>
      <c r="G864" s="4"/>
      <c r="H864" s="4"/>
      <c r="I864" s="4"/>
      <c r="J864" s="4"/>
      <c r="K864" s="4"/>
      <c r="L864" s="4"/>
      <c r="M864" s="4"/>
      <c r="N864" s="4"/>
      <c r="O864" s="4"/>
      <c r="P864" s="4"/>
      <c r="Q864" s="4"/>
      <c r="R864" s="16"/>
      <c r="S864" s="16"/>
      <c r="T864" s="16"/>
      <c r="U864" s="16"/>
      <c r="V864" s="16"/>
      <c r="W864" s="16"/>
      <c r="X864" s="16"/>
      <c r="Y864" s="16"/>
      <c r="Z864" s="16"/>
      <c r="AA864" s="16"/>
      <c r="AB864" s="16"/>
      <c r="AC864" s="16"/>
      <c r="AD864" s="16"/>
    </row>
    <row r="865" ht="13.5" customHeight="1" spans="1:30" x14ac:dyDescent="0.25">
      <c r="A865" s="4"/>
      <c r="B865" s="4"/>
      <c r="C865" s="4"/>
      <c r="D865" s="4"/>
      <c r="E865" s="4"/>
      <c r="F865" s="4"/>
      <c r="G865" s="4"/>
      <c r="H865" s="4"/>
      <c r="I865" s="4"/>
      <c r="J865" s="4"/>
      <c r="K865" s="4"/>
      <c r="L865" s="4"/>
      <c r="M865" s="4"/>
      <c r="N865" s="4"/>
      <c r="O865" s="4"/>
      <c r="P865" s="4"/>
      <c r="Q865" s="4"/>
      <c r="R865" s="16"/>
      <c r="S865" s="16"/>
      <c r="T865" s="16"/>
      <c r="U865" s="16"/>
      <c r="V865" s="16"/>
      <c r="W865" s="16"/>
      <c r="X865" s="16"/>
      <c r="Y865" s="16"/>
      <c r="Z865" s="16"/>
      <c r="AA865" s="16"/>
      <c r="AB865" s="16"/>
      <c r="AC865" s="16"/>
      <c r="AD865" s="16"/>
    </row>
    <row r="866" ht="13.5" customHeight="1" spans="1:30" x14ac:dyDescent="0.25">
      <c r="A866" s="4"/>
      <c r="B866" s="4"/>
      <c r="C866" s="4"/>
      <c r="D866" s="4"/>
      <c r="E866" s="4"/>
      <c r="F866" s="4"/>
      <c r="G866" s="4"/>
      <c r="H866" s="4"/>
      <c r="I866" s="4"/>
      <c r="J866" s="4"/>
      <c r="K866" s="4"/>
      <c r="L866" s="4"/>
      <c r="M866" s="4"/>
      <c r="N866" s="4"/>
      <c r="O866" s="4"/>
      <c r="P866" s="4"/>
      <c r="Q866" s="4"/>
      <c r="R866" s="16"/>
      <c r="S866" s="16"/>
      <c r="T866" s="16"/>
      <c r="U866" s="16"/>
      <c r="V866" s="16"/>
      <c r="W866" s="16"/>
      <c r="X866" s="16"/>
      <c r="Y866" s="16"/>
      <c r="Z866" s="16"/>
      <c r="AA866" s="16"/>
      <c r="AB866" s="16"/>
      <c r="AC866" s="16"/>
      <c r="AD866" s="16"/>
    </row>
    <row r="867" ht="13.5" customHeight="1" spans="1:30" x14ac:dyDescent="0.25">
      <c r="A867" s="4"/>
      <c r="B867" s="4"/>
      <c r="C867" s="4"/>
      <c r="D867" s="4"/>
      <c r="E867" s="4"/>
      <c r="F867" s="4"/>
      <c r="G867" s="4"/>
      <c r="H867" s="4"/>
      <c r="I867" s="4"/>
      <c r="J867" s="4"/>
      <c r="K867" s="4"/>
      <c r="L867" s="4"/>
      <c r="M867" s="4"/>
      <c r="N867" s="4"/>
      <c r="O867" s="4"/>
      <c r="P867" s="4"/>
      <c r="Q867" s="4"/>
      <c r="R867" s="16"/>
      <c r="S867" s="16"/>
      <c r="T867" s="16"/>
      <c r="U867" s="16"/>
      <c r="V867" s="16"/>
      <c r="W867" s="16"/>
      <c r="X867" s="16"/>
      <c r="Y867" s="16"/>
      <c r="Z867" s="16"/>
      <c r="AA867" s="16"/>
      <c r="AB867" s="16"/>
      <c r="AC867" s="16"/>
      <c r="AD867" s="16"/>
    </row>
    <row r="868" ht="13.5" customHeight="1" spans="1:30" x14ac:dyDescent="0.25">
      <c r="A868" s="4"/>
      <c r="B868" s="4"/>
      <c r="C868" s="4"/>
      <c r="D868" s="4"/>
      <c r="E868" s="4"/>
      <c r="F868" s="4"/>
      <c r="G868" s="4"/>
      <c r="H868" s="4"/>
      <c r="I868" s="4"/>
      <c r="J868" s="4"/>
      <c r="K868" s="4"/>
      <c r="L868" s="4"/>
      <c r="M868" s="4"/>
      <c r="N868" s="4"/>
      <c r="O868" s="4"/>
      <c r="P868" s="4"/>
      <c r="Q868" s="4"/>
      <c r="R868" s="16"/>
      <c r="S868" s="16"/>
      <c r="T868" s="16"/>
      <c r="U868" s="16"/>
      <c r="V868" s="16"/>
      <c r="W868" s="16"/>
      <c r="X868" s="16"/>
      <c r="Y868" s="16"/>
      <c r="Z868" s="16"/>
      <c r="AA868" s="16"/>
      <c r="AB868" s="16"/>
      <c r="AC868" s="16"/>
      <c r="AD868" s="16"/>
    </row>
    <row r="869" ht="13.5" customHeight="1" spans="1:30" x14ac:dyDescent="0.25">
      <c r="A869" s="4"/>
      <c r="B869" s="4"/>
      <c r="C869" s="4"/>
      <c r="D869" s="4"/>
      <c r="E869" s="4"/>
      <c r="F869" s="4"/>
      <c r="G869" s="4"/>
      <c r="H869" s="4"/>
      <c r="I869" s="4"/>
      <c r="J869" s="4"/>
      <c r="K869" s="4"/>
      <c r="L869" s="4"/>
      <c r="M869" s="4"/>
      <c r="N869" s="4"/>
      <c r="O869" s="4"/>
      <c r="P869" s="4"/>
      <c r="Q869" s="4"/>
      <c r="R869" s="16"/>
      <c r="S869" s="16"/>
      <c r="T869" s="16"/>
      <c r="U869" s="16"/>
      <c r="V869" s="16"/>
      <c r="W869" s="16"/>
      <c r="X869" s="16"/>
      <c r="Y869" s="16"/>
      <c r="Z869" s="16"/>
      <c r="AA869" s="16"/>
      <c r="AB869" s="16"/>
      <c r="AC869" s="16"/>
      <c r="AD869" s="16"/>
    </row>
    <row r="870" ht="13.5" customHeight="1" spans="1:30" x14ac:dyDescent="0.25">
      <c r="A870" s="4"/>
      <c r="B870" s="4"/>
      <c r="C870" s="4"/>
      <c r="D870" s="4"/>
      <c r="E870" s="4"/>
      <c r="F870" s="4"/>
      <c r="G870" s="4"/>
      <c r="H870" s="4"/>
      <c r="I870" s="4"/>
      <c r="J870" s="4"/>
      <c r="K870" s="4"/>
      <c r="L870" s="4"/>
      <c r="M870" s="4"/>
      <c r="N870" s="4"/>
      <c r="O870" s="4"/>
      <c r="P870" s="4"/>
      <c r="Q870" s="4"/>
      <c r="R870" s="16"/>
      <c r="S870" s="16"/>
      <c r="T870" s="16"/>
      <c r="U870" s="16"/>
      <c r="V870" s="16"/>
      <c r="W870" s="16"/>
      <c r="X870" s="16"/>
      <c r="Y870" s="16"/>
      <c r="Z870" s="16"/>
      <c r="AA870" s="16"/>
      <c r="AB870" s="16"/>
      <c r="AC870" s="16"/>
      <c r="AD870" s="16"/>
    </row>
    <row r="871" ht="13.5" customHeight="1" spans="1:30" x14ac:dyDescent="0.25">
      <c r="A871" s="4"/>
      <c r="B871" s="4"/>
      <c r="C871" s="4"/>
      <c r="D871" s="4"/>
      <c r="E871" s="4"/>
      <c r="F871" s="4"/>
      <c r="G871" s="4"/>
      <c r="H871" s="4"/>
      <c r="I871" s="4"/>
      <c r="J871" s="4"/>
      <c r="K871" s="4"/>
      <c r="L871" s="4"/>
      <c r="M871" s="4"/>
      <c r="N871" s="4"/>
      <c r="O871" s="4"/>
      <c r="P871" s="4"/>
      <c r="Q871" s="4"/>
      <c r="R871" s="16"/>
      <c r="S871" s="16"/>
      <c r="T871" s="16"/>
      <c r="U871" s="16"/>
      <c r="V871" s="16"/>
      <c r="W871" s="16"/>
      <c r="X871" s="16"/>
      <c r="Y871" s="16"/>
      <c r="Z871" s="16"/>
      <c r="AA871" s="16"/>
      <c r="AB871" s="16"/>
      <c r="AC871" s="16"/>
      <c r="AD871" s="16"/>
    </row>
    <row r="872" ht="13.5" customHeight="1" spans="1:30" x14ac:dyDescent="0.25">
      <c r="A872" s="4"/>
      <c r="B872" s="4"/>
      <c r="C872" s="4"/>
      <c r="D872" s="4"/>
      <c r="E872" s="4"/>
      <c r="F872" s="4"/>
      <c r="G872" s="4"/>
      <c r="H872" s="4"/>
      <c r="I872" s="4"/>
      <c r="J872" s="4"/>
      <c r="K872" s="4"/>
      <c r="L872" s="4"/>
      <c r="M872" s="4"/>
      <c r="N872" s="4"/>
      <c r="O872" s="4"/>
      <c r="P872" s="4"/>
      <c r="Q872" s="4"/>
      <c r="R872" s="16"/>
      <c r="S872" s="16"/>
      <c r="T872" s="16"/>
      <c r="U872" s="16"/>
      <c r="V872" s="16"/>
      <c r="W872" s="16"/>
      <c r="X872" s="16"/>
      <c r="Y872" s="16"/>
      <c r="Z872" s="16"/>
      <c r="AA872" s="16"/>
      <c r="AB872" s="16"/>
      <c r="AC872" s="16"/>
      <c r="AD872" s="16"/>
    </row>
    <row r="873" ht="13.5" customHeight="1" spans="1:30" x14ac:dyDescent="0.25">
      <c r="A873" s="4"/>
      <c r="B873" s="4"/>
      <c r="C873" s="4"/>
      <c r="D873" s="4"/>
      <c r="E873" s="4"/>
      <c r="F873" s="4"/>
      <c r="G873" s="4"/>
      <c r="H873" s="4"/>
      <c r="I873" s="4"/>
      <c r="J873" s="4"/>
      <c r="K873" s="4"/>
      <c r="L873" s="4"/>
      <c r="M873" s="4"/>
      <c r="N873" s="4"/>
      <c r="O873" s="4"/>
      <c r="P873" s="4"/>
      <c r="Q873" s="4"/>
      <c r="R873" s="16"/>
      <c r="S873" s="16"/>
      <c r="T873" s="16"/>
      <c r="U873" s="16"/>
      <c r="V873" s="16"/>
      <c r="W873" s="16"/>
      <c r="X873" s="16"/>
      <c r="Y873" s="16"/>
      <c r="Z873" s="16"/>
      <c r="AA873" s="16"/>
      <c r="AB873" s="16"/>
      <c r="AC873" s="16"/>
      <c r="AD873" s="16"/>
    </row>
    <row r="874" ht="13.5" customHeight="1" spans="1:30" x14ac:dyDescent="0.25">
      <c r="A874" s="4"/>
      <c r="B874" s="4"/>
      <c r="C874" s="4"/>
      <c r="D874" s="4"/>
      <c r="E874" s="4"/>
      <c r="F874" s="4"/>
      <c r="G874" s="4"/>
      <c r="H874" s="4"/>
      <c r="I874" s="4"/>
      <c r="J874" s="4"/>
      <c r="K874" s="4"/>
      <c r="L874" s="4"/>
      <c r="M874" s="4"/>
      <c r="N874" s="4"/>
      <c r="O874" s="4"/>
      <c r="P874" s="4"/>
      <c r="Q874" s="4"/>
      <c r="R874" s="16"/>
      <c r="S874" s="16"/>
      <c r="T874" s="16"/>
      <c r="U874" s="16"/>
      <c r="V874" s="16"/>
      <c r="W874" s="16"/>
      <c r="X874" s="16"/>
      <c r="Y874" s="16"/>
      <c r="Z874" s="16"/>
      <c r="AA874" s="16"/>
      <c r="AB874" s="16"/>
      <c r="AC874" s="16"/>
      <c r="AD874" s="16"/>
    </row>
    <row r="875" ht="13.5" customHeight="1" spans="1:30" x14ac:dyDescent="0.25">
      <c r="A875" s="4"/>
      <c r="B875" s="4"/>
      <c r="C875" s="4"/>
      <c r="D875" s="4"/>
      <c r="E875" s="4"/>
      <c r="F875" s="4"/>
      <c r="G875" s="4"/>
      <c r="H875" s="4"/>
      <c r="I875" s="4"/>
      <c r="J875" s="4"/>
      <c r="K875" s="4"/>
      <c r="L875" s="4"/>
      <c r="M875" s="4"/>
      <c r="N875" s="4"/>
      <c r="O875" s="4"/>
      <c r="P875" s="4"/>
      <c r="Q875" s="4"/>
      <c r="R875" s="16"/>
      <c r="S875" s="16"/>
      <c r="T875" s="16"/>
      <c r="U875" s="16"/>
      <c r="V875" s="16"/>
      <c r="W875" s="16"/>
      <c r="X875" s="16"/>
      <c r="Y875" s="16"/>
      <c r="Z875" s="16"/>
      <c r="AA875" s="16"/>
      <c r="AB875" s="16"/>
      <c r="AC875" s="16"/>
      <c r="AD875" s="16"/>
    </row>
    <row r="876" ht="13.5" customHeight="1" spans="1:30" x14ac:dyDescent="0.25">
      <c r="A876" s="4"/>
      <c r="B876" s="4"/>
      <c r="C876" s="4"/>
      <c r="D876" s="4"/>
      <c r="E876" s="4"/>
      <c r="F876" s="4"/>
      <c r="G876" s="4"/>
      <c r="H876" s="4"/>
      <c r="I876" s="4"/>
      <c r="J876" s="4"/>
      <c r="K876" s="4"/>
      <c r="L876" s="4"/>
      <c r="M876" s="4"/>
      <c r="N876" s="4"/>
      <c r="O876" s="4"/>
      <c r="P876" s="4"/>
      <c r="Q876" s="4"/>
      <c r="R876" s="16"/>
      <c r="S876" s="16"/>
      <c r="T876" s="16"/>
      <c r="U876" s="16"/>
      <c r="V876" s="16"/>
      <c r="W876" s="16"/>
      <c r="X876" s="16"/>
      <c r="Y876" s="16"/>
      <c r="Z876" s="16"/>
      <c r="AA876" s="16"/>
      <c r="AB876" s="16"/>
      <c r="AC876" s="16"/>
      <c r="AD876" s="16"/>
    </row>
    <row r="877" ht="13.5" customHeight="1" spans="1:30" x14ac:dyDescent="0.25">
      <c r="A877" s="4"/>
      <c r="B877" s="4"/>
      <c r="C877" s="4"/>
      <c r="D877" s="4"/>
      <c r="E877" s="4"/>
      <c r="F877" s="4"/>
      <c r="G877" s="4"/>
      <c r="H877" s="4"/>
      <c r="I877" s="4"/>
      <c r="J877" s="4"/>
      <c r="K877" s="4"/>
      <c r="L877" s="4"/>
      <c r="M877" s="4"/>
      <c r="N877" s="4"/>
      <c r="O877" s="4"/>
      <c r="P877" s="4"/>
      <c r="Q877" s="4"/>
      <c r="R877" s="16"/>
      <c r="S877" s="16"/>
      <c r="T877" s="16"/>
      <c r="U877" s="16"/>
      <c r="V877" s="16"/>
      <c r="W877" s="16"/>
      <c r="X877" s="16"/>
      <c r="Y877" s="16"/>
      <c r="Z877" s="16"/>
      <c r="AA877" s="16"/>
      <c r="AB877" s="16"/>
      <c r="AC877" s="16"/>
      <c r="AD877" s="16"/>
    </row>
    <row r="878" ht="13.5" customHeight="1" spans="1:30" x14ac:dyDescent="0.25">
      <c r="A878" s="4"/>
      <c r="B878" s="4"/>
      <c r="C878" s="4"/>
      <c r="D878" s="4"/>
      <c r="E878" s="4"/>
      <c r="F878" s="4"/>
      <c r="G878" s="4"/>
      <c r="H878" s="4"/>
      <c r="I878" s="4"/>
      <c r="J878" s="4"/>
      <c r="K878" s="4"/>
      <c r="L878" s="4"/>
      <c r="M878" s="4"/>
      <c r="N878" s="4"/>
      <c r="O878" s="4"/>
      <c r="P878" s="4"/>
      <c r="Q878" s="4"/>
      <c r="R878" s="16"/>
      <c r="S878" s="16"/>
      <c r="T878" s="16"/>
      <c r="U878" s="16"/>
      <c r="V878" s="16"/>
      <c r="W878" s="16"/>
      <c r="X878" s="16"/>
      <c r="Y878" s="16"/>
      <c r="Z878" s="16"/>
      <c r="AA878" s="16"/>
      <c r="AB878" s="16"/>
      <c r="AC878" s="16"/>
      <c r="AD878" s="16"/>
    </row>
    <row r="879" ht="13.5" customHeight="1" spans="1:30" x14ac:dyDescent="0.25">
      <c r="A879" s="4"/>
      <c r="B879" s="4"/>
      <c r="C879" s="4"/>
      <c r="D879" s="4"/>
      <c r="E879" s="4"/>
      <c r="F879" s="4"/>
      <c r="G879" s="4"/>
      <c r="H879" s="4"/>
      <c r="I879" s="4"/>
      <c r="J879" s="4"/>
      <c r="K879" s="4"/>
      <c r="L879" s="4"/>
      <c r="M879" s="4"/>
      <c r="N879" s="4"/>
      <c r="O879" s="4"/>
      <c r="P879" s="4"/>
      <c r="Q879" s="4"/>
      <c r="R879" s="16"/>
      <c r="S879" s="16"/>
      <c r="T879" s="16"/>
      <c r="U879" s="16"/>
      <c r="V879" s="16"/>
      <c r="W879" s="16"/>
      <c r="X879" s="16"/>
      <c r="Y879" s="16"/>
      <c r="Z879" s="16"/>
      <c r="AA879" s="16"/>
      <c r="AB879" s="16"/>
      <c r="AC879" s="16"/>
      <c r="AD879" s="16"/>
    </row>
    <row r="880" ht="13.5" customHeight="1" spans="1:30" x14ac:dyDescent="0.25">
      <c r="A880" s="4"/>
      <c r="B880" s="4"/>
      <c r="C880" s="4"/>
      <c r="D880" s="4"/>
      <c r="E880" s="4"/>
      <c r="F880" s="4"/>
      <c r="G880" s="4"/>
      <c r="H880" s="4"/>
      <c r="I880" s="4"/>
      <c r="J880" s="4"/>
      <c r="K880" s="4"/>
      <c r="L880" s="4"/>
      <c r="M880" s="4"/>
      <c r="N880" s="4"/>
      <c r="O880" s="4"/>
      <c r="P880" s="4"/>
      <c r="Q880" s="4"/>
      <c r="R880" s="16"/>
      <c r="S880" s="16"/>
      <c r="T880" s="16"/>
      <c r="U880" s="16"/>
      <c r="V880" s="16"/>
      <c r="W880" s="16"/>
      <c r="X880" s="16"/>
      <c r="Y880" s="16"/>
      <c r="Z880" s="16"/>
      <c r="AA880" s="16"/>
      <c r="AB880" s="16"/>
      <c r="AC880" s="16"/>
      <c r="AD880" s="16"/>
    </row>
    <row r="881" ht="13.5" customHeight="1" spans="1:30" x14ac:dyDescent="0.25">
      <c r="A881" s="4"/>
      <c r="B881" s="4"/>
      <c r="C881" s="4"/>
      <c r="D881" s="4"/>
      <c r="E881" s="4"/>
      <c r="F881" s="4"/>
      <c r="G881" s="4"/>
      <c r="H881" s="4"/>
      <c r="I881" s="4"/>
      <c r="J881" s="4"/>
      <c r="K881" s="4"/>
      <c r="L881" s="4"/>
      <c r="M881" s="4"/>
      <c r="N881" s="4"/>
      <c r="O881" s="4"/>
      <c r="P881" s="4"/>
      <c r="Q881" s="4"/>
      <c r="R881" s="16"/>
      <c r="S881" s="16"/>
      <c r="T881" s="16"/>
      <c r="U881" s="16"/>
      <c r="V881" s="16"/>
      <c r="W881" s="16"/>
      <c r="X881" s="16"/>
      <c r="Y881" s="16"/>
      <c r="Z881" s="16"/>
      <c r="AA881" s="16"/>
      <c r="AB881" s="16"/>
      <c r="AC881" s="16"/>
      <c r="AD881" s="16"/>
    </row>
    <row r="882" ht="13.5" customHeight="1" spans="1:30" x14ac:dyDescent="0.25">
      <c r="A882" s="4"/>
      <c r="B882" s="4"/>
      <c r="C882" s="4"/>
      <c r="D882" s="4"/>
      <c r="E882" s="4"/>
      <c r="F882" s="4"/>
      <c r="G882" s="4"/>
      <c r="H882" s="4"/>
      <c r="I882" s="4"/>
      <c r="J882" s="4"/>
      <c r="K882" s="4"/>
      <c r="L882" s="4"/>
      <c r="M882" s="4"/>
      <c r="N882" s="4"/>
      <c r="O882" s="4"/>
      <c r="P882" s="4"/>
      <c r="Q882" s="4"/>
      <c r="R882" s="16"/>
      <c r="S882" s="16"/>
      <c r="T882" s="16"/>
      <c r="U882" s="16"/>
      <c r="V882" s="16"/>
      <c r="W882" s="16"/>
      <c r="X882" s="16"/>
      <c r="Y882" s="16"/>
      <c r="Z882" s="16"/>
      <c r="AA882" s="16"/>
      <c r="AB882" s="16"/>
      <c r="AC882" s="16"/>
      <c r="AD882" s="16"/>
    </row>
    <row r="883" ht="13.5" customHeight="1" spans="1:30" x14ac:dyDescent="0.25">
      <c r="A883" s="4"/>
      <c r="B883" s="4"/>
      <c r="C883" s="4"/>
      <c r="D883" s="4"/>
      <c r="E883" s="4"/>
      <c r="F883" s="4"/>
      <c r="G883" s="4"/>
      <c r="H883" s="4"/>
      <c r="I883" s="4"/>
      <c r="J883" s="4"/>
      <c r="K883" s="4"/>
      <c r="L883" s="4"/>
      <c r="M883" s="4"/>
      <c r="N883" s="4"/>
      <c r="O883" s="4"/>
      <c r="P883" s="4"/>
      <c r="Q883" s="4"/>
      <c r="R883" s="16"/>
      <c r="S883" s="16"/>
      <c r="T883" s="16"/>
      <c r="U883" s="16"/>
      <c r="V883" s="16"/>
      <c r="W883" s="16"/>
      <c r="X883" s="16"/>
      <c r="Y883" s="16"/>
      <c r="Z883" s="16"/>
      <c r="AA883" s="16"/>
      <c r="AB883" s="16"/>
      <c r="AC883" s="16"/>
      <c r="AD883" s="16"/>
    </row>
    <row r="884" ht="13.5" customHeight="1" spans="1:30" x14ac:dyDescent="0.25">
      <c r="A884" s="4"/>
      <c r="B884" s="4"/>
      <c r="C884" s="4"/>
      <c r="D884" s="4"/>
      <c r="E884" s="4"/>
      <c r="F884" s="4"/>
      <c r="G884" s="4"/>
      <c r="H884" s="4"/>
      <c r="I884" s="4"/>
      <c r="J884" s="4"/>
      <c r="K884" s="4"/>
      <c r="L884" s="4"/>
      <c r="M884" s="4"/>
      <c r="N884" s="4"/>
      <c r="O884" s="4"/>
      <c r="P884" s="4"/>
      <c r="Q884" s="4"/>
      <c r="R884" s="16"/>
      <c r="S884" s="16"/>
      <c r="T884" s="16"/>
      <c r="U884" s="16"/>
      <c r="V884" s="16"/>
      <c r="W884" s="16"/>
      <c r="X884" s="16"/>
      <c r="Y884" s="16"/>
      <c r="Z884" s="16"/>
      <c r="AA884" s="16"/>
      <c r="AB884" s="16"/>
      <c r="AC884" s="16"/>
      <c r="AD884" s="16"/>
    </row>
    <row r="885" ht="13.5" customHeight="1" spans="1:30" x14ac:dyDescent="0.25">
      <c r="A885" s="4"/>
      <c r="B885" s="4"/>
      <c r="C885" s="4"/>
      <c r="D885" s="4"/>
      <c r="E885" s="4"/>
      <c r="F885" s="4"/>
      <c r="G885" s="4"/>
      <c r="H885" s="4"/>
      <c r="I885" s="4"/>
      <c r="J885" s="4"/>
      <c r="K885" s="4"/>
      <c r="L885" s="4"/>
      <c r="M885" s="4"/>
      <c r="N885" s="4"/>
      <c r="O885" s="4"/>
      <c r="P885" s="4"/>
      <c r="Q885" s="4"/>
      <c r="R885" s="16"/>
      <c r="S885" s="16"/>
      <c r="T885" s="16"/>
      <c r="U885" s="16"/>
      <c r="V885" s="16"/>
      <c r="W885" s="16"/>
      <c r="X885" s="16"/>
      <c r="Y885" s="16"/>
      <c r="Z885" s="16"/>
      <c r="AA885" s="16"/>
      <c r="AB885" s="16"/>
      <c r="AC885" s="16"/>
      <c r="AD885" s="16"/>
    </row>
    <row r="886" ht="13.5" customHeight="1" spans="1:30" x14ac:dyDescent="0.25">
      <c r="A886" s="4"/>
      <c r="B886" s="4"/>
      <c r="C886" s="4"/>
      <c r="D886" s="4"/>
      <c r="E886" s="4"/>
      <c r="F886" s="4"/>
      <c r="G886" s="4"/>
      <c r="H886" s="4"/>
      <c r="I886" s="4"/>
      <c r="J886" s="4"/>
      <c r="K886" s="4"/>
      <c r="L886" s="4"/>
      <c r="M886" s="4"/>
      <c r="N886" s="4"/>
      <c r="O886" s="4"/>
      <c r="P886" s="4"/>
      <c r="Q886" s="4"/>
      <c r="R886" s="16"/>
      <c r="S886" s="16"/>
      <c r="T886" s="16"/>
      <c r="U886" s="16"/>
      <c r="V886" s="16"/>
      <c r="W886" s="16"/>
      <c r="X886" s="16"/>
      <c r="Y886" s="16"/>
      <c r="Z886" s="16"/>
      <c r="AA886" s="16"/>
      <c r="AB886" s="16"/>
      <c r="AC886" s="16"/>
      <c r="AD886" s="16"/>
    </row>
    <row r="887" ht="13.5" customHeight="1" spans="1:30" x14ac:dyDescent="0.25">
      <c r="A887" s="4"/>
      <c r="B887" s="4"/>
      <c r="C887" s="4"/>
      <c r="D887" s="4"/>
      <c r="E887" s="4"/>
      <c r="F887" s="4"/>
      <c r="G887" s="4"/>
      <c r="H887" s="4"/>
      <c r="I887" s="4"/>
      <c r="J887" s="4"/>
      <c r="K887" s="4"/>
      <c r="L887" s="4"/>
      <c r="M887" s="4"/>
      <c r="N887" s="4"/>
      <c r="O887" s="4"/>
      <c r="P887" s="4"/>
      <c r="Q887" s="4"/>
      <c r="R887" s="16"/>
      <c r="S887" s="16"/>
      <c r="T887" s="16"/>
      <c r="U887" s="16"/>
      <c r="V887" s="16"/>
      <c r="W887" s="16"/>
      <c r="X887" s="16"/>
      <c r="Y887" s="16"/>
      <c r="Z887" s="16"/>
      <c r="AA887" s="16"/>
      <c r="AB887" s="16"/>
      <c r="AC887" s="16"/>
      <c r="AD887" s="16"/>
    </row>
    <row r="888" ht="13.5" customHeight="1" spans="1:30" x14ac:dyDescent="0.25">
      <c r="A888" s="4"/>
      <c r="B888" s="4"/>
      <c r="C888" s="4"/>
      <c r="D888" s="4"/>
      <c r="E888" s="4"/>
      <c r="F888" s="4"/>
      <c r="G888" s="4"/>
      <c r="H888" s="4"/>
      <c r="I888" s="4"/>
      <c r="J888" s="4"/>
      <c r="K888" s="4"/>
      <c r="L888" s="4"/>
      <c r="M888" s="4"/>
      <c r="N888" s="4"/>
      <c r="O888" s="4"/>
      <c r="P888" s="4"/>
      <c r="Q888" s="4"/>
      <c r="R888" s="16"/>
      <c r="S888" s="16"/>
      <c r="T888" s="16"/>
      <c r="U888" s="16"/>
      <c r="V888" s="16"/>
      <c r="W888" s="16"/>
      <c r="X888" s="16"/>
      <c r="Y888" s="16"/>
      <c r="Z888" s="16"/>
      <c r="AA888" s="16"/>
      <c r="AB888" s="16"/>
      <c r="AC888" s="16"/>
      <c r="AD888" s="16"/>
    </row>
    <row r="889" ht="13.5" customHeight="1" spans="1:30" x14ac:dyDescent="0.25">
      <c r="A889" s="4"/>
      <c r="B889" s="4"/>
      <c r="C889" s="4"/>
      <c r="D889" s="4"/>
      <c r="E889" s="4"/>
      <c r="F889" s="4"/>
      <c r="G889" s="4"/>
      <c r="H889" s="4"/>
      <c r="I889" s="4"/>
      <c r="J889" s="4"/>
      <c r="K889" s="4"/>
      <c r="L889" s="4"/>
      <c r="M889" s="4"/>
      <c r="N889" s="4"/>
      <c r="O889" s="4"/>
      <c r="P889" s="4"/>
      <c r="Q889" s="4"/>
      <c r="R889" s="16"/>
      <c r="S889" s="16"/>
      <c r="T889" s="16"/>
      <c r="U889" s="16"/>
      <c r="V889" s="16"/>
      <c r="W889" s="16"/>
      <c r="X889" s="16"/>
      <c r="Y889" s="16"/>
      <c r="Z889" s="16"/>
      <c r="AA889" s="16"/>
      <c r="AB889" s="16"/>
      <c r="AC889" s="16"/>
      <c r="AD889" s="16"/>
    </row>
    <row r="890" ht="13.5" customHeight="1" spans="1:30" x14ac:dyDescent="0.25">
      <c r="A890" s="4"/>
      <c r="B890" s="4"/>
      <c r="C890" s="4"/>
      <c r="D890" s="4"/>
      <c r="E890" s="4"/>
      <c r="F890" s="4"/>
      <c r="G890" s="4"/>
      <c r="H890" s="4"/>
      <c r="I890" s="4"/>
      <c r="J890" s="4"/>
      <c r="K890" s="4"/>
      <c r="L890" s="4"/>
      <c r="M890" s="4"/>
      <c r="N890" s="4"/>
      <c r="O890" s="4"/>
      <c r="P890" s="4"/>
      <c r="Q890" s="4"/>
      <c r="R890" s="16"/>
      <c r="S890" s="16"/>
      <c r="T890" s="16"/>
      <c r="U890" s="16"/>
      <c r="V890" s="16"/>
      <c r="W890" s="16"/>
      <c r="X890" s="16"/>
      <c r="Y890" s="16"/>
      <c r="Z890" s="16"/>
      <c r="AA890" s="16"/>
      <c r="AB890" s="16"/>
      <c r="AC890" s="16"/>
      <c r="AD890" s="16"/>
    </row>
    <row r="891" ht="13.5" customHeight="1" spans="1:30" x14ac:dyDescent="0.25">
      <c r="A891" s="4"/>
      <c r="B891" s="4"/>
      <c r="C891" s="4"/>
      <c r="D891" s="4"/>
      <c r="E891" s="4"/>
      <c r="F891" s="4"/>
      <c r="G891" s="4"/>
      <c r="H891" s="4"/>
      <c r="I891" s="4"/>
      <c r="J891" s="4"/>
      <c r="K891" s="4"/>
      <c r="L891" s="4"/>
      <c r="M891" s="4"/>
      <c r="N891" s="4"/>
      <c r="O891" s="4"/>
      <c r="P891" s="4"/>
      <c r="Q891" s="4"/>
      <c r="R891" s="16"/>
      <c r="S891" s="16"/>
      <c r="T891" s="16"/>
      <c r="U891" s="16"/>
      <c r="V891" s="16"/>
      <c r="W891" s="16"/>
      <c r="X891" s="16"/>
      <c r="Y891" s="16"/>
      <c r="Z891" s="16"/>
      <c r="AA891" s="16"/>
      <c r="AB891" s="16"/>
      <c r="AC891" s="16"/>
      <c r="AD891" s="16"/>
    </row>
    <row r="892" ht="13.5" customHeight="1" spans="1:30" x14ac:dyDescent="0.25">
      <c r="A892" s="4"/>
      <c r="B892" s="4"/>
      <c r="C892" s="4"/>
      <c r="D892" s="4"/>
      <c r="E892" s="4"/>
      <c r="F892" s="4"/>
      <c r="G892" s="4"/>
      <c r="H892" s="4"/>
      <c r="I892" s="4"/>
      <c r="J892" s="4"/>
      <c r="K892" s="4"/>
      <c r="L892" s="4"/>
      <c r="M892" s="4"/>
      <c r="N892" s="4"/>
      <c r="O892" s="4"/>
      <c r="P892" s="4"/>
      <c r="Q892" s="4"/>
      <c r="R892" s="16"/>
      <c r="S892" s="16"/>
      <c r="T892" s="16"/>
      <c r="U892" s="16"/>
      <c r="V892" s="16"/>
      <c r="W892" s="16"/>
      <c r="X892" s="16"/>
      <c r="Y892" s="16"/>
      <c r="Z892" s="16"/>
      <c r="AA892" s="16"/>
      <c r="AB892" s="16"/>
      <c r="AC892" s="16"/>
      <c r="AD892" s="16"/>
    </row>
    <row r="893" ht="13.5" customHeight="1" spans="1:30" x14ac:dyDescent="0.25">
      <c r="A893" s="4"/>
      <c r="B893" s="4"/>
      <c r="C893" s="4"/>
      <c r="D893" s="4"/>
      <c r="E893" s="4"/>
      <c r="F893" s="4"/>
      <c r="G893" s="4"/>
      <c r="H893" s="4"/>
      <c r="I893" s="4"/>
      <c r="J893" s="4"/>
      <c r="K893" s="4"/>
      <c r="L893" s="4"/>
      <c r="M893" s="4"/>
      <c r="N893" s="4"/>
      <c r="O893" s="4"/>
      <c r="P893" s="4"/>
      <c r="Q893" s="4"/>
      <c r="R893" s="16"/>
      <c r="S893" s="16"/>
      <c r="T893" s="16"/>
      <c r="U893" s="16"/>
      <c r="V893" s="16"/>
      <c r="W893" s="16"/>
      <c r="X893" s="16"/>
      <c r="Y893" s="16"/>
      <c r="Z893" s="16"/>
      <c r="AA893" s="16"/>
      <c r="AB893" s="16"/>
      <c r="AC893" s="16"/>
      <c r="AD893" s="16"/>
    </row>
    <row r="894" ht="13.5" customHeight="1" spans="1:30" x14ac:dyDescent="0.25">
      <c r="A894" s="4"/>
      <c r="B894" s="4"/>
      <c r="C894" s="4"/>
      <c r="D894" s="4"/>
      <c r="E894" s="4"/>
      <c r="F894" s="4"/>
      <c r="G894" s="4"/>
      <c r="H894" s="4"/>
      <c r="I894" s="4"/>
      <c r="J894" s="4"/>
      <c r="K894" s="4"/>
      <c r="L894" s="4"/>
      <c r="M894" s="4"/>
      <c r="N894" s="4"/>
      <c r="O894" s="4"/>
      <c r="P894" s="4"/>
      <c r="Q894" s="4"/>
      <c r="R894" s="16"/>
      <c r="S894" s="16"/>
      <c r="T894" s="16"/>
      <c r="U894" s="16"/>
      <c r="V894" s="16"/>
      <c r="W894" s="16"/>
      <c r="X894" s="16"/>
      <c r="Y894" s="16"/>
      <c r="Z894" s="16"/>
      <c r="AA894" s="16"/>
      <c r="AB894" s="16"/>
      <c r="AC894" s="16"/>
      <c r="AD894" s="16"/>
    </row>
    <row r="895" ht="13.5" customHeight="1" spans="1:30" x14ac:dyDescent="0.25">
      <c r="A895" s="4"/>
      <c r="B895" s="4"/>
      <c r="C895" s="4"/>
      <c r="D895" s="4"/>
      <c r="E895" s="4"/>
      <c r="F895" s="4"/>
      <c r="G895" s="4"/>
      <c r="H895" s="4"/>
      <c r="I895" s="4"/>
      <c r="J895" s="4"/>
      <c r="K895" s="4"/>
      <c r="L895" s="4"/>
      <c r="M895" s="4"/>
      <c r="N895" s="4"/>
      <c r="O895" s="4"/>
      <c r="P895" s="4"/>
      <c r="Q895" s="4"/>
      <c r="R895" s="16"/>
      <c r="S895" s="16"/>
      <c r="T895" s="16"/>
      <c r="U895" s="16"/>
      <c r="V895" s="16"/>
      <c r="W895" s="16"/>
      <c r="X895" s="16"/>
      <c r="Y895" s="16"/>
      <c r="Z895" s="16"/>
      <c r="AA895" s="16"/>
      <c r="AB895" s="16"/>
      <c r="AC895" s="16"/>
      <c r="AD895" s="16"/>
    </row>
    <row r="896" ht="13.5" customHeight="1" spans="1:30" x14ac:dyDescent="0.25">
      <c r="A896" s="4"/>
      <c r="B896" s="4"/>
      <c r="C896" s="4"/>
      <c r="D896" s="4"/>
      <c r="E896" s="4"/>
      <c r="F896" s="4"/>
      <c r="G896" s="4"/>
      <c r="H896" s="4"/>
      <c r="I896" s="4"/>
      <c r="J896" s="4"/>
      <c r="K896" s="4"/>
      <c r="L896" s="4"/>
      <c r="M896" s="4"/>
      <c r="N896" s="4"/>
      <c r="O896" s="4"/>
      <c r="P896" s="4"/>
      <c r="Q896" s="4"/>
      <c r="R896" s="16"/>
      <c r="S896" s="16"/>
      <c r="T896" s="16"/>
      <c r="U896" s="16"/>
      <c r="V896" s="16"/>
      <c r="W896" s="16"/>
      <c r="X896" s="16"/>
      <c r="Y896" s="16"/>
      <c r="Z896" s="16"/>
      <c r="AA896" s="16"/>
      <c r="AB896" s="16"/>
      <c r="AC896" s="16"/>
      <c r="AD896" s="16"/>
    </row>
    <row r="897" ht="13.5" customHeight="1" spans="1:30" x14ac:dyDescent="0.25">
      <c r="A897" s="4"/>
      <c r="B897" s="4"/>
      <c r="C897" s="4"/>
      <c r="D897" s="4"/>
      <c r="E897" s="4"/>
      <c r="F897" s="4"/>
      <c r="G897" s="4"/>
      <c r="H897" s="4"/>
      <c r="I897" s="4"/>
      <c r="J897" s="4"/>
      <c r="K897" s="4"/>
      <c r="L897" s="4"/>
      <c r="M897" s="4"/>
      <c r="N897" s="4"/>
      <c r="O897" s="4"/>
      <c r="P897" s="4"/>
      <c r="Q897" s="4"/>
      <c r="R897" s="16"/>
      <c r="S897" s="16"/>
      <c r="T897" s="16"/>
      <c r="U897" s="16"/>
      <c r="V897" s="16"/>
      <c r="W897" s="16"/>
      <c r="X897" s="16"/>
      <c r="Y897" s="16"/>
      <c r="Z897" s="16"/>
      <c r="AA897" s="16"/>
      <c r="AB897" s="16"/>
      <c r="AC897" s="16"/>
      <c r="AD897" s="16"/>
    </row>
    <row r="898" ht="13.5" customHeight="1" spans="1:30" x14ac:dyDescent="0.25">
      <c r="A898" s="4"/>
      <c r="B898" s="4"/>
      <c r="C898" s="4"/>
      <c r="D898" s="4"/>
      <c r="E898" s="4"/>
      <c r="F898" s="4"/>
      <c r="G898" s="4"/>
      <c r="H898" s="4"/>
      <c r="I898" s="4"/>
      <c r="J898" s="4"/>
      <c r="K898" s="4"/>
      <c r="L898" s="4"/>
      <c r="M898" s="4"/>
      <c r="N898" s="4"/>
      <c r="O898" s="4"/>
      <c r="P898" s="4"/>
      <c r="Q898" s="4"/>
      <c r="R898" s="16"/>
      <c r="S898" s="16"/>
      <c r="T898" s="16"/>
      <c r="U898" s="16"/>
      <c r="V898" s="16"/>
      <c r="W898" s="16"/>
      <c r="X898" s="16"/>
      <c r="Y898" s="16"/>
      <c r="Z898" s="16"/>
      <c r="AA898" s="16"/>
      <c r="AB898" s="16"/>
      <c r="AC898" s="16"/>
      <c r="AD898" s="16"/>
    </row>
    <row r="899" ht="13.5" customHeight="1" spans="1:30" x14ac:dyDescent="0.25">
      <c r="A899" s="4"/>
      <c r="B899" s="4"/>
      <c r="C899" s="4"/>
      <c r="D899" s="4"/>
      <c r="E899" s="4"/>
      <c r="F899" s="4"/>
      <c r="G899" s="4"/>
      <c r="H899" s="4"/>
      <c r="I899" s="4"/>
      <c r="J899" s="4"/>
      <c r="K899" s="4"/>
      <c r="L899" s="4"/>
      <c r="M899" s="4"/>
      <c r="N899" s="4"/>
      <c r="O899" s="4"/>
      <c r="P899" s="4"/>
      <c r="Q899" s="4"/>
      <c r="R899" s="16"/>
      <c r="S899" s="16"/>
      <c r="T899" s="16"/>
      <c r="U899" s="16"/>
      <c r="V899" s="16"/>
      <c r="W899" s="16"/>
      <c r="X899" s="16"/>
      <c r="Y899" s="16"/>
      <c r="Z899" s="16"/>
      <c r="AA899" s="16"/>
      <c r="AB899" s="16"/>
      <c r="AC899" s="16"/>
      <c r="AD899" s="16"/>
    </row>
    <row r="900" ht="13.5" customHeight="1" spans="1:30" x14ac:dyDescent="0.25">
      <c r="A900" s="4"/>
      <c r="B900" s="4"/>
      <c r="C900" s="4"/>
      <c r="D900" s="4"/>
      <c r="E900" s="4"/>
      <c r="F900" s="4"/>
      <c r="G900" s="4"/>
      <c r="H900" s="4"/>
      <c r="I900" s="4"/>
      <c r="J900" s="4"/>
      <c r="K900" s="4"/>
      <c r="L900" s="4"/>
      <c r="M900" s="4"/>
      <c r="N900" s="4"/>
      <c r="O900" s="4"/>
      <c r="P900" s="4"/>
      <c r="Q900" s="4"/>
      <c r="R900" s="16"/>
      <c r="S900" s="16"/>
      <c r="T900" s="16"/>
      <c r="U900" s="16"/>
      <c r="V900" s="16"/>
      <c r="W900" s="16"/>
      <c r="X900" s="16"/>
      <c r="Y900" s="16"/>
      <c r="Z900" s="16"/>
      <c r="AA900" s="16"/>
      <c r="AB900" s="16"/>
      <c r="AC900" s="16"/>
      <c r="AD900" s="16"/>
    </row>
    <row r="901" ht="13.5" customHeight="1" spans="1:30" x14ac:dyDescent="0.25">
      <c r="A901" s="4"/>
      <c r="B901" s="4"/>
      <c r="C901" s="4"/>
      <c r="D901" s="4"/>
      <c r="E901" s="4"/>
      <c r="F901" s="4"/>
      <c r="G901" s="4"/>
      <c r="H901" s="4"/>
      <c r="I901" s="4"/>
      <c r="J901" s="4"/>
      <c r="K901" s="4"/>
      <c r="L901" s="4"/>
      <c r="M901" s="4"/>
      <c r="N901" s="4"/>
      <c r="O901" s="4"/>
      <c r="P901" s="4"/>
      <c r="Q901" s="4"/>
      <c r="R901" s="16"/>
      <c r="S901" s="16"/>
      <c r="T901" s="16"/>
      <c r="U901" s="16"/>
      <c r="V901" s="16"/>
      <c r="W901" s="16"/>
      <c r="X901" s="16"/>
      <c r="Y901" s="16"/>
      <c r="Z901" s="16"/>
      <c r="AA901" s="16"/>
      <c r="AB901" s="16"/>
      <c r="AC901" s="16"/>
      <c r="AD901" s="16"/>
    </row>
    <row r="902" ht="13.5" customHeight="1" spans="1:30" x14ac:dyDescent="0.25">
      <c r="A902" s="4"/>
      <c r="B902" s="4"/>
      <c r="C902" s="4"/>
      <c r="D902" s="4"/>
      <c r="E902" s="4"/>
      <c r="F902" s="4"/>
      <c r="G902" s="4"/>
      <c r="H902" s="4"/>
      <c r="I902" s="4"/>
      <c r="J902" s="4"/>
      <c r="K902" s="4"/>
      <c r="L902" s="4"/>
      <c r="M902" s="4"/>
      <c r="N902" s="4"/>
      <c r="O902" s="4"/>
      <c r="P902" s="4"/>
      <c r="Q902" s="4"/>
      <c r="R902" s="16"/>
      <c r="S902" s="16"/>
      <c r="T902" s="16"/>
      <c r="U902" s="16"/>
      <c r="V902" s="16"/>
      <c r="W902" s="16"/>
      <c r="X902" s="16"/>
      <c r="Y902" s="16"/>
      <c r="Z902" s="16"/>
      <c r="AA902" s="16"/>
      <c r="AB902" s="16"/>
      <c r="AC902" s="16"/>
      <c r="AD902" s="16"/>
    </row>
    <row r="903" ht="13.5" customHeight="1" spans="1:30" x14ac:dyDescent="0.25">
      <c r="A903" s="4"/>
      <c r="B903" s="4"/>
      <c r="C903" s="4"/>
      <c r="D903" s="4"/>
      <c r="E903" s="4"/>
      <c r="F903" s="4"/>
      <c r="G903" s="4"/>
      <c r="H903" s="4"/>
      <c r="I903" s="4"/>
      <c r="J903" s="4"/>
      <c r="K903" s="4"/>
      <c r="L903" s="4"/>
      <c r="M903" s="4"/>
      <c r="N903" s="4"/>
      <c r="O903" s="4"/>
      <c r="P903" s="4"/>
      <c r="Q903" s="4"/>
      <c r="R903" s="16"/>
      <c r="S903" s="16"/>
      <c r="T903" s="16"/>
      <c r="U903" s="16"/>
      <c r="V903" s="16"/>
      <c r="W903" s="16"/>
      <c r="X903" s="16"/>
      <c r="Y903" s="16"/>
      <c r="Z903" s="16"/>
      <c r="AA903" s="16"/>
      <c r="AB903" s="16"/>
      <c r="AC903" s="16"/>
      <c r="AD903" s="16"/>
    </row>
    <row r="904" ht="13.5" customHeight="1" spans="1:30" x14ac:dyDescent="0.25">
      <c r="A904" s="4"/>
      <c r="B904" s="4"/>
      <c r="C904" s="4"/>
      <c r="D904" s="4"/>
      <c r="E904" s="4"/>
      <c r="F904" s="4"/>
      <c r="G904" s="4"/>
      <c r="H904" s="4"/>
      <c r="I904" s="4"/>
      <c r="J904" s="4"/>
      <c r="K904" s="4"/>
      <c r="L904" s="4"/>
      <c r="M904" s="4"/>
      <c r="N904" s="4"/>
      <c r="O904" s="4"/>
      <c r="P904" s="4"/>
      <c r="Q904" s="4"/>
      <c r="R904" s="16"/>
      <c r="S904" s="16"/>
      <c r="T904" s="16"/>
      <c r="U904" s="16"/>
      <c r="V904" s="16"/>
      <c r="W904" s="16"/>
      <c r="X904" s="16"/>
      <c r="Y904" s="16"/>
      <c r="Z904" s="16"/>
      <c r="AA904" s="16"/>
      <c r="AB904" s="16"/>
      <c r="AC904" s="16"/>
      <c r="AD904" s="16"/>
    </row>
    <row r="905" ht="13.5" customHeight="1" spans="1:30" x14ac:dyDescent="0.25">
      <c r="A905" s="4"/>
      <c r="B905" s="4"/>
      <c r="C905" s="4"/>
      <c r="D905" s="4"/>
      <c r="E905" s="4"/>
      <c r="F905" s="4"/>
      <c r="G905" s="4"/>
      <c r="H905" s="4"/>
      <c r="I905" s="4"/>
      <c r="J905" s="4"/>
      <c r="K905" s="4"/>
      <c r="L905" s="4"/>
      <c r="M905" s="4"/>
      <c r="N905" s="4"/>
      <c r="O905" s="4"/>
      <c r="P905" s="4"/>
      <c r="Q905" s="4"/>
      <c r="R905" s="16"/>
      <c r="S905" s="16"/>
      <c r="T905" s="16"/>
      <c r="U905" s="16"/>
      <c r="V905" s="16"/>
      <c r="W905" s="16"/>
      <c r="X905" s="16"/>
      <c r="Y905" s="16"/>
      <c r="Z905" s="16"/>
      <c r="AA905" s="16"/>
      <c r="AB905" s="16"/>
      <c r="AC905" s="16"/>
      <c r="AD905" s="16"/>
    </row>
    <row r="906" ht="13.5" customHeight="1" spans="1:30" x14ac:dyDescent="0.25">
      <c r="A906" s="4"/>
      <c r="B906" s="4"/>
      <c r="C906" s="4"/>
      <c r="D906" s="4"/>
      <c r="E906" s="4"/>
      <c r="F906" s="4"/>
      <c r="G906" s="4"/>
      <c r="H906" s="4"/>
      <c r="I906" s="4"/>
      <c r="J906" s="4"/>
      <c r="K906" s="4"/>
      <c r="L906" s="4"/>
      <c r="M906" s="4"/>
      <c r="N906" s="4"/>
      <c r="O906" s="4"/>
      <c r="P906" s="4"/>
      <c r="Q906" s="4"/>
      <c r="R906" s="16"/>
      <c r="S906" s="16"/>
      <c r="T906" s="16"/>
      <c r="U906" s="16"/>
      <c r="V906" s="16"/>
      <c r="W906" s="16"/>
      <c r="X906" s="16"/>
      <c r="Y906" s="16"/>
      <c r="Z906" s="16"/>
      <c r="AA906" s="16"/>
      <c r="AB906" s="16"/>
      <c r="AC906" s="16"/>
      <c r="AD906" s="16"/>
    </row>
    <row r="907" ht="13.5" customHeight="1" spans="1:30" x14ac:dyDescent="0.25">
      <c r="A907" s="4"/>
      <c r="B907" s="4"/>
      <c r="C907" s="4"/>
      <c r="D907" s="4"/>
      <c r="E907" s="4"/>
      <c r="F907" s="4"/>
      <c r="G907" s="4"/>
      <c r="H907" s="4"/>
      <c r="I907" s="4"/>
      <c r="J907" s="4"/>
      <c r="K907" s="4"/>
      <c r="L907" s="4"/>
      <c r="M907" s="4"/>
      <c r="N907" s="4"/>
      <c r="O907" s="4"/>
      <c r="P907" s="4"/>
      <c r="Q907" s="4"/>
      <c r="R907" s="16"/>
      <c r="S907" s="16"/>
      <c r="T907" s="16"/>
      <c r="U907" s="16"/>
      <c r="V907" s="16"/>
      <c r="W907" s="16"/>
      <c r="X907" s="16"/>
      <c r="Y907" s="16"/>
      <c r="Z907" s="16"/>
      <c r="AA907" s="16"/>
      <c r="AB907" s="16"/>
      <c r="AC907" s="16"/>
      <c r="AD907" s="16"/>
    </row>
    <row r="908" ht="13.5" customHeight="1" spans="1:30" x14ac:dyDescent="0.25">
      <c r="A908" s="4"/>
      <c r="B908" s="4"/>
      <c r="C908" s="4"/>
      <c r="D908" s="4"/>
      <c r="E908" s="4"/>
      <c r="F908" s="4"/>
      <c r="G908" s="4"/>
      <c r="H908" s="4"/>
      <c r="I908" s="4"/>
      <c r="J908" s="4"/>
      <c r="K908" s="4"/>
      <c r="L908" s="4"/>
      <c r="M908" s="4"/>
      <c r="N908" s="4"/>
      <c r="O908" s="4"/>
      <c r="P908" s="4"/>
      <c r="Q908" s="4"/>
      <c r="R908" s="16"/>
      <c r="S908" s="16"/>
      <c r="T908" s="16"/>
      <c r="U908" s="16"/>
      <c r="V908" s="16"/>
      <c r="W908" s="16"/>
      <c r="X908" s="16"/>
      <c r="Y908" s="16"/>
      <c r="Z908" s="16"/>
      <c r="AA908" s="16"/>
      <c r="AB908" s="16"/>
      <c r="AC908" s="16"/>
      <c r="AD908" s="16"/>
    </row>
    <row r="909" ht="13.5" customHeight="1" spans="1:30" x14ac:dyDescent="0.25">
      <c r="A909" s="4"/>
      <c r="B909" s="4"/>
      <c r="C909" s="4"/>
      <c r="D909" s="4"/>
      <c r="E909" s="4"/>
      <c r="F909" s="4"/>
      <c r="G909" s="4"/>
      <c r="H909" s="4"/>
      <c r="I909" s="4"/>
      <c r="J909" s="4"/>
      <c r="K909" s="4"/>
      <c r="L909" s="4"/>
      <c r="M909" s="4"/>
      <c r="N909" s="4"/>
      <c r="O909" s="4"/>
      <c r="P909" s="4"/>
      <c r="Q909" s="4"/>
      <c r="R909" s="16"/>
      <c r="S909" s="16"/>
      <c r="T909" s="16"/>
      <c r="U909" s="16"/>
      <c r="V909" s="16"/>
      <c r="W909" s="16"/>
      <c r="X909" s="16"/>
      <c r="Y909" s="16"/>
      <c r="Z909" s="16"/>
      <c r="AA909" s="16"/>
      <c r="AB909" s="16"/>
      <c r="AC909" s="16"/>
      <c r="AD909" s="16"/>
    </row>
    <row r="910" ht="13.5" customHeight="1" spans="1:30" x14ac:dyDescent="0.25">
      <c r="A910" s="4"/>
      <c r="B910" s="4"/>
      <c r="C910" s="4"/>
      <c r="D910" s="4"/>
      <c r="E910" s="4"/>
      <c r="F910" s="4"/>
      <c r="G910" s="4"/>
      <c r="H910" s="4"/>
      <c r="I910" s="4"/>
      <c r="J910" s="4"/>
      <c r="K910" s="4"/>
      <c r="L910" s="4"/>
      <c r="M910" s="4"/>
      <c r="N910" s="4"/>
      <c r="O910" s="4"/>
      <c r="P910" s="4"/>
      <c r="Q910" s="4"/>
      <c r="R910" s="16"/>
      <c r="S910" s="16"/>
      <c r="T910" s="16"/>
      <c r="U910" s="16"/>
      <c r="V910" s="16"/>
      <c r="W910" s="16"/>
      <c r="X910" s="16"/>
      <c r="Y910" s="16"/>
      <c r="Z910" s="16"/>
      <c r="AA910" s="16"/>
      <c r="AB910" s="16"/>
      <c r="AC910" s="16"/>
      <c r="AD910" s="16"/>
    </row>
    <row r="911" ht="13.5" customHeight="1" spans="1:30" x14ac:dyDescent="0.25">
      <c r="A911" s="4"/>
      <c r="B911" s="4"/>
      <c r="C911" s="4"/>
      <c r="D911" s="4"/>
      <c r="E911" s="4"/>
      <c r="F911" s="4"/>
      <c r="G911" s="4"/>
      <c r="H911" s="4"/>
      <c r="I911" s="4"/>
      <c r="J911" s="4"/>
      <c r="K911" s="4"/>
      <c r="L911" s="4"/>
      <c r="M911" s="4"/>
      <c r="N911" s="4"/>
      <c r="O911" s="4"/>
      <c r="P911" s="4"/>
      <c r="Q911" s="4"/>
      <c r="R911" s="16"/>
      <c r="S911" s="16"/>
      <c r="T911" s="16"/>
      <c r="U911" s="16"/>
      <c r="V911" s="16"/>
      <c r="W911" s="16"/>
      <c r="X911" s="16"/>
      <c r="Y911" s="16"/>
      <c r="Z911" s="16"/>
      <c r="AA911" s="16"/>
      <c r="AB911" s="16"/>
      <c r="AC911" s="16"/>
      <c r="AD911" s="16"/>
    </row>
    <row r="912" ht="13.5" customHeight="1" spans="1:30" x14ac:dyDescent="0.25">
      <c r="A912" s="4"/>
      <c r="B912" s="4"/>
      <c r="C912" s="4"/>
      <c r="D912" s="4"/>
      <c r="E912" s="4"/>
      <c r="F912" s="4"/>
      <c r="G912" s="4"/>
      <c r="H912" s="4"/>
      <c r="I912" s="4"/>
      <c r="J912" s="4"/>
      <c r="K912" s="4"/>
      <c r="L912" s="4"/>
      <c r="M912" s="4"/>
      <c r="N912" s="4"/>
      <c r="O912" s="4"/>
      <c r="P912" s="4"/>
      <c r="Q912" s="4"/>
      <c r="R912" s="16"/>
      <c r="S912" s="16"/>
      <c r="T912" s="16"/>
      <c r="U912" s="16"/>
      <c r="V912" s="16"/>
      <c r="W912" s="16"/>
      <c r="X912" s="16"/>
      <c r="Y912" s="16"/>
      <c r="Z912" s="16"/>
      <c r="AA912" s="16"/>
      <c r="AB912" s="16"/>
      <c r="AC912" s="16"/>
      <c r="AD912" s="16"/>
    </row>
    <row r="913" ht="13.5" customHeight="1" spans="1:30" x14ac:dyDescent="0.25">
      <c r="A913" s="4"/>
      <c r="B913" s="4"/>
      <c r="C913" s="4"/>
      <c r="D913" s="4"/>
      <c r="E913" s="4"/>
      <c r="F913" s="4"/>
      <c r="G913" s="4"/>
      <c r="H913" s="4"/>
      <c r="I913" s="4"/>
      <c r="J913" s="4"/>
      <c r="K913" s="4"/>
      <c r="L913" s="4"/>
      <c r="M913" s="4"/>
      <c r="N913" s="4"/>
      <c r="O913" s="4"/>
      <c r="P913" s="4"/>
      <c r="Q913" s="4"/>
      <c r="R913" s="16"/>
      <c r="S913" s="16"/>
      <c r="T913" s="16"/>
      <c r="U913" s="16"/>
      <c r="V913" s="16"/>
      <c r="W913" s="16"/>
      <c r="X913" s="16"/>
      <c r="Y913" s="16"/>
      <c r="Z913" s="16"/>
      <c r="AA913" s="16"/>
      <c r="AB913" s="16"/>
      <c r="AC913" s="16"/>
      <c r="AD913" s="16"/>
    </row>
    <row r="914" ht="13.5" customHeight="1" spans="1:30" x14ac:dyDescent="0.25">
      <c r="A914" s="4"/>
      <c r="B914" s="4"/>
      <c r="C914" s="4"/>
      <c r="D914" s="4"/>
      <c r="E914" s="4"/>
      <c r="F914" s="4"/>
      <c r="G914" s="4"/>
      <c r="H914" s="4"/>
      <c r="I914" s="4"/>
      <c r="J914" s="4"/>
      <c r="K914" s="4"/>
      <c r="L914" s="4"/>
      <c r="M914" s="4"/>
      <c r="N914" s="4"/>
      <c r="O914" s="4"/>
      <c r="P914" s="4"/>
      <c r="Q914" s="4"/>
      <c r="R914" s="16"/>
      <c r="S914" s="16"/>
      <c r="T914" s="16"/>
      <c r="U914" s="16"/>
      <c r="V914" s="16"/>
      <c r="W914" s="16"/>
      <c r="X914" s="16"/>
      <c r="Y914" s="16"/>
      <c r="Z914" s="16"/>
      <c r="AA914" s="16"/>
      <c r="AB914" s="16"/>
      <c r="AC914" s="16"/>
      <c r="AD914" s="16"/>
    </row>
    <row r="915" ht="13.5" customHeight="1" spans="1:30" x14ac:dyDescent="0.25">
      <c r="A915" s="4"/>
      <c r="B915" s="4"/>
      <c r="C915" s="4"/>
      <c r="D915" s="4"/>
      <c r="E915" s="4"/>
      <c r="F915" s="4"/>
      <c r="G915" s="4"/>
      <c r="H915" s="4"/>
      <c r="I915" s="4"/>
      <c r="J915" s="4"/>
      <c r="K915" s="4"/>
      <c r="L915" s="4"/>
      <c r="M915" s="4"/>
      <c r="N915" s="4"/>
      <c r="O915" s="4"/>
      <c r="P915" s="4"/>
      <c r="Q915" s="4"/>
      <c r="R915" s="16"/>
      <c r="S915" s="16"/>
      <c r="T915" s="16"/>
      <c r="U915" s="16"/>
      <c r="V915" s="16"/>
      <c r="W915" s="16"/>
      <c r="X915" s="16"/>
      <c r="Y915" s="16"/>
      <c r="Z915" s="16"/>
      <c r="AA915" s="16"/>
      <c r="AB915" s="16"/>
      <c r="AC915" s="16"/>
      <c r="AD915" s="16"/>
    </row>
    <row r="916" ht="13.5" customHeight="1" spans="1:30" x14ac:dyDescent="0.25">
      <c r="A916" s="4"/>
      <c r="B916" s="4"/>
      <c r="C916" s="4"/>
      <c r="D916" s="4"/>
      <c r="E916" s="4"/>
      <c r="F916" s="4"/>
      <c r="G916" s="4"/>
      <c r="H916" s="4"/>
      <c r="I916" s="4"/>
      <c r="J916" s="4"/>
      <c r="K916" s="4"/>
      <c r="L916" s="4"/>
      <c r="M916" s="4"/>
      <c r="N916" s="4"/>
      <c r="O916" s="4"/>
      <c r="P916" s="4"/>
      <c r="Q916" s="4"/>
      <c r="R916" s="16"/>
      <c r="S916" s="16"/>
      <c r="T916" s="16"/>
      <c r="U916" s="16"/>
      <c r="V916" s="16"/>
      <c r="W916" s="16"/>
      <c r="X916" s="16"/>
      <c r="Y916" s="16"/>
      <c r="Z916" s="16"/>
      <c r="AA916" s="16"/>
      <c r="AB916" s="16"/>
      <c r="AC916" s="16"/>
      <c r="AD916" s="16"/>
    </row>
    <row r="917" ht="13.5" customHeight="1" spans="1:30" x14ac:dyDescent="0.25">
      <c r="A917" s="4"/>
      <c r="B917" s="4"/>
      <c r="C917" s="4"/>
      <c r="D917" s="4"/>
      <c r="E917" s="4"/>
      <c r="F917" s="4"/>
      <c r="G917" s="4"/>
      <c r="H917" s="4"/>
      <c r="I917" s="4"/>
      <c r="J917" s="4"/>
      <c r="K917" s="4"/>
      <c r="L917" s="4"/>
      <c r="M917" s="4"/>
      <c r="N917" s="4"/>
      <c r="O917" s="4"/>
      <c r="P917" s="4"/>
      <c r="Q917" s="4"/>
      <c r="R917" s="16"/>
      <c r="S917" s="16"/>
      <c r="T917" s="16"/>
      <c r="U917" s="16"/>
      <c r="V917" s="16"/>
      <c r="W917" s="16"/>
      <c r="X917" s="16"/>
      <c r="Y917" s="16"/>
      <c r="Z917" s="16"/>
      <c r="AA917" s="16"/>
      <c r="AB917" s="16"/>
      <c r="AC917" s="16"/>
      <c r="AD917" s="16"/>
    </row>
    <row r="918" ht="13.5" customHeight="1" spans="1:30" x14ac:dyDescent="0.25">
      <c r="A918" s="4"/>
      <c r="B918" s="4"/>
      <c r="C918" s="4"/>
      <c r="D918" s="4"/>
      <c r="E918" s="4"/>
      <c r="F918" s="4"/>
      <c r="G918" s="4"/>
      <c r="H918" s="4"/>
      <c r="I918" s="4"/>
      <c r="J918" s="4"/>
      <c r="K918" s="4"/>
      <c r="L918" s="4"/>
      <c r="M918" s="4"/>
      <c r="N918" s="4"/>
      <c r="O918" s="4"/>
      <c r="P918" s="4"/>
      <c r="Q918" s="4"/>
      <c r="R918" s="16"/>
      <c r="S918" s="16"/>
      <c r="T918" s="16"/>
      <c r="U918" s="16"/>
      <c r="V918" s="16"/>
      <c r="W918" s="16"/>
      <c r="X918" s="16"/>
      <c r="Y918" s="16"/>
      <c r="Z918" s="16"/>
      <c r="AA918" s="16"/>
      <c r="AB918" s="16"/>
      <c r="AC918" s="16"/>
      <c r="AD918" s="16"/>
    </row>
    <row r="919" ht="13.5" customHeight="1" spans="1:30" x14ac:dyDescent="0.25">
      <c r="A919" s="4"/>
      <c r="B919" s="4"/>
      <c r="C919" s="4"/>
      <c r="D919" s="4"/>
      <c r="E919" s="4"/>
      <c r="F919" s="4"/>
      <c r="G919" s="4"/>
      <c r="H919" s="4"/>
      <c r="I919" s="4"/>
      <c r="J919" s="4"/>
      <c r="K919" s="4"/>
      <c r="L919" s="4"/>
      <c r="M919" s="4"/>
      <c r="N919" s="4"/>
      <c r="O919" s="4"/>
      <c r="P919" s="4"/>
      <c r="Q919" s="4"/>
      <c r="R919" s="16"/>
      <c r="S919" s="16"/>
      <c r="T919" s="16"/>
      <c r="U919" s="16"/>
      <c r="V919" s="16"/>
      <c r="W919" s="16"/>
      <c r="X919" s="16"/>
      <c r="Y919" s="16"/>
      <c r="Z919" s="16"/>
      <c r="AA919" s="16"/>
      <c r="AB919" s="16"/>
      <c r="AC919" s="16"/>
      <c r="AD919" s="16"/>
    </row>
    <row r="920" ht="13.5" customHeight="1" spans="1:30" x14ac:dyDescent="0.25">
      <c r="A920" s="4"/>
      <c r="B920" s="4"/>
      <c r="C920" s="4"/>
      <c r="D920" s="4"/>
      <c r="E920" s="4"/>
      <c r="F920" s="4"/>
      <c r="G920" s="4"/>
      <c r="H920" s="4"/>
      <c r="I920" s="4"/>
      <c r="J920" s="4"/>
      <c r="K920" s="4"/>
      <c r="L920" s="4"/>
      <c r="M920" s="4"/>
      <c r="N920" s="4"/>
      <c r="O920" s="4"/>
      <c r="P920" s="4"/>
      <c r="Q920" s="4"/>
      <c r="R920" s="16"/>
      <c r="S920" s="16"/>
      <c r="T920" s="16"/>
      <c r="U920" s="16"/>
      <c r="V920" s="16"/>
      <c r="W920" s="16"/>
      <c r="X920" s="16"/>
      <c r="Y920" s="16"/>
      <c r="Z920" s="16"/>
      <c r="AA920" s="16"/>
      <c r="AB920" s="16"/>
      <c r="AC920" s="16"/>
      <c r="AD920" s="16"/>
    </row>
    <row r="921" ht="13.5" customHeight="1" spans="1:30" x14ac:dyDescent="0.25">
      <c r="A921" s="4"/>
      <c r="B921" s="4"/>
      <c r="C921" s="4"/>
      <c r="D921" s="4"/>
      <c r="E921" s="4"/>
      <c r="F921" s="4"/>
      <c r="G921" s="4"/>
      <c r="H921" s="4"/>
      <c r="I921" s="4"/>
      <c r="J921" s="4"/>
      <c r="K921" s="4"/>
      <c r="L921" s="4"/>
      <c r="M921" s="4"/>
      <c r="N921" s="4"/>
      <c r="O921" s="4"/>
      <c r="P921" s="4"/>
      <c r="Q921" s="4"/>
      <c r="R921" s="16"/>
      <c r="S921" s="16"/>
      <c r="T921" s="16"/>
      <c r="U921" s="16"/>
      <c r="V921" s="16"/>
      <c r="W921" s="16"/>
      <c r="X921" s="16"/>
      <c r="Y921" s="16"/>
      <c r="Z921" s="16"/>
      <c r="AA921" s="16"/>
      <c r="AB921" s="16"/>
      <c r="AC921" s="16"/>
      <c r="AD921" s="16"/>
    </row>
    <row r="922" ht="13.5" customHeight="1" spans="1:30" x14ac:dyDescent="0.25">
      <c r="A922" s="4"/>
      <c r="B922" s="4"/>
      <c r="C922" s="4"/>
      <c r="D922" s="4"/>
      <c r="E922" s="4"/>
      <c r="F922" s="4"/>
      <c r="G922" s="4"/>
      <c r="H922" s="4"/>
      <c r="I922" s="4"/>
      <c r="J922" s="4"/>
      <c r="K922" s="4"/>
      <c r="L922" s="4"/>
      <c r="M922" s="4"/>
      <c r="N922" s="4"/>
      <c r="O922" s="4"/>
      <c r="P922" s="4"/>
      <c r="Q922" s="4"/>
      <c r="R922" s="16"/>
      <c r="S922" s="16"/>
      <c r="T922" s="16"/>
      <c r="U922" s="16"/>
      <c r="V922" s="16"/>
      <c r="W922" s="16"/>
      <c r="X922" s="16"/>
      <c r="Y922" s="16"/>
      <c r="Z922" s="16"/>
      <c r="AA922" s="16"/>
      <c r="AB922" s="16"/>
      <c r="AC922" s="16"/>
      <c r="AD922" s="16"/>
    </row>
    <row r="923" ht="13.5" customHeight="1" spans="1:30" x14ac:dyDescent="0.25">
      <c r="A923" s="4"/>
      <c r="B923" s="4"/>
      <c r="C923" s="4"/>
      <c r="D923" s="4"/>
      <c r="E923" s="4"/>
      <c r="F923" s="4"/>
      <c r="G923" s="4"/>
      <c r="H923" s="4"/>
      <c r="I923" s="4"/>
      <c r="J923" s="4"/>
      <c r="K923" s="4"/>
      <c r="L923" s="4"/>
      <c r="M923" s="4"/>
      <c r="N923" s="4"/>
      <c r="O923" s="4"/>
      <c r="P923" s="4"/>
      <c r="Q923" s="4"/>
      <c r="R923" s="16"/>
      <c r="S923" s="16"/>
      <c r="T923" s="16"/>
      <c r="U923" s="16"/>
      <c r="V923" s="16"/>
      <c r="W923" s="16"/>
      <c r="X923" s="16"/>
      <c r="Y923" s="16"/>
      <c r="Z923" s="16"/>
      <c r="AA923" s="16"/>
      <c r="AB923" s="16"/>
      <c r="AC923" s="16"/>
      <c r="AD923" s="16"/>
    </row>
    <row r="924" ht="13.5" customHeight="1" spans="1:30" x14ac:dyDescent="0.25">
      <c r="A924" s="4"/>
      <c r="B924" s="4"/>
      <c r="C924" s="4"/>
      <c r="D924" s="4"/>
      <c r="E924" s="4"/>
      <c r="F924" s="4"/>
      <c r="G924" s="4"/>
      <c r="H924" s="4"/>
      <c r="I924" s="4"/>
      <c r="J924" s="4"/>
      <c r="K924" s="4"/>
      <c r="L924" s="4"/>
      <c r="M924" s="4"/>
      <c r="N924" s="4"/>
      <c r="O924" s="4"/>
      <c r="P924" s="4"/>
      <c r="Q924" s="4"/>
      <c r="R924" s="16"/>
      <c r="S924" s="16"/>
      <c r="T924" s="16"/>
      <c r="U924" s="16"/>
      <c r="V924" s="16"/>
      <c r="W924" s="16"/>
      <c r="X924" s="16"/>
      <c r="Y924" s="16"/>
      <c r="Z924" s="16"/>
      <c r="AA924" s="16"/>
      <c r="AB924" s="16"/>
      <c r="AC924" s="16"/>
      <c r="AD924" s="16"/>
    </row>
    <row r="925" ht="13.5" customHeight="1" spans="1:30" x14ac:dyDescent="0.25">
      <c r="A925" s="4"/>
      <c r="B925" s="4"/>
      <c r="C925" s="4"/>
      <c r="D925" s="4"/>
      <c r="E925" s="4"/>
      <c r="F925" s="4"/>
      <c r="G925" s="4"/>
      <c r="H925" s="4"/>
      <c r="I925" s="4"/>
      <c r="J925" s="4"/>
      <c r="K925" s="4"/>
      <c r="L925" s="4"/>
      <c r="M925" s="4"/>
      <c r="N925" s="4"/>
      <c r="O925" s="4"/>
      <c r="P925" s="4"/>
      <c r="Q925" s="4"/>
      <c r="R925" s="16"/>
      <c r="S925" s="16"/>
      <c r="T925" s="16"/>
      <c r="U925" s="16"/>
      <c r="V925" s="16"/>
      <c r="W925" s="16"/>
      <c r="X925" s="16"/>
      <c r="Y925" s="16"/>
      <c r="Z925" s="16"/>
      <c r="AA925" s="16"/>
      <c r="AB925" s="16"/>
      <c r="AC925" s="16"/>
      <c r="AD925" s="16"/>
    </row>
    <row r="926" ht="13.5" customHeight="1" spans="1:30" x14ac:dyDescent="0.25">
      <c r="A926" s="4"/>
      <c r="B926" s="4"/>
      <c r="C926" s="4"/>
      <c r="D926" s="4"/>
      <c r="E926" s="4"/>
      <c r="F926" s="4"/>
      <c r="G926" s="4"/>
      <c r="H926" s="4"/>
      <c r="I926" s="4"/>
      <c r="J926" s="4"/>
      <c r="K926" s="4"/>
      <c r="L926" s="4"/>
      <c r="M926" s="4"/>
      <c r="N926" s="4"/>
      <c r="O926" s="4"/>
      <c r="P926" s="4"/>
      <c r="Q926" s="4"/>
      <c r="R926" s="16"/>
      <c r="S926" s="16"/>
      <c r="T926" s="16"/>
      <c r="U926" s="16"/>
      <c r="V926" s="16"/>
      <c r="W926" s="16"/>
      <c r="X926" s="16"/>
      <c r="Y926" s="16"/>
      <c r="Z926" s="16"/>
      <c r="AA926" s="16"/>
      <c r="AB926" s="16"/>
      <c r="AC926" s="16"/>
      <c r="AD926" s="16"/>
    </row>
    <row r="927" ht="13.5" customHeight="1" spans="1:30" x14ac:dyDescent="0.25">
      <c r="A927" s="4"/>
      <c r="B927" s="4"/>
      <c r="C927" s="4"/>
      <c r="D927" s="4"/>
      <c r="E927" s="4"/>
      <c r="F927" s="4"/>
      <c r="G927" s="4"/>
      <c r="H927" s="4"/>
      <c r="I927" s="4"/>
      <c r="J927" s="4"/>
      <c r="K927" s="4"/>
      <c r="L927" s="4"/>
      <c r="M927" s="4"/>
      <c r="N927" s="4"/>
      <c r="O927" s="4"/>
      <c r="P927" s="4"/>
      <c r="Q927" s="4"/>
      <c r="R927" s="16"/>
      <c r="S927" s="16"/>
      <c r="T927" s="16"/>
      <c r="U927" s="16"/>
      <c r="V927" s="16"/>
      <c r="W927" s="16"/>
      <c r="X927" s="16"/>
      <c r="Y927" s="16"/>
      <c r="Z927" s="16"/>
      <c r="AA927" s="16"/>
      <c r="AB927" s="16"/>
      <c r="AC927" s="16"/>
      <c r="AD927" s="16"/>
    </row>
    <row r="928" ht="13.5" customHeight="1" spans="1:30" x14ac:dyDescent="0.25">
      <c r="A928" s="4"/>
      <c r="B928" s="4"/>
      <c r="C928" s="4"/>
      <c r="D928" s="4"/>
      <c r="E928" s="4"/>
      <c r="F928" s="4"/>
      <c r="G928" s="4"/>
      <c r="H928" s="4"/>
      <c r="I928" s="4"/>
      <c r="J928" s="4"/>
      <c r="K928" s="4"/>
      <c r="L928" s="4"/>
      <c r="M928" s="4"/>
      <c r="N928" s="4"/>
      <c r="O928" s="4"/>
      <c r="P928" s="4"/>
      <c r="Q928" s="4"/>
      <c r="R928" s="16"/>
      <c r="S928" s="16"/>
      <c r="T928" s="16"/>
      <c r="U928" s="16"/>
      <c r="V928" s="16"/>
      <c r="W928" s="16"/>
      <c r="X928" s="16"/>
      <c r="Y928" s="16"/>
      <c r="Z928" s="16"/>
      <c r="AA928" s="16"/>
      <c r="AB928" s="16"/>
      <c r="AC928" s="16"/>
      <c r="AD928" s="16"/>
    </row>
    <row r="929" ht="13.5" customHeight="1" spans="1:30" x14ac:dyDescent="0.25">
      <c r="A929" s="4"/>
      <c r="B929" s="4"/>
      <c r="C929" s="4"/>
      <c r="D929" s="4"/>
      <c r="E929" s="4"/>
      <c r="F929" s="4"/>
      <c r="G929" s="4"/>
      <c r="H929" s="4"/>
      <c r="I929" s="4"/>
      <c r="J929" s="4"/>
      <c r="K929" s="4"/>
      <c r="L929" s="4"/>
      <c r="M929" s="4"/>
      <c r="N929" s="4"/>
      <c r="O929" s="4"/>
      <c r="P929" s="4"/>
      <c r="Q929" s="4"/>
      <c r="R929" s="16"/>
      <c r="S929" s="16"/>
      <c r="T929" s="16"/>
      <c r="U929" s="16"/>
      <c r="V929" s="16"/>
      <c r="W929" s="16"/>
      <c r="X929" s="16"/>
      <c r="Y929" s="16"/>
      <c r="Z929" s="16"/>
      <c r="AA929" s="16"/>
      <c r="AB929" s="16"/>
      <c r="AC929" s="16"/>
      <c r="AD929" s="16"/>
    </row>
    <row r="930" ht="13.5" customHeight="1" spans="1:30" x14ac:dyDescent="0.25">
      <c r="A930" s="4"/>
      <c r="B930" s="4"/>
      <c r="C930" s="4"/>
      <c r="D930" s="4"/>
      <c r="E930" s="4"/>
      <c r="F930" s="4"/>
      <c r="G930" s="4"/>
      <c r="H930" s="4"/>
      <c r="I930" s="4"/>
      <c r="J930" s="4"/>
      <c r="K930" s="4"/>
      <c r="L930" s="4"/>
      <c r="M930" s="4"/>
      <c r="N930" s="4"/>
      <c r="O930" s="4"/>
      <c r="P930" s="4"/>
      <c r="Q930" s="4"/>
      <c r="R930" s="16"/>
      <c r="S930" s="16"/>
      <c r="T930" s="16"/>
      <c r="U930" s="16"/>
      <c r="V930" s="16"/>
      <c r="W930" s="16"/>
      <c r="X930" s="16"/>
      <c r="Y930" s="16"/>
      <c r="Z930" s="16"/>
      <c r="AA930" s="16"/>
      <c r="AB930" s="16"/>
      <c r="AC930" s="16"/>
      <c r="AD930" s="16"/>
    </row>
    <row r="931" ht="13.5" customHeight="1" spans="1:30" x14ac:dyDescent="0.25">
      <c r="A931" s="4"/>
      <c r="B931" s="4"/>
      <c r="C931" s="4"/>
      <c r="D931" s="4"/>
      <c r="E931" s="4"/>
      <c r="F931" s="4"/>
      <c r="G931" s="4"/>
      <c r="H931" s="4"/>
      <c r="I931" s="4"/>
      <c r="J931" s="4"/>
      <c r="K931" s="4"/>
      <c r="L931" s="4"/>
      <c r="M931" s="4"/>
      <c r="N931" s="4"/>
      <c r="O931" s="4"/>
      <c r="P931" s="4"/>
      <c r="Q931" s="4"/>
      <c r="R931" s="16"/>
      <c r="S931" s="16"/>
      <c r="T931" s="16"/>
      <c r="U931" s="16"/>
      <c r="V931" s="16"/>
      <c r="W931" s="16"/>
      <c r="X931" s="16"/>
      <c r="Y931" s="16"/>
      <c r="Z931" s="16"/>
      <c r="AA931" s="16"/>
      <c r="AB931" s="16"/>
      <c r="AC931" s="16"/>
      <c r="AD931" s="16"/>
    </row>
    <row r="932" ht="13.5" customHeight="1" spans="1:30" x14ac:dyDescent="0.25">
      <c r="A932" s="4"/>
      <c r="B932" s="4"/>
      <c r="C932" s="4"/>
      <c r="D932" s="4"/>
      <c r="E932" s="4"/>
      <c r="F932" s="4"/>
      <c r="G932" s="4"/>
      <c r="H932" s="4"/>
      <c r="I932" s="4"/>
      <c r="J932" s="4"/>
      <c r="K932" s="4"/>
      <c r="L932" s="4"/>
      <c r="M932" s="4"/>
      <c r="N932" s="4"/>
      <c r="O932" s="4"/>
      <c r="P932" s="4"/>
      <c r="Q932" s="4"/>
      <c r="R932" s="16"/>
      <c r="S932" s="16"/>
      <c r="T932" s="16"/>
      <c r="U932" s="16"/>
      <c r="V932" s="16"/>
      <c r="W932" s="16"/>
      <c r="X932" s="16"/>
      <c r="Y932" s="16"/>
      <c r="Z932" s="16"/>
      <c r="AA932" s="16"/>
      <c r="AB932" s="16"/>
      <c r="AC932" s="16"/>
      <c r="AD932" s="16"/>
    </row>
    <row r="933" ht="13.5" customHeight="1" spans="1:30" x14ac:dyDescent="0.25">
      <c r="A933" s="4"/>
      <c r="B933" s="4"/>
      <c r="C933" s="4"/>
      <c r="D933" s="4"/>
      <c r="E933" s="4"/>
      <c r="F933" s="4"/>
      <c r="G933" s="4"/>
      <c r="H933" s="4"/>
      <c r="I933" s="4"/>
      <c r="J933" s="4"/>
      <c r="K933" s="4"/>
      <c r="L933" s="4"/>
      <c r="M933" s="4"/>
      <c r="N933" s="4"/>
      <c r="O933" s="4"/>
      <c r="P933" s="4"/>
      <c r="Q933" s="4"/>
      <c r="R933" s="16"/>
      <c r="S933" s="16"/>
      <c r="T933" s="16"/>
      <c r="U933" s="16"/>
      <c r="V933" s="16"/>
      <c r="W933" s="16"/>
      <c r="X933" s="16"/>
      <c r="Y933" s="16"/>
      <c r="Z933" s="16"/>
      <c r="AA933" s="16"/>
      <c r="AB933" s="16"/>
      <c r="AC933" s="16"/>
      <c r="AD933" s="16"/>
    </row>
    <row r="934" ht="13.5" customHeight="1" spans="1:30" x14ac:dyDescent="0.25">
      <c r="A934" s="4"/>
      <c r="B934" s="4"/>
      <c r="C934" s="4"/>
      <c r="D934" s="4"/>
      <c r="E934" s="4"/>
      <c r="F934" s="4"/>
      <c r="G934" s="4"/>
      <c r="H934" s="4"/>
      <c r="I934" s="4"/>
      <c r="J934" s="4"/>
      <c r="K934" s="4"/>
      <c r="L934" s="4"/>
      <c r="M934" s="4"/>
      <c r="N934" s="4"/>
      <c r="O934" s="4"/>
      <c r="P934" s="4"/>
      <c r="Q934" s="4"/>
      <c r="R934" s="16"/>
      <c r="S934" s="16"/>
      <c r="T934" s="16"/>
      <c r="U934" s="16"/>
      <c r="V934" s="16"/>
      <c r="W934" s="16"/>
      <c r="X934" s="16"/>
      <c r="Y934" s="16"/>
      <c r="Z934" s="16"/>
      <c r="AA934" s="16"/>
      <c r="AB934" s="16"/>
      <c r="AC934" s="16"/>
      <c r="AD934" s="16"/>
    </row>
    <row r="935" ht="13.5" customHeight="1" spans="1:30" x14ac:dyDescent="0.25">
      <c r="A935" s="4"/>
      <c r="B935" s="4"/>
      <c r="C935" s="4"/>
      <c r="D935" s="4"/>
      <c r="E935" s="4"/>
      <c r="F935" s="4"/>
      <c r="G935" s="4"/>
      <c r="H935" s="4"/>
      <c r="I935" s="4"/>
      <c r="J935" s="4"/>
      <c r="K935" s="4"/>
      <c r="L935" s="4"/>
      <c r="M935" s="4"/>
      <c r="N935" s="4"/>
      <c r="O935" s="4"/>
      <c r="P935" s="4"/>
      <c r="Q935" s="4"/>
      <c r="R935" s="16"/>
      <c r="S935" s="16"/>
      <c r="T935" s="16"/>
      <c r="U935" s="16"/>
      <c r="V935" s="16"/>
      <c r="W935" s="16"/>
      <c r="X935" s="16"/>
      <c r="Y935" s="16"/>
      <c r="Z935" s="16"/>
      <c r="AA935" s="16"/>
      <c r="AB935" s="16"/>
      <c r="AC935" s="16"/>
      <c r="AD935" s="16"/>
    </row>
    <row r="936" ht="13.5" customHeight="1" spans="1:30" x14ac:dyDescent="0.25">
      <c r="A936" s="4"/>
      <c r="B936" s="4"/>
      <c r="C936" s="4"/>
      <c r="D936" s="4"/>
      <c r="E936" s="4"/>
      <c r="F936" s="4"/>
      <c r="G936" s="4"/>
      <c r="H936" s="4"/>
      <c r="I936" s="4"/>
      <c r="J936" s="4"/>
      <c r="K936" s="4"/>
      <c r="L936" s="4"/>
      <c r="M936" s="4"/>
      <c r="N936" s="4"/>
      <c r="O936" s="4"/>
      <c r="P936" s="4"/>
      <c r="Q936" s="4"/>
      <c r="R936" s="16"/>
      <c r="S936" s="16"/>
      <c r="T936" s="16"/>
      <c r="U936" s="16"/>
      <c r="V936" s="16"/>
      <c r="W936" s="16"/>
      <c r="X936" s="16"/>
      <c r="Y936" s="16"/>
      <c r="Z936" s="16"/>
      <c r="AA936" s="16"/>
      <c r="AB936" s="16"/>
      <c r="AC936" s="16"/>
      <c r="AD936" s="16"/>
    </row>
    <row r="937" ht="13.5" customHeight="1" spans="1:30" x14ac:dyDescent="0.25">
      <c r="A937" s="4"/>
      <c r="B937" s="4"/>
      <c r="C937" s="4"/>
      <c r="D937" s="4"/>
      <c r="E937" s="4"/>
      <c r="F937" s="4"/>
      <c r="G937" s="4"/>
      <c r="H937" s="4"/>
      <c r="I937" s="4"/>
      <c r="J937" s="4"/>
      <c r="K937" s="4"/>
      <c r="L937" s="4"/>
      <c r="M937" s="4"/>
      <c r="N937" s="4"/>
      <c r="O937" s="4"/>
      <c r="P937" s="4"/>
      <c r="Q937" s="4"/>
      <c r="R937" s="16"/>
      <c r="S937" s="16"/>
      <c r="T937" s="16"/>
      <c r="U937" s="16"/>
      <c r="V937" s="16"/>
      <c r="W937" s="16"/>
      <c r="X937" s="16"/>
      <c r="Y937" s="16"/>
      <c r="Z937" s="16"/>
      <c r="AA937" s="16"/>
      <c r="AB937" s="16"/>
      <c r="AC937" s="16"/>
      <c r="AD937" s="16"/>
    </row>
    <row r="938" ht="13.5" customHeight="1" spans="1:30" x14ac:dyDescent="0.25">
      <c r="A938" s="4"/>
      <c r="B938" s="4"/>
      <c r="C938" s="4"/>
      <c r="D938" s="4"/>
      <c r="E938" s="4"/>
      <c r="F938" s="4"/>
      <c r="G938" s="4"/>
      <c r="H938" s="4"/>
      <c r="I938" s="4"/>
      <c r="J938" s="4"/>
      <c r="K938" s="4"/>
      <c r="L938" s="4"/>
      <c r="M938" s="4"/>
      <c r="N938" s="4"/>
      <c r="O938" s="4"/>
      <c r="P938" s="4"/>
      <c r="Q938" s="4"/>
      <c r="R938" s="16"/>
      <c r="S938" s="16"/>
      <c r="T938" s="16"/>
      <c r="U938" s="16"/>
      <c r="V938" s="16"/>
      <c r="W938" s="16"/>
      <c r="X938" s="16"/>
      <c r="Y938" s="16"/>
      <c r="Z938" s="16"/>
      <c r="AA938" s="16"/>
      <c r="AB938" s="16"/>
      <c r="AC938" s="16"/>
      <c r="AD938" s="16"/>
    </row>
    <row r="939" ht="13.5" customHeight="1" spans="1:30" x14ac:dyDescent="0.25">
      <c r="A939" s="4"/>
      <c r="B939" s="4"/>
      <c r="C939" s="4"/>
      <c r="D939" s="4"/>
      <c r="E939" s="4"/>
      <c r="F939" s="4"/>
      <c r="G939" s="4"/>
      <c r="H939" s="4"/>
      <c r="I939" s="4"/>
      <c r="J939" s="4"/>
      <c r="K939" s="4"/>
      <c r="L939" s="4"/>
      <c r="M939" s="4"/>
      <c r="N939" s="4"/>
      <c r="O939" s="4"/>
      <c r="P939" s="4"/>
      <c r="Q939" s="4"/>
      <c r="R939" s="16"/>
      <c r="S939" s="16"/>
      <c r="T939" s="16"/>
      <c r="U939" s="16"/>
      <c r="V939" s="16"/>
      <c r="W939" s="16"/>
      <c r="X939" s="16"/>
      <c r="Y939" s="16"/>
      <c r="Z939" s="16"/>
      <c r="AA939" s="16"/>
      <c r="AB939" s="16"/>
      <c r="AC939" s="16"/>
      <c r="AD939" s="16"/>
    </row>
    <row r="940" ht="13.5" customHeight="1" spans="1:30" x14ac:dyDescent="0.25">
      <c r="A940" s="4"/>
      <c r="B940" s="4"/>
      <c r="C940" s="4"/>
      <c r="D940" s="4"/>
      <c r="E940" s="4"/>
      <c r="F940" s="4"/>
      <c r="G940" s="4"/>
      <c r="H940" s="4"/>
      <c r="I940" s="4"/>
      <c r="J940" s="4"/>
      <c r="K940" s="4"/>
      <c r="L940" s="4"/>
      <c r="M940" s="4"/>
      <c r="N940" s="4"/>
      <c r="O940" s="4"/>
      <c r="P940" s="4"/>
      <c r="Q940" s="4"/>
      <c r="R940" s="16"/>
      <c r="S940" s="16"/>
      <c r="T940" s="16"/>
      <c r="U940" s="16"/>
      <c r="V940" s="16"/>
      <c r="W940" s="16"/>
      <c r="X940" s="16"/>
      <c r="Y940" s="16"/>
      <c r="Z940" s="16"/>
      <c r="AA940" s="16"/>
      <c r="AB940" s="16"/>
      <c r="AC940" s="16"/>
      <c r="AD940" s="16"/>
    </row>
    <row r="941" ht="13.5" customHeight="1" spans="1:30" x14ac:dyDescent="0.25">
      <c r="A941" s="4"/>
      <c r="B941" s="4"/>
      <c r="C941" s="4"/>
      <c r="D941" s="4"/>
      <c r="E941" s="4"/>
      <c r="F941" s="4"/>
      <c r="G941" s="4"/>
      <c r="H941" s="4"/>
      <c r="I941" s="4"/>
      <c r="J941" s="4"/>
      <c r="K941" s="4"/>
      <c r="L941" s="4"/>
      <c r="M941" s="4"/>
      <c r="N941" s="4"/>
      <c r="O941" s="4"/>
      <c r="P941" s="4"/>
      <c r="Q941" s="4"/>
      <c r="R941" s="16"/>
      <c r="S941" s="16"/>
      <c r="T941" s="16"/>
      <c r="U941" s="16"/>
      <c r="V941" s="16"/>
      <c r="W941" s="16"/>
      <c r="X941" s="16"/>
      <c r="Y941" s="16"/>
      <c r="Z941" s="16"/>
      <c r="AA941" s="16"/>
      <c r="AB941" s="16"/>
      <c r="AC941" s="16"/>
      <c r="AD941" s="16"/>
    </row>
    <row r="942" ht="13.5" customHeight="1" spans="1:30" x14ac:dyDescent="0.25">
      <c r="A942" s="4"/>
      <c r="B942" s="4"/>
      <c r="C942" s="4"/>
      <c r="D942" s="4"/>
      <c r="E942" s="4"/>
      <c r="F942" s="4"/>
      <c r="G942" s="4"/>
      <c r="H942" s="4"/>
      <c r="I942" s="4"/>
      <c r="J942" s="4"/>
      <c r="K942" s="4"/>
      <c r="L942" s="4"/>
      <c r="M942" s="4"/>
      <c r="N942" s="4"/>
      <c r="O942" s="4"/>
      <c r="P942" s="4"/>
      <c r="Q942" s="4"/>
      <c r="R942" s="16"/>
      <c r="S942" s="16"/>
      <c r="T942" s="16"/>
      <c r="U942" s="16"/>
      <c r="V942" s="16"/>
      <c r="W942" s="16"/>
      <c r="X942" s="16"/>
      <c r="Y942" s="16"/>
      <c r="Z942" s="16"/>
      <c r="AA942" s="16"/>
      <c r="AB942" s="16"/>
      <c r="AC942" s="16"/>
      <c r="AD942" s="16"/>
    </row>
    <row r="943" ht="13.5" customHeight="1" spans="1:30" x14ac:dyDescent="0.25">
      <c r="A943" s="4"/>
      <c r="B943" s="4"/>
      <c r="C943" s="4"/>
      <c r="D943" s="4"/>
      <c r="E943" s="4"/>
      <c r="F943" s="4"/>
      <c r="G943" s="4"/>
      <c r="H943" s="4"/>
      <c r="I943" s="4"/>
      <c r="J943" s="4"/>
      <c r="K943" s="4"/>
      <c r="L943" s="4"/>
      <c r="M943" s="4"/>
      <c r="N943" s="4"/>
      <c r="O943" s="4"/>
      <c r="P943" s="4"/>
      <c r="Q943" s="4"/>
      <c r="R943" s="16"/>
      <c r="S943" s="16"/>
      <c r="T943" s="16"/>
      <c r="U943" s="16"/>
      <c r="V943" s="16"/>
      <c r="W943" s="16"/>
      <c r="X943" s="16"/>
      <c r="Y943" s="16"/>
      <c r="Z943" s="16"/>
      <c r="AA943" s="16"/>
      <c r="AB943" s="16"/>
      <c r="AC943" s="16"/>
      <c r="AD943" s="16"/>
    </row>
    <row r="944" ht="13.5" customHeight="1" spans="1:30" x14ac:dyDescent="0.25">
      <c r="A944" s="4"/>
      <c r="B944" s="4"/>
      <c r="C944" s="4"/>
      <c r="D944" s="4"/>
      <c r="E944" s="4"/>
      <c r="F944" s="4"/>
      <c r="G944" s="4"/>
      <c r="H944" s="4"/>
      <c r="I944" s="4"/>
      <c r="J944" s="4"/>
      <c r="K944" s="4"/>
      <c r="L944" s="4"/>
      <c r="M944" s="4"/>
      <c r="N944" s="4"/>
      <c r="O944" s="4"/>
      <c r="P944" s="4"/>
      <c r="Q944" s="4"/>
      <c r="R944" s="16"/>
      <c r="S944" s="16"/>
      <c r="T944" s="16"/>
      <c r="U944" s="16"/>
      <c r="V944" s="16"/>
      <c r="W944" s="16"/>
      <c r="X944" s="16"/>
      <c r="Y944" s="16"/>
      <c r="Z944" s="16"/>
      <c r="AA944" s="16"/>
      <c r="AB944" s="16"/>
      <c r="AC944" s="16"/>
      <c r="AD944" s="16"/>
    </row>
    <row r="945" ht="13.5" customHeight="1" spans="1:30" x14ac:dyDescent="0.25">
      <c r="A945" s="4"/>
      <c r="B945" s="4"/>
      <c r="C945" s="4"/>
      <c r="D945" s="4"/>
      <c r="E945" s="4"/>
      <c r="F945" s="4"/>
      <c r="G945" s="4"/>
      <c r="H945" s="4"/>
      <c r="I945" s="4"/>
      <c r="J945" s="4"/>
      <c r="K945" s="4"/>
      <c r="L945" s="4"/>
      <c r="M945" s="4"/>
      <c r="N945" s="4"/>
      <c r="O945" s="4"/>
      <c r="P945" s="4"/>
      <c r="Q945" s="4"/>
      <c r="R945" s="16"/>
      <c r="S945" s="16"/>
      <c r="T945" s="16"/>
      <c r="U945" s="16"/>
      <c r="V945" s="16"/>
      <c r="W945" s="16"/>
      <c r="X945" s="16"/>
      <c r="Y945" s="16"/>
      <c r="Z945" s="16"/>
      <c r="AA945" s="16"/>
      <c r="AB945" s="16"/>
      <c r="AC945" s="16"/>
      <c r="AD945" s="16"/>
    </row>
    <row r="946" ht="13.5" customHeight="1" spans="1:30" x14ac:dyDescent="0.25">
      <c r="A946" s="4"/>
      <c r="B946" s="4"/>
      <c r="C946" s="4"/>
      <c r="D946" s="4"/>
      <c r="E946" s="4"/>
      <c r="F946" s="4"/>
      <c r="G946" s="4"/>
      <c r="H946" s="4"/>
      <c r="I946" s="4"/>
      <c r="J946" s="4"/>
      <c r="K946" s="4"/>
      <c r="L946" s="4"/>
      <c r="M946" s="4"/>
      <c r="N946" s="4"/>
      <c r="O946" s="4"/>
      <c r="P946" s="4"/>
      <c r="Q946" s="4"/>
      <c r="R946" s="16"/>
      <c r="S946" s="16"/>
      <c r="T946" s="16"/>
      <c r="U946" s="16"/>
      <c r="V946" s="16"/>
      <c r="W946" s="16"/>
      <c r="X946" s="16"/>
      <c r="Y946" s="16"/>
      <c r="Z946" s="16"/>
      <c r="AA946" s="16"/>
      <c r="AB946" s="16"/>
      <c r="AC946" s="16"/>
      <c r="AD946" s="16"/>
    </row>
    <row r="947" ht="13.5" customHeight="1" spans="1:30" x14ac:dyDescent="0.25">
      <c r="A947" s="4"/>
      <c r="B947" s="4"/>
      <c r="C947" s="4"/>
      <c r="D947" s="4"/>
      <c r="E947" s="4"/>
      <c r="F947" s="4"/>
      <c r="G947" s="4"/>
      <c r="H947" s="4"/>
      <c r="I947" s="4"/>
      <c r="J947" s="4"/>
      <c r="K947" s="4"/>
      <c r="L947" s="4"/>
      <c r="M947" s="4"/>
      <c r="N947" s="4"/>
      <c r="O947" s="4"/>
      <c r="P947" s="4"/>
      <c r="Q947" s="4"/>
      <c r="R947" s="16"/>
      <c r="S947" s="16"/>
      <c r="T947" s="16"/>
      <c r="U947" s="16"/>
      <c r="V947" s="16"/>
      <c r="W947" s="16"/>
      <c r="X947" s="16"/>
      <c r="Y947" s="16"/>
      <c r="Z947" s="16"/>
      <c r="AA947" s="16"/>
      <c r="AB947" s="16"/>
      <c r="AC947" s="16"/>
      <c r="AD947" s="16"/>
    </row>
    <row r="948" ht="13.5" customHeight="1" spans="1:30" x14ac:dyDescent="0.25">
      <c r="A948" s="4"/>
      <c r="B948" s="4"/>
      <c r="C948" s="4"/>
      <c r="D948" s="4"/>
      <c r="E948" s="4"/>
      <c r="F948" s="4"/>
      <c r="G948" s="4"/>
      <c r="H948" s="4"/>
      <c r="I948" s="4"/>
      <c r="J948" s="4"/>
      <c r="K948" s="4"/>
      <c r="L948" s="4"/>
      <c r="M948" s="4"/>
      <c r="N948" s="4"/>
      <c r="O948" s="4"/>
      <c r="P948" s="4"/>
      <c r="Q948" s="4"/>
      <c r="R948" s="16"/>
      <c r="S948" s="16"/>
      <c r="T948" s="16"/>
      <c r="U948" s="16"/>
      <c r="V948" s="16"/>
      <c r="W948" s="16"/>
      <c r="X948" s="16"/>
      <c r="Y948" s="16"/>
      <c r="Z948" s="16"/>
      <c r="AA948" s="16"/>
      <c r="AB948" s="16"/>
      <c r="AC948" s="16"/>
      <c r="AD948" s="16"/>
    </row>
    <row r="949" ht="13.5" customHeight="1" spans="1:30" x14ac:dyDescent="0.25">
      <c r="A949" s="4"/>
      <c r="B949" s="4"/>
      <c r="C949" s="4"/>
      <c r="D949" s="4"/>
      <c r="E949" s="4"/>
      <c r="F949" s="4"/>
      <c r="G949" s="4"/>
      <c r="H949" s="4"/>
      <c r="I949" s="4"/>
      <c r="J949" s="4"/>
      <c r="K949" s="4"/>
      <c r="L949" s="4"/>
      <c r="M949" s="4"/>
      <c r="N949" s="4"/>
      <c r="O949" s="4"/>
      <c r="P949" s="4"/>
      <c r="Q949" s="4"/>
      <c r="R949" s="16"/>
      <c r="S949" s="16"/>
      <c r="T949" s="16"/>
      <c r="U949" s="16"/>
      <c r="V949" s="16"/>
      <c r="W949" s="16"/>
      <c r="X949" s="16"/>
      <c r="Y949" s="16"/>
      <c r="Z949" s="16"/>
      <c r="AA949" s="16"/>
      <c r="AB949" s="16"/>
      <c r="AC949" s="16"/>
      <c r="AD949" s="16"/>
    </row>
    <row r="950" ht="13.5" customHeight="1" spans="1:30" x14ac:dyDescent="0.25">
      <c r="A950" s="4"/>
      <c r="B950" s="4"/>
      <c r="C950" s="4"/>
      <c r="D950" s="4"/>
      <c r="E950" s="4"/>
      <c r="F950" s="4"/>
      <c r="G950" s="4"/>
      <c r="H950" s="4"/>
      <c r="I950" s="4"/>
      <c r="J950" s="4"/>
      <c r="K950" s="4"/>
      <c r="L950" s="4"/>
      <c r="M950" s="4"/>
      <c r="N950" s="4"/>
      <c r="O950" s="4"/>
      <c r="P950" s="4"/>
      <c r="Q950" s="4"/>
      <c r="R950" s="16"/>
      <c r="S950" s="16"/>
      <c r="T950" s="16"/>
      <c r="U950" s="16"/>
      <c r="V950" s="16"/>
      <c r="W950" s="16"/>
      <c r="X950" s="16"/>
      <c r="Y950" s="16"/>
      <c r="Z950" s="16"/>
      <c r="AA950" s="16"/>
      <c r="AB950" s="16"/>
      <c r="AC950" s="16"/>
      <c r="AD950" s="16"/>
    </row>
    <row r="951" ht="13.5" customHeight="1" spans="1:30" x14ac:dyDescent="0.25">
      <c r="A951" s="4"/>
      <c r="B951" s="4"/>
      <c r="C951" s="4"/>
      <c r="D951" s="4"/>
      <c r="E951" s="4"/>
      <c r="F951" s="4"/>
      <c r="G951" s="4"/>
      <c r="H951" s="4"/>
      <c r="I951" s="4"/>
      <c r="J951" s="4"/>
      <c r="K951" s="4"/>
      <c r="L951" s="4"/>
      <c r="M951" s="4"/>
      <c r="N951" s="4"/>
      <c r="O951" s="4"/>
      <c r="P951" s="4"/>
      <c r="Q951" s="4"/>
      <c r="R951" s="16"/>
      <c r="S951" s="16"/>
      <c r="T951" s="16"/>
      <c r="U951" s="16"/>
      <c r="V951" s="16"/>
      <c r="W951" s="16"/>
      <c r="X951" s="16"/>
      <c r="Y951" s="16"/>
      <c r="Z951" s="16"/>
      <c r="AA951" s="16"/>
      <c r="AB951" s="16"/>
      <c r="AC951" s="16"/>
      <c r="AD951" s="16"/>
    </row>
    <row r="952" ht="13.5" customHeight="1" spans="1:30" x14ac:dyDescent="0.25">
      <c r="A952" s="4"/>
      <c r="B952" s="4"/>
      <c r="C952" s="4"/>
      <c r="D952" s="4"/>
      <c r="E952" s="4"/>
      <c r="F952" s="4"/>
      <c r="G952" s="4"/>
      <c r="H952" s="4"/>
      <c r="I952" s="4"/>
      <c r="J952" s="4"/>
      <c r="K952" s="4"/>
      <c r="L952" s="4"/>
      <c r="M952" s="4"/>
      <c r="N952" s="4"/>
      <c r="O952" s="4"/>
      <c r="P952" s="4"/>
      <c r="Q952" s="4"/>
      <c r="R952" s="16"/>
      <c r="S952" s="16"/>
      <c r="T952" s="16"/>
      <c r="U952" s="16"/>
      <c r="V952" s="16"/>
      <c r="W952" s="16"/>
      <c r="X952" s="16"/>
      <c r="Y952" s="16"/>
      <c r="Z952" s="16"/>
      <c r="AA952" s="16"/>
      <c r="AB952" s="16"/>
      <c r="AC952" s="16"/>
      <c r="AD952" s="16"/>
    </row>
    <row r="953" ht="13.5" customHeight="1" spans="1:30" x14ac:dyDescent="0.25">
      <c r="A953" s="4"/>
      <c r="B953" s="4"/>
      <c r="C953" s="4"/>
      <c r="D953" s="4"/>
      <c r="E953" s="4"/>
      <c r="F953" s="4"/>
      <c r="G953" s="4"/>
      <c r="H953" s="4"/>
      <c r="I953" s="4"/>
      <c r="J953" s="4"/>
      <c r="K953" s="4"/>
      <c r="L953" s="4"/>
      <c r="M953" s="4"/>
      <c r="N953" s="4"/>
      <c r="O953" s="4"/>
      <c r="P953" s="4"/>
      <c r="Q953" s="4"/>
      <c r="R953" s="16"/>
      <c r="S953" s="16"/>
      <c r="T953" s="16"/>
      <c r="U953" s="16"/>
      <c r="V953" s="16"/>
      <c r="W953" s="16"/>
      <c r="X953" s="16"/>
      <c r="Y953" s="16"/>
      <c r="Z953" s="16"/>
      <c r="AA953" s="16"/>
      <c r="AB953" s="16"/>
      <c r="AC953" s="16"/>
      <c r="AD953" s="16"/>
    </row>
    <row r="954" ht="13.5" customHeight="1" spans="1:30" x14ac:dyDescent="0.25">
      <c r="A954" s="4"/>
      <c r="B954" s="4"/>
      <c r="C954" s="4"/>
      <c r="D954" s="4"/>
      <c r="E954" s="4"/>
      <c r="F954" s="4"/>
      <c r="G954" s="4"/>
      <c r="H954" s="4"/>
      <c r="I954" s="4"/>
      <c r="J954" s="4"/>
      <c r="K954" s="4"/>
      <c r="L954" s="4"/>
      <c r="M954" s="4"/>
      <c r="N954" s="4"/>
      <c r="O954" s="4"/>
      <c r="P954" s="4"/>
      <c r="Q954" s="4"/>
      <c r="R954" s="16"/>
      <c r="S954" s="16"/>
      <c r="T954" s="16"/>
      <c r="U954" s="16"/>
      <c r="V954" s="16"/>
      <c r="W954" s="16"/>
      <c r="X954" s="16"/>
      <c r="Y954" s="16"/>
      <c r="Z954" s="16"/>
      <c r="AA954" s="16"/>
      <c r="AB954" s="16"/>
      <c r="AC954" s="16"/>
      <c r="AD954" s="16"/>
    </row>
    <row r="955" ht="13.5" customHeight="1" spans="1:30" x14ac:dyDescent="0.25">
      <c r="A955" s="4"/>
      <c r="B955" s="4"/>
      <c r="C955" s="4"/>
      <c r="D955" s="4"/>
      <c r="E955" s="4"/>
      <c r="F955" s="4"/>
      <c r="G955" s="4"/>
      <c r="H955" s="4"/>
      <c r="I955" s="4"/>
      <c r="J955" s="4"/>
      <c r="K955" s="4"/>
      <c r="L955" s="4"/>
      <c r="M955" s="4"/>
      <c r="N955" s="4"/>
      <c r="O955" s="4"/>
      <c r="P955" s="4"/>
      <c r="Q955" s="4"/>
      <c r="R955" s="16"/>
      <c r="S955" s="16"/>
      <c r="T955" s="16"/>
      <c r="U955" s="16"/>
      <c r="V955" s="16"/>
      <c r="W955" s="16"/>
      <c r="X955" s="16"/>
      <c r="Y955" s="16"/>
      <c r="Z955" s="16"/>
      <c r="AA955" s="16"/>
      <c r="AB955" s="16"/>
      <c r="AC955" s="16"/>
      <c r="AD955" s="16"/>
    </row>
    <row r="956" ht="13.5" customHeight="1" spans="1:30" x14ac:dyDescent="0.25">
      <c r="A956" s="4"/>
      <c r="B956" s="4"/>
      <c r="C956" s="4"/>
      <c r="D956" s="4"/>
      <c r="E956" s="4"/>
      <c r="F956" s="4"/>
      <c r="G956" s="4"/>
      <c r="H956" s="4"/>
      <c r="I956" s="4"/>
      <c r="J956" s="4"/>
      <c r="K956" s="4"/>
      <c r="L956" s="4"/>
      <c r="M956" s="4"/>
      <c r="N956" s="4"/>
      <c r="O956" s="4"/>
      <c r="P956" s="4"/>
      <c r="Q956" s="4"/>
      <c r="R956" s="16"/>
      <c r="S956" s="16"/>
      <c r="T956" s="16"/>
      <c r="U956" s="16"/>
      <c r="V956" s="16"/>
      <c r="W956" s="16"/>
      <c r="X956" s="16"/>
      <c r="Y956" s="16"/>
      <c r="Z956" s="16"/>
      <c r="AA956" s="16"/>
      <c r="AB956" s="16"/>
      <c r="AC956" s="16"/>
      <c r="AD956" s="16"/>
    </row>
    <row r="957" ht="13.5" customHeight="1" spans="1:30" x14ac:dyDescent="0.25">
      <c r="A957" s="4"/>
      <c r="B957" s="4"/>
      <c r="C957" s="4"/>
      <c r="D957" s="4"/>
      <c r="E957" s="4"/>
      <c r="F957" s="4"/>
      <c r="G957" s="4"/>
      <c r="H957" s="4"/>
      <c r="I957" s="4"/>
      <c r="J957" s="4"/>
      <c r="K957" s="4"/>
      <c r="L957" s="4"/>
      <c r="M957" s="4"/>
      <c r="N957" s="4"/>
      <c r="O957" s="4"/>
      <c r="P957" s="4"/>
      <c r="Q957" s="4"/>
      <c r="R957" s="16"/>
      <c r="S957" s="16"/>
      <c r="T957" s="16"/>
      <c r="U957" s="16"/>
      <c r="V957" s="16"/>
      <c r="W957" s="16"/>
      <c r="X957" s="16"/>
      <c r="Y957" s="16"/>
      <c r="Z957" s="16"/>
      <c r="AA957" s="16"/>
      <c r="AB957" s="16"/>
      <c r="AC957" s="16"/>
      <c r="AD957" s="16"/>
    </row>
    <row r="958" ht="13.5" customHeight="1" spans="1:30" x14ac:dyDescent="0.25">
      <c r="A958" s="4"/>
      <c r="B958" s="4"/>
      <c r="C958" s="4"/>
      <c r="D958" s="4"/>
      <c r="E958" s="4"/>
      <c r="F958" s="4"/>
      <c r="G958" s="4"/>
      <c r="H958" s="4"/>
      <c r="I958" s="4"/>
      <c r="J958" s="4"/>
      <c r="K958" s="4"/>
      <c r="L958" s="4"/>
      <c r="M958" s="4"/>
      <c r="N958" s="4"/>
      <c r="O958" s="4"/>
      <c r="P958" s="4"/>
      <c r="Q958" s="4"/>
      <c r="R958" s="16"/>
      <c r="S958" s="16"/>
      <c r="T958" s="16"/>
      <c r="U958" s="16"/>
      <c r="V958" s="16"/>
      <c r="W958" s="16"/>
      <c r="X958" s="16"/>
      <c r="Y958" s="16"/>
      <c r="Z958" s="16"/>
      <c r="AA958" s="16"/>
      <c r="AB958" s="16"/>
      <c r="AC958" s="16"/>
      <c r="AD958" s="16"/>
    </row>
    <row r="959" ht="13.5" customHeight="1" spans="1:30" x14ac:dyDescent="0.25">
      <c r="A959" s="4"/>
      <c r="B959" s="4"/>
      <c r="C959" s="4"/>
      <c r="D959" s="4"/>
      <c r="E959" s="4"/>
      <c r="F959" s="4"/>
      <c r="G959" s="4"/>
      <c r="H959" s="4"/>
      <c r="I959" s="4"/>
      <c r="J959" s="4"/>
      <c r="K959" s="4"/>
      <c r="L959" s="4"/>
      <c r="M959" s="4"/>
      <c r="N959" s="4"/>
      <c r="O959" s="4"/>
      <c r="P959" s="4"/>
      <c r="Q959" s="4"/>
      <c r="R959" s="16"/>
      <c r="S959" s="16"/>
      <c r="T959" s="16"/>
      <c r="U959" s="16"/>
      <c r="V959" s="16"/>
      <c r="W959" s="16"/>
      <c r="X959" s="16"/>
      <c r="Y959" s="16"/>
      <c r="Z959" s="16"/>
      <c r="AA959" s="16"/>
      <c r="AB959" s="16"/>
      <c r="AC959" s="16"/>
      <c r="AD959" s="16"/>
    </row>
    <row r="960" ht="13.5" customHeight="1" spans="1:30" x14ac:dyDescent="0.25">
      <c r="A960" s="4"/>
      <c r="B960" s="4"/>
      <c r="C960" s="4"/>
      <c r="D960" s="4"/>
      <c r="E960" s="4"/>
      <c r="F960" s="4"/>
      <c r="G960" s="4"/>
      <c r="H960" s="4"/>
      <c r="I960" s="4"/>
      <c r="J960" s="4"/>
      <c r="K960" s="4"/>
      <c r="L960" s="4"/>
      <c r="M960" s="4"/>
      <c r="N960" s="4"/>
      <c r="O960" s="4"/>
      <c r="P960" s="4"/>
      <c r="Q960" s="4"/>
      <c r="R960" s="16"/>
      <c r="S960" s="16"/>
      <c r="T960" s="16"/>
      <c r="U960" s="16"/>
      <c r="V960" s="16"/>
      <c r="W960" s="16"/>
      <c r="X960" s="16"/>
      <c r="Y960" s="16"/>
      <c r="Z960" s="16"/>
      <c r="AA960" s="16"/>
      <c r="AB960" s="16"/>
      <c r="AC960" s="16"/>
      <c r="AD960" s="16"/>
    </row>
    <row r="961" ht="13.5" customHeight="1" spans="1:30" x14ac:dyDescent="0.25">
      <c r="A961" s="4"/>
      <c r="B961" s="4"/>
      <c r="C961" s="4"/>
      <c r="D961" s="4"/>
      <c r="E961" s="4"/>
      <c r="F961" s="4"/>
      <c r="G961" s="4"/>
      <c r="H961" s="4"/>
      <c r="I961" s="4"/>
      <c r="J961" s="4"/>
      <c r="K961" s="4"/>
      <c r="L961" s="4"/>
      <c r="M961" s="4"/>
      <c r="N961" s="4"/>
      <c r="O961" s="4"/>
      <c r="P961" s="4"/>
      <c r="Q961" s="4"/>
      <c r="R961" s="16"/>
      <c r="S961" s="16"/>
      <c r="T961" s="16"/>
      <c r="U961" s="16"/>
      <c r="V961" s="16"/>
      <c r="W961" s="16"/>
      <c r="X961" s="16"/>
      <c r="Y961" s="16"/>
      <c r="Z961" s="16"/>
      <c r="AA961" s="16"/>
      <c r="AB961" s="16"/>
      <c r="AC961" s="16"/>
      <c r="AD961" s="16"/>
    </row>
    <row r="962" ht="13.5" customHeight="1" spans="1:30" x14ac:dyDescent="0.25">
      <c r="A962" s="4"/>
      <c r="B962" s="4"/>
      <c r="C962" s="4"/>
      <c r="D962" s="4"/>
      <c r="E962" s="4"/>
      <c r="F962" s="4"/>
      <c r="G962" s="4"/>
      <c r="H962" s="4"/>
      <c r="I962" s="4"/>
      <c r="J962" s="4"/>
      <c r="K962" s="4"/>
      <c r="L962" s="4"/>
      <c r="M962" s="4"/>
      <c r="N962" s="4"/>
      <c r="O962" s="4"/>
      <c r="P962" s="4"/>
      <c r="Q962" s="4"/>
      <c r="R962" s="16"/>
      <c r="S962" s="16"/>
      <c r="T962" s="16"/>
      <c r="U962" s="16"/>
      <c r="V962" s="16"/>
      <c r="W962" s="16"/>
      <c r="X962" s="16"/>
      <c r="Y962" s="16"/>
      <c r="Z962" s="16"/>
      <c r="AA962" s="16"/>
      <c r="AB962" s="16"/>
      <c r="AC962" s="16"/>
      <c r="AD962" s="16"/>
    </row>
    <row r="963" ht="13.5" customHeight="1" spans="1:30" x14ac:dyDescent="0.25">
      <c r="A963" s="4"/>
      <c r="B963" s="4"/>
      <c r="C963" s="4"/>
      <c r="D963" s="4"/>
      <c r="E963" s="4"/>
      <c r="F963" s="4"/>
      <c r="G963" s="4"/>
      <c r="H963" s="4"/>
      <c r="I963" s="4"/>
      <c r="J963" s="4"/>
      <c r="K963" s="4"/>
      <c r="L963" s="4"/>
      <c r="M963" s="4"/>
      <c r="N963" s="4"/>
      <c r="O963" s="4"/>
      <c r="P963" s="4"/>
      <c r="Q963" s="4"/>
      <c r="R963" s="16"/>
      <c r="S963" s="16"/>
      <c r="T963" s="16"/>
      <c r="U963" s="16"/>
      <c r="V963" s="16"/>
      <c r="W963" s="16"/>
      <c r="X963" s="16"/>
      <c r="Y963" s="16"/>
      <c r="Z963" s="16"/>
      <c r="AA963" s="16"/>
      <c r="AB963" s="16"/>
      <c r="AC963" s="16"/>
      <c r="AD963" s="16"/>
    </row>
    <row r="964" ht="13.5" customHeight="1" spans="1:30" x14ac:dyDescent="0.25">
      <c r="A964" s="4"/>
      <c r="B964" s="4"/>
      <c r="C964" s="4"/>
      <c r="D964" s="4"/>
      <c r="E964" s="4"/>
      <c r="F964" s="4"/>
      <c r="G964" s="4"/>
      <c r="H964" s="4"/>
      <c r="I964" s="4"/>
      <c r="J964" s="4"/>
      <c r="K964" s="4"/>
      <c r="L964" s="4"/>
      <c r="M964" s="4"/>
      <c r="N964" s="4"/>
      <c r="O964" s="4"/>
      <c r="P964" s="4"/>
      <c r="Q964" s="4"/>
      <c r="R964" s="16"/>
      <c r="S964" s="16"/>
      <c r="T964" s="16"/>
      <c r="U964" s="16"/>
      <c r="V964" s="16"/>
      <c r="W964" s="16"/>
      <c r="X964" s="16"/>
      <c r="Y964" s="16"/>
      <c r="Z964" s="16"/>
      <c r="AA964" s="16"/>
      <c r="AB964" s="16"/>
      <c r="AC964" s="16"/>
      <c r="AD964" s="16"/>
    </row>
    <row r="965" ht="13.5" customHeight="1" spans="1:30" x14ac:dyDescent="0.25">
      <c r="A965" s="4"/>
      <c r="B965" s="4"/>
      <c r="C965" s="4"/>
      <c r="D965" s="4"/>
      <c r="E965" s="4"/>
      <c r="F965" s="4"/>
      <c r="G965" s="4"/>
      <c r="H965" s="4"/>
      <c r="I965" s="4"/>
      <c r="J965" s="4"/>
      <c r="K965" s="4"/>
      <c r="L965" s="4"/>
      <c r="M965" s="4"/>
      <c r="N965" s="4"/>
      <c r="O965" s="4"/>
      <c r="P965" s="4"/>
      <c r="Q965" s="4"/>
      <c r="R965" s="16"/>
      <c r="S965" s="16"/>
      <c r="T965" s="16"/>
      <c r="U965" s="16"/>
      <c r="V965" s="16"/>
      <c r="W965" s="16"/>
      <c r="X965" s="16"/>
      <c r="Y965" s="16"/>
      <c r="Z965" s="16"/>
      <c r="AA965" s="16"/>
      <c r="AB965" s="16"/>
      <c r="AC965" s="16"/>
      <c r="AD965" s="16"/>
    </row>
    <row r="966" ht="13.5" customHeight="1" spans="1:30" x14ac:dyDescent="0.25">
      <c r="A966" s="4"/>
      <c r="B966" s="4"/>
      <c r="C966" s="4"/>
      <c r="D966" s="4"/>
      <c r="E966" s="4"/>
      <c r="F966" s="4"/>
      <c r="G966" s="4"/>
      <c r="H966" s="4"/>
      <c r="I966" s="4"/>
      <c r="J966" s="4"/>
      <c r="K966" s="4"/>
      <c r="L966" s="4"/>
      <c r="M966" s="4"/>
      <c r="N966" s="4"/>
      <c r="O966" s="4"/>
      <c r="P966" s="4"/>
      <c r="Q966" s="4"/>
      <c r="R966" s="16"/>
      <c r="S966" s="16"/>
      <c r="T966" s="16"/>
      <c r="U966" s="16"/>
      <c r="V966" s="16"/>
      <c r="W966" s="16"/>
      <c r="X966" s="16"/>
      <c r="Y966" s="16"/>
      <c r="Z966" s="16"/>
      <c r="AA966" s="16"/>
      <c r="AB966" s="16"/>
      <c r="AC966" s="16"/>
      <c r="AD966" s="16"/>
    </row>
    <row r="967" ht="13.5" customHeight="1" spans="1:30" x14ac:dyDescent="0.25">
      <c r="A967" s="4"/>
      <c r="B967" s="4"/>
      <c r="C967" s="4"/>
      <c r="D967" s="4"/>
      <c r="E967" s="4"/>
      <c r="F967" s="4"/>
      <c r="G967" s="4"/>
      <c r="H967" s="4"/>
      <c r="I967" s="4"/>
      <c r="J967" s="4"/>
      <c r="K967" s="4"/>
      <c r="L967" s="4"/>
      <c r="M967" s="4"/>
      <c r="N967" s="4"/>
      <c r="O967" s="4"/>
      <c r="P967" s="4"/>
      <c r="Q967" s="4"/>
      <c r="R967" s="16"/>
      <c r="S967" s="16"/>
      <c r="T967" s="16"/>
      <c r="U967" s="16"/>
      <c r="V967" s="16"/>
      <c r="W967" s="16"/>
      <c r="X967" s="16"/>
      <c r="Y967" s="16"/>
      <c r="Z967" s="16"/>
      <c r="AA967" s="16"/>
      <c r="AB967" s="16"/>
      <c r="AC967" s="16"/>
      <c r="AD967" s="16"/>
    </row>
    <row r="968" ht="13.5" customHeight="1" spans="1:30" x14ac:dyDescent="0.25">
      <c r="A968" s="4"/>
      <c r="B968" s="4"/>
      <c r="C968" s="4"/>
      <c r="D968" s="4"/>
      <c r="E968" s="4"/>
      <c r="F968" s="4"/>
      <c r="G968" s="4"/>
      <c r="H968" s="4"/>
      <c r="I968" s="4"/>
      <c r="J968" s="4"/>
      <c r="K968" s="4"/>
      <c r="L968" s="4"/>
      <c r="M968" s="4"/>
      <c r="N968" s="4"/>
      <c r="O968" s="4"/>
      <c r="P968" s="4"/>
      <c r="Q968" s="4"/>
      <c r="R968" s="16"/>
      <c r="S968" s="16"/>
      <c r="T968" s="16"/>
      <c r="U968" s="16"/>
      <c r="V968" s="16"/>
      <c r="W968" s="16"/>
      <c r="X968" s="16"/>
      <c r="Y968" s="16"/>
      <c r="Z968" s="16"/>
      <c r="AA968" s="16"/>
      <c r="AB968" s="16"/>
      <c r="AC968" s="16"/>
      <c r="AD968" s="16"/>
    </row>
    <row r="969" ht="13.5" customHeight="1" spans="1:30" x14ac:dyDescent="0.25">
      <c r="A969" s="4"/>
      <c r="B969" s="4"/>
      <c r="C969" s="4"/>
      <c r="D969" s="4"/>
      <c r="E969" s="4"/>
      <c r="F969" s="4"/>
      <c r="G969" s="4"/>
      <c r="H969" s="4"/>
      <c r="I969" s="4"/>
      <c r="J969" s="4"/>
      <c r="K969" s="4"/>
      <c r="L969" s="4"/>
      <c r="M969" s="4"/>
      <c r="N969" s="4"/>
      <c r="O969" s="4"/>
      <c r="P969" s="4"/>
      <c r="Q969" s="4"/>
      <c r="R969" s="16"/>
      <c r="S969" s="16"/>
      <c r="T969" s="16"/>
      <c r="U969" s="16"/>
      <c r="V969" s="16"/>
      <c r="W969" s="16"/>
      <c r="X969" s="16"/>
      <c r="Y969" s="16"/>
      <c r="Z969" s="16"/>
      <c r="AA969" s="16"/>
      <c r="AB969" s="16"/>
      <c r="AC969" s="16"/>
      <c r="AD969" s="16"/>
    </row>
    <row r="970" ht="13.5" customHeight="1" spans="1:30" x14ac:dyDescent="0.25">
      <c r="A970" s="4"/>
      <c r="B970" s="4"/>
      <c r="C970" s="4"/>
      <c r="D970" s="4"/>
      <c r="E970" s="4"/>
      <c r="F970" s="4"/>
      <c r="G970" s="4"/>
      <c r="H970" s="4"/>
      <c r="I970" s="4"/>
      <c r="J970" s="4"/>
      <c r="K970" s="4"/>
      <c r="L970" s="4"/>
      <c r="M970" s="4"/>
      <c r="N970" s="4"/>
      <c r="O970" s="4"/>
      <c r="P970" s="4"/>
      <c r="Q970" s="4"/>
      <c r="R970" s="16"/>
      <c r="S970" s="16"/>
      <c r="T970" s="16"/>
      <c r="U970" s="16"/>
      <c r="V970" s="16"/>
      <c r="W970" s="16"/>
      <c r="X970" s="16"/>
      <c r="Y970" s="16"/>
      <c r="Z970" s="16"/>
      <c r="AA970" s="16"/>
      <c r="AB970" s="16"/>
      <c r="AC970" s="16"/>
      <c r="AD970" s="16"/>
    </row>
    <row r="971" ht="13.5" customHeight="1" spans="1:30" x14ac:dyDescent="0.25">
      <c r="A971" s="4"/>
      <c r="B971" s="4"/>
      <c r="C971" s="4"/>
      <c r="D971" s="4"/>
      <c r="E971" s="4"/>
      <c r="F971" s="4"/>
      <c r="G971" s="4"/>
      <c r="H971" s="4"/>
      <c r="I971" s="4"/>
      <c r="J971" s="4"/>
      <c r="K971" s="4"/>
      <c r="L971" s="4"/>
      <c r="M971" s="4"/>
      <c r="N971" s="4"/>
      <c r="O971" s="4"/>
      <c r="P971" s="4"/>
      <c r="Q971" s="4"/>
      <c r="R971" s="16"/>
      <c r="S971" s="16"/>
      <c r="T971" s="16"/>
      <c r="U971" s="16"/>
      <c r="V971" s="16"/>
      <c r="W971" s="16"/>
      <c r="X971" s="16"/>
      <c r="Y971" s="16"/>
      <c r="Z971" s="16"/>
      <c r="AA971" s="16"/>
      <c r="AB971" s="16"/>
      <c r="AC971" s="16"/>
      <c r="AD971" s="16"/>
    </row>
    <row r="972" ht="13.5" customHeight="1" spans="1:30" x14ac:dyDescent="0.25">
      <c r="A972" s="4"/>
      <c r="B972" s="4"/>
      <c r="C972" s="4"/>
      <c r="D972" s="4"/>
      <c r="E972" s="4"/>
      <c r="F972" s="4"/>
      <c r="G972" s="4"/>
      <c r="H972" s="4"/>
      <c r="I972" s="4"/>
      <c r="J972" s="4"/>
      <c r="K972" s="4"/>
      <c r="L972" s="4"/>
      <c r="M972" s="4"/>
      <c r="N972" s="4"/>
      <c r="O972" s="4"/>
      <c r="P972" s="4"/>
      <c r="Q972" s="4"/>
      <c r="R972" s="16"/>
      <c r="S972" s="16"/>
      <c r="T972" s="16"/>
      <c r="U972" s="16"/>
      <c r="V972" s="16"/>
      <c r="W972" s="16"/>
      <c r="X972" s="16"/>
      <c r="Y972" s="16"/>
      <c r="Z972" s="16"/>
      <c r="AA972" s="16"/>
      <c r="AB972" s="16"/>
      <c r="AC972" s="16"/>
      <c r="AD972" s="16"/>
    </row>
    <row r="973" ht="13.5" customHeight="1" spans="1:30" x14ac:dyDescent="0.25">
      <c r="A973" s="4"/>
      <c r="B973" s="4"/>
      <c r="C973" s="4"/>
      <c r="D973" s="4"/>
      <c r="E973" s="4"/>
      <c r="F973" s="4"/>
      <c r="G973" s="4"/>
      <c r="H973" s="4"/>
      <c r="I973" s="4"/>
      <c r="J973" s="4"/>
      <c r="K973" s="4"/>
      <c r="L973" s="4"/>
      <c r="M973" s="4"/>
      <c r="N973" s="4"/>
      <c r="O973" s="4"/>
      <c r="P973" s="4"/>
      <c r="Q973" s="4"/>
      <c r="R973" s="16"/>
      <c r="S973" s="16"/>
      <c r="T973" s="16"/>
      <c r="U973" s="16"/>
      <c r="V973" s="16"/>
      <c r="W973" s="16"/>
      <c r="X973" s="16"/>
      <c r="Y973" s="16"/>
      <c r="Z973" s="16"/>
      <c r="AA973" s="16"/>
      <c r="AB973" s="16"/>
      <c r="AC973" s="16"/>
      <c r="AD973" s="16"/>
    </row>
    <row r="974" ht="13.5" customHeight="1" spans="1:30" x14ac:dyDescent="0.25">
      <c r="A974" s="4"/>
      <c r="B974" s="4"/>
      <c r="C974" s="4"/>
      <c r="D974" s="4"/>
      <c r="E974" s="4"/>
      <c r="F974" s="4"/>
      <c r="G974" s="4"/>
      <c r="H974" s="4"/>
      <c r="I974" s="4"/>
      <c r="J974" s="4"/>
      <c r="K974" s="4"/>
      <c r="L974" s="4"/>
      <c r="M974" s="4"/>
      <c r="N974" s="4"/>
      <c r="O974" s="4"/>
      <c r="P974" s="4"/>
      <c r="Q974" s="4"/>
      <c r="R974" s="16"/>
      <c r="S974" s="16"/>
      <c r="T974" s="16"/>
      <c r="U974" s="16"/>
      <c r="V974" s="16"/>
      <c r="W974" s="16"/>
      <c r="X974" s="16"/>
      <c r="Y974" s="16"/>
      <c r="Z974" s="16"/>
      <c r="AA974" s="16"/>
      <c r="AB974" s="16"/>
      <c r="AC974" s="16"/>
      <c r="AD974" s="16"/>
    </row>
    <row r="975" ht="13.5" customHeight="1" spans="1:30" x14ac:dyDescent="0.25">
      <c r="A975" s="4"/>
      <c r="B975" s="4"/>
      <c r="C975" s="4"/>
      <c r="D975" s="4"/>
      <c r="E975" s="4"/>
      <c r="F975" s="4"/>
      <c r="G975" s="4"/>
      <c r="H975" s="4"/>
      <c r="I975" s="4"/>
      <c r="J975" s="4"/>
      <c r="K975" s="4"/>
      <c r="L975" s="4"/>
      <c r="M975" s="4"/>
      <c r="N975" s="4"/>
      <c r="O975" s="4"/>
      <c r="P975" s="4"/>
      <c r="Q975" s="4"/>
      <c r="R975" s="16"/>
      <c r="S975" s="16"/>
      <c r="T975" s="16"/>
      <c r="U975" s="16"/>
      <c r="V975" s="16"/>
      <c r="W975" s="16"/>
      <c r="X975" s="16"/>
      <c r="Y975" s="16"/>
      <c r="Z975" s="16"/>
      <c r="AA975" s="16"/>
      <c r="AB975" s="16"/>
      <c r="AC975" s="16"/>
      <c r="AD975" s="16"/>
    </row>
    <row r="976" ht="13.5" customHeight="1" spans="1:30" x14ac:dyDescent="0.25">
      <c r="A976" s="4"/>
      <c r="B976" s="4"/>
      <c r="C976" s="4"/>
      <c r="D976" s="4"/>
      <c r="E976" s="4"/>
      <c r="F976" s="4"/>
      <c r="G976" s="4"/>
      <c r="H976" s="4"/>
      <c r="I976" s="4"/>
      <c r="J976" s="4"/>
      <c r="K976" s="4"/>
      <c r="L976" s="4"/>
      <c r="M976" s="4"/>
      <c r="N976" s="4"/>
      <c r="O976" s="4"/>
      <c r="P976" s="4"/>
      <c r="Q976" s="4"/>
      <c r="R976" s="16"/>
      <c r="S976" s="16"/>
      <c r="T976" s="16"/>
      <c r="U976" s="16"/>
      <c r="V976" s="16"/>
      <c r="W976" s="16"/>
      <c r="X976" s="16"/>
      <c r="Y976" s="16"/>
      <c r="Z976" s="16"/>
      <c r="AA976" s="16"/>
      <c r="AB976" s="16"/>
      <c r="AC976" s="16"/>
      <c r="AD976" s="16"/>
    </row>
    <row r="977" ht="13.5" customHeight="1" spans="1:30" x14ac:dyDescent="0.25">
      <c r="A977" s="4"/>
      <c r="B977" s="4"/>
      <c r="C977" s="4"/>
      <c r="D977" s="4"/>
      <c r="E977" s="4"/>
      <c r="F977" s="4"/>
      <c r="G977" s="4"/>
      <c r="H977" s="4"/>
      <c r="I977" s="4"/>
      <c r="J977" s="4"/>
      <c r="K977" s="4"/>
      <c r="L977" s="4"/>
      <c r="M977" s="4"/>
      <c r="N977" s="4"/>
      <c r="O977" s="4"/>
      <c r="P977" s="4"/>
      <c r="Q977" s="4"/>
      <c r="R977" s="16"/>
      <c r="S977" s="16"/>
      <c r="T977" s="16"/>
      <c r="U977" s="16"/>
      <c r="V977" s="16"/>
      <c r="W977" s="16"/>
      <c r="X977" s="16"/>
      <c r="Y977" s="16"/>
      <c r="Z977" s="16"/>
      <c r="AA977" s="16"/>
      <c r="AB977" s="16"/>
      <c r="AC977" s="16"/>
      <c r="AD977" s="16"/>
    </row>
    <row r="978" ht="13.5" customHeight="1" spans="1:30" x14ac:dyDescent="0.25">
      <c r="A978" s="4"/>
      <c r="B978" s="4"/>
      <c r="C978" s="4"/>
      <c r="D978" s="4"/>
      <c r="E978" s="4"/>
      <c r="F978" s="4"/>
      <c r="G978" s="4"/>
      <c r="H978" s="4"/>
      <c r="I978" s="4"/>
      <c r="J978" s="4"/>
      <c r="K978" s="4"/>
      <c r="L978" s="4"/>
      <c r="M978" s="4"/>
      <c r="N978" s="4"/>
      <c r="O978" s="4"/>
      <c r="P978" s="4"/>
      <c r="Q978" s="4"/>
      <c r="R978" s="16"/>
      <c r="S978" s="16"/>
      <c r="T978" s="16"/>
      <c r="U978" s="16"/>
      <c r="V978" s="16"/>
      <c r="W978" s="16"/>
      <c r="X978" s="16"/>
      <c r="Y978" s="16"/>
      <c r="Z978" s="16"/>
      <c r="AA978" s="16"/>
      <c r="AB978" s="16"/>
      <c r="AC978" s="16"/>
      <c r="AD978" s="16"/>
    </row>
    <row r="979" ht="13.5" customHeight="1" spans="1:30" x14ac:dyDescent="0.25">
      <c r="A979" s="4"/>
      <c r="B979" s="4"/>
      <c r="C979" s="4"/>
      <c r="D979" s="4"/>
      <c r="E979" s="4"/>
      <c r="F979" s="4"/>
      <c r="G979" s="4"/>
      <c r="H979" s="4"/>
      <c r="I979" s="4"/>
      <c r="J979" s="4"/>
      <c r="K979" s="4"/>
      <c r="L979" s="4"/>
      <c r="M979" s="4"/>
      <c r="N979" s="4"/>
      <c r="O979" s="4"/>
      <c r="P979" s="4"/>
      <c r="Q979" s="4"/>
      <c r="R979" s="16"/>
      <c r="S979" s="16"/>
      <c r="T979" s="16"/>
      <c r="U979" s="16"/>
      <c r="V979" s="16"/>
      <c r="W979" s="16"/>
      <c r="X979" s="16"/>
      <c r="Y979" s="16"/>
      <c r="Z979" s="16"/>
      <c r="AA979" s="16"/>
      <c r="AB979" s="16"/>
      <c r="AC979" s="16"/>
      <c r="AD979" s="16"/>
    </row>
    <row r="980" ht="13.5" customHeight="1" spans="1:30" x14ac:dyDescent="0.25">
      <c r="A980" s="4"/>
      <c r="B980" s="4"/>
      <c r="C980" s="4"/>
      <c r="D980" s="4"/>
      <c r="E980" s="4"/>
      <c r="F980" s="4"/>
      <c r="G980" s="4"/>
      <c r="H980" s="4"/>
      <c r="I980" s="4"/>
      <c r="J980" s="4"/>
      <c r="K980" s="4"/>
      <c r="L980" s="4"/>
      <c r="M980" s="4"/>
      <c r="N980" s="4"/>
      <c r="O980" s="4"/>
      <c r="P980" s="4"/>
      <c r="Q980" s="4"/>
      <c r="R980" s="16"/>
      <c r="S980" s="16"/>
      <c r="T980" s="16"/>
      <c r="U980" s="16"/>
      <c r="V980" s="16"/>
      <c r="W980" s="16"/>
      <c r="X980" s="16"/>
      <c r="Y980" s="16"/>
      <c r="Z980" s="16"/>
      <c r="AA980" s="16"/>
      <c r="AB980" s="16"/>
      <c r="AC980" s="16"/>
      <c r="AD980" s="16"/>
    </row>
    <row r="981" ht="13.5" customHeight="1" spans="1:30" x14ac:dyDescent="0.25">
      <c r="A981" s="4"/>
      <c r="B981" s="4"/>
      <c r="C981" s="4"/>
      <c r="D981" s="4"/>
      <c r="E981" s="4"/>
      <c r="F981" s="4"/>
      <c r="G981" s="4"/>
      <c r="H981" s="4"/>
      <c r="I981" s="4"/>
      <c r="J981" s="4"/>
      <c r="K981" s="4"/>
      <c r="L981" s="4"/>
      <c r="M981" s="4"/>
      <c r="N981" s="4"/>
      <c r="O981" s="4"/>
      <c r="P981" s="4"/>
      <c r="Q981" s="4"/>
      <c r="R981" s="16"/>
      <c r="S981" s="16"/>
      <c r="T981" s="16"/>
      <c r="U981" s="16"/>
      <c r="V981" s="16"/>
      <c r="W981" s="16"/>
      <c r="X981" s="16"/>
      <c r="Y981" s="16"/>
      <c r="Z981" s="16"/>
      <c r="AA981" s="16"/>
      <c r="AB981" s="16"/>
      <c r="AC981" s="16"/>
      <c r="AD981" s="16"/>
    </row>
    <row r="982" ht="13.5" customHeight="1" spans="1:30" x14ac:dyDescent="0.25">
      <c r="A982" s="4"/>
      <c r="B982" s="4"/>
      <c r="C982" s="4"/>
      <c r="D982" s="4"/>
      <c r="E982" s="4"/>
      <c r="F982" s="4"/>
      <c r="G982" s="4"/>
      <c r="H982" s="4"/>
      <c r="I982" s="4"/>
      <c r="J982" s="4"/>
      <c r="K982" s="4"/>
      <c r="L982" s="4"/>
      <c r="M982" s="4"/>
      <c r="N982" s="4"/>
      <c r="O982" s="4"/>
      <c r="P982" s="4"/>
      <c r="Q982" s="4"/>
      <c r="R982" s="16"/>
      <c r="S982" s="16"/>
      <c r="T982" s="16"/>
      <c r="U982" s="16"/>
      <c r="V982" s="16"/>
      <c r="W982" s="16"/>
      <c r="X982" s="16"/>
      <c r="Y982" s="16"/>
      <c r="Z982" s="16"/>
      <c r="AA982" s="16"/>
      <c r="AB982" s="16"/>
      <c r="AC982" s="16"/>
      <c r="AD982" s="16"/>
    </row>
    <row r="983" ht="13.5" customHeight="1" spans="1:30" x14ac:dyDescent="0.25">
      <c r="A983" s="4"/>
      <c r="B983" s="4"/>
      <c r="C983" s="4"/>
      <c r="D983" s="4"/>
      <c r="E983" s="4"/>
      <c r="F983" s="4"/>
      <c r="G983" s="4"/>
      <c r="H983" s="4"/>
      <c r="I983" s="4"/>
      <c r="J983" s="4"/>
      <c r="K983" s="4"/>
      <c r="L983" s="4"/>
      <c r="M983" s="4"/>
      <c r="N983" s="4"/>
      <c r="O983" s="4"/>
      <c r="P983" s="4"/>
      <c r="Q983" s="4"/>
      <c r="R983" s="16"/>
      <c r="S983" s="16"/>
      <c r="T983" s="16"/>
      <c r="U983" s="16"/>
      <c r="V983" s="16"/>
      <c r="W983" s="16"/>
      <c r="X983" s="16"/>
      <c r="Y983" s="16"/>
      <c r="Z983" s="16"/>
      <c r="AA983" s="16"/>
      <c r="AB983" s="16"/>
      <c r="AC983" s="16"/>
      <c r="AD983" s="16"/>
    </row>
    <row r="984" ht="13.5" customHeight="1" spans="1:30" x14ac:dyDescent="0.25">
      <c r="A984" s="4"/>
      <c r="B984" s="4"/>
      <c r="C984" s="4"/>
      <c r="D984" s="4"/>
      <c r="E984" s="4"/>
      <c r="F984" s="4"/>
      <c r="G984" s="4"/>
      <c r="H984" s="4"/>
      <c r="I984" s="4"/>
      <c r="J984" s="4"/>
      <c r="K984" s="4"/>
      <c r="L984" s="4"/>
      <c r="M984" s="4"/>
      <c r="N984" s="4"/>
      <c r="O984" s="4"/>
      <c r="P984" s="4"/>
      <c r="Q984" s="4"/>
      <c r="R984" s="16"/>
      <c r="S984" s="16"/>
      <c r="T984" s="16"/>
      <c r="U984" s="16"/>
      <c r="V984" s="16"/>
      <c r="W984" s="16"/>
      <c r="X984" s="16"/>
      <c r="Y984" s="16"/>
      <c r="Z984" s="16"/>
      <c r="AA984" s="16"/>
      <c r="AB984" s="16"/>
      <c r="AC984" s="16"/>
      <c r="AD984" s="16"/>
    </row>
    <row r="985" ht="13.5" customHeight="1" spans="1:30" x14ac:dyDescent="0.25">
      <c r="A985" s="4"/>
      <c r="B985" s="4"/>
      <c r="C985" s="4"/>
      <c r="D985" s="4"/>
      <c r="E985" s="4"/>
      <c r="F985" s="4"/>
      <c r="G985" s="4"/>
      <c r="H985" s="4"/>
      <c r="I985" s="4"/>
      <c r="J985" s="4"/>
      <c r="K985" s="4"/>
      <c r="L985" s="4"/>
      <c r="M985" s="4"/>
      <c r="N985" s="4"/>
      <c r="O985" s="4"/>
      <c r="P985" s="4"/>
      <c r="Q985" s="4"/>
      <c r="R985" s="16"/>
      <c r="S985" s="16"/>
      <c r="T985" s="16"/>
      <c r="U985" s="16"/>
      <c r="V985" s="16"/>
      <c r="W985" s="16"/>
      <c r="X985" s="16"/>
      <c r="Y985" s="16"/>
      <c r="Z985" s="16"/>
      <c r="AA985" s="16"/>
      <c r="AB985" s="16"/>
      <c r="AC985" s="16"/>
      <c r="AD985" s="16"/>
    </row>
    <row r="986" ht="13.5" customHeight="1" spans="1:30" x14ac:dyDescent="0.25">
      <c r="A986" s="4"/>
      <c r="B986" s="4"/>
      <c r="C986" s="4"/>
      <c r="D986" s="4"/>
      <c r="E986" s="4"/>
      <c r="F986" s="4"/>
      <c r="G986" s="4"/>
      <c r="H986" s="4"/>
      <c r="I986" s="4"/>
      <c r="J986" s="4"/>
      <c r="K986" s="4"/>
      <c r="L986" s="4"/>
      <c r="M986" s="4"/>
      <c r="N986" s="4"/>
      <c r="O986" s="4"/>
      <c r="P986" s="4"/>
      <c r="Q986" s="4"/>
      <c r="R986" s="16"/>
      <c r="S986" s="16"/>
      <c r="T986" s="16"/>
      <c r="U986" s="16"/>
      <c r="V986" s="16"/>
      <c r="W986" s="16"/>
      <c r="X986" s="16"/>
      <c r="Y986" s="16"/>
      <c r="Z986" s="16"/>
      <c r="AA986" s="16"/>
      <c r="AB986" s="16"/>
      <c r="AC986" s="16"/>
      <c r="AD986" s="16"/>
    </row>
    <row r="987" ht="13.5" customHeight="1" spans="1:30" x14ac:dyDescent="0.25">
      <c r="A987" s="4"/>
      <c r="B987" s="4"/>
      <c r="C987" s="4"/>
      <c r="D987" s="4"/>
      <c r="E987" s="4"/>
      <c r="F987" s="4"/>
      <c r="G987" s="4"/>
      <c r="H987" s="4"/>
      <c r="I987" s="4"/>
      <c r="J987" s="4"/>
      <c r="K987" s="4"/>
      <c r="L987" s="4"/>
      <c r="M987" s="4"/>
      <c r="N987" s="4"/>
      <c r="O987" s="4"/>
      <c r="P987" s="4"/>
      <c r="Q987" s="4"/>
      <c r="R987" s="16"/>
      <c r="S987" s="16"/>
      <c r="T987" s="16"/>
      <c r="U987" s="16"/>
      <c r="V987" s="16"/>
      <c r="W987" s="16"/>
      <c r="X987" s="16"/>
      <c r="Y987" s="16"/>
      <c r="Z987" s="16"/>
      <c r="AA987" s="16"/>
      <c r="AB987" s="16"/>
      <c r="AC987" s="16"/>
      <c r="AD987" s="16"/>
    </row>
    <row r="988" ht="13.5" customHeight="1" spans="1:30" x14ac:dyDescent="0.25">
      <c r="A988" s="4"/>
      <c r="B988" s="4"/>
      <c r="C988" s="4"/>
      <c r="D988" s="4"/>
      <c r="E988" s="4"/>
      <c r="F988" s="4"/>
      <c r="G988" s="4"/>
      <c r="H988" s="4"/>
      <c r="I988" s="4"/>
      <c r="J988" s="4"/>
      <c r="K988" s="4"/>
      <c r="L988" s="4"/>
      <c r="M988" s="4"/>
      <c r="N988" s="4"/>
      <c r="O988" s="4"/>
      <c r="P988" s="4"/>
      <c r="Q988" s="4"/>
      <c r="R988" s="16"/>
      <c r="S988" s="16"/>
      <c r="T988" s="16"/>
      <c r="U988" s="16"/>
      <c r="V988" s="16"/>
      <c r="W988" s="16"/>
      <c r="X988" s="16"/>
      <c r="Y988" s="16"/>
      <c r="Z988" s="16"/>
      <c r="AA988" s="16"/>
      <c r="AB988" s="16"/>
      <c r="AC988" s="16"/>
      <c r="AD988" s="16"/>
    </row>
    <row r="989" ht="13.5" customHeight="1" spans="1:30" x14ac:dyDescent="0.25">
      <c r="A989" s="4"/>
      <c r="B989" s="4"/>
      <c r="C989" s="4"/>
      <c r="D989" s="4"/>
      <c r="E989" s="4"/>
      <c r="F989" s="4"/>
      <c r="G989" s="4"/>
      <c r="H989" s="4"/>
      <c r="I989" s="4"/>
      <c r="J989" s="4"/>
      <c r="K989" s="4"/>
      <c r="L989" s="4"/>
      <c r="M989" s="4"/>
      <c r="N989" s="4"/>
      <c r="O989" s="4"/>
      <c r="P989" s="4"/>
      <c r="Q989" s="4"/>
      <c r="R989" s="16"/>
      <c r="S989" s="16"/>
      <c r="T989" s="16"/>
      <c r="U989" s="16"/>
      <c r="V989" s="16"/>
      <c r="W989" s="16"/>
      <c r="X989" s="16"/>
      <c r="Y989" s="16"/>
      <c r="Z989" s="16"/>
      <c r="AA989" s="16"/>
      <c r="AB989" s="16"/>
      <c r="AC989" s="16"/>
      <c r="AD989" s="16"/>
    </row>
    <row r="990" ht="13.5" customHeight="1" spans="1:30" x14ac:dyDescent="0.25">
      <c r="A990" s="4"/>
      <c r="B990" s="4"/>
      <c r="C990" s="4"/>
      <c r="D990" s="4"/>
      <c r="E990" s="4"/>
      <c r="F990" s="4"/>
      <c r="G990" s="4"/>
      <c r="H990" s="4"/>
      <c r="I990" s="4"/>
      <c r="J990" s="4"/>
      <c r="K990" s="4"/>
      <c r="L990" s="4"/>
      <c r="M990" s="4"/>
      <c r="N990" s="4"/>
      <c r="O990" s="4"/>
      <c r="P990" s="4"/>
      <c r="Q990" s="4"/>
      <c r="R990" s="16"/>
      <c r="S990" s="16"/>
      <c r="T990" s="16"/>
      <c r="U990" s="16"/>
      <c r="V990" s="16"/>
      <c r="W990" s="16"/>
      <c r="X990" s="16"/>
      <c r="Y990" s="16"/>
      <c r="Z990" s="16"/>
      <c r="AA990" s="16"/>
      <c r="AB990" s="16"/>
      <c r="AC990" s="16"/>
      <c r="AD990" s="16"/>
    </row>
    <row r="991" ht="13.5" customHeight="1" spans="1:30" x14ac:dyDescent="0.25">
      <c r="A991" s="4"/>
      <c r="B991" s="4"/>
      <c r="C991" s="4"/>
      <c r="D991" s="4"/>
      <c r="E991" s="4"/>
      <c r="F991" s="4"/>
      <c r="G991" s="4"/>
      <c r="H991" s="4"/>
      <c r="I991" s="4"/>
      <c r="J991" s="4"/>
      <c r="K991" s="4"/>
      <c r="L991" s="4"/>
      <c r="M991" s="4"/>
      <c r="N991" s="4"/>
      <c r="O991" s="4"/>
      <c r="P991" s="4"/>
      <c r="Q991" s="4"/>
      <c r="R991" s="16"/>
      <c r="S991" s="16"/>
      <c r="T991" s="16"/>
      <c r="U991" s="16"/>
      <c r="V991" s="16"/>
      <c r="W991" s="16"/>
      <c r="X991" s="16"/>
      <c r="Y991" s="16"/>
      <c r="Z991" s="16"/>
      <c r="AA991" s="16"/>
      <c r="AB991" s="16"/>
      <c r="AC991" s="16"/>
      <c r="AD991" s="16"/>
    </row>
    <row r="992" ht="13.5" customHeight="1" spans="1:30" x14ac:dyDescent="0.25">
      <c r="A992" s="4"/>
      <c r="B992" s="4"/>
      <c r="C992" s="4"/>
      <c r="D992" s="4"/>
      <c r="E992" s="4"/>
      <c r="F992" s="4"/>
      <c r="G992" s="4"/>
      <c r="H992" s="4"/>
      <c r="I992" s="4"/>
      <c r="J992" s="4"/>
      <c r="K992" s="4"/>
      <c r="L992" s="4"/>
      <c r="M992" s="4"/>
      <c r="N992" s="4"/>
      <c r="O992" s="4"/>
      <c r="P992" s="4"/>
      <c r="Q992" s="4"/>
      <c r="R992" s="16"/>
      <c r="S992" s="16"/>
      <c r="T992" s="16"/>
      <c r="U992" s="16"/>
      <c r="V992" s="16"/>
      <c r="W992" s="16"/>
      <c r="X992" s="16"/>
      <c r="Y992" s="16"/>
      <c r="Z992" s="16"/>
      <c r="AA992" s="16"/>
      <c r="AB992" s="16"/>
      <c r="AC992" s="16"/>
      <c r="AD992" s="16"/>
    </row>
    <row r="993" ht="13.5" customHeight="1" spans="1:30" x14ac:dyDescent="0.25">
      <c r="A993" s="4"/>
      <c r="B993" s="4"/>
      <c r="C993" s="4"/>
      <c r="D993" s="4"/>
      <c r="E993" s="4"/>
      <c r="F993" s="4"/>
      <c r="G993" s="4"/>
      <c r="H993" s="4"/>
      <c r="I993" s="4"/>
      <c r="J993" s="4"/>
      <c r="K993" s="4"/>
      <c r="L993" s="4"/>
      <c r="M993" s="4"/>
      <c r="N993" s="4"/>
      <c r="O993" s="4"/>
      <c r="P993" s="4"/>
      <c r="Q993" s="4"/>
      <c r="R993" s="16"/>
      <c r="S993" s="16"/>
      <c r="T993" s="16"/>
      <c r="U993" s="16"/>
      <c r="V993" s="16"/>
      <c r="W993" s="16"/>
      <c r="X993" s="16"/>
      <c r="Y993" s="16"/>
      <c r="Z993" s="16"/>
      <c r="AA993" s="16"/>
      <c r="AB993" s="16"/>
      <c r="AC993" s="16"/>
      <c r="AD993" s="16"/>
    </row>
    <row r="994" ht="13.5" customHeight="1" spans="1:30" x14ac:dyDescent="0.25">
      <c r="A994" s="4"/>
      <c r="B994" s="4"/>
      <c r="C994" s="4"/>
      <c r="D994" s="4"/>
      <c r="E994" s="4"/>
      <c r="F994" s="4"/>
      <c r="G994" s="4"/>
      <c r="H994" s="4"/>
      <c r="I994" s="4"/>
      <c r="J994" s="4"/>
      <c r="K994" s="4"/>
      <c r="L994" s="4"/>
      <c r="M994" s="4"/>
      <c r="N994" s="4"/>
      <c r="O994" s="4"/>
      <c r="P994" s="4"/>
      <c r="Q994" s="4"/>
      <c r="R994" s="16"/>
      <c r="S994" s="16"/>
      <c r="T994" s="16"/>
      <c r="U994" s="16"/>
      <c r="V994" s="16"/>
      <c r="W994" s="16"/>
      <c r="X994" s="16"/>
      <c r="Y994" s="16"/>
      <c r="Z994" s="16"/>
      <c r="AA994" s="16"/>
      <c r="AB994" s="16"/>
      <c r="AC994" s="16"/>
      <c r="AD994" s="16"/>
    </row>
    <row r="995" ht="13.5" customHeight="1" spans="1:30" x14ac:dyDescent="0.25">
      <c r="A995" s="4"/>
      <c r="B995" s="4"/>
      <c r="C995" s="4"/>
      <c r="D995" s="4"/>
      <c r="E995" s="4"/>
      <c r="F995" s="4"/>
      <c r="G995" s="4"/>
      <c r="H995" s="4"/>
      <c r="I995" s="4"/>
      <c r="J995" s="4"/>
      <c r="K995" s="4"/>
      <c r="L995" s="4"/>
      <c r="M995" s="4"/>
      <c r="N995" s="4"/>
      <c r="O995" s="4"/>
      <c r="P995" s="4"/>
      <c r="Q995" s="4"/>
      <c r="R995" s="16"/>
      <c r="S995" s="16"/>
      <c r="T995" s="16"/>
      <c r="U995" s="16"/>
      <c r="V995" s="16"/>
      <c r="W995" s="16"/>
      <c r="X995" s="16"/>
      <c r="Y995" s="16"/>
      <c r="Z995" s="16"/>
      <c r="AA995" s="16"/>
      <c r="AB995" s="16"/>
      <c r="AC995" s="16"/>
      <c r="AD995" s="16"/>
    </row>
    <row r="996" ht="13.5" customHeight="1" spans="1:30" x14ac:dyDescent="0.25">
      <c r="A996" s="4"/>
      <c r="B996" s="4"/>
      <c r="C996" s="4"/>
      <c r="D996" s="4"/>
      <c r="E996" s="4"/>
      <c r="F996" s="4"/>
      <c r="G996" s="4"/>
      <c r="H996" s="4"/>
      <c r="I996" s="4"/>
      <c r="J996" s="4"/>
      <c r="K996" s="4"/>
      <c r="L996" s="4"/>
      <c r="M996" s="4"/>
      <c r="N996" s="4"/>
      <c r="O996" s="4"/>
      <c r="P996" s="4"/>
      <c r="Q996" s="4"/>
      <c r="R996" s="16"/>
      <c r="S996" s="16"/>
      <c r="T996" s="16"/>
      <c r="U996" s="16"/>
      <c r="V996" s="16"/>
      <c r="W996" s="16"/>
      <c r="X996" s="16"/>
      <c r="Y996" s="16"/>
      <c r="Z996" s="16"/>
      <c r="AA996" s="16"/>
      <c r="AB996" s="16"/>
      <c r="AC996" s="16"/>
      <c r="AD996" s="16"/>
    </row>
    <row r="997" ht="13.5" customHeight="1" spans="1:30" x14ac:dyDescent="0.25">
      <c r="A997" s="4"/>
      <c r="B997" s="4"/>
      <c r="C997" s="4"/>
      <c r="D997" s="4"/>
      <c r="E997" s="4"/>
      <c r="F997" s="4"/>
      <c r="G997" s="4"/>
      <c r="H997" s="4"/>
      <c r="I997" s="4"/>
      <c r="J997" s="4"/>
      <c r="K997" s="4"/>
      <c r="L997" s="4"/>
      <c r="M997" s="4"/>
      <c r="N997" s="4"/>
      <c r="O997" s="4"/>
      <c r="P997" s="4"/>
      <c r="Q997" s="4"/>
      <c r="R997" s="16"/>
      <c r="S997" s="16"/>
      <c r="T997" s="16"/>
      <c r="U997" s="16"/>
      <c r="V997" s="16"/>
      <c r="W997" s="16"/>
      <c r="X997" s="16"/>
      <c r="Y997" s="16"/>
      <c r="Z997" s="16"/>
      <c r="AA997" s="16"/>
      <c r="AB997" s="16"/>
      <c r="AC997" s="16"/>
      <c r="AD997" s="16"/>
    </row>
    <row r="998" ht="13.5" customHeight="1" spans="1:30" x14ac:dyDescent="0.25">
      <c r="A998" s="4"/>
      <c r="B998" s="4"/>
      <c r="C998" s="4"/>
      <c r="D998" s="4"/>
      <c r="E998" s="4"/>
      <c r="F998" s="4"/>
      <c r="G998" s="4"/>
      <c r="H998" s="4"/>
      <c r="I998" s="4"/>
      <c r="J998" s="4"/>
      <c r="K998" s="4"/>
      <c r="L998" s="4"/>
      <c r="M998" s="4"/>
      <c r="N998" s="4"/>
      <c r="O998" s="4"/>
      <c r="P998" s="4"/>
      <c r="Q998" s="4"/>
      <c r="R998" s="16"/>
      <c r="S998" s="16"/>
      <c r="T998" s="16"/>
      <c r="U998" s="16"/>
      <c r="V998" s="16"/>
      <c r="W998" s="16"/>
      <c r="X998" s="16"/>
      <c r="Y998" s="16"/>
      <c r="Z998" s="16"/>
      <c r="AA998" s="16"/>
      <c r="AB998" s="16"/>
      <c r="AC998" s="16"/>
      <c r="AD998" s="16"/>
    </row>
    <row r="999" ht="13.5" customHeight="1" spans="1:30" x14ac:dyDescent="0.25">
      <c r="A999" s="4"/>
      <c r="B999" s="4"/>
      <c r="C999" s="4"/>
      <c r="D999" s="4"/>
      <c r="E999" s="4"/>
      <c r="F999" s="4"/>
      <c r="G999" s="4"/>
      <c r="H999" s="4"/>
      <c r="I999" s="4"/>
      <c r="J999" s="4"/>
      <c r="K999" s="4"/>
      <c r="L999" s="4"/>
      <c r="M999" s="4"/>
      <c r="N999" s="4"/>
      <c r="O999" s="4"/>
      <c r="P999" s="4"/>
      <c r="Q999" s="4"/>
      <c r="R999" s="16"/>
      <c r="S999" s="16"/>
      <c r="T999" s="16"/>
      <c r="U999" s="16"/>
      <c r="V999" s="16"/>
      <c r="W999" s="16"/>
      <c r="X999" s="16"/>
      <c r="Y999" s="16"/>
      <c r="Z999" s="16"/>
      <c r="AA999" s="16"/>
      <c r="AB999" s="16"/>
      <c r="AC999" s="16"/>
      <c r="AD999" s="16"/>
    </row>
    <row r="1000" ht="13.5" customHeight="1" spans="1:30" x14ac:dyDescent="0.25">
      <c r="A1000" s="4"/>
      <c r="B1000" s="4"/>
      <c r="C1000" s="4"/>
      <c r="D1000" s="4"/>
      <c r="E1000" s="4"/>
      <c r="F1000" s="4"/>
      <c r="G1000" s="4"/>
      <c r="H1000" s="4"/>
      <c r="I1000" s="4"/>
      <c r="J1000" s="4"/>
      <c r="K1000" s="4"/>
      <c r="L1000" s="4"/>
      <c r="M1000" s="4"/>
      <c r="N1000" s="4"/>
      <c r="O1000" s="4"/>
      <c r="P1000" s="4"/>
      <c r="Q1000" s="4"/>
      <c r="R1000" s="16"/>
      <c r="S1000" s="16"/>
      <c r="T1000" s="16"/>
      <c r="U1000" s="16"/>
      <c r="V1000" s="16"/>
      <c r="W1000" s="16"/>
      <c r="X1000" s="16"/>
      <c r="Y1000" s="16"/>
      <c r="Z1000" s="16"/>
      <c r="AA1000" s="16"/>
      <c r="AB1000" s="16"/>
      <c r="AC1000" s="16"/>
      <c r="AD1000" s="16"/>
    </row>
  </sheetData>
  <mergeCells count="19">
    <mergeCell ref="K1:M1"/>
    <mergeCell ref="N1:O1"/>
    <mergeCell ref="K2:N2"/>
    <mergeCell ref="K3:N3"/>
    <mergeCell ref="O3:P3"/>
    <mergeCell ref="B4:G4"/>
    <mergeCell ref="I4:O4"/>
    <mergeCell ref="I6:O6"/>
    <mergeCell ref="N7:O7"/>
    <mergeCell ref="N8:O8"/>
    <mergeCell ref="N9:O9"/>
    <mergeCell ref="N10:O10"/>
    <mergeCell ref="I12:O12"/>
    <mergeCell ref="N13:O13"/>
    <mergeCell ref="N14:O14"/>
    <mergeCell ref="N15:O15"/>
    <mergeCell ref="N16:O16"/>
    <mergeCell ref="E18:K18"/>
    <mergeCell ref="E42:K42"/>
  </mergeCells>
  <conditionalFormatting sqref="I6">
    <cfRule type="expression" dxfId="6" priority="1">
      <formula>$Q$2="Report"</formula>
    </cfRule>
    <cfRule type="expression" dxfId="7" priority="2">
      <formula>$P$2="Report"</formula>
    </cfRule>
  </conditionalFormatting>
  <conditionalFormatting sqref="I12">
    <cfRule type="expression" dxfId="8" priority="3">
      <formula>$Q$2="Report"</formula>
    </cfRule>
    <cfRule type="expression" dxfId="9" priority="4">
      <formula>$P$2="Report"</formula>
    </cfRule>
  </conditionalFormatting>
  <conditionalFormatting sqref="M21:M39">
    <cfRule type="containsText" dxfId="10" priority="5">
      <formula>NOT(ISERROR(SEARCH(("N/A"),(M21))))</formula>
    </cfRule>
  </conditionalFormatting>
  <conditionalFormatting sqref="M45:M59">
    <cfRule type="containsText" dxfId="11" priority="6">
      <formula>NOT(ISERROR(SEARCH(("N/A"),(M45))))</formula>
    </cfRule>
  </conditionalFormatting>
  <conditionalFormatting sqref="M65:M66">
    <cfRule type="containsText" dxfId="12" priority="7">
      <formula>NOT(ISERROR(SEARCH(("N/A"),(M65))))</formula>
    </cfRule>
  </conditionalFormatting>
  <conditionalFormatting sqref="O21:O39">
    <cfRule type="containsText" dxfId="13" priority="8">
      <formula>NOT(ISERROR(SEARCH(("N/A"),(O21))))</formula>
    </cfRule>
  </conditionalFormatting>
  <conditionalFormatting sqref="O45:O59">
    <cfRule type="containsText" dxfId="14" priority="9">
      <formula>NOT(ISERROR(SEARCH(("N/A"),(O45))))</formula>
    </cfRule>
  </conditionalFormatting>
  <conditionalFormatting sqref="O65:O66">
    <cfRule type="containsText" dxfId="15" priority="10">
      <formula>NOT(ISERROR(SEARCH(("N/A"),(O65))))</formula>
    </cfRule>
  </conditionalFormatting>
  <conditionalFormatting sqref="S1">
    <cfRule type="containsText" dxfId="16" priority="11">
      <formula>NOT(ISERROR(SEARCH(("Check!"),(S1))))</formula>
    </cfRule>
  </conditionalFormatting>
  <dataValidations count="1">
    <dataValidation type="list" allowBlank="1" showErrorMessage="1" sqref="S21">
      <formula1>$Y$1:$Y$2</formula1>
    </dataValidation>
  </dataValidations>
  <pageMargins left="1" right="1" top="1" bottom="1" header="0" footer="0"/>
  <pageSetup orientation="portrait" horizontalDpi="4294967295" verticalDpi="4294967295" scale="100" fitToWidth="1" fitToHeight="1" firstPageNumber="1" useFirstPageNumber="1" copies="1"/>
  <legacy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8000"/>
  </sheetPr>
  <dimension ref="A1:Z1000"/>
  <sheetViews>
    <sheetView workbookViewId="0" showGridLines="0" zoomScale="100" zoomScaleNormal="100">
      <pane ySplit="2" topLeftCell="A3" activePane="bottomLeft" state="frozen"/>
      <selection pane="bottomLeft" activeCell="B4" sqref="B4"/>
    </sheetView>
  </sheetViews>
  <sheetFormatPr defaultRowHeight="15" outlineLevelRow="0" outlineLevelCol="0" x14ac:dyDescent="0" defaultColWidth="14.5"/>
  <cols>
    <col min="1" max="2" width="1.6640625" customWidth="1"/>
    <col min="3" max="13" width="10.5" customWidth="1"/>
    <col min="14" max="14" width="6.5" customWidth="1"/>
    <col min="15" max="22" width="11.6640625" customWidth="1"/>
    <col min="23" max="23" width="2.33203125" customWidth="1"/>
    <col min="24" max="26" width="8.6640625" customWidth="1"/>
  </cols>
  <sheetData>
    <row r="1" ht="13.5" customHeight="1" spans="1:26" x14ac:dyDescent="0.25">
      <c r="A1" s="11"/>
      <c r="B1" s="11"/>
      <c r="C1" s="12" t="str">
        <f ca="1">Company_Name&amp;" - "&amp;MID(CELL("filename",A1),FIND("]",CELL("filename",A1))+1,255)&amp;": "&amp;Case_Scenario&amp;" Case"</f>
        <v>Lowe's Companies, Inc. - Football Field: Base Case</v>
      </c>
      <c r="D1" s="11"/>
      <c r="E1" s="11"/>
      <c r="F1" s="11"/>
      <c r="G1" s="11"/>
      <c r="H1" s="11"/>
      <c r="I1" s="11"/>
      <c r="J1" s="11"/>
      <c r="K1" s="11"/>
      <c r="L1" s="11"/>
      <c r="M1" s="11"/>
      <c r="N1" s="11"/>
      <c r="O1" s="11"/>
      <c r="P1" s="11"/>
      <c r="Q1" s="11"/>
      <c r="R1" s="11"/>
      <c r="S1" s="11"/>
      <c r="T1" s="11"/>
      <c r="U1" s="11"/>
      <c r="V1" s="11"/>
      <c r="W1" s="225"/>
      <c r="X1" s="11"/>
      <c r="Y1" s="11"/>
      <c r="Z1" s="11"/>
    </row>
    <row r="2" ht="13.5" customHeight="1" spans="1:26" x14ac:dyDescent="0.25">
      <c r="A2" s="16"/>
      <c r="B2" s="16"/>
      <c r="C2" s="14" t="str">
        <f ca="1">Cover!C2</f>
        <v>$ in Millions Except Per Share Data</v>
      </c>
      <c r="D2" s="16"/>
      <c r="E2" s="16"/>
      <c r="F2" s="16"/>
      <c r="G2" s="16"/>
      <c r="H2" s="16"/>
      <c r="I2" s="16"/>
      <c r="J2" s="16"/>
      <c r="K2" s="16"/>
      <c r="L2" s="16"/>
      <c r="M2" s="16"/>
      <c r="N2" s="16"/>
      <c r="O2" s="16"/>
      <c r="P2" s="16"/>
      <c r="Q2" s="16"/>
      <c r="R2" s="16"/>
      <c r="S2" s="16"/>
      <c r="T2" s="16"/>
      <c r="U2" s="16"/>
      <c r="V2" s="16"/>
      <c r="W2" s="84"/>
      <c r="X2" s="16"/>
      <c r="Y2" s="16"/>
      <c r="Z2" s="16"/>
    </row>
    <row r="3" ht="13.5" customHeight="1" spans="1:26" x14ac:dyDescent="0.25">
      <c r="A3" s="5"/>
      <c r="B3" s="16"/>
      <c r="C3" s="16"/>
      <c r="D3" s="16"/>
      <c r="E3" s="16"/>
      <c r="F3" s="16"/>
      <c r="G3" s="16"/>
      <c r="H3" s="16"/>
      <c r="I3" s="16"/>
      <c r="J3" s="16"/>
      <c r="K3" s="16"/>
      <c r="L3" s="16"/>
      <c r="M3" s="16"/>
      <c r="N3" s="16"/>
      <c r="O3" s="16"/>
      <c r="P3" s="16"/>
      <c r="Q3" s="16"/>
      <c r="R3" s="16"/>
      <c r="S3" s="16"/>
      <c r="T3" s="16"/>
      <c r="U3" s="16"/>
      <c r="V3" s="16"/>
      <c r="W3" s="84"/>
      <c r="X3" s="16"/>
      <c r="Y3" s="16"/>
      <c r="Z3" s="16"/>
    </row>
    <row r="4" ht="13.5" customHeight="1" spans="1:26" x14ac:dyDescent="0.25">
      <c r="A4" s="226" t="s">
        <v>1</v>
      </c>
      <c r="B4" s="16"/>
      <c r="C4" s="16"/>
      <c r="D4" s="16"/>
      <c r="E4" s="16"/>
      <c r="F4" s="16"/>
      <c r="G4" s="16"/>
      <c r="H4" s="16"/>
      <c r="I4" s="16"/>
      <c r="J4" s="16"/>
      <c r="K4" s="16"/>
      <c r="L4" s="16"/>
      <c r="M4" s="16"/>
      <c r="N4" s="16"/>
      <c r="O4" s="110" t="s">
        <v>158</v>
      </c>
      <c r="P4" s="110"/>
      <c r="Q4" s="110"/>
      <c r="R4" s="110"/>
      <c r="S4" s="110"/>
      <c r="T4" s="227" t="s">
        <v>159</v>
      </c>
      <c r="U4" s="228" t="s">
        <v>160</v>
      </c>
      <c r="V4" s="229" t="s">
        <v>161</v>
      </c>
      <c r="W4" s="230" t="s">
        <v>1</v>
      </c>
      <c r="X4" s="16"/>
      <c r="Y4" s="16"/>
      <c r="Z4" s="16"/>
    </row>
    <row r="5" ht="13.5" customHeight="1" spans="1:26" x14ac:dyDescent="0.25">
      <c r="A5" s="16"/>
      <c r="B5" s="16"/>
      <c r="C5" s="16"/>
      <c r="D5" s="16"/>
      <c r="E5" s="16"/>
      <c r="F5" s="16"/>
      <c r="G5" s="16"/>
      <c r="H5" s="16"/>
      <c r="I5" s="16"/>
      <c r="J5" s="16"/>
      <c r="K5" s="16"/>
      <c r="L5" s="16"/>
      <c r="M5" s="16"/>
      <c r="N5" s="16"/>
      <c r="O5" s="16" t="str">
        <f ca="1">TEXT(Valuation!E108,"0.0%")&amp;" - "&amp;TEXT(Valuation!E110,"0.0%")&amp;" WACC"&amp;" &amp; "&amp;TEXT(Valuation!G106,"0.0%")&amp;" - "&amp;TEXT(Valuation!I106,"0.0%")&amp;" PGR"</f>
        <v>8.4% - 9.4% WACC &amp; 1.5% - 2.5% PGR</v>
      </c>
      <c r="P5" s="16"/>
      <c r="Q5" s="16"/>
      <c r="R5" s="16"/>
      <c r="S5" s="16"/>
      <c r="T5" s="231">
        <f ca="1">Valuation!G108</f>
        <v>195.04954830416227</v>
      </c>
      <c r="U5" s="232">
        <f t="shared" ref="U5:U6" si="0" ca="1">V5-T5</f>
        <v>20.38591593197205</v>
      </c>
      <c r="V5" s="231">
        <f ca="1">Valuation!I110</f>
        <v>215.43546423613432</v>
      </c>
      <c r="W5" s="84"/>
      <c r="X5" s="16"/>
      <c r="Y5" s="16"/>
      <c r="Z5" s="16"/>
    </row>
    <row r="6" ht="13.5" customHeight="1" spans="1:26" x14ac:dyDescent="0.25">
      <c r="A6" s="16"/>
      <c r="B6" s="16"/>
      <c r="C6" s="16"/>
      <c r="D6" s="16"/>
      <c r="E6" s="16"/>
      <c r="F6" s="16"/>
      <c r="G6" s="16"/>
      <c r="H6" s="16"/>
      <c r="I6" s="16"/>
      <c r="J6" s="16"/>
      <c r="K6" s="16"/>
      <c r="L6" s="16"/>
      <c r="M6" s="16"/>
      <c r="N6" s="16"/>
      <c r="O6" s="16" t="str">
        <f ca="1">TEXT(Valuation!E100,"0.0%")&amp;" - "&amp;TEXT(Valuation!E102,"0.0%")&amp;" WACC"&amp;" &amp; "&amp;TEXT(Valuation!G98,"0.0x")&amp;" - "&amp;TEXT(Valuation!I98,"0.0x")&amp;" Exit Multiple"</f>
        <v>8.4% - 9.4% WACC &amp; 12.0x - 14.0x Exit Multiple</v>
      </c>
      <c r="P6" s="16"/>
      <c r="Q6" s="16"/>
      <c r="R6" s="16"/>
      <c r="S6" s="16"/>
      <c r="T6" s="59">
        <f ca="1">Valuation!G100</f>
        <v>250.7826183405888</v>
      </c>
      <c r="U6" s="143">
        <f ca="1">V6-T6</f>
        <v>27.264040885164633</v>
      </c>
      <c r="V6" s="59">
        <f ca="1">Valuation!I102</f>
        <v>278.04665922575344</v>
      </c>
      <c r="W6" s="84"/>
      <c r="X6" s="16"/>
      <c r="Y6" s="16"/>
      <c r="Z6" s="16"/>
    </row>
    <row r="7" ht="13.5" customHeight="1" spans="1:26" x14ac:dyDescent="0.25">
      <c r="A7" s="16"/>
      <c r="B7" s="16"/>
      <c r="C7" s="16"/>
      <c r="D7" s="16"/>
      <c r="E7" s="16"/>
      <c r="F7" s="16"/>
      <c r="G7" s="16"/>
      <c r="H7" s="16"/>
      <c r="I7" s="16"/>
      <c r="J7" s="16"/>
      <c r="K7" s="16"/>
      <c r="L7" s="16"/>
      <c r="M7" s="16"/>
      <c r="N7" s="16"/>
      <c r="O7" s="16"/>
      <c r="P7" s="16"/>
      <c r="Q7" s="16"/>
      <c r="R7" s="16"/>
      <c r="S7" s="16"/>
      <c r="T7" s="143"/>
      <c r="U7" s="143"/>
      <c r="V7" s="143"/>
      <c r="W7" s="84"/>
      <c r="X7" s="16"/>
      <c r="Y7" s="16"/>
      <c r="Z7" s="16"/>
    </row>
    <row r="8" ht="13.5" customHeight="1" spans="1:26" x14ac:dyDescent="0.25">
      <c r="A8" s="16"/>
      <c r="B8" s="16"/>
      <c r="C8" s="16"/>
      <c r="D8" s="16"/>
      <c r="E8" s="16"/>
      <c r="F8" s="16"/>
      <c r="G8" s="16"/>
      <c r="H8" s="16"/>
      <c r="I8" s="16"/>
      <c r="J8" s="16"/>
      <c r="K8" s="16"/>
      <c r="L8" s="16"/>
      <c r="M8" s="16"/>
      <c r="N8" s="16"/>
      <c r="O8" s="16" t="str">
        <f ca="1">Valuation!F184&amp;": "&amp;TEXT(Valuation!G185,"0.0x")&amp;" - "&amp;TEXT(Valuation!I185,"0.0x")</f>
        <v>NTM EV/EBITDA Spread to Comps: 12.0x - 14.0x</v>
      </c>
      <c r="P8" s="16"/>
      <c r="Q8" s="16"/>
      <c r="R8" s="16"/>
      <c r="S8" s="16"/>
      <c r="T8" s="59">
        <f ca="1">Valuation!G187</f>
        <v>209.23348011234188</v>
      </c>
      <c r="U8" s="143">
        <f t="shared" ref="U8:U11" si="1" ca="1">V8-T8</f>
        <v>100.49024724596924</v>
      </c>
      <c r="V8" s="59">
        <f ca="1">Valuation!I189</f>
        <v>309.7237273583111</v>
      </c>
      <c r="W8" s="84"/>
      <c r="X8" s="16"/>
      <c r="Y8" s="16"/>
      <c r="Z8" s="16"/>
    </row>
    <row r="9" ht="13.5" customHeight="1" spans="1:26" x14ac:dyDescent="0.25">
      <c r="A9" s="16"/>
      <c r="B9" s="16"/>
      <c r="C9" s="16"/>
      <c r="D9" s="16"/>
      <c r="E9" s="16"/>
      <c r="F9" s="16"/>
      <c r="G9" s="16"/>
      <c r="H9" s="16"/>
      <c r="I9" s="16"/>
      <c r="J9" s="16"/>
      <c r="K9" s="16"/>
      <c r="L9" s="16"/>
      <c r="M9" s="16"/>
      <c r="N9" s="16"/>
      <c r="O9" s="16" t="str">
        <f ca="1">Valuation!F176&amp;": "&amp;TEXT(Valuation!G177,"0.0x")&amp;" - "&amp;TEXT(Valuation!I177,"0.0x")</f>
        <v>NTM EV/EBITDA: 11.4x - 13.4x</v>
      </c>
      <c r="P9" s="16"/>
      <c r="Q9" s="16"/>
      <c r="R9" s="16"/>
      <c r="S9" s="16"/>
      <c r="T9" s="59">
        <f ca="1">Valuation!G179</f>
        <v>197.97413940238593</v>
      </c>
      <c r="U9" s="143">
        <f ca="1">V9-T9</f>
        <v>97.98817153264574</v>
      </c>
      <c r="V9" s="59">
        <f ca="1">Valuation!I181</f>
        <v>295.96231093503167</v>
      </c>
      <c r="W9" s="84"/>
      <c r="X9" s="16"/>
      <c r="Y9" s="16"/>
      <c r="Z9" s="16"/>
    </row>
    <row r="10" ht="13.5" customHeight="1" spans="1:26" x14ac:dyDescent="0.25">
      <c r="A10" s="16"/>
      <c r="B10" s="16"/>
      <c r="C10" s="16"/>
      <c r="D10" s="16"/>
      <c r="E10" s="16"/>
      <c r="F10" s="16"/>
      <c r="G10" s="16"/>
      <c r="H10" s="16"/>
      <c r="I10" s="16"/>
      <c r="J10" s="16"/>
      <c r="K10" s="16"/>
      <c r="L10" s="16"/>
      <c r="M10" s="16"/>
      <c r="N10" s="16"/>
      <c r="O10" s="16" t="str">
        <f ca="1">Valuation!F168&amp;": "&amp;TEXT(Valuation!G169,"0.0x")&amp;" - "&amp;TEXT(Valuation!I169,"0.0x")</f>
        <v>NTM P/E Spread to Comps: 18.3x - 20.3x</v>
      </c>
      <c r="P10" s="16"/>
      <c r="Q10" s="16"/>
      <c r="R10" s="16"/>
      <c r="S10" s="16"/>
      <c r="T10" s="59">
        <f ca="1">Valuation!G171</f>
        <v>241.42389782472316</v>
      </c>
      <c r="U10" s="143">
        <f ca="1">V10-T10</f>
        <v>85.92656726380312</v>
      </c>
      <c r="V10" s="59">
        <f ca="1">Valuation!I173</f>
        <v>327.3504650885263</v>
      </c>
      <c r="W10" s="84"/>
      <c r="X10" s="16"/>
      <c r="Y10" s="16"/>
      <c r="Z10" s="16"/>
    </row>
    <row r="11" ht="13.5" customHeight="1" spans="1:26" x14ac:dyDescent="0.25">
      <c r="A11" s="16"/>
      <c r="B11" s="16"/>
      <c r="C11" s="16"/>
      <c r="D11" s="16"/>
      <c r="E11" s="16"/>
      <c r="F11" s="16"/>
      <c r="G11" s="16"/>
      <c r="H11" s="16"/>
      <c r="I11" s="16"/>
      <c r="J11" s="16"/>
      <c r="K11" s="16"/>
      <c r="L11" s="16"/>
      <c r="M11" s="16"/>
      <c r="N11" s="16"/>
      <c r="O11" s="16" t="str">
        <f ca="1">Valuation!F160&amp;": "&amp;TEXT(Valuation!G161,"0.0x")&amp;" - "&amp;TEXT(Valuation!I161,"0.0x")</f>
        <v>NTM P/E: 17.8x - 19.8x</v>
      </c>
      <c r="P11" s="16"/>
      <c r="Q11" s="16"/>
      <c r="R11" s="16"/>
      <c r="S11" s="16"/>
      <c r="T11" s="59">
        <f ca="1">Valuation!G163</f>
        <v>234.48845213961636</v>
      </c>
      <c r="U11" s="143">
        <f ca="1">V11-T11</f>
        <v>84.3853571115572</v>
      </c>
      <c r="V11" s="59">
        <f ca="1">Valuation!I165</f>
        <v>318.87380925117355</v>
      </c>
      <c r="W11" s="84"/>
      <c r="X11" s="16"/>
      <c r="Y11" s="16"/>
      <c r="Z11" s="16"/>
    </row>
    <row r="12" ht="13.5" customHeight="1" spans="1:26" x14ac:dyDescent="0.25">
      <c r="A12" s="16"/>
      <c r="B12" s="16"/>
      <c r="C12" s="16"/>
      <c r="D12" s="16"/>
      <c r="E12" s="16"/>
      <c r="F12" s="16"/>
      <c r="G12" s="16"/>
      <c r="H12" s="16"/>
      <c r="I12" s="16"/>
      <c r="J12" s="16"/>
      <c r="K12" s="16"/>
      <c r="L12" s="16"/>
      <c r="M12" s="16"/>
      <c r="N12" s="16"/>
      <c r="O12" s="16"/>
      <c r="P12" s="16"/>
      <c r="Q12" s="16"/>
      <c r="R12" s="16"/>
      <c r="S12" s="16"/>
      <c r="T12" s="59"/>
      <c r="U12" s="143"/>
      <c r="V12" s="59"/>
      <c r="W12" s="84"/>
      <c r="X12" s="16"/>
      <c r="Y12" s="16"/>
      <c r="Z12" s="16"/>
    </row>
    <row r="13" ht="13.5" customHeight="1" spans="1:26" x14ac:dyDescent="0.25">
      <c r="A13" s="16"/>
      <c r="B13" s="16"/>
      <c r="C13" s="16"/>
      <c r="D13" s="16"/>
      <c r="E13" s="16"/>
      <c r="F13" s="16"/>
      <c r="G13" s="16"/>
      <c r="H13" s="16"/>
      <c r="I13" s="16"/>
      <c r="J13" s="16"/>
      <c r="K13" s="16"/>
      <c r="L13" s="16"/>
      <c r="M13" s="16"/>
      <c r="N13" s="16"/>
      <c r="O13" s="16" t="str">
        <f ca="1">Valuation!F260&amp;": "&amp;TEXT(Valuation!G261,"0.0x")&amp;" - "&amp;TEXT(Valuation!I261,"0.0x")</f>
        <v>2009-2018 Early Cycle EV/EBITDA Spread to Comps: 11.7x - 13.7x</v>
      </c>
      <c r="P13" s="16"/>
      <c r="Q13" s="16"/>
      <c r="R13" s="16"/>
      <c r="S13" s="16"/>
      <c r="T13" s="59">
        <f ca="1">Valuation!G263</f>
        <v>202.21364140726214</v>
      </c>
      <c r="U13" s="143">
        <f t="shared" ref="U13:U16" si="2" ca="1">V13-T13</f>
        <v>39.30033149926629</v>
      </c>
      <c r="V13" s="59">
        <f ca="1">Valuation!I263</f>
        <v>241.51397290652844</v>
      </c>
      <c r="W13" s="84"/>
      <c r="X13" s="16"/>
      <c r="Y13" s="16"/>
      <c r="Z13" s="16"/>
    </row>
    <row r="14" ht="13.5" customHeight="1" spans="1:26" x14ac:dyDescent="0.25">
      <c r="A14" s="16"/>
      <c r="B14" s="16"/>
      <c r="C14" s="16"/>
      <c r="D14" s="16"/>
      <c r="E14" s="16"/>
      <c r="F14" s="16"/>
      <c r="G14" s="16"/>
      <c r="H14" s="16"/>
      <c r="I14" s="16"/>
      <c r="J14" s="16"/>
      <c r="K14" s="16"/>
      <c r="L14" s="16"/>
      <c r="M14" s="16"/>
      <c r="N14" s="16"/>
      <c r="O14" s="16" t="str">
        <f ca="1">Valuation!F252&amp;": "&amp;TEXT(Valuation!G253,"0.0x")&amp;" - "&amp;TEXT(Valuation!I253,"0.0x")</f>
        <v>2009-2018 Early Cycle EV/EBITDA: 6.4x - 8.4x</v>
      </c>
      <c r="P14" s="16"/>
      <c r="Q14" s="16"/>
      <c r="R14" s="16"/>
      <c r="S14" s="16"/>
      <c r="T14" s="59">
        <f ca="1">Valuation!G255</f>
        <v>99.10310229774737</v>
      </c>
      <c r="U14" s="143">
        <f ca="1">V14-T14</f>
        <v>39.30033149926635</v>
      </c>
      <c r="V14" s="59">
        <f ca="1">Valuation!I255</f>
        <v>138.40343379701372</v>
      </c>
      <c r="W14" s="84"/>
      <c r="X14" s="16"/>
      <c r="Y14" s="16"/>
      <c r="Z14" s="16"/>
    </row>
    <row r="15" ht="13.5" customHeight="1" spans="1:26" x14ac:dyDescent="0.25">
      <c r="A15" s="16"/>
      <c r="B15" s="16"/>
      <c r="C15" s="16"/>
      <c r="D15" s="16"/>
      <c r="E15" s="16"/>
      <c r="F15" s="16"/>
      <c r="G15" s="16"/>
      <c r="H15" s="16"/>
      <c r="I15" s="16"/>
      <c r="J15" s="16"/>
      <c r="K15" s="16"/>
      <c r="L15" s="16"/>
      <c r="M15" s="16"/>
      <c r="N15" s="16"/>
      <c r="O15" s="16" t="str">
        <f ca="1">Valuation!F244&amp;": "&amp;TEXT(Valuation!G245,"0.0x")&amp;" - "&amp;TEXT(Valuation!I245,"0.0x")</f>
        <v>2009-2018 Early Cycle P/E Spread to Comps: 20.2x - 22.2x</v>
      </c>
      <c r="P15" s="16"/>
      <c r="Q15" s="16"/>
      <c r="R15" s="16"/>
      <c r="S15" s="16"/>
      <c r="T15" s="59">
        <f ca="1">Valuation!G247</f>
        <v>267.04260782546874</v>
      </c>
      <c r="U15" s="143">
        <f ca="1">V15-T15</f>
        <v>26.408300884071082</v>
      </c>
      <c r="V15" s="59">
        <f ca="1">Valuation!I247</f>
        <v>293.4509087095398</v>
      </c>
      <c r="W15" s="84"/>
      <c r="X15" s="16"/>
      <c r="Y15" s="16"/>
      <c r="Z15" s="16"/>
    </row>
    <row r="16" ht="13.5" customHeight="1" spans="1:26" x14ac:dyDescent="0.25">
      <c r="A16" s="16"/>
      <c r="B16" s="16"/>
      <c r="C16" s="16"/>
      <c r="D16" s="16"/>
      <c r="E16" s="16"/>
      <c r="F16" s="16"/>
      <c r="G16" s="16"/>
      <c r="H16" s="16"/>
      <c r="I16" s="16"/>
      <c r="J16" s="16"/>
      <c r="K16" s="16"/>
      <c r="L16" s="16"/>
      <c r="M16" s="16"/>
      <c r="N16" s="16"/>
      <c r="O16" s="16" t="str">
        <f ca="1">Valuation!F236&amp;": "&amp;TEXT(Valuation!G237,"0.0x")&amp;" - "&amp;TEXT(Valuation!I237,"0.0x")</f>
        <v>2009-2018 Early Cycle P/E: 15.5x - 17.5x</v>
      </c>
      <c r="P16" s="16"/>
      <c r="Q16" s="16"/>
      <c r="R16" s="16"/>
      <c r="S16" s="16"/>
      <c r="T16" s="59">
        <f ca="1">Valuation!G239</f>
        <v>205.30918954876387</v>
      </c>
      <c r="U16" s="143">
        <f ca="1">V16-T16</f>
        <v>26.40830088407111</v>
      </c>
      <c r="V16" s="59">
        <f ca="1">Valuation!I239</f>
        <v>231.71749043283498</v>
      </c>
      <c r="W16" s="84"/>
      <c r="X16" s="16"/>
      <c r="Y16" s="16"/>
      <c r="Z16" s="16"/>
    </row>
    <row r="17" ht="13.5" customHeight="1" spans="1:26" x14ac:dyDescent="0.25">
      <c r="A17" s="16"/>
      <c r="B17" s="16"/>
      <c r="C17" s="16"/>
      <c r="D17" s="16"/>
      <c r="E17" s="16"/>
      <c r="F17" s="16"/>
      <c r="G17" s="16"/>
      <c r="H17" s="16"/>
      <c r="I17" s="16"/>
      <c r="J17" s="16"/>
      <c r="K17" s="16"/>
      <c r="L17" s="16"/>
      <c r="M17" s="16"/>
      <c r="N17" s="16"/>
      <c r="O17" s="16"/>
      <c r="P17" s="16"/>
      <c r="Q17" s="16"/>
      <c r="R17" s="16"/>
      <c r="S17" s="16"/>
      <c r="T17" s="143"/>
      <c r="U17" s="143"/>
      <c r="V17" s="143"/>
      <c r="W17" s="84"/>
      <c r="X17" s="16"/>
      <c r="Y17" s="16"/>
      <c r="Z17" s="16"/>
    </row>
    <row r="18" ht="13.5" customHeight="1" spans="1:26" x14ac:dyDescent="0.25">
      <c r="A18" s="16"/>
      <c r="B18" s="16"/>
      <c r="C18" s="16"/>
      <c r="D18" s="16"/>
      <c r="E18" s="16"/>
      <c r="F18" s="16"/>
      <c r="G18" s="16"/>
      <c r="H18" s="16"/>
      <c r="I18" s="16"/>
      <c r="J18" s="16"/>
      <c r="K18" s="16"/>
      <c r="L18" s="16"/>
      <c r="M18" s="16"/>
      <c r="N18" s="16"/>
      <c r="O18" s="16" t="s">
        <v>162</v>
      </c>
      <c r="P18" s="16"/>
      <c r="Q18" s="16"/>
      <c r="R18" s="16"/>
      <c r="S18" s="16"/>
      <c r="T18" s="233">
        <f ca="1">Share_Price_Low</f>
        <v>146.72</v>
      </c>
      <c r="U18" s="234">
        <f ca="1">V18-T18</f>
        <v>68.5</v>
      </c>
      <c r="V18" s="235">
        <f ca="1">Share_Price_High</f>
        <v>215.22</v>
      </c>
      <c r="W18" s="84"/>
      <c r="X18" s="16"/>
      <c r="Y18" s="16"/>
      <c r="Z18" s="16"/>
    </row>
    <row r="19" ht="13.5" customHeight="1" spans="1:26" x14ac:dyDescent="0.25">
      <c r="A19" s="16"/>
      <c r="B19" s="16"/>
      <c r="C19" s="16"/>
      <c r="D19" s="16"/>
      <c r="E19" s="16"/>
      <c r="F19" s="16"/>
      <c r="G19" s="16"/>
      <c r="H19" s="16"/>
      <c r="I19" s="16"/>
      <c r="J19" s="16"/>
      <c r="K19" s="16"/>
      <c r="L19" s="16"/>
      <c r="M19" s="16"/>
      <c r="N19" s="16"/>
      <c r="O19" s="236" t="s">
        <v>163</v>
      </c>
      <c r="P19" s="100"/>
      <c r="Q19" s="100"/>
      <c r="R19" s="100"/>
      <c r="S19" s="100"/>
      <c r="T19" s="237">
        <f t="shared" ref="T19:V19" si="3" ca="1">MEDIAN(T5:T18)</f>
        <v>205.30918954876387</v>
      </c>
      <c r="U19" s="237">
        <f ca="1">MEDIAN(U5:U18)</f>
        <v>39.30033149926635</v>
      </c>
      <c r="V19" s="238">
        <f ca="1">MEDIAN(V5:V18)</f>
        <v>278.04665922575344</v>
      </c>
      <c r="W19" s="84"/>
      <c r="X19" s="16"/>
      <c r="Y19" s="16"/>
      <c r="Z19" s="16"/>
    </row>
    <row r="20" ht="13.5" customHeight="1" spans="1:26" x14ac:dyDescent="0.25">
      <c r="A20" s="226" t="s">
        <v>1</v>
      </c>
      <c r="B20" s="16"/>
      <c r="C20" s="16"/>
      <c r="D20" s="16"/>
      <c r="E20" s="16"/>
      <c r="F20" s="16"/>
      <c r="G20" s="16"/>
      <c r="H20" s="16"/>
      <c r="I20" s="16"/>
      <c r="J20" s="16"/>
      <c r="K20" s="16"/>
      <c r="L20" s="16"/>
      <c r="M20" s="16"/>
      <c r="N20" s="16"/>
      <c r="O20" s="120" t="s">
        <v>164</v>
      </c>
      <c r="P20" s="16"/>
      <c r="Q20" s="16"/>
      <c r="R20" s="16"/>
      <c r="S20" s="16"/>
      <c r="T20" s="121">
        <f ca="1">T19/Share_Price-1</f>
        <v>-0.11952487542343315</v>
      </c>
      <c r="U20" s="121"/>
      <c r="V20" s="121">
        <f ca="1">V19/Share_Price-1</f>
        <v>0.19241212464942725</v>
      </c>
      <c r="W20" s="84"/>
      <c r="X20" s="16"/>
      <c r="Y20" s="16"/>
      <c r="Z20" s="16"/>
    </row>
    <row r="21" ht="13.5" customHeight="1" spans="1:26" x14ac:dyDescent="0.25">
      <c r="A21" s="16"/>
      <c r="B21" s="16"/>
      <c r="C21" s="16"/>
      <c r="D21" s="16"/>
      <c r="E21" s="16"/>
      <c r="F21" s="16"/>
      <c r="G21" s="16"/>
      <c r="H21" s="16"/>
      <c r="I21" s="16"/>
      <c r="J21" s="16"/>
      <c r="K21" s="16"/>
      <c r="L21" s="16"/>
      <c r="M21" s="16"/>
      <c r="N21" s="16"/>
      <c r="O21" s="16"/>
      <c r="P21" s="16"/>
      <c r="Q21" s="16"/>
      <c r="R21" s="16"/>
      <c r="S21" s="16"/>
      <c r="T21" s="16"/>
      <c r="U21" s="16"/>
      <c r="V21" s="16"/>
      <c r="W21" s="84"/>
      <c r="X21" s="16"/>
      <c r="Y21" s="16"/>
      <c r="Z21" s="16"/>
    </row>
    <row r="22" ht="13.5" customHeight="1" spans="1:26" x14ac:dyDescent="0.25">
      <c r="A22" s="16"/>
      <c r="B22" s="16"/>
      <c r="C22" s="16"/>
      <c r="D22" s="16"/>
      <c r="E22" s="16"/>
      <c r="F22" s="16"/>
      <c r="G22" s="16"/>
      <c r="H22" s="16"/>
      <c r="I22" s="16"/>
      <c r="J22" s="16"/>
      <c r="K22" s="16"/>
      <c r="L22" s="16"/>
      <c r="M22" s="16"/>
      <c r="N22" s="16"/>
      <c r="O22" s="16"/>
      <c r="P22" s="16"/>
      <c r="Q22" s="16"/>
      <c r="R22" s="16"/>
      <c r="S22" s="16"/>
      <c r="T22" s="239" t="s">
        <v>165</v>
      </c>
      <c r="U22" s="240"/>
      <c r="V22" s="241"/>
      <c r="W22" s="84"/>
      <c r="X22" s="16"/>
      <c r="Y22" s="16"/>
      <c r="Z22" s="16"/>
    </row>
    <row r="23" ht="13.5" customHeight="1" spans="1:26" x14ac:dyDescent="0.25">
      <c r="A23" s="16"/>
      <c r="B23" s="16"/>
      <c r="C23" s="16"/>
      <c r="D23" s="16"/>
      <c r="E23" s="16"/>
      <c r="F23" s="16"/>
      <c r="G23" s="16"/>
      <c r="H23" s="16"/>
      <c r="I23" s="16"/>
      <c r="J23" s="16"/>
      <c r="K23" s="16"/>
      <c r="L23" s="16"/>
      <c r="M23" s="16"/>
      <c r="N23" s="16"/>
      <c r="O23" s="16"/>
      <c r="P23" s="16"/>
      <c r="Q23" s="16"/>
      <c r="R23" s="16"/>
      <c r="S23" s="16"/>
      <c r="T23" s="16"/>
      <c r="U23" s="16"/>
      <c r="V23" s="16"/>
      <c r="W23" s="84"/>
      <c r="X23" s="16"/>
      <c r="Y23" s="16"/>
      <c r="Z23" s="16"/>
    </row>
    <row r="24" ht="13.5" customHeight="1" spans="1:26" x14ac:dyDescent="0.25">
      <c r="A24" s="16"/>
      <c r="B24" s="16"/>
      <c r="C24" s="16"/>
      <c r="D24" s="16"/>
      <c r="E24" s="16"/>
      <c r="F24" s="16"/>
      <c r="G24" s="16"/>
      <c r="H24" s="16"/>
      <c r="I24" s="16"/>
      <c r="J24" s="16"/>
      <c r="K24" s="16"/>
      <c r="L24" s="16"/>
      <c r="M24" s="16"/>
      <c r="N24" s="16"/>
      <c r="O24" s="16"/>
      <c r="P24" s="16"/>
      <c r="Q24" s="16"/>
      <c r="R24" s="16"/>
      <c r="S24" s="16"/>
      <c r="T24" s="84"/>
      <c r="U24" s="210" t="s">
        <v>166</v>
      </c>
      <c r="V24" s="16"/>
      <c r="W24" s="84"/>
      <c r="X24" s="16"/>
      <c r="Y24" s="16"/>
      <c r="Z24" s="16"/>
    </row>
    <row r="25" ht="13.5" customHeight="1" spans="1:26" x14ac:dyDescent="0.25">
      <c r="A25" s="226" t="s">
        <v>1</v>
      </c>
      <c r="B25" s="16"/>
      <c r="C25" s="16"/>
      <c r="D25" s="16"/>
      <c r="E25" s="16"/>
      <c r="F25" s="16"/>
      <c r="G25" s="16"/>
      <c r="H25" s="16"/>
      <c r="I25" s="16"/>
      <c r="J25" s="16"/>
      <c r="K25" s="16"/>
      <c r="L25" s="16"/>
      <c r="M25" s="16"/>
      <c r="N25" s="16"/>
      <c r="O25" s="16"/>
      <c r="P25" s="16"/>
      <c r="Q25" s="16"/>
      <c r="R25" s="16"/>
      <c r="S25" s="16"/>
      <c r="T25" s="189" t="s">
        <v>167</v>
      </c>
      <c r="U25" s="231">
        <f ca="1">MAX(V5:V18)*1.1</f>
        <v>360.0855115973789</v>
      </c>
      <c r="V25" s="16"/>
      <c r="W25" s="230" t="s">
        <v>1</v>
      </c>
      <c r="X25" s="16"/>
      <c r="Y25" s="16"/>
      <c r="Z25" s="16"/>
    </row>
    <row r="26" ht="13.5" customHeight="1" spans="1:26" x14ac:dyDescent="0.25">
      <c r="A26" s="226"/>
      <c r="B26" s="16"/>
      <c r="C26" s="16"/>
      <c r="D26" s="16"/>
      <c r="E26" s="16"/>
      <c r="F26" s="16"/>
      <c r="G26" s="16"/>
      <c r="H26" s="16"/>
      <c r="I26" s="16"/>
      <c r="J26" s="16"/>
      <c r="K26" s="16"/>
      <c r="L26" s="16"/>
      <c r="M26" s="16"/>
      <c r="N26" s="16"/>
      <c r="O26" s="16"/>
      <c r="P26" s="16"/>
      <c r="Q26" s="16"/>
      <c r="R26" s="16"/>
      <c r="S26" s="16"/>
      <c r="T26" s="189" t="s">
        <v>168</v>
      </c>
      <c r="U26" s="231">
        <f ca="1">MIN(T5:T18)*0.9</f>
        <v>89.19279206797263</v>
      </c>
      <c r="V26" s="16"/>
      <c r="W26" s="84"/>
      <c r="X26" s="16"/>
      <c r="Y26" s="16"/>
      <c r="Z26" s="16"/>
    </row>
    <row r="27" ht="13.5" customHeight="1" spans="1:26" x14ac:dyDescent="0.25">
      <c r="A27" s="16"/>
      <c r="B27" s="16"/>
      <c r="C27" s="16"/>
      <c r="D27" s="16"/>
      <c r="E27" s="16"/>
      <c r="F27" s="16"/>
      <c r="G27" s="16"/>
      <c r="H27" s="16"/>
      <c r="I27" s="16"/>
      <c r="J27" s="16"/>
      <c r="K27" s="16"/>
      <c r="L27" s="16"/>
      <c r="M27" s="16"/>
      <c r="N27" s="16"/>
      <c r="O27" s="16"/>
      <c r="P27" s="16"/>
      <c r="Q27" s="16"/>
      <c r="R27" s="16"/>
      <c r="S27" s="16"/>
      <c r="T27" s="16"/>
      <c r="U27" s="16"/>
      <c r="V27" s="16"/>
      <c r="W27" s="84"/>
      <c r="X27" s="16"/>
      <c r="Y27" s="16"/>
      <c r="Z27" s="16"/>
    </row>
    <row r="28" ht="13.5" customHeight="1" spans="1:26" x14ac:dyDescent="0.25">
      <c r="A28" s="16"/>
      <c r="B28" s="16"/>
      <c r="C28" s="16"/>
      <c r="D28" s="16"/>
      <c r="E28" s="16"/>
      <c r="F28" s="16"/>
      <c r="G28" s="16"/>
      <c r="H28" s="16"/>
      <c r="I28" s="16"/>
      <c r="J28" s="16"/>
      <c r="K28" s="16"/>
      <c r="L28" s="16"/>
      <c r="M28" s="16"/>
      <c r="N28" s="16"/>
      <c r="O28" s="16"/>
      <c r="P28" s="16"/>
      <c r="Q28" s="16"/>
      <c r="R28" s="16"/>
      <c r="S28" s="16"/>
      <c r="T28" s="16"/>
      <c r="U28" s="16"/>
      <c r="V28" s="16"/>
      <c r="W28" s="84"/>
      <c r="X28" s="16"/>
      <c r="Y28" s="16"/>
      <c r="Z28" s="16"/>
    </row>
    <row r="29" ht="13.5" customHeight="1" spans="1:26" x14ac:dyDescent="0.25">
      <c r="A29" s="16"/>
      <c r="B29" s="16"/>
      <c r="C29" s="16"/>
      <c r="D29" s="16"/>
      <c r="E29" s="16"/>
      <c r="F29" s="16"/>
      <c r="G29" s="16"/>
      <c r="H29" s="16"/>
      <c r="I29" s="16"/>
      <c r="J29" s="16"/>
      <c r="K29" s="16"/>
      <c r="L29" s="16"/>
      <c r="M29" s="16"/>
      <c r="N29" s="16"/>
      <c r="O29" s="16"/>
      <c r="P29" s="16"/>
      <c r="Q29" s="16"/>
      <c r="R29" s="16"/>
      <c r="S29" s="16"/>
      <c r="T29" s="16"/>
      <c r="U29" s="16"/>
      <c r="V29" s="16"/>
      <c r="W29" s="84"/>
      <c r="X29" s="16"/>
      <c r="Y29" s="16"/>
      <c r="Z29" s="16"/>
    </row>
    <row r="30" ht="13.5" customHeight="1" spans="1:26" x14ac:dyDescent="0.25">
      <c r="A30" s="226" t="s">
        <v>1</v>
      </c>
      <c r="B30" s="16"/>
      <c r="C30" s="16"/>
      <c r="D30" s="16"/>
      <c r="E30" s="16"/>
      <c r="F30" s="16"/>
      <c r="G30" s="16"/>
      <c r="H30" s="16"/>
      <c r="I30" s="16"/>
      <c r="J30" s="16"/>
      <c r="K30" s="16"/>
      <c r="L30" s="16"/>
      <c r="M30" s="16"/>
      <c r="N30" s="16"/>
      <c r="O30" s="16"/>
      <c r="P30" s="16"/>
      <c r="Q30" s="16"/>
      <c r="R30" s="16"/>
      <c r="S30" s="16"/>
      <c r="T30" s="16"/>
      <c r="U30" s="16"/>
      <c r="V30" s="16"/>
      <c r="W30" s="84"/>
      <c r="X30" s="16"/>
      <c r="Y30" s="16"/>
      <c r="Z30" s="16"/>
    </row>
    <row r="31" ht="13.5" customHeight="1" spans="1:26" x14ac:dyDescent="0.25">
      <c r="A31" s="16"/>
      <c r="B31" s="16"/>
      <c r="C31" s="16"/>
      <c r="D31" s="16"/>
      <c r="E31" s="16"/>
      <c r="F31" s="16"/>
      <c r="G31" s="16"/>
      <c r="H31" s="16"/>
      <c r="I31" s="16"/>
      <c r="J31" s="16"/>
      <c r="K31" s="16"/>
      <c r="L31" s="16"/>
      <c r="M31" s="16"/>
      <c r="N31" s="16"/>
      <c r="O31" s="16"/>
      <c r="P31" s="16"/>
      <c r="Q31" s="16"/>
      <c r="R31" s="16"/>
      <c r="S31" s="16"/>
      <c r="T31" s="16"/>
      <c r="U31" s="16"/>
      <c r="V31" s="16"/>
      <c r="W31" s="84"/>
      <c r="X31" s="16"/>
      <c r="Y31" s="16"/>
      <c r="Z31" s="16"/>
    </row>
    <row r="32" ht="13.5" customHeight="1" spans="1:26" x14ac:dyDescent="0.25">
      <c r="A32" s="4"/>
      <c r="B32" s="4"/>
      <c r="C32" s="4"/>
      <c r="D32" s="4"/>
      <c r="E32" s="4"/>
      <c r="F32" s="4"/>
      <c r="G32" s="4"/>
      <c r="H32" s="4"/>
      <c r="I32" s="4"/>
      <c r="J32" s="4"/>
      <c r="K32" s="4"/>
      <c r="L32" s="4"/>
      <c r="M32" s="4"/>
      <c r="N32" s="4"/>
      <c r="O32" s="4"/>
      <c r="P32" s="4"/>
      <c r="Q32" s="4"/>
      <c r="R32" s="4"/>
      <c r="S32" s="4"/>
      <c r="T32" s="4"/>
      <c r="U32" s="4"/>
      <c r="V32" s="4"/>
      <c r="W32" s="242"/>
      <c r="X32" s="4"/>
      <c r="Y32" s="4"/>
      <c r="Z32" s="4"/>
    </row>
    <row r="33" ht="13.5" customHeight="1" spans="1:26" x14ac:dyDescent="0.25">
      <c r="A33" s="4"/>
      <c r="B33" s="4"/>
      <c r="C33" s="4"/>
      <c r="D33" s="4"/>
      <c r="E33" s="4"/>
      <c r="F33" s="4"/>
      <c r="G33" s="4"/>
      <c r="H33" s="4"/>
      <c r="I33" s="4"/>
      <c r="J33" s="4"/>
      <c r="K33" s="4"/>
      <c r="L33" s="4"/>
      <c r="M33" s="4"/>
      <c r="N33" s="4"/>
      <c r="O33" s="4"/>
      <c r="P33" s="4"/>
      <c r="Q33" s="4"/>
      <c r="R33" s="4"/>
      <c r="S33" s="4"/>
      <c r="T33" s="4"/>
      <c r="U33" s="4"/>
      <c r="V33" s="4"/>
      <c r="W33" s="242"/>
      <c r="X33" s="4"/>
      <c r="Y33" s="4"/>
      <c r="Z33" s="4"/>
    </row>
    <row r="34" ht="13.5" customHeight="1" spans="1:26" x14ac:dyDescent="0.25">
      <c r="A34" s="4"/>
      <c r="B34" s="4"/>
      <c r="C34" s="4"/>
      <c r="D34" s="4"/>
      <c r="E34" s="4"/>
      <c r="F34" s="4"/>
      <c r="G34" s="4"/>
      <c r="H34" s="4"/>
      <c r="I34" s="4"/>
      <c r="J34" s="4"/>
      <c r="K34" s="4"/>
      <c r="L34" s="4"/>
      <c r="M34" s="4"/>
      <c r="N34" s="4"/>
      <c r="O34" s="4"/>
      <c r="P34" s="4"/>
      <c r="Q34" s="4"/>
      <c r="R34" s="4"/>
      <c r="S34" s="4"/>
      <c r="T34" s="4"/>
      <c r="U34" s="4"/>
      <c r="V34" s="4"/>
      <c r="W34" s="242"/>
      <c r="X34" s="4"/>
      <c r="Y34" s="4"/>
      <c r="Z34" s="4"/>
    </row>
    <row r="35" ht="13.5" customHeight="1" spans="1:26" x14ac:dyDescent="0.25">
      <c r="A35" s="4"/>
      <c r="B35" s="4"/>
      <c r="C35" s="4"/>
      <c r="D35" s="4"/>
      <c r="E35" s="4"/>
      <c r="F35" s="4"/>
      <c r="G35" s="4"/>
      <c r="H35" s="4"/>
      <c r="I35" s="4"/>
      <c r="J35" s="4"/>
      <c r="K35" s="4"/>
      <c r="L35" s="4"/>
      <c r="M35" s="4"/>
      <c r="N35" s="4"/>
      <c r="O35" s="4"/>
      <c r="P35" s="4"/>
      <c r="Q35" s="4"/>
      <c r="R35" s="4"/>
      <c r="S35" s="4"/>
      <c r="T35" s="4"/>
      <c r="U35" s="4"/>
      <c r="V35" s="4"/>
      <c r="W35" s="242"/>
      <c r="X35" s="4"/>
      <c r="Y35" s="4"/>
      <c r="Z35" s="4"/>
    </row>
    <row r="36" ht="13.5" customHeight="1" spans="1:26" x14ac:dyDescent="0.25">
      <c r="A36" s="4"/>
      <c r="B36" s="4"/>
      <c r="C36" s="4"/>
      <c r="D36" s="4"/>
      <c r="E36" s="4"/>
      <c r="F36" s="4"/>
      <c r="G36" s="4"/>
      <c r="H36" s="4"/>
      <c r="I36" s="4"/>
      <c r="J36" s="4"/>
      <c r="K36" s="4"/>
      <c r="L36" s="4"/>
      <c r="M36" s="4"/>
      <c r="N36" s="4"/>
      <c r="O36" s="4"/>
      <c r="P36" s="4"/>
      <c r="Q36" s="4"/>
      <c r="R36" s="4"/>
      <c r="S36" s="4"/>
      <c r="T36" s="4"/>
      <c r="U36" s="4"/>
      <c r="V36" s="4"/>
      <c r="W36" s="242"/>
      <c r="X36" s="4"/>
      <c r="Y36" s="4"/>
      <c r="Z36" s="4"/>
    </row>
    <row r="37" ht="13.5" customHeight="1" spans="1:26" x14ac:dyDescent="0.25">
      <c r="A37" s="4"/>
      <c r="B37" s="4"/>
      <c r="C37" s="4"/>
      <c r="D37" s="4"/>
      <c r="E37" s="4"/>
      <c r="F37" s="4"/>
      <c r="G37" s="4"/>
      <c r="H37" s="4"/>
      <c r="I37" s="4"/>
      <c r="J37" s="4"/>
      <c r="K37" s="4"/>
      <c r="L37" s="4"/>
      <c r="M37" s="4"/>
      <c r="N37" s="4"/>
      <c r="O37" s="4"/>
      <c r="P37" s="4"/>
      <c r="Q37" s="4"/>
      <c r="R37" s="4"/>
      <c r="S37" s="4"/>
      <c r="T37" s="4"/>
      <c r="U37" s="4"/>
      <c r="V37" s="4"/>
      <c r="W37" s="242"/>
      <c r="X37" s="4"/>
      <c r="Y37" s="4"/>
      <c r="Z37" s="4"/>
    </row>
    <row r="38" ht="13.5" customHeight="1" spans="1:26" x14ac:dyDescent="0.25">
      <c r="A38" s="4"/>
      <c r="B38" s="4"/>
      <c r="C38" s="4"/>
      <c r="D38" s="4"/>
      <c r="E38" s="4"/>
      <c r="F38" s="4"/>
      <c r="G38" s="4"/>
      <c r="H38" s="4"/>
      <c r="I38" s="4"/>
      <c r="J38" s="4"/>
      <c r="K38" s="4"/>
      <c r="L38" s="4"/>
      <c r="M38" s="4"/>
      <c r="N38" s="4"/>
      <c r="O38" s="4"/>
      <c r="P38" s="4"/>
      <c r="Q38" s="4"/>
      <c r="R38" s="4"/>
      <c r="S38" s="4"/>
      <c r="T38" s="4"/>
      <c r="U38" s="4"/>
      <c r="V38" s="4"/>
      <c r="W38" s="242"/>
      <c r="X38" s="4"/>
      <c r="Y38" s="4"/>
      <c r="Z38" s="4"/>
    </row>
    <row r="39" ht="13.5" customHeight="1" spans="1:26" x14ac:dyDescent="0.25">
      <c r="A39" s="4"/>
      <c r="B39" s="4"/>
      <c r="C39" s="4"/>
      <c r="D39" s="4"/>
      <c r="E39" s="4"/>
      <c r="F39" s="4"/>
      <c r="G39" s="4"/>
      <c r="H39" s="4"/>
      <c r="I39" s="4"/>
      <c r="J39" s="4"/>
      <c r="K39" s="4"/>
      <c r="L39" s="4"/>
      <c r="M39" s="4"/>
      <c r="N39" s="4"/>
      <c r="O39" s="4"/>
      <c r="P39" s="4"/>
      <c r="Q39" s="4"/>
      <c r="R39" s="4"/>
      <c r="S39" s="4"/>
      <c r="T39" s="4"/>
      <c r="U39" s="4"/>
      <c r="V39" s="4"/>
      <c r="W39" s="242"/>
      <c r="X39" s="4"/>
      <c r="Y39" s="4"/>
      <c r="Z39" s="4"/>
    </row>
    <row r="40" ht="13.5" customHeight="1" spans="1:26" x14ac:dyDescent="0.25">
      <c r="A40" s="4"/>
      <c r="B40" s="4"/>
      <c r="C40" s="4"/>
      <c r="D40" s="4"/>
      <c r="E40" s="4"/>
      <c r="F40" s="4"/>
      <c r="G40" s="4"/>
      <c r="H40" s="4"/>
      <c r="I40" s="4"/>
      <c r="J40" s="4"/>
      <c r="K40" s="4"/>
      <c r="L40" s="4"/>
      <c r="M40" s="4"/>
      <c r="N40" s="4"/>
      <c r="O40" s="4"/>
      <c r="P40" s="4"/>
      <c r="Q40" s="4"/>
      <c r="R40" s="4"/>
      <c r="S40" s="4"/>
      <c r="T40" s="4"/>
      <c r="U40" s="4"/>
      <c r="V40" s="4"/>
      <c r="W40" s="242"/>
      <c r="X40" s="4"/>
      <c r="Y40" s="4"/>
      <c r="Z40" s="4"/>
    </row>
    <row r="41" ht="13.5" customHeight="1" spans="1:26" x14ac:dyDescent="0.25">
      <c r="A41" s="4"/>
      <c r="B41" s="4"/>
      <c r="C41" s="4"/>
      <c r="D41" s="4"/>
      <c r="E41" s="4"/>
      <c r="F41" s="4"/>
      <c r="G41" s="4"/>
      <c r="H41" s="4"/>
      <c r="I41" s="4"/>
      <c r="J41" s="4"/>
      <c r="K41" s="4"/>
      <c r="L41" s="4"/>
      <c r="M41" s="4"/>
      <c r="N41" s="4"/>
      <c r="O41" s="4"/>
      <c r="P41" s="4"/>
      <c r="Q41" s="4"/>
      <c r="R41" s="4"/>
      <c r="S41" s="4"/>
      <c r="T41" s="4"/>
      <c r="U41" s="4"/>
      <c r="V41" s="4"/>
      <c r="W41" s="242"/>
      <c r="X41" s="4"/>
      <c r="Y41" s="4"/>
      <c r="Z41" s="4"/>
    </row>
    <row r="42" ht="13.5" customHeight="1" spans="1:26" x14ac:dyDescent="0.25">
      <c r="A42" s="4"/>
      <c r="B42" s="4"/>
      <c r="C42" s="4"/>
      <c r="D42" s="4"/>
      <c r="E42" s="4"/>
      <c r="F42" s="4"/>
      <c r="G42" s="4"/>
      <c r="H42" s="4"/>
      <c r="I42" s="4"/>
      <c r="J42" s="4"/>
      <c r="K42" s="4"/>
      <c r="L42" s="4"/>
      <c r="M42" s="4"/>
      <c r="N42" s="4"/>
      <c r="O42" s="4"/>
      <c r="P42" s="4"/>
      <c r="Q42" s="4"/>
      <c r="R42" s="4"/>
      <c r="S42" s="4"/>
      <c r="T42" s="4"/>
      <c r="U42" s="4"/>
      <c r="V42" s="4"/>
      <c r="W42" s="242"/>
      <c r="X42" s="4"/>
      <c r="Y42" s="4"/>
      <c r="Z42" s="4"/>
    </row>
    <row r="43" ht="13.5" customHeight="1" spans="1:26" x14ac:dyDescent="0.25">
      <c r="A43" s="4"/>
      <c r="B43" s="4"/>
      <c r="C43" s="4"/>
      <c r="D43" s="4"/>
      <c r="E43" s="4"/>
      <c r="F43" s="4"/>
      <c r="G43" s="4"/>
      <c r="H43" s="4"/>
      <c r="I43" s="4"/>
      <c r="J43" s="4"/>
      <c r="K43" s="4"/>
      <c r="L43" s="4"/>
      <c r="M43" s="4"/>
      <c r="N43" s="4"/>
      <c r="O43" s="4"/>
      <c r="P43" s="4"/>
      <c r="Q43" s="4"/>
      <c r="R43" s="4"/>
      <c r="S43" s="4"/>
      <c r="T43" s="4"/>
      <c r="U43" s="4"/>
      <c r="V43" s="4"/>
      <c r="W43" s="242"/>
      <c r="X43" s="4"/>
      <c r="Y43" s="4"/>
      <c r="Z43" s="4"/>
    </row>
    <row r="44" ht="13.5" customHeight="1" spans="1:26" x14ac:dyDescent="0.25">
      <c r="A44" s="4"/>
      <c r="B44" s="4"/>
      <c r="C44" s="4"/>
      <c r="D44" s="4"/>
      <c r="E44" s="4"/>
      <c r="F44" s="4"/>
      <c r="G44" s="4"/>
      <c r="H44" s="4"/>
      <c r="I44" s="4"/>
      <c r="J44" s="4"/>
      <c r="K44" s="4"/>
      <c r="L44" s="4"/>
      <c r="M44" s="4"/>
      <c r="N44" s="4"/>
      <c r="O44" s="4"/>
      <c r="P44" s="4"/>
      <c r="Q44" s="4"/>
      <c r="R44" s="4"/>
      <c r="S44" s="4"/>
      <c r="T44" s="4"/>
      <c r="U44" s="4"/>
      <c r="V44" s="4"/>
      <c r="W44" s="242"/>
      <c r="X44" s="4"/>
      <c r="Y44" s="4"/>
      <c r="Z44" s="4"/>
    </row>
    <row r="45" ht="13.5" customHeight="1" spans="1:26" x14ac:dyDescent="0.25">
      <c r="A45" s="4"/>
      <c r="B45" s="4"/>
      <c r="C45" s="4"/>
      <c r="D45" s="4"/>
      <c r="E45" s="4"/>
      <c r="F45" s="4"/>
      <c r="G45" s="4"/>
      <c r="H45" s="4"/>
      <c r="I45" s="4"/>
      <c r="J45" s="4"/>
      <c r="K45" s="4"/>
      <c r="L45" s="4"/>
      <c r="M45" s="4"/>
      <c r="N45" s="4"/>
      <c r="O45" s="4"/>
      <c r="P45" s="4"/>
      <c r="Q45" s="4"/>
      <c r="R45" s="4"/>
      <c r="S45" s="4"/>
      <c r="T45" s="4"/>
      <c r="U45" s="4"/>
      <c r="V45" s="4"/>
      <c r="W45" s="242"/>
      <c r="X45" s="4"/>
      <c r="Y45" s="4"/>
      <c r="Z45" s="4"/>
    </row>
    <row r="46" ht="13.5" customHeight="1" spans="1:26" x14ac:dyDescent="0.25">
      <c r="A46" s="4"/>
      <c r="B46" s="4"/>
      <c r="C46" s="4"/>
      <c r="D46" s="4"/>
      <c r="E46" s="4"/>
      <c r="F46" s="4"/>
      <c r="G46" s="4"/>
      <c r="H46" s="4"/>
      <c r="I46" s="4"/>
      <c r="J46" s="4"/>
      <c r="K46" s="4"/>
      <c r="L46" s="4"/>
      <c r="M46" s="4"/>
      <c r="N46" s="4"/>
      <c r="O46" s="4"/>
      <c r="P46" s="4"/>
      <c r="Q46" s="4"/>
      <c r="R46" s="4"/>
      <c r="S46" s="4"/>
      <c r="T46" s="4"/>
      <c r="U46" s="4"/>
      <c r="V46" s="4"/>
      <c r="W46" s="242"/>
      <c r="X46" s="4"/>
      <c r="Y46" s="4"/>
      <c r="Z46" s="4"/>
    </row>
    <row r="47" ht="13.5" customHeight="1" spans="1:26" x14ac:dyDescent="0.25">
      <c r="A47" s="4"/>
      <c r="B47" s="4"/>
      <c r="C47" s="4"/>
      <c r="D47" s="4"/>
      <c r="E47" s="4"/>
      <c r="F47" s="4"/>
      <c r="G47" s="4"/>
      <c r="H47" s="4"/>
      <c r="I47" s="4"/>
      <c r="J47" s="4"/>
      <c r="K47" s="4"/>
      <c r="L47" s="4"/>
      <c r="M47" s="4"/>
      <c r="N47" s="4"/>
      <c r="O47" s="4"/>
      <c r="P47" s="4"/>
      <c r="Q47" s="4"/>
      <c r="R47" s="4"/>
      <c r="S47" s="4"/>
      <c r="T47" s="4"/>
      <c r="U47" s="4"/>
      <c r="V47" s="4"/>
      <c r="W47" s="242"/>
      <c r="X47" s="4"/>
      <c r="Y47" s="4"/>
      <c r="Z47" s="4"/>
    </row>
    <row r="48" ht="13.5" customHeight="1" spans="1:26" x14ac:dyDescent="0.25">
      <c r="A48" s="4"/>
      <c r="B48" s="4"/>
      <c r="C48" s="4"/>
      <c r="D48" s="4"/>
      <c r="E48" s="4"/>
      <c r="F48" s="4"/>
      <c r="G48" s="4"/>
      <c r="H48" s="4"/>
      <c r="I48" s="4"/>
      <c r="J48" s="4"/>
      <c r="K48" s="4"/>
      <c r="L48" s="4"/>
      <c r="M48" s="4"/>
      <c r="N48" s="4"/>
      <c r="O48" s="4"/>
      <c r="P48" s="4"/>
      <c r="Q48" s="4"/>
      <c r="R48" s="4"/>
      <c r="S48" s="4"/>
      <c r="T48" s="4"/>
      <c r="U48" s="4"/>
      <c r="V48" s="4"/>
      <c r="W48" s="242"/>
      <c r="X48" s="4"/>
      <c r="Y48" s="4"/>
      <c r="Z48" s="4"/>
    </row>
    <row r="49" ht="13.5" customHeight="1" spans="1:26" x14ac:dyDescent="0.25">
      <c r="A49" s="4"/>
      <c r="B49" s="4"/>
      <c r="C49" s="4"/>
      <c r="D49" s="4"/>
      <c r="E49" s="4"/>
      <c r="F49" s="4"/>
      <c r="G49" s="4"/>
      <c r="H49" s="4"/>
      <c r="I49" s="4"/>
      <c r="J49" s="4"/>
      <c r="K49" s="4"/>
      <c r="L49" s="4"/>
      <c r="M49" s="4"/>
      <c r="N49" s="4"/>
      <c r="O49" s="4"/>
      <c r="P49" s="4"/>
      <c r="Q49" s="4"/>
      <c r="R49" s="4"/>
      <c r="S49" s="4"/>
      <c r="T49" s="4"/>
      <c r="U49" s="4"/>
      <c r="V49" s="4"/>
      <c r="W49" s="242"/>
      <c r="X49" s="4"/>
      <c r="Y49" s="4"/>
      <c r="Z49" s="4"/>
    </row>
    <row r="50" ht="13.5" customHeight="1" spans="1:26" x14ac:dyDescent="0.25">
      <c r="A50" s="4"/>
      <c r="B50" s="4"/>
      <c r="C50" s="4"/>
      <c r="D50" s="4"/>
      <c r="E50" s="4"/>
      <c r="F50" s="4"/>
      <c r="G50" s="4"/>
      <c r="H50" s="4"/>
      <c r="I50" s="4"/>
      <c r="J50" s="4"/>
      <c r="K50" s="4"/>
      <c r="L50" s="4"/>
      <c r="M50" s="4"/>
      <c r="N50" s="4"/>
      <c r="O50" s="4"/>
      <c r="P50" s="4"/>
      <c r="Q50" s="4"/>
      <c r="R50" s="4"/>
      <c r="S50" s="4"/>
      <c r="T50" s="4"/>
      <c r="U50" s="4"/>
      <c r="V50" s="4"/>
      <c r="W50" s="242"/>
      <c r="X50" s="4"/>
      <c r="Y50" s="4"/>
      <c r="Z50" s="4"/>
    </row>
    <row r="51" ht="13.5" customHeight="1" spans="1:26" x14ac:dyDescent="0.25">
      <c r="A51" s="4"/>
      <c r="B51" s="4"/>
      <c r="C51" s="4"/>
      <c r="D51" s="4"/>
      <c r="E51" s="4"/>
      <c r="F51" s="4"/>
      <c r="G51" s="4"/>
      <c r="H51" s="4"/>
      <c r="I51" s="4"/>
      <c r="J51" s="4"/>
      <c r="K51" s="4"/>
      <c r="L51" s="4"/>
      <c r="M51" s="4"/>
      <c r="N51" s="4"/>
      <c r="O51" s="4"/>
      <c r="P51" s="4"/>
      <c r="Q51" s="4"/>
      <c r="R51" s="4"/>
      <c r="S51" s="4"/>
      <c r="T51" s="4"/>
      <c r="U51" s="4"/>
      <c r="V51" s="4"/>
      <c r="W51" s="242"/>
      <c r="X51" s="4"/>
      <c r="Y51" s="4"/>
      <c r="Z51" s="4"/>
    </row>
    <row r="52" ht="13.5" customHeight="1" spans="1:26" x14ac:dyDescent="0.25">
      <c r="A52" s="4"/>
      <c r="B52" s="4"/>
      <c r="C52" s="4"/>
      <c r="D52" s="4"/>
      <c r="E52" s="4"/>
      <c r="F52" s="4"/>
      <c r="G52" s="4"/>
      <c r="H52" s="4"/>
      <c r="I52" s="4"/>
      <c r="J52" s="4"/>
      <c r="K52" s="4"/>
      <c r="L52" s="4"/>
      <c r="M52" s="4"/>
      <c r="N52" s="4"/>
      <c r="O52" s="4"/>
      <c r="P52" s="4"/>
      <c r="Q52" s="4"/>
      <c r="R52" s="4"/>
      <c r="S52" s="4"/>
      <c r="T52" s="4"/>
      <c r="U52" s="4"/>
      <c r="V52" s="4"/>
      <c r="W52" s="242"/>
      <c r="X52" s="4"/>
      <c r="Y52" s="4"/>
      <c r="Z52" s="4"/>
    </row>
    <row r="53" ht="13.5" customHeight="1" spans="1:26" x14ac:dyDescent="0.25">
      <c r="A53" s="4"/>
      <c r="B53" s="4"/>
      <c r="C53" s="4"/>
      <c r="D53" s="4"/>
      <c r="E53" s="4"/>
      <c r="F53" s="4"/>
      <c r="G53" s="4"/>
      <c r="H53" s="4"/>
      <c r="I53" s="4"/>
      <c r="J53" s="4"/>
      <c r="K53" s="4"/>
      <c r="L53" s="4"/>
      <c r="M53" s="4"/>
      <c r="N53" s="4"/>
      <c r="O53" s="4"/>
      <c r="P53" s="4"/>
      <c r="Q53" s="4"/>
      <c r="R53" s="4"/>
      <c r="S53" s="4"/>
      <c r="T53" s="4"/>
      <c r="U53" s="4"/>
      <c r="V53" s="4"/>
      <c r="W53" s="242"/>
      <c r="X53" s="4"/>
      <c r="Y53" s="4"/>
      <c r="Z53" s="4"/>
    </row>
    <row r="54" ht="13.5" customHeight="1" spans="1:26" x14ac:dyDescent="0.25">
      <c r="A54" s="4"/>
      <c r="B54" s="4"/>
      <c r="C54" s="4"/>
      <c r="D54" s="4"/>
      <c r="E54" s="4"/>
      <c r="F54" s="4"/>
      <c r="G54" s="4"/>
      <c r="H54" s="4"/>
      <c r="I54" s="4"/>
      <c r="J54" s="4"/>
      <c r="K54" s="4"/>
      <c r="L54" s="4"/>
      <c r="M54" s="4"/>
      <c r="N54" s="4"/>
      <c r="O54" s="4"/>
      <c r="P54" s="4"/>
      <c r="Q54" s="4"/>
      <c r="R54" s="4"/>
      <c r="S54" s="4"/>
      <c r="T54" s="4"/>
      <c r="U54" s="4"/>
      <c r="V54" s="4"/>
      <c r="W54" s="242"/>
      <c r="X54" s="4"/>
      <c r="Y54" s="4"/>
      <c r="Z54" s="4"/>
    </row>
    <row r="55" ht="13.5" customHeight="1" spans="1:26" x14ac:dyDescent="0.25">
      <c r="A55" s="4"/>
      <c r="B55" s="4"/>
      <c r="C55" s="4"/>
      <c r="D55" s="4"/>
      <c r="E55" s="4"/>
      <c r="F55" s="4"/>
      <c r="G55" s="4"/>
      <c r="H55" s="4"/>
      <c r="I55" s="4"/>
      <c r="J55" s="4"/>
      <c r="K55" s="4"/>
      <c r="L55" s="4"/>
      <c r="M55" s="4"/>
      <c r="N55" s="4"/>
      <c r="O55" s="4"/>
      <c r="P55" s="4"/>
      <c r="Q55" s="4"/>
      <c r="R55" s="4"/>
      <c r="S55" s="4"/>
      <c r="T55" s="4"/>
      <c r="U55" s="4"/>
      <c r="V55" s="4"/>
      <c r="W55" s="242"/>
      <c r="X55" s="4"/>
      <c r="Y55" s="4"/>
      <c r="Z55" s="4"/>
    </row>
    <row r="56" ht="13.5" customHeight="1" spans="1:26" x14ac:dyDescent="0.25">
      <c r="A56" s="4"/>
      <c r="B56" s="4"/>
      <c r="C56" s="4"/>
      <c r="D56" s="4"/>
      <c r="E56" s="4"/>
      <c r="F56" s="4"/>
      <c r="G56" s="4"/>
      <c r="H56" s="4"/>
      <c r="I56" s="4"/>
      <c r="J56" s="4"/>
      <c r="K56" s="4"/>
      <c r="L56" s="4"/>
      <c r="M56" s="4"/>
      <c r="N56" s="4"/>
      <c r="O56" s="4"/>
      <c r="P56" s="4"/>
      <c r="Q56" s="4"/>
      <c r="R56" s="4"/>
      <c r="S56" s="4"/>
      <c r="T56" s="4"/>
      <c r="U56" s="4"/>
      <c r="V56" s="4"/>
      <c r="W56" s="242"/>
      <c r="X56" s="4"/>
      <c r="Y56" s="4"/>
      <c r="Z56" s="4"/>
    </row>
    <row r="57" ht="13.5" customHeight="1" spans="1:26" x14ac:dyDescent="0.25">
      <c r="A57" s="4"/>
      <c r="B57" s="4"/>
      <c r="C57" s="4"/>
      <c r="D57" s="4"/>
      <c r="E57" s="4"/>
      <c r="F57" s="4"/>
      <c r="G57" s="4"/>
      <c r="H57" s="4"/>
      <c r="I57" s="4"/>
      <c r="J57" s="4"/>
      <c r="K57" s="4"/>
      <c r="L57" s="4"/>
      <c r="M57" s="4"/>
      <c r="N57" s="4"/>
      <c r="O57" s="4"/>
      <c r="P57" s="4"/>
      <c r="Q57" s="4"/>
      <c r="R57" s="4"/>
      <c r="S57" s="4"/>
      <c r="T57" s="4"/>
      <c r="U57" s="4"/>
      <c r="V57" s="4"/>
      <c r="W57" s="242"/>
      <c r="X57" s="4"/>
      <c r="Y57" s="4"/>
      <c r="Z57" s="4"/>
    </row>
    <row r="58" ht="13.5" customHeight="1" spans="1:26" x14ac:dyDescent="0.25">
      <c r="A58" s="4"/>
      <c r="B58" s="4"/>
      <c r="C58" s="4"/>
      <c r="D58" s="4"/>
      <c r="E58" s="4"/>
      <c r="F58" s="4"/>
      <c r="G58" s="4"/>
      <c r="H58" s="4"/>
      <c r="I58" s="4"/>
      <c r="J58" s="4"/>
      <c r="K58" s="4"/>
      <c r="L58" s="4"/>
      <c r="M58" s="4"/>
      <c r="N58" s="4"/>
      <c r="O58" s="4"/>
      <c r="P58" s="4"/>
      <c r="Q58" s="4"/>
      <c r="R58" s="4"/>
      <c r="S58" s="4"/>
      <c r="T58" s="4"/>
      <c r="U58" s="4"/>
      <c r="V58" s="4"/>
      <c r="W58" s="242"/>
      <c r="X58" s="4"/>
      <c r="Y58" s="4"/>
      <c r="Z58" s="4"/>
    </row>
    <row r="59" ht="13.5" customHeight="1" spans="1:26" x14ac:dyDescent="0.25">
      <c r="A59" s="4"/>
      <c r="B59" s="4"/>
      <c r="C59" s="4"/>
      <c r="D59" s="4"/>
      <c r="E59" s="4"/>
      <c r="F59" s="4"/>
      <c r="G59" s="4"/>
      <c r="H59" s="4"/>
      <c r="I59" s="4"/>
      <c r="J59" s="4"/>
      <c r="K59" s="4"/>
      <c r="L59" s="4"/>
      <c r="M59" s="4"/>
      <c r="N59" s="4"/>
      <c r="O59" s="4"/>
      <c r="P59" s="4"/>
      <c r="Q59" s="4"/>
      <c r="R59" s="4"/>
      <c r="S59" s="4"/>
      <c r="T59" s="4"/>
      <c r="U59" s="4"/>
      <c r="V59" s="4"/>
      <c r="W59" s="242"/>
      <c r="X59" s="4"/>
      <c r="Y59" s="4"/>
      <c r="Z59" s="4"/>
    </row>
    <row r="60" ht="13.5" customHeight="1" spans="1:26" x14ac:dyDescent="0.25">
      <c r="A60" s="4"/>
      <c r="B60" s="4"/>
      <c r="C60" s="4"/>
      <c r="D60" s="4"/>
      <c r="E60" s="4"/>
      <c r="F60" s="4"/>
      <c r="G60" s="4"/>
      <c r="H60" s="4"/>
      <c r="I60" s="4"/>
      <c r="J60" s="4"/>
      <c r="K60" s="4"/>
      <c r="L60" s="4"/>
      <c r="M60" s="4"/>
      <c r="N60" s="4"/>
      <c r="O60" s="4"/>
      <c r="P60" s="4"/>
      <c r="Q60" s="4"/>
      <c r="R60" s="4"/>
      <c r="S60" s="4"/>
      <c r="T60" s="4"/>
      <c r="U60" s="4"/>
      <c r="V60" s="4"/>
      <c r="W60" s="242"/>
      <c r="X60" s="4"/>
      <c r="Y60" s="4"/>
      <c r="Z60" s="4"/>
    </row>
    <row r="61" ht="13.5" customHeight="1" spans="1:26" x14ac:dyDescent="0.25">
      <c r="A61" s="4"/>
      <c r="B61" s="4"/>
      <c r="C61" s="4"/>
      <c r="D61" s="4"/>
      <c r="E61" s="4"/>
      <c r="F61" s="4"/>
      <c r="G61" s="4"/>
      <c r="H61" s="4"/>
      <c r="I61" s="4"/>
      <c r="J61" s="4"/>
      <c r="K61" s="4"/>
      <c r="L61" s="4"/>
      <c r="M61" s="4"/>
      <c r="N61" s="4"/>
      <c r="O61" s="4"/>
      <c r="P61" s="4"/>
      <c r="Q61" s="4"/>
      <c r="R61" s="4"/>
      <c r="S61" s="4"/>
      <c r="T61" s="4"/>
      <c r="U61" s="4"/>
      <c r="V61" s="4"/>
      <c r="W61" s="242"/>
      <c r="X61" s="4"/>
      <c r="Y61" s="4"/>
      <c r="Z61" s="4"/>
    </row>
    <row r="62" ht="13.5" customHeight="1" spans="1:26" x14ac:dyDescent="0.25">
      <c r="A62" s="4"/>
      <c r="B62" s="4"/>
      <c r="C62" s="4"/>
      <c r="D62" s="4"/>
      <c r="E62" s="4"/>
      <c r="F62" s="4"/>
      <c r="G62" s="4"/>
      <c r="H62" s="4"/>
      <c r="I62" s="4"/>
      <c r="J62" s="4"/>
      <c r="K62" s="4"/>
      <c r="L62" s="4"/>
      <c r="M62" s="4"/>
      <c r="N62" s="4"/>
      <c r="O62" s="4"/>
      <c r="P62" s="4"/>
      <c r="Q62" s="4"/>
      <c r="R62" s="4"/>
      <c r="S62" s="4"/>
      <c r="T62" s="4"/>
      <c r="U62" s="4"/>
      <c r="V62" s="4"/>
      <c r="W62" s="242"/>
      <c r="X62" s="4"/>
      <c r="Y62" s="4"/>
      <c r="Z62" s="4"/>
    </row>
    <row r="63" ht="13.5" customHeight="1" spans="1:26" x14ac:dyDescent="0.25">
      <c r="A63" s="4"/>
      <c r="B63" s="4"/>
      <c r="C63" s="4"/>
      <c r="D63" s="4"/>
      <c r="E63" s="4"/>
      <c r="F63" s="4"/>
      <c r="G63" s="4"/>
      <c r="H63" s="4"/>
      <c r="I63" s="4"/>
      <c r="J63" s="4"/>
      <c r="K63" s="4"/>
      <c r="L63" s="4"/>
      <c r="M63" s="4"/>
      <c r="N63" s="4"/>
      <c r="O63" s="4"/>
      <c r="P63" s="4"/>
      <c r="Q63" s="4"/>
      <c r="R63" s="4"/>
      <c r="S63" s="4"/>
      <c r="T63" s="4"/>
      <c r="U63" s="4"/>
      <c r="V63" s="4"/>
      <c r="W63" s="242"/>
      <c r="X63" s="4"/>
      <c r="Y63" s="4"/>
      <c r="Z63" s="4"/>
    </row>
    <row r="64" ht="13.5" customHeight="1" spans="1:26" x14ac:dyDescent="0.25">
      <c r="A64" s="4"/>
      <c r="B64" s="4"/>
      <c r="C64" s="4"/>
      <c r="D64" s="4"/>
      <c r="E64" s="4"/>
      <c r="F64" s="4"/>
      <c r="G64" s="4"/>
      <c r="H64" s="4"/>
      <c r="I64" s="4"/>
      <c r="J64" s="4"/>
      <c r="K64" s="4"/>
      <c r="L64" s="4"/>
      <c r="M64" s="4"/>
      <c r="N64" s="4"/>
      <c r="O64" s="4"/>
      <c r="P64" s="4"/>
      <c r="Q64" s="4"/>
      <c r="R64" s="4"/>
      <c r="S64" s="4"/>
      <c r="T64" s="4"/>
      <c r="U64" s="4"/>
      <c r="V64" s="4"/>
      <c r="W64" s="242"/>
      <c r="X64" s="4"/>
      <c r="Y64" s="4"/>
      <c r="Z64" s="4"/>
    </row>
    <row r="65" ht="13.5" customHeight="1" spans="1:26" x14ac:dyDescent="0.25">
      <c r="A65" s="4"/>
      <c r="B65" s="4"/>
      <c r="C65" s="4"/>
      <c r="D65" s="4"/>
      <c r="E65" s="4"/>
      <c r="F65" s="4"/>
      <c r="G65" s="4"/>
      <c r="H65" s="4"/>
      <c r="I65" s="4"/>
      <c r="J65" s="4"/>
      <c r="K65" s="4"/>
      <c r="L65" s="4"/>
      <c r="M65" s="4"/>
      <c r="N65" s="4"/>
      <c r="O65" s="4"/>
      <c r="P65" s="4"/>
      <c r="Q65" s="4"/>
      <c r="R65" s="4"/>
      <c r="S65" s="4"/>
      <c r="T65" s="4"/>
      <c r="U65" s="4"/>
      <c r="V65" s="4"/>
      <c r="W65" s="242"/>
      <c r="X65" s="4"/>
      <c r="Y65" s="4"/>
      <c r="Z65" s="4"/>
    </row>
    <row r="66" ht="13.5" customHeight="1" spans="1:26" x14ac:dyDescent="0.25">
      <c r="A66" s="4"/>
      <c r="B66" s="4"/>
      <c r="C66" s="4"/>
      <c r="D66" s="4"/>
      <c r="E66" s="4"/>
      <c r="F66" s="4"/>
      <c r="G66" s="4"/>
      <c r="H66" s="4"/>
      <c r="I66" s="4"/>
      <c r="J66" s="4"/>
      <c r="K66" s="4"/>
      <c r="L66" s="4"/>
      <c r="M66" s="4"/>
      <c r="N66" s="4"/>
      <c r="O66" s="4"/>
      <c r="P66" s="4"/>
      <c r="Q66" s="4"/>
      <c r="R66" s="4"/>
      <c r="S66" s="4"/>
      <c r="T66" s="4"/>
      <c r="U66" s="4"/>
      <c r="V66" s="4"/>
      <c r="W66" s="242"/>
      <c r="X66" s="4"/>
      <c r="Y66" s="4"/>
      <c r="Z66" s="4"/>
    </row>
    <row r="67" ht="13.5" customHeight="1" spans="1:26" x14ac:dyDescent="0.25">
      <c r="A67" s="4"/>
      <c r="B67" s="4"/>
      <c r="C67" s="4"/>
      <c r="D67" s="4"/>
      <c r="E67" s="4"/>
      <c r="F67" s="4"/>
      <c r="G67" s="4"/>
      <c r="H67" s="4"/>
      <c r="I67" s="4"/>
      <c r="J67" s="4"/>
      <c r="K67" s="4"/>
      <c r="L67" s="4"/>
      <c r="M67" s="4"/>
      <c r="N67" s="4"/>
      <c r="O67" s="4"/>
      <c r="P67" s="4"/>
      <c r="Q67" s="4"/>
      <c r="R67" s="4"/>
      <c r="S67" s="4"/>
      <c r="T67" s="4"/>
      <c r="U67" s="4"/>
      <c r="V67" s="4"/>
      <c r="W67" s="242"/>
      <c r="X67" s="4"/>
      <c r="Y67" s="4"/>
      <c r="Z67" s="4"/>
    </row>
    <row r="68" ht="13.5" customHeight="1" spans="1:26" x14ac:dyDescent="0.25">
      <c r="A68" s="4"/>
      <c r="B68" s="4"/>
      <c r="C68" s="4"/>
      <c r="D68" s="4"/>
      <c r="E68" s="4"/>
      <c r="F68" s="4"/>
      <c r="G68" s="4"/>
      <c r="H68" s="4"/>
      <c r="I68" s="4"/>
      <c r="J68" s="4"/>
      <c r="K68" s="4"/>
      <c r="L68" s="4"/>
      <c r="M68" s="4"/>
      <c r="N68" s="4"/>
      <c r="O68" s="4"/>
      <c r="P68" s="4"/>
      <c r="Q68" s="4"/>
      <c r="R68" s="4"/>
      <c r="S68" s="4"/>
      <c r="T68" s="4"/>
      <c r="U68" s="4"/>
      <c r="V68" s="4"/>
      <c r="W68" s="242"/>
      <c r="X68" s="4"/>
      <c r="Y68" s="4"/>
      <c r="Z68" s="4"/>
    </row>
    <row r="69" ht="13.5" customHeight="1" spans="1:26" x14ac:dyDescent="0.25">
      <c r="A69" s="4"/>
      <c r="B69" s="4"/>
      <c r="C69" s="4"/>
      <c r="D69" s="4"/>
      <c r="E69" s="4"/>
      <c r="F69" s="4"/>
      <c r="G69" s="4"/>
      <c r="H69" s="4"/>
      <c r="I69" s="4"/>
      <c r="J69" s="4"/>
      <c r="K69" s="4"/>
      <c r="L69" s="4"/>
      <c r="M69" s="4"/>
      <c r="N69" s="4"/>
      <c r="O69" s="4"/>
      <c r="P69" s="4"/>
      <c r="Q69" s="4"/>
      <c r="R69" s="4"/>
      <c r="S69" s="4"/>
      <c r="T69" s="4"/>
      <c r="U69" s="4"/>
      <c r="V69" s="4"/>
      <c r="W69" s="242"/>
      <c r="X69" s="4"/>
      <c r="Y69" s="4"/>
      <c r="Z69" s="4"/>
    </row>
    <row r="70" ht="13.5" customHeight="1" spans="1:26" x14ac:dyDescent="0.25">
      <c r="A70" s="4"/>
      <c r="B70" s="4"/>
      <c r="C70" s="4"/>
      <c r="D70" s="4"/>
      <c r="E70" s="4"/>
      <c r="F70" s="4"/>
      <c r="G70" s="4"/>
      <c r="H70" s="4"/>
      <c r="I70" s="4"/>
      <c r="J70" s="4"/>
      <c r="K70" s="4"/>
      <c r="L70" s="4"/>
      <c r="M70" s="4"/>
      <c r="N70" s="4"/>
      <c r="O70" s="4"/>
      <c r="P70" s="4"/>
      <c r="Q70" s="4"/>
      <c r="R70" s="4"/>
      <c r="S70" s="4"/>
      <c r="T70" s="4"/>
      <c r="U70" s="4"/>
      <c r="V70" s="4"/>
      <c r="W70" s="242"/>
      <c r="X70" s="4"/>
      <c r="Y70" s="4"/>
      <c r="Z70" s="4"/>
    </row>
    <row r="71" ht="13.5" customHeight="1" spans="1:26" x14ac:dyDescent="0.25">
      <c r="A71" s="4"/>
      <c r="B71" s="4"/>
      <c r="C71" s="4"/>
      <c r="D71" s="4"/>
      <c r="E71" s="4"/>
      <c r="F71" s="4"/>
      <c r="G71" s="4"/>
      <c r="H71" s="4"/>
      <c r="I71" s="4"/>
      <c r="J71" s="4"/>
      <c r="K71" s="4"/>
      <c r="L71" s="4"/>
      <c r="M71" s="4"/>
      <c r="N71" s="4"/>
      <c r="O71" s="4"/>
      <c r="P71" s="4"/>
      <c r="Q71" s="4"/>
      <c r="R71" s="4"/>
      <c r="S71" s="4"/>
      <c r="T71" s="4"/>
      <c r="U71" s="4"/>
      <c r="V71" s="4"/>
      <c r="W71" s="242"/>
      <c r="X71" s="4"/>
      <c r="Y71" s="4"/>
      <c r="Z71" s="4"/>
    </row>
    <row r="72" ht="13.5" customHeight="1" spans="1:26" x14ac:dyDescent="0.25">
      <c r="A72" s="4"/>
      <c r="B72" s="4"/>
      <c r="C72" s="4"/>
      <c r="D72" s="4"/>
      <c r="E72" s="4"/>
      <c r="F72" s="4"/>
      <c r="G72" s="4"/>
      <c r="H72" s="4"/>
      <c r="I72" s="4"/>
      <c r="J72" s="4"/>
      <c r="K72" s="4"/>
      <c r="L72" s="4"/>
      <c r="M72" s="4"/>
      <c r="N72" s="4"/>
      <c r="O72" s="4"/>
      <c r="P72" s="4"/>
      <c r="Q72" s="4"/>
      <c r="R72" s="4"/>
      <c r="S72" s="4"/>
      <c r="T72" s="4"/>
      <c r="U72" s="4"/>
      <c r="V72" s="4"/>
      <c r="W72" s="242"/>
      <c r="X72" s="4"/>
      <c r="Y72" s="4"/>
      <c r="Z72" s="4"/>
    </row>
    <row r="73" ht="13.5" customHeight="1" spans="1:26" x14ac:dyDescent="0.25">
      <c r="A73" s="4"/>
      <c r="B73" s="4"/>
      <c r="C73" s="4"/>
      <c r="D73" s="4"/>
      <c r="E73" s="4"/>
      <c r="F73" s="4"/>
      <c r="G73" s="4"/>
      <c r="H73" s="4"/>
      <c r="I73" s="4"/>
      <c r="J73" s="4"/>
      <c r="K73" s="4"/>
      <c r="L73" s="4"/>
      <c r="M73" s="4"/>
      <c r="N73" s="4"/>
      <c r="O73" s="4"/>
      <c r="P73" s="4"/>
      <c r="Q73" s="4"/>
      <c r="R73" s="4"/>
      <c r="S73" s="4"/>
      <c r="T73" s="4"/>
      <c r="U73" s="4"/>
      <c r="V73" s="4"/>
      <c r="W73" s="242"/>
      <c r="X73" s="4"/>
      <c r="Y73" s="4"/>
      <c r="Z73" s="4"/>
    </row>
    <row r="74" ht="13.5" customHeight="1" spans="1:26" x14ac:dyDescent="0.25">
      <c r="A74" s="4"/>
      <c r="B74" s="4"/>
      <c r="C74" s="4"/>
      <c r="D74" s="4"/>
      <c r="E74" s="4"/>
      <c r="F74" s="4"/>
      <c r="G74" s="4"/>
      <c r="H74" s="4"/>
      <c r="I74" s="4"/>
      <c r="J74" s="4"/>
      <c r="K74" s="4"/>
      <c r="L74" s="4"/>
      <c r="M74" s="4"/>
      <c r="N74" s="4"/>
      <c r="O74" s="4"/>
      <c r="P74" s="4"/>
      <c r="Q74" s="4"/>
      <c r="R74" s="4"/>
      <c r="S74" s="4"/>
      <c r="T74" s="4"/>
      <c r="U74" s="4"/>
      <c r="V74" s="4"/>
      <c r="W74" s="242"/>
      <c r="X74" s="4"/>
      <c r="Y74" s="4"/>
      <c r="Z74" s="4"/>
    </row>
    <row r="75" ht="13.5" customHeight="1" spans="1:26" x14ac:dyDescent="0.25">
      <c r="A75" s="4"/>
      <c r="B75" s="4"/>
      <c r="C75" s="4"/>
      <c r="D75" s="4"/>
      <c r="E75" s="4"/>
      <c r="F75" s="4"/>
      <c r="G75" s="4"/>
      <c r="H75" s="4"/>
      <c r="I75" s="4"/>
      <c r="J75" s="4"/>
      <c r="K75" s="4"/>
      <c r="L75" s="4"/>
      <c r="M75" s="4"/>
      <c r="N75" s="4"/>
      <c r="O75" s="4"/>
      <c r="P75" s="4"/>
      <c r="Q75" s="4"/>
      <c r="R75" s="4"/>
      <c r="S75" s="4"/>
      <c r="T75" s="4"/>
      <c r="U75" s="4"/>
      <c r="V75" s="4"/>
      <c r="W75" s="242"/>
      <c r="X75" s="4"/>
      <c r="Y75" s="4"/>
      <c r="Z75" s="4"/>
    </row>
    <row r="76" ht="13.5" customHeight="1" spans="1:26" x14ac:dyDescent="0.25">
      <c r="A76" s="4"/>
      <c r="B76" s="4"/>
      <c r="C76" s="4"/>
      <c r="D76" s="4"/>
      <c r="E76" s="4"/>
      <c r="F76" s="4"/>
      <c r="G76" s="4"/>
      <c r="H76" s="4"/>
      <c r="I76" s="4"/>
      <c r="J76" s="4"/>
      <c r="K76" s="4"/>
      <c r="L76" s="4"/>
      <c r="M76" s="4"/>
      <c r="N76" s="4"/>
      <c r="O76" s="4"/>
      <c r="P76" s="4"/>
      <c r="Q76" s="4"/>
      <c r="R76" s="4"/>
      <c r="S76" s="4"/>
      <c r="T76" s="4"/>
      <c r="U76" s="4"/>
      <c r="V76" s="4"/>
      <c r="W76" s="242"/>
      <c r="X76" s="4"/>
      <c r="Y76" s="4"/>
      <c r="Z76" s="4"/>
    </row>
    <row r="77" ht="13.5" customHeight="1" spans="1:26" x14ac:dyDescent="0.25">
      <c r="A77" s="4"/>
      <c r="B77" s="4"/>
      <c r="C77" s="4"/>
      <c r="D77" s="4"/>
      <c r="E77" s="4"/>
      <c r="F77" s="4"/>
      <c r="G77" s="4"/>
      <c r="H77" s="4"/>
      <c r="I77" s="4"/>
      <c r="J77" s="4"/>
      <c r="K77" s="4"/>
      <c r="L77" s="4"/>
      <c r="M77" s="4"/>
      <c r="N77" s="4"/>
      <c r="O77" s="4"/>
      <c r="P77" s="4"/>
      <c r="Q77" s="4"/>
      <c r="R77" s="4"/>
      <c r="S77" s="4"/>
      <c r="T77" s="4"/>
      <c r="U77" s="4"/>
      <c r="V77" s="4"/>
      <c r="W77" s="242"/>
      <c r="X77" s="4"/>
      <c r="Y77" s="4"/>
      <c r="Z77" s="4"/>
    </row>
    <row r="78" ht="13.5" customHeight="1" spans="1:26" x14ac:dyDescent="0.25">
      <c r="A78" s="4"/>
      <c r="B78" s="4"/>
      <c r="C78" s="4"/>
      <c r="D78" s="4"/>
      <c r="E78" s="4"/>
      <c r="F78" s="4"/>
      <c r="G78" s="4"/>
      <c r="H78" s="4"/>
      <c r="I78" s="4"/>
      <c r="J78" s="4"/>
      <c r="K78" s="4"/>
      <c r="L78" s="4"/>
      <c r="M78" s="4"/>
      <c r="N78" s="4"/>
      <c r="O78" s="4"/>
      <c r="P78" s="4"/>
      <c r="Q78" s="4"/>
      <c r="R78" s="4"/>
      <c r="S78" s="4"/>
      <c r="T78" s="4"/>
      <c r="U78" s="4"/>
      <c r="V78" s="4"/>
      <c r="W78" s="242"/>
      <c r="X78" s="4"/>
      <c r="Y78" s="4"/>
      <c r="Z78" s="4"/>
    </row>
    <row r="79" ht="13.5" customHeight="1" spans="1:26" x14ac:dyDescent="0.25">
      <c r="A79" s="4"/>
      <c r="B79" s="4"/>
      <c r="C79" s="4"/>
      <c r="D79" s="4"/>
      <c r="E79" s="4"/>
      <c r="F79" s="4"/>
      <c r="G79" s="4"/>
      <c r="H79" s="4"/>
      <c r="I79" s="4"/>
      <c r="J79" s="4"/>
      <c r="K79" s="4"/>
      <c r="L79" s="4"/>
      <c r="M79" s="4"/>
      <c r="N79" s="4"/>
      <c r="O79" s="4"/>
      <c r="P79" s="4"/>
      <c r="Q79" s="4"/>
      <c r="R79" s="4"/>
      <c r="S79" s="4"/>
      <c r="T79" s="4"/>
      <c r="U79" s="4"/>
      <c r="V79" s="4"/>
      <c r="W79" s="242"/>
      <c r="X79" s="4"/>
      <c r="Y79" s="4"/>
      <c r="Z79" s="4"/>
    </row>
    <row r="80" ht="13.5" customHeight="1" spans="1:26" x14ac:dyDescent="0.25">
      <c r="A80" s="4"/>
      <c r="B80" s="4"/>
      <c r="C80" s="4"/>
      <c r="D80" s="4"/>
      <c r="E80" s="4"/>
      <c r="F80" s="4"/>
      <c r="G80" s="4"/>
      <c r="H80" s="4"/>
      <c r="I80" s="4"/>
      <c r="J80" s="4"/>
      <c r="K80" s="4"/>
      <c r="L80" s="4"/>
      <c r="M80" s="4"/>
      <c r="N80" s="4"/>
      <c r="O80" s="4"/>
      <c r="P80" s="4"/>
      <c r="Q80" s="4"/>
      <c r="R80" s="4"/>
      <c r="S80" s="4"/>
      <c r="T80" s="4"/>
      <c r="U80" s="4"/>
      <c r="V80" s="4"/>
      <c r="W80" s="242"/>
      <c r="X80" s="4"/>
      <c r="Y80" s="4"/>
      <c r="Z80" s="4"/>
    </row>
    <row r="81" ht="13.5" customHeight="1" spans="1:26" x14ac:dyDescent="0.25">
      <c r="A81" s="4"/>
      <c r="B81" s="4"/>
      <c r="C81" s="4"/>
      <c r="D81" s="4"/>
      <c r="E81" s="4"/>
      <c r="F81" s="4"/>
      <c r="G81" s="4"/>
      <c r="H81" s="4"/>
      <c r="I81" s="4"/>
      <c r="J81" s="4"/>
      <c r="K81" s="4"/>
      <c r="L81" s="4"/>
      <c r="M81" s="4"/>
      <c r="N81" s="4"/>
      <c r="O81" s="4"/>
      <c r="P81" s="4"/>
      <c r="Q81" s="4"/>
      <c r="R81" s="4"/>
      <c r="S81" s="4"/>
      <c r="T81" s="4"/>
      <c r="U81" s="4"/>
      <c r="V81" s="4"/>
      <c r="W81" s="242"/>
      <c r="X81" s="4"/>
      <c r="Y81" s="4"/>
      <c r="Z81" s="4"/>
    </row>
    <row r="82" ht="13.5" customHeight="1" spans="1:26" x14ac:dyDescent="0.25">
      <c r="A82" s="4"/>
      <c r="B82" s="4"/>
      <c r="C82" s="4"/>
      <c r="D82" s="4"/>
      <c r="E82" s="4"/>
      <c r="F82" s="4"/>
      <c r="G82" s="4"/>
      <c r="H82" s="4"/>
      <c r="I82" s="4"/>
      <c r="J82" s="4"/>
      <c r="K82" s="4"/>
      <c r="L82" s="4"/>
      <c r="M82" s="4"/>
      <c r="N82" s="4"/>
      <c r="O82" s="4"/>
      <c r="P82" s="4"/>
      <c r="Q82" s="4"/>
      <c r="R82" s="4"/>
      <c r="S82" s="4"/>
      <c r="T82" s="4"/>
      <c r="U82" s="4"/>
      <c r="V82" s="4"/>
      <c r="W82" s="242"/>
      <c r="X82" s="4"/>
      <c r="Y82" s="4"/>
      <c r="Z82" s="4"/>
    </row>
    <row r="83" ht="13.5" customHeight="1" spans="1:26" x14ac:dyDescent="0.25">
      <c r="A83" s="4"/>
      <c r="B83" s="4"/>
      <c r="C83" s="4"/>
      <c r="D83" s="4"/>
      <c r="E83" s="4"/>
      <c r="F83" s="4"/>
      <c r="G83" s="4"/>
      <c r="H83" s="4"/>
      <c r="I83" s="4"/>
      <c r="J83" s="4"/>
      <c r="K83" s="4"/>
      <c r="L83" s="4"/>
      <c r="M83" s="4"/>
      <c r="N83" s="4"/>
      <c r="O83" s="4"/>
      <c r="P83" s="4"/>
      <c r="Q83" s="4"/>
      <c r="R83" s="4"/>
      <c r="S83" s="4"/>
      <c r="T83" s="4"/>
      <c r="U83" s="4"/>
      <c r="V83" s="4"/>
      <c r="W83" s="242"/>
      <c r="X83" s="4"/>
      <c r="Y83" s="4"/>
      <c r="Z83" s="4"/>
    </row>
    <row r="84" ht="13.5" customHeight="1" spans="1:26" x14ac:dyDescent="0.25">
      <c r="A84" s="4"/>
      <c r="B84" s="4"/>
      <c r="C84" s="4"/>
      <c r="D84" s="4"/>
      <c r="E84" s="4"/>
      <c r="F84" s="4"/>
      <c r="G84" s="4"/>
      <c r="H84" s="4"/>
      <c r="I84" s="4"/>
      <c r="J84" s="4"/>
      <c r="K84" s="4"/>
      <c r="L84" s="4"/>
      <c r="M84" s="4"/>
      <c r="N84" s="4"/>
      <c r="O84" s="4"/>
      <c r="P84" s="4"/>
      <c r="Q84" s="4"/>
      <c r="R84" s="4"/>
      <c r="S84" s="4"/>
      <c r="T84" s="4"/>
      <c r="U84" s="4"/>
      <c r="V84" s="4"/>
      <c r="W84" s="242"/>
      <c r="X84" s="4"/>
      <c r="Y84" s="4"/>
      <c r="Z84" s="4"/>
    </row>
    <row r="85" ht="13.5" customHeight="1" spans="1:26" x14ac:dyDescent="0.25">
      <c r="A85" s="4"/>
      <c r="B85" s="4"/>
      <c r="C85" s="4"/>
      <c r="D85" s="4"/>
      <c r="E85" s="4"/>
      <c r="F85" s="4"/>
      <c r="G85" s="4"/>
      <c r="H85" s="4"/>
      <c r="I85" s="4"/>
      <c r="J85" s="4"/>
      <c r="K85" s="4"/>
      <c r="L85" s="4"/>
      <c r="M85" s="4"/>
      <c r="N85" s="4"/>
      <c r="O85" s="4"/>
      <c r="P85" s="4"/>
      <c r="Q85" s="4"/>
      <c r="R85" s="4"/>
      <c r="S85" s="4"/>
      <c r="T85" s="4"/>
      <c r="U85" s="4"/>
      <c r="V85" s="4"/>
      <c r="W85" s="242"/>
      <c r="X85" s="4"/>
      <c r="Y85" s="4"/>
      <c r="Z85" s="4"/>
    </row>
    <row r="86" ht="13.5" customHeight="1" spans="1:26" x14ac:dyDescent="0.25">
      <c r="A86" s="4"/>
      <c r="B86" s="4"/>
      <c r="C86" s="4"/>
      <c r="D86" s="4"/>
      <c r="E86" s="4"/>
      <c r="F86" s="4"/>
      <c r="G86" s="4"/>
      <c r="H86" s="4"/>
      <c r="I86" s="4"/>
      <c r="J86" s="4"/>
      <c r="K86" s="4"/>
      <c r="L86" s="4"/>
      <c r="M86" s="4"/>
      <c r="N86" s="4"/>
      <c r="O86" s="4"/>
      <c r="P86" s="4"/>
      <c r="Q86" s="4"/>
      <c r="R86" s="4"/>
      <c r="S86" s="4"/>
      <c r="T86" s="4"/>
      <c r="U86" s="4"/>
      <c r="V86" s="4"/>
      <c r="W86" s="242"/>
      <c r="X86" s="4"/>
      <c r="Y86" s="4"/>
      <c r="Z86" s="4"/>
    </row>
    <row r="87" ht="13.5" customHeight="1" spans="1:26" x14ac:dyDescent="0.25">
      <c r="A87" s="4"/>
      <c r="B87" s="4"/>
      <c r="C87" s="4"/>
      <c r="D87" s="4"/>
      <c r="E87" s="4"/>
      <c r="F87" s="4"/>
      <c r="G87" s="4"/>
      <c r="H87" s="4"/>
      <c r="I87" s="4"/>
      <c r="J87" s="4"/>
      <c r="K87" s="4"/>
      <c r="L87" s="4"/>
      <c r="M87" s="4"/>
      <c r="N87" s="4"/>
      <c r="O87" s="4"/>
      <c r="P87" s="4"/>
      <c r="Q87" s="4"/>
      <c r="R87" s="4"/>
      <c r="S87" s="4"/>
      <c r="T87" s="4"/>
      <c r="U87" s="4"/>
      <c r="V87" s="4"/>
      <c r="W87" s="242"/>
      <c r="X87" s="4"/>
      <c r="Y87" s="4"/>
      <c r="Z87" s="4"/>
    </row>
    <row r="88" ht="13.5" customHeight="1" spans="1:26" x14ac:dyDescent="0.25">
      <c r="A88" s="4"/>
      <c r="B88" s="4"/>
      <c r="C88" s="4"/>
      <c r="D88" s="4"/>
      <c r="E88" s="4"/>
      <c r="F88" s="4"/>
      <c r="G88" s="4"/>
      <c r="H88" s="4"/>
      <c r="I88" s="4"/>
      <c r="J88" s="4"/>
      <c r="K88" s="4"/>
      <c r="L88" s="4"/>
      <c r="M88" s="4"/>
      <c r="N88" s="4"/>
      <c r="O88" s="4"/>
      <c r="P88" s="4"/>
      <c r="Q88" s="4"/>
      <c r="R88" s="4"/>
      <c r="S88" s="4"/>
      <c r="T88" s="4"/>
      <c r="U88" s="4"/>
      <c r="V88" s="4"/>
      <c r="W88" s="242"/>
      <c r="X88" s="4"/>
      <c r="Y88" s="4"/>
      <c r="Z88" s="4"/>
    </row>
    <row r="89" ht="13.5" customHeight="1" spans="1:26" x14ac:dyDescent="0.25">
      <c r="A89" s="4"/>
      <c r="B89" s="4"/>
      <c r="C89" s="4"/>
      <c r="D89" s="4"/>
      <c r="E89" s="4"/>
      <c r="F89" s="4"/>
      <c r="G89" s="4"/>
      <c r="H89" s="4"/>
      <c r="I89" s="4"/>
      <c r="J89" s="4"/>
      <c r="K89" s="4"/>
      <c r="L89" s="4"/>
      <c r="M89" s="4"/>
      <c r="N89" s="4"/>
      <c r="O89" s="4"/>
      <c r="P89" s="4"/>
      <c r="Q89" s="4"/>
      <c r="R89" s="4"/>
      <c r="S89" s="4"/>
      <c r="T89" s="4"/>
      <c r="U89" s="4"/>
      <c r="V89" s="4"/>
      <c r="W89" s="242"/>
      <c r="X89" s="4"/>
      <c r="Y89" s="4"/>
      <c r="Z89" s="4"/>
    </row>
    <row r="90" ht="13.5" customHeight="1" spans="1:26" x14ac:dyDescent="0.25">
      <c r="A90" s="4"/>
      <c r="B90" s="4"/>
      <c r="C90" s="4"/>
      <c r="D90" s="4"/>
      <c r="E90" s="4"/>
      <c r="F90" s="4"/>
      <c r="G90" s="4"/>
      <c r="H90" s="4"/>
      <c r="I90" s="4"/>
      <c r="J90" s="4"/>
      <c r="K90" s="4"/>
      <c r="L90" s="4"/>
      <c r="M90" s="4"/>
      <c r="N90" s="4"/>
      <c r="O90" s="4"/>
      <c r="P90" s="4"/>
      <c r="Q90" s="4"/>
      <c r="R90" s="4"/>
      <c r="S90" s="4"/>
      <c r="T90" s="4"/>
      <c r="U90" s="4"/>
      <c r="V90" s="4"/>
      <c r="W90" s="242"/>
      <c r="X90" s="4"/>
      <c r="Y90" s="4"/>
      <c r="Z90" s="4"/>
    </row>
    <row r="91" ht="13.5" customHeight="1" spans="1:26" x14ac:dyDescent="0.25">
      <c r="A91" s="4"/>
      <c r="B91" s="4"/>
      <c r="C91" s="4"/>
      <c r="D91" s="4"/>
      <c r="E91" s="4"/>
      <c r="F91" s="4"/>
      <c r="G91" s="4"/>
      <c r="H91" s="4"/>
      <c r="I91" s="4"/>
      <c r="J91" s="4"/>
      <c r="K91" s="4"/>
      <c r="L91" s="4"/>
      <c r="M91" s="4"/>
      <c r="N91" s="4"/>
      <c r="O91" s="4"/>
      <c r="P91" s="4"/>
      <c r="Q91" s="4"/>
      <c r="R91" s="4"/>
      <c r="S91" s="4"/>
      <c r="T91" s="4"/>
      <c r="U91" s="4"/>
      <c r="V91" s="4"/>
      <c r="W91" s="242"/>
      <c r="X91" s="4"/>
      <c r="Y91" s="4"/>
      <c r="Z91" s="4"/>
    </row>
    <row r="92" ht="13.5" customHeight="1" spans="1:26" x14ac:dyDescent="0.25">
      <c r="A92" s="4"/>
      <c r="B92" s="4"/>
      <c r="C92" s="4"/>
      <c r="D92" s="4"/>
      <c r="E92" s="4"/>
      <c r="F92" s="4"/>
      <c r="G92" s="4"/>
      <c r="H92" s="4"/>
      <c r="I92" s="4"/>
      <c r="J92" s="4"/>
      <c r="K92" s="4"/>
      <c r="L92" s="4"/>
      <c r="M92" s="4"/>
      <c r="N92" s="4"/>
      <c r="O92" s="4"/>
      <c r="P92" s="4"/>
      <c r="Q92" s="4"/>
      <c r="R92" s="4"/>
      <c r="S92" s="4"/>
      <c r="T92" s="4"/>
      <c r="U92" s="4"/>
      <c r="V92" s="4"/>
      <c r="W92" s="242"/>
      <c r="X92" s="4"/>
      <c r="Y92" s="4"/>
      <c r="Z92" s="4"/>
    </row>
    <row r="93" ht="13.5" customHeight="1" spans="1:26" x14ac:dyDescent="0.25">
      <c r="A93" s="4"/>
      <c r="B93" s="4"/>
      <c r="C93" s="4"/>
      <c r="D93" s="4"/>
      <c r="E93" s="4"/>
      <c r="F93" s="4"/>
      <c r="G93" s="4"/>
      <c r="H93" s="4"/>
      <c r="I93" s="4"/>
      <c r="J93" s="4"/>
      <c r="K93" s="4"/>
      <c r="L93" s="4"/>
      <c r="M93" s="4"/>
      <c r="N93" s="4"/>
      <c r="O93" s="4"/>
      <c r="P93" s="4"/>
      <c r="Q93" s="4"/>
      <c r="R93" s="4"/>
      <c r="S93" s="4"/>
      <c r="T93" s="4"/>
      <c r="U93" s="4"/>
      <c r="V93" s="4"/>
      <c r="W93" s="242"/>
      <c r="X93" s="4"/>
      <c r="Y93" s="4"/>
      <c r="Z93" s="4"/>
    </row>
    <row r="94" ht="13.5" customHeight="1" spans="1:26" x14ac:dyDescent="0.25">
      <c r="A94" s="4"/>
      <c r="B94" s="4"/>
      <c r="C94" s="4"/>
      <c r="D94" s="4"/>
      <c r="E94" s="4"/>
      <c r="F94" s="4"/>
      <c r="G94" s="4"/>
      <c r="H94" s="4"/>
      <c r="I94" s="4"/>
      <c r="J94" s="4"/>
      <c r="K94" s="4"/>
      <c r="L94" s="4"/>
      <c r="M94" s="4"/>
      <c r="N94" s="4"/>
      <c r="O94" s="4"/>
      <c r="P94" s="4"/>
      <c r="Q94" s="4"/>
      <c r="R94" s="4"/>
      <c r="S94" s="4"/>
      <c r="T94" s="4"/>
      <c r="U94" s="4"/>
      <c r="V94" s="4"/>
      <c r="W94" s="242"/>
      <c r="X94" s="4"/>
      <c r="Y94" s="4"/>
      <c r="Z94" s="4"/>
    </row>
    <row r="95" ht="13.5" customHeight="1" spans="1:26" x14ac:dyDescent="0.25">
      <c r="A95" s="4"/>
      <c r="B95" s="4"/>
      <c r="C95" s="4"/>
      <c r="D95" s="4"/>
      <c r="E95" s="4"/>
      <c r="F95" s="4"/>
      <c r="G95" s="4"/>
      <c r="H95" s="4"/>
      <c r="I95" s="4"/>
      <c r="J95" s="4"/>
      <c r="K95" s="4"/>
      <c r="L95" s="4"/>
      <c r="M95" s="4"/>
      <c r="N95" s="4"/>
      <c r="O95" s="4"/>
      <c r="P95" s="4"/>
      <c r="Q95" s="4"/>
      <c r="R95" s="4"/>
      <c r="S95" s="4"/>
      <c r="T95" s="4"/>
      <c r="U95" s="4"/>
      <c r="V95" s="4"/>
      <c r="W95" s="242"/>
      <c r="X95" s="4"/>
      <c r="Y95" s="4"/>
      <c r="Z95" s="4"/>
    </row>
    <row r="96" ht="13.5" customHeight="1" spans="1:26" x14ac:dyDescent="0.25">
      <c r="A96" s="4"/>
      <c r="B96" s="4"/>
      <c r="C96" s="4"/>
      <c r="D96" s="4"/>
      <c r="E96" s="4"/>
      <c r="F96" s="4"/>
      <c r="G96" s="4"/>
      <c r="H96" s="4"/>
      <c r="I96" s="4"/>
      <c r="J96" s="4"/>
      <c r="K96" s="4"/>
      <c r="L96" s="4"/>
      <c r="M96" s="4"/>
      <c r="N96" s="4"/>
      <c r="O96" s="4"/>
      <c r="P96" s="4"/>
      <c r="Q96" s="4"/>
      <c r="R96" s="4"/>
      <c r="S96" s="4"/>
      <c r="T96" s="4"/>
      <c r="U96" s="4"/>
      <c r="V96" s="4"/>
      <c r="W96" s="242"/>
      <c r="X96" s="4"/>
      <c r="Y96" s="4"/>
      <c r="Z96" s="4"/>
    </row>
    <row r="97" ht="13.5" customHeight="1" spans="1:26" x14ac:dyDescent="0.25">
      <c r="A97" s="4"/>
      <c r="B97" s="4"/>
      <c r="C97" s="4"/>
      <c r="D97" s="4"/>
      <c r="E97" s="4"/>
      <c r="F97" s="4"/>
      <c r="G97" s="4"/>
      <c r="H97" s="4"/>
      <c r="I97" s="4"/>
      <c r="J97" s="4"/>
      <c r="K97" s="4"/>
      <c r="L97" s="4"/>
      <c r="M97" s="4"/>
      <c r="N97" s="4"/>
      <c r="O97" s="4"/>
      <c r="P97" s="4"/>
      <c r="Q97" s="4"/>
      <c r="R97" s="4"/>
      <c r="S97" s="4"/>
      <c r="T97" s="4"/>
      <c r="U97" s="4"/>
      <c r="V97" s="4"/>
      <c r="W97" s="242"/>
      <c r="X97" s="4"/>
      <c r="Y97" s="4"/>
      <c r="Z97" s="4"/>
    </row>
    <row r="98" ht="13.5" customHeight="1" spans="1:26" x14ac:dyDescent="0.25">
      <c r="A98" s="4"/>
      <c r="B98" s="4"/>
      <c r="C98" s="4"/>
      <c r="D98" s="4"/>
      <c r="E98" s="4"/>
      <c r="F98" s="4"/>
      <c r="G98" s="4"/>
      <c r="H98" s="4"/>
      <c r="I98" s="4"/>
      <c r="J98" s="4"/>
      <c r="K98" s="4"/>
      <c r="L98" s="4"/>
      <c r="M98" s="4"/>
      <c r="N98" s="4"/>
      <c r="O98" s="4"/>
      <c r="P98" s="4"/>
      <c r="Q98" s="4"/>
      <c r="R98" s="4"/>
      <c r="S98" s="4"/>
      <c r="T98" s="4"/>
      <c r="U98" s="4"/>
      <c r="V98" s="4"/>
      <c r="W98" s="242"/>
      <c r="X98" s="4"/>
      <c r="Y98" s="4"/>
      <c r="Z98" s="4"/>
    </row>
    <row r="99" ht="13.5" customHeight="1" spans="1:26" x14ac:dyDescent="0.25">
      <c r="A99" s="4"/>
      <c r="B99" s="4"/>
      <c r="C99" s="4"/>
      <c r="D99" s="4"/>
      <c r="E99" s="4"/>
      <c r="F99" s="4"/>
      <c r="G99" s="4"/>
      <c r="H99" s="4"/>
      <c r="I99" s="4"/>
      <c r="J99" s="4"/>
      <c r="K99" s="4"/>
      <c r="L99" s="4"/>
      <c r="M99" s="4"/>
      <c r="N99" s="4"/>
      <c r="O99" s="4"/>
      <c r="P99" s="4"/>
      <c r="Q99" s="4"/>
      <c r="R99" s="4"/>
      <c r="S99" s="4"/>
      <c r="T99" s="4"/>
      <c r="U99" s="4"/>
      <c r="V99" s="4"/>
      <c r="W99" s="242"/>
      <c r="X99" s="4"/>
      <c r="Y99" s="4"/>
      <c r="Z99" s="4"/>
    </row>
    <row r="100" ht="13.5" customHeight="1" spans="1:26" x14ac:dyDescent="0.25">
      <c r="A100" s="4"/>
      <c r="B100" s="4"/>
      <c r="C100" s="4"/>
      <c r="D100" s="4"/>
      <c r="E100" s="4"/>
      <c r="F100" s="4"/>
      <c r="G100" s="4"/>
      <c r="H100" s="4"/>
      <c r="I100" s="4"/>
      <c r="J100" s="4"/>
      <c r="K100" s="4"/>
      <c r="L100" s="4"/>
      <c r="M100" s="4"/>
      <c r="N100" s="4"/>
      <c r="O100" s="4"/>
      <c r="P100" s="4"/>
      <c r="Q100" s="4"/>
      <c r="R100" s="4"/>
      <c r="S100" s="4"/>
      <c r="T100" s="4"/>
      <c r="U100" s="4"/>
      <c r="V100" s="4"/>
      <c r="W100" s="242"/>
      <c r="X100" s="4"/>
      <c r="Y100" s="4"/>
      <c r="Z100" s="4"/>
    </row>
    <row r="101" ht="13.5" customHeight="1" spans="1:26" x14ac:dyDescent="0.25">
      <c r="A101" s="4"/>
      <c r="B101" s="4"/>
      <c r="C101" s="4"/>
      <c r="D101" s="4"/>
      <c r="E101" s="4"/>
      <c r="F101" s="4"/>
      <c r="G101" s="4"/>
      <c r="H101" s="4"/>
      <c r="I101" s="4"/>
      <c r="J101" s="4"/>
      <c r="K101" s="4"/>
      <c r="L101" s="4"/>
      <c r="M101" s="4"/>
      <c r="N101" s="4"/>
      <c r="O101" s="4"/>
      <c r="P101" s="4"/>
      <c r="Q101" s="4"/>
      <c r="R101" s="4"/>
      <c r="S101" s="4"/>
      <c r="T101" s="4"/>
      <c r="U101" s="4"/>
      <c r="V101" s="4"/>
      <c r="W101" s="242"/>
      <c r="X101" s="4"/>
      <c r="Y101" s="4"/>
      <c r="Z101" s="4"/>
    </row>
    <row r="102" ht="13.5" customHeight="1" spans="1:26" x14ac:dyDescent="0.25">
      <c r="A102" s="4"/>
      <c r="B102" s="4"/>
      <c r="C102" s="4"/>
      <c r="D102" s="4"/>
      <c r="E102" s="4"/>
      <c r="F102" s="4"/>
      <c r="G102" s="4"/>
      <c r="H102" s="4"/>
      <c r="I102" s="4"/>
      <c r="J102" s="4"/>
      <c r="K102" s="4"/>
      <c r="L102" s="4"/>
      <c r="M102" s="4"/>
      <c r="N102" s="4"/>
      <c r="O102" s="4"/>
      <c r="P102" s="4"/>
      <c r="Q102" s="4"/>
      <c r="R102" s="4"/>
      <c r="S102" s="4"/>
      <c r="T102" s="4"/>
      <c r="U102" s="4"/>
      <c r="V102" s="4"/>
      <c r="W102" s="242"/>
      <c r="X102" s="4"/>
      <c r="Y102" s="4"/>
      <c r="Z102" s="4"/>
    </row>
    <row r="103" ht="13.5" customHeight="1" spans="1:26" x14ac:dyDescent="0.25">
      <c r="A103" s="4"/>
      <c r="B103" s="4"/>
      <c r="C103" s="4"/>
      <c r="D103" s="4"/>
      <c r="E103" s="4"/>
      <c r="F103" s="4"/>
      <c r="G103" s="4"/>
      <c r="H103" s="4"/>
      <c r="I103" s="4"/>
      <c r="J103" s="4"/>
      <c r="K103" s="4"/>
      <c r="L103" s="4"/>
      <c r="M103" s="4"/>
      <c r="N103" s="4"/>
      <c r="O103" s="4"/>
      <c r="P103" s="4"/>
      <c r="Q103" s="4"/>
      <c r="R103" s="4"/>
      <c r="S103" s="4"/>
      <c r="T103" s="4"/>
      <c r="U103" s="4"/>
      <c r="V103" s="4"/>
      <c r="W103" s="242"/>
      <c r="X103" s="4"/>
      <c r="Y103" s="4"/>
      <c r="Z103" s="4"/>
    </row>
    <row r="104" ht="13.5" customHeight="1" spans="1:26" x14ac:dyDescent="0.25">
      <c r="A104" s="4"/>
      <c r="B104" s="4"/>
      <c r="C104" s="4"/>
      <c r="D104" s="4"/>
      <c r="E104" s="4"/>
      <c r="F104" s="4"/>
      <c r="G104" s="4"/>
      <c r="H104" s="4"/>
      <c r="I104" s="4"/>
      <c r="J104" s="4"/>
      <c r="K104" s="4"/>
      <c r="L104" s="4"/>
      <c r="M104" s="4"/>
      <c r="N104" s="4"/>
      <c r="O104" s="4"/>
      <c r="P104" s="4"/>
      <c r="Q104" s="4"/>
      <c r="R104" s="4"/>
      <c r="S104" s="4"/>
      <c r="T104" s="4"/>
      <c r="U104" s="4"/>
      <c r="V104" s="4"/>
      <c r="W104" s="242"/>
      <c r="X104" s="4"/>
      <c r="Y104" s="4"/>
      <c r="Z104" s="4"/>
    </row>
    <row r="105" ht="13.5" customHeight="1" spans="1:26" x14ac:dyDescent="0.25">
      <c r="A105" s="4"/>
      <c r="B105" s="4"/>
      <c r="C105" s="4"/>
      <c r="D105" s="4"/>
      <c r="E105" s="4"/>
      <c r="F105" s="4"/>
      <c r="G105" s="4"/>
      <c r="H105" s="4"/>
      <c r="I105" s="4"/>
      <c r="J105" s="4"/>
      <c r="K105" s="4"/>
      <c r="L105" s="4"/>
      <c r="M105" s="4"/>
      <c r="N105" s="4"/>
      <c r="O105" s="4"/>
      <c r="P105" s="4"/>
      <c r="Q105" s="4"/>
      <c r="R105" s="4"/>
      <c r="S105" s="4"/>
      <c r="T105" s="4"/>
      <c r="U105" s="4"/>
      <c r="V105" s="4"/>
      <c r="W105" s="242"/>
      <c r="X105" s="4"/>
      <c r="Y105" s="4"/>
      <c r="Z105" s="4"/>
    </row>
    <row r="106" ht="13.5" customHeight="1" spans="1:26" x14ac:dyDescent="0.25">
      <c r="A106" s="4"/>
      <c r="B106" s="4"/>
      <c r="C106" s="4"/>
      <c r="D106" s="4"/>
      <c r="E106" s="4"/>
      <c r="F106" s="4"/>
      <c r="G106" s="4"/>
      <c r="H106" s="4"/>
      <c r="I106" s="4"/>
      <c r="J106" s="4"/>
      <c r="K106" s="4"/>
      <c r="L106" s="4"/>
      <c r="M106" s="4"/>
      <c r="N106" s="4"/>
      <c r="O106" s="4"/>
      <c r="P106" s="4"/>
      <c r="Q106" s="4"/>
      <c r="R106" s="4"/>
      <c r="S106" s="4"/>
      <c r="T106" s="4"/>
      <c r="U106" s="4"/>
      <c r="V106" s="4"/>
      <c r="W106" s="242"/>
      <c r="X106" s="4"/>
      <c r="Y106" s="4"/>
      <c r="Z106" s="4"/>
    </row>
    <row r="107" ht="13.5" customHeight="1" spans="1:26" x14ac:dyDescent="0.25">
      <c r="A107" s="4"/>
      <c r="B107" s="4"/>
      <c r="C107" s="4"/>
      <c r="D107" s="4"/>
      <c r="E107" s="4"/>
      <c r="F107" s="4"/>
      <c r="G107" s="4"/>
      <c r="H107" s="4"/>
      <c r="I107" s="4"/>
      <c r="J107" s="4"/>
      <c r="K107" s="4"/>
      <c r="L107" s="4"/>
      <c r="M107" s="4"/>
      <c r="N107" s="4"/>
      <c r="O107" s="4"/>
      <c r="P107" s="4"/>
      <c r="Q107" s="4"/>
      <c r="R107" s="4"/>
      <c r="S107" s="4"/>
      <c r="T107" s="4"/>
      <c r="U107" s="4"/>
      <c r="V107" s="4"/>
      <c r="W107" s="242"/>
      <c r="X107" s="4"/>
      <c r="Y107" s="4"/>
      <c r="Z107" s="4"/>
    </row>
    <row r="108" ht="13.5" customHeight="1" spans="1:26" x14ac:dyDescent="0.25">
      <c r="A108" s="4"/>
      <c r="B108" s="4"/>
      <c r="C108" s="4"/>
      <c r="D108" s="4"/>
      <c r="E108" s="4"/>
      <c r="F108" s="4"/>
      <c r="G108" s="4"/>
      <c r="H108" s="4"/>
      <c r="I108" s="4"/>
      <c r="J108" s="4"/>
      <c r="K108" s="4"/>
      <c r="L108" s="4"/>
      <c r="M108" s="4"/>
      <c r="N108" s="4"/>
      <c r="O108" s="4"/>
      <c r="P108" s="4"/>
      <c r="Q108" s="4"/>
      <c r="R108" s="4"/>
      <c r="S108" s="4"/>
      <c r="T108" s="4"/>
      <c r="U108" s="4"/>
      <c r="V108" s="4"/>
      <c r="W108" s="242"/>
      <c r="X108" s="4"/>
      <c r="Y108" s="4"/>
      <c r="Z108" s="4"/>
    </row>
    <row r="109" ht="13.5" customHeight="1" spans="1:26" x14ac:dyDescent="0.25">
      <c r="A109" s="4"/>
      <c r="B109" s="4"/>
      <c r="C109" s="4"/>
      <c r="D109" s="4"/>
      <c r="E109" s="4"/>
      <c r="F109" s="4"/>
      <c r="G109" s="4"/>
      <c r="H109" s="4"/>
      <c r="I109" s="4"/>
      <c r="J109" s="4"/>
      <c r="K109" s="4"/>
      <c r="L109" s="4"/>
      <c r="M109" s="4"/>
      <c r="N109" s="4"/>
      <c r="O109" s="4"/>
      <c r="P109" s="4"/>
      <c r="Q109" s="4"/>
      <c r="R109" s="4"/>
      <c r="S109" s="4"/>
      <c r="T109" s="4"/>
      <c r="U109" s="4"/>
      <c r="V109" s="4"/>
      <c r="W109" s="242"/>
      <c r="X109" s="4"/>
      <c r="Y109" s="4"/>
      <c r="Z109" s="4"/>
    </row>
    <row r="110" ht="13.5" customHeight="1" spans="1:26" x14ac:dyDescent="0.25">
      <c r="A110" s="4"/>
      <c r="B110" s="4"/>
      <c r="C110" s="4"/>
      <c r="D110" s="4"/>
      <c r="E110" s="4"/>
      <c r="F110" s="4"/>
      <c r="G110" s="4"/>
      <c r="H110" s="4"/>
      <c r="I110" s="4"/>
      <c r="J110" s="4"/>
      <c r="K110" s="4"/>
      <c r="L110" s="4"/>
      <c r="M110" s="4"/>
      <c r="N110" s="4"/>
      <c r="O110" s="4"/>
      <c r="P110" s="4"/>
      <c r="Q110" s="4"/>
      <c r="R110" s="4"/>
      <c r="S110" s="4"/>
      <c r="T110" s="4"/>
      <c r="U110" s="4"/>
      <c r="V110" s="4"/>
      <c r="W110" s="242"/>
      <c r="X110" s="4"/>
      <c r="Y110" s="4"/>
      <c r="Z110" s="4"/>
    </row>
    <row r="111" ht="13.5" customHeight="1" spans="1:26" x14ac:dyDescent="0.25">
      <c r="A111" s="4"/>
      <c r="B111" s="4"/>
      <c r="C111" s="4"/>
      <c r="D111" s="4"/>
      <c r="E111" s="4"/>
      <c r="F111" s="4"/>
      <c r="G111" s="4"/>
      <c r="H111" s="4"/>
      <c r="I111" s="4"/>
      <c r="J111" s="4"/>
      <c r="K111" s="4"/>
      <c r="L111" s="4"/>
      <c r="M111" s="4"/>
      <c r="N111" s="4"/>
      <c r="O111" s="4"/>
      <c r="P111" s="4"/>
      <c r="Q111" s="4"/>
      <c r="R111" s="4"/>
      <c r="S111" s="4"/>
      <c r="T111" s="4"/>
      <c r="U111" s="4"/>
      <c r="V111" s="4"/>
      <c r="W111" s="242"/>
      <c r="X111" s="4"/>
      <c r="Y111" s="4"/>
      <c r="Z111" s="4"/>
    </row>
    <row r="112" ht="13.5" customHeight="1" spans="1:26" x14ac:dyDescent="0.25">
      <c r="A112" s="4"/>
      <c r="B112" s="4"/>
      <c r="C112" s="4"/>
      <c r="D112" s="4"/>
      <c r="E112" s="4"/>
      <c r="F112" s="4"/>
      <c r="G112" s="4"/>
      <c r="H112" s="4"/>
      <c r="I112" s="4"/>
      <c r="J112" s="4"/>
      <c r="K112" s="4"/>
      <c r="L112" s="4"/>
      <c r="M112" s="4"/>
      <c r="N112" s="4"/>
      <c r="O112" s="4"/>
      <c r="P112" s="4"/>
      <c r="Q112" s="4"/>
      <c r="R112" s="4"/>
      <c r="S112" s="4"/>
      <c r="T112" s="4"/>
      <c r="U112" s="4"/>
      <c r="V112" s="4"/>
      <c r="W112" s="242"/>
      <c r="X112" s="4"/>
      <c r="Y112" s="4"/>
      <c r="Z112" s="4"/>
    </row>
    <row r="113" ht="13.5" customHeight="1" spans="1:26" x14ac:dyDescent="0.25">
      <c r="A113" s="4"/>
      <c r="B113" s="4"/>
      <c r="C113" s="4"/>
      <c r="D113" s="4"/>
      <c r="E113" s="4"/>
      <c r="F113" s="4"/>
      <c r="G113" s="4"/>
      <c r="H113" s="4"/>
      <c r="I113" s="4"/>
      <c r="J113" s="4"/>
      <c r="K113" s="4"/>
      <c r="L113" s="4"/>
      <c r="M113" s="4"/>
      <c r="N113" s="4"/>
      <c r="O113" s="4"/>
      <c r="P113" s="4"/>
      <c r="Q113" s="4"/>
      <c r="R113" s="4"/>
      <c r="S113" s="4"/>
      <c r="T113" s="4"/>
      <c r="U113" s="4"/>
      <c r="V113" s="4"/>
      <c r="W113" s="242"/>
      <c r="X113" s="4"/>
      <c r="Y113" s="4"/>
      <c r="Z113" s="4"/>
    </row>
    <row r="114" ht="13.5" customHeight="1" spans="1:26" x14ac:dyDescent="0.25">
      <c r="A114" s="4"/>
      <c r="B114" s="4"/>
      <c r="C114" s="4"/>
      <c r="D114" s="4"/>
      <c r="E114" s="4"/>
      <c r="F114" s="4"/>
      <c r="G114" s="4"/>
      <c r="H114" s="4"/>
      <c r="I114" s="4"/>
      <c r="J114" s="4"/>
      <c r="K114" s="4"/>
      <c r="L114" s="4"/>
      <c r="M114" s="4"/>
      <c r="N114" s="4"/>
      <c r="O114" s="4"/>
      <c r="P114" s="4"/>
      <c r="Q114" s="4"/>
      <c r="R114" s="4"/>
      <c r="S114" s="4"/>
      <c r="T114" s="4"/>
      <c r="U114" s="4"/>
      <c r="V114" s="4"/>
      <c r="W114" s="242"/>
      <c r="X114" s="4"/>
      <c r="Y114" s="4"/>
      <c r="Z114" s="4"/>
    </row>
    <row r="115" ht="13.5" customHeight="1" spans="1:26" x14ac:dyDescent="0.25">
      <c r="A115" s="4"/>
      <c r="B115" s="4"/>
      <c r="C115" s="4"/>
      <c r="D115" s="4"/>
      <c r="E115" s="4"/>
      <c r="F115" s="4"/>
      <c r="G115" s="4"/>
      <c r="H115" s="4"/>
      <c r="I115" s="4"/>
      <c r="J115" s="4"/>
      <c r="K115" s="4"/>
      <c r="L115" s="4"/>
      <c r="M115" s="4"/>
      <c r="N115" s="4"/>
      <c r="O115" s="4"/>
      <c r="P115" s="4"/>
      <c r="Q115" s="4"/>
      <c r="R115" s="4"/>
      <c r="S115" s="4"/>
      <c r="T115" s="4"/>
      <c r="U115" s="4"/>
      <c r="V115" s="4"/>
      <c r="W115" s="242"/>
      <c r="X115" s="4"/>
      <c r="Y115" s="4"/>
      <c r="Z115" s="4"/>
    </row>
    <row r="116" ht="13.5" customHeight="1" spans="1:26" x14ac:dyDescent="0.25">
      <c r="A116" s="4"/>
      <c r="B116" s="4"/>
      <c r="C116" s="4"/>
      <c r="D116" s="4"/>
      <c r="E116" s="4"/>
      <c r="F116" s="4"/>
      <c r="G116" s="4"/>
      <c r="H116" s="4"/>
      <c r="I116" s="4"/>
      <c r="J116" s="4"/>
      <c r="K116" s="4"/>
      <c r="L116" s="4"/>
      <c r="M116" s="4"/>
      <c r="N116" s="4"/>
      <c r="O116" s="4"/>
      <c r="P116" s="4"/>
      <c r="Q116" s="4"/>
      <c r="R116" s="4"/>
      <c r="S116" s="4"/>
      <c r="T116" s="4"/>
      <c r="U116" s="4"/>
      <c r="V116" s="4"/>
      <c r="W116" s="242"/>
      <c r="X116" s="4"/>
      <c r="Y116" s="4"/>
      <c r="Z116" s="4"/>
    </row>
    <row r="117" ht="13.5" customHeight="1" spans="1:26" x14ac:dyDescent="0.25">
      <c r="A117" s="4"/>
      <c r="B117" s="4"/>
      <c r="C117" s="4"/>
      <c r="D117" s="4"/>
      <c r="E117" s="4"/>
      <c r="F117" s="4"/>
      <c r="G117" s="4"/>
      <c r="H117" s="4"/>
      <c r="I117" s="4"/>
      <c r="J117" s="4"/>
      <c r="K117" s="4"/>
      <c r="L117" s="4"/>
      <c r="M117" s="4"/>
      <c r="N117" s="4"/>
      <c r="O117" s="4"/>
      <c r="P117" s="4"/>
      <c r="Q117" s="4"/>
      <c r="R117" s="4"/>
      <c r="S117" s="4"/>
      <c r="T117" s="4"/>
      <c r="U117" s="4"/>
      <c r="V117" s="4"/>
      <c r="W117" s="242"/>
      <c r="X117" s="4"/>
      <c r="Y117" s="4"/>
      <c r="Z117" s="4"/>
    </row>
    <row r="118" ht="13.5" customHeight="1" spans="1:26" x14ac:dyDescent="0.25">
      <c r="A118" s="4"/>
      <c r="B118" s="4"/>
      <c r="C118" s="4"/>
      <c r="D118" s="4"/>
      <c r="E118" s="4"/>
      <c r="F118" s="4"/>
      <c r="G118" s="4"/>
      <c r="H118" s="4"/>
      <c r="I118" s="4"/>
      <c r="J118" s="4"/>
      <c r="K118" s="4"/>
      <c r="L118" s="4"/>
      <c r="M118" s="4"/>
      <c r="N118" s="4"/>
      <c r="O118" s="4"/>
      <c r="P118" s="4"/>
      <c r="Q118" s="4"/>
      <c r="R118" s="4"/>
      <c r="S118" s="4"/>
      <c r="T118" s="4"/>
      <c r="U118" s="4"/>
      <c r="V118" s="4"/>
      <c r="W118" s="242"/>
      <c r="X118" s="4"/>
      <c r="Y118" s="4"/>
      <c r="Z118" s="4"/>
    </row>
    <row r="119" ht="13.5" customHeight="1" spans="1:26" x14ac:dyDescent="0.25">
      <c r="A119" s="4"/>
      <c r="B119" s="4"/>
      <c r="C119" s="4"/>
      <c r="D119" s="4"/>
      <c r="E119" s="4"/>
      <c r="F119" s="4"/>
      <c r="G119" s="4"/>
      <c r="H119" s="4"/>
      <c r="I119" s="4"/>
      <c r="J119" s="4"/>
      <c r="K119" s="4"/>
      <c r="L119" s="4"/>
      <c r="M119" s="4"/>
      <c r="N119" s="4"/>
      <c r="O119" s="4"/>
      <c r="P119" s="4"/>
      <c r="Q119" s="4"/>
      <c r="R119" s="4"/>
      <c r="S119" s="4"/>
      <c r="T119" s="4"/>
      <c r="U119" s="4"/>
      <c r="V119" s="4"/>
      <c r="W119" s="242"/>
      <c r="X119" s="4"/>
      <c r="Y119" s="4"/>
      <c r="Z119" s="4"/>
    </row>
    <row r="120" ht="13.5" customHeight="1" spans="1:26" x14ac:dyDescent="0.25">
      <c r="A120" s="4"/>
      <c r="B120" s="4"/>
      <c r="C120" s="4"/>
      <c r="D120" s="4"/>
      <c r="E120" s="4"/>
      <c r="F120" s="4"/>
      <c r="G120" s="4"/>
      <c r="H120" s="4"/>
      <c r="I120" s="4"/>
      <c r="J120" s="4"/>
      <c r="K120" s="4"/>
      <c r="L120" s="4"/>
      <c r="M120" s="4"/>
      <c r="N120" s="4"/>
      <c r="O120" s="4"/>
      <c r="P120" s="4"/>
      <c r="Q120" s="4"/>
      <c r="R120" s="4"/>
      <c r="S120" s="4"/>
      <c r="T120" s="4"/>
      <c r="U120" s="4"/>
      <c r="V120" s="4"/>
      <c r="W120" s="242"/>
      <c r="X120" s="4"/>
      <c r="Y120" s="4"/>
      <c r="Z120" s="4"/>
    </row>
    <row r="121" ht="13.5" customHeight="1" spans="1:26" x14ac:dyDescent="0.25">
      <c r="A121" s="4"/>
      <c r="B121" s="4"/>
      <c r="C121" s="4"/>
      <c r="D121" s="4"/>
      <c r="E121" s="4"/>
      <c r="F121" s="4"/>
      <c r="G121" s="4"/>
      <c r="H121" s="4"/>
      <c r="I121" s="4"/>
      <c r="J121" s="4"/>
      <c r="K121" s="4"/>
      <c r="L121" s="4"/>
      <c r="M121" s="4"/>
      <c r="N121" s="4"/>
      <c r="O121" s="4"/>
      <c r="P121" s="4"/>
      <c r="Q121" s="4"/>
      <c r="R121" s="4"/>
      <c r="S121" s="4"/>
      <c r="T121" s="4"/>
      <c r="U121" s="4"/>
      <c r="V121" s="4"/>
      <c r="W121" s="242"/>
      <c r="X121" s="4"/>
      <c r="Y121" s="4"/>
      <c r="Z121" s="4"/>
    </row>
    <row r="122" ht="13.5" customHeight="1" spans="1:26" x14ac:dyDescent="0.25">
      <c r="A122" s="4"/>
      <c r="B122" s="4"/>
      <c r="C122" s="4"/>
      <c r="D122" s="4"/>
      <c r="E122" s="4"/>
      <c r="F122" s="4"/>
      <c r="G122" s="4"/>
      <c r="H122" s="4"/>
      <c r="I122" s="4"/>
      <c r="J122" s="4"/>
      <c r="K122" s="4"/>
      <c r="L122" s="4"/>
      <c r="M122" s="4"/>
      <c r="N122" s="4"/>
      <c r="O122" s="4"/>
      <c r="P122" s="4"/>
      <c r="Q122" s="4"/>
      <c r="R122" s="4"/>
      <c r="S122" s="4"/>
      <c r="T122" s="4"/>
      <c r="U122" s="4"/>
      <c r="V122" s="4"/>
      <c r="W122" s="242"/>
      <c r="X122" s="4"/>
      <c r="Y122" s="4"/>
      <c r="Z122" s="4"/>
    </row>
    <row r="123" ht="13.5" customHeight="1" spans="1:26" x14ac:dyDescent="0.25">
      <c r="A123" s="4"/>
      <c r="B123" s="4"/>
      <c r="C123" s="4"/>
      <c r="D123" s="4"/>
      <c r="E123" s="4"/>
      <c r="F123" s="4"/>
      <c r="G123" s="4"/>
      <c r="H123" s="4"/>
      <c r="I123" s="4"/>
      <c r="J123" s="4"/>
      <c r="K123" s="4"/>
      <c r="L123" s="4"/>
      <c r="M123" s="4"/>
      <c r="N123" s="4"/>
      <c r="O123" s="4"/>
      <c r="P123" s="4"/>
      <c r="Q123" s="4"/>
      <c r="R123" s="4"/>
      <c r="S123" s="4"/>
      <c r="T123" s="4"/>
      <c r="U123" s="4"/>
      <c r="V123" s="4"/>
      <c r="W123" s="242"/>
      <c r="X123" s="4"/>
      <c r="Y123" s="4"/>
      <c r="Z123" s="4"/>
    </row>
    <row r="124" ht="13.5" customHeight="1" spans="1:26" x14ac:dyDescent="0.25">
      <c r="A124" s="4"/>
      <c r="B124" s="4"/>
      <c r="C124" s="4"/>
      <c r="D124" s="4"/>
      <c r="E124" s="4"/>
      <c r="F124" s="4"/>
      <c r="G124" s="4"/>
      <c r="H124" s="4"/>
      <c r="I124" s="4"/>
      <c r="J124" s="4"/>
      <c r="K124" s="4"/>
      <c r="L124" s="4"/>
      <c r="M124" s="4"/>
      <c r="N124" s="4"/>
      <c r="O124" s="4"/>
      <c r="P124" s="4"/>
      <c r="Q124" s="4"/>
      <c r="R124" s="4"/>
      <c r="S124" s="4"/>
      <c r="T124" s="4"/>
      <c r="U124" s="4"/>
      <c r="V124" s="4"/>
      <c r="W124" s="242"/>
      <c r="X124" s="4"/>
      <c r="Y124" s="4"/>
      <c r="Z124" s="4"/>
    </row>
    <row r="125" ht="13.5" customHeight="1" spans="1:26" x14ac:dyDescent="0.25">
      <c r="A125" s="4"/>
      <c r="B125" s="4"/>
      <c r="C125" s="4"/>
      <c r="D125" s="4"/>
      <c r="E125" s="4"/>
      <c r="F125" s="4"/>
      <c r="G125" s="4"/>
      <c r="H125" s="4"/>
      <c r="I125" s="4"/>
      <c r="J125" s="4"/>
      <c r="K125" s="4"/>
      <c r="L125" s="4"/>
      <c r="M125" s="4"/>
      <c r="N125" s="4"/>
      <c r="O125" s="4"/>
      <c r="P125" s="4"/>
      <c r="Q125" s="4"/>
      <c r="R125" s="4"/>
      <c r="S125" s="4"/>
      <c r="T125" s="4"/>
      <c r="U125" s="4"/>
      <c r="V125" s="4"/>
      <c r="W125" s="242"/>
      <c r="X125" s="4"/>
      <c r="Y125" s="4"/>
      <c r="Z125" s="4"/>
    </row>
    <row r="126" ht="13.5" customHeight="1" spans="1:26" x14ac:dyDescent="0.25">
      <c r="A126" s="4"/>
      <c r="B126" s="4"/>
      <c r="C126" s="4"/>
      <c r="D126" s="4"/>
      <c r="E126" s="4"/>
      <c r="F126" s="4"/>
      <c r="G126" s="4"/>
      <c r="H126" s="4"/>
      <c r="I126" s="4"/>
      <c r="J126" s="4"/>
      <c r="K126" s="4"/>
      <c r="L126" s="4"/>
      <c r="M126" s="4"/>
      <c r="N126" s="4"/>
      <c r="O126" s="4"/>
      <c r="P126" s="4"/>
      <c r="Q126" s="4"/>
      <c r="R126" s="4"/>
      <c r="S126" s="4"/>
      <c r="T126" s="4"/>
      <c r="U126" s="4"/>
      <c r="V126" s="4"/>
      <c r="W126" s="242"/>
      <c r="X126" s="4"/>
      <c r="Y126" s="4"/>
      <c r="Z126" s="4"/>
    </row>
    <row r="127" ht="13.5" customHeight="1" spans="1:26" x14ac:dyDescent="0.25">
      <c r="A127" s="4"/>
      <c r="B127" s="4"/>
      <c r="C127" s="4"/>
      <c r="D127" s="4"/>
      <c r="E127" s="4"/>
      <c r="F127" s="4"/>
      <c r="G127" s="4"/>
      <c r="H127" s="4"/>
      <c r="I127" s="4"/>
      <c r="J127" s="4"/>
      <c r="K127" s="4"/>
      <c r="L127" s="4"/>
      <c r="M127" s="4"/>
      <c r="N127" s="4"/>
      <c r="O127" s="4"/>
      <c r="P127" s="4"/>
      <c r="Q127" s="4"/>
      <c r="R127" s="4"/>
      <c r="S127" s="4"/>
      <c r="T127" s="4"/>
      <c r="U127" s="4"/>
      <c r="V127" s="4"/>
      <c r="W127" s="242"/>
      <c r="X127" s="4"/>
      <c r="Y127" s="4"/>
      <c r="Z127" s="4"/>
    </row>
    <row r="128" ht="13.5" customHeight="1" spans="1:26" x14ac:dyDescent="0.25">
      <c r="A128" s="4"/>
      <c r="B128" s="4"/>
      <c r="C128" s="4"/>
      <c r="D128" s="4"/>
      <c r="E128" s="4"/>
      <c r="F128" s="4"/>
      <c r="G128" s="4"/>
      <c r="H128" s="4"/>
      <c r="I128" s="4"/>
      <c r="J128" s="4"/>
      <c r="K128" s="4"/>
      <c r="L128" s="4"/>
      <c r="M128" s="4"/>
      <c r="N128" s="4"/>
      <c r="O128" s="4"/>
      <c r="P128" s="4"/>
      <c r="Q128" s="4"/>
      <c r="R128" s="4"/>
      <c r="S128" s="4"/>
      <c r="T128" s="4"/>
      <c r="U128" s="4"/>
      <c r="V128" s="4"/>
      <c r="W128" s="242"/>
      <c r="X128" s="4"/>
      <c r="Y128" s="4"/>
      <c r="Z128" s="4"/>
    </row>
    <row r="129" ht="13.5" customHeight="1" spans="1:26" x14ac:dyDescent="0.25">
      <c r="A129" s="4"/>
      <c r="B129" s="4"/>
      <c r="C129" s="4"/>
      <c r="D129" s="4"/>
      <c r="E129" s="4"/>
      <c r="F129" s="4"/>
      <c r="G129" s="4"/>
      <c r="H129" s="4"/>
      <c r="I129" s="4"/>
      <c r="J129" s="4"/>
      <c r="K129" s="4"/>
      <c r="L129" s="4"/>
      <c r="M129" s="4"/>
      <c r="N129" s="4"/>
      <c r="O129" s="4"/>
      <c r="P129" s="4"/>
      <c r="Q129" s="4"/>
      <c r="R129" s="4"/>
      <c r="S129" s="4"/>
      <c r="T129" s="4"/>
      <c r="U129" s="4"/>
      <c r="V129" s="4"/>
      <c r="W129" s="242"/>
      <c r="X129" s="4"/>
      <c r="Y129" s="4"/>
      <c r="Z129" s="4"/>
    </row>
    <row r="130" ht="13.5" customHeight="1" spans="1:26" x14ac:dyDescent="0.25">
      <c r="A130" s="4"/>
      <c r="B130" s="4"/>
      <c r="C130" s="4"/>
      <c r="D130" s="4"/>
      <c r="E130" s="4"/>
      <c r="F130" s="4"/>
      <c r="G130" s="4"/>
      <c r="H130" s="4"/>
      <c r="I130" s="4"/>
      <c r="J130" s="4"/>
      <c r="K130" s="4"/>
      <c r="L130" s="4"/>
      <c r="M130" s="4"/>
      <c r="N130" s="4"/>
      <c r="O130" s="4"/>
      <c r="P130" s="4"/>
      <c r="Q130" s="4"/>
      <c r="R130" s="4"/>
      <c r="S130" s="4"/>
      <c r="T130" s="4"/>
      <c r="U130" s="4"/>
      <c r="V130" s="4"/>
      <c r="W130" s="242"/>
      <c r="X130" s="4"/>
      <c r="Y130" s="4"/>
      <c r="Z130" s="4"/>
    </row>
    <row r="131" ht="13.5" customHeight="1" spans="1:26" x14ac:dyDescent="0.25">
      <c r="A131" s="4"/>
      <c r="B131" s="4"/>
      <c r="C131" s="4"/>
      <c r="D131" s="4"/>
      <c r="E131" s="4"/>
      <c r="F131" s="4"/>
      <c r="G131" s="4"/>
      <c r="H131" s="4"/>
      <c r="I131" s="4"/>
      <c r="J131" s="4"/>
      <c r="K131" s="4"/>
      <c r="L131" s="4"/>
      <c r="M131" s="4"/>
      <c r="N131" s="4"/>
      <c r="O131" s="4"/>
      <c r="P131" s="4"/>
      <c r="Q131" s="4"/>
      <c r="R131" s="4"/>
      <c r="S131" s="4"/>
      <c r="T131" s="4"/>
      <c r="U131" s="4"/>
      <c r="V131" s="4"/>
      <c r="W131" s="242"/>
      <c r="X131" s="4"/>
      <c r="Y131" s="4"/>
      <c r="Z131" s="4"/>
    </row>
    <row r="132" ht="13.5" customHeight="1" spans="1:26" x14ac:dyDescent="0.25">
      <c r="A132" s="4"/>
      <c r="B132" s="4"/>
      <c r="C132" s="4"/>
      <c r="D132" s="4"/>
      <c r="E132" s="4"/>
      <c r="F132" s="4"/>
      <c r="G132" s="4"/>
      <c r="H132" s="4"/>
      <c r="I132" s="4"/>
      <c r="J132" s="4"/>
      <c r="K132" s="4"/>
      <c r="L132" s="4"/>
      <c r="M132" s="4"/>
      <c r="N132" s="4"/>
      <c r="O132" s="4"/>
      <c r="P132" s="4"/>
      <c r="Q132" s="4"/>
      <c r="R132" s="4"/>
      <c r="S132" s="4"/>
      <c r="T132" s="4"/>
      <c r="U132" s="4"/>
      <c r="V132" s="4"/>
      <c r="W132" s="242"/>
      <c r="X132" s="4"/>
      <c r="Y132" s="4"/>
      <c r="Z132" s="4"/>
    </row>
    <row r="133" ht="13.5" customHeight="1" spans="1:26" x14ac:dyDescent="0.25">
      <c r="A133" s="4"/>
      <c r="B133" s="4"/>
      <c r="C133" s="4"/>
      <c r="D133" s="4"/>
      <c r="E133" s="4"/>
      <c r="F133" s="4"/>
      <c r="G133" s="4"/>
      <c r="H133" s="4"/>
      <c r="I133" s="4"/>
      <c r="J133" s="4"/>
      <c r="K133" s="4"/>
      <c r="L133" s="4"/>
      <c r="M133" s="4"/>
      <c r="N133" s="4"/>
      <c r="O133" s="4"/>
      <c r="P133" s="4"/>
      <c r="Q133" s="4"/>
      <c r="R133" s="4"/>
      <c r="S133" s="4"/>
      <c r="T133" s="4"/>
      <c r="U133" s="4"/>
      <c r="V133" s="4"/>
      <c r="W133" s="242"/>
      <c r="X133" s="4"/>
      <c r="Y133" s="4"/>
      <c r="Z133" s="4"/>
    </row>
    <row r="134" ht="13.5" customHeight="1" spans="1:26" x14ac:dyDescent="0.25">
      <c r="A134" s="4"/>
      <c r="B134" s="4"/>
      <c r="C134" s="4"/>
      <c r="D134" s="4"/>
      <c r="E134" s="4"/>
      <c r="F134" s="4"/>
      <c r="G134" s="4"/>
      <c r="H134" s="4"/>
      <c r="I134" s="4"/>
      <c r="J134" s="4"/>
      <c r="K134" s="4"/>
      <c r="L134" s="4"/>
      <c r="M134" s="4"/>
      <c r="N134" s="4"/>
      <c r="O134" s="4"/>
      <c r="P134" s="4"/>
      <c r="Q134" s="4"/>
      <c r="R134" s="4"/>
      <c r="S134" s="4"/>
      <c r="T134" s="4"/>
      <c r="U134" s="4"/>
      <c r="V134" s="4"/>
      <c r="W134" s="242"/>
      <c r="X134" s="4"/>
      <c r="Y134" s="4"/>
      <c r="Z134" s="4"/>
    </row>
    <row r="135" ht="13.5" customHeight="1" spans="1:26" x14ac:dyDescent="0.25">
      <c r="A135" s="4"/>
      <c r="B135" s="4"/>
      <c r="C135" s="4"/>
      <c r="D135" s="4"/>
      <c r="E135" s="4"/>
      <c r="F135" s="4"/>
      <c r="G135" s="4"/>
      <c r="H135" s="4"/>
      <c r="I135" s="4"/>
      <c r="J135" s="4"/>
      <c r="K135" s="4"/>
      <c r="L135" s="4"/>
      <c r="M135" s="4"/>
      <c r="N135" s="4"/>
      <c r="O135" s="4"/>
      <c r="P135" s="4"/>
      <c r="Q135" s="4"/>
      <c r="R135" s="4"/>
      <c r="S135" s="4"/>
      <c r="T135" s="4"/>
      <c r="U135" s="4"/>
      <c r="V135" s="4"/>
      <c r="W135" s="242"/>
      <c r="X135" s="4"/>
      <c r="Y135" s="4"/>
      <c r="Z135" s="4"/>
    </row>
    <row r="136" ht="13.5" customHeight="1" spans="1:26" x14ac:dyDescent="0.25">
      <c r="A136" s="4"/>
      <c r="B136" s="4"/>
      <c r="C136" s="4"/>
      <c r="D136" s="4"/>
      <c r="E136" s="4"/>
      <c r="F136" s="4"/>
      <c r="G136" s="4"/>
      <c r="H136" s="4"/>
      <c r="I136" s="4"/>
      <c r="J136" s="4"/>
      <c r="K136" s="4"/>
      <c r="L136" s="4"/>
      <c r="M136" s="4"/>
      <c r="N136" s="4"/>
      <c r="O136" s="4"/>
      <c r="P136" s="4"/>
      <c r="Q136" s="4"/>
      <c r="R136" s="4"/>
      <c r="S136" s="4"/>
      <c r="T136" s="4"/>
      <c r="U136" s="4"/>
      <c r="V136" s="4"/>
      <c r="W136" s="242"/>
      <c r="X136" s="4"/>
      <c r="Y136" s="4"/>
      <c r="Z136" s="4"/>
    </row>
    <row r="137" ht="13.5" customHeight="1" spans="1:26" x14ac:dyDescent="0.25">
      <c r="A137" s="4"/>
      <c r="B137" s="4"/>
      <c r="C137" s="4"/>
      <c r="D137" s="4"/>
      <c r="E137" s="4"/>
      <c r="F137" s="4"/>
      <c r="G137" s="4"/>
      <c r="H137" s="4"/>
      <c r="I137" s="4"/>
      <c r="J137" s="4"/>
      <c r="K137" s="4"/>
      <c r="L137" s="4"/>
      <c r="M137" s="4"/>
      <c r="N137" s="4"/>
      <c r="O137" s="4"/>
      <c r="P137" s="4"/>
      <c r="Q137" s="4"/>
      <c r="R137" s="4"/>
      <c r="S137" s="4"/>
      <c r="T137" s="4"/>
      <c r="U137" s="4"/>
      <c r="V137" s="4"/>
      <c r="W137" s="242"/>
      <c r="X137" s="4"/>
      <c r="Y137" s="4"/>
      <c r="Z137" s="4"/>
    </row>
    <row r="138" ht="13.5" customHeight="1" spans="1:26" x14ac:dyDescent="0.25">
      <c r="A138" s="4"/>
      <c r="B138" s="4"/>
      <c r="C138" s="4"/>
      <c r="D138" s="4"/>
      <c r="E138" s="4"/>
      <c r="F138" s="4"/>
      <c r="G138" s="4"/>
      <c r="H138" s="4"/>
      <c r="I138" s="4"/>
      <c r="J138" s="4"/>
      <c r="K138" s="4"/>
      <c r="L138" s="4"/>
      <c r="M138" s="4"/>
      <c r="N138" s="4"/>
      <c r="O138" s="4"/>
      <c r="P138" s="4"/>
      <c r="Q138" s="4"/>
      <c r="R138" s="4"/>
      <c r="S138" s="4"/>
      <c r="T138" s="4"/>
      <c r="U138" s="4"/>
      <c r="V138" s="4"/>
      <c r="W138" s="242"/>
      <c r="X138" s="4"/>
      <c r="Y138" s="4"/>
      <c r="Z138" s="4"/>
    </row>
    <row r="139" ht="13.5" customHeight="1" spans="1:26" x14ac:dyDescent="0.25">
      <c r="A139" s="4"/>
      <c r="B139" s="4"/>
      <c r="C139" s="4"/>
      <c r="D139" s="4"/>
      <c r="E139" s="4"/>
      <c r="F139" s="4"/>
      <c r="G139" s="4"/>
      <c r="H139" s="4"/>
      <c r="I139" s="4"/>
      <c r="J139" s="4"/>
      <c r="K139" s="4"/>
      <c r="L139" s="4"/>
      <c r="M139" s="4"/>
      <c r="N139" s="4"/>
      <c r="O139" s="4"/>
      <c r="P139" s="4"/>
      <c r="Q139" s="4"/>
      <c r="R139" s="4"/>
      <c r="S139" s="4"/>
      <c r="T139" s="4"/>
      <c r="U139" s="4"/>
      <c r="V139" s="4"/>
      <c r="W139" s="242"/>
      <c r="X139" s="4"/>
      <c r="Y139" s="4"/>
      <c r="Z139" s="4"/>
    </row>
    <row r="140" ht="13.5" customHeight="1" spans="1:26" x14ac:dyDescent="0.25">
      <c r="A140" s="4"/>
      <c r="B140" s="4"/>
      <c r="C140" s="4"/>
      <c r="D140" s="4"/>
      <c r="E140" s="4"/>
      <c r="F140" s="4"/>
      <c r="G140" s="4"/>
      <c r="H140" s="4"/>
      <c r="I140" s="4"/>
      <c r="J140" s="4"/>
      <c r="K140" s="4"/>
      <c r="L140" s="4"/>
      <c r="M140" s="4"/>
      <c r="N140" s="4"/>
      <c r="O140" s="4"/>
      <c r="P140" s="4"/>
      <c r="Q140" s="4"/>
      <c r="R140" s="4"/>
      <c r="S140" s="4"/>
      <c r="T140" s="4"/>
      <c r="U140" s="4"/>
      <c r="V140" s="4"/>
      <c r="W140" s="242"/>
      <c r="X140" s="4"/>
      <c r="Y140" s="4"/>
      <c r="Z140" s="4"/>
    </row>
    <row r="141" ht="13.5" customHeight="1" spans="1:26" x14ac:dyDescent="0.25">
      <c r="A141" s="4"/>
      <c r="B141" s="4"/>
      <c r="C141" s="4"/>
      <c r="D141" s="4"/>
      <c r="E141" s="4"/>
      <c r="F141" s="4"/>
      <c r="G141" s="4"/>
      <c r="H141" s="4"/>
      <c r="I141" s="4"/>
      <c r="J141" s="4"/>
      <c r="K141" s="4"/>
      <c r="L141" s="4"/>
      <c r="M141" s="4"/>
      <c r="N141" s="4"/>
      <c r="O141" s="4"/>
      <c r="P141" s="4"/>
      <c r="Q141" s="4"/>
      <c r="R141" s="4"/>
      <c r="S141" s="4"/>
      <c r="T141" s="4"/>
      <c r="U141" s="4"/>
      <c r="V141" s="4"/>
      <c r="W141" s="242"/>
      <c r="X141" s="4"/>
      <c r="Y141" s="4"/>
      <c r="Z141" s="4"/>
    </row>
    <row r="142" ht="13.5" customHeight="1" spans="1:26" x14ac:dyDescent="0.25">
      <c r="A142" s="4"/>
      <c r="B142" s="4"/>
      <c r="C142" s="4"/>
      <c r="D142" s="4"/>
      <c r="E142" s="4"/>
      <c r="F142" s="4"/>
      <c r="G142" s="4"/>
      <c r="H142" s="4"/>
      <c r="I142" s="4"/>
      <c r="J142" s="4"/>
      <c r="K142" s="4"/>
      <c r="L142" s="4"/>
      <c r="M142" s="4"/>
      <c r="N142" s="4"/>
      <c r="O142" s="4"/>
      <c r="P142" s="4"/>
      <c r="Q142" s="4"/>
      <c r="R142" s="4"/>
      <c r="S142" s="4"/>
      <c r="T142" s="4"/>
      <c r="U142" s="4"/>
      <c r="V142" s="4"/>
      <c r="W142" s="242"/>
      <c r="X142" s="4"/>
      <c r="Y142" s="4"/>
      <c r="Z142" s="4"/>
    </row>
    <row r="143" ht="13.5" customHeight="1" spans="1:26" x14ac:dyDescent="0.25">
      <c r="A143" s="4"/>
      <c r="B143" s="4"/>
      <c r="C143" s="4"/>
      <c r="D143" s="4"/>
      <c r="E143" s="4"/>
      <c r="F143" s="4"/>
      <c r="G143" s="4"/>
      <c r="H143" s="4"/>
      <c r="I143" s="4"/>
      <c r="J143" s="4"/>
      <c r="K143" s="4"/>
      <c r="L143" s="4"/>
      <c r="M143" s="4"/>
      <c r="N143" s="4"/>
      <c r="O143" s="4"/>
      <c r="P143" s="4"/>
      <c r="Q143" s="4"/>
      <c r="R143" s="4"/>
      <c r="S143" s="4"/>
      <c r="T143" s="4"/>
      <c r="U143" s="4"/>
      <c r="V143" s="4"/>
      <c r="W143" s="242"/>
      <c r="X143" s="4"/>
      <c r="Y143" s="4"/>
      <c r="Z143" s="4"/>
    </row>
    <row r="144" ht="13.5" customHeight="1" spans="1:26" x14ac:dyDescent="0.25">
      <c r="A144" s="4"/>
      <c r="B144" s="4"/>
      <c r="C144" s="4"/>
      <c r="D144" s="4"/>
      <c r="E144" s="4"/>
      <c r="F144" s="4"/>
      <c r="G144" s="4"/>
      <c r="H144" s="4"/>
      <c r="I144" s="4"/>
      <c r="J144" s="4"/>
      <c r="K144" s="4"/>
      <c r="L144" s="4"/>
      <c r="M144" s="4"/>
      <c r="N144" s="4"/>
      <c r="O144" s="4"/>
      <c r="P144" s="4"/>
      <c r="Q144" s="4"/>
      <c r="R144" s="4"/>
      <c r="S144" s="4"/>
      <c r="T144" s="4"/>
      <c r="U144" s="4"/>
      <c r="V144" s="4"/>
      <c r="W144" s="242"/>
      <c r="X144" s="4"/>
      <c r="Y144" s="4"/>
      <c r="Z144" s="4"/>
    </row>
    <row r="145" ht="13.5" customHeight="1" spans="1:26" x14ac:dyDescent="0.25">
      <c r="A145" s="4"/>
      <c r="B145" s="4"/>
      <c r="C145" s="4"/>
      <c r="D145" s="4"/>
      <c r="E145" s="4"/>
      <c r="F145" s="4"/>
      <c r="G145" s="4"/>
      <c r="H145" s="4"/>
      <c r="I145" s="4"/>
      <c r="J145" s="4"/>
      <c r="K145" s="4"/>
      <c r="L145" s="4"/>
      <c r="M145" s="4"/>
      <c r="N145" s="4"/>
      <c r="O145" s="4"/>
      <c r="P145" s="4"/>
      <c r="Q145" s="4"/>
      <c r="R145" s="4"/>
      <c r="S145" s="4"/>
      <c r="T145" s="4"/>
      <c r="U145" s="4"/>
      <c r="V145" s="4"/>
      <c r="W145" s="242"/>
      <c r="X145" s="4"/>
      <c r="Y145" s="4"/>
      <c r="Z145" s="4"/>
    </row>
    <row r="146" ht="13.5" customHeight="1" spans="1:26" x14ac:dyDescent="0.25">
      <c r="A146" s="4"/>
      <c r="B146" s="4"/>
      <c r="C146" s="4"/>
      <c r="D146" s="4"/>
      <c r="E146" s="4"/>
      <c r="F146" s="4"/>
      <c r="G146" s="4"/>
      <c r="H146" s="4"/>
      <c r="I146" s="4"/>
      <c r="J146" s="4"/>
      <c r="K146" s="4"/>
      <c r="L146" s="4"/>
      <c r="M146" s="4"/>
      <c r="N146" s="4"/>
      <c r="O146" s="4"/>
      <c r="P146" s="4"/>
      <c r="Q146" s="4"/>
      <c r="R146" s="4"/>
      <c r="S146" s="4"/>
      <c r="T146" s="4"/>
      <c r="U146" s="4"/>
      <c r="V146" s="4"/>
      <c r="W146" s="242"/>
      <c r="X146" s="4"/>
      <c r="Y146" s="4"/>
      <c r="Z146" s="4"/>
    </row>
    <row r="147" ht="13.5" customHeight="1" spans="1:26" x14ac:dyDescent="0.25">
      <c r="A147" s="4"/>
      <c r="B147" s="4"/>
      <c r="C147" s="4"/>
      <c r="D147" s="4"/>
      <c r="E147" s="4"/>
      <c r="F147" s="4"/>
      <c r="G147" s="4"/>
      <c r="H147" s="4"/>
      <c r="I147" s="4"/>
      <c r="J147" s="4"/>
      <c r="K147" s="4"/>
      <c r="L147" s="4"/>
      <c r="M147" s="4"/>
      <c r="N147" s="4"/>
      <c r="O147" s="4"/>
      <c r="P147" s="4"/>
      <c r="Q147" s="4"/>
      <c r="R147" s="4"/>
      <c r="S147" s="4"/>
      <c r="T147" s="4"/>
      <c r="U147" s="4"/>
      <c r="V147" s="4"/>
      <c r="W147" s="242"/>
      <c r="X147" s="4"/>
      <c r="Y147" s="4"/>
      <c r="Z147" s="4"/>
    </row>
    <row r="148" ht="13.5" customHeight="1" spans="1:26" x14ac:dyDescent="0.25">
      <c r="A148" s="4"/>
      <c r="B148" s="4"/>
      <c r="C148" s="4"/>
      <c r="D148" s="4"/>
      <c r="E148" s="4"/>
      <c r="F148" s="4"/>
      <c r="G148" s="4"/>
      <c r="H148" s="4"/>
      <c r="I148" s="4"/>
      <c r="J148" s="4"/>
      <c r="K148" s="4"/>
      <c r="L148" s="4"/>
      <c r="M148" s="4"/>
      <c r="N148" s="4"/>
      <c r="O148" s="4"/>
      <c r="P148" s="4"/>
      <c r="Q148" s="4"/>
      <c r="R148" s="4"/>
      <c r="S148" s="4"/>
      <c r="T148" s="4"/>
      <c r="U148" s="4"/>
      <c r="V148" s="4"/>
      <c r="W148" s="242"/>
      <c r="X148" s="4"/>
      <c r="Y148" s="4"/>
      <c r="Z148" s="4"/>
    </row>
    <row r="149" ht="13.5" customHeight="1" spans="1:26" x14ac:dyDescent="0.25">
      <c r="A149" s="4"/>
      <c r="B149" s="4"/>
      <c r="C149" s="4"/>
      <c r="D149" s="4"/>
      <c r="E149" s="4"/>
      <c r="F149" s="4"/>
      <c r="G149" s="4"/>
      <c r="H149" s="4"/>
      <c r="I149" s="4"/>
      <c r="J149" s="4"/>
      <c r="K149" s="4"/>
      <c r="L149" s="4"/>
      <c r="M149" s="4"/>
      <c r="N149" s="4"/>
      <c r="O149" s="4"/>
      <c r="P149" s="4"/>
      <c r="Q149" s="4"/>
      <c r="R149" s="4"/>
      <c r="S149" s="4"/>
      <c r="T149" s="4"/>
      <c r="U149" s="4"/>
      <c r="V149" s="4"/>
      <c r="W149" s="242"/>
      <c r="X149" s="4"/>
      <c r="Y149" s="4"/>
      <c r="Z149" s="4"/>
    </row>
    <row r="150" ht="13.5" customHeight="1" spans="1:26" x14ac:dyDescent="0.25">
      <c r="A150" s="4"/>
      <c r="B150" s="4"/>
      <c r="C150" s="4"/>
      <c r="D150" s="4"/>
      <c r="E150" s="4"/>
      <c r="F150" s="4"/>
      <c r="G150" s="4"/>
      <c r="H150" s="4"/>
      <c r="I150" s="4"/>
      <c r="J150" s="4"/>
      <c r="K150" s="4"/>
      <c r="L150" s="4"/>
      <c r="M150" s="4"/>
      <c r="N150" s="4"/>
      <c r="O150" s="4"/>
      <c r="P150" s="4"/>
      <c r="Q150" s="4"/>
      <c r="R150" s="4"/>
      <c r="S150" s="4"/>
      <c r="T150" s="4"/>
      <c r="U150" s="4"/>
      <c r="V150" s="4"/>
      <c r="W150" s="242"/>
      <c r="X150" s="4"/>
      <c r="Y150" s="4"/>
      <c r="Z150" s="4"/>
    </row>
    <row r="151" ht="13.5" customHeight="1" spans="1:26" x14ac:dyDescent="0.25">
      <c r="A151" s="4"/>
      <c r="B151" s="4"/>
      <c r="C151" s="4"/>
      <c r="D151" s="4"/>
      <c r="E151" s="4"/>
      <c r="F151" s="4"/>
      <c r="G151" s="4"/>
      <c r="H151" s="4"/>
      <c r="I151" s="4"/>
      <c r="J151" s="4"/>
      <c r="K151" s="4"/>
      <c r="L151" s="4"/>
      <c r="M151" s="4"/>
      <c r="N151" s="4"/>
      <c r="O151" s="4"/>
      <c r="P151" s="4"/>
      <c r="Q151" s="4"/>
      <c r="R151" s="4"/>
      <c r="S151" s="4"/>
      <c r="T151" s="4"/>
      <c r="U151" s="4"/>
      <c r="V151" s="4"/>
      <c r="W151" s="242"/>
      <c r="X151" s="4"/>
      <c r="Y151" s="4"/>
      <c r="Z151" s="4"/>
    </row>
    <row r="152" ht="13.5" customHeight="1" spans="1:26" x14ac:dyDescent="0.25">
      <c r="A152" s="4"/>
      <c r="B152" s="4"/>
      <c r="C152" s="4"/>
      <c r="D152" s="4"/>
      <c r="E152" s="4"/>
      <c r="F152" s="4"/>
      <c r="G152" s="4"/>
      <c r="H152" s="4"/>
      <c r="I152" s="4"/>
      <c r="J152" s="4"/>
      <c r="K152" s="4"/>
      <c r="L152" s="4"/>
      <c r="M152" s="4"/>
      <c r="N152" s="4"/>
      <c r="O152" s="4"/>
      <c r="P152" s="4"/>
      <c r="Q152" s="4"/>
      <c r="R152" s="4"/>
      <c r="S152" s="4"/>
      <c r="T152" s="4"/>
      <c r="U152" s="4"/>
      <c r="V152" s="4"/>
      <c r="W152" s="242"/>
      <c r="X152" s="4"/>
      <c r="Y152" s="4"/>
      <c r="Z152" s="4"/>
    </row>
    <row r="153" ht="13.5" customHeight="1" spans="1:26" x14ac:dyDescent="0.25">
      <c r="A153" s="4"/>
      <c r="B153" s="4"/>
      <c r="C153" s="4"/>
      <c r="D153" s="4"/>
      <c r="E153" s="4"/>
      <c r="F153" s="4"/>
      <c r="G153" s="4"/>
      <c r="H153" s="4"/>
      <c r="I153" s="4"/>
      <c r="J153" s="4"/>
      <c r="K153" s="4"/>
      <c r="L153" s="4"/>
      <c r="M153" s="4"/>
      <c r="N153" s="4"/>
      <c r="O153" s="4"/>
      <c r="P153" s="4"/>
      <c r="Q153" s="4"/>
      <c r="R153" s="4"/>
      <c r="S153" s="4"/>
      <c r="T153" s="4"/>
      <c r="U153" s="4"/>
      <c r="V153" s="4"/>
      <c r="W153" s="242"/>
      <c r="X153" s="4"/>
      <c r="Y153" s="4"/>
      <c r="Z153" s="4"/>
    </row>
    <row r="154" ht="13.5" customHeight="1" spans="1:26" x14ac:dyDescent="0.25">
      <c r="A154" s="4"/>
      <c r="B154" s="4"/>
      <c r="C154" s="4"/>
      <c r="D154" s="4"/>
      <c r="E154" s="4"/>
      <c r="F154" s="4"/>
      <c r="G154" s="4"/>
      <c r="H154" s="4"/>
      <c r="I154" s="4"/>
      <c r="J154" s="4"/>
      <c r="K154" s="4"/>
      <c r="L154" s="4"/>
      <c r="M154" s="4"/>
      <c r="N154" s="4"/>
      <c r="O154" s="4"/>
      <c r="P154" s="4"/>
      <c r="Q154" s="4"/>
      <c r="R154" s="4"/>
      <c r="S154" s="4"/>
      <c r="T154" s="4"/>
      <c r="U154" s="4"/>
      <c r="V154" s="4"/>
      <c r="W154" s="242"/>
      <c r="X154" s="4"/>
      <c r="Y154" s="4"/>
      <c r="Z154" s="4"/>
    </row>
    <row r="155" ht="13.5" customHeight="1" spans="1:26" x14ac:dyDescent="0.25">
      <c r="A155" s="4"/>
      <c r="B155" s="4"/>
      <c r="C155" s="4"/>
      <c r="D155" s="4"/>
      <c r="E155" s="4"/>
      <c r="F155" s="4"/>
      <c r="G155" s="4"/>
      <c r="H155" s="4"/>
      <c r="I155" s="4"/>
      <c r="J155" s="4"/>
      <c r="K155" s="4"/>
      <c r="L155" s="4"/>
      <c r="M155" s="4"/>
      <c r="N155" s="4"/>
      <c r="O155" s="4"/>
      <c r="P155" s="4"/>
      <c r="Q155" s="4"/>
      <c r="R155" s="4"/>
      <c r="S155" s="4"/>
      <c r="T155" s="4"/>
      <c r="U155" s="4"/>
      <c r="V155" s="4"/>
      <c r="W155" s="242"/>
      <c r="X155" s="4"/>
      <c r="Y155" s="4"/>
      <c r="Z155" s="4"/>
    </row>
    <row r="156" ht="13.5" customHeight="1" spans="1:26" x14ac:dyDescent="0.25">
      <c r="A156" s="4"/>
      <c r="B156" s="4"/>
      <c r="C156" s="4"/>
      <c r="D156" s="4"/>
      <c r="E156" s="4"/>
      <c r="F156" s="4"/>
      <c r="G156" s="4"/>
      <c r="H156" s="4"/>
      <c r="I156" s="4"/>
      <c r="J156" s="4"/>
      <c r="K156" s="4"/>
      <c r="L156" s="4"/>
      <c r="M156" s="4"/>
      <c r="N156" s="4"/>
      <c r="O156" s="4"/>
      <c r="P156" s="4"/>
      <c r="Q156" s="4"/>
      <c r="R156" s="4"/>
      <c r="S156" s="4"/>
      <c r="T156" s="4"/>
      <c r="U156" s="4"/>
      <c r="V156" s="4"/>
      <c r="W156" s="242"/>
      <c r="X156" s="4"/>
      <c r="Y156" s="4"/>
      <c r="Z156" s="4"/>
    </row>
    <row r="157" ht="13.5" customHeight="1" spans="1:26" x14ac:dyDescent="0.25">
      <c r="A157" s="4"/>
      <c r="B157" s="4"/>
      <c r="C157" s="4"/>
      <c r="D157" s="4"/>
      <c r="E157" s="4"/>
      <c r="F157" s="4"/>
      <c r="G157" s="4"/>
      <c r="H157" s="4"/>
      <c r="I157" s="4"/>
      <c r="J157" s="4"/>
      <c r="K157" s="4"/>
      <c r="L157" s="4"/>
      <c r="M157" s="4"/>
      <c r="N157" s="4"/>
      <c r="O157" s="4"/>
      <c r="P157" s="4"/>
      <c r="Q157" s="4"/>
      <c r="R157" s="4"/>
      <c r="S157" s="4"/>
      <c r="T157" s="4"/>
      <c r="U157" s="4"/>
      <c r="V157" s="4"/>
      <c r="W157" s="242"/>
      <c r="X157" s="4"/>
      <c r="Y157" s="4"/>
      <c r="Z157" s="4"/>
    </row>
    <row r="158" ht="13.5" customHeight="1" spans="1:26" x14ac:dyDescent="0.25">
      <c r="A158" s="4"/>
      <c r="B158" s="4"/>
      <c r="C158" s="4"/>
      <c r="D158" s="4"/>
      <c r="E158" s="4"/>
      <c r="F158" s="4"/>
      <c r="G158" s="4"/>
      <c r="H158" s="4"/>
      <c r="I158" s="4"/>
      <c r="J158" s="4"/>
      <c r="K158" s="4"/>
      <c r="L158" s="4"/>
      <c r="M158" s="4"/>
      <c r="N158" s="4"/>
      <c r="O158" s="4"/>
      <c r="P158" s="4"/>
      <c r="Q158" s="4"/>
      <c r="R158" s="4"/>
      <c r="S158" s="4"/>
      <c r="T158" s="4"/>
      <c r="U158" s="4"/>
      <c r="V158" s="4"/>
      <c r="W158" s="242"/>
      <c r="X158" s="4"/>
      <c r="Y158" s="4"/>
      <c r="Z158" s="4"/>
    </row>
    <row r="159" ht="13.5" customHeight="1" spans="1:26" x14ac:dyDescent="0.25">
      <c r="A159" s="4"/>
      <c r="B159" s="4"/>
      <c r="C159" s="4"/>
      <c r="D159" s="4"/>
      <c r="E159" s="4"/>
      <c r="F159" s="4"/>
      <c r="G159" s="4"/>
      <c r="H159" s="4"/>
      <c r="I159" s="4"/>
      <c r="J159" s="4"/>
      <c r="K159" s="4"/>
      <c r="L159" s="4"/>
      <c r="M159" s="4"/>
      <c r="N159" s="4"/>
      <c r="O159" s="4"/>
      <c r="P159" s="4"/>
      <c r="Q159" s="4"/>
      <c r="R159" s="4"/>
      <c r="S159" s="4"/>
      <c r="T159" s="4"/>
      <c r="U159" s="4"/>
      <c r="V159" s="4"/>
      <c r="W159" s="242"/>
      <c r="X159" s="4"/>
      <c r="Y159" s="4"/>
      <c r="Z159" s="4"/>
    </row>
    <row r="160" ht="13.5" customHeight="1" spans="1:26" x14ac:dyDescent="0.25">
      <c r="A160" s="4"/>
      <c r="B160" s="4"/>
      <c r="C160" s="4"/>
      <c r="D160" s="4"/>
      <c r="E160" s="4"/>
      <c r="F160" s="4"/>
      <c r="G160" s="4"/>
      <c r="H160" s="4"/>
      <c r="I160" s="4"/>
      <c r="J160" s="4"/>
      <c r="K160" s="4"/>
      <c r="L160" s="4"/>
      <c r="M160" s="4"/>
      <c r="N160" s="4"/>
      <c r="O160" s="4"/>
      <c r="P160" s="4"/>
      <c r="Q160" s="4"/>
      <c r="R160" s="4"/>
      <c r="S160" s="4"/>
      <c r="T160" s="4"/>
      <c r="U160" s="4"/>
      <c r="V160" s="4"/>
      <c r="W160" s="242"/>
      <c r="X160" s="4"/>
      <c r="Y160" s="4"/>
      <c r="Z160" s="4"/>
    </row>
    <row r="161" ht="13.5" customHeight="1" spans="1:26" x14ac:dyDescent="0.25">
      <c r="A161" s="4"/>
      <c r="B161" s="4"/>
      <c r="C161" s="4"/>
      <c r="D161" s="4"/>
      <c r="E161" s="4"/>
      <c r="F161" s="4"/>
      <c r="G161" s="4"/>
      <c r="H161" s="4"/>
      <c r="I161" s="4"/>
      <c r="J161" s="4"/>
      <c r="K161" s="4"/>
      <c r="L161" s="4"/>
      <c r="M161" s="4"/>
      <c r="N161" s="4"/>
      <c r="O161" s="4"/>
      <c r="P161" s="4"/>
      <c r="Q161" s="4"/>
      <c r="R161" s="4"/>
      <c r="S161" s="4"/>
      <c r="T161" s="4"/>
      <c r="U161" s="4"/>
      <c r="V161" s="4"/>
      <c r="W161" s="242"/>
      <c r="X161" s="4"/>
      <c r="Y161" s="4"/>
      <c r="Z161" s="4"/>
    </row>
    <row r="162" ht="13.5" customHeight="1" spans="1:26" x14ac:dyDescent="0.25">
      <c r="A162" s="4"/>
      <c r="B162" s="4"/>
      <c r="C162" s="4"/>
      <c r="D162" s="4"/>
      <c r="E162" s="4"/>
      <c r="F162" s="4"/>
      <c r="G162" s="4"/>
      <c r="H162" s="4"/>
      <c r="I162" s="4"/>
      <c r="J162" s="4"/>
      <c r="K162" s="4"/>
      <c r="L162" s="4"/>
      <c r="M162" s="4"/>
      <c r="N162" s="4"/>
      <c r="O162" s="4"/>
      <c r="P162" s="4"/>
      <c r="Q162" s="4"/>
      <c r="R162" s="4"/>
      <c r="S162" s="4"/>
      <c r="T162" s="4"/>
      <c r="U162" s="4"/>
      <c r="V162" s="4"/>
      <c r="W162" s="242"/>
      <c r="X162" s="4"/>
      <c r="Y162" s="4"/>
      <c r="Z162" s="4"/>
    </row>
    <row r="163" ht="13.5" customHeight="1" spans="1:26" x14ac:dyDescent="0.25">
      <c r="A163" s="4"/>
      <c r="B163" s="4"/>
      <c r="C163" s="4"/>
      <c r="D163" s="4"/>
      <c r="E163" s="4"/>
      <c r="F163" s="4"/>
      <c r="G163" s="4"/>
      <c r="H163" s="4"/>
      <c r="I163" s="4"/>
      <c r="J163" s="4"/>
      <c r="K163" s="4"/>
      <c r="L163" s="4"/>
      <c r="M163" s="4"/>
      <c r="N163" s="4"/>
      <c r="O163" s="4"/>
      <c r="P163" s="4"/>
      <c r="Q163" s="4"/>
      <c r="R163" s="4"/>
      <c r="S163" s="4"/>
      <c r="T163" s="4"/>
      <c r="U163" s="4"/>
      <c r="V163" s="4"/>
      <c r="W163" s="242"/>
      <c r="X163" s="4"/>
      <c r="Y163" s="4"/>
      <c r="Z163" s="4"/>
    </row>
    <row r="164" ht="13.5" customHeight="1" spans="1:26" x14ac:dyDescent="0.25">
      <c r="A164" s="4"/>
      <c r="B164" s="4"/>
      <c r="C164" s="4"/>
      <c r="D164" s="4"/>
      <c r="E164" s="4"/>
      <c r="F164" s="4"/>
      <c r="G164" s="4"/>
      <c r="H164" s="4"/>
      <c r="I164" s="4"/>
      <c r="J164" s="4"/>
      <c r="K164" s="4"/>
      <c r="L164" s="4"/>
      <c r="M164" s="4"/>
      <c r="N164" s="4"/>
      <c r="O164" s="4"/>
      <c r="P164" s="4"/>
      <c r="Q164" s="4"/>
      <c r="R164" s="4"/>
      <c r="S164" s="4"/>
      <c r="T164" s="4"/>
      <c r="U164" s="4"/>
      <c r="V164" s="4"/>
      <c r="W164" s="242"/>
      <c r="X164" s="4"/>
      <c r="Y164" s="4"/>
      <c r="Z164" s="4"/>
    </row>
    <row r="165" ht="13.5" customHeight="1" spans="1:26" x14ac:dyDescent="0.25">
      <c r="A165" s="4"/>
      <c r="B165" s="4"/>
      <c r="C165" s="4"/>
      <c r="D165" s="4"/>
      <c r="E165" s="4"/>
      <c r="F165" s="4"/>
      <c r="G165" s="4"/>
      <c r="H165" s="4"/>
      <c r="I165" s="4"/>
      <c r="J165" s="4"/>
      <c r="K165" s="4"/>
      <c r="L165" s="4"/>
      <c r="M165" s="4"/>
      <c r="N165" s="4"/>
      <c r="O165" s="4"/>
      <c r="P165" s="4"/>
      <c r="Q165" s="4"/>
      <c r="R165" s="4"/>
      <c r="S165" s="4"/>
      <c r="T165" s="4"/>
      <c r="U165" s="4"/>
      <c r="V165" s="4"/>
      <c r="W165" s="242"/>
      <c r="X165" s="4"/>
      <c r="Y165" s="4"/>
      <c r="Z165" s="4"/>
    </row>
    <row r="166" ht="13.5" customHeight="1" spans="1:26" x14ac:dyDescent="0.25">
      <c r="A166" s="4"/>
      <c r="B166" s="4"/>
      <c r="C166" s="4"/>
      <c r="D166" s="4"/>
      <c r="E166" s="4"/>
      <c r="F166" s="4"/>
      <c r="G166" s="4"/>
      <c r="H166" s="4"/>
      <c r="I166" s="4"/>
      <c r="J166" s="4"/>
      <c r="K166" s="4"/>
      <c r="L166" s="4"/>
      <c r="M166" s="4"/>
      <c r="N166" s="4"/>
      <c r="O166" s="4"/>
      <c r="P166" s="4"/>
      <c r="Q166" s="4"/>
      <c r="R166" s="4"/>
      <c r="S166" s="4"/>
      <c r="T166" s="4"/>
      <c r="U166" s="4"/>
      <c r="V166" s="4"/>
      <c r="W166" s="242"/>
      <c r="X166" s="4"/>
      <c r="Y166" s="4"/>
      <c r="Z166" s="4"/>
    </row>
    <row r="167" ht="13.5" customHeight="1" spans="1:26" x14ac:dyDescent="0.25">
      <c r="A167" s="4"/>
      <c r="B167" s="4"/>
      <c r="C167" s="4"/>
      <c r="D167" s="4"/>
      <c r="E167" s="4"/>
      <c r="F167" s="4"/>
      <c r="G167" s="4"/>
      <c r="H167" s="4"/>
      <c r="I167" s="4"/>
      <c r="J167" s="4"/>
      <c r="K167" s="4"/>
      <c r="L167" s="4"/>
      <c r="M167" s="4"/>
      <c r="N167" s="4"/>
      <c r="O167" s="4"/>
      <c r="P167" s="4"/>
      <c r="Q167" s="4"/>
      <c r="R167" s="4"/>
      <c r="S167" s="4"/>
      <c r="T167" s="4"/>
      <c r="U167" s="4"/>
      <c r="V167" s="4"/>
      <c r="W167" s="242"/>
      <c r="X167" s="4"/>
      <c r="Y167" s="4"/>
      <c r="Z167" s="4"/>
    </row>
    <row r="168" ht="13.5" customHeight="1" spans="1:26" x14ac:dyDescent="0.25">
      <c r="A168" s="4"/>
      <c r="B168" s="4"/>
      <c r="C168" s="4"/>
      <c r="D168" s="4"/>
      <c r="E168" s="4"/>
      <c r="F168" s="4"/>
      <c r="G168" s="4"/>
      <c r="H168" s="4"/>
      <c r="I168" s="4"/>
      <c r="J168" s="4"/>
      <c r="K168" s="4"/>
      <c r="L168" s="4"/>
      <c r="M168" s="4"/>
      <c r="N168" s="4"/>
      <c r="O168" s="4"/>
      <c r="P168" s="4"/>
      <c r="Q168" s="4"/>
      <c r="R168" s="4"/>
      <c r="S168" s="4"/>
      <c r="T168" s="4"/>
      <c r="U168" s="4"/>
      <c r="V168" s="4"/>
      <c r="W168" s="242"/>
      <c r="X168" s="4"/>
      <c r="Y168" s="4"/>
      <c r="Z168" s="4"/>
    </row>
    <row r="169" ht="13.5" customHeight="1" spans="1:26" x14ac:dyDescent="0.25">
      <c r="A169" s="4"/>
      <c r="B169" s="4"/>
      <c r="C169" s="4"/>
      <c r="D169" s="4"/>
      <c r="E169" s="4"/>
      <c r="F169" s="4"/>
      <c r="G169" s="4"/>
      <c r="H169" s="4"/>
      <c r="I169" s="4"/>
      <c r="J169" s="4"/>
      <c r="K169" s="4"/>
      <c r="L169" s="4"/>
      <c r="M169" s="4"/>
      <c r="N169" s="4"/>
      <c r="O169" s="4"/>
      <c r="P169" s="4"/>
      <c r="Q169" s="4"/>
      <c r="R169" s="4"/>
      <c r="S169" s="4"/>
      <c r="T169" s="4"/>
      <c r="U169" s="4"/>
      <c r="V169" s="4"/>
      <c r="W169" s="242"/>
      <c r="X169" s="4"/>
      <c r="Y169" s="4"/>
      <c r="Z169" s="4"/>
    </row>
    <row r="170" ht="13.5" customHeight="1" spans="1:26" x14ac:dyDescent="0.25">
      <c r="A170" s="4"/>
      <c r="B170" s="4"/>
      <c r="C170" s="4"/>
      <c r="D170" s="4"/>
      <c r="E170" s="4"/>
      <c r="F170" s="4"/>
      <c r="G170" s="4"/>
      <c r="H170" s="4"/>
      <c r="I170" s="4"/>
      <c r="J170" s="4"/>
      <c r="K170" s="4"/>
      <c r="L170" s="4"/>
      <c r="M170" s="4"/>
      <c r="N170" s="4"/>
      <c r="O170" s="4"/>
      <c r="P170" s="4"/>
      <c r="Q170" s="4"/>
      <c r="R170" s="4"/>
      <c r="S170" s="4"/>
      <c r="T170" s="4"/>
      <c r="U170" s="4"/>
      <c r="V170" s="4"/>
      <c r="W170" s="242"/>
      <c r="X170" s="4"/>
      <c r="Y170" s="4"/>
      <c r="Z170" s="4"/>
    </row>
    <row r="171" ht="13.5" customHeight="1" spans="1:26" x14ac:dyDescent="0.25">
      <c r="A171" s="4"/>
      <c r="B171" s="4"/>
      <c r="C171" s="4"/>
      <c r="D171" s="4"/>
      <c r="E171" s="4"/>
      <c r="F171" s="4"/>
      <c r="G171" s="4"/>
      <c r="H171" s="4"/>
      <c r="I171" s="4"/>
      <c r="J171" s="4"/>
      <c r="K171" s="4"/>
      <c r="L171" s="4"/>
      <c r="M171" s="4"/>
      <c r="N171" s="4"/>
      <c r="O171" s="4"/>
      <c r="P171" s="4"/>
      <c r="Q171" s="4"/>
      <c r="R171" s="4"/>
      <c r="S171" s="4"/>
      <c r="T171" s="4"/>
      <c r="U171" s="4"/>
      <c r="V171" s="4"/>
      <c r="W171" s="242"/>
      <c r="X171" s="4"/>
      <c r="Y171" s="4"/>
      <c r="Z171" s="4"/>
    </row>
    <row r="172" ht="13.5" customHeight="1" spans="1:26" x14ac:dyDescent="0.25">
      <c r="A172" s="4"/>
      <c r="B172" s="4"/>
      <c r="C172" s="4"/>
      <c r="D172" s="4"/>
      <c r="E172" s="4"/>
      <c r="F172" s="4"/>
      <c r="G172" s="4"/>
      <c r="H172" s="4"/>
      <c r="I172" s="4"/>
      <c r="J172" s="4"/>
      <c r="K172" s="4"/>
      <c r="L172" s="4"/>
      <c r="M172" s="4"/>
      <c r="N172" s="4"/>
      <c r="O172" s="4"/>
      <c r="P172" s="4"/>
      <c r="Q172" s="4"/>
      <c r="R172" s="4"/>
      <c r="S172" s="4"/>
      <c r="T172" s="4"/>
      <c r="U172" s="4"/>
      <c r="V172" s="4"/>
      <c r="W172" s="242"/>
      <c r="X172" s="4"/>
      <c r="Y172" s="4"/>
      <c r="Z172" s="4"/>
    </row>
    <row r="173" ht="13.5" customHeight="1" spans="1:26" x14ac:dyDescent="0.25">
      <c r="A173" s="4"/>
      <c r="B173" s="4"/>
      <c r="C173" s="4"/>
      <c r="D173" s="4"/>
      <c r="E173" s="4"/>
      <c r="F173" s="4"/>
      <c r="G173" s="4"/>
      <c r="H173" s="4"/>
      <c r="I173" s="4"/>
      <c r="J173" s="4"/>
      <c r="K173" s="4"/>
      <c r="L173" s="4"/>
      <c r="M173" s="4"/>
      <c r="N173" s="4"/>
      <c r="O173" s="4"/>
      <c r="P173" s="4"/>
      <c r="Q173" s="4"/>
      <c r="R173" s="4"/>
      <c r="S173" s="4"/>
      <c r="T173" s="4"/>
      <c r="U173" s="4"/>
      <c r="V173" s="4"/>
      <c r="W173" s="242"/>
      <c r="X173" s="4"/>
      <c r="Y173" s="4"/>
      <c r="Z173" s="4"/>
    </row>
    <row r="174" ht="13.5" customHeight="1" spans="1:26" x14ac:dyDescent="0.25">
      <c r="A174" s="4"/>
      <c r="B174" s="4"/>
      <c r="C174" s="4"/>
      <c r="D174" s="4"/>
      <c r="E174" s="4"/>
      <c r="F174" s="4"/>
      <c r="G174" s="4"/>
      <c r="H174" s="4"/>
      <c r="I174" s="4"/>
      <c r="J174" s="4"/>
      <c r="K174" s="4"/>
      <c r="L174" s="4"/>
      <c r="M174" s="4"/>
      <c r="N174" s="4"/>
      <c r="O174" s="4"/>
      <c r="P174" s="4"/>
      <c r="Q174" s="4"/>
      <c r="R174" s="4"/>
      <c r="S174" s="4"/>
      <c r="T174" s="4"/>
      <c r="U174" s="4"/>
      <c r="V174" s="4"/>
      <c r="W174" s="242"/>
      <c r="X174" s="4"/>
      <c r="Y174" s="4"/>
      <c r="Z174" s="4"/>
    </row>
    <row r="175" ht="13.5" customHeight="1" spans="1:26" x14ac:dyDescent="0.25">
      <c r="A175" s="4"/>
      <c r="B175" s="4"/>
      <c r="C175" s="4"/>
      <c r="D175" s="4"/>
      <c r="E175" s="4"/>
      <c r="F175" s="4"/>
      <c r="G175" s="4"/>
      <c r="H175" s="4"/>
      <c r="I175" s="4"/>
      <c r="J175" s="4"/>
      <c r="K175" s="4"/>
      <c r="L175" s="4"/>
      <c r="M175" s="4"/>
      <c r="N175" s="4"/>
      <c r="O175" s="4"/>
      <c r="P175" s="4"/>
      <c r="Q175" s="4"/>
      <c r="R175" s="4"/>
      <c r="S175" s="4"/>
      <c r="T175" s="4"/>
      <c r="U175" s="4"/>
      <c r="V175" s="4"/>
      <c r="W175" s="242"/>
      <c r="X175" s="4"/>
      <c r="Y175" s="4"/>
      <c r="Z175" s="4"/>
    </row>
    <row r="176" ht="13.5" customHeight="1" spans="1:26" x14ac:dyDescent="0.25">
      <c r="A176" s="4"/>
      <c r="B176" s="4"/>
      <c r="C176" s="4"/>
      <c r="D176" s="4"/>
      <c r="E176" s="4"/>
      <c r="F176" s="4"/>
      <c r="G176" s="4"/>
      <c r="H176" s="4"/>
      <c r="I176" s="4"/>
      <c r="J176" s="4"/>
      <c r="K176" s="4"/>
      <c r="L176" s="4"/>
      <c r="M176" s="4"/>
      <c r="N176" s="4"/>
      <c r="O176" s="4"/>
      <c r="P176" s="4"/>
      <c r="Q176" s="4"/>
      <c r="R176" s="4"/>
      <c r="S176" s="4"/>
      <c r="T176" s="4"/>
      <c r="U176" s="4"/>
      <c r="V176" s="4"/>
      <c r="W176" s="242"/>
      <c r="X176" s="4"/>
      <c r="Y176" s="4"/>
      <c r="Z176" s="4"/>
    </row>
    <row r="177" ht="13.5" customHeight="1" spans="1:26" x14ac:dyDescent="0.25">
      <c r="A177" s="4"/>
      <c r="B177" s="4"/>
      <c r="C177" s="4"/>
      <c r="D177" s="4"/>
      <c r="E177" s="4"/>
      <c r="F177" s="4"/>
      <c r="G177" s="4"/>
      <c r="H177" s="4"/>
      <c r="I177" s="4"/>
      <c r="J177" s="4"/>
      <c r="K177" s="4"/>
      <c r="L177" s="4"/>
      <c r="M177" s="4"/>
      <c r="N177" s="4"/>
      <c r="O177" s="4"/>
      <c r="P177" s="4"/>
      <c r="Q177" s="4"/>
      <c r="R177" s="4"/>
      <c r="S177" s="4"/>
      <c r="T177" s="4"/>
      <c r="U177" s="4"/>
      <c r="V177" s="4"/>
      <c r="W177" s="242"/>
      <c r="X177" s="4"/>
      <c r="Y177" s="4"/>
      <c r="Z177" s="4"/>
    </row>
    <row r="178" ht="13.5" customHeight="1" spans="1:26" x14ac:dyDescent="0.25">
      <c r="A178" s="4"/>
      <c r="B178" s="4"/>
      <c r="C178" s="4"/>
      <c r="D178" s="4"/>
      <c r="E178" s="4"/>
      <c r="F178" s="4"/>
      <c r="G178" s="4"/>
      <c r="H178" s="4"/>
      <c r="I178" s="4"/>
      <c r="J178" s="4"/>
      <c r="K178" s="4"/>
      <c r="L178" s="4"/>
      <c r="M178" s="4"/>
      <c r="N178" s="4"/>
      <c r="O178" s="4"/>
      <c r="P178" s="4"/>
      <c r="Q178" s="4"/>
      <c r="R178" s="4"/>
      <c r="S178" s="4"/>
      <c r="T178" s="4"/>
      <c r="U178" s="4"/>
      <c r="V178" s="4"/>
      <c r="W178" s="242"/>
      <c r="X178" s="4"/>
      <c r="Y178" s="4"/>
      <c r="Z178" s="4"/>
    </row>
    <row r="179" ht="13.5" customHeight="1" spans="1:26" x14ac:dyDescent="0.25">
      <c r="A179" s="4"/>
      <c r="B179" s="4"/>
      <c r="C179" s="4"/>
      <c r="D179" s="4"/>
      <c r="E179" s="4"/>
      <c r="F179" s="4"/>
      <c r="G179" s="4"/>
      <c r="H179" s="4"/>
      <c r="I179" s="4"/>
      <c r="J179" s="4"/>
      <c r="K179" s="4"/>
      <c r="L179" s="4"/>
      <c r="M179" s="4"/>
      <c r="N179" s="4"/>
      <c r="O179" s="4"/>
      <c r="P179" s="4"/>
      <c r="Q179" s="4"/>
      <c r="R179" s="4"/>
      <c r="S179" s="4"/>
      <c r="T179" s="4"/>
      <c r="U179" s="4"/>
      <c r="V179" s="4"/>
      <c r="W179" s="242"/>
      <c r="X179" s="4"/>
      <c r="Y179" s="4"/>
      <c r="Z179" s="4"/>
    </row>
    <row r="180" ht="13.5" customHeight="1" spans="1:26" x14ac:dyDescent="0.25">
      <c r="A180" s="4"/>
      <c r="B180" s="4"/>
      <c r="C180" s="4"/>
      <c r="D180" s="4"/>
      <c r="E180" s="4"/>
      <c r="F180" s="4"/>
      <c r="G180" s="4"/>
      <c r="H180" s="4"/>
      <c r="I180" s="4"/>
      <c r="J180" s="4"/>
      <c r="K180" s="4"/>
      <c r="L180" s="4"/>
      <c r="M180" s="4"/>
      <c r="N180" s="4"/>
      <c r="O180" s="4"/>
      <c r="P180" s="4"/>
      <c r="Q180" s="4"/>
      <c r="R180" s="4"/>
      <c r="S180" s="4"/>
      <c r="T180" s="4"/>
      <c r="U180" s="4"/>
      <c r="V180" s="4"/>
      <c r="W180" s="242"/>
      <c r="X180" s="4"/>
      <c r="Y180" s="4"/>
      <c r="Z180" s="4"/>
    </row>
    <row r="181" ht="13.5" customHeight="1" spans="1:26" x14ac:dyDescent="0.25">
      <c r="A181" s="4"/>
      <c r="B181" s="4"/>
      <c r="C181" s="4"/>
      <c r="D181" s="4"/>
      <c r="E181" s="4"/>
      <c r="F181" s="4"/>
      <c r="G181" s="4"/>
      <c r="H181" s="4"/>
      <c r="I181" s="4"/>
      <c r="J181" s="4"/>
      <c r="K181" s="4"/>
      <c r="L181" s="4"/>
      <c r="M181" s="4"/>
      <c r="N181" s="4"/>
      <c r="O181" s="4"/>
      <c r="P181" s="4"/>
      <c r="Q181" s="4"/>
      <c r="R181" s="4"/>
      <c r="S181" s="4"/>
      <c r="T181" s="4"/>
      <c r="U181" s="4"/>
      <c r="V181" s="4"/>
      <c r="W181" s="242"/>
      <c r="X181" s="4"/>
      <c r="Y181" s="4"/>
      <c r="Z181" s="4"/>
    </row>
    <row r="182" ht="13.5" customHeight="1" spans="1:26" x14ac:dyDescent="0.25">
      <c r="A182" s="4"/>
      <c r="B182" s="4"/>
      <c r="C182" s="4"/>
      <c r="D182" s="4"/>
      <c r="E182" s="4"/>
      <c r="F182" s="4"/>
      <c r="G182" s="4"/>
      <c r="H182" s="4"/>
      <c r="I182" s="4"/>
      <c r="J182" s="4"/>
      <c r="K182" s="4"/>
      <c r="L182" s="4"/>
      <c r="M182" s="4"/>
      <c r="N182" s="4"/>
      <c r="O182" s="4"/>
      <c r="P182" s="4"/>
      <c r="Q182" s="4"/>
      <c r="R182" s="4"/>
      <c r="S182" s="4"/>
      <c r="T182" s="4"/>
      <c r="U182" s="4"/>
      <c r="V182" s="4"/>
      <c r="W182" s="242"/>
      <c r="X182" s="4"/>
      <c r="Y182" s="4"/>
      <c r="Z182" s="4"/>
    </row>
    <row r="183" ht="13.5" customHeight="1" spans="1:26" x14ac:dyDescent="0.25">
      <c r="A183" s="4"/>
      <c r="B183" s="4"/>
      <c r="C183" s="4"/>
      <c r="D183" s="4"/>
      <c r="E183" s="4"/>
      <c r="F183" s="4"/>
      <c r="G183" s="4"/>
      <c r="H183" s="4"/>
      <c r="I183" s="4"/>
      <c r="J183" s="4"/>
      <c r="K183" s="4"/>
      <c r="L183" s="4"/>
      <c r="M183" s="4"/>
      <c r="N183" s="4"/>
      <c r="O183" s="4"/>
      <c r="P183" s="4"/>
      <c r="Q183" s="4"/>
      <c r="R183" s="4"/>
      <c r="S183" s="4"/>
      <c r="T183" s="4"/>
      <c r="U183" s="4"/>
      <c r="V183" s="4"/>
      <c r="W183" s="242"/>
      <c r="X183" s="4"/>
      <c r="Y183" s="4"/>
      <c r="Z183" s="4"/>
    </row>
    <row r="184" ht="13.5" customHeight="1" spans="1:26" x14ac:dyDescent="0.25">
      <c r="A184" s="4"/>
      <c r="B184" s="4"/>
      <c r="C184" s="4"/>
      <c r="D184" s="4"/>
      <c r="E184" s="4"/>
      <c r="F184" s="4"/>
      <c r="G184" s="4"/>
      <c r="H184" s="4"/>
      <c r="I184" s="4"/>
      <c r="J184" s="4"/>
      <c r="K184" s="4"/>
      <c r="L184" s="4"/>
      <c r="M184" s="4"/>
      <c r="N184" s="4"/>
      <c r="O184" s="4"/>
      <c r="P184" s="4"/>
      <c r="Q184" s="4"/>
      <c r="R184" s="4"/>
      <c r="S184" s="4"/>
      <c r="T184" s="4"/>
      <c r="U184" s="4"/>
      <c r="V184" s="4"/>
      <c r="W184" s="242"/>
      <c r="X184" s="4"/>
      <c r="Y184" s="4"/>
      <c r="Z184" s="4"/>
    </row>
    <row r="185" ht="13.5" customHeight="1" spans="1:26" x14ac:dyDescent="0.25">
      <c r="A185" s="4"/>
      <c r="B185" s="4"/>
      <c r="C185" s="4"/>
      <c r="D185" s="4"/>
      <c r="E185" s="4"/>
      <c r="F185" s="4"/>
      <c r="G185" s="4"/>
      <c r="H185" s="4"/>
      <c r="I185" s="4"/>
      <c r="J185" s="4"/>
      <c r="K185" s="4"/>
      <c r="L185" s="4"/>
      <c r="M185" s="4"/>
      <c r="N185" s="4"/>
      <c r="O185" s="4"/>
      <c r="P185" s="4"/>
      <c r="Q185" s="4"/>
      <c r="R185" s="4"/>
      <c r="S185" s="4"/>
      <c r="T185" s="4"/>
      <c r="U185" s="4"/>
      <c r="V185" s="4"/>
      <c r="W185" s="242"/>
      <c r="X185" s="4"/>
      <c r="Y185" s="4"/>
      <c r="Z185" s="4"/>
    </row>
    <row r="186" ht="13.5" customHeight="1" spans="1:26" x14ac:dyDescent="0.25">
      <c r="A186" s="4"/>
      <c r="B186" s="4"/>
      <c r="C186" s="4"/>
      <c r="D186" s="4"/>
      <c r="E186" s="4"/>
      <c r="F186" s="4"/>
      <c r="G186" s="4"/>
      <c r="H186" s="4"/>
      <c r="I186" s="4"/>
      <c r="J186" s="4"/>
      <c r="K186" s="4"/>
      <c r="L186" s="4"/>
      <c r="M186" s="4"/>
      <c r="N186" s="4"/>
      <c r="O186" s="4"/>
      <c r="P186" s="4"/>
      <c r="Q186" s="4"/>
      <c r="R186" s="4"/>
      <c r="S186" s="4"/>
      <c r="T186" s="4"/>
      <c r="U186" s="4"/>
      <c r="V186" s="4"/>
      <c r="W186" s="242"/>
      <c r="X186" s="4"/>
      <c r="Y186" s="4"/>
      <c r="Z186" s="4"/>
    </row>
    <row r="187" ht="13.5" customHeight="1" spans="1:26" x14ac:dyDescent="0.25">
      <c r="A187" s="4"/>
      <c r="B187" s="4"/>
      <c r="C187" s="4"/>
      <c r="D187" s="4"/>
      <c r="E187" s="4"/>
      <c r="F187" s="4"/>
      <c r="G187" s="4"/>
      <c r="H187" s="4"/>
      <c r="I187" s="4"/>
      <c r="J187" s="4"/>
      <c r="K187" s="4"/>
      <c r="L187" s="4"/>
      <c r="M187" s="4"/>
      <c r="N187" s="4"/>
      <c r="O187" s="4"/>
      <c r="P187" s="4"/>
      <c r="Q187" s="4"/>
      <c r="R187" s="4"/>
      <c r="S187" s="4"/>
      <c r="T187" s="4"/>
      <c r="U187" s="4"/>
      <c r="V187" s="4"/>
      <c r="W187" s="242"/>
      <c r="X187" s="4"/>
      <c r="Y187" s="4"/>
      <c r="Z187" s="4"/>
    </row>
    <row r="188" ht="13.5" customHeight="1" spans="1:26" x14ac:dyDescent="0.25">
      <c r="A188" s="4"/>
      <c r="B188" s="4"/>
      <c r="C188" s="4"/>
      <c r="D188" s="4"/>
      <c r="E188" s="4"/>
      <c r="F188" s="4"/>
      <c r="G188" s="4"/>
      <c r="H188" s="4"/>
      <c r="I188" s="4"/>
      <c r="J188" s="4"/>
      <c r="K188" s="4"/>
      <c r="L188" s="4"/>
      <c r="M188" s="4"/>
      <c r="N188" s="4"/>
      <c r="O188" s="4"/>
      <c r="P188" s="4"/>
      <c r="Q188" s="4"/>
      <c r="R188" s="4"/>
      <c r="S188" s="4"/>
      <c r="T188" s="4"/>
      <c r="U188" s="4"/>
      <c r="V188" s="4"/>
      <c r="W188" s="242"/>
      <c r="X188" s="4"/>
      <c r="Y188" s="4"/>
      <c r="Z188" s="4"/>
    </row>
    <row r="189" ht="13.5" customHeight="1" spans="1:26" x14ac:dyDescent="0.25">
      <c r="A189" s="4"/>
      <c r="B189" s="4"/>
      <c r="C189" s="4"/>
      <c r="D189" s="4"/>
      <c r="E189" s="4"/>
      <c r="F189" s="4"/>
      <c r="G189" s="4"/>
      <c r="H189" s="4"/>
      <c r="I189" s="4"/>
      <c r="J189" s="4"/>
      <c r="K189" s="4"/>
      <c r="L189" s="4"/>
      <c r="M189" s="4"/>
      <c r="N189" s="4"/>
      <c r="O189" s="4"/>
      <c r="P189" s="4"/>
      <c r="Q189" s="4"/>
      <c r="R189" s="4"/>
      <c r="S189" s="4"/>
      <c r="T189" s="4"/>
      <c r="U189" s="4"/>
      <c r="V189" s="4"/>
      <c r="W189" s="242"/>
      <c r="X189" s="4"/>
      <c r="Y189" s="4"/>
      <c r="Z189" s="4"/>
    </row>
    <row r="190" ht="13.5" customHeight="1" spans="1:26" x14ac:dyDescent="0.25">
      <c r="A190" s="4"/>
      <c r="B190" s="4"/>
      <c r="C190" s="4"/>
      <c r="D190" s="4"/>
      <c r="E190" s="4"/>
      <c r="F190" s="4"/>
      <c r="G190" s="4"/>
      <c r="H190" s="4"/>
      <c r="I190" s="4"/>
      <c r="J190" s="4"/>
      <c r="K190" s="4"/>
      <c r="L190" s="4"/>
      <c r="M190" s="4"/>
      <c r="N190" s="4"/>
      <c r="O190" s="4"/>
      <c r="P190" s="4"/>
      <c r="Q190" s="4"/>
      <c r="R190" s="4"/>
      <c r="S190" s="4"/>
      <c r="T190" s="4"/>
      <c r="U190" s="4"/>
      <c r="V190" s="4"/>
      <c r="W190" s="242"/>
      <c r="X190" s="4"/>
      <c r="Y190" s="4"/>
      <c r="Z190" s="4"/>
    </row>
    <row r="191" ht="13.5" customHeight="1" spans="1:26" x14ac:dyDescent="0.25">
      <c r="A191" s="4"/>
      <c r="B191" s="4"/>
      <c r="C191" s="4"/>
      <c r="D191" s="4"/>
      <c r="E191" s="4"/>
      <c r="F191" s="4"/>
      <c r="G191" s="4"/>
      <c r="H191" s="4"/>
      <c r="I191" s="4"/>
      <c r="J191" s="4"/>
      <c r="K191" s="4"/>
      <c r="L191" s="4"/>
      <c r="M191" s="4"/>
      <c r="N191" s="4"/>
      <c r="O191" s="4"/>
      <c r="P191" s="4"/>
      <c r="Q191" s="4"/>
      <c r="R191" s="4"/>
      <c r="S191" s="4"/>
      <c r="T191" s="4"/>
      <c r="U191" s="4"/>
      <c r="V191" s="4"/>
      <c r="W191" s="242"/>
      <c r="X191" s="4"/>
      <c r="Y191" s="4"/>
      <c r="Z191" s="4"/>
    </row>
    <row r="192" ht="13.5" customHeight="1" spans="1:26" x14ac:dyDescent="0.25">
      <c r="A192" s="4"/>
      <c r="B192" s="4"/>
      <c r="C192" s="4"/>
      <c r="D192" s="4"/>
      <c r="E192" s="4"/>
      <c r="F192" s="4"/>
      <c r="G192" s="4"/>
      <c r="H192" s="4"/>
      <c r="I192" s="4"/>
      <c r="J192" s="4"/>
      <c r="K192" s="4"/>
      <c r="L192" s="4"/>
      <c r="M192" s="4"/>
      <c r="N192" s="4"/>
      <c r="O192" s="4"/>
      <c r="P192" s="4"/>
      <c r="Q192" s="4"/>
      <c r="R192" s="4"/>
      <c r="S192" s="4"/>
      <c r="T192" s="4"/>
      <c r="U192" s="4"/>
      <c r="V192" s="4"/>
      <c r="W192" s="242"/>
      <c r="X192" s="4"/>
      <c r="Y192" s="4"/>
      <c r="Z192" s="4"/>
    </row>
    <row r="193" ht="13.5" customHeight="1" spans="1:26" x14ac:dyDescent="0.25">
      <c r="A193" s="4"/>
      <c r="B193" s="4"/>
      <c r="C193" s="4"/>
      <c r="D193" s="4"/>
      <c r="E193" s="4"/>
      <c r="F193" s="4"/>
      <c r="G193" s="4"/>
      <c r="H193" s="4"/>
      <c r="I193" s="4"/>
      <c r="J193" s="4"/>
      <c r="K193" s="4"/>
      <c r="L193" s="4"/>
      <c r="M193" s="4"/>
      <c r="N193" s="4"/>
      <c r="O193" s="4"/>
      <c r="P193" s="4"/>
      <c r="Q193" s="4"/>
      <c r="R193" s="4"/>
      <c r="S193" s="4"/>
      <c r="T193" s="4"/>
      <c r="U193" s="4"/>
      <c r="V193" s="4"/>
      <c r="W193" s="242"/>
      <c r="X193" s="4"/>
      <c r="Y193" s="4"/>
      <c r="Z193" s="4"/>
    </row>
    <row r="194" ht="13.5" customHeight="1" spans="1:26" x14ac:dyDescent="0.25">
      <c r="A194" s="4"/>
      <c r="B194" s="4"/>
      <c r="C194" s="4"/>
      <c r="D194" s="4"/>
      <c r="E194" s="4"/>
      <c r="F194" s="4"/>
      <c r="G194" s="4"/>
      <c r="H194" s="4"/>
      <c r="I194" s="4"/>
      <c r="J194" s="4"/>
      <c r="K194" s="4"/>
      <c r="L194" s="4"/>
      <c r="M194" s="4"/>
      <c r="N194" s="4"/>
      <c r="O194" s="4"/>
      <c r="P194" s="4"/>
      <c r="Q194" s="4"/>
      <c r="R194" s="4"/>
      <c r="S194" s="4"/>
      <c r="T194" s="4"/>
      <c r="U194" s="4"/>
      <c r="V194" s="4"/>
      <c r="W194" s="242"/>
      <c r="X194" s="4"/>
      <c r="Y194" s="4"/>
      <c r="Z194" s="4"/>
    </row>
    <row r="195" ht="13.5" customHeight="1" spans="1:26" x14ac:dyDescent="0.25">
      <c r="A195" s="4"/>
      <c r="B195" s="4"/>
      <c r="C195" s="4"/>
      <c r="D195" s="4"/>
      <c r="E195" s="4"/>
      <c r="F195" s="4"/>
      <c r="G195" s="4"/>
      <c r="H195" s="4"/>
      <c r="I195" s="4"/>
      <c r="J195" s="4"/>
      <c r="K195" s="4"/>
      <c r="L195" s="4"/>
      <c r="M195" s="4"/>
      <c r="N195" s="4"/>
      <c r="O195" s="4"/>
      <c r="P195" s="4"/>
      <c r="Q195" s="4"/>
      <c r="R195" s="4"/>
      <c r="S195" s="4"/>
      <c r="T195" s="4"/>
      <c r="U195" s="4"/>
      <c r="V195" s="4"/>
      <c r="W195" s="242"/>
      <c r="X195" s="4"/>
      <c r="Y195" s="4"/>
      <c r="Z195" s="4"/>
    </row>
    <row r="196" ht="13.5" customHeight="1" spans="1:26" x14ac:dyDescent="0.25">
      <c r="A196" s="4"/>
      <c r="B196" s="4"/>
      <c r="C196" s="4"/>
      <c r="D196" s="4"/>
      <c r="E196" s="4"/>
      <c r="F196" s="4"/>
      <c r="G196" s="4"/>
      <c r="H196" s="4"/>
      <c r="I196" s="4"/>
      <c r="J196" s="4"/>
      <c r="K196" s="4"/>
      <c r="L196" s="4"/>
      <c r="M196" s="4"/>
      <c r="N196" s="4"/>
      <c r="O196" s="4"/>
      <c r="P196" s="4"/>
      <c r="Q196" s="4"/>
      <c r="R196" s="4"/>
      <c r="S196" s="4"/>
      <c r="T196" s="4"/>
      <c r="U196" s="4"/>
      <c r="V196" s="4"/>
      <c r="W196" s="242"/>
      <c r="X196" s="4"/>
      <c r="Y196" s="4"/>
      <c r="Z196" s="4"/>
    </row>
    <row r="197" ht="13.5" customHeight="1" spans="1:26" x14ac:dyDescent="0.25">
      <c r="A197" s="4"/>
      <c r="B197" s="4"/>
      <c r="C197" s="4"/>
      <c r="D197" s="4"/>
      <c r="E197" s="4"/>
      <c r="F197" s="4"/>
      <c r="G197" s="4"/>
      <c r="H197" s="4"/>
      <c r="I197" s="4"/>
      <c r="J197" s="4"/>
      <c r="K197" s="4"/>
      <c r="L197" s="4"/>
      <c r="M197" s="4"/>
      <c r="N197" s="4"/>
      <c r="O197" s="4"/>
      <c r="P197" s="4"/>
      <c r="Q197" s="4"/>
      <c r="R197" s="4"/>
      <c r="S197" s="4"/>
      <c r="T197" s="4"/>
      <c r="U197" s="4"/>
      <c r="V197" s="4"/>
      <c r="W197" s="242"/>
      <c r="X197" s="4"/>
      <c r="Y197" s="4"/>
      <c r="Z197" s="4"/>
    </row>
    <row r="198" ht="13.5" customHeight="1" spans="1:26" x14ac:dyDescent="0.25">
      <c r="A198" s="4"/>
      <c r="B198" s="4"/>
      <c r="C198" s="4"/>
      <c r="D198" s="4"/>
      <c r="E198" s="4"/>
      <c r="F198" s="4"/>
      <c r="G198" s="4"/>
      <c r="H198" s="4"/>
      <c r="I198" s="4"/>
      <c r="J198" s="4"/>
      <c r="K198" s="4"/>
      <c r="L198" s="4"/>
      <c r="M198" s="4"/>
      <c r="N198" s="4"/>
      <c r="O198" s="4"/>
      <c r="P198" s="4"/>
      <c r="Q198" s="4"/>
      <c r="R198" s="4"/>
      <c r="S198" s="4"/>
      <c r="T198" s="4"/>
      <c r="U198" s="4"/>
      <c r="V198" s="4"/>
      <c r="W198" s="242"/>
      <c r="X198" s="4"/>
      <c r="Y198" s="4"/>
      <c r="Z198" s="4"/>
    </row>
    <row r="199" ht="13.5" customHeight="1" spans="1:26" x14ac:dyDescent="0.25">
      <c r="A199" s="4"/>
      <c r="B199" s="4"/>
      <c r="C199" s="4"/>
      <c r="D199" s="4"/>
      <c r="E199" s="4"/>
      <c r="F199" s="4"/>
      <c r="G199" s="4"/>
      <c r="H199" s="4"/>
      <c r="I199" s="4"/>
      <c r="J199" s="4"/>
      <c r="K199" s="4"/>
      <c r="L199" s="4"/>
      <c r="M199" s="4"/>
      <c r="N199" s="4"/>
      <c r="O199" s="4"/>
      <c r="P199" s="4"/>
      <c r="Q199" s="4"/>
      <c r="R199" s="4"/>
      <c r="S199" s="4"/>
      <c r="T199" s="4"/>
      <c r="U199" s="4"/>
      <c r="V199" s="4"/>
      <c r="W199" s="242"/>
      <c r="X199" s="4"/>
      <c r="Y199" s="4"/>
      <c r="Z199" s="4"/>
    </row>
    <row r="200" ht="13.5" customHeight="1" spans="1:26" x14ac:dyDescent="0.25">
      <c r="A200" s="4"/>
      <c r="B200" s="4"/>
      <c r="C200" s="4"/>
      <c r="D200" s="4"/>
      <c r="E200" s="4"/>
      <c r="F200" s="4"/>
      <c r="G200" s="4"/>
      <c r="H200" s="4"/>
      <c r="I200" s="4"/>
      <c r="J200" s="4"/>
      <c r="K200" s="4"/>
      <c r="L200" s="4"/>
      <c r="M200" s="4"/>
      <c r="N200" s="4"/>
      <c r="O200" s="4"/>
      <c r="P200" s="4"/>
      <c r="Q200" s="4"/>
      <c r="R200" s="4"/>
      <c r="S200" s="4"/>
      <c r="T200" s="4"/>
      <c r="U200" s="4"/>
      <c r="V200" s="4"/>
      <c r="W200" s="242"/>
      <c r="X200" s="4"/>
      <c r="Y200" s="4"/>
      <c r="Z200" s="4"/>
    </row>
    <row r="201" ht="13.5" customHeight="1" spans="1:26" x14ac:dyDescent="0.25">
      <c r="A201" s="4"/>
      <c r="B201" s="4"/>
      <c r="C201" s="4"/>
      <c r="D201" s="4"/>
      <c r="E201" s="4"/>
      <c r="F201" s="4"/>
      <c r="G201" s="4"/>
      <c r="H201" s="4"/>
      <c r="I201" s="4"/>
      <c r="J201" s="4"/>
      <c r="K201" s="4"/>
      <c r="L201" s="4"/>
      <c r="M201" s="4"/>
      <c r="N201" s="4"/>
      <c r="O201" s="4"/>
      <c r="P201" s="4"/>
      <c r="Q201" s="4"/>
      <c r="R201" s="4"/>
      <c r="S201" s="4"/>
      <c r="T201" s="4"/>
      <c r="U201" s="4"/>
      <c r="V201" s="4"/>
      <c r="W201" s="242"/>
      <c r="X201" s="4"/>
      <c r="Y201" s="4"/>
      <c r="Z201" s="4"/>
    </row>
    <row r="202" ht="13.5" customHeight="1" spans="1:26" x14ac:dyDescent="0.25">
      <c r="A202" s="4"/>
      <c r="B202" s="4"/>
      <c r="C202" s="4"/>
      <c r="D202" s="4"/>
      <c r="E202" s="4"/>
      <c r="F202" s="4"/>
      <c r="G202" s="4"/>
      <c r="H202" s="4"/>
      <c r="I202" s="4"/>
      <c r="J202" s="4"/>
      <c r="K202" s="4"/>
      <c r="L202" s="4"/>
      <c r="M202" s="4"/>
      <c r="N202" s="4"/>
      <c r="O202" s="4"/>
      <c r="P202" s="4"/>
      <c r="Q202" s="4"/>
      <c r="R202" s="4"/>
      <c r="S202" s="4"/>
      <c r="T202" s="4"/>
      <c r="U202" s="4"/>
      <c r="V202" s="4"/>
      <c r="W202" s="242"/>
      <c r="X202" s="4"/>
      <c r="Y202" s="4"/>
      <c r="Z202" s="4"/>
    </row>
    <row r="203" ht="13.5" customHeight="1" spans="1:26" x14ac:dyDescent="0.25">
      <c r="A203" s="4"/>
      <c r="B203" s="4"/>
      <c r="C203" s="4"/>
      <c r="D203" s="4"/>
      <c r="E203" s="4"/>
      <c r="F203" s="4"/>
      <c r="G203" s="4"/>
      <c r="H203" s="4"/>
      <c r="I203" s="4"/>
      <c r="J203" s="4"/>
      <c r="K203" s="4"/>
      <c r="L203" s="4"/>
      <c r="M203" s="4"/>
      <c r="N203" s="4"/>
      <c r="O203" s="4"/>
      <c r="P203" s="4"/>
      <c r="Q203" s="4"/>
      <c r="R203" s="4"/>
      <c r="S203" s="4"/>
      <c r="T203" s="4"/>
      <c r="U203" s="4"/>
      <c r="V203" s="4"/>
      <c r="W203" s="242"/>
      <c r="X203" s="4"/>
      <c r="Y203" s="4"/>
      <c r="Z203" s="4"/>
    </row>
    <row r="204" ht="13.5" customHeight="1" spans="1:26" x14ac:dyDescent="0.25">
      <c r="A204" s="4"/>
      <c r="B204" s="4"/>
      <c r="C204" s="4"/>
      <c r="D204" s="4"/>
      <c r="E204" s="4"/>
      <c r="F204" s="4"/>
      <c r="G204" s="4"/>
      <c r="H204" s="4"/>
      <c r="I204" s="4"/>
      <c r="J204" s="4"/>
      <c r="K204" s="4"/>
      <c r="L204" s="4"/>
      <c r="M204" s="4"/>
      <c r="N204" s="4"/>
      <c r="O204" s="4"/>
      <c r="P204" s="4"/>
      <c r="Q204" s="4"/>
      <c r="R204" s="4"/>
      <c r="S204" s="4"/>
      <c r="T204" s="4"/>
      <c r="U204" s="4"/>
      <c r="V204" s="4"/>
      <c r="W204" s="242"/>
      <c r="X204" s="4"/>
      <c r="Y204" s="4"/>
      <c r="Z204" s="4"/>
    </row>
    <row r="205" ht="13.5" customHeight="1" spans="1:26" x14ac:dyDescent="0.25">
      <c r="A205" s="4"/>
      <c r="B205" s="4"/>
      <c r="C205" s="4"/>
      <c r="D205" s="4"/>
      <c r="E205" s="4"/>
      <c r="F205" s="4"/>
      <c r="G205" s="4"/>
      <c r="H205" s="4"/>
      <c r="I205" s="4"/>
      <c r="J205" s="4"/>
      <c r="K205" s="4"/>
      <c r="L205" s="4"/>
      <c r="M205" s="4"/>
      <c r="N205" s="4"/>
      <c r="O205" s="4"/>
      <c r="P205" s="4"/>
      <c r="Q205" s="4"/>
      <c r="R205" s="4"/>
      <c r="S205" s="4"/>
      <c r="T205" s="4"/>
      <c r="U205" s="4"/>
      <c r="V205" s="4"/>
      <c r="W205" s="242"/>
      <c r="X205" s="4"/>
      <c r="Y205" s="4"/>
      <c r="Z205" s="4"/>
    </row>
    <row r="206" ht="13.5" customHeight="1" spans="1:26" x14ac:dyDescent="0.25">
      <c r="A206" s="4"/>
      <c r="B206" s="4"/>
      <c r="C206" s="4"/>
      <c r="D206" s="4"/>
      <c r="E206" s="4"/>
      <c r="F206" s="4"/>
      <c r="G206" s="4"/>
      <c r="H206" s="4"/>
      <c r="I206" s="4"/>
      <c r="J206" s="4"/>
      <c r="K206" s="4"/>
      <c r="L206" s="4"/>
      <c r="M206" s="4"/>
      <c r="N206" s="4"/>
      <c r="O206" s="4"/>
      <c r="P206" s="4"/>
      <c r="Q206" s="4"/>
      <c r="R206" s="4"/>
      <c r="S206" s="4"/>
      <c r="T206" s="4"/>
      <c r="U206" s="4"/>
      <c r="V206" s="4"/>
      <c r="W206" s="242"/>
      <c r="X206" s="4"/>
      <c r="Y206" s="4"/>
      <c r="Z206" s="4"/>
    </row>
    <row r="207" ht="13.5" customHeight="1" spans="1:26" x14ac:dyDescent="0.25">
      <c r="A207" s="4"/>
      <c r="B207" s="4"/>
      <c r="C207" s="4"/>
      <c r="D207" s="4"/>
      <c r="E207" s="4"/>
      <c r="F207" s="4"/>
      <c r="G207" s="4"/>
      <c r="H207" s="4"/>
      <c r="I207" s="4"/>
      <c r="J207" s="4"/>
      <c r="K207" s="4"/>
      <c r="L207" s="4"/>
      <c r="M207" s="4"/>
      <c r="N207" s="4"/>
      <c r="O207" s="4"/>
      <c r="P207" s="4"/>
      <c r="Q207" s="4"/>
      <c r="R207" s="4"/>
      <c r="S207" s="4"/>
      <c r="T207" s="4"/>
      <c r="U207" s="4"/>
      <c r="V207" s="4"/>
      <c r="W207" s="242"/>
      <c r="X207" s="4"/>
      <c r="Y207" s="4"/>
      <c r="Z207" s="4"/>
    </row>
    <row r="208" ht="13.5" customHeight="1" spans="1:26" x14ac:dyDescent="0.25">
      <c r="A208" s="4"/>
      <c r="B208" s="4"/>
      <c r="C208" s="4"/>
      <c r="D208" s="4"/>
      <c r="E208" s="4"/>
      <c r="F208" s="4"/>
      <c r="G208" s="4"/>
      <c r="H208" s="4"/>
      <c r="I208" s="4"/>
      <c r="J208" s="4"/>
      <c r="K208" s="4"/>
      <c r="L208" s="4"/>
      <c r="M208" s="4"/>
      <c r="N208" s="4"/>
      <c r="O208" s="4"/>
      <c r="P208" s="4"/>
      <c r="Q208" s="4"/>
      <c r="R208" s="4"/>
      <c r="S208" s="4"/>
      <c r="T208" s="4"/>
      <c r="U208" s="4"/>
      <c r="V208" s="4"/>
      <c r="W208" s="242"/>
      <c r="X208" s="4"/>
      <c r="Y208" s="4"/>
      <c r="Z208" s="4"/>
    </row>
    <row r="209" ht="13.5" customHeight="1" spans="1:26" x14ac:dyDescent="0.25">
      <c r="A209" s="4"/>
      <c r="B209" s="4"/>
      <c r="C209" s="4"/>
      <c r="D209" s="4"/>
      <c r="E209" s="4"/>
      <c r="F209" s="4"/>
      <c r="G209" s="4"/>
      <c r="H209" s="4"/>
      <c r="I209" s="4"/>
      <c r="J209" s="4"/>
      <c r="K209" s="4"/>
      <c r="L209" s="4"/>
      <c r="M209" s="4"/>
      <c r="N209" s="4"/>
      <c r="O209" s="4"/>
      <c r="P209" s="4"/>
      <c r="Q209" s="4"/>
      <c r="R209" s="4"/>
      <c r="S209" s="4"/>
      <c r="T209" s="4"/>
      <c r="U209" s="4"/>
      <c r="V209" s="4"/>
      <c r="W209" s="242"/>
      <c r="X209" s="4"/>
      <c r="Y209" s="4"/>
      <c r="Z209" s="4"/>
    </row>
    <row r="210" ht="13.5" customHeight="1" spans="1:26" x14ac:dyDescent="0.25">
      <c r="A210" s="4"/>
      <c r="B210" s="4"/>
      <c r="C210" s="4"/>
      <c r="D210" s="4"/>
      <c r="E210" s="4"/>
      <c r="F210" s="4"/>
      <c r="G210" s="4"/>
      <c r="H210" s="4"/>
      <c r="I210" s="4"/>
      <c r="J210" s="4"/>
      <c r="K210" s="4"/>
      <c r="L210" s="4"/>
      <c r="M210" s="4"/>
      <c r="N210" s="4"/>
      <c r="O210" s="4"/>
      <c r="P210" s="4"/>
      <c r="Q210" s="4"/>
      <c r="R210" s="4"/>
      <c r="S210" s="4"/>
      <c r="T210" s="4"/>
      <c r="U210" s="4"/>
      <c r="V210" s="4"/>
      <c r="W210" s="242"/>
      <c r="X210" s="4"/>
      <c r="Y210" s="4"/>
      <c r="Z210" s="4"/>
    </row>
    <row r="211" ht="13.5" customHeight="1" spans="1:26" x14ac:dyDescent="0.25">
      <c r="A211" s="4"/>
      <c r="B211" s="4"/>
      <c r="C211" s="4"/>
      <c r="D211" s="4"/>
      <c r="E211" s="4"/>
      <c r="F211" s="4"/>
      <c r="G211" s="4"/>
      <c r="H211" s="4"/>
      <c r="I211" s="4"/>
      <c r="J211" s="4"/>
      <c r="K211" s="4"/>
      <c r="L211" s="4"/>
      <c r="M211" s="4"/>
      <c r="N211" s="4"/>
      <c r="O211" s="4"/>
      <c r="P211" s="4"/>
      <c r="Q211" s="4"/>
      <c r="R211" s="4"/>
      <c r="S211" s="4"/>
      <c r="T211" s="4"/>
      <c r="U211" s="4"/>
      <c r="V211" s="4"/>
      <c r="W211" s="242"/>
      <c r="X211" s="4"/>
      <c r="Y211" s="4"/>
      <c r="Z211" s="4"/>
    </row>
    <row r="212" ht="13.5" customHeight="1" spans="1:26" x14ac:dyDescent="0.25">
      <c r="A212" s="4"/>
      <c r="B212" s="4"/>
      <c r="C212" s="4"/>
      <c r="D212" s="4"/>
      <c r="E212" s="4"/>
      <c r="F212" s="4"/>
      <c r="G212" s="4"/>
      <c r="H212" s="4"/>
      <c r="I212" s="4"/>
      <c r="J212" s="4"/>
      <c r="K212" s="4"/>
      <c r="L212" s="4"/>
      <c r="M212" s="4"/>
      <c r="N212" s="4"/>
      <c r="O212" s="4"/>
      <c r="P212" s="4"/>
      <c r="Q212" s="4"/>
      <c r="R212" s="4"/>
      <c r="S212" s="4"/>
      <c r="T212" s="4"/>
      <c r="U212" s="4"/>
      <c r="V212" s="4"/>
      <c r="W212" s="242"/>
      <c r="X212" s="4"/>
      <c r="Y212" s="4"/>
      <c r="Z212" s="4"/>
    </row>
    <row r="213" ht="13.5" customHeight="1" spans="1:26" x14ac:dyDescent="0.25">
      <c r="A213" s="4"/>
      <c r="B213" s="4"/>
      <c r="C213" s="4"/>
      <c r="D213" s="4"/>
      <c r="E213" s="4"/>
      <c r="F213" s="4"/>
      <c r="G213" s="4"/>
      <c r="H213" s="4"/>
      <c r="I213" s="4"/>
      <c r="J213" s="4"/>
      <c r="K213" s="4"/>
      <c r="L213" s="4"/>
      <c r="M213" s="4"/>
      <c r="N213" s="4"/>
      <c r="O213" s="4"/>
      <c r="P213" s="4"/>
      <c r="Q213" s="4"/>
      <c r="R213" s="4"/>
      <c r="S213" s="4"/>
      <c r="T213" s="4"/>
      <c r="U213" s="4"/>
      <c r="V213" s="4"/>
      <c r="W213" s="242"/>
      <c r="X213" s="4"/>
      <c r="Y213" s="4"/>
      <c r="Z213" s="4"/>
    </row>
    <row r="214" ht="13.5" customHeight="1" spans="1:26" x14ac:dyDescent="0.25">
      <c r="A214" s="4"/>
      <c r="B214" s="4"/>
      <c r="C214" s="4"/>
      <c r="D214" s="4"/>
      <c r="E214" s="4"/>
      <c r="F214" s="4"/>
      <c r="G214" s="4"/>
      <c r="H214" s="4"/>
      <c r="I214" s="4"/>
      <c r="J214" s="4"/>
      <c r="K214" s="4"/>
      <c r="L214" s="4"/>
      <c r="M214" s="4"/>
      <c r="N214" s="4"/>
      <c r="O214" s="4"/>
      <c r="P214" s="4"/>
      <c r="Q214" s="4"/>
      <c r="R214" s="4"/>
      <c r="S214" s="4"/>
      <c r="T214" s="4"/>
      <c r="U214" s="4"/>
      <c r="V214" s="4"/>
      <c r="W214" s="242"/>
      <c r="X214" s="4"/>
      <c r="Y214" s="4"/>
      <c r="Z214" s="4"/>
    </row>
    <row r="215" ht="13.5" customHeight="1" spans="1:26" x14ac:dyDescent="0.25">
      <c r="A215" s="4"/>
      <c r="B215" s="4"/>
      <c r="C215" s="4"/>
      <c r="D215" s="4"/>
      <c r="E215" s="4"/>
      <c r="F215" s="4"/>
      <c r="G215" s="4"/>
      <c r="H215" s="4"/>
      <c r="I215" s="4"/>
      <c r="J215" s="4"/>
      <c r="K215" s="4"/>
      <c r="L215" s="4"/>
      <c r="M215" s="4"/>
      <c r="N215" s="4"/>
      <c r="O215" s="4"/>
      <c r="P215" s="4"/>
      <c r="Q215" s="4"/>
      <c r="R215" s="4"/>
      <c r="S215" s="4"/>
      <c r="T215" s="4"/>
      <c r="U215" s="4"/>
      <c r="V215" s="4"/>
      <c r="W215" s="242"/>
      <c r="X215" s="4"/>
      <c r="Y215" s="4"/>
      <c r="Z215" s="4"/>
    </row>
    <row r="216" ht="13.5" customHeight="1" spans="1:26" x14ac:dyDescent="0.25">
      <c r="A216" s="4"/>
      <c r="B216" s="4"/>
      <c r="C216" s="4"/>
      <c r="D216" s="4"/>
      <c r="E216" s="4"/>
      <c r="F216" s="4"/>
      <c r="G216" s="4"/>
      <c r="H216" s="4"/>
      <c r="I216" s="4"/>
      <c r="J216" s="4"/>
      <c r="K216" s="4"/>
      <c r="L216" s="4"/>
      <c r="M216" s="4"/>
      <c r="N216" s="4"/>
      <c r="O216" s="4"/>
      <c r="P216" s="4"/>
      <c r="Q216" s="4"/>
      <c r="R216" s="4"/>
      <c r="S216" s="4"/>
      <c r="T216" s="4"/>
      <c r="U216" s="4"/>
      <c r="V216" s="4"/>
      <c r="W216" s="242"/>
      <c r="X216" s="4"/>
      <c r="Y216" s="4"/>
      <c r="Z216" s="4"/>
    </row>
    <row r="217" ht="13.5" customHeight="1" spans="1:26" x14ac:dyDescent="0.25">
      <c r="A217" s="4"/>
      <c r="B217" s="4"/>
      <c r="C217" s="4"/>
      <c r="D217" s="4"/>
      <c r="E217" s="4"/>
      <c r="F217" s="4"/>
      <c r="G217" s="4"/>
      <c r="H217" s="4"/>
      <c r="I217" s="4"/>
      <c r="J217" s="4"/>
      <c r="K217" s="4"/>
      <c r="L217" s="4"/>
      <c r="M217" s="4"/>
      <c r="N217" s="4"/>
      <c r="O217" s="4"/>
      <c r="P217" s="4"/>
      <c r="Q217" s="4"/>
      <c r="R217" s="4"/>
      <c r="S217" s="4"/>
      <c r="T217" s="4"/>
      <c r="U217" s="4"/>
      <c r="V217" s="4"/>
      <c r="W217" s="242"/>
      <c r="X217" s="4"/>
      <c r="Y217" s="4"/>
      <c r="Z217" s="4"/>
    </row>
    <row r="218" ht="13.5" customHeight="1" spans="1:26" x14ac:dyDescent="0.25">
      <c r="A218" s="4"/>
      <c r="B218" s="4"/>
      <c r="C218" s="4"/>
      <c r="D218" s="4"/>
      <c r="E218" s="4"/>
      <c r="F218" s="4"/>
      <c r="G218" s="4"/>
      <c r="H218" s="4"/>
      <c r="I218" s="4"/>
      <c r="J218" s="4"/>
      <c r="K218" s="4"/>
      <c r="L218" s="4"/>
      <c r="M218" s="4"/>
      <c r="N218" s="4"/>
      <c r="O218" s="4"/>
      <c r="P218" s="4"/>
      <c r="Q218" s="4"/>
      <c r="R218" s="4"/>
      <c r="S218" s="4"/>
      <c r="T218" s="4"/>
      <c r="U218" s="4"/>
      <c r="V218" s="4"/>
      <c r="W218" s="242"/>
      <c r="X218" s="4"/>
      <c r="Y218" s="4"/>
      <c r="Z218" s="4"/>
    </row>
    <row r="219" ht="13.5" customHeight="1" spans="1:26" x14ac:dyDescent="0.25">
      <c r="A219" s="4"/>
      <c r="B219" s="4"/>
      <c r="C219" s="4"/>
      <c r="D219" s="4"/>
      <c r="E219" s="4"/>
      <c r="F219" s="4"/>
      <c r="G219" s="4"/>
      <c r="H219" s="4"/>
      <c r="I219" s="4"/>
      <c r="J219" s="4"/>
      <c r="K219" s="4"/>
      <c r="L219" s="4"/>
      <c r="M219" s="4"/>
      <c r="N219" s="4"/>
      <c r="O219" s="4"/>
      <c r="P219" s="4"/>
      <c r="Q219" s="4"/>
      <c r="R219" s="4"/>
      <c r="S219" s="4"/>
      <c r="T219" s="4"/>
      <c r="U219" s="4"/>
      <c r="V219" s="4"/>
      <c r="W219" s="242"/>
      <c r="X219" s="4"/>
      <c r="Y219" s="4"/>
      <c r="Z219" s="4"/>
    </row>
    <row r="220" ht="13.5" customHeight="1" spans="1:26" x14ac:dyDescent="0.25">
      <c r="A220" s="4"/>
      <c r="B220" s="4"/>
      <c r="C220" s="4"/>
      <c r="D220" s="4"/>
      <c r="E220" s="4"/>
      <c r="F220" s="4"/>
      <c r="G220" s="4"/>
      <c r="H220" s="4"/>
      <c r="I220" s="4"/>
      <c r="J220" s="4"/>
      <c r="K220" s="4"/>
      <c r="L220" s="4"/>
      <c r="M220" s="4"/>
      <c r="N220" s="4"/>
      <c r="O220" s="4"/>
      <c r="P220" s="4"/>
      <c r="Q220" s="4"/>
      <c r="R220" s="4"/>
      <c r="S220" s="4"/>
      <c r="T220" s="4"/>
      <c r="U220" s="4"/>
      <c r="V220" s="4"/>
      <c r="W220" s="242"/>
      <c r="X220" s="4"/>
      <c r="Y220" s="4"/>
      <c r="Z220" s="4"/>
    </row>
    <row r="221" ht="13.5" customHeight="1" spans="1:26" x14ac:dyDescent="0.25">
      <c r="A221" s="4"/>
      <c r="B221" s="4"/>
      <c r="C221" s="4"/>
      <c r="D221" s="4"/>
      <c r="E221" s="4"/>
      <c r="F221" s="4"/>
      <c r="G221" s="4"/>
      <c r="H221" s="4"/>
      <c r="I221" s="4"/>
      <c r="J221" s="4"/>
      <c r="K221" s="4"/>
      <c r="L221" s="4"/>
      <c r="M221" s="4"/>
      <c r="N221" s="4"/>
      <c r="O221" s="4"/>
      <c r="P221" s="4"/>
      <c r="Q221" s="4"/>
      <c r="R221" s="4"/>
      <c r="S221" s="4"/>
      <c r="T221" s="4"/>
      <c r="U221" s="4"/>
      <c r="V221" s="4"/>
      <c r="W221" s="242"/>
      <c r="X221" s="4"/>
      <c r="Y221" s="4"/>
      <c r="Z221" s="4"/>
    </row>
    <row r="222" ht="13.5" customHeight="1" spans="1:26" x14ac:dyDescent="0.25">
      <c r="A222" s="4"/>
      <c r="B222" s="4"/>
      <c r="C222" s="4"/>
      <c r="D222" s="4"/>
      <c r="E222" s="4"/>
      <c r="F222" s="4"/>
      <c r="G222" s="4"/>
      <c r="H222" s="4"/>
      <c r="I222" s="4"/>
      <c r="J222" s="4"/>
      <c r="K222" s="4"/>
      <c r="L222" s="4"/>
      <c r="M222" s="4"/>
      <c r="N222" s="4"/>
      <c r="O222" s="4"/>
      <c r="P222" s="4"/>
      <c r="Q222" s="4"/>
      <c r="R222" s="4"/>
      <c r="S222" s="4"/>
      <c r="T222" s="4"/>
      <c r="U222" s="4"/>
      <c r="V222" s="4"/>
      <c r="W222" s="242"/>
      <c r="X222" s="4"/>
      <c r="Y222" s="4"/>
      <c r="Z222" s="4"/>
    </row>
    <row r="223" ht="13.5" customHeight="1" spans="1:26" x14ac:dyDescent="0.25">
      <c r="A223" s="4"/>
      <c r="B223" s="4"/>
      <c r="C223" s="4"/>
      <c r="D223" s="4"/>
      <c r="E223" s="4"/>
      <c r="F223" s="4"/>
      <c r="G223" s="4"/>
      <c r="H223" s="4"/>
      <c r="I223" s="4"/>
      <c r="J223" s="4"/>
      <c r="K223" s="4"/>
      <c r="L223" s="4"/>
      <c r="M223" s="4"/>
      <c r="N223" s="4"/>
      <c r="O223" s="4"/>
      <c r="P223" s="4"/>
      <c r="Q223" s="4"/>
      <c r="R223" s="4"/>
      <c r="S223" s="4"/>
      <c r="T223" s="4"/>
      <c r="U223" s="4"/>
      <c r="V223" s="4"/>
      <c r="W223" s="242"/>
      <c r="X223" s="4"/>
      <c r="Y223" s="4"/>
      <c r="Z223" s="4"/>
    </row>
    <row r="224" ht="13.5" customHeight="1" spans="1:26" x14ac:dyDescent="0.25">
      <c r="A224" s="4"/>
      <c r="B224" s="4"/>
      <c r="C224" s="4"/>
      <c r="D224" s="4"/>
      <c r="E224" s="4"/>
      <c r="F224" s="4"/>
      <c r="G224" s="4"/>
      <c r="H224" s="4"/>
      <c r="I224" s="4"/>
      <c r="J224" s="4"/>
      <c r="K224" s="4"/>
      <c r="L224" s="4"/>
      <c r="M224" s="4"/>
      <c r="N224" s="4"/>
      <c r="O224" s="4"/>
      <c r="P224" s="4"/>
      <c r="Q224" s="4"/>
      <c r="R224" s="4"/>
      <c r="S224" s="4"/>
      <c r="T224" s="4"/>
      <c r="U224" s="4"/>
      <c r="V224" s="4"/>
      <c r="W224" s="242"/>
      <c r="X224" s="4"/>
      <c r="Y224" s="4"/>
      <c r="Z224" s="4"/>
    </row>
    <row r="225" ht="13.5" customHeight="1" spans="1:26" x14ac:dyDescent="0.25">
      <c r="A225" s="4"/>
      <c r="B225" s="4"/>
      <c r="C225" s="4"/>
      <c r="D225" s="4"/>
      <c r="E225" s="4"/>
      <c r="F225" s="4"/>
      <c r="G225" s="4"/>
      <c r="H225" s="4"/>
      <c r="I225" s="4"/>
      <c r="J225" s="4"/>
      <c r="K225" s="4"/>
      <c r="L225" s="4"/>
      <c r="M225" s="4"/>
      <c r="N225" s="4"/>
      <c r="O225" s="4"/>
      <c r="P225" s="4"/>
      <c r="Q225" s="4"/>
      <c r="R225" s="4"/>
      <c r="S225" s="4"/>
      <c r="T225" s="4"/>
      <c r="U225" s="4"/>
      <c r="V225" s="4"/>
      <c r="W225" s="242"/>
      <c r="X225" s="4"/>
      <c r="Y225" s="4"/>
      <c r="Z225" s="4"/>
    </row>
    <row r="226" ht="13.5" customHeight="1" spans="1:26" x14ac:dyDescent="0.25">
      <c r="A226" s="4"/>
      <c r="B226" s="4"/>
      <c r="C226" s="4"/>
      <c r="D226" s="4"/>
      <c r="E226" s="4"/>
      <c r="F226" s="4"/>
      <c r="G226" s="4"/>
      <c r="H226" s="4"/>
      <c r="I226" s="4"/>
      <c r="J226" s="4"/>
      <c r="K226" s="4"/>
      <c r="L226" s="4"/>
      <c r="M226" s="4"/>
      <c r="N226" s="4"/>
      <c r="O226" s="4"/>
      <c r="P226" s="4"/>
      <c r="Q226" s="4"/>
      <c r="R226" s="4"/>
      <c r="S226" s="4"/>
      <c r="T226" s="4"/>
      <c r="U226" s="4"/>
      <c r="V226" s="4"/>
      <c r="W226" s="242"/>
      <c r="X226" s="4"/>
      <c r="Y226" s="4"/>
      <c r="Z226" s="4"/>
    </row>
    <row r="227" ht="13.5" customHeight="1" spans="1:26" x14ac:dyDescent="0.25">
      <c r="A227" s="4"/>
      <c r="B227" s="4"/>
      <c r="C227" s="4"/>
      <c r="D227" s="4"/>
      <c r="E227" s="4"/>
      <c r="F227" s="4"/>
      <c r="G227" s="4"/>
      <c r="H227" s="4"/>
      <c r="I227" s="4"/>
      <c r="J227" s="4"/>
      <c r="K227" s="4"/>
      <c r="L227" s="4"/>
      <c r="M227" s="4"/>
      <c r="N227" s="4"/>
      <c r="O227" s="4"/>
      <c r="P227" s="4"/>
      <c r="Q227" s="4"/>
      <c r="R227" s="4"/>
      <c r="S227" s="4"/>
      <c r="T227" s="4"/>
      <c r="U227" s="4"/>
      <c r="V227" s="4"/>
      <c r="W227" s="242"/>
      <c r="X227" s="4"/>
      <c r="Y227" s="4"/>
      <c r="Z227" s="4"/>
    </row>
    <row r="228" ht="13.5" customHeight="1" spans="1:26" x14ac:dyDescent="0.25">
      <c r="A228" s="4"/>
      <c r="B228" s="4"/>
      <c r="C228" s="4"/>
      <c r="D228" s="4"/>
      <c r="E228" s="4"/>
      <c r="F228" s="4"/>
      <c r="G228" s="4"/>
      <c r="H228" s="4"/>
      <c r="I228" s="4"/>
      <c r="J228" s="4"/>
      <c r="K228" s="4"/>
      <c r="L228" s="4"/>
      <c r="M228" s="4"/>
      <c r="N228" s="4"/>
      <c r="O228" s="4"/>
      <c r="P228" s="4"/>
      <c r="Q228" s="4"/>
      <c r="R228" s="4"/>
      <c r="S228" s="4"/>
      <c r="T228" s="4"/>
      <c r="U228" s="4"/>
      <c r="V228" s="4"/>
      <c r="W228" s="242"/>
      <c r="X228" s="4"/>
      <c r="Y228" s="4"/>
      <c r="Z228" s="4"/>
    </row>
    <row r="229" ht="13.5" customHeight="1" spans="1:26" x14ac:dyDescent="0.25">
      <c r="A229" s="4"/>
      <c r="B229" s="4"/>
      <c r="C229" s="4"/>
      <c r="D229" s="4"/>
      <c r="E229" s="4"/>
      <c r="F229" s="4"/>
      <c r="G229" s="4"/>
      <c r="H229" s="4"/>
      <c r="I229" s="4"/>
      <c r="J229" s="4"/>
      <c r="K229" s="4"/>
      <c r="L229" s="4"/>
      <c r="M229" s="4"/>
      <c r="N229" s="4"/>
      <c r="O229" s="4"/>
      <c r="P229" s="4"/>
      <c r="Q229" s="4"/>
      <c r="R229" s="4"/>
      <c r="S229" s="4"/>
      <c r="T229" s="4"/>
      <c r="U229" s="4"/>
      <c r="V229" s="4"/>
      <c r="W229" s="242"/>
      <c r="X229" s="4"/>
      <c r="Y229" s="4"/>
      <c r="Z229" s="4"/>
    </row>
    <row r="230" ht="13.5" customHeight="1" spans="1:26" x14ac:dyDescent="0.25">
      <c r="A230" s="4"/>
      <c r="B230" s="4"/>
      <c r="C230" s="4"/>
      <c r="D230" s="4"/>
      <c r="E230" s="4"/>
      <c r="F230" s="4"/>
      <c r="G230" s="4"/>
      <c r="H230" s="4"/>
      <c r="I230" s="4"/>
      <c r="J230" s="4"/>
      <c r="K230" s="4"/>
      <c r="L230" s="4"/>
      <c r="M230" s="4"/>
      <c r="N230" s="4"/>
      <c r="O230" s="4"/>
      <c r="P230" s="4"/>
      <c r="Q230" s="4"/>
      <c r="R230" s="4"/>
      <c r="S230" s="4"/>
      <c r="T230" s="4"/>
      <c r="U230" s="4"/>
      <c r="V230" s="4"/>
      <c r="W230" s="242"/>
      <c r="X230" s="4"/>
      <c r="Y230" s="4"/>
      <c r="Z230" s="4"/>
    </row>
    <row r="231" ht="13.5" customHeight="1" spans="1:26" x14ac:dyDescent="0.25">
      <c r="A231" s="4"/>
      <c r="B231" s="4"/>
      <c r="C231" s="4"/>
      <c r="D231" s="4"/>
      <c r="E231" s="4"/>
      <c r="F231" s="4"/>
      <c r="G231" s="4"/>
      <c r="H231" s="4"/>
      <c r="I231" s="4"/>
      <c r="J231" s="4"/>
      <c r="K231" s="4"/>
      <c r="L231" s="4"/>
      <c r="M231" s="4"/>
      <c r="N231" s="4"/>
      <c r="O231" s="4"/>
      <c r="P231" s="4"/>
      <c r="Q231" s="4"/>
      <c r="R231" s="4"/>
      <c r="S231" s="4"/>
      <c r="T231" s="4"/>
      <c r="U231" s="4"/>
      <c r="V231" s="4"/>
      <c r="W231" s="242"/>
      <c r="X231" s="4"/>
      <c r="Y231" s="4"/>
      <c r="Z231" s="4"/>
    </row>
    <row r="232" ht="13.5" customHeight="1" spans="1:26" x14ac:dyDescent="0.25">
      <c r="A232" s="4"/>
      <c r="B232" s="4"/>
      <c r="C232" s="4"/>
      <c r="D232" s="4"/>
      <c r="E232" s="4"/>
      <c r="F232" s="4"/>
      <c r="G232" s="4"/>
      <c r="H232" s="4"/>
      <c r="I232" s="4"/>
      <c r="J232" s="4"/>
      <c r="K232" s="4"/>
      <c r="L232" s="4"/>
      <c r="M232" s="4"/>
      <c r="N232" s="4"/>
      <c r="O232" s="4"/>
      <c r="P232" s="4"/>
      <c r="Q232" s="4"/>
      <c r="R232" s="4"/>
      <c r="S232" s="4"/>
      <c r="T232" s="4"/>
      <c r="U232" s="4"/>
      <c r="V232" s="4"/>
      <c r="W232" s="242"/>
      <c r="X232" s="4"/>
      <c r="Y232" s="4"/>
      <c r="Z232" s="4"/>
    </row>
    <row r="233" ht="13.5" customHeight="1" spans="1:26" x14ac:dyDescent="0.25">
      <c r="A233" s="4"/>
      <c r="B233" s="4"/>
      <c r="C233" s="4"/>
      <c r="D233" s="4"/>
      <c r="E233" s="4"/>
      <c r="F233" s="4"/>
      <c r="G233" s="4"/>
      <c r="H233" s="4"/>
      <c r="I233" s="4"/>
      <c r="J233" s="4"/>
      <c r="K233" s="4"/>
      <c r="L233" s="4"/>
      <c r="M233" s="4"/>
      <c r="N233" s="4"/>
      <c r="O233" s="4"/>
      <c r="P233" s="4"/>
      <c r="Q233" s="4"/>
      <c r="R233" s="4"/>
      <c r="S233" s="4"/>
      <c r="T233" s="4"/>
      <c r="U233" s="4"/>
      <c r="V233" s="4"/>
      <c r="W233" s="242"/>
      <c r="X233" s="4"/>
      <c r="Y233" s="4"/>
      <c r="Z233" s="4"/>
    </row>
    <row r="234" ht="13.5" customHeight="1" spans="1:26" x14ac:dyDescent="0.25">
      <c r="A234" s="4"/>
      <c r="B234" s="4"/>
      <c r="C234" s="4"/>
      <c r="D234" s="4"/>
      <c r="E234" s="4"/>
      <c r="F234" s="4"/>
      <c r="G234" s="4"/>
      <c r="H234" s="4"/>
      <c r="I234" s="4"/>
      <c r="J234" s="4"/>
      <c r="K234" s="4"/>
      <c r="L234" s="4"/>
      <c r="M234" s="4"/>
      <c r="N234" s="4"/>
      <c r="O234" s="4"/>
      <c r="P234" s="4"/>
      <c r="Q234" s="4"/>
      <c r="R234" s="4"/>
      <c r="S234" s="4"/>
      <c r="T234" s="4"/>
      <c r="U234" s="4"/>
      <c r="V234" s="4"/>
      <c r="W234" s="242"/>
      <c r="X234" s="4"/>
      <c r="Y234" s="4"/>
      <c r="Z234" s="4"/>
    </row>
    <row r="235" ht="13.5" customHeight="1" spans="1:26" x14ac:dyDescent="0.25">
      <c r="A235" s="4"/>
      <c r="B235" s="4"/>
      <c r="C235" s="4"/>
      <c r="D235" s="4"/>
      <c r="E235" s="4"/>
      <c r="F235" s="4"/>
      <c r="G235" s="4"/>
      <c r="H235" s="4"/>
      <c r="I235" s="4"/>
      <c r="J235" s="4"/>
      <c r="K235" s="4"/>
      <c r="L235" s="4"/>
      <c r="M235" s="4"/>
      <c r="N235" s="4"/>
      <c r="O235" s="4"/>
      <c r="P235" s="4"/>
      <c r="Q235" s="4"/>
      <c r="R235" s="4"/>
      <c r="S235" s="4"/>
      <c r="T235" s="4"/>
      <c r="U235" s="4"/>
      <c r="V235" s="4"/>
      <c r="W235" s="242"/>
      <c r="X235" s="4"/>
      <c r="Y235" s="4"/>
      <c r="Z235" s="4"/>
    </row>
    <row r="236" ht="13.5" customHeight="1" spans="1:26" x14ac:dyDescent="0.25">
      <c r="A236" s="4"/>
      <c r="B236" s="4"/>
      <c r="C236" s="4"/>
      <c r="D236" s="4"/>
      <c r="E236" s="4"/>
      <c r="F236" s="4"/>
      <c r="G236" s="4"/>
      <c r="H236" s="4"/>
      <c r="I236" s="4"/>
      <c r="J236" s="4"/>
      <c r="K236" s="4"/>
      <c r="L236" s="4"/>
      <c r="M236" s="4"/>
      <c r="N236" s="4"/>
      <c r="O236" s="4"/>
      <c r="P236" s="4"/>
      <c r="Q236" s="4"/>
      <c r="R236" s="4"/>
      <c r="S236" s="4"/>
      <c r="T236" s="4"/>
      <c r="U236" s="4"/>
      <c r="V236" s="4"/>
      <c r="W236" s="242"/>
      <c r="X236" s="4"/>
      <c r="Y236" s="4"/>
      <c r="Z236" s="4"/>
    </row>
    <row r="237" ht="13.5" customHeight="1" spans="1:26" x14ac:dyDescent="0.25">
      <c r="A237" s="4"/>
      <c r="B237" s="4"/>
      <c r="C237" s="4"/>
      <c r="D237" s="4"/>
      <c r="E237" s="4"/>
      <c r="F237" s="4"/>
      <c r="G237" s="4"/>
      <c r="H237" s="4"/>
      <c r="I237" s="4"/>
      <c r="J237" s="4"/>
      <c r="K237" s="4"/>
      <c r="L237" s="4"/>
      <c r="M237" s="4"/>
      <c r="N237" s="4"/>
      <c r="O237" s="4"/>
      <c r="P237" s="4"/>
      <c r="Q237" s="4"/>
      <c r="R237" s="4"/>
      <c r="S237" s="4"/>
      <c r="T237" s="4"/>
      <c r="U237" s="4"/>
      <c r="V237" s="4"/>
      <c r="W237" s="242"/>
      <c r="X237" s="4"/>
      <c r="Y237" s="4"/>
      <c r="Z237" s="4"/>
    </row>
    <row r="238" ht="13.5" customHeight="1" spans="1:26" x14ac:dyDescent="0.25">
      <c r="A238" s="4"/>
      <c r="B238" s="4"/>
      <c r="C238" s="4"/>
      <c r="D238" s="4"/>
      <c r="E238" s="4"/>
      <c r="F238" s="4"/>
      <c r="G238" s="4"/>
      <c r="H238" s="4"/>
      <c r="I238" s="4"/>
      <c r="J238" s="4"/>
      <c r="K238" s="4"/>
      <c r="L238" s="4"/>
      <c r="M238" s="4"/>
      <c r="N238" s="4"/>
      <c r="O238" s="4"/>
      <c r="P238" s="4"/>
      <c r="Q238" s="4"/>
      <c r="R238" s="4"/>
      <c r="S238" s="4"/>
      <c r="T238" s="4"/>
      <c r="U238" s="4"/>
      <c r="V238" s="4"/>
      <c r="W238" s="242"/>
      <c r="X238" s="4"/>
      <c r="Y238" s="4"/>
      <c r="Z238" s="4"/>
    </row>
    <row r="239" ht="13.5" customHeight="1" spans="1:26" x14ac:dyDescent="0.25">
      <c r="A239" s="4"/>
      <c r="B239" s="4"/>
      <c r="C239" s="4"/>
      <c r="D239" s="4"/>
      <c r="E239" s="4"/>
      <c r="F239" s="4"/>
      <c r="G239" s="4"/>
      <c r="H239" s="4"/>
      <c r="I239" s="4"/>
      <c r="J239" s="4"/>
      <c r="K239" s="4"/>
      <c r="L239" s="4"/>
      <c r="M239" s="4"/>
      <c r="N239" s="4"/>
      <c r="O239" s="4"/>
      <c r="P239" s="4"/>
      <c r="Q239" s="4"/>
      <c r="R239" s="4"/>
      <c r="S239" s="4"/>
      <c r="T239" s="4"/>
      <c r="U239" s="4"/>
      <c r="V239" s="4"/>
      <c r="W239" s="242"/>
      <c r="X239" s="4"/>
      <c r="Y239" s="4"/>
      <c r="Z239" s="4"/>
    </row>
    <row r="240" ht="13.5" customHeight="1" spans="1:26" x14ac:dyDescent="0.25">
      <c r="A240" s="4"/>
      <c r="B240" s="4"/>
      <c r="C240" s="4"/>
      <c r="D240" s="4"/>
      <c r="E240" s="4"/>
      <c r="F240" s="4"/>
      <c r="G240" s="4"/>
      <c r="H240" s="4"/>
      <c r="I240" s="4"/>
      <c r="J240" s="4"/>
      <c r="K240" s="4"/>
      <c r="L240" s="4"/>
      <c r="M240" s="4"/>
      <c r="N240" s="4"/>
      <c r="O240" s="4"/>
      <c r="P240" s="4"/>
      <c r="Q240" s="4"/>
      <c r="R240" s="4"/>
      <c r="S240" s="4"/>
      <c r="T240" s="4"/>
      <c r="U240" s="4"/>
      <c r="V240" s="4"/>
      <c r="W240" s="242"/>
      <c r="X240" s="4"/>
      <c r="Y240" s="4"/>
      <c r="Z240" s="4"/>
    </row>
    <row r="241" ht="13.5" customHeight="1" spans="1:26" x14ac:dyDescent="0.25">
      <c r="A241" s="4"/>
      <c r="B241" s="4"/>
      <c r="C241" s="4"/>
      <c r="D241" s="4"/>
      <c r="E241" s="4"/>
      <c r="F241" s="4"/>
      <c r="G241" s="4"/>
      <c r="H241" s="4"/>
      <c r="I241" s="4"/>
      <c r="J241" s="4"/>
      <c r="K241" s="4"/>
      <c r="L241" s="4"/>
      <c r="M241" s="4"/>
      <c r="N241" s="4"/>
      <c r="O241" s="4"/>
      <c r="P241" s="4"/>
      <c r="Q241" s="4"/>
      <c r="R241" s="4"/>
      <c r="S241" s="4"/>
      <c r="T241" s="4"/>
      <c r="U241" s="4"/>
      <c r="V241" s="4"/>
      <c r="W241" s="242"/>
      <c r="X241" s="4"/>
      <c r="Y241" s="4"/>
      <c r="Z241" s="4"/>
    </row>
    <row r="242" ht="13.5" customHeight="1" spans="1:26" x14ac:dyDescent="0.25">
      <c r="A242" s="4"/>
      <c r="B242" s="4"/>
      <c r="C242" s="4"/>
      <c r="D242" s="4"/>
      <c r="E242" s="4"/>
      <c r="F242" s="4"/>
      <c r="G242" s="4"/>
      <c r="H242" s="4"/>
      <c r="I242" s="4"/>
      <c r="J242" s="4"/>
      <c r="K242" s="4"/>
      <c r="L242" s="4"/>
      <c r="M242" s="4"/>
      <c r="N242" s="4"/>
      <c r="O242" s="4"/>
      <c r="P242" s="4"/>
      <c r="Q242" s="4"/>
      <c r="R242" s="4"/>
      <c r="S242" s="4"/>
      <c r="T242" s="4"/>
      <c r="U242" s="4"/>
      <c r="V242" s="4"/>
      <c r="W242" s="242"/>
      <c r="X242" s="4"/>
      <c r="Y242" s="4"/>
      <c r="Z242" s="4"/>
    </row>
    <row r="243" ht="13.5" customHeight="1" spans="1:26" x14ac:dyDescent="0.25">
      <c r="A243" s="4"/>
      <c r="B243" s="4"/>
      <c r="C243" s="4"/>
      <c r="D243" s="4"/>
      <c r="E243" s="4"/>
      <c r="F243" s="4"/>
      <c r="G243" s="4"/>
      <c r="H243" s="4"/>
      <c r="I243" s="4"/>
      <c r="J243" s="4"/>
      <c r="K243" s="4"/>
      <c r="L243" s="4"/>
      <c r="M243" s="4"/>
      <c r="N243" s="4"/>
      <c r="O243" s="4"/>
      <c r="P243" s="4"/>
      <c r="Q243" s="4"/>
      <c r="R243" s="4"/>
      <c r="S243" s="4"/>
      <c r="T243" s="4"/>
      <c r="U243" s="4"/>
      <c r="V243" s="4"/>
      <c r="W243" s="242"/>
      <c r="X243" s="4"/>
      <c r="Y243" s="4"/>
      <c r="Z243" s="4"/>
    </row>
    <row r="244" ht="13.5" customHeight="1" spans="1:26" x14ac:dyDescent="0.25">
      <c r="A244" s="4"/>
      <c r="B244" s="4"/>
      <c r="C244" s="4"/>
      <c r="D244" s="4"/>
      <c r="E244" s="4"/>
      <c r="F244" s="4"/>
      <c r="G244" s="4"/>
      <c r="H244" s="4"/>
      <c r="I244" s="4"/>
      <c r="J244" s="4"/>
      <c r="K244" s="4"/>
      <c r="L244" s="4"/>
      <c r="M244" s="4"/>
      <c r="N244" s="4"/>
      <c r="O244" s="4"/>
      <c r="P244" s="4"/>
      <c r="Q244" s="4"/>
      <c r="R244" s="4"/>
      <c r="S244" s="4"/>
      <c r="T244" s="4"/>
      <c r="U244" s="4"/>
      <c r="V244" s="4"/>
      <c r="W244" s="242"/>
      <c r="X244" s="4"/>
      <c r="Y244" s="4"/>
      <c r="Z244" s="4"/>
    </row>
    <row r="245" ht="13.5" customHeight="1" spans="1:26" x14ac:dyDescent="0.25">
      <c r="A245" s="4"/>
      <c r="B245" s="4"/>
      <c r="C245" s="4"/>
      <c r="D245" s="4"/>
      <c r="E245" s="4"/>
      <c r="F245" s="4"/>
      <c r="G245" s="4"/>
      <c r="H245" s="4"/>
      <c r="I245" s="4"/>
      <c r="J245" s="4"/>
      <c r="K245" s="4"/>
      <c r="L245" s="4"/>
      <c r="M245" s="4"/>
      <c r="N245" s="4"/>
      <c r="O245" s="4"/>
      <c r="P245" s="4"/>
      <c r="Q245" s="4"/>
      <c r="R245" s="4"/>
      <c r="S245" s="4"/>
      <c r="T245" s="4"/>
      <c r="U245" s="4"/>
      <c r="V245" s="4"/>
      <c r="W245" s="242"/>
      <c r="X245" s="4"/>
      <c r="Y245" s="4"/>
      <c r="Z245" s="4"/>
    </row>
    <row r="246" ht="13.5" customHeight="1" spans="1:26" x14ac:dyDescent="0.25">
      <c r="A246" s="4"/>
      <c r="B246" s="4"/>
      <c r="C246" s="4"/>
      <c r="D246" s="4"/>
      <c r="E246" s="4"/>
      <c r="F246" s="4"/>
      <c r="G246" s="4"/>
      <c r="H246" s="4"/>
      <c r="I246" s="4"/>
      <c r="J246" s="4"/>
      <c r="K246" s="4"/>
      <c r="L246" s="4"/>
      <c r="M246" s="4"/>
      <c r="N246" s="4"/>
      <c r="O246" s="4"/>
      <c r="P246" s="4"/>
      <c r="Q246" s="4"/>
      <c r="R246" s="4"/>
      <c r="S246" s="4"/>
      <c r="T246" s="4"/>
      <c r="U246" s="4"/>
      <c r="V246" s="4"/>
      <c r="W246" s="242"/>
      <c r="X246" s="4"/>
      <c r="Y246" s="4"/>
      <c r="Z246" s="4"/>
    </row>
    <row r="247" ht="13.5" customHeight="1" spans="1:26" x14ac:dyDescent="0.25">
      <c r="A247" s="4"/>
      <c r="B247" s="4"/>
      <c r="C247" s="4"/>
      <c r="D247" s="4"/>
      <c r="E247" s="4"/>
      <c r="F247" s="4"/>
      <c r="G247" s="4"/>
      <c r="H247" s="4"/>
      <c r="I247" s="4"/>
      <c r="J247" s="4"/>
      <c r="K247" s="4"/>
      <c r="L247" s="4"/>
      <c r="M247" s="4"/>
      <c r="N247" s="4"/>
      <c r="O247" s="4"/>
      <c r="P247" s="4"/>
      <c r="Q247" s="4"/>
      <c r="R247" s="4"/>
      <c r="S247" s="4"/>
      <c r="T247" s="4"/>
      <c r="U247" s="4"/>
      <c r="V247" s="4"/>
      <c r="W247" s="242"/>
      <c r="X247" s="4"/>
      <c r="Y247" s="4"/>
      <c r="Z247" s="4"/>
    </row>
    <row r="248" ht="13.5" customHeight="1" spans="1:26" x14ac:dyDescent="0.25">
      <c r="A248" s="4"/>
      <c r="B248" s="4"/>
      <c r="C248" s="4"/>
      <c r="D248" s="4"/>
      <c r="E248" s="4"/>
      <c r="F248" s="4"/>
      <c r="G248" s="4"/>
      <c r="H248" s="4"/>
      <c r="I248" s="4"/>
      <c r="J248" s="4"/>
      <c r="K248" s="4"/>
      <c r="L248" s="4"/>
      <c r="M248" s="4"/>
      <c r="N248" s="4"/>
      <c r="O248" s="4"/>
      <c r="P248" s="4"/>
      <c r="Q248" s="4"/>
      <c r="R248" s="4"/>
      <c r="S248" s="4"/>
      <c r="T248" s="4"/>
      <c r="U248" s="4"/>
      <c r="V248" s="4"/>
      <c r="W248" s="242"/>
      <c r="X248" s="4"/>
      <c r="Y248" s="4"/>
      <c r="Z248" s="4"/>
    </row>
    <row r="249" ht="13.5" customHeight="1" spans="1:26" x14ac:dyDescent="0.25">
      <c r="A249" s="4"/>
      <c r="B249" s="4"/>
      <c r="C249" s="4"/>
      <c r="D249" s="4"/>
      <c r="E249" s="4"/>
      <c r="F249" s="4"/>
      <c r="G249" s="4"/>
      <c r="H249" s="4"/>
      <c r="I249" s="4"/>
      <c r="J249" s="4"/>
      <c r="K249" s="4"/>
      <c r="L249" s="4"/>
      <c r="M249" s="4"/>
      <c r="N249" s="4"/>
      <c r="O249" s="4"/>
      <c r="P249" s="4"/>
      <c r="Q249" s="4"/>
      <c r="R249" s="4"/>
      <c r="S249" s="4"/>
      <c r="T249" s="4"/>
      <c r="U249" s="4"/>
      <c r="V249" s="4"/>
      <c r="W249" s="242"/>
      <c r="X249" s="4"/>
      <c r="Y249" s="4"/>
      <c r="Z249" s="4"/>
    </row>
    <row r="250" ht="13.5" customHeight="1" spans="1:26" x14ac:dyDescent="0.25">
      <c r="A250" s="4"/>
      <c r="B250" s="4"/>
      <c r="C250" s="4"/>
      <c r="D250" s="4"/>
      <c r="E250" s="4"/>
      <c r="F250" s="4"/>
      <c r="G250" s="4"/>
      <c r="H250" s="4"/>
      <c r="I250" s="4"/>
      <c r="J250" s="4"/>
      <c r="K250" s="4"/>
      <c r="L250" s="4"/>
      <c r="M250" s="4"/>
      <c r="N250" s="4"/>
      <c r="O250" s="4"/>
      <c r="P250" s="4"/>
      <c r="Q250" s="4"/>
      <c r="R250" s="4"/>
      <c r="S250" s="4"/>
      <c r="T250" s="4"/>
      <c r="U250" s="4"/>
      <c r="V250" s="4"/>
      <c r="W250" s="242"/>
      <c r="X250" s="4"/>
      <c r="Y250" s="4"/>
      <c r="Z250" s="4"/>
    </row>
    <row r="251" ht="13.5" customHeight="1" spans="1:26" x14ac:dyDescent="0.25">
      <c r="A251" s="4"/>
      <c r="B251" s="4"/>
      <c r="C251" s="4"/>
      <c r="D251" s="4"/>
      <c r="E251" s="4"/>
      <c r="F251" s="4"/>
      <c r="G251" s="4"/>
      <c r="H251" s="4"/>
      <c r="I251" s="4"/>
      <c r="J251" s="4"/>
      <c r="K251" s="4"/>
      <c r="L251" s="4"/>
      <c r="M251" s="4"/>
      <c r="N251" s="4"/>
      <c r="O251" s="4"/>
      <c r="P251" s="4"/>
      <c r="Q251" s="4"/>
      <c r="R251" s="4"/>
      <c r="S251" s="4"/>
      <c r="T251" s="4"/>
      <c r="U251" s="4"/>
      <c r="V251" s="4"/>
      <c r="W251" s="242"/>
      <c r="X251" s="4"/>
      <c r="Y251" s="4"/>
      <c r="Z251" s="4"/>
    </row>
    <row r="252" ht="13.5" customHeight="1" spans="1:26" x14ac:dyDescent="0.25">
      <c r="A252" s="4"/>
      <c r="B252" s="4"/>
      <c r="C252" s="4"/>
      <c r="D252" s="4"/>
      <c r="E252" s="4"/>
      <c r="F252" s="4"/>
      <c r="G252" s="4"/>
      <c r="H252" s="4"/>
      <c r="I252" s="4"/>
      <c r="J252" s="4"/>
      <c r="K252" s="4"/>
      <c r="L252" s="4"/>
      <c r="M252" s="4"/>
      <c r="N252" s="4"/>
      <c r="O252" s="4"/>
      <c r="P252" s="4"/>
      <c r="Q252" s="4"/>
      <c r="R252" s="4"/>
      <c r="S252" s="4"/>
      <c r="T252" s="4"/>
      <c r="U252" s="4"/>
      <c r="V252" s="4"/>
      <c r="W252" s="242"/>
      <c r="X252" s="4"/>
      <c r="Y252" s="4"/>
      <c r="Z252" s="4"/>
    </row>
    <row r="253" ht="13.5" customHeight="1" spans="1:26" x14ac:dyDescent="0.25">
      <c r="A253" s="4"/>
      <c r="B253" s="4"/>
      <c r="C253" s="4"/>
      <c r="D253" s="4"/>
      <c r="E253" s="4"/>
      <c r="F253" s="4"/>
      <c r="G253" s="4"/>
      <c r="H253" s="4"/>
      <c r="I253" s="4"/>
      <c r="J253" s="4"/>
      <c r="K253" s="4"/>
      <c r="L253" s="4"/>
      <c r="M253" s="4"/>
      <c r="N253" s="4"/>
      <c r="O253" s="4"/>
      <c r="P253" s="4"/>
      <c r="Q253" s="4"/>
      <c r="R253" s="4"/>
      <c r="S253" s="4"/>
      <c r="T253" s="4"/>
      <c r="U253" s="4"/>
      <c r="V253" s="4"/>
      <c r="W253" s="242"/>
      <c r="X253" s="4"/>
      <c r="Y253" s="4"/>
      <c r="Z253" s="4"/>
    </row>
    <row r="254" ht="13.5" customHeight="1" spans="1:26" x14ac:dyDescent="0.25">
      <c r="A254" s="4"/>
      <c r="B254" s="4"/>
      <c r="C254" s="4"/>
      <c r="D254" s="4"/>
      <c r="E254" s="4"/>
      <c r="F254" s="4"/>
      <c r="G254" s="4"/>
      <c r="H254" s="4"/>
      <c r="I254" s="4"/>
      <c r="J254" s="4"/>
      <c r="K254" s="4"/>
      <c r="L254" s="4"/>
      <c r="M254" s="4"/>
      <c r="N254" s="4"/>
      <c r="O254" s="4"/>
      <c r="P254" s="4"/>
      <c r="Q254" s="4"/>
      <c r="R254" s="4"/>
      <c r="S254" s="4"/>
      <c r="T254" s="4"/>
      <c r="U254" s="4"/>
      <c r="V254" s="4"/>
      <c r="W254" s="242"/>
      <c r="X254" s="4"/>
      <c r="Y254" s="4"/>
      <c r="Z254" s="4"/>
    </row>
    <row r="255" ht="13.5" customHeight="1" spans="1:26" x14ac:dyDescent="0.25">
      <c r="A255" s="4"/>
      <c r="B255" s="4"/>
      <c r="C255" s="4"/>
      <c r="D255" s="4"/>
      <c r="E255" s="4"/>
      <c r="F255" s="4"/>
      <c r="G255" s="4"/>
      <c r="H255" s="4"/>
      <c r="I255" s="4"/>
      <c r="J255" s="4"/>
      <c r="K255" s="4"/>
      <c r="L255" s="4"/>
      <c r="M255" s="4"/>
      <c r="N255" s="4"/>
      <c r="O255" s="4"/>
      <c r="P255" s="4"/>
      <c r="Q255" s="4"/>
      <c r="R255" s="4"/>
      <c r="S255" s="4"/>
      <c r="T255" s="4"/>
      <c r="U255" s="4"/>
      <c r="V255" s="4"/>
      <c r="W255" s="242"/>
      <c r="X255" s="4"/>
      <c r="Y255" s="4"/>
      <c r="Z255" s="4"/>
    </row>
    <row r="256" ht="13.5" customHeight="1" spans="1:26" x14ac:dyDescent="0.25">
      <c r="A256" s="4"/>
      <c r="B256" s="4"/>
      <c r="C256" s="4"/>
      <c r="D256" s="4"/>
      <c r="E256" s="4"/>
      <c r="F256" s="4"/>
      <c r="G256" s="4"/>
      <c r="H256" s="4"/>
      <c r="I256" s="4"/>
      <c r="J256" s="4"/>
      <c r="K256" s="4"/>
      <c r="L256" s="4"/>
      <c r="M256" s="4"/>
      <c r="N256" s="4"/>
      <c r="O256" s="4"/>
      <c r="P256" s="4"/>
      <c r="Q256" s="4"/>
      <c r="R256" s="4"/>
      <c r="S256" s="4"/>
      <c r="T256" s="4"/>
      <c r="U256" s="4"/>
      <c r="V256" s="4"/>
      <c r="W256" s="242"/>
      <c r="X256" s="4"/>
      <c r="Y256" s="4"/>
      <c r="Z256" s="4"/>
    </row>
    <row r="257" ht="13.5" customHeight="1" spans="1:26" x14ac:dyDescent="0.25">
      <c r="A257" s="4"/>
      <c r="B257" s="4"/>
      <c r="C257" s="4"/>
      <c r="D257" s="4"/>
      <c r="E257" s="4"/>
      <c r="F257" s="4"/>
      <c r="G257" s="4"/>
      <c r="H257" s="4"/>
      <c r="I257" s="4"/>
      <c r="J257" s="4"/>
      <c r="K257" s="4"/>
      <c r="L257" s="4"/>
      <c r="M257" s="4"/>
      <c r="N257" s="4"/>
      <c r="O257" s="4"/>
      <c r="P257" s="4"/>
      <c r="Q257" s="4"/>
      <c r="R257" s="4"/>
      <c r="S257" s="4"/>
      <c r="T257" s="4"/>
      <c r="U257" s="4"/>
      <c r="V257" s="4"/>
      <c r="W257" s="242"/>
      <c r="X257" s="4"/>
      <c r="Y257" s="4"/>
      <c r="Z257" s="4"/>
    </row>
    <row r="258" ht="13.5" customHeight="1" spans="1:26" x14ac:dyDescent="0.25">
      <c r="A258" s="4"/>
      <c r="B258" s="4"/>
      <c r="C258" s="4"/>
      <c r="D258" s="4"/>
      <c r="E258" s="4"/>
      <c r="F258" s="4"/>
      <c r="G258" s="4"/>
      <c r="H258" s="4"/>
      <c r="I258" s="4"/>
      <c r="J258" s="4"/>
      <c r="K258" s="4"/>
      <c r="L258" s="4"/>
      <c r="M258" s="4"/>
      <c r="N258" s="4"/>
      <c r="O258" s="4"/>
      <c r="P258" s="4"/>
      <c r="Q258" s="4"/>
      <c r="R258" s="4"/>
      <c r="S258" s="4"/>
      <c r="T258" s="4"/>
      <c r="U258" s="4"/>
      <c r="V258" s="4"/>
      <c r="W258" s="242"/>
      <c r="X258" s="4"/>
      <c r="Y258" s="4"/>
      <c r="Z258" s="4"/>
    </row>
    <row r="259" ht="13.5" customHeight="1" spans="1:26" x14ac:dyDescent="0.25">
      <c r="A259" s="4"/>
      <c r="B259" s="4"/>
      <c r="C259" s="4"/>
      <c r="D259" s="4"/>
      <c r="E259" s="4"/>
      <c r="F259" s="4"/>
      <c r="G259" s="4"/>
      <c r="H259" s="4"/>
      <c r="I259" s="4"/>
      <c r="J259" s="4"/>
      <c r="K259" s="4"/>
      <c r="L259" s="4"/>
      <c r="M259" s="4"/>
      <c r="N259" s="4"/>
      <c r="O259" s="4"/>
      <c r="P259" s="4"/>
      <c r="Q259" s="4"/>
      <c r="R259" s="4"/>
      <c r="S259" s="4"/>
      <c r="T259" s="4"/>
      <c r="U259" s="4"/>
      <c r="V259" s="4"/>
      <c r="W259" s="242"/>
      <c r="X259" s="4"/>
      <c r="Y259" s="4"/>
      <c r="Z259" s="4"/>
    </row>
    <row r="260" ht="13.5" customHeight="1" spans="1:26" x14ac:dyDescent="0.25">
      <c r="A260" s="4"/>
      <c r="B260" s="4"/>
      <c r="C260" s="4"/>
      <c r="D260" s="4"/>
      <c r="E260" s="4"/>
      <c r="F260" s="4"/>
      <c r="G260" s="4"/>
      <c r="H260" s="4"/>
      <c r="I260" s="4"/>
      <c r="J260" s="4"/>
      <c r="K260" s="4"/>
      <c r="L260" s="4"/>
      <c r="M260" s="4"/>
      <c r="N260" s="4"/>
      <c r="O260" s="4"/>
      <c r="P260" s="4"/>
      <c r="Q260" s="4"/>
      <c r="R260" s="4"/>
      <c r="S260" s="4"/>
      <c r="T260" s="4"/>
      <c r="U260" s="4"/>
      <c r="V260" s="4"/>
      <c r="W260" s="242"/>
      <c r="X260" s="4"/>
      <c r="Y260" s="4"/>
      <c r="Z260" s="4"/>
    </row>
    <row r="261" ht="13.5" customHeight="1" spans="1:26" x14ac:dyDescent="0.25">
      <c r="A261" s="4"/>
      <c r="B261" s="4"/>
      <c r="C261" s="4"/>
      <c r="D261" s="4"/>
      <c r="E261" s="4"/>
      <c r="F261" s="4"/>
      <c r="G261" s="4"/>
      <c r="H261" s="4"/>
      <c r="I261" s="4"/>
      <c r="J261" s="4"/>
      <c r="K261" s="4"/>
      <c r="L261" s="4"/>
      <c r="M261" s="4"/>
      <c r="N261" s="4"/>
      <c r="O261" s="4"/>
      <c r="P261" s="4"/>
      <c r="Q261" s="4"/>
      <c r="R261" s="4"/>
      <c r="S261" s="4"/>
      <c r="T261" s="4"/>
      <c r="U261" s="4"/>
      <c r="V261" s="4"/>
      <c r="W261" s="242"/>
      <c r="X261" s="4"/>
      <c r="Y261" s="4"/>
      <c r="Z261" s="4"/>
    </row>
    <row r="262" ht="13.5" customHeight="1" spans="1:26" x14ac:dyDescent="0.25">
      <c r="A262" s="4"/>
      <c r="B262" s="4"/>
      <c r="C262" s="4"/>
      <c r="D262" s="4"/>
      <c r="E262" s="4"/>
      <c r="F262" s="4"/>
      <c r="G262" s="4"/>
      <c r="H262" s="4"/>
      <c r="I262" s="4"/>
      <c r="J262" s="4"/>
      <c r="K262" s="4"/>
      <c r="L262" s="4"/>
      <c r="M262" s="4"/>
      <c r="N262" s="4"/>
      <c r="O262" s="4"/>
      <c r="P262" s="4"/>
      <c r="Q262" s="4"/>
      <c r="R262" s="4"/>
      <c r="S262" s="4"/>
      <c r="T262" s="4"/>
      <c r="U262" s="4"/>
      <c r="V262" s="4"/>
      <c r="W262" s="242"/>
      <c r="X262" s="4"/>
      <c r="Y262" s="4"/>
      <c r="Z262" s="4"/>
    </row>
    <row r="263" ht="13.5" customHeight="1" spans="1:26" x14ac:dyDescent="0.25">
      <c r="A263" s="4"/>
      <c r="B263" s="4"/>
      <c r="C263" s="4"/>
      <c r="D263" s="4"/>
      <c r="E263" s="4"/>
      <c r="F263" s="4"/>
      <c r="G263" s="4"/>
      <c r="H263" s="4"/>
      <c r="I263" s="4"/>
      <c r="J263" s="4"/>
      <c r="K263" s="4"/>
      <c r="L263" s="4"/>
      <c r="M263" s="4"/>
      <c r="N263" s="4"/>
      <c r="O263" s="4"/>
      <c r="P263" s="4"/>
      <c r="Q263" s="4"/>
      <c r="R263" s="4"/>
      <c r="S263" s="4"/>
      <c r="T263" s="4"/>
      <c r="U263" s="4"/>
      <c r="V263" s="4"/>
      <c r="W263" s="242"/>
      <c r="X263" s="4"/>
      <c r="Y263" s="4"/>
      <c r="Z263" s="4"/>
    </row>
    <row r="264" ht="13.5" customHeight="1" spans="1:26" x14ac:dyDescent="0.25">
      <c r="A264" s="4"/>
      <c r="B264" s="4"/>
      <c r="C264" s="4"/>
      <c r="D264" s="4"/>
      <c r="E264" s="4"/>
      <c r="F264" s="4"/>
      <c r="G264" s="4"/>
      <c r="H264" s="4"/>
      <c r="I264" s="4"/>
      <c r="J264" s="4"/>
      <c r="K264" s="4"/>
      <c r="L264" s="4"/>
      <c r="M264" s="4"/>
      <c r="N264" s="4"/>
      <c r="O264" s="4"/>
      <c r="P264" s="4"/>
      <c r="Q264" s="4"/>
      <c r="R264" s="4"/>
      <c r="S264" s="4"/>
      <c r="T264" s="4"/>
      <c r="U264" s="4"/>
      <c r="V264" s="4"/>
      <c r="W264" s="242"/>
      <c r="X264" s="4"/>
      <c r="Y264" s="4"/>
      <c r="Z264" s="4"/>
    </row>
    <row r="265" ht="13.5" customHeight="1" spans="1:26" x14ac:dyDescent="0.25">
      <c r="A265" s="4"/>
      <c r="B265" s="4"/>
      <c r="C265" s="4"/>
      <c r="D265" s="4"/>
      <c r="E265" s="4"/>
      <c r="F265" s="4"/>
      <c r="G265" s="4"/>
      <c r="H265" s="4"/>
      <c r="I265" s="4"/>
      <c r="J265" s="4"/>
      <c r="K265" s="4"/>
      <c r="L265" s="4"/>
      <c r="M265" s="4"/>
      <c r="N265" s="4"/>
      <c r="O265" s="4"/>
      <c r="P265" s="4"/>
      <c r="Q265" s="4"/>
      <c r="R265" s="4"/>
      <c r="S265" s="4"/>
      <c r="T265" s="4"/>
      <c r="U265" s="4"/>
      <c r="V265" s="4"/>
      <c r="W265" s="242"/>
      <c r="X265" s="4"/>
      <c r="Y265" s="4"/>
      <c r="Z265" s="4"/>
    </row>
    <row r="266" ht="13.5" customHeight="1" spans="1:26" x14ac:dyDescent="0.25">
      <c r="A266" s="4"/>
      <c r="B266" s="4"/>
      <c r="C266" s="4"/>
      <c r="D266" s="4"/>
      <c r="E266" s="4"/>
      <c r="F266" s="4"/>
      <c r="G266" s="4"/>
      <c r="H266" s="4"/>
      <c r="I266" s="4"/>
      <c r="J266" s="4"/>
      <c r="K266" s="4"/>
      <c r="L266" s="4"/>
      <c r="M266" s="4"/>
      <c r="N266" s="4"/>
      <c r="O266" s="4"/>
      <c r="P266" s="4"/>
      <c r="Q266" s="4"/>
      <c r="R266" s="4"/>
      <c r="S266" s="4"/>
      <c r="T266" s="4"/>
      <c r="U266" s="4"/>
      <c r="V266" s="4"/>
      <c r="W266" s="242"/>
      <c r="X266" s="4"/>
      <c r="Y266" s="4"/>
      <c r="Z266" s="4"/>
    </row>
    <row r="267" ht="13.5" customHeight="1" spans="1:26" x14ac:dyDescent="0.25">
      <c r="A267" s="4"/>
      <c r="B267" s="4"/>
      <c r="C267" s="4"/>
      <c r="D267" s="4"/>
      <c r="E267" s="4"/>
      <c r="F267" s="4"/>
      <c r="G267" s="4"/>
      <c r="H267" s="4"/>
      <c r="I267" s="4"/>
      <c r="J267" s="4"/>
      <c r="K267" s="4"/>
      <c r="L267" s="4"/>
      <c r="M267" s="4"/>
      <c r="N267" s="4"/>
      <c r="O267" s="4"/>
      <c r="P267" s="4"/>
      <c r="Q267" s="4"/>
      <c r="R267" s="4"/>
      <c r="S267" s="4"/>
      <c r="T267" s="4"/>
      <c r="U267" s="4"/>
      <c r="V267" s="4"/>
      <c r="W267" s="242"/>
      <c r="X267" s="4"/>
      <c r="Y267" s="4"/>
      <c r="Z267" s="4"/>
    </row>
    <row r="268" ht="13.5" customHeight="1" spans="1:26" x14ac:dyDescent="0.25">
      <c r="A268" s="4"/>
      <c r="B268" s="4"/>
      <c r="C268" s="4"/>
      <c r="D268" s="4"/>
      <c r="E268" s="4"/>
      <c r="F268" s="4"/>
      <c r="G268" s="4"/>
      <c r="H268" s="4"/>
      <c r="I268" s="4"/>
      <c r="J268" s="4"/>
      <c r="K268" s="4"/>
      <c r="L268" s="4"/>
      <c r="M268" s="4"/>
      <c r="N268" s="4"/>
      <c r="O268" s="4"/>
      <c r="P268" s="4"/>
      <c r="Q268" s="4"/>
      <c r="R268" s="4"/>
      <c r="S268" s="4"/>
      <c r="T268" s="4"/>
      <c r="U268" s="4"/>
      <c r="V268" s="4"/>
      <c r="W268" s="242"/>
      <c r="X268" s="4"/>
      <c r="Y268" s="4"/>
      <c r="Z268" s="4"/>
    </row>
    <row r="269" ht="13.5" customHeight="1" spans="1:26" x14ac:dyDescent="0.25">
      <c r="A269" s="4"/>
      <c r="B269" s="4"/>
      <c r="C269" s="4"/>
      <c r="D269" s="4"/>
      <c r="E269" s="4"/>
      <c r="F269" s="4"/>
      <c r="G269" s="4"/>
      <c r="H269" s="4"/>
      <c r="I269" s="4"/>
      <c r="J269" s="4"/>
      <c r="K269" s="4"/>
      <c r="L269" s="4"/>
      <c r="M269" s="4"/>
      <c r="N269" s="4"/>
      <c r="O269" s="4"/>
      <c r="P269" s="4"/>
      <c r="Q269" s="4"/>
      <c r="R269" s="4"/>
      <c r="S269" s="4"/>
      <c r="T269" s="4"/>
      <c r="U269" s="4"/>
      <c r="V269" s="4"/>
      <c r="W269" s="242"/>
      <c r="X269" s="4"/>
      <c r="Y269" s="4"/>
      <c r="Z269" s="4"/>
    </row>
    <row r="270" ht="13.5" customHeight="1" spans="1:26" x14ac:dyDescent="0.25">
      <c r="A270" s="4"/>
      <c r="B270" s="4"/>
      <c r="C270" s="4"/>
      <c r="D270" s="4"/>
      <c r="E270" s="4"/>
      <c r="F270" s="4"/>
      <c r="G270" s="4"/>
      <c r="H270" s="4"/>
      <c r="I270" s="4"/>
      <c r="J270" s="4"/>
      <c r="K270" s="4"/>
      <c r="L270" s="4"/>
      <c r="M270" s="4"/>
      <c r="N270" s="4"/>
      <c r="O270" s="4"/>
      <c r="P270" s="4"/>
      <c r="Q270" s="4"/>
      <c r="R270" s="4"/>
      <c r="S270" s="4"/>
      <c r="T270" s="4"/>
      <c r="U270" s="4"/>
      <c r="V270" s="4"/>
      <c r="W270" s="242"/>
      <c r="X270" s="4"/>
      <c r="Y270" s="4"/>
      <c r="Z270" s="4"/>
    </row>
    <row r="271" ht="13.5" customHeight="1" spans="1:26" x14ac:dyDescent="0.25">
      <c r="A271" s="4"/>
      <c r="B271" s="4"/>
      <c r="C271" s="4"/>
      <c r="D271" s="4"/>
      <c r="E271" s="4"/>
      <c r="F271" s="4"/>
      <c r="G271" s="4"/>
      <c r="H271" s="4"/>
      <c r="I271" s="4"/>
      <c r="J271" s="4"/>
      <c r="K271" s="4"/>
      <c r="L271" s="4"/>
      <c r="M271" s="4"/>
      <c r="N271" s="4"/>
      <c r="O271" s="4"/>
      <c r="P271" s="4"/>
      <c r="Q271" s="4"/>
      <c r="R271" s="4"/>
      <c r="S271" s="4"/>
      <c r="T271" s="4"/>
      <c r="U271" s="4"/>
      <c r="V271" s="4"/>
      <c r="W271" s="242"/>
      <c r="X271" s="4"/>
      <c r="Y271" s="4"/>
      <c r="Z271" s="4"/>
    </row>
    <row r="272" ht="13.5" customHeight="1" spans="1:26" x14ac:dyDescent="0.25">
      <c r="A272" s="4"/>
      <c r="B272" s="4"/>
      <c r="C272" s="4"/>
      <c r="D272" s="4"/>
      <c r="E272" s="4"/>
      <c r="F272" s="4"/>
      <c r="G272" s="4"/>
      <c r="H272" s="4"/>
      <c r="I272" s="4"/>
      <c r="J272" s="4"/>
      <c r="K272" s="4"/>
      <c r="L272" s="4"/>
      <c r="M272" s="4"/>
      <c r="N272" s="4"/>
      <c r="O272" s="4"/>
      <c r="P272" s="4"/>
      <c r="Q272" s="4"/>
      <c r="R272" s="4"/>
      <c r="S272" s="4"/>
      <c r="T272" s="4"/>
      <c r="U272" s="4"/>
      <c r="V272" s="4"/>
      <c r="W272" s="242"/>
      <c r="X272" s="4"/>
      <c r="Y272" s="4"/>
      <c r="Z272" s="4"/>
    </row>
    <row r="273" ht="13.5" customHeight="1" spans="1:26" x14ac:dyDescent="0.25">
      <c r="A273" s="4"/>
      <c r="B273" s="4"/>
      <c r="C273" s="4"/>
      <c r="D273" s="4"/>
      <c r="E273" s="4"/>
      <c r="F273" s="4"/>
      <c r="G273" s="4"/>
      <c r="H273" s="4"/>
      <c r="I273" s="4"/>
      <c r="J273" s="4"/>
      <c r="K273" s="4"/>
      <c r="L273" s="4"/>
      <c r="M273" s="4"/>
      <c r="N273" s="4"/>
      <c r="O273" s="4"/>
      <c r="P273" s="4"/>
      <c r="Q273" s="4"/>
      <c r="R273" s="4"/>
      <c r="S273" s="4"/>
      <c r="T273" s="4"/>
      <c r="U273" s="4"/>
      <c r="V273" s="4"/>
      <c r="W273" s="242"/>
      <c r="X273" s="4"/>
      <c r="Y273" s="4"/>
      <c r="Z273" s="4"/>
    </row>
    <row r="274" ht="13.5" customHeight="1" spans="1:26" x14ac:dyDescent="0.25">
      <c r="A274" s="4"/>
      <c r="B274" s="4"/>
      <c r="C274" s="4"/>
      <c r="D274" s="4"/>
      <c r="E274" s="4"/>
      <c r="F274" s="4"/>
      <c r="G274" s="4"/>
      <c r="H274" s="4"/>
      <c r="I274" s="4"/>
      <c r="J274" s="4"/>
      <c r="K274" s="4"/>
      <c r="L274" s="4"/>
      <c r="M274" s="4"/>
      <c r="N274" s="4"/>
      <c r="O274" s="4"/>
      <c r="P274" s="4"/>
      <c r="Q274" s="4"/>
      <c r="R274" s="4"/>
      <c r="S274" s="4"/>
      <c r="T274" s="4"/>
      <c r="U274" s="4"/>
      <c r="V274" s="4"/>
      <c r="W274" s="242"/>
      <c r="X274" s="4"/>
      <c r="Y274" s="4"/>
      <c r="Z274" s="4"/>
    </row>
    <row r="275" ht="13.5" customHeight="1" spans="1:26" x14ac:dyDescent="0.25">
      <c r="A275" s="4"/>
      <c r="B275" s="4"/>
      <c r="C275" s="4"/>
      <c r="D275" s="4"/>
      <c r="E275" s="4"/>
      <c r="F275" s="4"/>
      <c r="G275" s="4"/>
      <c r="H275" s="4"/>
      <c r="I275" s="4"/>
      <c r="J275" s="4"/>
      <c r="K275" s="4"/>
      <c r="L275" s="4"/>
      <c r="M275" s="4"/>
      <c r="N275" s="4"/>
      <c r="O275" s="4"/>
      <c r="P275" s="4"/>
      <c r="Q275" s="4"/>
      <c r="R275" s="4"/>
      <c r="S275" s="4"/>
      <c r="T275" s="4"/>
      <c r="U275" s="4"/>
      <c r="V275" s="4"/>
      <c r="W275" s="242"/>
      <c r="X275" s="4"/>
      <c r="Y275" s="4"/>
      <c r="Z275" s="4"/>
    </row>
    <row r="276" ht="13.5" customHeight="1" spans="1:26" x14ac:dyDescent="0.25">
      <c r="A276" s="4"/>
      <c r="B276" s="4"/>
      <c r="C276" s="4"/>
      <c r="D276" s="4"/>
      <c r="E276" s="4"/>
      <c r="F276" s="4"/>
      <c r="G276" s="4"/>
      <c r="H276" s="4"/>
      <c r="I276" s="4"/>
      <c r="J276" s="4"/>
      <c r="K276" s="4"/>
      <c r="L276" s="4"/>
      <c r="M276" s="4"/>
      <c r="N276" s="4"/>
      <c r="O276" s="4"/>
      <c r="P276" s="4"/>
      <c r="Q276" s="4"/>
      <c r="R276" s="4"/>
      <c r="S276" s="4"/>
      <c r="T276" s="4"/>
      <c r="U276" s="4"/>
      <c r="V276" s="4"/>
      <c r="W276" s="242"/>
      <c r="X276" s="4"/>
      <c r="Y276" s="4"/>
      <c r="Z276" s="4"/>
    </row>
    <row r="277" ht="13.5" customHeight="1" spans="1:26" x14ac:dyDescent="0.25">
      <c r="A277" s="4"/>
      <c r="B277" s="4"/>
      <c r="C277" s="4"/>
      <c r="D277" s="4"/>
      <c r="E277" s="4"/>
      <c r="F277" s="4"/>
      <c r="G277" s="4"/>
      <c r="H277" s="4"/>
      <c r="I277" s="4"/>
      <c r="J277" s="4"/>
      <c r="K277" s="4"/>
      <c r="L277" s="4"/>
      <c r="M277" s="4"/>
      <c r="N277" s="4"/>
      <c r="O277" s="4"/>
      <c r="P277" s="4"/>
      <c r="Q277" s="4"/>
      <c r="R277" s="4"/>
      <c r="S277" s="4"/>
      <c r="T277" s="4"/>
      <c r="U277" s="4"/>
      <c r="V277" s="4"/>
      <c r="W277" s="242"/>
      <c r="X277" s="4"/>
      <c r="Y277" s="4"/>
      <c r="Z277" s="4"/>
    </row>
    <row r="278" ht="13.5" customHeight="1" spans="1:26" x14ac:dyDescent="0.25">
      <c r="A278" s="4"/>
      <c r="B278" s="4"/>
      <c r="C278" s="4"/>
      <c r="D278" s="4"/>
      <c r="E278" s="4"/>
      <c r="F278" s="4"/>
      <c r="G278" s="4"/>
      <c r="H278" s="4"/>
      <c r="I278" s="4"/>
      <c r="J278" s="4"/>
      <c r="K278" s="4"/>
      <c r="L278" s="4"/>
      <c r="M278" s="4"/>
      <c r="N278" s="4"/>
      <c r="O278" s="4"/>
      <c r="P278" s="4"/>
      <c r="Q278" s="4"/>
      <c r="R278" s="4"/>
      <c r="S278" s="4"/>
      <c r="T278" s="4"/>
      <c r="U278" s="4"/>
      <c r="V278" s="4"/>
      <c r="W278" s="242"/>
      <c r="X278" s="4"/>
      <c r="Y278" s="4"/>
      <c r="Z278" s="4"/>
    </row>
    <row r="279" ht="13.5" customHeight="1" spans="1:26" x14ac:dyDescent="0.25">
      <c r="A279" s="4"/>
      <c r="B279" s="4"/>
      <c r="C279" s="4"/>
      <c r="D279" s="4"/>
      <c r="E279" s="4"/>
      <c r="F279" s="4"/>
      <c r="G279" s="4"/>
      <c r="H279" s="4"/>
      <c r="I279" s="4"/>
      <c r="J279" s="4"/>
      <c r="K279" s="4"/>
      <c r="L279" s="4"/>
      <c r="M279" s="4"/>
      <c r="N279" s="4"/>
      <c r="O279" s="4"/>
      <c r="P279" s="4"/>
      <c r="Q279" s="4"/>
      <c r="R279" s="4"/>
      <c r="S279" s="4"/>
      <c r="T279" s="4"/>
      <c r="U279" s="4"/>
      <c r="V279" s="4"/>
      <c r="W279" s="242"/>
      <c r="X279" s="4"/>
      <c r="Y279" s="4"/>
      <c r="Z279" s="4"/>
    </row>
    <row r="280" ht="13.5" customHeight="1" spans="1:26" x14ac:dyDescent="0.25">
      <c r="A280" s="4"/>
      <c r="B280" s="4"/>
      <c r="C280" s="4"/>
      <c r="D280" s="4"/>
      <c r="E280" s="4"/>
      <c r="F280" s="4"/>
      <c r="G280" s="4"/>
      <c r="H280" s="4"/>
      <c r="I280" s="4"/>
      <c r="J280" s="4"/>
      <c r="K280" s="4"/>
      <c r="L280" s="4"/>
      <c r="M280" s="4"/>
      <c r="N280" s="4"/>
      <c r="O280" s="4"/>
      <c r="P280" s="4"/>
      <c r="Q280" s="4"/>
      <c r="R280" s="4"/>
      <c r="S280" s="4"/>
      <c r="T280" s="4"/>
      <c r="U280" s="4"/>
      <c r="V280" s="4"/>
      <c r="W280" s="242"/>
      <c r="X280" s="4"/>
      <c r="Y280" s="4"/>
      <c r="Z280" s="4"/>
    </row>
    <row r="281" ht="13.5" customHeight="1" spans="1:26" x14ac:dyDescent="0.25">
      <c r="A281" s="4"/>
      <c r="B281" s="4"/>
      <c r="C281" s="4"/>
      <c r="D281" s="4"/>
      <c r="E281" s="4"/>
      <c r="F281" s="4"/>
      <c r="G281" s="4"/>
      <c r="H281" s="4"/>
      <c r="I281" s="4"/>
      <c r="J281" s="4"/>
      <c r="K281" s="4"/>
      <c r="L281" s="4"/>
      <c r="M281" s="4"/>
      <c r="N281" s="4"/>
      <c r="O281" s="4"/>
      <c r="P281" s="4"/>
      <c r="Q281" s="4"/>
      <c r="R281" s="4"/>
      <c r="S281" s="4"/>
      <c r="T281" s="4"/>
      <c r="U281" s="4"/>
      <c r="V281" s="4"/>
      <c r="W281" s="242"/>
      <c r="X281" s="4"/>
      <c r="Y281" s="4"/>
      <c r="Z281" s="4"/>
    </row>
    <row r="282" ht="13.5" customHeight="1" spans="1:26" x14ac:dyDescent="0.25">
      <c r="A282" s="4"/>
      <c r="B282" s="4"/>
      <c r="C282" s="4"/>
      <c r="D282" s="4"/>
      <c r="E282" s="4"/>
      <c r="F282" s="4"/>
      <c r="G282" s="4"/>
      <c r="H282" s="4"/>
      <c r="I282" s="4"/>
      <c r="J282" s="4"/>
      <c r="K282" s="4"/>
      <c r="L282" s="4"/>
      <c r="M282" s="4"/>
      <c r="N282" s="4"/>
      <c r="O282" s="4"/>
      <c r="P282" s="4"/>
      <c r="Q282" s="4"/>
      <c r="R282" s="4"/>
      <c r="S282" s="4"/>
      <c r="T282" s="4"/>
      <c r="U282" s="4"/>
      <c r="V282" s="4"/>
      <c r="W282" s="242"/>
      <c r="X282" s="4"/>
      <c r="Y282" s="4"/>
      <c r="Z282" s="4"/>
    </row>
    <row r="283" ht="13.5" customHeight="1" spans="1:26" x14ac:dyDescent="0.25">
      <c r="A283" s="4"/>
      <c r="B283" s="4"/>
      <c r="C283" s="4"/>
      <c r="D283" s="4"/>
      <c r="E283" s="4"/>
      <c r="F283" s="4"/>
      <c r="G283" s="4"/>
      <c r="H283" s="4"/>
      <c r="I283" s="4"/>
      <c r="J283" s="4"/>
      <c r="K283" s="4"/>
      <c r="L283" s="4"/>
      <c r="M283" s="4"/>
      <c r="N283" s="4"/>
      <c r="O283" s="4"/>
      <c r="P283" s="4"/>
      <c r="Q283" s="4"/>
      <c r="R283" s="4"/>
      <c r="S283" s="4"/>
      <c r="T283" s="4"/>
      <c r="U283" s="4"/>
      <c r="V283" s="4"/>
      <c r="W283" s="242"/>
      <c r="X283" s="4"/>
      <c r="Y283" s="4"/>
      <c r="Z283" s="4"/>
    </row>
    <row r="284" ht="13.5" customHeight="1" spans="1:26" x14ac:dyDescent="0.25">
      <c r="A284" s="4"/>
      <c r="B284" s="4"/>
      <c r="C284" s="4"/>
      <c r="D284" s="4"/>
      <c r="E284" s="4"/>
      <c r="F284" s="4"/>
      <c r="G284" s="4"/>
      <c r="H284" s="4"/>
      <c r="I284" s="4"/>
      <c r="J284" s="4"/>
      <c r="K284" s="4"/>
      <c r="L284" s="4"/>
      <c r="M284" s="4"/>
      <c r="N284" s="4"/>
      <c r="O284" s="4"/>
      <c r="P284" s="4"/>
      <c r="Q284" s="4"/>
      <c r="R284" s="4"/>
      <c r="S284" s="4"/>
      <c r="T284" s="4"/>
      <c r="U284" s="4"/>
      <c r="V284" s="4"/>
      <c r="W284" s="242"/>
      <c r="X284" s="4"/>
      <c r="Y284" s="4"/>
      <c r="Z284" s="4"/>
    </row>
    <row r="285" ht="13.5" customHeight="1" spans="1:26" x14ac:dyDescent="0.25">
      <c r="A285" s="4"/>
      <c r="B285" s="4"/>
      <c r="C285" s="4"/>
      <c r="D285" s="4"/>
      <c r="E285" s="4"/>
      <c r="F285" s="4"/>
      <c r="G285" s="4"/>
      <c r="H285" s="4"/>
      <c r="I285" s="4"/>
      <c r="J285" s="4"/>
      <c r="K285" s="4"/>
      <c r="L285" s="4"/>
      <c r="M285" s="4"/>
      <c r="N285" s="4"/>
      <c r="O285" s="4"/>
      <c r="P285" s="4"/>
      <c r="Q285" s="4"/>
      <c r="R285" s="4"/>
      <c r="S285" s="4"/>
      <c r="T285" s="4"/>
      <c r="U285" s="4"/>
      <c r="V285" s="4"/>
      <c r="W285" s="242"/>
      <c r="X285" s="4"/>
      <c r="Y285" s="4"/>
      <c r="Z285" s="4"/>
    </row>
    <row r="286" ht="13.5" customHeight="1" spans="1:26" x14ac:dyDescent="0.25">
      <c r="A286" s="4"/>
      <c r="B286" s="4"/>
      <c r="C286" s="4"/>
      <c r="D286" s="4"/>
      <c r="E286" s="4"/>
      <c r="F286" s="4"/>
      <c r="G286" s="4"/>
      <c r="H286" s="4"/>
      <c r="I286" s="4"/>
      <c r="J286" s="4"/>
      <c r="K286" s="4"/>
      <c r="L286" s="4"/>
      <c r="M286" s="4"/>
      <c r="N286" s="4"/>
      <c r="O286" s="4"/>
      <c r="P286" s="4"/>
      <c r="Q286" s="4"/>
      <c r="R286" s="4"/>
      <c r="S286" s="4"/>
      <c r="T286" s="4"/>
      <c r="U286" s="4"/>
      <c r="V286" s="4"/>
      <c r="W286" s="242"/>
      <c r="X286" s="4"/>
      <c r="Y286" s="4"/>
      <c r="Z286" s="4"/>
    </row>
    <row r="287" ht="13.5" customHeight="1" spans="1:26" x14ac:dyDescent="0.25">
      <c r="A287" s="4"/>
      <c r="B287" s="4"/>
      <c r="C287" s="4"/>
      <c r="D287" s="4"/>
      <c r="E287" s="4"/>
      <c r="F287" s="4"/>
      <c r="G287" s="4"/>
      <c r="H287" s="4"/>
      <c r="I287" s="4"/>
      <c r="J287" s="4"/>
      <c r="K287" s="4"/>
      <c r="L287" s="4"/>
      <c r="M287" s="4"/>
      <c r="N287" s="4"/>
      <c r="O287" s="4"/>
      <c r="P287" s="4"/>
      <c r="Q287" s="4"/>
      <c r="R287" s="4"/>
      <c r="S287" s="4"/>
      <c r="T287" s="4"/>
      <c r="U287" s="4"/>
      <c r="V287" s="4"/>
      <c r="W287" s="242"/>
      <c r="X287" s="4"/>
      <c r="Y287" s="4"/>
      <c r="Z287" s="4"/>
    </row>
    <row r="288" ht="13.5" customHeight="1" spans="1:26" x14ac:dyDescent="0.25">
      <c r="A288" s="4"/>
      <c r="B288" s="4"/>
      <c r="C288" s="4"/>
      <c r="D288" s="4"/>
      <c r="E288" s="4"/>
      <c r="F288" s="4"/>
      <c r="G288" s="4"/>
      <c r="H288" s="4"/>
      <c r="I288" s="4"/>
      <c r="J288" s="4"/>
      <c r="K288" s="4"/>
      <c r="L288" s="4"/>
      <c r="M288" s="4"/>
      <c r="N288" s="4"/>
      <c r="O288" s="4"/>
      <c r="P288" s="4"/>
      <c r="Q288" s="4"/>
      <c r="R288" s="4"/>
      <c r="S288" s="4"/>
      <c r="T288" s="4"/>
      <c r="U288" s="4"/>
      <c r="V288" s="4"/>
      <c r="W288" s="242"/>
      <c r="X288" s="4"/>
      <c r="Y288" s="4"/>
      <c r="Z288" s="4"/>
    </row>
    <row r="289" ht="13.5" customHeight="1" spans="1:26" x14ac:dyDescent="0.25">
      <c r="A289" s="4"/>
      <c r="B289" s="4"/>
      <c r="C289" s="4"/>
      <c r="D289" s="4"/>
      <c r="E289" s="4"/>
      <c r="F289" s="4"/>
      <c r="G289" s="4"/>
      <c r="H289" s="4"/>
      <c r="I289" s="4"/>
      <c r="J289" s="4"/>
      <c r="K289" s="4"/>
      <c r="L289" s="4"/>
      <c r="M289" s="4"/>
      <c r="N289" s="4"/>
      <c r="O289" s="4"/>
      <c r="P289" s="4"/>
      <c r="Q289" s="4"/>
      <c r="R289" s="4"/>
      <c r="S289" s="4"/>
      <c r="T289" s="4"/>
      <c r="U289" s="4"/>
      <c r="V289" s="4"/>
      <c r="W289" s="242"/>
      <c r="X289" s="4"/>
      <c r="Y289" s="4"/>
      <c r="Z289" s="4"/>
    </row>
    <row r="290" ht="13.5" customHeight="1" spans="1:26" x14ac:dyDescent="0.25">
      <c r="A290" s="4"/>
      <c r="B290" s="4"/>
      <c r="C290" s="4"/>
      <c r="D290" s="4"/>
      <c r="E290" s="4"/>
      <c r="F290" s="4"/>
      <c r="G290" s="4"/>
      <c r="H290" s="4"/>
      <c r="I290" s="4"/>
      <c r="J290" s="4"/>
      <c r="K290" s="4"/>
      <c r="L290" s="4"/>
      <c r="M290" s="4"/>
      <c r="N290" s="4"/>
      <c r="O290" s="4"/>
      <c r="P290" s="4"/>
      <c r="Q290" s="4"/>
      <c r="R290" s="4"/>
      <c r="S290" s="4"/>
      <c r="T290" s="4"/>
      <c r="U290" s="4"/>
      <c r="V290" s="4"/>
      <c r="W290" s="242"/>
      <c r="X290" s="4"/>
      <c r="Y290" s="4"/>
      <c r="Z290" s="4"/>
    </row>
    <row r="291" ht="13.5" customHeight="1" spans="1:26" x14ac:dyDescent="0.25">
      <c r="A291" s="4"/>
      <c r="B291" s="4"/>
      <c r="C291" s="4"/>
      <c r="D291" s="4"/>
      <c r="E291" s="4"/>
      <c r="F291" s="4"/>
      <c r="G291" s="4"/>
      <c r="H291" s="4"/>
      <c r="I291" s="4"/>
      <c r="J291" s="4"/>
      <c r="K291" s="4"/>
      <c r="L291" s="4"/>
      <c r="M291" s="4"/>
      <c r="N291" s="4"/>
      <c r="O291" s="4"/>
      <c r="P291" s="4"/>
      <c r="Q291" s="4"/>
      <c r="R291" s="4"/>
      <c r="S291" s="4"/>
      <c r="T291" s="4"/>
      <c r="U291" s="4"/>
      <c r="V291" s="4"/>
      <c r="W291" s="242"/>
      <c r="X291" s="4"/>
      <c r="Y291" s="4"/>
      <c r="Z291" s="4"/>
    </row>
    <row r="292" ht="13.5" customHeight="1" spans="1:26" x14ac:dyDescent="0.25">
      <c r="A292" s="4"/>
      <c r="B292" s="4"/>
      <c r="C292" s="4"/>
      <c r="D292" s="4"/>
      <c r="E292" s="4"/>
      <c r="F292" s="4"/>
      <c r="G292" s="4"/>
      <c r="H292" s="4"/>
      <c r="I292" s="4"/>
      <c r="J292" s="4"/>
      <c r="K292" s="4"/>
      <c r="L292" s="4"/>
      <c r="M292" s="4"/>
      <c r="N292" s="4"/>
      <c r="O292" s="4"/>
      <c r="P292" s="4"/>
      <c r="Q292" s="4"/>
      <c r="R292" s="4"/>
      <c r="S292" s="4"/>
      <c r="T292" s="4"/>
      <c r="U292" s="4"/>
      <c r="V292" s="4"/>
      <c r="W292" s="242"/>
      <c r="X292" s="4"/>
      <c r="Y292" s="4"/>
      <c r="Z292" s="4"/>
    </row>
    <row r="293" ht="13.5" customHeight="1" spans="1:26" x14ac:dyDescent="0.25">
      <c r="A293" s="4"/>
      <c r="B293" s="4"/>
      <c r="C293" s="4"/>
      <c r="D293" s="4"/>
      <c r="E293" s="4"/>
      <c r="F293" s="4"/>
      <c r="G293" s="4"/>
      <c r="H293" s="4"/>
      <c r="I293" s="4"/>
      <c r="J293" s="4"/>
      <c r="K293" s="4"/>
      <c r="L293" s="4"/>
      <c r="M293" s="4"/>
      <c r="N293" s="4"/>
      <c r="O293" s="4"/>
      <c r="P293" s="4"/>
      <c r="Q293" s="4"/>
      <c r="R293" s="4"/>
      <c r="S293" s="4"/>
      <c r="T293" s="4"/>
      <c r="U293" s="4"/>
      <c r="V293" s="4"/>
      <c r="W293" s="242"/>
      <c r="X293" s="4"/>
      <c r="Y293" s="4"/>
      <c r="Z293" s="4"/>
    </row>
    <row r="294" ht="13.5" customHeight="1" spans="1:26" x14ac:dyDescent="0.25">
      <c r="A294" s="4"/>
      <c r="B294" s="4"/>
      <c r="C294" s="4"/>
      <c r="D294" s="4"/>
      <c r="E294" s="4"/>
      <c r="F294" s="4"/>
      <c r="G294" s="4"/>
      <c r="H294" s="4"/>
      <c r="I294" s="4"/>
      <c r="J294" s="4"/>
      <c r="K294" s="4"/>
      <c r="L294" s="4"/>
      <c r="M294" s="4"/>
      <c r="N294" s="4"/>
      <c r="O294" s="4"/>
      <c r="P294" s="4"/>
      <c r="Q294" s="4"/>
      <c r="R294" s="4"/>
      <c r="S294" s="4"/>
      <c r="T294" s="4"/>
      <c r="U294" s="4"/>
      <c r="V294" s="4"/>
      <c r="W294" s="242"/>
      <c r="X294" s="4"/>
      <c r="Y294" s="4"/>
      <c r="Z294" s="4"/>
    </row>
    <row r="295" ht="13.5" customHeight="1" spans="1:26" x14ac:dyDescent="0.25">
      <c r="A295" s="4"/>
      <c r="B295" s="4"/>
      <c r="C295" s="4"/>
      <c r="D295" s="4"/>
      <c r="E295" s="4"/>
      <c r="F295" s="4"/>
      <c r="G295" s="4"/>
      <c r="H295" s="4"/>
      <c r="I295" s="4"/>
      <c r="J295" s="4"/>
      <c r="K295" s="4"/>
      <c r="L295" s="4"/>
      <c r="M295" s="4"/>
      <c r="N295" s="4"/>
      <c r="O295" s="4"/>
      <c r="P295" s="4"/>
      <c r="Q295" s="4"/>
      <c r="R295" s="4"/>
      <c r="S295" s="4"/>
      <c r="T295" s="4"/>
      <c r="U295" s="4"/>
      <c r="V295" s="4"/>
      <c r="W295" s="242"/>
      <c r="X295" s="4"/>
      <c r="Y295" s="4"/>
      <c r="Z295" s="4"/>
    </row>
    <row r="296" ht="13.5" customHeight="1" spans="1:26" x14ac:dyDescent="0.25">
      <c r="A296" s="4"/>
      <c r="B296" s="4"/>
      <c r="C296" s="4"/>
      <c r="D296" s="4"/>
      <c r="E296" s="4"/>
      <c r="F296" s="4"/>
      <c r="G296" s="4"/>
      <c r="H296" s="4"/>
      <c r="I296" s="4"/>
      <c r="J296" s="4"/>
      <c r="K296" s="4"/>
      <c r="L296" s="4"/>
      <c r="M296" s="4"/>
      <c r="N296" s="4"/>
      <c r="O296" s="4"/>
      <c r="P296" s="4"/>
      <c r="Q296" s="4"/>
      <c r="R296" s="4"/>
      <c r="S296" s="4"/>
      <c r="T296" s="4"/>
      <c r="U296" s="4"/>
      <c r="V296" s="4"/>
      <c r="W296" s="242"/>
      <c r="X296" s="4"/>
      <c r="Y296" s="4"/>
      <c r="Z296" s="4"/>
    </row>
    <row r="297" ht="13.5" customHeight="1" spans="1:26" x14ac:dyDescent="0.25">
      <c r="A297" s="4"/>
      <c r="B297" s="4"/>
      <c r="C297" s="4"/>
      <c r="D297" s="4"/>
      <c r="E297" s="4"/>
      <c r="F297" s="4"/>
      <c r="G297" s="4"/>
      <c r="H297" s="4"/>
      <c r="I297" s="4"/>
      <c r="J297" s="4"/>
      <c r="K297" s="4"/>
      <c r="L297" s="4"/>
      <c r="M297" s="4"/>
      <c r="N297" s="4"/>
      <c r="O297" s="4"/>
      <c r="P297" s="4"/>
      <c r="Q297" s="4"/>
      <c r="R297" s="4"/>
      <c r="S297" s="4"/>
      <c r="T297" s="4"/>
      <c r="U297" s="4"/>
      <c r="V297" s="4"/>
      <c r="W297" s="242"/>
      <c r="X297" s="4"/>
      <c r="Y297" s="4"/>
      <c r="Z297" s="4"/>
    </row>
    <row r="298" ht="13.5" customHeight="1" spans="1:26" x14ac:dyDescent="0.25">
      <c r="A298" s="4"/>
      <c r="B298" s="4"/>
      <c r="C298" s="4"/>
      <c r="D298" s="4"/>
      <c r="E298" s="4"/>
      <c r="F298" s="4"/>
      <c r="G298" s="4"/>
      <c r="H298" s="4"/>
      <c r="I298" s="4"/>
      <c r="J298" s="4"/>
      <c r="K298" s="4"/>
      <c r="L298" s="4"/>
      <c r="M298" s="4"/>
      <c r="N298" s="4"/>
      <c r="O298" s="4"/>
      <c r="P298" s="4"/>
      <c r="Q298" s="4"/>
      <c r="R298" s="4"/>
      <c r="S298" s="4"/>
      <c r="T298" s="4"/>
      <c r="U298" s="4"/>
      <c r="V298" s="4"/>
      <c r="W298" s="242"/>
      <c r="X298" s="4"/>
      <c r="Y298" s="4"/>
      <c r="Z298" s="4"/>
    </row>
    <row r="299" ht="13.5" customHeight="1" spans="1:26" x14ac:dyDescent="0.25">
      <c r="A299" s="4"/>
      <c r="B299" s="4"/>
      <c r="C299" s="4"/>
      <c r="D299" s="4"/>
      <c r="E299" s="4"/>
      <c r="F299" s="4"/>
      <c r="G299" s="4"/>
      <c r="H299" s="4"/>
      <c r="I299" s="4"/>
      <c r="J299" s="4"/>
      <c r="K299" s="4"/>
      <c r="L299" s="4"/>
      <c r="M299" s="4"/>
      <c r="N299" s="4"/>
      <c r="O299" s="4"/>
      <c r="P299" s="4"/>
      <c r="Q299" s="4"/>
      <c r="R299" s="4"/>
      <c r="S299" s="4"/>
      <c r="T299" s="4"/>
      <c r="U299" s="4"/>
      <c r="V299" s="4"/>
      <c r="W299" s="242"/>
      <c r="X299" s="4"/>
      <c r="Y299" s="4"/>
      <c r="Z299" s="4"/>
    </row>
    <row r="300" ht="13.5" customHeight="1" spans="1:26" x14ac:dyDescent="0.25">
      <c r="A300" s="4"/>
      <c r="B300" s="4"/>
      <c r="C300" s="4"/>
      <c r="D300" s="4"/>
      <c r="E300" s="4"/>
      <c r="F300" s="4"/>
      <c r="G300" s="4"/>
      <c r="H300" s="4"/>
      <c r="I300" s="4"/>
      <c r="J300" s="4"/>
      <c r="K300" s="4"/>
      <c r="L300" s="4"/>
      <c r="M300" s="4"/>
      <c r="N300" s="4"/>
      <c r="O300" s="4"/>
      <c r="P300" s="4"/>
      <c r="Q300" s="4"/>
      <c r="R300" s="4"/>
      <c r="S300" s="4"/>
      <c r="T300" s="4"/>
      <c r="U300" s="4"/>
      <c r="V300" s="4"/>
      <c r="W300" s="242"/>
      <c r="X300" s="4"/>
      <c r="Y300" s="4"/>
      <c r="Z300" s="4"/>
    </row>
    <row r="301" ht="13.5" customHeight="1" spans="1:26" x14ac:dyDescent="0.25">
      <c r="A301" s="4"/>
      <c r="B301" s="4"/>
      <c r="C301" s="4"/>
      <c r="D301" s="4"/>
      <c r="E301" s="4"/>
      <c r="F301" s="4"/>
      <c r="G301" s="4"/>
      <c r="H301" s="4"/>
      <c r="I301" s="4"/>
      <c r="J301" s="4"/>
      <c r="K301" s="4"/>
      <c r="L301" s="4"/>
      <c r="M301" s="4"/>
      <c r="N301" s="4"/>
      <c r="O301" s="4"/>
      <c r="P301" s="4"/>
      <c r="Q301" s="4"/>
      <c r="R301" s="4"/>
      <c r="S301" s="4"/>
      <c r="T301" s="4"/>
      <c r="U301" s="4"/>
      <c r="V301" s="4"/>
      <c r="W301" s="242"/>
      <c r="X301" s="4"/>
      <c r="Y301" s="4"/>
      <c r="Z301" s="4"/>
    </row>
    <row r="302" ht="13.5" customHeight="1" spans="1:26" x14ac:dyDescent="0.25">
      <c r="A302" s="4"/>
      <c r="B302" s="4"/>
      <c r="C302" s="4"/>
      <c r="D302" s="4"/>
      <c r="E302" s="4"/>
      <c r="F302" s="4"/>
      <c r="G302" s="4"/>
      <c r="H302" s="4"/>
      <c r="I302" s="4"/>
      <c r="J302" s="4"/>
      <c r="K302" s="4"/>
      <c r="L302" s="4"/>
      <c r="M302" s="4"/>
      <c r="N302" s="4"/>
      <c r="O302" s="4"/>
      <c r="P302" s="4"/>
      <c r="Q302" s="4"/>
      <c r="R302" s="4"/>
      <c r="S302" s="4"/>
      <c r="T302" s="4"/>
      <c r="U302" s="4"/>
      <c r="V302" s="4"/>
      <c r="W302" s="242"/>
      <c r="X302" s="4"/>
      <c r="Y302" s="4"/>
      <c r="Z302" s="4"/>
    </row>
    <row r="303" ht="13.5" customHeight="1" spans="1:26" x14ac:dyDescent="0.25">
      <c r="A303" s="4"/>
      <c r="B303" s="4"/>
      <c r="C303" s="4"/>
      <c r="D303" s="4"/>
      <c r="E303" s="4"/>
      <c r="F303" s="4"/>
      <c r="G303" s="4"/>
      <c r="H303" s="4"/>
      <c r="I303" s="4"/>
      <c r="J303" s="4"/>
      <c r="K303" s="4"/>
      <c r="L303" s="4"/>
      <c r="M303" s="4"/>
      <c r="N303" s="4"/>
      <c r="O303" s="4"/>
      <c r="P303" s="4"/>
      <c r="Q303" s="4"/>
      <c r="R303" s="4"/>
      <c r="S303" s="4"/>
      <c r="T303" s="4"/>
      <c r="U303" s="4"/>
      <c r="V303" s="4"/>
      <c r="W303" s="242"/>
      <c r="X303" s="4"/>
      <c r="Y303" s="4"/>
      <c r="Z303" s="4"/>
    </row>
    <row r="304" ht="13.5" customHeight="1" spans="1:26" x14ac:dyDescent="0.25">
      <c r="A304" s="4"/>
      <c r="B304" s="4"/>
      <c r="C304" s="4"/>
      <c r="D304" s="4"/>
      <c r="E304" s="4"/>
      <c r="F304" s="4"/>
      <c r="G304" s="4"/>
      <c r="H304" s="4"/>
      <c r="I304" s="4"/>
      <c r="J304" s="4"/>
      <c r="K304" s="4"/>
      <c r="L304" s="4"/>
      <c r="M304" s="4"/>
      <c r="N304" s="4"/>
      <c r="O304" s="4"/>
      <c r="P304" s="4"/>
      <c r="Q304" s="4"/>
      <c r="R304" s="4"/>
      <c r="S304" s="4"/>
      <c r="T304" s="4"/>
      <c r="U304" s="4"/>
      <c r="V304" s="4"/>
      <c r="W304" s="242"/>
      <c r="X304" s="4"/>
      <c r="Y304" s="4"/>
      <c r="Z304" s="4"/>
    </row>
    <row r="305" ht="13.5" customHeight="1" spans="1:26" x14ac:dyDescent="0.25">
      <c r="A305" s="4"/>
      <c r="B305" s="4"/>
      <c r="C305" s="4"/>
      <c r="D305" s="4"/>
      <c r="E305" s="4"/>
      <c r="F305" s="4"/>
      <c r="G305" s="4"/>
      <c r="H305" s="4"/>
      <c r="I305" s="4"/>
      <c r="J305" s="4"/>
      <c r="K305" s="4"/>
      <c r="L305" s="4"/>
      <c r="M305" s="4"/>
      <c r="N305" s="4"/>
      <c r="O305" s="4"/>
      <c r="P305" s="4"/>
      <c r="Q305" s="4"/>
      <c r="R305" s="4"/>
      <c r="S305" s="4"/>
      <c r="T305" s="4"/>
      <c r="U305" s="4"/>
      <c r="V305" s="4"/>
      <c r="W305" s="242"/>
      <c r="X305" s="4"/>
      <c r="Y305" s="4"/>
      <c r="Z305" s="4"/>
    </row>
    <row r="306" ht="13.5" customHeight="1" spans="1:26" x14ac:dyDescent="0.25">
      <c r="A306" s="4"/>
      <c r="B306" s="4"/>
      <c r="C306" s="4"/>
      <c r="D306" s="4"/>
      <c r="E306" s="4"/>
      <c r="F306" s="4"/>
      <c r="G306" s="4"/>
      <c r="H306" s="4"/>
      <c r="I306" s="4"/>
      <c r="J306" s="4"/>
      <c r="K306" s="4"/>
      <c r="L306" s="4"/>
      <c r="M306" s="4"/>
      <c r="N306" s="4"/>
      <c r="O306" s="4"/>
      <c r="P306" s="4"/>
      <c r="Q306" s="4"/>
      <c r="R306" s="4"/>
      <c r="S306" s="4"/>
      <c r="T306" s="4"/>
      <c r="U306" s="4"/>
      <c r="V306" s="4"/>
      <c r="W306" s="242"/>
      <c r="X306" s="4"/>
      <c r="Y306" s="4"/>
      <c r="Z306" s="4"/>
    </row>
    <row r="307" ht="13.5" customHeight="1" spans="1:26" x14ac:dyDescent="0.25">
      <c r="A307" s="4"/>
      <c r="B307" s="4"/>
      <c r="C307" s="4"/>
      <c r="D307" s="4"/>
      <c r="E307" s="4"/>
      <c r="F307" s="4"/>
      <c r="G307" s="4"/>
      <c r="H307" s="4"/>
      <c r="I307" s="4"/>
      <c r="J307" s="4"/>
      <c r="K307" s="4"/>
      <c r="L307" s="4"/>
      <c r="M307" s="4"/>
      <c r="N307" s="4"/>
      <c r="O307" s="4"/>
      <c r="P307" s="4"/>
      <c r="Q307" s="4"/>
      <c r="R307" s="4"/>
      <c r="S307" s="4"/>
      <c r="T307" s="4"/>
      <c r="U307" s="4"/>
      <c r="V307" s="4"/>
      <c r="W307" s="242"/>
      <c r="X307" s="4"/>
      <c r="Y307" s="4"/>
      <c r="Z307" s="4"/>
    </row>
    <row r="308" ht="13.5" customHeight="1" spans="1:26" x14ac:dyDescent="0.25">
      <c r="A308" s="4"/>
      <c r="B308" s="4"/>
      <c r="C308" s="4"/>
      <c r="D308" s="4"/>
      <c r="E308" s="4"/>
      <c r="F308" s="4"/>
      <c r="G308" s="4"/>
      <c r="H308" s="4"/>
      <c r="I308" s="4"/>
      <c r="J308" s="4"/>
      <c r="K308" s="4"/>
      <c r="L308" s="4"/>
      <c r="M308" s="4"/>
      <c r="N308" s="4"/>
      <c r="O308" s="4"/>
      <c r="P308" s="4"/>
      <c r="Q308" s="4"/>
      <c r="R308" s="4"/>
      <c r="S308" s="4"/>
      <c r="T308" s="4"/>
      <c r="U308" s="4"/>
      <c r="V308" s="4"/>
      <c r="W308" s="242"/>
      <c r="X308" s="4"/>
      <c r="Y308" s="4"/>
      <c r="Z308" s="4"/>
    </row>
    <row r="309" ht="13.5" customHeight="1" spans="1:26" x14ac:dyDescent="0.25">
      <c r="A309" s="4"/>
      <c r="B309" s="4"/>
      <c r="C309" s="4"/>
      <c r="D309" s="4"/>
      <c r="E309" s="4"/>
      <c r="F309" s="4"/>
      <c r="G309" s="4"/>
      <c r="H309" s="4"/>
      <c r="I309" s="4"/>
      <c r="J309" s="4"/>
      <c r="K309" s="4"/>
      <c r="L309" s="4"/>
      <c r="M309" s="4"/>
      <c r="N309" s="4"/>
      <c r="O309" s="4"/>
      <c r="P309" s="4"/>
      <c r="Q309" s="4"/>
      <c r="R309" s="4"/>
      <c r="S309" s="4"/>
      <c r="T309" s="4"/>
      <c r="U309" s="4"/>
      <c r="V309" s="4"/>
      <c r="W309" s="242"/>
      <c r="X309" s="4"/>
      <c r="Y309" s="4"/>
      <c r="Z309" s="4"/>
    </row>
    <row r="310" ht="13.5" customHeight="1" spans="1:26" x14ac:dyDescent="0.25">
      <c r="A310" s="4"/>
      <c r="B310" s="4"/>
      <c r="C310" s="4"/>
      <c r="D310" s="4"/>
      <c r="E310" s="4"/>
      <c r="F310" s="4"/>
      <c r="G310" s="4"/>
      <c r="H310" s="4"/>
      <c r="I310" s="4"/>
      <c r="J310" s="4"/>
      <c r="K310" s="4"/>
      <c r="L310" s="4"/>
      <c r="M310" s="4"/>
      <c r="N310" s="4"/>
      <c r="O310" s="4"/>
      <c r="P310" s="4"/>
      <c r="Q310" s="4"/>
      <c r="R310" s="4"/>
      <c r="S310" s="4"/>
      <c r="T310" s="4"/>
      <c r="U310" s="4"/>
      <c r="V310" s="4"/>
      <c r="W310" s="242"/>
      <c r="X310" s="4"/>
      <c r="Y310" s="4"/>
      <c r="Z310" s="4"/>
    </row>
    <row r="311" ht="13.5" customHeight="1" spans="1:26" x14ac:dyDescent="0.25">
      <c r="A311" s="4"/>
      <c r="B311" s="4"/>
      <c r="C311" s="4"/>
      <c r="D311" s="4"/>
      <c r="E311" s="4"/>
      <c r="F311" s="4"/>
      <c r="G311" s="4"/>
      <c r="H311" s="4"/>
      <c r="I311" s="4"/>
      <c r="J311" s="4"/>
      <c r="K311" s="4"/>
      <c r="L311" s="4"/>
      <c r="M311" s="4"/>
      <c r="N311" s="4"/>
      <c r="O311" s="4"/>
      <c r="P311" s="4"/>
      <c r="Q311" s="4"/>
      <c r="R311" s="4"/>
      <c r="S311" s="4"/>
      <c r="T311" s="4"/>
      <c r="U311" s="4"/>
      <c r="V311" s="4"/>
      <c r="W311" s="242"/>
      <c r="X311" s="4"/>
      <c r="Y311" s="4"/>
      <c r="Z311" s="4"/>
    </row>
    <row r="312" ht="13.5" customHeight="1" spans="1:26" x14ac:dyDescent="0.25">
      <c r="A312" s="4"/>
      <c r="B312" s="4"/>
      <c r="C312" s="4"/>
      <c r="D312" s="4"/>
      <c r="E312" s="4"/>
      <c r="F312" s="4"/>
      <c r="G312" s="4"/>
      <c r="H312" s="4"/>
      <c r="I312" s="4"/>
      <c r="J312" s="4"/>
      <c r="K312" s="4"/>
      <c r="L312" s="4"/>
      <c r="M312" s="4"/>
      <c r="N312" s="4"/>
      <c r="O312" s="4"/>
      <c r="P312" s="4"/>
      <c r="Q312" s="4"/>
      <c r="R312" s="4"/>
      <c r="S312" s="4"/>
      <c r="T312" s="4"/>
      <c r="U312" s="4"/>
      <c r="V312" s="4"/>
      <c r="W312" s="242"/>
      <c r="X312" s="4"/>
      <c r="Y312" s="4"/>
      <c r="Z312" s="4"/>
    </row>
    <row r="313" ht="13.5" customHeight="1" spans="1:26" x14ac:dyDescent="0.25">
      <c r="A313" s="4"/>
      <c r="B313" s="4"/>
      <c r="C313" s="4"/>
      <c r="D313" s="4"/>
      <c r="E313" s="4"/>
      <c r="F313" s="4"/>
      <c r="G313" s="4"/>
      <c r="H313" s="4"/>
      <c r="I313" s="4"/>
      <c r="J313" s="4"/>
      <c r="K313" s="4"/>
      <c r="L313" s="4"/>
      <c r="M313" s="4"/>
      <c r="N313" s="4"/>
      <c r="O313" s="4"/>
      <c r="P313" s="4"/>
      <c r="Q313" s="4"/>
      <c r="R313" s="4"/>
      <c r="S313" s="4"/>
      <c r="T313" s="4"/>
      <c r="U313" s="4"/>
      <c r="V313" s="4"/>
      <c r="W313" s="242"/>
      <c r="X313" s="4"/>
      <c r="Y313" s="4"/>
      <c r="Z313" s="4"/>
    </row>
    <row r="314" ht="13.5" customHeight="1" spans="1:26" x14ac:dyDescent="0.25">
      <c r="A314" s="4"/>
      <c r="B314" s="4"/>
      <c r="C314" s="4"/>
      <c r="D314" s="4"/>
      <c r="E314" s="4"/>
      <c r="F314" s="4"/>
      <c r="G314" s="4"/>
      <c r="H314" s="4"/>
      <c r="I314" s="4"/>
      <c r="J314" s="4"/>
      <c r="K314" s="4"/>
      <c r="L314" s="4"/>
      <c r="M314" s="4"/>
      <c r="N314" s="4"/>
      <c r="O314" s="4"/>
      <c r="P314" s="4"/>
      <c r="Q314" s="4"/>
      <c r="R314" s="4"/>
      <c r="S314" s="4"/>
      <c r="T314" s="4"/>
      <c r="U314" s="4"/>
      <c r="V314" s="4"/>
      <c r="W314" s="242"/>
      <c r="X314" s="4"/>
      <c r="Y314" s="4"/>
      <c r="Z314" s="4"/>
    </row>
    <row r="315" ht="13.5" customHeight="1" spans="1:26" x14ac:dyDescent="0.25">
      <c r="A315" s="4"/>
      <c r="B315" s="4"/>
      <c r="C315" s="4"/>
      <c r="D315" s="4"/>
      <c r="E315" s="4"/>
      <c r="F315" s="4"/>
      <c r="G315" s="4"/>
      <c r="H315" s="4"/>
      <c r="I315" s="4"/>
      <c r="J315" s="4"/>
      <c r="K315" s="4"/>
      <c r="L315" s="4"/>
      <c r="M315" s="4"/>
      <c r="N315" s="4"/>
      <c r="O315" s="4"/>
      <c r="P315" s="4"/>
      <c r="Q315" s="4"/>
      <c r="R315" s="4"/>
      <c r="S315" s="4"/>
      <c r="T315" s="4"/>
      <c r="U315" s="4"/>
      <c r="V315" s="4"/>
      <c r="W315" s="242"/>
      <c r="X315" s="4"/>
      <c r="Y315" s="4"/>
      <c r="Z315" s="4"/>
    </row>
    <row r="316" ht="13.5" customHeight="1" spans="1:26" x14ac:dyDescent="0.25">
      <c r="A316" s="4"/>
      <c r="B316" s="4"/>
      <c r="C316" s="4"/>
      <c r="D316" s="4"/>
      <c r="E316" s="4"/>
      <c r="F316" s="4"/>
      <c r="G316" s="4"/>
      <c r="H316" s="4"/>
      <c r="I316" s="4"/>
      <c r="J316" s="4"/>
      <c r="K316" s="4"/>
      <c r="L316" s="4"/>
      <c r="M316" s="4"/>
      <c r="N316" s="4"/>
      <c r="O316" s="4"/>
      <c r="P316" s="4"/>
      <c r="Q316" s="4"/>
      <c r="R316" s="4"/>
      <c r="S316" s="4"/>
      <c r="T316" s="4"/>
      <c r="U316" s="4"/>
      <c r="V316" s="4"/>
      <c r="W316" s="242"/>
      <c r="X316" s="4"/>
      <c r="Y316" s="4"/>
      <c r="Z316" s="4"/>
    </row>
    <row r="317" ht="13.5" customHeight="1" spans="1:26" x14ac:dyDescent="0.25">
      <c r="A317" s="4"/>
      <c r="B317" s="4"/>
      <c r="C317" s="4"/>
      <c r="D317" s="4"/>
      <c r="E317" s="4"/>
      <c r="F317" s="4"/>
      <c r="G317" s="4"/>
      <c r="H317" s="4"/>
      <c r="I317" s="4"/>
      <c r="J317" s="4"/>
      <c r="K317" s="4"/>
      <c r="L317" s="4"/>
      <c r="M317" s="4"/>
      <c r="N317" s="4"/>
      <c r="O317" s="4"/>
      <c r="P317" s="4"/>
      <c r="Q317" s="4"/>
      <c r="R317" s="4"/>
      <c r="S317" s="4"/>
      <c r="T317" s="4"/>
      <c r="U317" s="4"/>
      <c r="V317" s="4"/>
      <c r="W317" s="242"/>
      <c r="X317" s="4"/>
      <c r="Y317" s="4"/>
      <c r="Z317" s="4"/>
    </row>
    <row r="318" ht="13.5" customHeight="1" spans="1:26" x14ac:dyDescent="0.25">
      <c r="A318" s="4"/>
      <c r="B318" s="4"/>
      <c r="C318" s="4"/>
      <c r="D318" s="4"/>
      <c r="E318" s="4"/>
      <c r="F318" s="4"/>
      <c r="G318" s="4"/>
      <c r="H318" s="4"/>
      <c r="I318" s="4"/>
      <c r="J318" s="4"/>
      <c r="K318" s="4"/>
      <c r="L318" s="4"/>
      <c r="M318" s="4"/>
      <c r="N318" s="4"/>
      <c r="O318" s="4"/>
      <c r="P318" s="4"/>
      <c r="Q318" s="4"/>
      <c r="R318" s="4"/>
      <c r="S318" s="4"/>
      <c r="T318" s="4"/>
      <c r="U318" s="4"/>
      <c r="V318" s="4"/>
      <c r="W318" s="242"/>
      <c r="X318" s="4"/>
      <c r="Y318" s="4"/>
      <c r="Z318" s="4"/>
    </row>
    <row r="319" ht="13.5" customHeight="1" spans="1:26" x14ac:dyDescent="0.25">
      <c r="A319" s="4"/>
      <c r="B319" s="4"/>
      <c r="C319" s="4"/>
      <c r="D319" s="4"/>
      <c r="E319" s="4"/>
      <c r="F319" s="4"/>
      <c r="G319" s="4"/>
      <c r="H319" s="4"/>
      <c r="I319" s="4"/>
      <c r="J319" s="4"/>
      <c r="K319" s="4"/>
      <c r="L319" s="4"/>
      <c r="M319" s="4"/>
      <c r="N319" s="4"/>
      <c r="O319" s="4"/>
      <c r="P319" s="4"/>
      <c r="Q319" s="4"/>
      <c r="R319" s="4"/>
      <c r="S319" s="4"/>
      <c r="T319" s="4"/>
      <c r="U319" s="4"/>
      <c r="V319" s="4"/>
      <c r="W319" s="242"/>
      <c r="X319" s="4"/>
      <c r="Y319" s="4"/>
      <c r="Z319" s="4"/>
    </row>
    <row r="320" ht="13.5" customHeight="1" spans="1:26" x14ac:dyDescent="0.25">
      <c r="A320" s="4"/>
      <c r="B320" s="4"/>
      <c r="C320" s="4"/>
      <c r="D320" s="4"/>
      <c r="E320" s="4"/>
      <c r="F320" s="4"/>
      <c r="G320" s="4"/>
      <c r="H320" s="4"/>
      <c r="I320" s="4"/>
      <c r="J320" s="4"/>
      <c r="K320" s="4"/>
      <c r="L320" s="4"/>
      <c r="M320" s="4"/>
      <c r="N320" s="4"/>
      <c r="O320" s="4"/>
      <c r="P320" s="4"/>
      <c r="Q320" s="4"/>
      <c r="R320" s="4"/>
      <c r="S320" s="4"/>
      <c r="T320" s="4"/>
      <c r="U320" s="4"/>
      <c r="V320" s="4"/>
      <c r="W320" s="242"/>
      <c r="X320" s="4"/>
      <c r="Y320" s="4"/>
      <c r="Z320" s="4"/>
    </row>
    <row r="321" ht="13.5" customHeight="1" spans="1:26" x14ac:dyDescent="0.25">
      <c r="A321" s="4"/>
      <c r="B321" s="4"/>
      <c r="C321" s="4"/>
      <c r="D321" s="4"/>
      <c r="E321" s="4"/>
      <c r="F321" s="4"/>
      <c r="G321" s="4"/>
      <c r="H321" s="4"/>
      <c r="I321" s="4"/>
      <c r="J321" s="4"/>
      <c r="K321" s="4"/>
      <c r="L321" s="4"/>
      <c r="M321" s="4"/>
      <c r="N321" s="4"/>
      <c r="O321" s="4"/>
      <c r="P321" s="4"/>
      <c r="Q321" s="4"/>
      <c r="R321" s="4"/>
      <c r="S321" s="4"/>
      <c r="T321" s="4"/>
      <c r="U321" s="4"/>
      <c r="V321" s="4"/>
      <c r="W321" s="242"/>
      <c r="X321" s="4"/>
      <c r="Y321" s="4"/>
      <c r="Z321" s="4"/>
    </row>
    <row r="322" ht="13.5" customHeight="1" spans="1:26" x14ac:dyDescent="0.25">
      <c r="A322" s="4"/>
      <c r="B322" s="4"/>
      <c r="C322" s="4"/>
      <c r="D322" s="4"/>
      <c r="E322" s="4"/>
      <c r="F322" s="4"/>
      <c r="G322" s="4"/>
      <c r="H322" s="4"/>
      <c r="I322" s="4"/>
      <c r="J322" s="4"/>
      <c r="K322" s="4"/>
      <c r="L322" s="4"/>
      <c r="M322" s="4"/>
      <c r="N322" s="4"/>
      <c r="O322" s="4"/>
      <c r="P322" s="4"/>
      <c r="Q322" s="4"/>
      <c r="R322" s="4"/>
      <c r="S322" s="4"/>
      <c r="T322" s="4"/>
      <c r="U322" s="4"/>
      <c r="V322" s="4"/>
      <c r="W322" s="242"/>
      <c r="X322" s="4"/>
      <c r="Y322" s="4"/>
      <c r="Z322" s="4"/>
    </row>
    <row r="323" ht="13.5" customHeight="1" spans="1:26" x14ac:dyDescent="0.25">
      <c r="A323" s="4"/>
      <c r="B323" s="4"/>
      <c r="C323" s="4"/>
      <c r="D323" s="4"/>
      <c r="E323" s="4"/>
      <c r="F323" s="4"/>
      <c r="G323" s="4"/>
      <c r="H323" s="4"/>
      <c r="I323" s="4"/>
      <c r="J323" s="4"/>
      <c r="K323" s="4"/>
      <c r="L323" s="4"/>
      <c r="M323" s="4"/>
      <c r="N323" s="4"/>
      <c r="O323" s="4"/>
      <c r="P323" s="4"/>
      <c r="Q323" s="4"/>
      <c r="R323" s="4"/>
      <c r="S323" s="4"/>
      <c r="T323" s="4"/>
      <c r="U323" s="4"/>
      <c r="V323" s="4"/>
      <c r="W323" s="242"/>
      <c r="X323" s="4"/>
      <c r="Y323" s="4"/>
      <c r="Z323" s="4"/>
    </row>
    <row r="324" ht="13.5" customHeight="1" spans="1:26" x14ac:dyDescent="0.25">
      <c r="A324" s="4"/>
      <c r="B324" s="4"/>
      <c r="C324" s="4"/>
      <c r="D324" s="4"/>
      <c r="E324" s="4"/>
      <c r="F324" s="4"/>
      <c r="G324" s="4"/>
      <c r="H324" s="4"/>
      <c r="I324" s="4"/>
      <c r="J324" s="4"/>
      <c r="K324" s="4"/>
      <c r="L324" s="4"/>
      <c r="M324" s="4"/>
      <c r="N324" s="4"/>
      <c r="O324" s="4"/>
      <c r="P324" s="4"/>
      <c r="Q324" s="4"/>
      <c r="R324" s="4"/>
      <c r="S324" s="4"/>
      <c r="T324" s="4"/>
      <c r="U324" s="4"/>
      <c r="V324" s="4"/>
      <c r="W324" s="242"/>
      <c r="X324" s="4"/>
      <c r="Y324" s="4"/>
      <c r="Z324" s="4"/>
    </row>
    <row r="325" ht="13.5" customHeight="1" spans="1:26" x14ac:dyDescent="0.25">
      <c r="A325" s="4"/>
      <c r="B325" s="4"/>
      <c r="C325" s="4"/>
      <c r="D325" s="4"/>
      <c r="E325" s="4"/>
      <c r="F325" s="4"/>
      <c r="G325" s="4"/>
      <c r="H325" s="4"/>
      <c r="I325" s="4"/>
      <c r="J325" s="4"/>
      <c r="K325" s="4"/>
      <c r="L325" s="4"/>
      <c r="M325" s="4"/>
      <c r="N325" s="4"/>
      <c r="O325" s="4"/>
      <c r="P325" s="4"/>
      <c r="Q325" s="4"/>
      <c r="R325" s="4"/>
      <c r="S325" s="4"/>
      <c r="T325" s="4"/>
      <c r="U325" s="4"/>
      <c r="V325" s="4"/>
      <c r="W325" s="242"/>
      <c r="X325" s="4"/>
      <c r="Y325" s="4"/>
      <c r="Z325" s="4"/>
    </row>
    <row r="326" ht="13.5" customHeight="1" spans="1:26" x14ac:dyDescent="0.25">
      <c r="A326" s="4"/>
      <c r="B326" s="4"/>
      <c r="C326" s="4"/>
      <c r="D326" s="4"/>
      <c r="E326" s="4"/>
      <c r="F326" s="4"/>
      <c r="G326" s="4"/>
      <c r="H326" s="4"/>
      <c r="I326" s="4"/>
      <c r="J326" s="4"/>
      <c r="K326" s="4"/>
      <c r="L326" s="4"/>
      <c r="M326" s="4"/>
      <c r="N326" s="4"/>
      <c r="O326" s="4"/>
      <c r="P326" s="4"/>
      <c r="Q326" s="4"/>
      <c r="R326" s="4"/>
      <c r="S326" s="4"/>
      <c r="T326" s="4"/>
      <c r="U326" s="4"/>
      <c r="V326" s="4"/>
      <c r="W326" s="242"/>
      <c r="X326" s="4"/>
      <c r="Y326" s="4"/>
      <c r="Z326" s="4"/>
    </row>
    <row r="327" ht="13.5" customHeight="1" spans="1:26" x14ac:dyDescent="0.25">
      <c r="A327" s="4"/>
      <c r="B327" s="4"/>
      <c r="C327" s="4"/>
      <c r="D327" s="4"/>
      <c r="E327" s="4"/>
      <c r="F327" s="4"/>
      <c r="G327" s="4"/>
      <c r="H327" s="4"/>
      <c r="I327" s="4"/>
      <c r="J327" s="4"/>
      <c r="K327" s="4"/>
      <c r="L327" s="4"/>
      <c r="M327" s="4"/>
      <c r="N327" s="4"/>
      <c r="O327" s="4"/>
      <c r="P327" s="4"/>
      <c r="Q327" s="4"/>
      <c r="R327" s="4"/>
      <c r="S327" s="4"/>
      <c r="T327" s="4"/>
      <c r="U327" s="4"/>
      <c r="V327" s="4"/>
      <c r="W327" s="242"/>
      <c r="X327" s="4"/>
      <c r="Y327" s="4"/>
      <c r="Z327" s="4"/>
    </row>
    <row r="328" ht="13.5" customHeight="1" spans="1:26" x14ac:dyDescent="0.25">
      <c r="A328" s="4"/>
      <c r="B328" s="4"/>
      <c r="C328" s="4"/>
      <c r="D328" s="4"/>
      <c r="E328" s="4"/>
      <c r="F328" s="4"/>
      <c r="G328" s="4"/>
      <c r="H328" s="4"/>
      <c r="I328" s="4"/>
      <c r="J328" s="4"/>
      <c r="K328" s="4"/>
      <c r="L328" s="4"/>
      <c r="M328" s="4"/>
      <c r="N328" s="4"/>
      <c r="O328" s="4"/>
      <c r="P328" s="4"/>
      <c r="Q328" s="4"/>
      <c r="R328" s="4"/>
      <c r="S328" s="4"/>
      <c r="T328" s="4"/>
      <c r="U328" s="4"/>
      <c r="V328" s="4"/>
      <c r="W328" s="242"/>
      <c r="X328" s="4"/>
      <c r="Y328" s="4"/>
      <c r="Z328" s="4"/>
    </row>
    <row r="329" ht="13.5" customHeight="1" spans="1:26" x14ac:dyDescent="0.25">
      <c r="A329" s="4"/>
      <c r="B329" s="4"/>
      <c r="C329" s="4"/>
      <c r="D329" s="4"/>
      <c r="E329" s="4"/>
      <c r="F329" s="4"/>
      <c r="G329" s="4"/>
      <c r="H329" s="4"/>
      <c r="I329" s="4"/>
      <c r="J329" s="4"/>
      <c r="K329" s="4"/>
      <c r="L329" s="4"/>
      <c r="M329" s="4"/>
      <c r="N329" s="4"/>
      <c r="O329" s="4"/>
      <c r="P329" s="4"/>
      <c r="Q329" s="4"/>
      <c r="R329" s="4"/>
      <c r="S329" s="4"/>
      <c r="T329" s="4"/>
      <c r="U329" s="4"/>
      <c r="V329" s="4"/>
      <c r="W329" s="242"/>
      <c r="X329" s="4"/>
      <c r="Y329" s="4"/>
      <c r="Z329" s="4"/>
    </row>
    <row r="330" ht="13.5" customHeight="1" spans="1:26" x14ac:dyDescent="0.25">
      <c r="A330" s="4"/>
      <c r="B330" s="4"/>
      <c r="C330" s="4"/>
      <c r="D330" s="4"/>
      <c r="E330" s="4"/>
      <c r="F330" s="4"/>
      <c r="G330" s="4"/>
      <c r="H330" s="4"/>
      <c r="I330" s="4"/>
      <c r="J330" s="4"/>
      <c r="K330" s="4"/>
      <c r="L330" s="4"/>
      <c r="M330" s="4"/>
      <c r="N330" s="4"/>
      <c r="O330" s="4"/>
      <c r="P330" s="4"/>
      <c r="Q330" s="4"/>
      <c r="R330" s="4"/>
      <c r="S330" s="4"/>
      <c r="T330" s="4"/>
      <c r="U330" s="4"/>
      <c r="V330" s="4"/>
      <c r="W330" s="242"/>
      <c r="X330" s="4"/>
      <c r="Y330" s="4"/>
      <c r="Z330" s="4"/>
    </row>
    <row r="331" ht="13.5" customHeight="1" spans="1:26" x14ac:dyDescent="0.25">
      <c r="A331" s="4"/>
      <c r="B331" s="4"/>
      <c r="C331" s="4"/>
      <c r="D331" s="4"/>
      <c r="E331" s="4"/>
      <c r="F331" s="4"/>
      <c r="G331" s="4"/>
      <c r="H331" s="4"/>
      <c r="I331" s="4"/>
      <c r="J331" s="4"/>
      <c r="K331" s="4"/>
      <c r="L331" s="4"/>
      <c r="M331" s="4"/>
      <c r="N331" s="4"/>
      <c r="O331" s="4"/>
      <c r="P331" s="4"/>
      <c r="Q331" s="4"/>
      <c r="R331" s="4"/>
      <c r="S331" s="4"/>
      <c r="T331" s="4"/>
      <c r="U331" s="4"/>
      <c r="V331" s="4"/>
      <c r="W331" s="242"/>
      <c r="X331" s="4"/>
      <c r="Y331" s="4"/>
      <c r="Z331" s="4"/>
    </row>
    <row r="332" ht="13.5" customHeight="1" spans="1:26" x14ac:dyDescent="0.25">
      <c r="A332" s="4"/>
      <c r="B332" s="4"/>
      <c r="C332" s="4"/>
      <c r="D332" s="4"/>
      <c r="E332" s="4"/>
      <c r="F332" s="4"/>
      <c r="G332" s="4"/>
      <c r="H332" s="4"/>
      <c r="I332" s="4"/>
      <c r="J332" s="4"/>
      <c r="K332" s="4"/>
      <c r="L332" s="4"/>
      <c r="M332" s="4"/>
      <c r="N332" s="4"/>
      <c r="O332" s="4"/>
      <c r="P332" s="4"/>
      <c r="Q332" s="4"/>
      <c r="R332" s="4"/>
      <c r="S332" s="4"/>
      <c r="T332" s="4"/>
      <c r="U332" s="4"/>
      <c r="V332" s="4"/>
      <c r="W332" s="242"/>
      <c r="X332" s="4"/>
      <c r="Y332" s="4"/>
      <c r="Z332" s="4"/>
    </row>
    <row r="333" ht="13.5" customHeight="1" spans="1:26" x14ac:dyDescent="0.25">
      <c r="A333" s="4"/>
      <c r="B333" s="4"/>
      <c r="C333" s="4"/>
      <c r="D333" s="4"/>
      <c r="E333" s="4"/>
      <c r="F333" s="4"/>
      <c r="G333" s="4"/>
      <c r="H333" s="4"/>
      <c r="I333" s="4"/>
      <c r="J333" s="4"/>
      <c r="K333" s="4"/>
      <c r="L333" s="4"/>
      <c r="M333" s="4"/>
      <c r="N333" s="4"/>
      <c r="O333" s="4"/>
      <c r="P333" s="4"/>
      <c r="Q333" s="4"/>
      <c r="R333" s="4"/>
      <c r="S333" s="4"/>
      <c r="T333" s="4"/>
      <c r="U333" s="4"/>
      <c r="V333" s="4"/>
      <c r="W333" s="242"/>
      <c r="X333" s="4"/>
      <c r="Y333" s="4"/>
      <c r="Z333" s="4"/>
    </row>
    <row r="334" ht="13.5" customHeight="1" spans="1:26" x14ac:dyDescent="0.25">
      <c r="A334" s="4"/>
      <c r="B334" s="4"/>
      <c r="C334" s="4"/>
      <c r="D334" s="4"/>
      <c r="E334" s="4"/>
      <c r="F334" s="4"/>
      <c r="G334" s="4"/>
      <c r="H334" s="4"/>
      <c r="I334" s="4"/>
      <c r="J334" s="4"/>
      <c r="K334" s="4"/>
      <c r="L334" s="4"/>
      <c r="M334" s="4"/>
      <c r="N334" s="4"/>
      <c r="O334" s="4"/>
      <c r="P334" s="4"/>
      <c r="Q334" s="4"/>
      <c r="R334" s="4"/>
      <c r="S334" s="4"/>
      <c r="T334" s="4"/>
      <c r="U334" s="4"/>
      <c r="V334" s="4"/>
      <c r="W334" s="242"/>
      <c r="X334" s="4"/>
      <c r="Y334" s="4"/>
      <c r="Z334" s="4"/>
    </row>
    <row r="335" ht="13.5" customHeight="1" spans="1:26" x14ac:dyDescent="0.25">
      <c r="A335" s="4"/>
      <c r="B335" s="4"/>
      <c r="C335" s="4"/>
      <c r="D335" s="4"/>
      <c r="E335" s="4"/>
      <c r="F335" s="4"/>
      <c r="G335" s="4"/>
      <c r="H335" s="4"/>
      <c r="I335" s="4"/>
      <c r="J335" s="4"/>
      <c r="K335" s="4"/>
      <c r="L335" s="4"/>
      <c r="M335" s="4"/>
      <c r="N335" s="4"/>
      <c r="O335" s="4"/>
      <c r="P335" s="4"/>
      <c r="Q335" s="4"/>
      <c r="R335" s="4"/>
      <c r="S335" s="4"/>
      <c r="T335" s="4"/>
      <c r="U335" s="4"/>
      <c r="V335" s="4"/>
      <c r="W335" s="242"/>
      <c r="X335" s="4"/>
      <c r="Y335" s="4"/>
      <c r="Z335" s="4"/>
    </row>
    <row r="336" ht="13.5" customHeight="1" spans="1:26" x14ac:dyDescent="0.25">
      <c r="A336" s="4"/>
      <c r="B336" s="4"/>
      <c r="C336" s="4"/>
      <c r="D336" s="4"/>
      <c r="E336" s="4"/>
      <c r="F336" s="4"/>
      <c r="G336" s="4"/>
      <c r="H336" s="4"/>
      <c r="I336" s="4"/>
      <c r="J336" s="4"/>
      <c r="K336" s="4"/>
      <c r="L336" s="4"/>
      <c r="M336" s="4"/>
      <c r="N336" s="4"/>
      <c r="O336" s="4"/>
      <c r="P336" s="4"/>
      <c r="Q336" s="4"/>
      <c r="R336" s="4"/>
      <c r="S336" s="4"/>
      <c r="T336" s="4"/>
      <c r="U336" s="4"/>
      <c r="V336" s="4"/>
      <c r="W336" s="242"/>
      <c r="X336" s="4"/>
      <c r="Y336" s="4"/>
      <c r="Z336" s="4"/>
    </row>
    <row r="337" ht="13.5" customHeight="1" spans="1:26" x14ac:dyDescent="0.25">
      <c r="A337" s="4"/>
      <c r="B337" s="4"/>
      <c r="C337" s="4"/>
      <c r="D337" s="4"/>
      <c r="E337" s="4"/>
      <c r="F337" s="4"/>
      <c r="G337" s="4"/>
      <c r="H337" s="4"/>
      <c r="I337" s="4"/>
      <c r="J337" s="4"/>
      <c r="K337" s="4"/>
      <c r="L337" s="4"/>
      <c r="M337" s="4"/>
      <c r="N337" s="4"/>
      <c r="O337" s="4"/>
      <c r="P337" s="4"/>
      <c r="Q337" s="4"/>
      <c r="R337" s="4"/>
      <c r="S337" s="4"/>
      <c r="T337" s="4"/>
      <c r="U337" s="4"/>
      <c r="V337" s="4"/>
      <c r="W337" s="242"/>
      <c r="X337" s="4"/>
      <c r="Y337" s="4"/>
      <c r="Z337" s="4"/>
    </row>
    <row r="338" ht="13.5" customHeight="1" spans="1:26" x14ac:dyDescent="0.25">
      <c r="A338" s="4"/>
      <c r="B338" s="4"/>
      <c r="C338" s="4"/>
      <c r="D338" s="4"/>
      <c r="E338" s="4"/>
      <c r="F338" s="4"/>
      <c r="G338" s="4"/>
      <c r="H338" s="4"/>
      <c r="I338" s="4"/>
      <c r="J338" s="4"/>
      <c r="K338" s="4"/>
      <c r="L338" s="4"/>
      <c r="M338" s="4"/>
      <c r="N338" s="4"/>
      <c r="O338" s="4"/>
      <c r="P338" s="4"/>
      <c r="Q338" s="4"/>
      <c r="R338" s="4"/>
      <c r="S338" s="4"/>
      <c r="T338" s="4"/>
      <c r="U338" s="4"/>
      <c r="V338" s="4"/>
      <c r="W338" s="242"/>
      <c r="X338" s="4"/>
      <c r="Y338" s="4"/>
      <c r="Z338" s="4"/>
    </row>
    <row r="339" ht="13.5" customHeight="1" spans="1:26" x14ac:dyDescent="0.25">
      <c r="A339" s="4"/>
      <c r="B339" s="4"/>
      <c r="C339" s="4"/>
      <c r="D339" s="4"/>
      <c r="E339" s="4"/>
      <c r="F339" s="4"/>
      <c r="G339" s="4"/>
      <c r="H339" s="4"/>
      <c r="I339" s="4"/>
      <c r="J339" s="4"/>
      <c r="K339" s="4"/>
      <c r="L339" s="4"/>
      <c r="M339" s="4"/>
      <c r="N339" s="4"/>
      <c r="O339" s="4"/>
      <c r="P339" s="4"/>
      <c r="Q339" s="4"/>
      <c r="R339" s="4"/>
      <c r="S339" s="4"/>
      <c r="T339" s="4"/>
      <c r="U339" s="4"/>
      <c r="V339" s="4"/>
      <c r="W339" s="242"/>
      <c r="X339" s="4"/>
      <c r="Y339" s="4"/>
      <c r="Z339" s="4"/>
    </row>
    <row r="340" ht="13.5" customHeight="1" spans="1:26" x14ac:dyDescent="0.25">
      <c r="A340" s="4"/>
      <c r="B340" s="4"/>
      <c r="C340" s="4"/>
      <c r="D340" s="4"/>
      <c r="E340" s="4"/>
      <c r="F340" s="4"/>
      <c r="G340" s="4"/>
      <c r="H340" s="4"/>
      <c r="I340" s="4"/>
      <c r="J340" s="4"/>
      <c r="K340" s="4"/>
      <c r="L340" s="4"/>
      <c r="M340" s="4"/>
      <c r="N340" s="4"/>
      <c r="O340" s="4"/>
      <c r="P340" s="4"/>
      <c r="Q340" s="4"/>
      <c r="R340" s="4"/>
      <c r="S340" s="4"/>
      <c r="T340" s="4"/>
      <c r="U340" s="4"/>
      <c r="V340" s="4"/>
      <c r="W340" s="242"/>
      <c r="X340" s="4"/>
      <c r="Y340" s="4"/>
      <c r="Z340" s="4"/>
    </row>
    <row r="341" ht="13.5" customHeight="1" spans="1:26" x14ac:dyDescent="0.25">
      <c r="A341" s="4"/>
      <c r="B341" s="4"/>
      <c r="C341" s="4"/>
      <c r="D341" s="4"/>
      <c r="E341" s="4"/>
      <c r="F341" s="4"/>
      <c r="G341" s="4"/>
      <c r="H341" s="4"/>
      <c r="I341" s="4"/>
      <c r="J341" s="4"/>
      <c r="K341" s="4"/>
      <c r="L341" s="4"/>
      <c r="M341" s="4"/>
      <c r="N341" s="4"/>
      <c r="O341" s="4"/>
      <c r="P341" s="4"/>
      <c r="Q341" s="4"/>
      <c r="R341" s="4"/>
      <c r="S341" s="4"/>
      <c r="T341" s="4"/>
      <c r="U341" s="4"/>
      <c r="V341" s="4"/>
      <c r="W341" s="242"/>
      <c r="X341" s="4"/>
      <c r="Y341" s="4"/>
      <c r="Z341" s="4"/>
    </row>
    <row r="342" ht="13.5" customHeight="1" spans="1:26" x14ac:dyDescent="0.25">
      <c r="A342" s="4"/>
      <c r="B342" s="4"/>
      <c r="C342" s="4"/>
      <c r="D342" s="4"/>
      <c r="E342" s="4"/>
      <c r="F342" s="4"/>
      <c r="G342" s="4"/>
      <c r="H342" s="4"/>
      <c r="I342" s="4"/>
      <c r="J342" s="4"/>
      <c r="K342" s="4"/>
      <c r="L342" s="4"/>
      <c r="M342" s="4"/>
      <c r="N342" s="4"/>
      <c r="O342" s="4"/>
      <c r="P342" s="4"/>
      <c r="Q342" s="4"/>
      <c r="R342" s="4"/>
      <c r="S342" s="4"/>
      <c r="T342" s="4"/>
      <c r="U342" s="4"/>
      <c r="V342" s="4"/>
      <c r="W342" s="242"/>
      <c r="X342" s="4"/>
      <c r="Y342" s="4"/>
      <c r="Z342" s="4"/>
    </row>
    <row r="343" ht="13.5" customHeight="1" spans="1:26" x14ac:dyDescent="0.25">
      <c r="A343" s="4"/>
      <c r="B343" s="4"/>
      <c r="C343" s="4"/>
      <c r="D343" s="4"/>
      <c r="E343" s="4"/>
      <c r="F343" s="4"/>
      <c r="G343" s="4"/>
      <c r="H343" s="4"/>
      <c r="I343" s="4"/>
      <c r="J343" s="4"/>
      <c r="K343" s="4"/>
      <c r="L343" s="4"/>
      <c r="M343" s="4"/>
      <c r="N343" s="4"/>
      <c r="O343" s="4"/>
      <c r="P343" s="4"/>
      <c r="Q343" s="4"/>
      <c r="R343" s="4"/>
      <c r="S343" s="4"/>
      <c r="T343" s="4"/>
      <c r="U343" s="4"/>
      <c r="V343" s="4"/>
      <c r="W343" s="242"/>
      <c r="X343" s="4"/>
      <c r="Y343" s="4"/>
      <c r="Z343" s="4"/>
    </row>
    <row r="344" ht="13.5" customHeight="1" spans="1:26" x14ac:dyDescent="0.25">
      <c r="A344" s="4"/>
      <c r="B344" s="4"/>
      <c r="C344" s="4"/>
      <c r="D344" s="4"/>
      <c r="E344" s="4"/>
      <c r="F344" s="4"/>
      <c r="G344" s="4"/>
      <c r="H344" s="4"/>
      <c r="I344" s="4"/>
      <c r="J344" s="4"/>
      <c r="K344" s="4"/>
      <c r="L344" s="4"/>
      <c r="M344" s="4"/>
      <c r="N344" s="4"/>
      <c r="O344" s="4"/>
      <c r="P344" s="4"/>
      <c r="Q344" s="4"/>
      <c r="R344" s="4"/>
      <c r="S344" s="4"/>
      <c r="T344" s="4"/>
      <c r="U344" s="4"/>
      <c r="V344" s="4"/>
      <c r="W344" s="242"/>
      <c r="X344" s="4"/>
      <c r="Y344" s="4"/>
      <c r="Z344" s="4"/>
    </row>
    <row r="345" ht="13.5" customHeight="1" spans="1:26" x14ac:dyDescent="0.25">
      <c r="A345" s="4"/>
      <c r="B345" s="4"/>
      <c r="C345" s="4"/>
      <c r="D345" s="4"/>
      <c r="E345" s="4"/>
      <c r="F345" s="4"/>
      <c r="G345" s="4"/>
      <c r="H345" s="4"/>
      <c r="I345" s="4"/>
      <c r="J345" s="4"/>
      <c r="K345" s="4"/>
      <c r="L345" s="4"/>
      <c r="M345" s="4"/>
      <c r="N345" s="4"/>
      <c r="O345" s="4"/>
      <c r="P345" s="4"/>
      <c r="Q345" s="4"/>
      <c r="R345" s="4"/>
      <c r="S345" s="4"/>
      <c r="T345" s="4"/>
      <c r="U345" s="4"/>
      <c r="V345" s="4"/>
      <c r="W345" s="242"/>
      <c r="X345" s="4"/>
      <c r="Y345" s="4"/>
      <c r="Z345" s="4"/>
    </row>
    <row r="346" ht="13.5" customHeight="1" spans="1:26" x14ac:dyDescent="0.25">
      <c r="A346" s="4"/>
      <c r="B346" s="4"/>
      <c r="C346" s="4"/>
      <c r="D346" s="4"/>
      <c r="E346" s="4"/>
      <c r="F346" s="4"/>
      <c r="G346" s="4"/>
      <c r="H346" s="4"/>
      <c r="I346" s="4"/>
      <c r="J346" s="4"/>
      <c r="K346" s="4"/>
      <c r="L346" s="4"/>
      <c r="M346" s="4"/>
      <c r="N346" s="4"/>
      <c r="O346" s="4"/>
      <c r="P346" s="4"/>
      <c r="Q346" s="4"/>
      <c r="R346" s="4"/>
      <c r="S346" s="4"/>
      <c r="T346" s="4"/>
      <c r="U346" s="4"/>
      <c r="V346" s="4"/>
      <c r="W346" s="242"/>
      <c r="X346" s="4"/>
      <c r="Y346" s="4"/>
      <c r="Z346" s="4"/>
    </row>
    <row r="347" ht="13.5" customHeight="1" spans="1:26" x14ac:dyDescent="0.25">
      <c r="A347" s="4"/>
      <c r="B347" s="4"/>
      <c r="C347" s="4"/>
      <c r="D347" s="4"/>
      <c r="E347" s="4"/>
      <c r="F347" s="4"/>
      <c r="G347" s="4"/>
      <c r="H347" s="4"/>
      <c r="I347" s="4"/>
      <c r="J347" s="4"/>
      <c r="K347" s="4"/>
      <c r="L347" s="4"/>
      <c r="M347" s="4"/>
      <c r="N347" s="4"/>
      <c r="O347" s="4"/>
      <c r="P347" s="4"/>
      <c r="Q347" s="4"/>
      <c r="R347" s="4"/>
      <c r="S347" s="4"/>
      <c r="T347" s="4"/>
      <c r="U347" s="4"/>
      <c r="V347" s="4"/>
      <c r="W347" s="242"/>
      <c r="X347" s="4"/>
      <c r="Y347" s="4"/>
      <c r="Z347" s="4"/>
    </row>
    <row r="348" ht="13.5" customHeight="1" spans="1:26" x14ac:dyDescent="0.25">
      <c r="A348" s="4"/>
      <c r="B348" s="4"/>
      <c r="C348" s="4"/>
      <c r="D348" s="4"/>
      <c r="E348" s="4"/>
      <c r="F348" s="4"/>
      <c r="G348" s="4"/>
      <c r="H348" s="4"/>
      <c r="I348" s="4"/>
      <c r="J348" s="4"/>
      <c r="K348" s="4"/>
      <c r="L348" s="4"/>
      <c r="M348" s="4"/>
      <c r="N348" s="4"/>
      <c r="O348" s="4"/>
      <c r="P348" s="4"/>
      <c r="Q348" s="4"/>
      <c r="R348" s="4"/>
      <c r="S348" s="4"/>
      <c r="T348" s="4"/>
      <c r="U348" s="4"/>
      <c r="V348" s="4"/>
      <c r="W348" s="242"/>
      <c r="X348" s="4"/>
      <c r="Y348" s="4"/>
      <c r="Z348" s="4"/>
    </row>
    <row r="349" ht="13.5" customHeight="1" spans="1:26" x14ac:dyDescent="0.25">
      <c r="A349" s="4"/>
      <c r="B349" s="4"/>
      <c r="C349" s="4"/>
      <c r="D349" s="4"/>
      <c r="E349" s="4"/>
      <c r="F349" s="4"/>
      <c r="G349" s="4"/>
      <c r="H349" s="4"/>
      <c r="I349" s="4"/>
      <c r="J349" s="4"/>
      <c r="K349" s="4"/>
      <c r="L349" s="4"/>
      <c r="M349" s="4"/>
      <c r="N349" s="4"/>
      <c r="O349" s="4"/>
      <c r="P349" s="4"/>
      <c r="Q349" s="4"/>
      <c r="R349" s="4"/>
      <c r="S349" s="4"/>
      <c r="T349" s="4"/>
      <c r="U349" s="4"/>
      <c r="V349" s="4"/>
      <c r="W349" s="242"/>
      <c r="X349" s="4"/>
      <c r="Y349" s="4"/>
      <c r="Z349" s="4"/>
    </row>
    <row r="350" ht="13.5" customHeight="1" spans="1:26" x14ac:dyDescent="0.25">
      <c r="A350" s="4"/>
      <c r="B350" s="4"/>
      <c r="C350" s="4"/>
      <c r="D350" s="4"/>
      <c r="E350" s="4"/>
      <c r="F350" s="4"/>
      <c r="G350" s="4"/>
      <c r="H350" s="4"/>
      <c r="I350" s="4"/>
      <c r="J350" s="4"/>
      <c r="K350" s="4"/>
      <c r="L350" s="4"/>
      <c r="M350" s="4"/>
      <c r="N350" s="4"/>
      <c r="O350" s="4"/>
      <c r="P350" s="4"/>
      <c r="Q350" s="4"/>
      <c r="R350" s="4"/>
      <c r="S350" s="4"/>
      <c r="T350" s="4"/>
      <c r="U350" s="4"/>
      <c r="V350" s="4"/>
      <c r="W350" s="242"/>
      <c r="X350" s="4"/>
      <c r="Y350" s="4"/>
      <c r="Z350" s="4"/>
    </row>
    <row r="351" ht="13.5" customHeight="1" spans="1:26" x14ac:dyDescent="0.25">
      <c r="A351" s="4"/>
      <c r="B351" s="4"/>
      <c r="C351" s="4"/>
      <c r="D351" s="4"/>
      <c r="E351" s="4"/>
      <c r="F351" s="4"/>
      <c r="G351" s="4"/>
      <c r="H351" s="4"/>
      <c r="I351" s="4"/>
      <c r="J351" s="4"/>
      <c r="K351" s="4"/>
      <c r="L351" s="4"/>
      <c r="M351" s="4"/>
      <c r="N351" s="4"/>
      <c r="O351" s="4"/>
      <c r="P351" s="4"/>
      <c r="Q351" s="4"/>
      <c r="R351" s="4"/>
      <c r="S351" s="4"/>
      <c r="T351" s="4"/>
      <c r="U351" s="4"/>
      <c r="V351" s="4"/>
      <c r="W351" s="242"/>
      <c r="X351" s="4"/>
      <c r="Y351" s="4"/>
      <c r="Z351" s="4"/>
    </row>
    <row r="352" ht="13.5" customHeight="1" spans="1:26" x14ac:dyDescent="0.25">
      <c r="A352" s="4"/>
      <c r="B352" s="4"/>
      <c r="C352" s="4"/>
      <c r="D352" s="4"/>
      <c r="E352" s="4"/>
      <c r="F352" s="4"/>
      <c r="G352" s="4"/>
      <c r="H352" s="4"/>
      <c r="I352" s="4"/>
      <c r="J352" s="4"/>
      <c r="K352" s="4"/>
      <c r="L352" s="4"/>
      <c r="M352" s="4"/>
      <c r="N352" s="4"/>
      <c r="O352" s="4"/>
      <c r="P352" s="4"/>
      <c r="Q352" s="4"/>
      <c r="R352" s="4"/>
      <c r="S352" s="4"/>
      <c r="T352" s="4"/>
      <c r="U352" s="4"/>
      <c r="V352" s="4"/>
      <c r="W352" s="242"/>
      <c r="X352" s="4"/>
      <c r="Y352" s="4"/>
      <c r="Z352" s="4"/>
    </row>
    <row r="353" ht="13.5" customHeight="1" spans="1:26" x14ac:dyDescent="0.25">
      <c r="A353" s="4"/>
      <c r="B353" s="4"/>
      <c r="C353" s="4"/>
      <c r="D353" s="4"/>
      <c r="E353" s="4"/>
      <c r="F353" s="4"/>
      <c r="G353" s="4"/>
      <c r="H353" s="4"/>
      <c r="I353" s="4"/>
      <c r="J353" s="4"/>
      <c r="K353" s="4"/>
      <c r="L353" s="4"/>
      <c r="M353" s="4"/>
      <c r="N353" s="4"/>
      <c r="O353" s="4"/>
      <c r="P353" s="4"/>
      <c r="Q353" s="4"/>
      <c r="R353" s="4"/>
      <c r="S353" s="4"/>
      <c r="T353" s="4"/>
      <c r="U353" s="4"/>
      <c r="V353" s="4"/>
      <c r="W353" s="242"/>
      <c r="X353" s="4"/>
      <c r="Y353" s="4"/>
      <c r="Z353" s="4"/>
    </row>
    <row r="354" ht="13.5" customHeight="1" spans="1:26" x14ac:dyDescent="0.25">
      <c r="A354" s="4"/>
      <c r="B354" s="4"/>
      <c r="C354" s="4"/>
      <c r="D354" s="4"/>
      <c r="E354" s="4"/>
      <c r="F354" s="4"/>
      <c r="G354" s="4"/>
      <c r="H354" s="4"/>
      <c r="I354" s="4"/>
      <c r="J354" s="4"/>
      <c r="K354" s="4"/>
      <c r="L354" s="4"/>
      <c r="M354" s="4"/>
      <c r="N354" s="4"/>
      <c r="O354" s="4"/>
      <c r="P354" s="4"/>
      <c r="Q354" s="4"/>
      <c r="R354" s="4"/>
      <c r="S354" s="4"/>
      <c r="T354" s="4"/>
      <c r="U354" s="4"/>
      <c r="V354" s="4"/>
      <c r="W354" s="242"/>
      <c r="X354" s="4"/>
      <c r="Y354" s="4"/>
      <c r="Z354" s="4"/>
    </row>
    <row r="355" ht="13.5" customHeight="1" spans="1:26" x14ac:dyDescent="0.25">
      <c r="A355" s="4"/>
      <c r="B355" s="4"/>
      <c r="C355" s="4"/>
      <c r="D355" s="4"/>
      <c r="E355" s="4"/>
      <c r="F355" s="4"/>
      <c r="G355" s="4"/>
      <c r="H355" s="4"/>
      <c r="I355" s="4"/>
      <c r="J355" s="4"/>
      <c r="K355" s="4"/>
      <c r="L355" s="4"/>
      <c r="M355" s="4"/>
      <c r="N355" s="4"/>
      <c r="O355" s="4"/>
      <c r="P355" s="4"/>
      <c r="Q355" s="4"/>
      <c r="R355" s="4"/>
      <c r="S355" s="4"/>
      <c r="T355" s="4"/>
      <c r="U355" s="4"/>
      <c r="V355" s="4"/>
      <c r="W355" s="242"/>
      <c r="X355" s="4"/>
      <c r="Y355" s="4"/>
      <c r="Z355" s="4"/>
    </row>
    <row r="356" ht="13.5" customHeight="1" spans="1:26" x14ac:dyDescent="0.25">
      <c r="A356" s="4"/>
      <c r="B356" s="4"/>
      <c r="C356" s="4"/>
      <c r="D356" s="4"/>
      <c r="E356" s="4"/>
      <c r="F356" s="4"/>
      <c r="G356" s="4"/>
      <c r="H356" s="4"/>
      <c r="I356" s="4"/>
      <c r="J356" s="4"/>
      <c r="K356" s="4"/>
      <c r="L356" s="4"/>
      <c r="M356" s="4"/>
      <c r="N356" s="4"/>
      <c r="O356" s="4"/>
      <c r="P356" s="4"/>
      <c r="Q356" s="4"/>
      <c r="R356" s="4"/>
      <c r="S356" s="4"/>
      <c r="T356" s="4"/>
      <c r="U356" s="4"/>
      <c r="V356" s="4"/>
      <c r="W356" s="242"/>
      <c r="X356" s="4"/>
      <c r="Y356" s="4"/>
      <c r="Z356" s="4"/>
    </row>
    <row r="357" ht="13.5" customHeight="1" spans="1:26" x14ac:dyDescent="0.25">
      <c r="A357" s="4"/>
      <c r="B357" s="4"/>
      <c r="C357" s="4"/>
      <c r="D357" s="4"/>
      <c r="E357" s="4"/>
      <c r="F357" s="4"/>
      <c r="G357" s="4"/>
      <c r="H357" s="4"/>
      <c r="I357" s="4"/>
      <c r="J357" s="4"/>
      <c r="K357" s="4"/>
      <c r="L357" s="4"/>
      <c r="M357" s="4"/>
      <c r="N357" s="4"/>
      <c r="O357" s="4"/>
      <c r="P357" s="4"/>
      <c r="Q357" s="4"/>
      <c r="R357" s="4"/>
      <c r="S357" s="4"/>
      <c r="T357" s="4"/>
      <c r="U357" s="4"/>
      <c r="V357" s="4"/>
      <c r="W357" s="242"/>
      <c r="X357" s="4"/>
      <c r="Y357" s="4"/>
      <c r="Z357" s="4"/>
    </row>
    <row r="358" ht="13.5" customHeight="1" spans="1:26" x14ac:dyDescent="0.25">
      <c r="A358" s="4"/>
      <c r="B358" s="4"/>
      <c r="C358" s="4"/>
      <c r="D358" s="4"/>
      <c r="E358" s="4"/>
      <c r="F358" s="4"/>
      <c r="G358" s="4"/>
      <c r="H358" s="4"/>
      <c r="I358" s="4"/>
      <c r="J358" s="4"/>
      <c r="K358" s="4"/>
      <c r="L358" s="4"/>
      <c r="M358" s="4"/>
      <c r="N358" s="4"/>
      <c r="O358" s="4"/>
      <c r="P358" s="4"/>
      <c r="Q358" s="4"/>
      <c r="R358" s="4"/>
      <c r="S358" s="4"/>
      <c r="T358" s="4"/>
      <c r="U358" s="4"/>
      <c r="V358" s="4"/>
      <c r="W358" s="242"/>
      <c r="X358" s="4"/>
      <c r="Y358" s="4"/>
      <c r="Z358" s="4"/>
    </row>
    <row r="359" ht="13.5" customHeight="1" spans="1:26" x14ac:dyDescent="0.25">
      <c r="A359" s="4"/>
      <c r="B359" s="4"/>
      <c r="C359" s="4"/>
      <c r="D359" s="4"/>
      <c r="E359" s="4"/>
      <c r="F359" s="4"/>
      <c r="G359" s="4"/>
      <c r="H359" s="4"/>
      <c r="I359" s="4"/>
      <c r="J359" s="4"/>
      <c r="K359" s="4"/>
      <c r="L359" s="4"/>
      <c r="M359" s="4"/>
      <c r="N359" s="4"/>
      <c r="O359" s="4"/>
      <c r="P359" s="4"/>
      <c r="Q359" s="4"/>
      <c r="R359" s="4"/>
      <c r="S359" s="4"/>
      <c r="T359" s="4"/>
      <c r="U359" s="4"/>
      <c r="V359" s="4"/>
      <c r="W359" s="242"/>
      <c r="X359" s="4"/>
      <c r="Y359" s="4"/>
      <c r="Z359" s="4"/>
    </row>
    <row r="360" ht="13.5" customHeight="1" spans="1:26" x14ac:dyDescent="0.25">
      <c r="A360" s="4"/>
      <c r="B360" s="4"/>
      <c r="C360" s="4"/>
      <c r="D360" s="4"/>
      <c r="E360" s="4"/>
      <c r="F360" s="4"/>
      <c r="G360" s="4"/>
      <c r="H360" s="4"/>
      <c r="I360" s="4"/>
      <c r="J360" s="4"/>
      <c r="K360" s="4"/>
      <c r="L360" s="4"/>
      <c r="M360" s="4"/>
      <c r="N360" s="4"/>
      <c r="O360" s="4"/>
      <c r="P360" s="4"/>
      <c r="Q360" s="4"/>
      <c r="R360" s="4"/>
      <c r="S360" s="4"/>
      <c r="T360" s="4"/>
      <c r="U360" s="4"/>
      <c r="V360" s="4"/>
      <c r="W360" s="242"/>
      <c r="X360" s="4"/>
      <c r="Y360" s="4"/>
      <c r="Z360" s="4"/>
    </row>
    <row r="361" ht="13.5" customHeight="1" spans="1:26" x14ac:dyDescent="0.25">
      <c r="A361" s="4"/>
      <c r="B361" s="4"/>
      <c r="C361" s="4"/>
      <c r="D361" s="4"/>
      <c r="E361" s="4"/>
      <c r="F361" s="4"/>
      <c r="G361" s="4"/>
      <c r="H361" s="4"/>
      <c r="I361" s="4"/>
      <c r="J361" s="4"/>
      <c r="K361" s="4"/>
      <c r="L361" s="4"/>
      <c r="M361" s="4"/>
      <c r="N361" s="4"/>
      <c r="O361" s="4"/>
      <c r="P361" s="4"/>
      <c r="Q361" s="4"/>
      <c r="R361" s="4"/>
      <c r="S361" s="4"/>
      <c r="T361" s="4"/>
      <c r="U361" s="4"/>
      <c r="V361" s="4"/>
      <c r="W361" s="242"/>
      <c r="X361" s="4"/>
      <c r="Y361" s="4"/>
      <c r="Z361" s="4"/>
    </row>
    <row r="362" ht="13.5" customHeight="1" spans="1:26" x14ac:dyDescent="0.25">
      <c r="A362" s="4"/>
      <c r="B362" s="4"/>
      <c r="C362" s="4"/>
      <c r="D362" s="4"/>
      <c r="E362" s="4"/>
      <c r="F362" s="4"/>
      <c r="G362" s="4"/>
      <c r="H362" s="4"/>
      <c r="I362" s="4"/>
      <c r="J362" s="4"/>
      <c r="K362" s="4"/>
      <c r="L362" s="4"/>
      <c r="M362" s="4"/>
      <c r="N362" s="4"/>
      <c r="O362" s="4"/>
      <c r="P362" s="4"/>
      <c r="Q362" s="4"/>
      <c r="R362" s="4"/>
      <c r="S362" s="4"/>
      <c r="T362" s="4"/>
      <c r="U362" s="4"/>
      <c r="V362" s="4"/>
      <c r="W362" s="242"/>
      <c r="X362" s="4"/>
      <c r="Y362" s="4"/>
      <c r="Z362" s="4"/>
    </row>
    <row r="363" ht="13.5" customHeight="1" spans="1:26" x14ac:dyDescent="0.25">
      <c r="A363" s="4"/>
      <c r="B363" s="4"/>
      <c r="C363" s="4"/>
      <c r="D363" s="4"/>
      <c r="E363" s="4"/>
      <c r="F363" s="4"/>
      <c r="G363" s="4"/>
      <c r="H363" s="4"/>
      <c r="I363" s="4"/>
      <c r="J363" s="4"/>
      <c r="K363" s="4"/>
      <c r="L363" s="4"/>
      <c r="M363" s="4"/>
      <c r="N363" s="4"/>
      <c r="O363" s="4"/>
      <c r="P363" s="4"/>
      <c r="Q363" s="4"/>
      <c r="R363" s="4"/>
      <c r="S363" s="4"/>
      <c r="T363" s="4"/>
      <c r="U363" s="4"/>
      <c r="V363" s="4"/>
      <c r="W363" s="242"/>
      <c r="X363" s="4"/>
      <c r="Y363" s="4"/>
      <c r="Z363" s="4"/>
    </row>
    <row r="364" ht="13.5" customHeight="1" spans="1:26" x14ac:dyDescent="0.25">
      <c r="A364" s="4"/>
      <c r="B364" s="4"/>
      <c r="C364" s="4"/>
      <c r="D364" s="4"/>
      <c r="E364" s="4"/>
      <c r="F364" s="4"/>
      <c r="G364" s="4"/>
      <c r="H364" s="4"/>
      <c r="I364" s="4"/>
      <c r="J364" s="4"/>
      <c r="K364" s="4"/>
      <c r="L364" s="4"/>
      <c r="M364" s="4"/>
      <c r="N364" s="4"/>
      <c r="O364" s="4"/>
      <c r="P364" s="4"/>
      <c r="Q364" s="4"/>
      <c r="R364" s="4"/>
      <c r="S364" s="4"/>
      <c r="T364" s="4"/>
      <c r="U364" s="4"/>
      <c r="V364" s="4"/>
      <c r="W364" s="242"/>
      <c r="X364" s="4"/>
      <c r="Y364" s="4"/>
      <c r="Z364" s="4"/>
    </row>
    <row r="365" ht="13.5" customHeight="1" spans="1:26" x14ac:dyDescent="0.25">
      <c r="A365" s="4"/>
      <c r="B365" s="4"/>
      <c r="C365" s="4"/>
      <c r="D365" s="4"/>
      <c r="E365" s="4"/>
      <c r="F365" s="4"/>
      <c r="G365" s="4"/>
      <c r="H365" s="4"/>
      <c r="I365" s="4"/>
      <c r="J365" s="4"/>
      <c r="K365" s="4"/>
      <c r="L365" s="4"/>
      <c r="M365" s="4"/>
      <c r="N365" s="4"/>
      <c r="O365" s="4"/>
      <c r="P365" s="4"/>
      <c r="Q365" s="4"/>
      <c r="R365" s="4"/>
      <c r="S365" s="4"/>
      <c r="T365" s="4"/>
      <c r="U365" s="4"/>
      <c r="V365" s="4"/>
      <c r="W365" s="242"/>
      <c r="X365" s="4"/>
      <c r="Y365" s="4"/>
      <c r="Z365" s="4"/>
    </row>
    <row r="366" ht="13.5" customHeight="1" spans="1:26" x14ac:dyDescent="0.25">
      <c r="A366" s="4"/>
      <c r="B366" s="4"/>
      <c r="C366" s="4"/>
      <c r="D366" s="4"/>
      <c r="E366" s="4"/>
      <c r="F366" s="4"/>
      <c r="G366" s="4"/>
      <c r="H366" s="4"/>
      <c r="I366" s="4"/>
      <c r="J366" s="4"/>
      <c r="K366" s="4"/>
      <c r="L366" s="4"/>
      <c r="M366" s="4"/>
      <c r="N366" s="4"/>
      <c r="O366" s="4"/>
      <c r="P366" s="4"/>
      <c r="Q366" s="4"/>
      <c r="R366" s="4"/>
      <c r="S366" s="4"/>
      <c r="T366" s="4"/>
      <c r="U366" s="4"/>
      <c r="V366" s="4"/>
      <c r="W366" s="242"/>
      <c r="X366" s="4"/>
      <c r="Y366" s="4"/>
      <c r="Z366" s="4"/>
    </row>
    <row r="367" ht="13.5" customHeight="1" spans="1:26" x14ac:dyDescent="0.25">
      <c r="A367" s="4"/>
      <c r="B367" s="4"/>
      <c r="C367" s="4"/>
      <c r="D367" s="4"/>
      <c r="E367" s="4"/>
      <c r="F367" s="4"/>
      <c r="G367" s="4"/>
      <c r="H367" s="4"/>
      <c r="I367" s="4"/>
      <c r="J367" s="4"/>
      <c r="K367" s="4"/>
      <c r="L367" s="4"/>
      <c r="M367" s="4"/>
      <c r="N367" s="4"/>
      <c r="O367" s="4"/>
      <c r="P367" s="4"/>
      <c r="Q367" s="4"/>
      <c r="R367" s="4"/>
      <c r="S367" s="4"/>
      <c r="T367" s="4"/>
      <c r="U367" s="4"/>
      <c r="V367" s="4"/>
      <c r="W367" s="242"/>
      <c r="X367" s="4"/>
      <c r="Y367" s="4"/>
      <c r="Z367" s="4"/>
    </row>
    <row r="368" ht="13.5" customHeight="1" spans="1:26" x14ac:dyDescent="0.25">
      <c r="A368" s="4"/>
      <c r="B368" s="4"/>
      <c r="C368" s="4"/>
      <c r="D368" s="4"/>
      <c r="E368" s="4"/>
      <c r="F368" s="4"/>
      <c r="G368" s="4"/>
      <c r="H368" s="4"/>
      <c r="I368" s="4"/>
      <c r="J368" s="4"/>
      <c r="K368" s="4"/>
      <c r="L368" s="4"/>
      <c r="M368" s="4"/>
      <c r="N368" s="4"/>
      <c r="O368" s="4"/>
      <c r="P368" s="4"/>
      <c r="Q368" s="4"/>
      <c r="R368" s="4"/>
      <c r="S368" s="4"/>
      <c r="T368" s="4"/>
      <c r="U368" s="4"/>
      <c r="V368" s="4"/>
      <c r="W368" s="242"/>
      <c r="X368" s="4"/>
      <c r="Y368" s="4"/>
      <c r="Z368" s="4"/>
    </row>
    <row r="369" ht="13.5" customHeight="1" spans="1:26" x14ac:dyDescent="0.25">
      <c r="A369" s="4"/>
      <c r="B369" s="4"/>
      <c r="C369" s="4"/>
      <c r="D369" s="4"/>
      <c r="E369" s="4"/>
      <c r="F369" s="4"/>
      <c r="G369" s="4"/>
      <c r="H369" s="4"/>
      <c r="I369" s="4"/>
      <c r="J369" s="4"/>
      <c r="K369" s="4"/>
      <c r="L369" s="4"/>
      <c r="M369" s="4"/>
      <c r="N369" s="4"/>
      <c r="O369" s="4"/>
      <c r="P369" s="4"/>
      <c r="Q369" s="4"/>
      <c r="R369" s="4"/>
      <c r="S369" s="4"/>
      <c r="T369" s="4"/>
      <c r="U369" s="4"/>
      <c r="V369" s="4"/>
      <c r="W369" s="242"/>
      <c r="X369" s="4"/>
      <c r="Y369" s="4"/>
      <c r="Z369" s="4"/>
    </row>
    <row r="370" ht="13.5" customHeight="1" spans="1:26" x14ac:dyDescent="0.25">
      <c r="A370" s="4"/>
      <c r="B370" s="4"/>
      <c r="C370" s="4"/>
      <c r="D370" s="4"/>
      <c r="E370" s="4"/>
      <c r="F370" s="4"/>
      <c r="G370" s="4"/>
      <c r="H370" s="4"/>
      <c r="I370" s="4"/>
      <c r="J370" s="4"/>
      <c r="K370" s="4"/>
      <c r="L370" s="4"/>
      <c r="M370" s="4"/>
      <c r="N370" s="4"/>
      <c r="O370" s="4"/>
      <c r="P370" s="4"/>
      <c r="Q370" s="4"/>
      <c r="R370" s="4"/>
      <c r="S370" s="4"/>
      <c r="T370" s="4"/>
      <c r="U370" s="4"/>
      <c r="V370" s="4"/>
      <c r="W370" s="242"/>
      <c r="X370" s="4"/>
      <c r="Y370" s="4"/>
      <c r="Z370" s="4"/>
    </row>
    <row r="371" ht="13.5" customHeight="1" spans="1:26" x14ac:dyDescent="0.25">
      <c r="A371" s="4"/>
      <c r="B371" s="4"/>
      <c r="C371" s="4"/>
      <c r="D371" s="4"/>
      <c r="E371" s="4"/>
      <c r="F371" s="4"/>
      <c r="G371" s="4"/>
      <c r="H371" s="4"/>
      <c r="I371" s="4"/>
      <c r="J371" s="4"/>
      <c r="K371" s="4"/>
      <c r="L371" s="4"/>
      <c r="M371" s="4"/>
      <c r="N371" s="4"/>
      <c r="O371" s="4"/>
      <c r="P371" s="4"/>
      <c r="Q371" s="4"/>
      <c r="R371" s="4"/>
      <c r="S371" s="4"/>
      <c r="T371" s="4"/>
      <c r="U371" s="4"/>
      <c r="V371" s="4"/>
      <c r="W371" s="242"/>
      <c r="X371" s="4"/>
      <c r="Y371" s="4"/>
      <c r="Z371" s="4"/>
    </row>
    <row r="372" ht="13.5" customHeight="1" spans="1:26" x14ac:dyDescent="0.25">
      <c r="A372" s="4"/>
      <c r="B372" s="4"/>
      <c r="C372" s="4"/>
      <c r="D372" s="4"/>
      <c r="E372" s="4"/>
      <c r="F372" s="4"/>
      <c r="G372" s="4"/>
      <c r="H372" s="4"/>
      <c r="I372" s="4"/>
      <c r="J372" s="4"/>
      <c r="K372" s="4"/>
      <c r="L372" s="4"/>
      <c r="M372" s="4"/>
      <c r="N372" s="4"/>
      <c r="O372" s="4"/>
      <c r="P372" s="4"/>
      <c r="Q372" s="4"/>
      <c r="R372" s="4"/>
      <c r="S372" s="4"/>
      <c r="T372" s="4"/>
      <c r="U372" s="4"/>
      <c r="V372" s="4"/>
      <c r="W372" s="242"/>
      <c r="X372" s="4"/>
      <c r="Y372" s="4"/>
      <c r="Z372" s="4"/>
    </row>
    <row r="373" ht="13.5" customHeight="1" spans="1:26" x14ac:dyDescent="0.25">
      <c r="A373" s="4"/>
      <c r="B373" s="4"/>
      <c r="C373" s="4"/>
      <c r="D373" s="4"/>
      <c r="E373" s="4"/>
      <c r="F373" s="4"/>
      <c r="G373" s="4"/>
      <c r="H373" s="4"/>
      <c r="I373" s="4"/>
      <c r="J373" s="4"/>
      <c r="K373" s="4"/>
      <c r="L373" s="4"/>
      <c r="M373" s="4"/>
      <c r="N373" s="4"/>
      <c r="O373" s="4"/>
      <c r="P373" s="4"/>
      <c r="Q373" s="4"/>
      <c r="R373" s="4"/>
      <c r="S373" s="4"/>
      <c r="T373" s="4"/>
      <c r="U373" s="4"/>
      <c r="V373" s="4"/>
      <c r="W373" s="242"/>
      <c r="X373" s="4"/>
      <c r="Y373" s="4"/>
      <c r="Z373" s="4"/>
    </row>
    <row r="374" ht="13.5" customHeight="1" spans="1:26" x14ac:dyDescent="0.25">
      <c r="A374" s="4"/>
      <c r="B374" s="4"/>
      <c r="C374" s="4"/>
      <c r="D374" s="4"/>
      <c r="E374" s="4"/>
      <c r="F374" s="4"/>
      <c r="G374" s="4"/>
      <c r="H374" s="4"/>
      <c r="I374" s="4"/>
      <c r="J374" s="4"/>
      <c r="K374" s="4"/>
      <c r="L374" s="4"/>
      <c r="M374" s="4"/>
      <c r="N374" s="4"/>
      <c r="O374" s="4"/>
      <c r="P374" s="4"/>
      <c r="Q374" s="4"/>
      <c r="R374" s="4"/>
      <c r="S374" s="4"/>
      <c r="T374" s="4"/>
      <c r="U374" s="4"/>
      <c r="V374" s="4"/>
      <c r="W374" s="242"/>
      <c r="X374" s="4"/>
      <c r="Y374" s="4"/>
      <c r="Z374" s="4"/>
    </row>
    <row r="375" ht="13.5" customHeight="1" spans="1:26" x14ac:dyDescent="0.25">
      <c r="A375" s="4"/>
      <c r="B375" s="4"/>
      <c r="C375" s="4"/>
      <c r="D375" s="4"/>
      <c r="E375" s="4"/>
      <c r="F375" s="4"/>
      <c r="G375" s="4"/>
      <c r="H375" s="4"/>
      <c r="I375" s="4"/>
      <c r="J375" s="4"/>
      <c r="K375" s="4"/>
      <c r="L375" s="4"/>
      <c r="M375" s="4"/>
      <c r="N375" s="4"/>
      <c r="O375" s="4"/>
      <c r="P375" s="4"/>
      <c r="Q375" s="4"/>
      <c r="R375" s="4"/>
      <c r="S375" s="4"/>
      <c r="T375" s="4"/>
      <c r="U375" s="4"/>
      <c r="V375" s="4"/>
      <c r="W375" s="242"/>
      <c r="X375" s="4"/>
      <c r="Y375" s="4"/>
      <c r="Z375" s="4"/>
    </row>
    <row r="376" ht="13.5" customHeight="1" spans="1:26" x14ac:dyDescent="0.25">
      <c r="A376" s="4"/>
      <c r="B376" s="4"/>
      <c r="C376" s="4"/>
      <c r="D376" s="4"/>
      <c r="E376" s="4"/>
      <c r="F376" s="4"/>
      <c r="G376" s="4"/>
      <c r="H376" s="4"/>
      <c r="I376" s="4"/>
      <c r="J376" s="4"/>
      <c r="K376" s="4"/>
      <c r="L376" s="4"/>
      <c r="M376" s="4"/>
      <c r="N376" s="4"/>
      <c r="O376" s="4"/>
      <c r="P376" s="4"/>
      <c r="Q376" s="4"/>
      <c r="R376" s="4"/>
      <c r="S376" s="4"/>
      <c r="T376" s="4"/>
      <c r="U376" s="4"/>
      <c r="V376" s="4"/>
      <c r="W376" s="242"/>
      <c r="X376" s="4"/>
      <c r="Y376" s="4"/>
      <c r="Z376" s="4"/>
    </row>
    <row r="377" ht="13.5" customHeight="1" spans="1:26" x14ac:dyDescent="0.25">
      <c r="A377" s="4"/>
      <c r="B377" s="4"/>
      <c r="C377" s="4"/>
      <c r="D377" s="4"/>
      <c r="E377" s="4"/>
      <c r="F377" s="4"/>
      <c r="G377" s="4"/>
      <c r="H377" s="4"/>
      <c r="I377" s="4"/>
      <c r="J377" s="4"/>
      <c r="K377" s="4"/>
      <c r="L377" s="4"/>
      <c r="M377" s="4"/>
      <c r="N377" s="4"/>
      <c r="O377" s="4"/>
      <c r="P377" s="4"/>
      <c r="Q377" s="4"/>
      <c r="R377" s="4"/>
      <c r="S377" s="4"/>
      <c r="T377" s="4"/>
      <c r="U377" s="4"/>
      <c r="V377" s="4"/>
      <c r="W377" s="242"/>
      <c r="X377" s="4"/>
      <c r="Y377" s="4"/>
      <c r="Z377" s="4"/>
    </row>
    <row r="378" ht="13.5" customHeight="1" spans="1:26" x14ac:dyDescent="0.25">
      <c r="A378" s="4"/>
      <c r="B378" s="4"/>
      <c r="C378" s="4"/>
      <c r="D378" s="4"/>
      <c r="E378" s="4"/>
      <c r="F378" s="4"/>
      <c r="G378" s="4"/>
      <c r="H378" s="4"/>
      <c r="I378" s="4"/>
      <c r="J378" s="4"/>
      <c r="K378" s="4"/>
      <c r="L378" s="4"/>
      <c r="M378" s="4"/>
      <c r="N378" s="4"/>
      <c r="O378" s="4"/>
      <c r="P378" s="4"/>
      <c r="Q378" s="4"/>
      <c r="R378" s="4"/>
      <c r="S378" s="4"/>
      <c r="T378" s="4"/>
      <c r="U378" s="4"/>
      <c r="V378" s="4"/>
      <c r="W378" s="242"/>
      <c r="X378" s="4"/>
      <c r="Y378" s="4"/>
      <c r="Z378" s="4"/>
    </row>
    <row r="379" ht="13.5" customHeight="1" spans="1:26" x14ac:dyDescent="0.25">
      <c r="A379" s="4"/>
      <c r="B379" s="4"/>
      <c r="C379" s="4"/>
      <c r="D379" s="4"/>
      <c r="E379" s="4"/>
      <c r="F379" s="4"/>
      <c r="G379" s="4"/>
      <c r="H379" s="4"/>
      <c r="I379" s="4"/>
      <c r="J379" s="4"/>
      <c r="K379" s="4"/>
      <c r="L379" s="4"/>
      <c r="M379" s="4"/>
      <c r="N379" s="4"/>
      <c r="O379" s="4"/>
      <c r="P379" s="4"/>
      <c r="Q379" s="4"/>
      <c r="R379" s="4"/>
      <c r="S379" s="4"/>
      <c r="T379" s="4"/>
      <c r="U379" s="4"/>
      <c r="V379" s="4"/>
      <c r="W379" s="242"/>
      <c r="X379" s="4"/>
      <c r="Y379" s="4"/>
      <c r="Z379" s="4"/>
    </row>
    <row r="380" ht="13.5" customHeight="1" spans="1:26" x14ac:dyDescent="0.25">
      <c r="A380" s="4"/>
      <c r="B380" s="4"/>
      <c r="C380" s="4"/>
      <c r="D380" s="4"/>
      <c r="E380" s="4"/>
      <c r="F380" s="4"/>
      <c r="G380" s="4"/>
      <c r="H380" s="4"/>
      <c r="I380" s="4"/>
      <c r="J380" s="4"/>
      <c r="K380" s="4"/>
      <c r="L380" s="4"/>
      <c r="M380" s="4"/>
      <c r="N380" s="4"/>
      <c r="O380" s="4"/>
      <c r="P380" s="4"/>
      <c r="Q380" s="4"/>
      <c r="R380" s="4"/>
      <c r="S380" s="4"/>
      <c r="T380" s="4"/>
      <c r="U380" s="4"/>
      <c r="V380" s="4"/>
      <c r="W380" s="242"/>
      <c r="X380" s="4"/>
      <c r="Y380" s="4"/>
      <c r="Z380" s="4"/>
    </row>
    <row r="381" ht="13.5" customHeight="1" spans="1:26" x14ac:dyDescent="0.25">
      <c r="A381" s="4"/>
      <c r="B381" s="4"/>
      <c r="C381" s="4"/>
      <c r="D381" s="4"/>
      <c r="E381" s="4"/>
      <c r="F381" s="4"/>
      <c r="G381" s="4"/>
      <c r="H381" s="4"/>
      <c r="I381" s="4"/>
      <c r="J381" s="4"/>
      <c r="K381" s="4"/>
      <c r="L381" s="4"/>
      <c r="M381" s="4"/>
      <c r="N381" s="4"/>
      <c r="O381" s="4"/>
      <c r="P381" s="4"/>
      <c r="Q381" s="4"/>
      <c r="R381" s="4"/>
      <c r="S381" s="4"/>
      <c r="T381" s="4"/>
      <c r="U381" s="4"/>
      <c r="V381" s="4"/>
      <c r="W381" s="242"/>
      <c r="X381" s="4"/>
      <c r="Y381" s="4"/>
      <c r="Z381" s="4"/>
    </row>
    <row r="382" ht="13.5" customHeight="1" spans="1:26" x14ac:dyDescent="0.25">
      <c r="A382" s="4"/>
      <c r="B382" s="4"/>
      <c r="C382" s="4"/>
      <c r="D382" s="4"/>
      <c r="E382" s="4"/>
      <c r="F382" s="4"/>
      <c r="G382" s="4"/>
      <c r="H382" s="4"/>
      <c r="I382" s="4"/>
      <c r="J382" s="4"/>
      <c r="K382" s="4"/>
      <c r="L382" s="4"/>
      <c r="M382" s="4"/>
      <c r="N382" s="4"/>
      <c r="O382" s="4"/>
      <c r="P382" s="4"/>
      <c r="Q382" s="4"/>
      <c r="R382" s="4"/>
      <c r="S382" s="4"/>
      <c r="T382" s="4"/>
      <c r="U382" s="4"/>
      <c r="V382" s="4"/>
      <c r="W382" s="242"/>
      <c r="X382" s="4"/>
      <c r="Y382" s="4"/>
      <c r="Z382" s="4"/>
    </row>
    <row r="383" ht="13.5" customHeight="1" spans="1:26" x14ac:dyDescent="0.25">
      <c r="A383" s="4"/>
      <c r="B383" s="4"/>
      <c r="C383" s="4"/>
      <c r="D383" s="4"/>
      <c r="E383" s="4"/>
      <c r="F383" s="4"/>
      <c r="G383" s="4"/>
      <c r="H383" s="4"/>
      <c r="I383" s="4"/>
      <c r="J383" s="4"/>
      <c r="K383" s="4"/>
      <c r="L383" s="4"/>
      <c r="M383" s="4"/>
      <c r="N383" s="4"/>
      <c r="O383" s="4"/>
      <c r="P383" s="4"/>
      <c r="Q383" s="4"/>
      <c r="R383" s="4"/>
      <c r="S383" s="4"/>
      <c r="T383" s="4"/>
      <c r="U383" s="4"/>
      <c r="V383" s="4"/>
      <c r="W383" s="242"/>
      <c r="X383" s="4"/>
      <c r="Y383" s="4"/>
      <c r="Z383" s="4"/>
    </row>
    <row r="384" ht="13.5" customHeight="1" spans="1:26" x14ac:dyDescent="0.25">
      <c r="A384" s="4"/>
      <c r="B384" s="4"/>
      <c r="C384" s="4"/>
      <c r="D384" s="4"/>
      <c r="E384" s="4"/>
      <c r="F384" s="4"/>
      <c r="G384" s="4"/>
      <c r="H384" s="4"/>
      <c r="I384" s="4"/>
      <c r="J384" s="4"/>
      <c r="K384" s="4"/>
      <c r="L384" s="4"/>
      <c r="M384" s="4"/>
      <c r="N384" s="4"/>
      <c r="O384" s="4"/>
      <c r="P384" s="4"/>
      <c r="Q384" s="4"/>
      <c r="R384" s="4"/>
      <c r="S384" s="4"/>
      <c r="T384" s="4"/>
      <c r="U384" s="4"/>
      <c r="V384" s="4"/>
      <c r="W384" s="242"/>
      <c r="X384" s="4"/>
      <c r="Y384" s="4"/>
      <c r="Z384" s="4"/>
    </row>
    <row r="385" ht="13.5" customHeight="1" spans="1:26" x14ac:dyDescent="0.25">
      <c r="A385" s="4"/>
      <c r="B385" s="4"/>
      <c r="C385" s="4"/>
      <c r="D385" s="4"/>
      <c r="E385" s="4"/>
      <c r="F385" s="4"/>
      <c r="G385" s="4"/>
      <c r="H385" s="4"/>
      <c r="I385" s="4"/>
      <c r="J385" s="4"/>
      <c r="K385" s="4"/>
      <c r="L385" s="4"/>
      <c r="M385" s="4"/>
      <c r="N385" s="4"/>
      <c r="O385" s="4"/>
      <c r="P385" s="4"/>
      <c r="Q385" s="4"/>
      <c r="R385" s="4"/>
      <c r="S385" s="4"/>
      <c r="T385" s="4"/>
      <c r="U385" s="4"/>
      <c r="V385" s="4"/>
      <c r="W385" s="242"/>
      <c r="X385" s="4"/>
      <c r="Y385" s="4"/>
      <c r="Z385" s="4"/>
    </row>
    <row r="386" ht="13.5" customHeight="1" spans="1:26" x14ac:dyDescent="0.25">
      <c r="A386" s="4"/>
      <c r="B386" s="4"/>
      <c r="C386" s="4"/>
      <c r="D386" s="4"/>
      <c r="E386" s="4"/>
      <c r="F386" s="4"/>
      <c r="G386" s="4"/>
      <c r="H386" s="4"/>
      <c r="I386" s="4"/>
      <c r="J386" s="4"/>
      <c r="K386" s="4"/>
      <c r="L386" s="4"/>
      <c r="M386" s="4"/>
      <c r="N386" s="4"/>
      <c r="O386" s="4"/>
      <c r="P386" s="4"/>
      <c r="Q386" s="4"/>
      <c r="R386" s="4"/>
      <c r="S386" s="4"/>
      <c r="T386" s="4"/>
      <c r="U386" s="4"/>
      <c r="V386" s="4"/>
      <c r="W386" s="242"/>
      <c r="X386" s="4"/>
      <c r="Y386" s="4"/>
      <c r="Z386" s="4"/>
    </row>
    <row r="387" ht="13.5" customHeight="1" spans="1:26" x14ac:dyDescent="0.25">
      <c r="A387" s="4"/>
      <c r="B387" s="4"/>
      <c r="C387" s="4"/>
      <c r="D387" s="4"/>
      <c r="E387" s="4"/>
      <c r="F387" s="4"/>
      <c r="G387" s="4"/>
      <c r="H387" s="4"/>
      <c r="I387" s="4"/>
      <c r="J387" s="4"/>
      <c r="K387" s="4"/>
      <c r="L387" s="4"/>
      <c r="M387" s="4"/>
      <c r="N387" s="4"/>
      <c r="O387" s="4"/>
      <c r="P387" s="4"/>
      <c r="Q387" s="4"/>
      <c r="R387" s="4"/>
      <c r="S387" s="4"/>
      <c r="T387" s="4"/>
      <c r="U387" s="4"/>
      <c r="V387" s="4"/>
      <c r="W387" s="242"/>
      <c r="X387" s="4"/>
      <c r="Y387" s="4"/>
      <c r="Z387" s="4"/>
    </row>
    <row r="388" ht="13.5" customHeight="1" spans="1:26" x14ac:dyDescent="0.25">
      <c r="A388" s="4"/>
      <c r="B388" s="4"/>
      <c r="C388" s="4"/>
      <c r="D388" s="4"/>
      <c r="E388" s="4"/>
      <c r="F388" s="4"/>
      <c r="G388" s="4"/>
      <c r="H388" s="4"/>
      <c r="I388" s="4"/>
      <c r="J388" s="4"/>
      <c r="K388" s="4"/>
      <c r="L388" s="4"/>
      <c r="M388" s="4"/>
      <c r="N388" s="4"/>
      <c r="O388" s="4"/>
      <c r="P388" s="4"/>
      <c r="Q388" s="4"/>
      <c r="R388" s="4"/>
      <c r="S388" s="4"/>
      <c r="T388" s="4"/>
      <c r="U388" s="4"/>
      <c r="V388" s="4"/>
      <c r="W388" s="242"/>
      <c r="X388" s="4"/>
      <c r="Y388" s="4"/>
      <c r="Z388" s="4"/>
    </row>
    <row r="389" ht="13.5" customHeight="1" spans="1:26" x14ac:dyDescent="0.25">
      <c r="A389" s="4"/>
      <c r="B389" s="4"/>
      <c r="C389" s="4"/>
      <c r="D389" s="4"/>
      <c r="E389" s="4"/>
      <c r="F389" s="4"/>
      <c r="G389" s="4"/>
      <c r="H389" s="4"/>
      <c r="I389" s="4"/>
      <c r="J389" s="4"/>
      <c r="K389" s="4"/>
      <c r="L389" s="4"/>
      <c r="M389" s="4"/>
      <c r="N389" s="4"/>
      <c r="O389" s="4"/>
      <c r="P389" s="4"/>
      <c r="Q389" s="4"/>
      <c r="R389" s="4"/>
      <c r="S389" s="4"/>
      <c r="T389" s="4"/>
      <c r="U389" s="4"/>
      <c r="V389" s="4"/>
      <c r="W389" s="242"/>
      <c r="X389" s="4"/>
      <c r="Y389" s="4"/>
      <c r="Z389" s="4"/>
    </row>
    <row r="390" ht="13.5" customHeight="1" spans="1:26" x14ac:dyDescent="0.25">
      <c r="A390" s="4"/>
      <c r="B390" s="4"/>
      <c r="C390" s="4"/>
      <c r="D390" s="4"/>
      <c r="E390" s="4"/>
      <c r="F390" s="4"/>
      <c r="G390" s="4"/>
      <c r="H390" s="4"/>
      <c r="I390" s="4"/>
      <c r="J390" s="4"/>
      <c r="K390" s="4"/>
      <c r="L390" s="4"/>
      <c r="M390" s="4"/>
      <c r="N390" s="4"/>
      <c r="O390" s="4"/>
      <c r="P390" s="4"/>
      <c r="Q390" s="4"/>
      <c r="R390" s="4"/>
      <c r="S390" s="4"/>
      <c r="T390" s="4"/>
      <c r="U390" s="4"/>
      <c r="V390" s="4"/>
      <c r="W390" s="242"/>
      <c r="X390" s="4"/>
      <c r="Y390" s="4"/>
      <c r="Z390" s="4"/>
    </row>
    <row r="391" ht="13.5" customHeight="1" spans="1:26" x14ac:dyDescent="0.25">
      <c r="A391" s="4"/>
      <c r="B391" s="4"/>
      <c r="C391" s="4"/>
      <c r="D391" s="4"/>
      <c r="E391" s="4"/>
      <c r="F391" s="4"/>
      <c r="G391" s="4"/>
      <c r="H391" s="4"/>
      <c r="I391" s="4"/>
      <c r="J391" s="4"/>
      <c r="K391" s="4"/>
      <c r="L391" s="4"/>
      <c r="M391" s="4"/>
      <c r="N391" s="4"/>
      <c r="O391" s="4"/>
      <c r="P391" s="4"/>
      <c r="Q391" s="4"/>
      <c r="R391" s="4"/>
      <c r="S391" s="4"/>
      <c r="T391" s="4"/>
      <c r="U391" s="4"/>
      <c r="V391" s="4"/>
      <c r="W391" s="242"/>
      <c r="X391" s="4"/>
      <c r="Y391" s="4"/>
      <c r="Z391" s="4"/>
    </row>
    <row r="392" ht="13.5" customHeight="1" spans="1:26" x14ac:dyDescent="0.25">
      <c r="A392" s="4"/>
      <c r="B392" s="4"/>
      <c r="C392" s="4"/>
      <c r="D392" s="4"/>
      <c r="E392" s="4"/>
      <c r="F392" s="4"/>
      <c r="G392" s="4"/>
      <c r="H392" s="4"/>
      <c r="I392" s="4"/>
      <c r="J392" s="4"/>
      <c r="K392" s="4"/>
      <c r="L392" s="4"/>
      <c r="M392" s="4"/>
      <c r="N392" s="4"/>
      <c r="O392" s="4"/>
      <c r="P392" s="4"/>
      <c r="Q392" s="4"/>
      <c r="R392" s="4"/>
      <c r="S392" s="4"/>
      <c r="T392" s="4"/>
      <c r="U392" s="4"/>
      <c r="V392" s="4"/>
      <c r="W392" s="242"/>
      <c r="X392" s="4"/>
      <c r="Y392" s="4"/>
      <c r="Z392" s="4"/>
    </row>
    <row r="393" ht="13.5" customHeight="1" spans="1:26" x14ac:dyDescent="0.25">
      <c r="A393" s="4"/>
      <c r="B393" s="4"/>
      <c r="C393" s="4"/>
      <c r="D393" s="4"/>
      <c r="E393" s="4"/>
      <c r="F393" s="4"/>
      <c r="G393" s="4"/>
      <c r="H393" s="4"/>
      <c r="I393" s="4"/>
      <c r="J393" s="4"/>
      <c r="K393" s="4"/>
      <c r="L393" s="4"/>
      <c r="M393" s="4"/>
      <c r="N393" s="4"/>
      <c r="O393" s="4"/>
      <c r="P393" s="4"/>
      <c r="Q393" s="4"/>
      <c r="R393" s="4"/>
      <c r="S393" s="4"/>
      <c r="T393" s="4"/>
      <c r="U393" s="4"/>
      <c r="V393" s="4"/>
      <c r="W393" s="242"/>
      <c r="X393" s="4"/>
      <c r="Y393" s="4"/>
      <c r="Z393" s="4"/>
    </row>
    <row r="394" ht="13.5" customHeight="1" spans="1:26" x14ac:dyDescent="0.25">
      <c r="A394" s="4"/>
      <c r="B394" s="4"/>
      <c r="C394" s="4"/>
      <c r="D394" s="4"/>
      <c r="E394" s="4"/>
      <c r="F394" s="4"/>
      <c r="G394" s="4"/>
      <c r="H394" s="4"/>
      <c r="I394" s="4"/>
      <c r="J394" s="4"/>
      <c r="K394" s="4"/>
      <c r="L394" s="4"/>
      <c r="M394" s="4"/>
      <c r="N394" s="4"/>
      <c r="O394" s="4"/>
      <c r="P394" s="4"/>
      <c r="Q394" s="4"/>
      <c r="R394" s="4"/>
      <c r="S394" s="4"/>
      <c r="T394" s="4"/>
      <c r="U394" s="4"/>
      <c r="V394" s="4"/>
      <c r="W394" s="242"/>
      <c r="X394" s="4"/>
      <c r="Y394" s="4"/>
      <c r="Z394" s="4"/>
    </row>
    <row r="395" ht="13.5" customHeight="1" spans="1:26" x14ac:dyDescent="0.25">
      <c r="A395" s="4"/>
      <c r="B395" s="4"/>
      <c r="C395" s="4"/>
      <c r="D395" s="4"/>
      <c r="E395" s="4"/>
      <c r="F395" s="4"/>
      <c r="G395" s="4"/>
      <c r="H395" s="4"/>
      <c r="I395" s="4"/>
      <c r="J395" s="4"/>
      <c r="K395" s="4"/>
      <c r="L395" s="4"/>
      <c r="M395" s="4"/>
      <c r="N395" s="4"/>
      <c r="O395" s="4"/>
      <c r="P395" s="4"/>
      <c r="Q395" s="4"/>
      <c r="R395" s="4"/>
      <c r="S395" s="4"/>
      <c r="T395" s="4"/>
      <c r="U395" s="4"/>
      <c r="V395" s="4"/>
      <c r="W395" s="242"/>
      <c r="X395" s="4"/>
      <c r="Y395" s="4"/>
      <c r="Z395" s="4"/>
    </row>
    <row r="396" ht="13.5" customHeight="1" spans="1:26" x14ac:dyDescent="0.25">
      <c r="A396" s="4"/>
      <c r="B396" s="4"/>
      <c r="C396" s="4"/>
      <c r="D396" s="4"/>
      <c r="E396" s="4"/>
      <c r="F396" s="4"/>
      <c r="G396" s="4"/>
      <c r="H396" s="4"/>
      <c r="I396" s="4"/>
      <c r="J396" s="4"/>
      <c r="K396" s="4"/>
      <c r="L396" s="4"/>
      <c r="M396" s="4"/>
      <c r="N396" s="4"/>
      <c r="O396" s="4"/>
      <c r="P396" s="4"/>
      <c r="Q396" s="4"/>
      <c r="R396" s="4"/>
      <c r="S396" s="4"/>
      <c r="T396" s="4"/>
      <c r="U396" s="4"/>
      <c r="V396" s="4"/>
      <c r="W396" s="242"/>
      <c r="X396" s="4"/>
      <c r="Y396" s="4"/>
      <c r="Z396" s="4"/>
    </row>
    <row r="397" ht="13.5" customHeight="1" spans="1:26" x14ac:dyDescent="0.25">
      <c r="A397" s="4"/>
      <c r="B397" s="4"/>
      <c r="C397" s="4"/>
      <c r="D397" s="4"/>
      <c r="E397" s="4"/>
      <c r="F397" s="4"/>
      <c r="G397" s="4"/>
      <c r="H397" s="4"/>
      <c r="I397" s="4"/>
      <c r="J397" s="4"/>
      <c r="K397" s="4"/>
      <c r="L397" s="4"/>
      <c r="M397" s="4"/>
      <c r="N397" s="4"/>
      <c r="O397" s="4"/>
      <c r="P397" s="4"/>
      <c r="Q397" s="4"/>
      <c r="R397" s="4"/>
      <c r="S397" s="4"/>
      <c r="T397" s="4"/>
      <c r="U397" s="4"/>
      <c r="V397" s="4"/>
      <c r="W397" s="242"/>
      <c r="X397" s="4"/>
      <c r="Y397" s="4"/>
      <c r="Z397" s="4"/>
    </row>
    <row r="398" ht="13.5" customHeight="1" spans="1:26" x14ac:dyDescent="0.25">
      <c r="A398" s="4"/>
      <c r="B398" s="4"/>
      <c r="C398" s="4"/>
      <c r="D398" s="4"/>
      <c r="E398" s="4"/>
      <c r="F398" s="4"/>
      <c r="G398" s="4"/>
      <c r="H398" s="4"/>
      <c r="I398" s="4"/>
      <c r="J398" s="4"/>
      <c r="K398" s="4"/>
      <c r="L398" s="4"/>
      <c r="M398" s="4"/>
      <c r="N398" s="4"/>
      <c r="O398" s="4"/>
      <c r="P398" s="4"/>
      <c r="Q398" s="4"/>
      <c r="R398" s="4"/>
      <c r="S398" s="4"/>
      <c r="T398" s="4"/>
      <c r="U398" s="4"/>
      <c r="V398" s="4"/>
      <c r="W398" s="242"/>
      <c r="X398" s="4"/>
      <c r="Y398" s="4"/>
      <c r="Z398" s="4"/>
    </row>
    <row r="399" ht="13.5" customHeight="1" spans="1:26" x14ac:dyDescent="0.25">
      <c r="A399" s="4"/>
      <c r="B399" s="4"/>
      <c r="C399" s="4"/>
      <c r="D399" s="4"/>
      <c r="E399" s="4"/>
      <c r="F399" s="4"/>
      <c r="G399" s="4"/>
      <c r="H399" s="4"/>
      <c r="I399" s="4"/>
      <c r="J399" s="4"/>
      <c r="K399" s="4"/>
      <c r="L399" s="4"/>
      <c r="M399" s="4"/>
      <c r="N399" s="4"/>
      <c r="O399" s="4"/>
      <c r="P399" s="4"/>
      <c r="Q399" s="4"/>
      <c r="R399" s="4"/>
      <c r="S399" s="4"/>
      <c r="T399" s="4"/>
      <c r="U399" s="4"/>
      <c r="V399" s="4"/>
      <c r="W399" s="242"/>
      <c r="X399" s="4"/>
      <c r="Y399" s="4"/>
      <c r="Z399" s="4"/>
    </row>
    <row r="400" ht="13.5" customHeight="1" spans="1:26" x14ac:dyDescent="0.25">
      <c r="A400" s="4"/>
      <c r="B400" s="4"/>
      <c r="C400" s="4"/>
      <c r="D400" s="4"/>
      <c r="E400" s="4"/>
      <c r="F400" s="4"/>
      <c r="G400" s="4"/>
      <c r="H400" s="4"/>
      <c r="I400" s="4"/>
      <c r="J400" s="4"/>
      <c r="K400" s="4"/>
      <c r="L400" s="4"/>
      <c r="M400" s="4"/>
      <c r="N400" s="4"/>
      <c r="O400" s="4"/>
      <c r="P400" s="4"/>
      <c r="Q400" s="4"/>
      <c r="R400" s="4"/>
      <c r="S400" s="4"/>
      <c r="T400" s="4"/>
      <c r="U400" s="4"/>
      <c r="V400" s="4"/>
      <c r="W400" s="242"/>
      <c r="X400" s="4"/>
      <c r="Y400" s="4"/>
      <c r="Z400" s="4"/>
    </row>
    <row r="401" ht="13.5" customHeight="1" spans="1:26" x14ac:dyDescent="0.25">
      <c r="A401" s="4"/>
      <c r="B401" s="4"/>
      <c r="C401" s="4"/>
      <c r="D401" s="4"/>
      <c r="E401" s="4"/>
      <c r="F401" s="4"/>
      <c r="G401" s="4"/>
      <c r="H401" s="4"/>
      <c r="I401" s="4"/>
      <c r="J401" s="4"/>
      <c r="K401" s="4"/>
      <c r="L401" s="4"/>
      <c r="M401" s="4"/>
      <c r="N401" s="4"/>
      <c r="O401" s="4"/>
      <c r="P401" s="4"/>
      <c r="Q401" s="4"/>
      <c r="R401" s="4"/>
      <c r="S401" s="4"/>
      <c r="T401" s="4"/>
      <c r="U401" s="4"/>
      <c r="V401" s="4"/>
      <c r="W401" s="242"/>
      <c r="X401" s="4"/>
      <c r="Y401" s="4"/>
      <c r="Z401" s="4"/>
    </row>
    <row r="402" ht="13.5" customHeight="1" spans="1:26" x14ac:dyDescent="0.25">
      <c r="A402" s="4"/>
      <c r="B402" s="4"/>
      <c r="C402" s="4"/>
      <c r="D402" s="4"/>
      <c r="E402" s="4"/>
      <c r="F402" s="4"/>
      <c r="G402" s="4"/>
      <c r="H402" s="4"/>
      <c r="I402" s="4"/>
      <c r="J402" s="4"/>
      <c r="K402" s="4"/>
      <c r="L402" s="4"/>
      <c r="M402" s="4"/>
      <c r="N402" s="4"/>
      <c r="O402" s="4"/>
      <c r="P402" s="4"/>
      <c r="Q402" s="4"/>
      <c r="R402" s="4"/>
      <c r="S402" s="4"/>
      <c r="T402" s="4"/>
      <c r="U402" s="4"/>
      <c r="V402" s="4"/>
      <c r="W402" s="242"/>
      <c r="X402" s="4"/>
      <c r="Y402" s="4"/>
      <c r="Z402" s="4"/>
    </row>
    <row r="403" ht="13.5" customHeight="1" spans="1:26" x14ac:dyDescent="0.25">
      <c r="A403" s="4"/>
      <c r="B403" s="4"/>
      <c r="C403" s="4"/>
      <c r="D403" s="4"/>
      <c r="E403" s="4"/>
      <c r="F403" s="4"/>
      <c r="G403" s="4"/>
      <c r="H403" s="4"/>
      <c r="I403" s="4"/>
      <c r="J403" s="4"/>
      <c r="K403" s="4"/>
      <c r="L403" s="4"/>
      <c r="M403" s="4"/>
      <c r="N403" s="4"/>
      <c r="O403" s="4"/>
      <c r="P403" s="4"/>
      <c r="Q403" s="4"/>
      <c r="R403" s="4"/>
      <c r="S403" s="4"/>
      <c r="T403" s="4"/>
      <c r="U403" s="4"/>
      <c r="V403" s="4"/>
      <c r="W403" s="242"/>
      <c r="X403" s="4"/>
      <c r="Y403" s="4"/>
      <c r="Z403" s="4"/>
    </row>
    <row r="404" ht="13.5" customHeight="1" spans="1:26" x14ac:dyDescent="0.25">
      <c r="A404" s="4"/>
      <c r="B404" s="4"/>
      <c r="C404" s="4"/>
      <c r="D404" s="4"/>
      <c r="E404" s="4"/>
      <c r="F404" s="4"/>
      <c r="G404" s="4"/>
      <c r="H404" s="4"/>
      <c r="I404" s="4"/>
      <c r="J404" s="4"/>
      <c r="K404" s="4"/>
      <c r="L404" s="4"/>
      <c r="M404" s="4"/>
      <c r="N404" s="4"/>
      <c r="O404" s="4"/>
      <c r="P404" s="4"/>
      <c r="Q404" s="4"/>
      <c r="R404" s="4"/>
      <c r="S404" s="4"/>
      <c r="T404" s="4"/>
      <c r="U404" s="4"/>
      <c r="V404" s="4"/>
      <c r="W404" s="242"/>
      <c r="X404" s="4"/>
      <c r="Y404" s="4"/>
      <c r="Z404" s="4"/>
    </row>
    <row r="405" ht="13.5" customHeight="1" spans="1:26" x14ac:dyDescent="0.25">
      <c r="A405" s="4"/>
      <c r="B405" s="4"/>
      <c r="C405" s="4"/>
      <c r="D405" s="4"/>
      <c r="E405" s="4"/>
      <c r="F405" s="4"/>
      <c r="G405" s="4"/>
      <c r="H405" s="4"/>
      <c r="I405" s="4"/>
      <c r="J405" s="4"/>
      <c r="K405" s="4"/>
      <c r="L405" s="4"/>
      <c r="M405" s="4"/>
      <c r="N405" s="4"/>
      <c r="O405" s="4"/>
      <c r="P405" s="4"/>
      <c r="Q405" s="4"/>
      <c r="R405" s="4"/>
      <c r="S405" s="4"/>
      <c r="T405" s="4"/>
      <c r="U405" s="4"/>
      <c r="V405" s="4"/>
      <c r="W405" s="242"/>
      <c r="X405" s="4"/>
      <c r="Y405" s="4"/>
      <c r="Z405" s="4"/>
    </row>
    <row r="406" ht="13.5" customHeight="1" spans="1:26" x14ac:dyDescent="0.25">
      <c r="A406" s="4"/>
      <c r="B406" s="4"/>
      <c r="C406" s="4"/>
      <c r="D406" s="4"/>
      <c r="E406" s="4"/>
      <c r="F406" s="4"/>
      <c r="G406" s="4"/>
      <c r="H406" s="4"/>
      <c r="I406" s="4"/>
      <c r="J406" s="4"/>
      <c r="K406" s="4"/>
      <c r="L406" s="4"/>
      <c r="M406" s="4"/>
      <c r="N406" s="4"/>
      <c r="O406" s="4"/>
      <c r="P406" s="4"/>
      <c r="Q406" s="4"/>
      <c r="R406" s="4"/>
      <c r="S406" s="4"/>
      <c r="T406" s="4"/>
      <c r="U406" s="4"/>
      <c r="V406" s="4"/>
      <c r="W406" s="242"/>
      <c r="X406" s="4"/>
      <c r="Y406" s="4"/>
      <c r="Z406" s="4"/>
    </row>
    <row r="407" ht="13.5" customHeight="1" spans="1:26" x14ac:dyDescent="0.25">
      <c r="A407" s="4"/>
      <c r="B407" s="4"/>
      <c r="C407" s="4"/>
      <c r="D407" s="4"/>
      <c r="E407" s="4"/>
      <c r="F407" s="4"/>
      <c r="G407" s="4"/>
      <c r="H407" s="4"/>
      <c r="I407" s="4"/>
      <c r="J407" s="4"/>
      <c r="K407" s="4"/>
      <c r="L407" s="4"/>
      <c r="M407" s="4"/>
      <c r="N407" s="4"/>
      <c r="O407" s="4"/>
      <c r="P407" s="4"/>
      <c r="Q407" s="4"/>
      <c r="R407" s="4"/>
      <c r="S407" s="4"/>
      <c r="T407" s="4"/>
      <c r="U407" s="4"/>
      <c r="V407" s="4"/>
      <c r="W407" s="242"/>
      <c r="X407" s="4"/>
      <c r="Y407" s="4"/>
      <c r="Z407" s="4"/>
    </row>
    <row r="408" ht="13.5" customHeight="1" spans="1:26" x14ac:dyDescent="0.25">
      <c r="A408" s="4"/>
      <c r="B408" s="4"/>
      <c r="C408" s="4"/>
      <c r="D408" s="4"/>
      <c r="E408" s="4"/>
      <c r="F408" s="4"/>
      <c r="G408" s="4"/>
      <c r="H408" s="4"/>
      <c r="I408" s="4"/>
      <c r="J408" s="4"/>
      <c r="K408" s="4"/>
      <c r="L408" s="4"/>
      <c r="M408" s="4"/>
      <c r="N408" s="4"/>
      <c r="O408" s="4"/>
      <c r="P408" s="4"/>
      <c r="Q408" s="4"/>
      <c r="R408" s="4"/>
      <c r="S408" s="4"/>
      <c r="T408" s="4"/>
      <c r="U408" s="4"/>
      <c r="V408" s="4"/>
      <c r="W408" s="242"/>
      <c r="X408" s="4"/>
      <c r="Y408" s="4"/>
      <c r="Z408" s="4"/>
    </row>
    <row r="409" ht="13.5" customHeight="1" spans="1:26" x14ac:dyDescent="0.25">
      <c r="A409" s="4"/>
      <c r="B409" s="4"/>
      <c r="C409" s="4"/>
      <c r="D409" s="4"/>
      <c r="E409" s="4"/>
      <c r="F409" s="4"/>
      <c r="G409" s="4"/>
      <c r="H409" s="4"/>
      <c r="I409" s="4"/>
      <c r="J409" s="4"/>
      <c r="K409" s="4"/>
      <c r="L409" s="4"/>
      <c r="M409" s="4"/>
      <c r="N409" s="4"/>
      <c r="O409" s="4"/>
      <c r="P409" s="4"/>
      <c r="Q409" s="4"/>
      <c r="R409" s="4"/>
      <c r="S409" s="4"/>
      <c r="T409" s="4"/>
      <c r="U409" s="4"/>
      <c r="V409" s="4"/>
      <c r="W409" s="242"/>
      <c r="X409" s="4"/>
      <c r="Y409" s="4"/>
      <c r="Z409" s="4"/>
    </row>
    <row r="410" ht="13.5" customHeight="1" spans="1:26" x14ac:dyDescent="0.25">
      <c r="A410" s="4"/>
      <c r="B410" s="4"/>
      <c r="C410" s="4"/>
      <c r="D410" s="4"/>
      <c r="E410" s="4"/>
      <c r="F410" s="4"/>
      <c r="G410" s="4"/>
      <c r="H410" s="4"/>
      <c r="I410" s="4"/>
      <c r="J410" s="4"/>
      <c r="K410" s="4"/>
      <c r="L410" s="4"/>
      <c r="M410" s="4"/>
      <c r="N410" s="4"/>
      <c r="O410" s="4"/>
      <c r="P410" s="4"/>
      <c r="Q410" s="4"/>
      <c r="R410" s="4"/>
      <c r="S410" s="4"/>
      <c r="T410" s="4"/>
      <c r="U410" s="4"/>
      <c r="V410" s="4"/>
      <c r="W410" s="242"/>
      <c r="X410" s="4"/>
      <c r="Y410" s="4"/>
      <c r="Z410" s="4"/>
    </row>
    <row r="411" ht="13.5" customHeight="1" spans="1:26" x14ac:dyDescent="0.25">
      <c r="A411" s="4"/>
      <c r="B411" s="4"/>
      <c r="C411" s="4"/>
      <c r="D411" s="4"/>
      <c r="E411" s="4"/>
      <c r="F411" s="4"/>
      <c r="G411" s="4"/>
      <c r="H411" s="4"/>
      <c r="I411" s="4"/>
      <c r="J411" s="4"/>
      <c r="K411" s="4"/>
      <c r="L411" s="4"/>
      <c r="M411" s="4"/>
      <c r="N411" s="4"/>
      <c r="O411" s="4"/>
      <c r="P411" s="4"/>
      <c r="Q411" s="4"/>
      <c r="R411" s="4"/>
      <c r="S411" s="4"/>
      <c r="T411" s="4"/>
      <c r="U411" s="4"/>
      <c r="V411" s="4"/>
      <c r="W411" s="242"/>
      <c r="X411" s="4"/>
      <c r="Y411" s="4"/>
      <c r="Z411" s="4"/>
    </row>
    <row r="412" ht="13.5" customHeight="1" spans="1:26" x14ac:dyDescent="0.25">
      <c r="A412" s="4"/>
      <c r="B412" s="4"/>
      <c r="C412" s="4"/>
      <c r="D412" s="4"/>
      <c r="E412" s="4"/>
      <c r="F412" s="4"/>
      <c r="G412" s="4"/>
      <c r="H412" s="4"/>
      <c r="I412" s="4"/>
      <c r="J412" s="4"/>
      <c r="K412" s="4"/>
      <c r="L412" s="4"/>
      <c r="M412" s="4"/>
      <c r="N412" s="4"/>
      <c r="O412" s="4"/>
      <c r="P412" s="4"/>
      <c r="Q412" s="4"/>
      <c r="R412" s="4"/>
      <c r="S412" s="4"/>
      <c r="T412" s="4"/>
      <c r="U412" s="4"/>
      <c r="V412" s="4"/>
      <c r="W412" s="242"/>
      <c r="X412" s="4"/>
      <c r="Y412" s="4"/>
      <c r="Z412" s="4"/>
    </row>
    <row r="413" ht="13.5" customHeight="1" spans="1:26" x14ac:dyDescent="0.25">
      <c r="A413" s="4"/>
      <c r="B413" s="4"/>
      <c r="C413" s="4"/>
      <c r="D413" s="4"/>
      <c r="E413" s="4"/>
      <c r="F413" s="4"/>
      <c r="G413" s="4"/>
      <c r="H413" s="4"/>
      <c r="I413" s="4"/>
      <c r="J413" s="4"/>
      <c r="K413" s="4"/>
      <c r="L413" s="4"/>
      <c r="M413" s="4"/>
      <c r="N413" s="4"/>
      <c r="O413" s="4"/>
      <c r="P413" s="4"/>
      <c r="Q413" s="4"/>
      <c r="R413" s="4"/>
      <c r="S413" s="4"/>
      <c r="T413" s="4"/>
      <c r="U413" s="4"/>
      <c r="V413" s="4"/>
      <c r="W413" s="242"/>
      <c r="X413" s="4"/>
      <c r="Y413" s="4"/>
      <c r="Z413" s="4"/>
    </row>
    <row r="414" ht="13.5" customHeight="1" spans="1:26" x14ac:dyDescent="0.25">
      <c r="A414" s="4"/>
      <c r="B414" s="4"/>
      <c r="C414" s="4"/>
      <c r="D414" s="4"/>
      <c r="E414" s="4"/>
      <c r="F414" s="4"/>
      <c r="G414" s="4"/>
      <c r="H414" s="4"/>
      <c r="I414" s="4"/>
      <c r="J414" s="4"/>
      <c r="K414" s="4"/>
      <c r="L414" s="4"/>
      <c r="M414" s="4"/>
      <c r="N414" s="4"/>
      <c r="O414" s="4"/>
      <c r="P414" s="4"/>
      <c r="Q414" s="4"/>
      <c r="R414" s="4"/>
      <c r="S414" s="4"/>
      <c r="T414" s="4"/>
      <c r="U414" s="4"/>
      <c r="V414" s="4"/>
      <c r="W414" s="242"/>
      <c r="X414" s="4"/>
      <c r="Y414" s="4"/>
      <c r="Z414" s="4"/>
    </row>
    <row r="415" ht="13.5" customHeight="1" spans="1:26" x14ac:dyDescent="0.25">
      <c r="A415" s="4"/>
      <c r="B415" s="4"/>
      <c r="C415" s="4"/>
      <c r="D415" s="4"/>
      <c r="E415" s="4"/>
      <c r="F415" s="4"/>
      <c r="G415" s="4"/>
      <c r="H415" s="4"/>
      <c r="I415" s="4"/>
      <c r="J415" s="4"/>
      <c r="K415" s="4"/>
      <c r="L415" s="4"/>
      <c r="M415" s="4"/>
      <c r="N415" s="4"/>
      <c r="O415" s="4"/>
      <c r="P415" s="4"/>
      <c r="Q415" s="4"/>
      <c r="R415" s="4"/>
      <c r="S415" s="4"/>
      <c r="T415" s="4"/>
      <c r="U415" s="4"/>
      <c r="V415" s="4"/>
      <c r="W415" s="242"/>
      <c r="X415" s="4"/>
      <c r="Y415" s="4"/>
      <c r="Z415" s="4"/>
    </row>
    <row r="416" ht="13.5" customHeight="1" spans="1:26" x14ac:dyDescent="0.25">
      <c r="A416" s="4"/>
      <c r="B416" s="4"/>
      <c r="C416" s="4"/>
      <c r="D416" s="4"/>
      <c r="E416" s="4"/>
      <c r="F416" s="4"/>
      <c r="G416" s="4"/>
      <c r="H416" s="4"/>
      <c r="I416" s="4"/>
      <c r="J416" s="4"/>
      <c r="K416" s="4"/>
      <c r="L416" s="4"/>
      <c r="M416" s="4"/>
      <c r="N416" s="4"/>
      <c r="O416" s="4"/>
      <c r="P416" s="4"/>
      <c r="Q416" s="4"/>
      <c r="R416" s="4"/>
      <c r="S416" s="4"/>
      <c r="T416" s="4"/>
      <c r="U416" s="4"/>
      <c r="V416" s="4"/>
      <c r="W416" s="242"/>
      <c r="X416" s="4"/>
      <c r="Y416" s="4"/>
      <c r="Z416" s="4"/>
    </row>
    <row r="417" ht="13.5" customHeight="1" spans="1:26" x14ac:dyDescent="0.25">
      <c r="A417" s="4"/>
      <c r="B417" s="4"/>
      <c r="C417" s="4"/>
      <c r="D417" s="4"/>
      <c r="E417" s="4"/>
      <c r="F417" s="4"/>
      <c r="G417" s="4"/>
      <c r="H417" s="4"/>
      <c r="I417" s="4"/>
      <c r="J417" s="4"/>
      <c r="K417" s="4"/>
      <c r="L417" s="4"/>
      <c r="M417" s="4"/>
      <c r="N417" s="4"/>
      <c r="O417" s="4"/>
      <c r="P417" s="4"/>
      <c r="Q417" s="4"/>
      <c r="R417" s="4"/>
      <c r="S417" s="4"/>
      <c r="T417" s="4"/>
      <c r="U417" s="4"/>
      <c r="V417" s="4"/>
      <c r="W417" s="242"/>
      <c r="X417" s="4"/>
      <c r="Y417" s="4"/>
      <c r="Z417" s="4"/>
    </row>
    <row r="418" ht="13.5" customHeight="1" spans="1:26" x14ac:dyDescent="0.25">
      <c r="A418" s="4"/>
      <c r="B418" s="4"/>
      <c r="C418" s="4"/>
      <c r="D418" s="4"/>
      <c r="E418" s="4"/>
      <c r="F418" s="4"/>
      <c r="G418" s="4"/>
      <c r="H418" s="4"/>
      <c r="I418" s="4"/>
      <c r="J418" s="4"/>
      <c r="K418" s="4"/>
      <c r="L418" s="4"/>
      <c r="M418" s="4"/>
      <c r="N418" s="4"/>
      <c r="O418" s="4"/>
      <c r="P418" s="4"/>
      <c r="Q418" s="4"/>
      <c r="R418" s="4"/>
      <c r="S418" s="4"/>
      <c r="T418" s="4"/>
      <c r="U418" s="4"/>
      <c r="V418" s="4"/>
      <c r="W418" s="242"/>
      <c r="X418" s="4"/>
      <c r="Y418" s="4"/>
      <c r="Z418" s="4"/>
    </row>
    <row r="419" ht="13.5" customHeight="1" spans="1:26" x14ac:dyDescent="0.25">
      <c r="A419" s="4"/>
      <c r="B419" s="4"/>
      <c r="C419" s="4"/>
      <c r="D419" s="4"/>
      <c r="E419" s="4"/>
      <c r="F419" s="4"/>
      <c r="G419" s="4"/>
      <c r="H419" s="4"/>
      <c r="I419" s="4"/>
      <c r="J419" s="4"/>
      <c r="K419" s="4"/>
      <c r="L419" s="4"/>
      <c r="M419" s="4"/>
      <c r="N419" s="4"/>
      <c r="O419" s="4"/>
      <c r="P419" s="4"/>
      <c r="Q419" s="4"/>
      <c r="R419" s="4"/>
      <c r="S419" s="4"/>
      <c r="T419" s="4"/>
      <c r="U419" s="4"/>
      <c r="V419" s="4"/>
      <c r="W419" s="242"/>
      <c r="X419" s="4"/>
      <c r="Y419" s="4"/>
      <c r="Z419" s="4"/>
    </row>
    <row r="420" ht="13.5" customHeight="1" spans="1:26" x14ac:dyDescent="0.25">
      <c r="A420" s="4"/>
      <c r="B420" s="4"/>
      <c r="C420" s="4"/>
      <c r="D420" s="4"/>
      <c r="E420" s="4"/>
      <c r="F420" s="4"/>
      <c r="G420" s="4"/>
      <c r="H420" s="4"/>
      <c r="I420" s="4"/>
      <c r="J420" s="4"/>
      <c r="K420" s="4"/>
      <c r="L420" s="4"/>
      <c r="M420" s="4"/>
      <c r="N420" s="4"/>
      <c r="O420" s="4"/>
      <c r="P420" s="4"/>
      <c r="Q420" s="4"/>
      <c r="R420" s="4"/>
      <c r="S420" s="4"/>
      <c r="T420" s="4"/>
      <c r="U420" s="4"/>
      <c r="V420" s="4"/>
      <c r="W420" s="242"/>
      <c r="X420" s="4"/>
      <c r="Y420" s="4"/>
      <c r="Z420" s="4"/>
    </row>
    <row r="421" ht="13.5" customHeight="1" spans="1:26" x14ac:dyDescent="0.25">
      <c r="A421" s="4"/>
      <c r="B421" s="4"/>
      <c r="C421" s="4"/>
      <c r="D421" s="4"/>
      <c r="E421" s="4"/>
      <c r="F421" s="4"/>
      <c r="G421" s="4"/>
      <c r="H421" s="4"/>
      <c r="I421" s="4"/>
      <c r="J421" s="4"/>
      <c r="K421" s="4"/>
      <c r="L421" s="4"/>
      <c r="M421" s="4"/>
      <c r="N421" s="4"/>
      <c r="O421" s="4"/>
      <c r="P421" s="4"/>
      <c r="Q421" s="4"/>
      <c r="R421" s="4"/>
      <c r="S421" s="4"/>
      <c r="T421" s="4"/>
      <c r="U421" s="4"/>
      <c r="V421" s="4"/>
      <c r="W421" s="242"/>
      <c r="X421" s="4"/>
      <c r="Y421" s="4"/>
      <c r="Z421" s="4"/>
    </row>
    <row r="422" ht="13.5" customHeight="1" spans="1:26" x14ac:dyDescent="0.25">
      <c r="A422" s="4"/>
      <c r="B422" s="4"/>
      <c r="C422" s="4"/>
      <c r="D422" s="4"/>
      <c r="E422" s="4"/>
      <c r="F422" s="4"/>
      <c r="G422" s="4"/>
      <c r="H422" s="4"/>
      <c r="I422" s="4"/>
      <c r="J422" s="4"/>
      <c r="K422" s="4"/>
      <c r="L422" s="4"/>
      <c r="M422" s="4"/>
      <c r="N422" s="4"/>
      <c r="O422" s="4"/>
      <c r="P422" s="4"/>
      <c r="Q422" s="4"/>
      <c r="R422" s="4"/>
      <c r="S422" s="4"/>
      <c r="T422" s="4"/>
      <c r="U422" s="4"/>
      <c r="V422" s="4"/>
      <c r="W422" s="242"/>
      <c r="X422" s="4"/>
      <c r="Y422" s="4"/>
      <c r="Z422" s="4"/>
    </row>
    <row r="423" ht="13.5" customHeight="1" spans="1:26" x14ac:dyDescent="0.25">
      <c r="A423" s="4"/>
      <c r="B423" s="4"/>
      <c r="C423" s="4"/>
      <c r="D423" s="4"/>
      <c r="E423" s="4"/>
      <c r="F423" s="4"/>
      <c r="G423" s="4"/>
      <c r="H423" s="4"/>
      <c r="I423" s="4"/>
      <c r="J423" s="4"/>
      <c r="K423" s="4"/>
      <c r="L423" s="4"/>
      <c r="M423" s="4"/>
      <c r="N423" s="4"/>
      <c r="O423" s="4"/>
      <c r="P423" s="4"/>
      <c r="Q423" s="4"/>
      <c r="R423" s="4"/>
      <c r="S423" s="4"/>
      <c r="T423" s="4"/>
      <c r="U423" s="4"/>
      <c r="V423" s="4"/>
      <c r="W423" s="242"/>
      <c r="X423" s="4"/>
      <c r="Y423" s="4"/>
      <c r="Z423" s="4"/>
    </row>
    <row r="424" ht="13.5" customHeight="1" spans="1:26" x14ac:dyDescent="0.25">
      <c r="A424" s="4"/>
      <c r="B424" s="4"/>
      <c r="C424" s="4"/>
      <c r="D424" s="4"/>
      <c r="E424" s="4"/>
      <c r="F424" s="4"/>
      <c r="G424" s="4"/>
      <c r="H424" s="4"/>
      <c r="I424" s="4"/>
      <c r="J424" s="4"/>
      <c r="K424" s="4"/>
      <c r="L424" s="4"/>
      <c r="M424" s="4"/>
      <c r="N424" s="4"/>
      <c r="O424" s="4"/>
      <c r="P424" s="4"/>
      <c r="Q424" s="4"/>
      <c r="R424" s="4"/>
      <c r="S424" s="4"/>
      <c r="T424" s="4"/>
      <c r="U424" s="4"/>
      <c r="V424" s="4"/>
      <c r="W424" s="242"/>
      <c r="X424" s="4"/>
      <c r="Y424" s="4"/>
      <c r="Z424" s="4"/>
    </row>
    <row r="425" ht="13.5" customHeight="1" spans="1:26" x14ac:dyDescent="0.25">
      <c r="A425" s="4"/>
      <c r="B425" s="4"/>
      <c r="C425" s="4"/>
      <c r="D425" s="4"/>
      <c r="E425" s="4"/>
      <c r="F425" s="4"/>
      <c r="G425" s="4"/>
      <c r="H425" s="4"/>
      <c r="I425" s="4"/>
      <c r="J425" s="4"/>
      <c r="K425" s="4"/>
      <c r="L425" s="4"/>
      <c r="M425" s="4"/>
      <c r="N425" s="4"/>
      <c r="O425" s="4"/>
      <c r="P425" s="4"/>
      <c r="Q425" s="4"/>
      <c r="R425" s="4"/>
      <c r="S425" s="4"/>
      <c r="T425" s="4"/>
      <c r="U425" s="4"/>
      <c r="V425" s="4"/>
      <c r="W425" s="242"/>
      <c r="X425" s="4"/>
      <c r="Y425" s="4"/>
      <c r="Z425" s="4"/>
    </row>
    <row r="426" ht="13.5" customHeight="1" spans="1:26" x14ac:dyDescent="0.25">
      <c r="A426" s="4"/>
      <c r="B426" s="4"/>
      <c r="C426" s="4"/>
      <c r="D426" s="4"/>
      <c r="E426" s="4"/>
      <c r="F426" s="4"/>
      <c r="G426" s="4"/>
      <c r="H426" s="4"/>
      <c r="I426" s="4"/>
      <c r="J426" s="4"/>
      <c r="K426" s="4"/>
      <c r="L426" s="4"/>
      <c r="M426" s="4"/>
      <c r="N426" s="4"/>
      <c r="O426" s="4"/>
      <c r="P426" s="4"/>
      <c r="Q426" s="4"/>
      <c r="R426" s="4"/>
      <c r="S426" s="4"/>
      <c r="T426" s="4"/>
      <c r="U426" s="4"/>
      <c r="V426" s="4"/>
      <c r="W426" s="242"/>
      <c r="X426" s="4"/>
      <c r="Y426" s="4"/>
      <c r="Z426" s="4"/>
    </row>
    <row r="427" ht="13.5" customHeight="1" spans="1:26" x14ac:dyDescent="0.25">
      <c r="A427" s="4"/>
      <c r="B427" s="4"/>
      <c r="C427" s="4"/>
      <c r="D427" s="4"/>
      <c r="E427" s="4"/>
      <c r="F427" s="4"/>
      <c r="G427" s="4"/>
      <c r="H427" s="4"/>
      <c r="I427" s="4"/>
      <c r="J427" s="4"/>
      <c r="K427" s="4"/>
      <c r="L427" s="4"/>
      <c r="M427" s="4"/>
      <c r="N427" s="4"/>
      <c r="O427" s="4"/>
      <c r="P427" s="4"/>
      <c r="Q427" s="4"/>
      <c r="R427" s="4"/>
      <c r="S427" s="4"/>
      <c r="T427" s="4"/>
      <c r="U427" s="4"/>
      <c r="V427" s="4"/>
      <c r="W427" s="242"/>
      <c r="X427" s="4"/>
      <c r="Y427" s="4"/>
      <c r="Z427" s="4"/>
    </row>
    <row r="428" ht="13.5" customHeight="1" spans="1:26" x14ac:dyDescent="0.25">
      <c r="A428" s="4"/>
      <c r="B428" s="4"/>
      <c r="C428" s="4"/>
      <c r="D428" s="4"/>
      <c r="E428" s="4"/>
      <c r="F428" s="4"/>
      <c r="G428" s="4"/>
      <c r="H428" s="4"/>
      <c r="I428" s="4"/>
      <c r="J428" s="4"/>
      <c r="K428" s="4"/>
      <c r="L428" s="4"/>
      <c r="M428" s="4"/>
      <c r="N428" s="4"/>
      <c r="O428" s="4"/>
      <c r="P428" s="4"/>
      <c r="Q428" s="4"/>
      <c r="R428" s="4"/>
      <c r="S428" s="4"/>
      <c r="T428" s="4"/>
      <c r="U428" s="4"/>
      <c r="V428" s="4"/>
      <c r="W428" s="242"/>
      <c r="X428" s="4"/>
      <c r="Y428" s="4"/>
      <c r="Z428" s="4"/>
    </row>
    <row r="429" ht="13.5" customHeight="1" spans="1:26" x14ac:dyDescent="0.25">
      <c r="A429" s="4"/>
      <c r="B429" s="4"/>
      <c r="C429" s="4"/>
      <c r="D429" s="4"/>
      <c r="E429" s="4"/>
      <c r="F429" s="4"/>
      <c r="G429" s="4"/>
      <c r="H429" s="4"/>
      <c r="I429" s="4"/>
      <c r="J429" s="4"/>
      <c r="K429" s="4"/>
      <c r="L429" s="4"/>
      <c r="M429" s="4"/>
      <c r="N429" s="4"/>
      <c r="O429" s="4"/>
      <c r="P429" s="4"/>
      <c r="Q429" s="4"/>
      <c r="R429" s="4"/>
      <c r="S429" s="4"/>
      <c r="T429" s="4"/>
      <c r="U429" s="4"/>
      <c r="V429" s="4"/>
      <c r="W429" s="242"/>
      <c r="X429" s="4"/>
      <c r="Y429" s="4"/>
      <c r="Z429" s="4"/>
    </row>
    <row r="430" ht="13.5" customHeight="1" spans="1:26" x14ac:dyDescent="0.25">
      <c r="A430" s="4"/>
      <c r="B430" s="4"/>
      <c r="C430" s="4"/>
      <c r="D430" s="4"/>
      <c r="E430" s="4"/>
      <c r="F430" s="4"/>
      <c r="G430" s="4"/>
      <c r="H430" s="4"/>
      <c r="I430" s="4"/>
      <c r="J430" s="4"/>
      <c r="K430" s="4"/>
      <c r="L430" s="4"/>
      <c r="M430" s="4"/>
      <c r="N430" s="4"/>
      <c r="O430" s="4"/>
      <c r="P430" s="4"/>
      <c r="Q430" s="4"/>
      <c r="R430" s="4"/>
      <c r="S430" s="4"/>
      <c r="T430" s="4"/>
      <c r="U430" s="4"/>
      <c r="V430" s="4"/>
      <c r="W430" s="242"/>
      <c r="X430" s="4"/>
      <c r="Y430" s="4"/>
      <c r="Z430" s="4"/>
    </row>
    <row r="431" ht="13.5" customHeight="1" spans="1:26" x14ac:dyDescent="0.25">
      <c r="A431" s="4"/>
      <c r="B431" s="4"/>
      <c r="C431" s="4"/>
      <c r="D431" s="4"/>
      <c r="E431" s="4"/>
      <c r="F431" s="4"/>
      <c r="G431" s="4"/>
      <c r="H431" s="4"/>
      <c r="I431" s="4"/>
      <c r="J431" s="4"/>
      <c r="K431" s="4"/>
      <c r="L431" s="4"/>
      <c r="M431" s="4"/>
      <c r="N431" s="4"/>
      <c r="O431" s="4"/>
      <c r="P431" s="4"/>
      <c r="Q431" s="4"/>
      <c r="R431" s="4"/>
      <c r="S431" s="4"/>
      <c r="T431" s="4"/>
      <c r="U431" s="4"/>
      <c r="V431" s="4"/>
      <c r="W431" s="242"/>
      <c r="X431" s="4"/>
      <c r="Y431" s="4"/>
      <c r="Z431" s="4"/>
    </row>
    <row r="432" ht="13.5" customHeight="1" spans="1:26" x14ac:dyDescent="0.25">
      <c r="A432" s="4"/>
      <c r="B432" s="4"/>
      <c r="C432" s="4"/>
      <c r="D432" s="4"/>
      <c r="E432" s="4"/>
      <c r="F432" s="4"/>
      <c r="G432" s="4"/>
      <c r="H432" s="4"/>
      <c r="I432" s="4"/>
      <c r="J432" s="4"/>
      <c r="K432" s="4"/>
      <c r="L432" s="4"/>
      <c r="M432" s="4"/>
      <c r="N432" s="4"/>
      <c r="O432" s="4"/>
      <c r="P432" s="4"/>
      <c r="Q432" s="4"/>
      <c r="R432" s="4"/>
      <c r="S432" s="4"/>
      <c r="T432" s="4"/>
      <c r="U432" s="4"/>
      <c r="V432" s="4"/>
      <c r="W432" s="242"/>
      <c r="X432" s="4"/>
      <c r="Y432" s="4"/>
      <c r="Z432" s="4"/>
    </row>
    <row r="433" ht="13.5" customHeight="1" spans="1:26" x14ac:dyDescent="0.25">
      <c r="A433" s="4"/>
      <c r="B433" s="4"/>
      <c r="C433" s="4"/>
      <c r="D433" s="4"/>
      <c r="E433" s="4"/>
      <c r="F433" s="4"/>
      <c r="G433" s="4"/>
      <c r="H433" s="4"/>
      <c r="I433" s="4"/>
      <c r="J433" s="4"/>
      <c r="K433" s="4"/>
      <c r="L433" s="4"/>
      <c r="M433" s="4"/>
      <c r="N433" s="4"/>
      <c r="O433" s="4"/>
      <c r="P433" s="4"/>
      <c r="Q433" s="4"/>
      <c r="R433" s="4"/>
      <c r="S433" s="4"/>
      <c r="T433" s="4"/>
      <c r="U433" s="4"/>
      <c r="V433" s="4"/>
      <c r="W433" s="242"/>
      <c r="X433" s="4"/>
      <c r="Y433" s="4"/>
      <c r="Z433" s="4"/>
    </row>
    <row r="434" ht="13.5" customHeight="1" spans="1:26" x14ac:dyDescent="0.25">
      <c r="A434" s="4"/>
      <c r="B434" s="4"/>
      <c r="C434" s="4"/>
      <c r="D434" s="4"/>
      <c r="E434" s="4"/>
      <c r="F434" s="4"/>
      <c r="G434" s="4"/>
      <c r="H434" s="4"/>
      <c r="I434" s="4"/>
      <c r="J434" s="4"/>
      <c r="K434" s="4"/>
      <c r="L434" s="4"/>
      <c r="M434" s="4"/>
      <c r="N434" s="4"/>
      <c r="O434" s="4"/>
      <c r="P434" s="4"/>
      <c r="Q434" s="4"/>
      <c r="R434" s="4"/>
      <c r="S434" s="4"/>
      <c r="T434" s="4"/>
      <c r="U434" s="4"/>
      <c r="V434" s="4"/>
      <c r="W434" s="242"/>
      <c r="X434" s="4"/>
      <c r="Y434" s="4"/>
      <c r="Z434" s="4"/>
    </row>
    <row r="435" ht="13.5" customHeight="1" spans="1:26" x14ac:dyDescent="0.25">
      <c r="A435" s="4"/>
      <c r="B435" s="4"/>
      <c r="C435" s="4"/>
      <c r="D435" s="4"/>
      <c r="E435" s="4"/>
      <c r="F435" s="4"/>
      <c r="G435" s="4"/>
      <c r="H435" s="4"/>
      <c r="I435" s="4"/>
      <c r="J435" s="4"/>
      <c r="K435" s="4"/>
      <c r="L435" s="4"/>
      <c r="M435" s="4"/>
      <c r="N435" s="4"/>
      <c r="O435" s="4"/>
      <c r="P435" s="4"/>
      <c r="Q435" s="4"/>
      <c r="R435" s="4"/>
      <c r="S435" s="4"/>
      <c r="T435" s="4"/>
      <c r="U435" s="4"/>
      <c r="V435" s="4"/>
      <c r="W435" s="242"/>
      <c r="X435" s="4"/>
      <c r="Y435" s="4"/>
      <c r="Z435" s="4"/>
    </row>
    <row r="436" ht="13.5" customHeight="1" spans="1:26" x14ac:dyDescent="0.25">
      <c r="A436" s="4"/>
      <c r="B436" s="4"/>
      <c r="C436" s="4"/>
      <c r="D436" s="4"/>
      <c r="E436" s="4"/>
      <c r="F436" s="4"/>
      <c r="G436" s="4"/>
      <c r="H436" s="4"/>
      <c r="I436" s="4"/>
      <c r="J436" s="4"/>
      <c r="K436" s="4"/>
      <c r="L436" s="4"/>
      <c r="M436" s="4"/>
      <c r="N436" s="4"/>
      <c r="O436" s="4"/>
      <c r="P436" s="4"/>
      <c r="Q436" s="4"/>
      <c r="R436" s="4"/>
      <c r="S436" s="4"/>
      <c r="T436" s="4"/>
      <c r="U436" s="4"/>
      <c r="V436" s="4"/>
      <c r="W436" s="242"/>
      <c r="X436" s="4"/>
      <c r="Y436" s="4"/>
      <c r="Z436" s="4"/>
    </row>
    <row r="437" ht="13.5" customHeight="1" spans="1:26" x14ac:dyDescent="0.25">
      <c r="A437" s="4"/>
      <c r="B437" s="4"/>
      <c r="C437" s="4"/>
      <c r="D437" s="4"/>
      <c r="E437" s="4"/>
      <c r="F437" s="4"/>
      <c r="G437" s="4"/>
      <c r="H437" s="4"/>
      <c r="I437" s="4"/>
      <c r="J437" s="4"/>
      <c r="K437" s="4"/>
      <c r="L437" s="4"/>
      <c r="M437" s="4"/>
      <c r="N437" s="4"/>
      <c r="O437" s="4"/>
      <c r="P437" s="4"/>
      <c r="Q437" s="4"/>
      <c r="R437" s="4"/>
      <c r="S437" s="4"/>
      <c r="T437" s="4"/>
      <c r="U437" s="4"/>
      <c r="V437" s="4"/>
      <c r="W437" s="242"/>
      <c r="X437" s="4"/>
      <c r="Y437" s="4"/>
      <c r="Z437" s="4"/>
    </row>
    <row r="438" ht="13.5" customHeight="1" spans="1:26" x14ac:dyDescent="0.25">
      <c r="A438" s="4"/>
      <c r="B438" s="4"/>
      <c r="C438" s="4"/>
      <c r="D438" s="4"/>
      <c r="E438" s="4"/>
      <c r="F438" s="4"/>
      <c r="G438" s="4"/>
      <c r="H438" s="4"/>
      <c r="I438" s="4"/>
      <c r="J438" s="4"/>
      <c r="K438" s="4"/>
      <c r="L438" s="4"/>
      <c r="M438" s="4"/>
      <c r="N438" s="4"/>
      <c r="O438" s="4"/>
      <c r="P438" s="4"/>
      <c r="Q438" s="4"/>
      <c r="R438" s="4"/>
      <c r="S438" s="4"/>
      <c r="T438" s="4"/>
      <c r="U438" s="4"/>
      <c r="V438" s="4"/>
      <c r="W438" s="242"/>
      <c r="X438" s="4"/>
      <c r="Y438" s="4"/>
      <c r="Z438" s="4"/>
    </row>
    <row r="439" ht="13.5" customHeight="1" spans="1:26" x14ac:dyDescent="0.25">
      <c r="A439" s="4"/>
      <c r="B439" s="4"/>
      <c r="C439" s="4"/>
      <c r="D439" s="4"/>
      <c r="E439" s="4"/>
      <c r="F439" s="4"/>
      <c r="G439" s="4"/>
      <c r="H439" s="4"/>
      <c r="I439" s="4"/>
      <c r="J439" s="4"/>
      <c r="K439" s="4"/>
      <c r="L439" s="4"/>
      <c r="M439" s="4"/>
      <c r="N439" s="4"/>
      <c r="O439" s="4"/>
      <c r="P439" s="4"/>
      <c r="Q439" s="4"/>
      <c r="R439" s="4"/>
      <c r="S439" s="4"/>
      <c r="T439" s="4"/>
      <c r="U439" s="4"/>
      <c r="V439" s="4"/>
      <c r="W439" s="242"/>
      <c r="X439" s="4"/>
      <c r="Y439" s="4"/>
      <c r="Z439" s="4"/>
    </row>
    <row r="440" ht="13.5" customHeight="1" spans="1:26" x14ac:dyDescent="0.25">
      <c r="A440" s="4"/>
      <c r="B440" s="4"/>
      <c r="C440" s="4"/>
      <c r="D440" s="4"/>
      <c r="E440" s="4"/>
      <c r="F440" s="4"/>
      <c r="G440" s="4"/>
      <c r="H440" s="4"/>
      <c r="I440" s="4"/>
      <c r="J440" s="4"/>
      <c r="K440" s="4"/>
      <c r="L440" s="4"/>
      <c r="M440" s="4"/>
      <c r="N440" s="4"/>
      <c r="O440" s="4"/>
      <c r="P440" s="4"/>
      <c r="Q440" s="4"/>
      <c r="R440" s="4"/>
      <c r="S440" s="4"/>
      <c r="T440" s="4"/>
      <c r="U440" s="4"/>
      <c r="V440" s="4"/>
      <c r="W440" s="242"/>
      <c r="X440" s="4"/>
      <c r="Y440" s="4"/>
      <c r="Z440" s="4"/>
    </row>
    <row r="441" ht="13.5" customHeight="1" spans="1:26" x14ac:dyDescent="0.25">
      <c r="A441" s="4"/>
      <c r="B441" s="4"/>
      <c r="C441" s="4"/>
      <c r="D441" s="4"/>
      <c r="E441" s="4"/>
      <c r="F441" s="4"/>
      <c r="G441" s="4"/>
      <c r="H441" s="4"/>
      <c r="I441" s="4"/>
      <c r="J441" s="4"/>
      <c r="K441" s="4"/>
      <c r="L441" s="4"/>
      <c r="M441" s="4"/>
      <c r="N441" s="4"/>
      <c r="O441" s="4"/>
      <c r="P441" s="4"/>
      <c r="Q441" s="4"/>
      <c r="R441" s="4"/>
      <c r="S441" s="4"/>
      <c r="T441" s="4"/>
      <c r="U441" s="4"/>
      <c r="V441" s="4"/>
      <c r="W441" s="242"/>
      <c r="X441" s="4"/>
      <c r="Y441" s="4"/>
      <c r="Z441" s="4"/>
    </row>
    <row r="442" ht="13.5" customHeight="1" spans="1:26" x14ac:dyDescent="0.25">
      <c r="A442" s="4"/>
      <c r="B442" s="4"/>
      <c r="C442" s="4"/>
      <c r="D442" s="4"/>
      <c r="E442" s="4"/>
      <c r="F442" s="4"/>
      <c r="G442" s="4"/>
      <c r="H442" s="4"/>
      <c r="I442" s="4"/>
      <c r="J442" s="4"/>
      <c r="K442" s="4"/>
      <c r="L442" s="4"/>
      <c r="M442" s="4"/>
      <c r="N442" s="4"/>
      <c r="O442" s="4"/>
      <c r="P442" s="4"/>
      <c r="Q442" s="4"/>
      <c r="R442" s="4"/>
      <c r="S442" s="4"/>
      <c r="T442" s="4"/>
      <c r="U442" s="4"/>
      <c r="V442" s="4"/>
      <c r="W442" s="242"/>
      <c r="X442" s="4"/>
      <c r="Y442" s="4"/>
      <c r="Z442" s="4"/>
    </row>
    <row r="443" ht="13.5" customHeight="1" spans="1:26" x14ac:dyDescent="0.25">
      <c r="A443" s="4"/>
      <c r="B443" s="4"/>
      <c r="C443" s="4"/>
      <c r="D443" s="4"/>
      <c r="E443" s="4"/>
      <c r="F443" s="4"/>
      <c r="G443" s="4"/>
      <c r="H443" s="4"/>
      <c r="I443" s="4"/>
      <c r="J443" s="4"/>
      <c r="K443" s="4"/>
      <c r="L443" s="4"/>
      <c r="M443" s="4"/>
      <c r="N443" s="4"/>
      <c r="O443" s="4"/>
      <c r="P443" s="4"/>
      <c r="Q443" s="4"/>
      <c r="R443" s="4"/>
      <c r="S443" s="4"/>
      <c r="T443" s="4"/>
      <c r="U443" s="4"/>
      <c r="V443" s="4"/>
      <c r="W443" s="242"/>
      <c r="X443" s="4"/>
      <c r="Y443" s="4"/>
      <c r="Z443" s="4"/>
    </row>
    <row r="444" ht="13.5" customHeight="1" spans="1:26" x14ac:dyDescent="0.25">
      <c r="A444" s="4"/>
      <c r="B444" s="4"/>
      <c r="C444" s="4"/>
      <c r="D444" s="4"/>
      <c r="E444" s="4"/>
      <c r="F444" s="4"/>
      <c r="G444" s="4"/>
      <c r="H444" s="4"/>
      <c r="I444" s="4"/>
      <c r="J444" s="4"/>
      <c r="K444" s="4"/>
      <c r="L444" s="4"/>
      <c r="M444" s="4"/>
      <c r="N444" s="4"/>
      <c r="O444" s="4"/>
      <c r="P444" s="4"/>
      <c r="Q444" s="4"/>
      <c r="R444" s="4"/>
      <c r="S444" s="4"/>
      <c r="T444" s="4"/>
      <c r="U444" s="4"/>
      <c r="V444" s="4"/>
      <c r="W444" s="242"/>
      <c r="X444" s="4"/>
      <c r="Y444" s="4"/>
      <c r="Z444" s="4"/>
    </row>
    <row r="445" ht="13.5" customHeight="1" spans="1:26" x14ac:dyDescent="0.25">
      <c r="A445" s="4"/>
      <c r="B445" s="4"/>
      <c r="C445" s="4"/>
      <c r="D445" s="4"/>
      <c r="E445" s="4"/>
      <c r="F445" s="4"/>
      <c r="G445" s="4"/>
      <c r="H445" s="4"/>
      <c r="I445" s="4"/>
      <c r="J445" s="4"/>
      <c r="K445" s="4"/>
      <c r="L445" s="4"/>
      <c r="M445" s="4"/>
      <c r="N445" s="4"/>
      <c r="O445" s="4"/>
      <c r="P445" s="4"/>
      <c r="Q445" s="4"/>
      <c r="R445" s="4"/>
      <c r="S445" s="4"/>
      <c r="T445" s="4"/>
      <c r="U445" s="4"/>
      <c r="V445" s="4"/>
      <c r="W445" s="242"/>
      <c r="X445" s="4"/>
      <c r="Y445" s="4"/>
      <c r="Z445" s="4"/>
    </row>
    <row r="446" ht="13.5" customHeight="1" spans="1:26" x14ac:dyDescent="0.25">
      <c r="A446" s="4"/>
      <c r="B446" s="4"/>
      <c r="C446" s="4"/>
      <c r="D446" s="4"/>
      <c r="E446" s="4"/>
      <c r="F446" s="4"/>
      <c r="G446" s="4"/>
      <c r="H446" s="4"/>
      <c r="I446" s="4"/>
      <c r="J446" s="4"/>
      <c r="K446" s="4"/>
      <c r="L446" s="4"/>
      <c r="M446" s="4"/>
      <c r="N446" s="4"/>
      <c r="O446" s="4"/>
      <c r="P446" s="4"/>
      <c r="Q446" s="4"/>
      <c r="R446" s="4"/>
      <c r="S446" s="4"/>
      <c r="T446" s="4"/>
      <c r="U446" s="4"/>
      <c r="V446" s="4"/>
      <c r="W446" s="242"/>
      <c r="X446" s="4"/>
      <c r="Y446" s="4"/>
      <c r="Z446" s="4"/>
    </row>
    <row r="447" ht="13.5" customHeight="1" spans="1:26" x14ac:dyDescent="0.25">
      <c r="A447" s="4"/>
      <c r="B447" s="4"/>
      <c r="C447" s="4"/>
      <c r="D447" s="4"/>
      <c r="E447" s="4"/>
      <c r="F447" s="4"/>
      <c r="G447" s="4"/>
      <c r="H447" s="4"/>
      <c r="I447" s="4"/>
      <c r="J447" s="4"/>
      <c r="K447" s="4"/>
      <c r="L447" s="4"/>
      <c r="M447" s="4"/>
      <c r="N447" s="4"/>
      <c r="O447" s="4"/>
      <c r="P447" s="4"/>
      <c r="Q447" s="4"/>
      <c r="R447" s="4"/>
      <c r="S447" s="4"/>
      <c r="T447" s="4"/>
      <c r="U447" s="4"/>
      <c r="V447" s="4"/>
      <c r="W447" s="242"/>
      <c r="X447" s="4"/>
      <c r="Y447" s="4"/>
      <c r="Z447" s="4"/>
    </row>
    <row r="448" ht="13.5" customHeight="1" spans="1:26" x14ac:dyDescent="0.25">
      <c r="A448" s="4"/>
      <c r="B448" s="4"/>
      <c r="C448" s="4"/>
      <c r="D448" s="4"/>
      <c r="E448" s="4"/>
      <c r="F448" s="4"/>
      <c r="G448" s="4"/>
      <c r="H448" s="4"/>
      <c r="I448" s="4"/>
      <c r="J448" s="4"/>
      <c r="K448" s="4"/>
      <c r="L448" s="4"/>
      <c r="M448" s="4"/>
      <c r="N448" s="4"/>
      <c r="O448" s="4"/>
      <c r="P448" s="4"/>
      <c r="Q448" s="4"/>
      <c r="R448" s="4"/>
      <c r="S448" s="4"/>
      <c r="T448" s="4"/>
      <c r="U448" s="4"/>
      <c r="V448" s="4"/>
      <c r="W448" s="242"/>
      <c r="X448" s="4"/>
      <c r="Y448" s="4"/>
      <c r="Z448" s="4"/>
    </row>
    <row r="449" ht="13.5" customHeight="1" spans="1:26" x14ac:dyDescent="0.25">
      <c r="A449" s="4"/>
      <c r="B449" s="4"/>
      <c r="C449" s="4"/>
      <c r="D449" s="4"/>
      <c r="E449" s="4"/>
      <c r="F449" s="4"/>
      <c r="G449" s="4"/>
      <c r="H449" s="4"/>
      <c r="I449" s="4"/>
      <c r="J449" s="4"/>
      <c r="K449" s="4"/>
      <c r="L449" s="4"/>
      <c r="M449" s="4"/>
      <c r="N449" s="4"/>
      <c r="O449" s="4"/>
      <c r="P449" s="4"/>
      <c r="Q449" s="4"/>
      <c r="R449" s="4"/>
      <c r="S449" s="4"/>
      <c r="T449" s="4"/>
      <c r="U449" s="4"/>
      <c r="V449" s="4"/>
      <c r="W449" s="242"/>
      <c r="X449" s="4"/>
      <c r="Y449" s="4"/>
      <c r="Z449" s="4"/>
    </row>
    <row r="450" ht="13.5" customHeight="1" spans="1:26" x14ac:dyDescent="0.25">
      <c r="A450" s="4"/>
      <c r="B450" s="4"/>
      <c r="C450" s="4"/>
      <c r="D450" s="4"/>
      <c r="E450" s="4"/>
      <c r="F450" s="4"/>
      <c r="G450" s="4"/>
      <c r="H450" s="4"/>
      <c r="I450" s="4"/>
      <c r="J450" s="4"/>
      <c r="K450" s="4"/>
      <c r="L450" s="4"/>
      <c r="M450" s="4"/>
      <c r="N450" s="4"/>
      <c r="O450" s="4"/>
      <c r="P450" s="4"/>
      <c r="Q450" s="4"/>
      <c r="R450" s="4"/>
      <c r="S450" s="4"/>
      <c r="T450" s="4"/>
      <c r="U450" s="4"/>
      <c r="V450" s="4"/>
      <c r="W450" s="242"/>
      <c r="X450" s="4"/>
      <c r="Y450" s="4"/>
      <c r="Z450" s="4"/>
    </row>
    <row r="451" ht="13.5" customHeight="1" spans="1:26" x14ac:dyDescent="0.25">
      <c r="A451" s="4"/>
      <c r="B451" s="4"/>
      <c r="C451" s="4"/>
      <c r="D451" s="4"/>
      <c r="E451" s="4"/>
      <c r="F451" s="4"/>
      <c r="G451" s="4"/>
      <c r="H451" s="4"/>
      <c r="I451" s="4"/>
      <c r="J451" s="4"/>
      <c r="K451" s="4"/>
      <c r="L451" s="4"/>
      <c r="M451" s="4"/>
      <c r="N451" s="4"/>
      <c r="O451" s="4"/>
      <c r="P451" s="4"/>
      <c r="Q451" s="4"/>
      <c r="R451" s="4"/>
      <c r="S451" s="4"/>
      <c r="T451" s="4"/>
      <c r="U451" s="4"/>
      <c r="V451" s="4"/>
      <c r="W451" s="242"/>
      <c r="X451" s="4"/>
      <c r="Y451" s="4"/>
      <c r="Z451" s="4"/>
    </row>
    <row r="452" ht="13.5" customHeight="1" spans="1:26" x14ac:dyDescent="0.25">
      <c r="A452" s="4"/>
      <c r="B452" s="4"/>
      <c r="C452" s="4"/>
      <c r="D452" s="4"/>
      <c r="E452" s="4"/>
      <c r="F452" s="4"/>
      <c r="G452" s="4"/>
      <c r="H452" s="4"/>
      <c r="I452" s="4"/>
      <c r="J452" s="4"/>
      <c r="K452" s="4"/>
      <c r="L452" s="4"/>
      <c r="M452" s="4"/>
      <c r="N452" s="4"/>
      <c r="O452" s="4"/>
      <c r="P452" s="4"/>
      <c r="Q452" s="4"/>
      <c r="R452" s="4"/>
      <c r="S452" s="4"/>
      <c r="T452" s="4"/>
      <c r="U452" s="4"/>
      <c r="V452" s="4"/>
      <c r="W452" s="242"/>
      <c r="X452" s="4"/>
      <c r="Y452" s="4"/>
      <c r="Z452" s="4"/>
    </row>
    <row r="453" ht="13.5" customHeight="1" spans="1:26" x14ac:dyDescent="0.25">
      <c r="A453" s="4"/>
      <c r="B453" s="4"/>
      <c r="C453" s="4"/>
      <c r="D453" s="4"/>
      <c r="E453" s="4"/>
      <c r="F453" s="4"/>
      <c r="G453" s="4"/>
      <c r="H453" s="4"/>
      <c r="I453" s="4"/>
      <c r="J453" s="4"/>
      <c r="K453" s="4"/>
      <c r="L453" s="4"/>
      <c r="M453" s="4"/>
      <c r="N453" s="4"/>
      <c r="O453" s="4"/>
      <c r="P453" s="4"/>
      <c r="Q453" s="4"/>
      <c r="R453" s="4"/>
      <c r="S453" s="4"/>
      <c r="T453" s="4"/>
      <c r="U453" s="4"/>
      <c r="V453" s="4"/>
      <c r="W453" s="242"/>
      <c r="X453" s="4"/>
      <c r="Y453" s="4"/>
      <c r="Z453" s="4"/>
    </row>
    <row r="454" ht="13.5" customHeight="1" spans="1:26" x14ac:dyDescent="0.25">
      <c r="A454" s="4"/>
      <c r="B454" s="4"/>
      <c r="C454" s="4"/>
      <c r="D454" s="4"/>
      <c r="E454" s="4"/>
      <c r="F454" s="4"/>
      <c r="G454" s="4"/>
      <c r="H454" s="4"/>
      <c r="I454" s="4"/>
      <c r="J454" s="4"/>
      <c r="K454" s="4"/>
      <c r="L454" s="4"/>
      <c r="M454" s="4"/>
      <c r="N454" s="4"/>
      <c r="O454" s="4"/>
      <c r="P454" s="4"/>
      <c r="Q454" s="4"/>
      <c r="R454" s="4"/>
      <c r="S454" s="4"/>
      <c r="T454" s="4"/>
      <c r="U454" s="4"/>
      <c r="V454" s="4"/>
      <c r="W454" s="242"/>
      <c r="X454" s="4"/>
      <c r="Y454" s="4"/>
      <c r="Z454" s="4"/>
    </row>
    <row r="455" ht="13.5" customHeight="1" spans="1:26" x14ac:dyDescent="0.25">
      <c r="A455" s="4"/>
      <c r="B455" s="4"/>
      <c r="C455" s="4"/>
      <c r="D455" s="4"/>
      <c r="E455" s="4"/>
      <c r="F455" s="4"/>
      <c r="G455" s="4"/>
      <c r="H455" s="4"/>
      <c r="I455" s="4"/>
      <c r="J455" s="4"/>
      <c r="K455" s="4"/>
      <c r="L455" s="4"/>
      <c r="M455" s="4"/>
      <c r="N455" s="4"/>
      <c r="O455" s="4"/>
      <c r="P455" s="4"/>
      <c r="Q455" s="4"/>
      <c r="R455" s="4"/>
      <c r="S455" s="4"/>
      <c r="T455" s="4"/>
      <c r="U455" s="4"/>
      <c r="V455" s="4"/>
      <c r="W455" s="242"/>
      <c r="X455" s="4"/>
      <c r="Y455" s="4"/>
      <c r="Z455" s="4"/>
    </row>
    <row r="456" ht="13.5" customHeight="1" spans="1:26" x14ac:dyDescent="0.25">
      <c r="A456" s="4"/>
      <c r="B456" s="4"/>
      <c r="C456" s="4"/>
      <c r="D456" s="4"/>
      <c r="E456" s="4"/>
      <c r="F456" s="4"/>
      <c r="G456" s="4"/>
      <c r="H456" s="4"/>
      <c r="I456" s="4"/>
      <c r="J456" s="4"/>
      <c r="K456" s="4"/>
      <c r="L456" s="4"/>
      <c r="M456" s="4"/>
      <c r="N456" s="4"/>
      <c r="O456" s="4"/>
      <c r="P456" s="4"/>
      <c r="Q456" s="4"/>
      <c r="R456" s="4"/>
      <c r="S456" s="4"/>
      <c r="T456" s="4"/>
      <c r="U456" s="4"/>
      <c r="V456" s="4"/>
      <c r="W456" s="242"/>
      <c r="X456" s="4"/>
      <c r="Y456" s="4"/>
      <c r="Z456" s="4"/>
    </row>
    <row r="457" ht="13.5" customHeight="1" spans="1:26" x14ac:dyDescent="0.25">
      <c r="A457" s="4"/>
      <c r="B457" s="4"/>
      <c r="C457" s="4"/>
      <c r="D457" s="4"/>
      <c r="E457" s="4"/>
      <c r="F457" s="4"/>
      <c r="G457" s="4"/>
      <c r="H457" s="4"/>
      <c r="I457" s="4"/>
      <c r="J457" s="4"/>
      <c r="K457" s="4"/>
      <c r="L457" s="4"/>
      <c r="M457" s="4"/>
      <c r="N457" s="4"/>
      <c r="O457" s="4"/>
      <c r="P457" s="4"/>
      <c r="Q457" s="4"/>
      <c r="R457" s="4"/>
      <c r="S457" s="4"/>
      <c r="T457" s="4"/>
      <c r="U457" s="4"/>
      <c r="V457" s="4"/>
      <c r="W457" s="242"/>
      <c r="X457" s="4"/>
      <c r="Y457" s="4"/>
      <c r="Z457" s="4"/>
    </row>
    <row r="458" ht="13.5" customHeight="1" spans="1:26" x14ac:dyDescent="0.25">
      <c r="A458" s="4"/>
      <c r="B458" s="4"/>
      <c r="C458" s="4"/>
      <c r="D458" s="4"/>
      <c r="E458" s="4"/>
      <c r="F458" s="4"/>
      <c r="G458" s="4"/>
      <c r="H458" s="4"/>
      <c r="I458" s="4"/>
      <c r="J458" s="4"/>
      <c r="K458" s="4"/>
      <c r="L458" s="4"/>
      <c r="M458" s="4"/>
      <c r="N458" s="4"/>
      <c r="O458" s="4"/>
      <c r="P458" s="4"/>
      <c r="Q458" s="4"/>
      <c r="R458" s="4"/>
      <c r="S458" s="4"/>
      <c r="T458" s="4"/>
      <c r="U458" s="4"/>
      <c r="V458" s="4"/>
      <c r="W458" s="242"/>
      <c r="X458" s="4"/>
      <c r="Y458" s="4"/>
      <c r="Z458" s="4"/>
    </row>
    <row r="459" ht="13.5" customHeight="1" spans="1:26" x14ac:dyDescent="0.25">
      <c r="A459" s="4"/>
      <c r="B459" s="4"/>
      <c r="C459" s="4"/>
      <c r="D459" s="4"/>
      <c r="E459" s="4"/>
      <c r="F459" s="4"/>
      <c r="G459" s="4"/>
      <c r="H459" s="4"/>
      <c r="I459" s="4"/>
      <c r="J459" s="4"/>
      <c r="K459" s="4"/>
      <c r="L459" s="4"/>
      <c r="M459" s="4"/>
      <c r="N459" s="4"/>
      <c r="O459" s="4"/>
      <c r="P459" s="4"/>
      <c r="Q459" s="4"/>
      <c r="R459" s="4"/>
      <c r="S459" s="4"/>
      <c r="T459" s="4"/>
      <c r="U459" s="4"/>
      <c r="V459" s="4"/>
      <c r="W459" s="242"/>
      <c r="X459" s="4"/>
      <c r="Y459" s="4"/>
      <c r="Z459" s="4"/>
    </row>
    <row r="460" ht="13.5" customHeight="1" spans="1:26" x14ac:dyDescent="0.25">
      <c r="A460" s="4"/>
      <c r="B460" s="4"/>
      <c r="C460" s="4"/>
      <c r="D460" s="4"/>
      <c r="E460" s="4"/>
      <c r="F460" s="4"/>
      <c r="G460" s="4"/>
      <c r="H460" s="4"/>
      <c r="I460" s="4"/>
      <c r="J460" s="4"/>
      <c r="K460" s="4"/>
      <c r="L460" s="4"/>
      <c r="M460" s="4"/>
      <c r="N460" s="4"/>
      <c r="O460" s="4"/>
      <c r="P460" s="4"/>
      <c r="Q460" s="4"/>
      <c r="R460" s="4"/>
      <c r="S460" s="4"/>
      <c r="T460" s="4"/>
      <c r="U460" s="4"/>
      <c r="V460" s="4"/>
      <c r="W460" s="242"/>
      <c r="X460" s="4"/>
      <c r="Y460" s="4"/>
      <c r="Z460" s="4"/>
    </row>
    <row r="461" ht="13.5" customHeight="1" spans="1:26" x14ac:dyDescent="0.25">
      <c r="A461" s="4"/>
      <c r="B461" s="4"/>
      <c r="C461" s="4"/>
      <c r="D461" s="4"/>
      <c r="E461" s="4"/>
      <c r="F461" s="4"/>
      <c r="G461" s="4"/>
      <c r="H461" s="4"/>
      <c r="I461" s="4"/>
      <c r="J461" s="4"/>
      <c r="K461" s="4"/>
      <c r="L461" s="4"/>
      <c r="M461" s="4"/>
      <c r="N461" s="4"/>
      <c r="O461" s="4"/>
      <c r="P461" s="4"/>
      <c r="Q461" s="4"/>
      <c r="R461" s="4"/>
      <c r="S461" s="4"/>
      <c r="T461" s="4"/>
      <c r="U461" s="4"/>
      <c r="V461" s="4"/>
      <c r="W461" s="242"/>
      <c r="X461" s="4"/>
      <c r="Y461" s="4"/>
      <c r="Z461" s="4"/>
    </row>
    <row r="462" ht="13.5" customHeight="1" spans="1:26" x14ac:dyDescent="0.25">
      <c r="A462" s="4"/>
      <c r="B462" s="4"/>
      <c r="C462" s="4"/>
      <c r="D462" s="4"/>
      <c r="E462" s="4"/>
      <c r="F462" s="4"/>
      <c r="G462" s="4"/>
      <c r="H462" s="4"/>
      <c r="I462" s="4"/>
      <c r="J462" s="4"/>
      <c r="K462" s="4"/>
      <c r="L462" s="4"/>
      <c r="M462" s="4"/>
      <c r="N462" s="4"/>
      <c r="O462" s="4"/>
      <c r="P462" s="4"/>
      <c r="Q462" s="4"/>
      <c r="R462" s="4"/>
      <c r="S462" s="4"/>
      <c r="T462" s="4"/>
      <c r="U462" s="4"/>
      <c r="V462" s="4"/>
      <c r="W462" s="242"/>
      <c r="X462" s="4"/>
      <c r="Y462" s="4"/>
      <c r="Z462" s="4"/>
    </row>
    <row r="463" ht="13.5" customHeight="1" spans="1:26" x14ac:dyDescent="0.25">
      <c r="A463" s="4"/>
      <c r="B463" s="4"/>
      <c r="C463" s="4"/>
      <c r="D463" s="4"/>
      <c r="E463" s="4"/>
      <c r="F463" s="4"/>
      <c r="G463" s="4"/>
      <c r="H463" s="4"/>
      <c r="I463" s="4"/>
      <c r="J463" s="4"/>
      <c r="K463" s="4"/>
      <c r="L463" s="4"/>
      <c r="M463" s="4"/>
      <c r="N463" s="4"/>
      <c r="O463" s="4"/>
      <c r="P463" s="4"/>
      <c r="Q463" s="4"/>
      <c r="R463" s="4"/>
      <c r="S463" s="4"/>
      <c r="T463" s="4"/>
      <c r="U463" s="4"/>
      <c r="V463" s="4"/>
      <c r="W463" s="242"/>
      <c r="X463" s="4"/>
      <c r="Y463" s="4"/>
      <c r="Z463" s="4"/>
    </row>
    <row r="464" ht="13.5" customHeight="1" spans="1:26" x14ac:dyDescent="0.25">
      <c r="A464" s="4"/>
      <c r="B464" s="4"/>
      <c r="C464" s="4"/>
      <c r="D464" s="4"/>
      <c r="E464" s="4"/>
      <c r="F464" s="4"/>
      <c r="G464" s="4"/>
      <c r="H464" s="4"/>
      <c r="I464" s="4"/>
      <c r="J464" s="4"/>
      <c r="K464" s="4"/>
      <c r="L464" s="4"/>
      <c r="M464" s="4"/>
      <c r="N464" s="4"/>
      <c r="O464" s="4"/>
      <c r="P464" s="4"/>
      <c r="Q464" s="4"/>
      <c r="R464" s="4"/>
      <c r="S464" s="4"/>
      <c r="T464" s="4"/>
      <c r="U464" s="4"/>
      <c r="V464" s="4"/>
      <c r="W464" s="242"/>
      <c r="X464" s="4"/>
      <c r="Y464" s="4"/>
      <c r="Z464" s="4"/>
    </row>
    <row r="465" ht="13.5" customHeight="1" spans="1:26" x14ac:dyDescent="0.25">
      <c r="A465" s="4"/>
      <c r="B465" s="4"/>
      <c r="C465" s="4"/>
      <c r="D465" s="4"/>
      <c r="E465" s="4"/>
      <c r="F465" s="4"/>
      <c r="G465" s="4"/>
      <c r="H465" s="4"/>
      <c r="I465" s="4"/>
      <c r="J465" s="4"/>
      <c r="K465" s="4"/>
      <c r="L465" s="4"/>
      <c r="M465" s="4"/>
      <c r="N465" s="4"/>
      <c r="O465" s="4"/>
      <c r="P465" s="4"/>
      <c r="Q465" s="4"/>
      <c r="R465" s="4"/>
      <c r="S465" s="4"/>
      <c r="T465" s="4"/>
      <c r="U465" s="4"/>
      <c r="V465" s="4"/>
      <c r="W465" s="242"/>
      <c r="X465" s="4"/>
      <c r="Y465" s="4"/>
      <c r="Z465" s="4"/>
    </row>
    <row r="466" ht="13.5" customHeight="1" spans="1:26" x14ac:dyDescent="0.25">
      <c r="A466" s="4"/>
      <c r="B466" s="4"/>
      <c r="C466" s="4"/>
      <c r="D466" s="4"/>
      <c r="E466" s="4"/>
      <c r="F466" s="4"/>
      <c r="G466" s="4"/>
      <c r="H466" s="4"/>
      <c r="I466" s="4"/>
      <c r="J466" s="4"/>
      <c r="K466" s="4"/>
      <c r="L466" s="4"/>
      <c r="M466" s="4"/>
      <c r="N466" s="4"/>
      <c r="O466" s="4"/>
      <c r="P466" s="4"/>
      <c r="Q466" s="4"/>
      <c r="R466" s="4"/>
      <c r="S466" s="4"/>
      <c r="T466" s="4"/>
      <c r="U466" s="4"/>
      <c r="V466" s="4"/>
      <c r="W466" s="242"/>
      <c r="X466" s="4"/>
      <c r="Y466" s="4"/>
      <c r="Z466" s="4"/>
    </row>
    <row r="467" ht="13.5" customHeight="1" spans="1:26" x14ac:dyDescent="0.25">
      <c r="A467" s="4"/>
      <c r="B467" s="4"/>
      <c r="C467" s="4"/>
      <c r="D467" s="4"/>
      <c r="E467" s="4"/>
      <c r="F467" s="4"/>
      <c r="G467" s="4"/>
      <c r="H467" s="4"/>
      <c r="I467" s="4"/>
      <c r="J467" s="4"/>
      <c r="K467" s="4"/>
      <c r="L467" s="4"/>
      <c r="M467" s="4"/>
      <c r="N467" s="4"/>
      <c r="O467" s="4"/>
      <c r="P467" s="4"/>
      <c r="Q467" s="4"/>
      <c r="R467" s="4"/>
      <c r="S467" s="4"/>
      <c r="T467" s="4"/>
      <c r="U467" s="4"/>
      <c r="V467" s="4"/>
      <c r="W467" s="242"/>
      <c r="X467" s="4"/>
      <c r="Y467" s="4"/>
      <c r="Z467" s="4"/>
    </row>
    <row r="468" ht="13.5" customHeight="1" spans="1:26" x14ac:dyDescent="0.25">
      <c r="A468" s="4"/>
      <c r="B468" s="4"/>
      <c r="C468" s="4"/>
      <c r="D468" s="4"/>
      <c r="E468" s="4"/>
      <c r="F468" s="4"/>
      <c r="G468" s="4"/>
      <c r="H468" s="4"/>
      <c r="I468" s="4"/>
      <c r="J468" s="4"/>
      <c r="K468" s="4"/>
      <c r="L468" s="4"/>
      <c r="M468" s="4"/>
      <c r="N468" s="4"/>
      <c r="O468" s="4"/>
      <c r="P468" s="4"/>
      <c r="Q468" s="4"/>
      <c r="R468" s="4"/>
      <c r="S468" s="4"/>
      <c r="T468" s="4"/>
      <c r="U468" s="4"/>
      <c r="V468" s="4"/>
      <c r="W468" s="242"/>
      <c r="X468" s="4"/>
      <c r="Y468" s="4"/>
      <c r="Z468" s="4"/>
    </row>
    <row r="469" ht="13.5" customHeight="1" spans="1:26" x14ac:dyDescent="0.25">
      <c r="A469" s="4"/>
      <c r="B469" s="4"/>
      <c r="C469" s="4"/>
      <c r="D469" s="4"/>
      <c r="E469" s="4"/>
      <c r="F469" s="4"/>
      <c r="G469" s="4"/>
      <c r="H469" s="4"/>
      <c r="I469" s="4"/>
      <c r="J469" s="4"/>
      <c r="K469" s="4"/>
      <c r="L469" s="4"/>
      <c r="M469" s="4"/>
      <c r="N469" s="4"/>
      <c r="O469" s="4"/>
      <c r="P469" s="4"/>
      <c r="Q469" s="4"/>
      <c r="R469" s="4"/>
      <c r="S469" s="4"/>
      <c r="T469" s="4"/>
      <c r="U469" s="4"/>
      <c r="V469" s="4"/>
      <c r="W469" s="242"/>
      <c r="X469" s="4"/>
      <c r="Y469" s="4"/>
      <c r="Z469" s="4"/>
    </row>
    <row r="470" ht="13.5" customHeight="1" spans="1:26" x14ac:dyDescent="0.25">
      <c r="A470" s="4"/>
      <c r="B470" s="4"/>
      <c r="C470" s="4"/>
      <c r="D470" s="4"/>
      <c r="E470" s="4"/>
      <c r="F470" s="4"/>
      <c r="G470" s="4"/>
      <c r="H470" s="4"/>
      <c r="I470" s="4"/>
      <c r="J470" s="4"/>
      <c r="K470" s="4"/>
      <c r="L470" s="4"/>
      <c r="M470" s="4"/>
      <c r="N470" s="4"/>
      <c r="O470" s="4"/>
      <c r="P470" s="4"/>
      <c r="Q470" s="4"/>
      <c r="R470" s="4"/>
      <c r="S470" s="4"/>
      <c r="T470" s="4"/>
      <c r="U470" s="4"/>
      <c r="V470" s="4"/>
      <c r="W470" s="242"/>
      <c r="X470" s="4"/>
      <c r="Y470" s="4"/>
      <c r="Z470" s="4"/>
    </row>
    <row r="471" ht="13.5" customHeight="1" spans="1:26" x14ac:dyDescent="0.25">
      <c r="A471" s="4"/>
      <c r="B471" s="4"/>
      <c r="C471" s="4"/>
      <c r="D471" s="4"/>
      <c r="E471" s="4"/>
      <c r="F471" s="4"/>
      <c r="G471" s="4"/>
      <c r="H471" s="4"/>
      <c r="I471" s="4"/>
      <c r="J471" s="4"/>
      <c r="K471" s="4"/>
      <c r="L471" s="4"/>
      <c r="M471" s="4"/>
      <c r="N471" s="4"/>
      <c r="O471" s="4"/>
      <c r="P471" s="4"/>
      <c r="Q471" s="4"/>
      <c r="R471" s="4"/>
      <c r="S471" s="4"/>
      <c r="T471" s="4"/>
      <c r="U471" s="4"/>
      <c r="V471" s="4"/>
      <c r="W471" s="242"/>
      <c r="X471" s="4"/>
      <c r="Y471" s="4"/>
      <c r="Z471" s="4"/>
    </row>
    <row r="472" ht="13.5" customHeight="1" spans="1:26" x14ac:dyDescent="0.25">
      <c r="A472" s="4"/>
      <c r="B472" s="4"/>
      <c r="C472" s="4"/>
      <c r="D472" s="4"/>
      <c r="E472" s="4"/>
      <c r="F472" s="4"/>
      <c r="G472" s="4"/>
      <c r="H472" s="4"/>
      <c r="I472" s="4"/>
      <c r="J472" s="4"/>
      <c r="K472" s="4"/>
      <c r="L472" s="4"/>
      <c r="M472" s="4"/>
      <c r="N472" s="4"/>
      <c r="O472" s="4"/>
      <c r="P472" s="4"/>
      <c r="Q472" s="4"/>
      <c r="R472" s="4"/>
      <c r="S472" s="4"/>
      <c r="T472" s="4"/>
      <c r="U472" s="4"/>
      <c r="V472" s="4"/>
      <c r="W472" s="242"/>
      <c r="X472" s="4"/>
      <c r="Y472" s="4"/>
      <c r="Z472" s="4"/>
    </row>
    <row r="473" ht="13.5" customHeight="1" spans="1:26" x14ac:dyDescent="0.25">
      <c r="A473" s="4"/>
      <c r="B473" s="4"/>
      <c r="C473" s="4"/>
      <c r="D473" s="4"/>
      <c r="E473" s="4"/>
      <c r="F473" s="4"/>
      <c r="G473" s="4"/>
      <c r="H473" s="4"/>
      <c r="I473" s="4"/>
      <c r="J473" s="4"/>
      <c r="K473" s="4"/>
      <c r="L473" s="4"/>
      <c r="M473" s="4"/>
      <c r="N473" s="4"/>
      <c r="O473" s="4"/>
      <c r="P473" s="4"/>
      <c r="Q473" s="4"/>
      <c r="R473" s="4"/>
      <c r="S473" s="4"/>
      <c r="T473" s="4"/>
      <c r="U473" s="4"/>
      <c r="V473" s="4"/>
      <c r="W473" s="242"/>
      <c r="X473" s="4"/>
      <c r="Y473" s="4"/>
      <c r="Z473" s="4"/>
    </row>
    <row r="474" ht="13.5" customHeight="1" spans="1:26" x14ac:dyDescent="0.25">
      <c r="A474" s="4"/>
      <c r="B474" s="4"/>
      <c r="C474" s="4"/>
      <c r="D474" s="4"/>
      <c r="E474" s="4"/>
      <c r="F474" s="4"/>
      <c r="G474" s="4"/>
      <c r="H474" s="4"/>
      <c r="I474" s="4"/>
      <c r="J474" s="4"/>
      <c r="K474" s="4"/>
      <c r="L474" s="4"/>
      <c r="M474" s="4"/>
      <c r="N474" s="4"/>
      <c r="O474" s="4"/>
      <c r="P474" s="4"/>
      <c r="Q474" s="4"/>
      <c r="R474" s="4"/>
      <c r="S474" s="4"/>
      <c r="T474" s="4"/>
      <c r="U474" s="4"/>
      <c r="V474" s="4"/>
      <c r="W474" s="242"/>
      <c r="X474" s="4"/>
      <c r="Y474" s="4"/>
      <c r="Z474" s="4"/>
    </row>
    <row r="475" ht="13.5" customHeight="1" spans="1:26" x14ac:dyDescent="0.25">
      <c r="A475" s="4"/>
      <c r="B475" s="4"/>
      <c r="C475" s="4"/>
      <c r="D475" s="4"/>
      <c r="E475" s="4"/>
      <c r="F475" s="4"/>
      <c r="G475" s="4"/>
      <c r="H475" s="4"/>
      <c r="I475" s="4"/>
      <c r="J475" s="4"/>
      <c r="K475" s="4"/>
      <c r="L475" s="4"/>
      <c r="M475" s="4"/>
      <c r="N475" s="4"/>
      <c r="O475" s="4"/>
      <c r="P475" s="4"/>
      <c r="Q475" s="4"/>
      <c r="R475" s="4"/>
      <c r="S475" s="4"/>
      <c r="T475" s="4"/>
      <c r="U475" s="4"/>
      <c r="V475" s="4"/>
      <c r="W475" s="242"/>
      <c r="X475" s="4"/>
      <c r="Y475" s="4"/>
      <c r="Z475" s="4"/>
    </row>
    <row r="476" ht="13.5" customHeight="1" spans="1:26" x14ac:dyDescent="0.25">
      <c r="A476" s="4"/>
      <c r="B476" s="4"/>
      <c r="C476" s="4"/>
      <c r="D476" s="4"/>
      <c r="E476" s="4"/>
      <c r="F476" s="4"/>
      <c r="G476" s="4"/>
      <c r="H476" s="4"/>
      <c r="I476" s="4"/>
      <c r="J476" s="4"/>
      <c r="K476" s="4"/>
      <c r="L476" s="4"/>
      <c r="M476" s="4"/>
      <c r="N476" s="4"/>
      <c r="O476" s="4"/>
      <c r="P476" s="4"/>
      <c r="Q476" s="4"/>
      <c r="R476" s="4"/>
      <c r="S476" s="4"/>
      <c r="T476" s="4"/>
      <c r="U476" s="4"/>
      <c r="V476" s="4"/>
      <c r="W476" s="242"/>
      <c r="X476" s="4"/>
      <c r="Y476" s="4"/>
      <c r="Z476" s="4"/>
    </row>
    <row r="477" ht="13.5" customHeight="1" spans="1:26" x14ac:dyDescent="0.25">
      <c r="A477" s="4"/>
      <c r="B477" s="4"/>
      <c r="C477" s="4"/>
      <c r="D477" s="4"/>
      <c r="E477" s="4"/>
      <c r="F477" s="4"/>
      <c r="G477" s="4"/>
      <c r="H477" s="4"/>
      <c r="I477" s="4"/>
      <c r="J477" s="4"/>
      <c r="K477" s="4"/>
      <c r="L477" s="4"/>
      <c r="M477" s="4"/>
      <c r="N477" s="4"/>
      <c r="O477" s="4"/>
      <c r="P477" s="4"/>
      <c r="Q477" s="4"/>
      <c r="R477" s="4"/>
      <c r="S477" s="4"/>
      <c r="T477" s="4"/>
      <c r="U477" s="4"/>
      <c r="V477" s="4"/>
      <c r="W477" s="242"/>
      <c r="X477" s="4"/>
      <c r="Y477" s="4"/>
      <c r="Z477" s="4"/>
    </row>
    <row r="478" ht="13.5" customHeight="1" spans="1:26" x14ac:dyDescent="0.25">
      <c r="A478" s="4"/>
      <c r="B478" s="4"/>
      <c r="C478" s="4"/>
      <c r="D478" s="4"/>
      <c r="E478" s="4"/>
      <c r="F478" s="4"/>
      <c r="G478" s="4"/>
      <c r="H478" s="4"/>
      <c r="I478" s="4"/>
      <c r="J478" s="4"/>
      <c r="K478" s="4"/>
      <c r="L478" s="4"/>
      <c r="M478" s="4"/>
      <c r="N478" s="4"/>
      <c r="O478" s="4"/>
      <c r="P478" s="4"/>
      <c r="Q478" s="4"/>
      <c r="R478" s="4"/>
      <c r="S478" s="4"/>
      <c r="T478" s="4"/>
      <c r="U478" s="4"/>
      <c r="V478" s="4"/>
      <c r="W478" s="242"/>
      <c r="X478" s="4"/>
      <c r="Y478" s="4"/>
      <c r="Z478" s="4"/>
    </row>
    <row r="479" ht="13.5" customHeight="1" spans="1:26" x14ac:dyDescent="0.25">
      <c r="A479" s="4"/>
      <c r="B479" s="4"/>
      <c r="C479" s="4"/>
      <c r="D479" s="4"/>
      <c r="E479" s="4"/>
      <c r="F479" s="4"/>
      <c r="G479" s="4"/>
      <c r="H479" s="4"/>
      <c r="I479" s="4"/>
      <c r="J479" s="4"/>
      <c r="K479" s="4"/>
      <c r="L479" s="4"/>
      <c r="M479" s="4"/>
      <c r="N479" s="4"/>
      <c r="O479" s="4"/>
      <c r="P479" s="4"/>
      <c r="Q479" s="4"/>
      <c r="R479" s="4"/>
      <c r="S479" s="4"/>
      <c r="T479" s="4"/>
      <c r="U479" s="4"/>
      <c r="V479" s="4"/>
      <c r="W479" s="242"/>
      <c r="X479" s="4"/>
      <c r="Y479" s="4"/>
      <c r="Z479" s="4"/>
    </row>
    <row r="480" ht="13.5" customHeight="1" spans="1:26" x14ac:dyDescent="0.25">
      <c r="A480" s="4"/>
      <c r="B480" s="4"/>
      <c r="C480" s="4"/>
      <c r="D480" s="4"/>
      <c r="E480" s="4"/>
      <c r="F480" s="4"/>
      <c r="G480" s="4"/>
      <c r="H480" s="4"/>
      <c r="I480" s="4"/>
      <c r="J480" s="4"/>
      <c r="K480" s="4"/>
      <c r="L480" s="4"/>
      <c r="M480" s="4"/>
      <c r="N480" s="4"/>
      <c r="O480" s="4"/>
      <c r="P480" s="4"/>
      <c r="Q480" s="4"/>
      <c r="R480" s="4"/>
      <c r="S480" s="4"/>
      <c r="T480" s="4"/>
      <c r="U480" s="4"/>
      <c r="V480" s="4"/>
      <c r="W480" s="242"/>
      <c r="X480" s="4"/>
      <c r="Y480" s="4"/>
      <c r="Z480" s="4"/>
    </row>
    <row r="481" ht="13.5" customHeight="1" spans="1:26" x14ac:dyDescent="0.25">
      <c r="A481" s="4"/>
      <c r="B481" s="4"/>
      <c r="C481" s="4"/>
      <c r="D481" s="4"/>
      <c r="E481" s="4"/>
      <c r="F481" s="4"/>
      <c r="G481" s="4"/>
      <c r="H481" s="4"/>
      <c r="I481" s="4"/>
      <c r="J481" s="4"/>
      <c r="K481" s="4"/>
      <c r="L481" s="4"/>
      <c r="M481" s="4"/>
      <c r="N481" s="4"/>
      <c r="O481" s="4"/>
      <c r="P481" s="4"/>
      <c r="Q481" s="4"/>
      <c r="R481" s="4"/>
      <c r="S481" s="4"/>
      <c r="T481" s="4"/>
      <c r="U481" s="4"/>
      <c r="V481" s="4"/>
      <c r="W481" s="242"/>
      <c r="X481" s="4"/>
      <c r="Y481" s="4"/>
      <c r="Z481" s="4"/>
    </row>
    <row r="482" ht="13.5" customHeight="1" spans="1:26" x14ac:dyDescent="0.25">
      <c r="A482" s="4"/>
      <c r="B482" s="4"/>
      <c r="C482" s="4"/>
      <c r="D482" s="4"/>
      <c r="E482" s="4"/>
      <c r="F482" s="4"/>
      <c r="G482" s="4"/>
      <c r="H482" s="4"/>
      <c r="I482" s="4"/>
      <c r="J482" s="4"/>
      <c r="K482" s="4"/>
      <c r="L482" s="4"/>
      <c r="M482" s="4"/>
      <c r="N482" s="4"/>
      <c r="O482" s="4"/>
      <c r="P482" s="4"/>
      <c r="Q482" s="4"/>
      <c r="R482" s="4"/>
      <c r="S482" s="4"/>
      <c r="T482" s="4"/>
      <c r="U482" s="4"/>
      <c r="V482" s="4"/>
      <c r="W482" s="242"/>
      <c r="X482" s="4"/>
      <c r="Y482" s="4"/>
      <c r="Z482" s="4"/>
    </row>
    <row r="483" ht="13.5" customHeight="1" spans="1:26" x14ac:dyDescent="0.25">
      <c r="A483" s="4"/>
      <c r="B483" s="4"/>
      <c r="C483" s="4"/>
      <c r="D483" s="4"/>
      <c r="E483" s="4"/>
      <c r="F483" s="4"/>
      <c r="G483" s="4"/>
      <c r="H483" s="4"/>
      <c r="I483" s="4"/>
      <c r="J483" s="4"/>
      <c r="K483" s="4"/>
      <c r="L483" s="4"/>
      <c r="M483" s="4"/>
      <c r="N483" s="4"/>
      <c r="O483" s="4"/>
      <c r="P483" s="4"/>
      <c r="Q483" s="4"/>
      <c r="R483" s="4"/>
      <c r="S483" s="4"/>
      <c r="T483" s="4"/>
      <c r="U483" s="4"/>
      <c r="V483" s="4"/>
      <c r="W483" s="242"/>
      <c r="X483" s="4"/>
      <c r="Y483" s="4"/>
      <c r="Z483" s="4"/>
    </row>
    <row r="484" ht="13.5" customHeight="1" spans="1:26" x14ac:dyDescent="0.25">
      <c r="A484" s="4"/>
      <c r="B484" s="4"/>
      <c r="C484" s="4"/>
      <c r="D484" s="4"/>
      <c r="E484" s="4"/>
      <c r="F484" s="4"/>
      <c r="G484" s="4"/>
      <c r="H484" s="4"/>
      <c r="I484" s="4"/>
      <c r="J484" s="4"/>
      <c r="K484" s="4"/>
      <c r="L484" s="4"/>
      <c r="M484" s="4"/>
      <c r="N484" s="4"/>
      <c r="O484" s="4"/>
      <c r="P484" s="4"/>
      <c r="Q484" s="4"/>
      <c r="R484" s="4"/>
      <c r="S484" s="4"/>
      <c r="T484" s="4"/>
      <c r="U484" s="4"/>
      <c r="V484" s="4"/>
      <c r="W484" s="242"/>
      <c r="X484" s="4"/>
      <c r="Y484" s="4"/>
      <c r="Z484" s="4"/>
    </row>
    <row r="485" ht="13.5" customHeight="1" spans="1:26" x14ac:dyDescent="0.25">
      <c r="A485" s="4"/>
      <c r="B485" s="4"/>
      <c r="C485" s="4"/>
      <c r="D485" s="4"/>
      <c r="E485" s="4"/>
      <c r="F485" s="4"/>
      <c r="G485" s="4"/>
      <c r="H485" s="4"/>
      <c r="I485" s="4"/>
      <c r="J485" s="4"/>
      <c r="K485" s="4"/>
      <c r="L485" s="4"/>
      <c r="M485" s="4"/>
      <c r="N485" s="4"/>
      <c r="O485" s="4"/>
      <c r="P485" s="4"/>
      <c r="Q485" s="4"/>
      <c r="R485" s="4"/>
      <c r="S485" s="4"/>
      <c r="T485" s="4"/>
      <c r="U485" s="4"/>
      <c r="V485" s="4"/>
      <c r="W485" s="242"/>
      <c r="X485" s="4"/>
      <c r="Y485" s="4"/>
      <c r="Z485" s="4"/>
    </row>
    <row r="486" ht="13.5" customHeight="1" spans="1:26" x14ac:dyDescent="0.25">
      <c r="A486" s="4"/>
      <c r="B486" s="4"/>
      <c r="C486" s="4"/>
      <c r="D486" s="4"/>
      <c r="E486" s="4"/>
      <c r="F486" s="4"/>
      <c r="G486" s="4"/>
      <c r="H486" s="4"/>
      <c r="I486" s="4"/>
      <c r="J486" s="4"/>
      <c r="K486" s="4"/>
      <c r="L486" s="4"/>
      <c r="M486" s="4"/>
      <c r="N486" s="4"/>
      <c r="O486" s="4"/>
      <c r="P486" s="4"/>
      <c r="Q486" s="4"/>
      <c r="R486" s="4"/>
      <c r="S486" s="4"/>
      <c r="T486" s="4"/>
      <c r="U486" s="4"/>
      <c r="V486" s="4"/>
      <c r="W486" s="242"/>
      <c r="X486" s="4"/>
      <c r="Y486" s="4"/>
      <c r="Z486" s="4"/>
    </row>
    <row r="487" ht="13.5" customHeight="1" spans="1:26" x14ac:dyDescent="0.25">
      <c r="A487" s="4"/>
      <c r="B487" s="4"/>
      <c r="C487" s="4"/>
      <c r="D487" s="4"/>
      <c r="E487" s="4"/>
      <c r="F487" s="4"/>
      <c r="G487" s="4"/>
      <c r="H487" s="4"/>
      <c r="I487" s="4"/>
      <c r="J487" s="4"/>
      <c r="K487" s="4"/>
      <c r="L487" s="4"/>
      <c r="M487" s="4"/>
      <c r="N487" s="4"/>
      <c r="O487" s="4"/>
      <c r="P487" s="4"/>
      <c r="Q487" s="4"/>
      <c r="R487" s="4"/>
      <c r="S487" s="4"/>
      <c r="T487" s="4"/>
      <c r="U487" s="4"/>
      <c r="V487" s="4"/>
      <c r="W487" s="242"/>
      <c r="X487" s="4"/>
      <c r="Y487" s="4"/>
      <c r="Z487" s="4"/>
    </row>
    <row r="488" ht="13.5" customHeight="1" spans="1:26" x14ac:dyDescent="0.25">
      <c r="A488" s="4"/>
      <c r="B488" s="4"/>
      <c r="C488" s="4"/>
      <c r="D488" s="4"/>
      <c r="E488" s="4"/>
      <c r="F488" s="4"/>
      <c r="G488" s="4"/>
      <c r="H488" s="4"/>
      <c r="I488" s="4"/>
      <c r="J488" s="4"/>
      <c r="K488" s="4"/>
      <c r="L488" s="4"/>
      <c r="M488" s="4"/>
      <c r="N488" s="4"/>
      <c r="O488" s="4"/>
      <c r="P488" s="4"/>
      <c r="Q488" s="4"/>
      <c r="R488" s="4"/>
      <c r="S488" s="4"/>
      <c r="T488" s="4"/>
      <c r="U488" s="4"/>
      <c r="V488" s="4"/>
      <c r="W488" s="242"/>
      <c r="X488" s="4"/>
      <c r="Y488" s="4"/>
      <c r="Z488" s="4"/>
    </row>
    <row r="489" ht="13.5" customHeight="1" spans="1:26" x14ac:dyDescent="0.25">
      <c r="A489" s="4"/>
      <c r="B489" s="4"/>
      <c r="C489" s="4"/>
      <c r="D489" s="4"/>
      <c r="E489" s="4"/>
      <c r="F489" s="4"/>
      <c r="G489" s="4"/>
      <c r="H489" s="4"/>
      <c r="I489" s="4"/>
      <c r="J489" s="4"/>
      <c r="K489" s="4"/>
      <c r="L489" s="4"/>
      <c r="M489" s="4"/>
      <c r="N489" s="4"/>
      <c r="O489" s="4"/>
      <c r="P489" s="4"/>
      <c r="Q489" s="4"/>
      <c r="R489" s="4"/>
      <c r="S489" s="4"/>
      <c r="T489" s="4"/>
      <c r="U489" s="4"/>
      <c r="V489" s="4"/>
      <c r="W489" s="242"/>
      <c r="X489" s="4"/>
      <c r="Y489" s="4"/>
      <c r="Z489" s="4"/>
    </row>
    <row r="490" ht="13.5" customHeight="1" spans="1:26" x14ac:dyDescent="0.25">
      <c r="A490" s="4"/>
      <c r="B490" s="4"/>
      <c r="C490" s="4"/>
      <c r="D490" s="4"/>
      <c r="E490" s="4"/>
      <c r="F490" s="4"/>
      <c r="G490" s="4"/>
      <c r="H490" s="4"/>
      <c r="I490" s="4"/>
      <c r="J490" s="4"/>
      <c r="K490" s="4"/>
      <c r="L490" s="4"/>
      <c r="M490" s="4"/>
      <c r="N490" s="4"/>
      <c r="O490" s="4"/>
      <c r="P490" s="4"/>
      <c r="Q490" s="4"/>
      <c r="R490" s="4"/>
      <c r="S490" s="4"/>
      <c r="T490" s="4"/>
      <c r="U490" s="4"/>
      <c r="V490" s="4"/>
      <c r="W490" s="242"/>
      <c r="X490" s="4"/>
      <c r="Y490" s="4"/>
      <c r="Z490" s="4"/>
    </row>
    <row r="491" ht="13.5" customHeight="1" spans="1:26" x14ac:dyDescent="0.25">
      <c r="A491" s="4"/>
      <c r="B491" s="4"/>
      <c r="C491" s="4"/>
      <c r="D491" s="4"/>
      <c r="E491" s="4"/>
      <c r="F491" s="4"/>
      <c r="G491" s="4"/>
      <c r="H491" s="4"/>
      <c r="I491" s="4"/>
      <c r="J491" s="4"/>
      <c r="K491" s="4"/>
      <c r="L491" s="4"/>
      <c r="M491" s="4"/>
      <c r="N491" s="4"/>
      <c r="O491" s="4"/>
      <c r="P491" s="4"/>
      <c r="Q491" s="4"/>
      <c r="R491" s="4"/>
      <c r="S491" s="4"/>
      <c r="T491" s="4"/>
      <c r="U491" s="4"/>
      <c r="V491" s="4"/>
      <c r="W491" s="242"/>
      <c r="X491" s="4"/>
      <c r="Y491" s="4"/>
      <c r="Z491" s="4"/>
    </row>
    <row r="492" ht="13.5" customHeight="1" spans="1:26" x14ac:dyDescent="0.25">
      <c r="A492" s="4"/>
      <c r="B492" s="4"/>
      <c r="C492" s="4"/>
      <c r="D492" s="4"/>
      <c r="E492" s="4"/>
      <c r="F492" s="4"/>
      <c r="G492" s="4"/>
      <c r="H492" s="4"/>
      <c r="I492" s="4"/>
      <c r="J492" s="4"/>
      <c r="K492" s="4"/>
      <c r="L492" s="4"/>
      <c r="M492" s="4"/>
      <c r="N492" s="4"/>
      <c r="O492" s="4"/>
      <c r="P492" s="4"/>
      <c r="Q492" s="4"/>
      <c r="R492" s="4"/>
      <c r="S492" s="4"/>
      <c r="T492" s="4"/>
      <c r="U492" s="4"/>
      <c r="V492" s="4"/>
      <c r="W492" s="242"/>
      <c r="X492" s="4"/>
      <c r="Y492" s="4"/>
      <c r="Z492" s="4"/>
    </row>
    <row r="493" ht="13.5" customHeight="1" spans="1:26" x14ac:dyDescent="0.25">
      <c r="A493" s="4"/>
      <c r="B493" s="4"/>
      <c r="C493" s="4"/>
      <c r="D493" s="4"/>
      <c r="E493" s="4"/>
      <c r="F493" s="4"/>
      <c r="G493" s="4"/>
      <c r="H493" s="4"/>
      <c r="I493" s="4"/>
      <c r="J493" s="4"/>
      <c r="K493" s="4"/>
      <c r="L493" s="4"/>
      <c r="M493" s="4"/>
      <c r="N493" s="4"/>
      <c r="O493" s="4"/>
      <c r="P493" s="4"/>
      <c r="Q493" s="4"/>
      <c r="R493" s="4"/>
      <c r="S493" s="4"/>
      <c r="T493" s="4"/>
      <c r="U493" s="4"/>
      <c r="V493" s="4"/>
      <c r="W493" s="242"/>
      <c r="X493" s="4"/>
      <c r="Y493" s="4"/>
      <c r="Z493" s="4"/>
    </row>
    <row r="494" ht="13.5" customHeight="1" spans="1:26" x14ac:dyDescent="0.25">
      <c r="A494" s="4"/>
      <c r="B494" s="4"/>
      <c r="C494" s="4"/>
      <c r="D494" s="4"/>
      <c r="E494" s="4"/>
      <c r="F494" s="4"/>
      <c r="G494" s="4"/>
      <c r="H494" s="4"/>
      <c r="I494" s="4"/>
      <c r="J494" s="4"/>
      <c r="K494" s="4"/>
      <c r="L494" s="4"/>
      <c r="M494" s="4"/>
      <c r="N494" s="4"/>
      <c r="O494" s="4"/>
      <c r="P494" s="4"/>
      <c r="Q494" s="4"/>
      <c r="R494" s="4"/>
      <c r="S494" s="4"/>
      <c r="T494" s="4"/>
      <c r="U494" s="4"/>
      <c r="V494" s="4"/>
      <c r="W494" s="242"/>
      <c r="X494" s="4"/>
      <c r="Y494" s="4"/>
      <c r="Z494" s="4"/>
    </row>
    <row r="495" ht="13.5" customHeight="1" spans="1:26" x14ac:dyDescent="0.25">
      <c r="A495" s="4"/>
      <c r="B495" s="4"/>
      <c r="C495" s="4"/>
      <c r="D495" s="4"/>
      <c r="E495" s="4"/>
      <c r="F495" s="4"/>
      <c r="G495" s="4"/>
      <c r="H495" s="4"/>
      <c r="I495" s="4"/>
      <c r="J495" s="4"/>
      <c r="K495" s="4"/>
      <c r="L495" s="4"/>
      <c r="M495" s="4"/>
      <c r="N495" s="4"/>
      <c r="O495" s="4"/>
      <c r="P495" s="4"/>
      <c r="Q495" s="4"/>
      <c r="R495" s="4"/>
      <c r="S495" s="4"/>
      <c r="T495" s="4"/>
      <c r="U495" s="4"/>
      <c r="V495" s="4"/>
      <c r="W495" s="242"/>
      <c r="X495" s="4"/>
      <c r="Y495" s="4"/>
      <c r="Z495" s="4"/>
    </row>
    <row r="496" ht="13.5" customHeight="1" spans="1:26" x14ac:dyDescent="0.25">
      <c r="A496" s="4"/>
      <c r="B496" s="4"/>
      <c r="C496" s="4"/>
      <c r="D496" s="4"/>
      <c r="E496" s="4"/>
      <c r="F496" s="4"/>
      <c r="G496" s="4"/>
      <c r="H496" s="4"/>
      <c r="I496" s="4"/>
      <c r="J496" s="4"/>
      <c r="K496" s="4"/>
      <c r="L496" s="4"/>
      <c r="M496" s="4"/>
      <c r="N496" s="4"/>
      <c r="O496" s="4"/>
      <c r="P496" s="4"/>
      <c r="Q496" s="4"/>
      <c r="R496" s="4"/>
      <c r="S496" s="4"/>
      <c r="T496" s="4"/>
      <c r="U496" s="4"/>
      <c r="V496" s="4"/>
      <c r="W496" s="242"/>
      <c r="X496" s="4"/>
      <c r="Y496" s="4"/>
      <c r="Z496" s="4"/>
    </row>
    <row r="497" ht="13.5" customHeight="1" spans="1:26" x14ac:dyDescent="0.25">
      <c r="A497" s="4"/>
      <c r="B497" s="4"/>
      <c r="C497" s="4"/>
      <c r="D497" s="4"/>
      <c r="E497" s="4"/>
      <c r="F497" s="4"/>
      <c r="G497" s="4"/>
      <c r="H497" s="4"/>
      <c r="I497" s="4"/>
      <c r="J497" s="4"/>
      <c r="K497" s="4"/>
      <c r="L497" s="4"/>
      <c r="M497" s="4"/>
      <c r="N497" s="4"/>
      <c r="O497" s="4"/>
      <c r="P497" s="4"/>
      <c r="Q497" s="4"/>
      <c r="R497" s="4"/>
      <c r="S497" s="4"/>
      <c r="T497" s="4"/>
      <c r="U497" s="4"/>
      <c r="V497" s="4"/>
      <c r="W497" s="242"/>
      <c r="X497" s="4"/>
      <c r="Y497" s="4"/>
      <c r="Z497" s="4"/>
    </row>
    <row r="498" ht="13.5" customHeight="1" spans="1:26" x14ac:dyDescent="0.25">
      <c r="A498" s="4"/>
      <c r="B498" s="4"/>
      <c r="C498" s="4"/>
      <c r="D498" s="4"/>
      <c r="E498" s="4"/>
      <c r="F498" s="4"/>
      <c r="G498" s="4"/>
      <c r="H498" s="4"/>
      <c r="I498" s="4"/>
      <c r="J498" s="4"/>
      <c r="K498" s="4"/>
      <c r="L498" s="4"/>
      <c r="M498" s="4"/>
      <c r="N498" s="4"/>
      <c r="O498" s="4"/>
      <c r="P498" s="4"/>
      <c r="Q498" s="4"/>
      <c r="R498" s="4"/>
      <c r="S498" s="4"/>
      <c r="T498" s="4"/>
      <c r="U498" s="4"/>
      <c r="V498" s="4"/>
      <c r="W498" s="242"/>
      <c r="X498" s="4"/>
      <c r="Y498" s="4"/>
      <c r="Z498" s="4"/>
    </row>
    <row r="499" ht="13.5" customHeight="1" spans="1:26" x14ac:dyDescent="0.25">
      <c r="A499" s="4"/>
      <c r="B499" s="4"/>
      <c r="C499" s="4"/>
      <c r="D499" s="4"/>
      <c r="E499" s="4"/>
      <c r="F499" s="4"/>
      <c r="G499" s="4"/>
      <c r="H499" s="4"/>
      <c r="I499" s="4"/>
      <c r="J499" s="4"/>
      <c r="K499" s="4"/>
      <c r="L499" s="4"/>
      <c r="M499" s="4"/>
      <c r="N499" s="4"/>
      <c r="O499" s="4"/>
      <c r="P499" s="4"/>
      <c r="Q499" s="4"/>
      <c r="R499" s="4"/>
      <c r="S499" s="4"/>
      <c r="T499" s="4"/>
      <c r="U499" s="4"/>
      <c r="V499" s="4"/>
      <c r="W499" s="242"/>
      <c r="X499" s="4"/>
      <c r="Y499" s="4"/>
      <c r="Z499" s="4"/>
    </row>
    <row r="500" ht="13.5" customHeight="1" spans="1:26" x14ac:dyDescent="0.25">
      <c r="A500" s="4"/>
      <c r="B500" s="4"/>
      <c r="C500" s="4"/>
      <c r="D500" s="4"/>
      <c r="E500" s="4"/>
      <c r="F500" s="4"/>
      <c r="G500" s="4"/>
      <c r="H500" s="4"/>
      <c r="I500" s="4"/>
      <c r="J500" s="4"/>
      <c r="K500" s="4"/>
      <c r="L500" s="4"/>
      <c r="M500" s="4"/>
      <c r="N500" s="4"/>
      <c r="O500" s="4"/>
      <c r="P500" s="4"/>
      <c r="Q500" s="4"/>
      <c r="R500" s="4"/>
      <c r="S500" s="4"/>
      <c r="T500" s="4"/>
      <c r="U500" s="4"/>
      <c r="V500" s="4"/>
      <c r="W500" s="242"/>
      <c r="X500" s="4"/>
      <c r="Y500" s="4"/>
      <c r="Z500" s="4"/>
    </row>
    <row r="501" ht="13.5" customHeight="1" spans="1:26" x14ac:dyDescent="0.25">
      <c r="A501" s="4"/>
      <c r="B501" s="4"/>
      <c r="C501" s="4"/>
      <c r="D501" s="4"/>
      <c r="E501" s="4"/>
      <c r="F501" s="4"/>
      <c r="G501" s="4"/>
      <c r="H501" s="4"/>
      <c r="I501" s="4"/>
      <c r="J501" s="4"/>
      <c r="K501" s="4"/>
      <c r="L501" s="4"/>
      <c r="M501" s="4"/>
      <c r="N501" s="4"/>
      <c r="O501" s="4"/>
      <c r="P501" s="4"/>
      <c r="Q501" s="4"/>
      <c r="R501" s="4"/>
      <c r="S501" s="4"/>
      <c r="T501" s="4"/>
      <c r="U501" s="4"/>
      <c r="V501" s="4"/>
      <c r="W501" s="242"/>
      <c r="X501" s="4"/>
      <c r="Y501" s="4"/>
      <c r="Z501" s="4"/>
    </row>
    <row r="502" ht="13.5" customHeight="1" spans="1:26" x14ac:dyDescent="0.25">
      <c r="A502" s="4"/>
      <c r="B502" s="4"/>
      <c r="C502" s="4"/>
      <c r="D502" s="4"/>
      <c r="E502" s="4"/>
      <c r="F502" s="4"/>
      <c r="G502" s="4"/>
      <c r="H502" s="4"/>
      <c r="I502" s="4"/>
      <c r="J502" s="4"/>
      <c r="K502" s="4"/>
      <c r="L502" s="4"/>
      <c r="M502" s="4"/>
      <c r="N502" s="4"/>
      <c r="O502" s="4"/>
      <c r="P502" s="4"/>
      <c r="Q502" s="4"/>
      <c r="R502" s="4"/>
      <c r="S502" s="4"/>
      <c r="T502" s="4"/>
      <c r="U502" s="4"/>
      <c r="V502" s="4"/>
      <c r="W502" s="242"/>
      <c r="X502" s="4"/>
      <c r="Y502" s="4"/>
      <c r="Z502" s="4"/>
    </row>
    <row r="503" ht="13.5" customHeight="1" spans="1:26" x14ac:dyDescent="0.25">
      <c r="A503" s="4"/>
      <c r="B503" s="4"/>
      <c r="C503" s="4"/>
      <c r="D503" s="4"/>
      <c r="E503" s="4"/>
      <c r="F503" s="4"/>
      <c r="G503" s="4"/>
      <c r="H503" s="4"/>
      <c r="I503" s="4"/>
      <c r="J503" s="4"/>
      <c r="K503" s="4"/>
      <c r="L503" s="4"/>
      <c r="M503" s="4"/>
      <c r="N503" s="4"/>
      <c r="O503" s="4"/>
      <c r="P503" s="4"/>
      <c r="Q503" s="4"/>
      <c r="R503" s="4"/>
      <c r="S503" s="4"/>
      <c r="T503" s="4"/>
      <c r="U503" s="4"/>
      <c r="V503" s="4"/>
      <c r="W503" s="242"/>
      <c r="X503" s="4"/>
      <c r="Y503" s="4"/>
      <c r="Z503" s="4"/>
    </row>
    <row r="504" ht="13.5" customHeight="1" spans="1:26" x14ac:dyDescent="0.25">
      <c r="A504" s="4"/>
      <c r="B504" s="4"/>
      <c r="C504" s="4"/>
      <c r="D504" s="4"/>
      <c r="E504" s="4"/>
      <c r="F504" s="4"/>
      <c r="G504" s="4"/>
      <c r="H504" s="4"/>
      <c r="I504" s="4"/>
      <c r="J504" s="4"/>
      <c r="K504" s="4"/>
      <c r="L504" s="4"/>
      <c r="M504" s="4"/>
      <c r="N504" s="4"/>
      <c r="O504" s="4"/>
      <c r="P504" s="4"/>
      <c r="Q504" s="4"/>
      <c r="R504" s="4"/>
      <c r="S504" s="4"/>
      <c r="T504" s="4"/>
      <c r="U504" s="4"/>
      <c r="V504" s="4"/>
      <c r="W504" s="242"/>
      <c r="X504" s="4"/>
      <c r="Y504" s="4"/>
      <c r="Z504" s="4"/>
    </row>
    <row r="505" ht="13.5" customHeight="1" spans="1:26" x14ac:dyDescent="0.25">
      <c r="A505" s="4"/>
      <c r="B505" s="4"/>
      <c r="C505" s="4"/>
      <c r="D505" s="4"/>
      <c r="E505" s="4"/>
      <c r="F505" s="4"/>
      <c r="G505" s="4"/>
      <c r="H505" s="4"/>
      <c r="I505" s="4"/>
      <c r="J505" s="4"/>
      <c r="K505" s="4"/>
      <c r="L505" s="4"/>
      <c r="M505" s="4"/>
      <c r="N505" s="4"/>
      <c r="O505" s="4"/>
      <c r="P505" s="4"/>
      <c r="Q505" s="4"/>
      <c r="R505" s="4"/>
      <c r="S505" s="4"/>
      <c r="T505" s="4"/>
      <c r="U505" s="4"/>
      <c r="V505" s="4"/>
      <c r="W505" s="242"/>
      <c r="X505" s="4"/>
      <c r="Y505" s="4"/>
      <c r="Z505" s="4"/>
    </row>
    <row r="506" ht="13.5" customHeight="1" spans="1:26" x14ac:dyDescent="0.25">
      <c r="A506" s="4"/>
      <c r="B506" s="4"/>
      <c r="C506" s="4"/>
      <c r="D506" s="4"/>
      <c r="E506" s="4"/>
      <c r="F506" s="4"/>
      <c r="G506" s="4"/>
      <c r="H506" s="4"/>
      <c r="I506" s="4"/>
      <c r="J506" s="4"/>
      <c r="K506" s="4"/>
      <c r="L506" s="4"/>
      <c r="M506" s="4"/>
      <c r="N506" s="4"/>
      <c r="O506" s="4"/>
      <c r="P506" s="4"/>
      <c r="Q506" s="4"/>
      <c r="R506" s="4"/>
      <c r="S506" s="4"/>
      <c r="T506" s="4"/>
      <c r="U506" s="4"/>
      <c r="V506" s="4"/>
      <c r="W506" s="242"/>
      <c r="X506" s="4"/>
      <c r="Y506" s="4"/>
      <c r="Z506" s="4"/>
    </row>
    <row r="507" ht="13.5" customHeight="1" spans="1:26" x14ac:dyDescent="0.25">
      <c r="A507" s="4"/>
      <c r="B507" s="4"/>
      <c r="C507" s="4"/>
      <c r="D507" s="4"/>
      <c r="E507" s="4"/>
      <c r="F507" s="4"/>
      <c r="G507" s="4"/>
      <c r="H507" s="4"/>
      <c r="I507" s="4"/>
      <c r="J507" s="4"/>
      <c r="K507" s="4"/>
      <c r="L507" s="4"/>
      <c r="M507" s="4"/>
      <c r="N507" s="4"/>
      <c r="O507" s="4"/>
      <c r="P507" s="4"/>
      <c r="Q507" s="4"/>
      <c r="R507" s="4"/>
      <c r="S507" s="4"/>
      <c r="T507" s="4"/>
      <c r="U507" s="4"/>
      <c r="V507" s="4"/>
      <c r="W507" s="242"/>
      <c r="X507" s="4"/>
      <c r="Y507" s="4"/>
      <c r="Z507" s="4"/>
    </row>
    <row r="508" ht="13.5" customHeight="1" spans="1:26" x14ac:dyDescent="0.25">
      <c r="A508" s="4"/>
      <c r="B508" s="4"/>
      <c r="C508" s="4"/>
      <c r="D508" s="4"/>
      <c r="E508" s="4"/>
      <c r="F508" s="4"/>
      <c r="G508" s="4"/>
      <c r="H508" s="4"/>
      <c r="I508" s="4"/>
      <c r="J508" s="4"/>
      <c r="K508" s="4"/>
      <c r="L508" s="4"/>
      <c r="M508" s="4"/>
      <c r="N508" s="4"/>
      <c r="O508" s="4"/>
      <c r="P508" s="4"/>
      <c r="Q508" s="4"/>
      <c r="R508" s="4"/>
      <c r="S508" s="4"/>
      <c r="T508" s="4"/>
      <c r="U508" s="4"/>
      <c r="V508" s="4"/>
      <c r="W508" s="242"/>
      <c r="X508" s="4"/>
      <c r="Y508" s="4"/>
      <c r="Z508" s="4"/>
    </row>
    <row r="509" ht="13.5" customHeight="1" spans="1:26" x14ac:dyDescent="0.25">
      <c r="A509" s="4"/>
      <c r="B509" s="4"/>
      <c r="C509" s="4"/>
      <c r="D509" s="4"/>
      <c r="E509" s="4"/>
      <c r="F509" s="4"/>
      <c r="G509" s="4"/>
      <c r="H509" s="4"/>
      <c r="I509" s="4"/>
      <c r="J509" s="4"/>
      <c r="K509" s="4"/>
      <c r="L509" s="4"/>
      <c r="M509" s="4"/>
      <c r="N509" s="4"/>
      <c r="O509" s="4"/>
      <c r="P509" s="4"/>
      <c r="Q509" s="4"/>
      <c r="R509" s="4"/>
      <c r="S509" s="4"/>
      <c r="T509" s="4"/>
      <c r="U509" s="4"/>
      <c r="V509" s="4"/>
      <c r="W509" s="242"/>
      <c r="X509" s="4"/>
      <c r="Y509" s="4"/>
      <c r="Z509" s="4"/>
    </row>
    <row r="510" ht="13.5" customHeight="1" spans="1:26" x14ac:dyDescent="0.25">
      <c r="A510" s="4"/>
      <c r="B510" s="4"/>
      <c r="C510" s="4"/>
      <c r="D510" s="4"/>
      <c r="E510" s="4"/>
      <c r="F510" s="4"/>
      <c r="G510" s="4"/>
      <c r="H510" s="4"/>
      <c r="I510" s="4"/>
      <c r="J510" s="4"/>
      <c r="K510" s="4"/>
      <c r="L510" s="4"/>
      <c r="M510" s="4"/>
      <c r="N510" s="4"/>
      <c r="O510" s="4"/>
      <c r="P510" s="4"/>
      <c r="Q510" s="4"/>
      <c r="R510" s="4"/>
      <c r="S510" s="4"/>
      <c r="T510" s="4"/>
      <c r="U510" s="4"/>
      <c r="V510" s="4"/>
      <c r="W510" s="242"/>
      <c r="X510" s="4"/>
      <c r="Y510" s="4"/>
      <c r="Z510" s="4"/>
    </row>
    <row r="511" ht="13.5" customHeight="1" spans="1:26" x14ac:dyDescent="0.25">
      <c r="A511" s="4"/>
      <c r="B511" s="4"/>
      <c r="C511" s="4"/>
      <c r="D511" s="4"/>
      <c r="E511" s="4"/>
      <c r="F511" s="4"/>
      <c r="G511" s="4"/>
      <c r="H511" s="4"/>
      <c r="I511" s="4"/>
      <c r="J511" s="4"/>
      <c r="K511" s="4"/>
      <c r="L511" s="4"/>
      <c r="M511" s="4"/>
      <c r="N511" s="4"/>
      <c r="O511" s="4"/>
      <c r="P511" s="4"/>
      <c r="Q511" s="4"/>
      <c r="R511" s="4"/>
      <c r="S511" s="4"/>
      <c r="T511" s="4"/>
      <c r="U511" s="4"/>
      <c r="V511" s="4"/>
      <c r="W511" s="242"/>
      <c r="X511" s="4"/>
      <c r="Y511" s="4"/>
      <c r="Z511" s="4"/>
    </row>
    <row r="512" ht="13.5" customHeight="1" spans="1:26" x14ac:dyDescent="0.25">
      <c r="A512" s="4"/>
      <c r="B512" s="4"/>
      <c r="C512" s="4"/>
      <c r="D512" s="4"/>
      <c r="E512" s="4"/>
      <c r="F512" s="4"/>
      <c r="G512" s="4"/>
      <c r="H512" s="4"/>
      <c r="I512" s="4"/>
      <c r="J512" s="4"/>
      <c r="K512" s="4"/>
      <c r="L512" s="4"/>
      <c r="M512" s="4"/>
      <c r="N512" s="4"/>
      <c r="O512" s="4"/>
      <c r="P512" s="4"/>
      <c r="Q512" s="4"/>
      <c r="R512" s="4"/>
      <c r="S512" s="4"/>
      <c r="T512" s="4"/>
      <c r="U512" s="4"/>
      <c r="V512" s="4"/>
      <c r="W512" s="242"/>
      <c r="X512" s="4"/>
      <c r="Y512" s="4"/>
      <c r="Z512" s="4"/>
    </row>
    <row r="513" ht="13.5" customHeight="1" spans="1:26" x14ac:dyDescent="0.25">
      <c r="A513" s="4"/>
      <c r="B513" s="4"/>
      <c r="C513" s="4"/>
      <c r="D513" s="4"/>
      <c r="E513" s="4"/>
      <c r="F513" s="4"/>
      <c r="G513" s="4"/>
      <c r="H513" s="4"/>
      <c r="I513" s="4"/>
      <c r="J513" s="4"/>
      <c r="K513" s="4"/>
      <c r="L513" s="4"/>
      <c r="M513" s="4"/>
      <c r="N513" s="4"/>
      <c r="O513" s="4"/>
      <c r="P513" s="4"/>
      <c r="Q513" s="4"/>
      <c r="R513" s="4"/>
      <c r="S513" s="4"/>
      <c r="T513" s="4"/>
      <c r="U513" s="4"/>
      <c r="V513" s="4"/>
      <c r="W513" s="242"/>
      <c r="X513" s="4"/>
      <c r="Y513" s="4"/>
      <c r="Z513" s="4"/>
    </row>
    <row r="514" ht="13.5" customHeight="1" spans="1:26" x14ac:dyDescent="0.25">
      <c r="A514" s="4"/>
      <c r="B514" s="4"/>
      <c r="C514" s="4"/>
      <c r="D514" s="4"/>
      <c r="E514" s="4"/>
      <c r="F514" s="4"/>
      <c r="G514" s="4"/>
      <c r="H514" s="4"/>
      <c r="I514" s="4"/>
      <c r="J514" s="4"/>
      <c r="K514" s="4"/>
      <c r="L514" s="4"/>
      <c r="M514" s="4"/>
      <c r="N514" s="4"/>
      <c r="O514" s="4"/>
      <c r="P514" s="4"/>
      <c r="Q514" s="4"/>
      <c r="R514" s="4"/>
      <c r="S514" s="4"/>
      <c r="T514" s="4"/>
      <c r="U514" s="4"/>
      <c r="V514" s="4"/>
      <c r="W514" s="242"/>
      <c r="X514" s="4"/>
      <c r="Y514" s="4"/>
      <c r="Z514" s="4"/>
    </row>
    <row r="515" ht="13.5" customHeight="1" spans="1:26" x14ac:dyDescent="0.25">
      <c r="A515" s="4"/>
      <c r="B515" s="4"/>
      <c r="C515" s="4"/>
      <c r="D515" s="4"/>
      <c r="E515" s="4"/>
      <c r="F515" s="4"/>
      <c r="G515" s="4"/>
      <c r="H515" s="4"/>
      <c r="I515" s="4"/>
      <c r="J515" s="4"/>
      <c r="K515" s="4"/>
      <c r="L515" s="4"/>
      <c r="M515" s="4"/>
      <c r="N515" s="4"/>
      <c r="O515" s="4"/>
      <c r="P515" s="4"/>
      <c r="Q515" s="4"/>
      <c r="R515" s="4"/>
      <c r="S515" s="4"/>
      <c r="T515" s="4"/>
      <c r="U515" s="4"/>
      <c r="V515" s="4"/>
      <c r="W515" s="242"/>
      <c r="X515" s="4"/>
      <c r="Y515" s="4"/>
      <c r="Z515" s="4"/>
    </row>
    <row r="516" ht="13.5" customHeight="1" spans="1:26" x14ac:dyDescent="0.25">
      <c r="A516" s="4"/>
      <c r="B516" s="4"/>
      <c r="C516" s="4"/>
      <c r="D516" s="4"/>
      <c r="E516" s="4"/>
      <c r="F516" s="4"/>
      <c r="G516" s="4"/>
      <c r="H516" s="4"/>
      <c r="I516" s="4"/>
      <c r="J516" s="4"/>
      <c r="K516" s="4"/>
      <c r="L516" s="4"/>
      <c r="M516" s="4"/>
      <c r="N516" s="4"/>
      <c r="O516" s="4"/>
      <c r="P516" s="4"/>
      <c r="Q516" s="4"/>
      <c r="R516" s="4"/>
      <c r="S516" s="4"/>
      <c r="T516" s="4"/>
      <c r="U516" s="4"/>
      <c r="V516" s="4"/>
      <c r="W516" s="242"/>
      <c r="X516" s="4"/>
      <c r="Y516" s="4"/>
      <c r="Z516" s="4"/>
    </row>
    <row r="517" ht="13.5" customHeight="1" spans="1:26" x14ac:dyDescent="0.25">
      <c r="A517" s="4"/>
      <c r="B517" s="4"/>
      <c r="C517" s="4"/>
      <c r="D517" s="4"/>
      <c r="E517" s="4"/>
      <c r="F517" s="4"/>
      <c r="G517" s="4"/>
      <c r="H517" s="4"/>
      <c r="I517" s="4"/>
      <c r="J517" s="4"/>
      <c r="K517" s="4"/>
      <c r="L517" s="4"/>
      <c r="M517" s="4"/>
      <c r="N517" s="4"/>
      <c r="O517" s="4"/>
      <c r="P517" s="4"/>
      <c r="Q517" s="4"/>
      <c r="R517" s="4"/>
      <c r="S517" s="4"/>
      <c r="T517" s="4"/>
      <c r="U517" s="4"/>
      <c r="V517" s="4"/>
      <c r="W517" s="242"/>
      <c r="X517" s="4"/>
      <c r="Y517" s="4"/>
      <c r="Z517" s="4"/>
    </row>
    <row r="518" ht="13.5" customHeight="1" spans="1:26" x14ac:dyDescent="0.25">
      <c r="A518" s="4"/>
      <c r="B518" s="4"/>
      <c r="C518" s="4"/>
      <c r="D518" s="4"/>
      <c r="E518" s="4"/>
      <c r="F518" s="4"/>
      <c r="G518" s="4"/>
      <c r="H518" s="4"/>
      <c r="I518" s="4"/>
      <c r="J518" s="4"/>
      <c r="K518" s="4"/>
      <c r="L518" s="4"/>
      <c r="M518" s="4"/>
      <c r="N518" s="4"/>
      <c r="O518" s="4"/>
      <c r="P518" s="4"/>
      <c r="Q518" s="4"/>
      <c r="R518" s="4"/>
      <c r="S518" s="4"/>
      <c r="T518" s="4"/>
      <c r="U518" s="4"/>
      <c r="V518" s="4"/>
      <c r="W518" s="242"/>
      <c r="X518" s="4"/>
      <c r="Y518" s="4"/>
      <c r="Z518" s="4"/>
    </row>
    <row r="519" ht="13.5" customHeight="1" spans="1:26" x14ac:dyDescent="0.25">
      <c r="A519" s="4"/>
      <c r="B519" s="4"/>
      <c r="C519" s="4"/>
      <c r="D519" s="4"/>
      <c r="E519" s="4"/>
      <c r="F519" s="4"/>
      <c r="G519" s="4"/>
      <c r="H519" s="4"/>
      <c r="I519" s="4"/>
      <c r="J519" s="4"/>
      <c r="K519" s="4"/>
      <c r="L519" s="4"/>
      <c r="M519" s="4"/>
      <c r="N519" s="4"/>
      <c r="O519" s="4"/>
      <c r="P519" s="4"/>
      <c r="Q519" s="4"/>
      <c r="R519" s="4"/>
      <c r="S519" s="4"/>
      <c r="T519" s="4"/>
      <c r="U519" s="4"/>
      <c r="V519" s="4"/>
      <c r="W519" s="242"/>
      <c r="X519" s="4"/>
      <c r="Y519" s="4"/>
      <c r="Z519" s="4"/>
    </row>
    <row r="520" ht="13.5" customHeight="1" spans="1:26" x14ac:dyDescent="0.25">
      <c r="A520" s="4"/>
      <c r="B520" s="4"/>
      <c r="C520" s="4"/>
      <c r="D520" s="4"/>
      <c r="E520" s="4"/>
      <c r="F520" s="4"/>
      <c r="G520" s="4"/>
      <c r="H520" s="4"/>
      <c r="I520" s="4"/>
      <c r="J520" s="4"/>
      <c r="K520" s="4"/>
      <c r="L520" s="4"/>
      <c r="M520" s="4"/>
      <c r="N520" s="4"/>
      <c r="O520" s="4"/>
      <c r="P520" s="4"/>
      <c r="Q520" s="4"/>
      <c r="R520" s="4"/>
      <c r="S520" s="4"/>
      <c r="T520" s="4"/>
      <c r="U520" s="4"/>
      <c r="V520" s="4"/>
      <c r="W520" s="242"/>
      <c r="X520" s="4"/>
      <c r="Y520" s="4"/>
      <c r="Z520" s="4"/>
    </row>
    <row r="521" ht="13.5" customHeight="1" spans="1:26" x14ac:dyDescent="0.25">
      <c r="A521" s="4"/>
      <c r="B521" s="4"/>
      <c r="C521" s="4"/>
      <c r="D521" s="4"/>
      <c r="E521" s="4"/>
      <c r="F521" s="4"/>
      <c r="G521" s="4"/>
      <c r="H521" s="4"/>
      <c r="I521" s="4"/>
      <c r="J521" s="4"/>
      <c r="K521" s="4"/>
      <c r="L521" s="4"/>
      <c r="M521" s="4"/>
      <c r="N521" s="4"/>
      <c r="O521" s="4"/>
      <c r="P521" s="4"/>
      <c r="Q521" s="4"/>
      <c r="R521" s="4"/>
      <c r="S521" s="4"/>
      <c r="T521" s="4"/>
      <c r="U521" s="4"/>
      <c r="V521" s="4"/>
      <c r="W521" s="242"/>
      <c r="X521" s="4"/>
      <c r="Y521" s="4"/>
      <c r="Z521" s="4"/>
    </row>
    <row r="522" ht="13.5" customHeight="1" spans="1:26" x14ac:dyDescent="0.25">
      <c r="A522" s="4"/>
      <c r="B522" s="4"/>
      <c r="C522" s="4"/>
      <c r="D522" s="4"/>
      <c r="E522" s="4"/>
      <c r="F522" s="4"/>
      <c r="G522" s="4"/>
      <c r="H522" s="4"/>
      <c r="I522" s="4"/>
      <c r="J522" s="4"/>
      <c r="K522" s="4"/>
      <c r="L522" s="4"/>
      <c r="M522" s="4"/>
      <c r="N522" s="4"/>
      <c r="O522" s="4"/>
      <c r="P522" s="4"/>
      <c r="Q522" s="4"/>
      <c r="R522" s="4"/>
      <c r="S522" s="4"/>
      <c r="T522" s="4"/>
      <c r="U522" s="4"/>
      <c r="V522" s="4"/>
      <c r="W522" s="242"/>
      <c r="X522" s="4"/>
      <c r="Y522" s="4"/>
      <c r="Z522" s="4"/>
    </row>
    <row r="523" ht="13.5" customHeight="1" spans="1:26" x14ac:dyDescent="0.25">
      <c r="A523" s="4"/>
      <c r="B523" s="4"/>
      <c r="C523" s="4"/>
      <c r="D523" s="4"/>
      <c r="E523" s="4"/>
      <c r="F523" s="4"/>
      <c r="G523" s="4"/>
      <c r="H523" s="4"/>
      <c r="I523" s="4"/>
      <c r="J523" s="4"/>
      <c r="K523" s="4"/>
      <c r="L523" s="4"/>
      <c r="M523" s="4"/>
      <c r="N523" s="4"/>
      <c r="O523" s="4"/>
      <c r="P523" s="4"/>
      <c r="Q523" s="4"/>
      <c r="R523" s="4"/>
      <c r="S523" s="4"/>
      <c r="T523" s="4"/>
      <c r="U523" s="4"/>
      <c r="V523" s="4"/>
      <c r="W523" s="242"/>
      <c r="X523" s="4"/>
      <c r="Y523" s="4"/>
      <c r="Z523" s="4"/>
    </row>
    <row r="524" ht="13.5" customHeight="1" spans="1:26" x14ac:dyDescent="0.25">
      <c r="A524" s="4"/>
      <c r="B524" s="4"/>
      <c r="C524" s="4"/>
      <c r="D524" s="4"/>
      <c r="E524" s="4"/>
      <c r="F524" s="4"/>
      <c r="G524" s="4"/>
      <c r="H524" s="4"/>
      <c r="I524" s="4"/>
      <c r="J524" s="4"/>
      <c r="K524" s="4"/>
      <c r="L524" s="4"/>
      <c r="M524" s="4"/>
      <c r="N524" s="4"/>
      <c r="O524" s="4"/>
      <c r="P524" s="4"/>
      <c r="Q524" s="4"/>
      <c r="R524" s="4"/>
      <c r="S524" s="4"/>
      <c r="T524" s="4"/>
      <c r="U524" s="4"/>
      <c r="V524" s="4"/>
      <c r="W524" s="242"/>
      <c r="X524" s="4"/>
      <c r="Y524" s="4"/>
      <c r="Z524" s="4"/>
    </row>
    <row r="525" ht="13.5" customHeight="1" spans="1:26" x14ac:dyDescent="0.25">
      <c r="A525" s="4"/>
      <c r="B525" s="4"/>
      <c r="C525" s="4"/>
      <c r="D525" s="4"/>
      <c r="E525" s="4"/>
      <c r="F525" s="4"/>
      <c r="G525" s="4"/>
      <c r="H525" s="4"/>
      <c r="I525" s="4"/>
      <c r="J525" s="4"/>
      <c r="K525" s="4"/>
      <c r="L525" s="4"/>
      <c r="M525" s="4"/>
      <c r="N525" s="4"/>
      <c r="O525" s="4"/>
      <c r="P525" s="4"/>
      <c r="Q525" s="4"/>
      <c r="R525" s="4"/>
      <c r="S525" s="4"/>
      <c r="T525" s="4"/>
      <c r="U525" s="4"/>
      <c r="V525" s="4"/>
      <c r="W525" s="242"/>
      <c r="X525" s="4"/>
      <c r="Y525" s="4"/>
      <c r="Z525" s="4"/>
    </row>
    <row r="526" ht="13.5" customHeight="1" spans="1:26" x14ac:dyDescent="0.25">
      <c r="A526" s="4"/>
      <c r="B526" s="4"/>
      <c r="C526" s="4"/>
      <c r="D526" s="4"/>
      <c r="E526" s="4"/>
      <c r="F526" s="4"/>
      <c r="G526" s="4"/>
      <c r="H526" s="4"/>
      <c r="I526" s="4"/>
      <c r="J526" s="4"/>
      <c r="K526" s="4"/>
      <c r="L526" s="4"/>
      <c r="M526" s="4"/>
      <c r="N526" s="4"/>
      <c r="O526" s="4"/>
      <c r="P526" s="4"/>
      <c r="Q526" s="4"/>
      <c r="R526" s="4"/>
      <c r="S526" s="4"/>
      <c r="T526" s="4"/>
      <c r="U526" s="4"/>
      <c r="V526" s="4"/>
      <c r="W526" s="242"/>
      <c r="X526" s="4"/>
      <c r="Y526" s="4"/>
      <c r="Z526" s="4"/>
    </row>
    <row r="527" ht="13.5" customHeight="1" spans="1:26" x14ac:dyDescent="0.25">
      <c r="A527" s="4"/>
      <c r="B527" s="4"/>
      <c r="C527" s="4"/>
      <c r="D527" s="4"/>
      <c r="E527" s="4"/>
      <c r="F527" s="4"/>
      <c r="G527" s="4"/>
      <c r="H527" s="4"/>
      <c r="I527" s="4"/>
      <c r="J527" s="4"/>
      <c r="K527" s="4"/>
      <c r="L527" s="4"/>
      <c r="M527" s="4"/>
      <c r="N527" s="4"/>
      <c r="O527" s="4"/>
      <c r="P527" s="4"/>
      <c r="Q527" s="4"/>
      <c r="R527" s="4"/>
      <c r="S527" s="4"/>
      <c r="T527" s="4"/>
      <c r="U527" s="4"/>
      <c r="V527" s="4"/>
      <c r="W527" s="242"/>
      <c r="X527" s="4"/>
      <c r="Y527" s="4"/>
      <c r="Z527" s="4"/>
    </row>
    <row r="528" ht="13.5" customHeight="1" spans="1:26" x14ac:dyDescent="0.25">
      <c r="A528" s="4"/>
      <c r="B528" s="4"/>
      <c r="C528" s="4"/>
      <c r="D528" s="4"/>
      <c r="E528" s="4"/>
      <c r="F528" s="4"/>
      <c r="G528" s="4"/>
      <c r="H528" s="4"/>
      <c r="I528" s="4"/>
      <c r="J528" s="4"/>
      <c r="K528" s="4"/>
      <c r="L528" s="4"/>
      <c r="M528" s="4"/>
      <c r="N528" s="4"/>
      <c r="O528" s="4"/>
      <c r="P528" s="4"/>
      <c r="Q528" s="4"/>
      <c r="R528" s="4"/>
      <c r="S528" s="4"/>
      <c r="T528" s="4"/>
      <c r="U528" s="4"/>
      <c r="V528" s="4"/>
      <c r="W528" s="242"/>
      <c r="X528" s="4"/>
      <c r="Y528" s="4"/>
      <c r="Z528" s="4"/>
    </row>
    <row r="529" ht="13.5" customHeight="1" spans="1:26" x14ac:dyDescent="0.25">
      <c r="A529" s="4"/>
      <c r="B529" s="4"/>
      <c r="C529" s="4"/>
      <c r="D529" s="4"/>
      <c r="E529" s="4"/>
      <c r="F529" s="4"/>
      <c r="G529" s="4"/>
      <c r="H529" s="4"/>
      <c r="I529" s="4"/>
      <c r="J529" s="4"/>
      <c r="K529" s="4"/>
      <c r="L529" s="4"/>
      <c r="M529" s="4"/>
      <c r="N529" s="4"/>
      <c r="O529" s="4"/>
      <c r="P529" s="4"/>
      <c r="Q529" s="4"/>
      <c r="R529" s="4"/>
      <c r="S529" s="4"/>
      <c r="T529" s="4"/>
      <c r="U529" s="4"/>
      <c r="V529" s="4"/>
      <c r="W529" s="242"/>
      <c r="X529" s="4"/>
      <c r="Y529" s="4"/>
      <c r="Z529" s="4"/>
    </row>
    <row r="530" ht="13.5" customHeight="1" spans="1:26" x14ac:dyDescent="0.25">
      <c r="A530" s="4"/>
      <c r="B530" s="4"/>
      <c r="C530" s="4"/>
      <c r="D530" s="4"/>
      <c r="E530" s="4"/>
      <c r="F530" s="4"/>
      <c r="G530" s="4"/>
      <c r="H530" s="4"/>
      <c r="I530" s="4"/>
      <c r="J530" s="4"/>
      <c r="K530" s="4"/>
      <c r="L530" s="4"/>
      <c r="M530" s="4"/>
      <c r="N530" s="4"/>
      <c r="O530" s="4"/>
      <c r="P530" s="4"/>
      <c r="Q530" s="4"/>
      <c r="R530" s="4"/>
      <c r="S530" s="4"/>
      <c r="T530" s="4"/>
      <c r="U530" s="4"/>
      <c r="V530" s="4"/>
      <c r="W530" s="242"/>
      <c r="X530" s="4"/>
      <c r="Y530" s="4"/>
      <c r="Z530" s="4"/>
    </row>
    <row r="531" ht="13.5" customHeight="1" spans="1:26" x14ac:dyDescent="0.25">
      <c r="A531" s="4"/>
      <c r="B531" s="4"/>
      <c r="C531" s="4"/>
      <c r="D531" s="4"/>
      <c r="E531" s="4"/>
      <c r="F531" s="4"/>
      <c r="G531" s="4"/>
      <c r="H531" s="4"/>
      <c r="I531" s="4"/>
      <c r="J531" s="4"/>
      <c r="K531" s="4"/>
      <c r="L531" s="4"/>
      <c r="M531" s="4"/>
      <c r="N531" s="4"/>
      <c r="O531" s="4"/>
      <c r="P531" s="4"/>
      <c r="Q531" s="4"/>
      <c r="R531" s="4"/>
      <c r="S531" s="4"/>
      <c r="T531" s="4"/>
      <c r="U531" s="4"/>
      <c r="V531" s="4"/>
      <c r="W531" s="242"/>
      <c r="X531" s="4"/>
      <c r="Y531" s="4"/>
      <c r="Z531" s="4"/>
    </row>
    <row r="532" ht="13.5" customHeight="1" spans="1:26" x14ac:dyDescent="0.25">
      <c r="A532" s="4"/>
      <c r="B532" s="4"/>
      <c r="C532" s="4"/>
      <c r="D532" s="4"/>
      <c r="E532" s="4"/>
      <c r="F532" s="4"/>
      <c r="G532" s="4"/>
      <c r="H532" s="4"/>
      <c r="I532" s="4"/>
      <c r="J532" s="4"/>
      <c r="K532" s="4"/>
      <c r="L532" s="4"/>
      <c r="M532" s="4"/>
      <c r="N532" s="4"/>
      <c r="O532" s="4"/>
      <c r="P532" s="4"/>
      <c r="Q532" s="4"/>
      <c r="R532" s="4"/>
      <c r="S532" s="4"/>
      <c r="T532" s="4"/>
      <c r="U532" s="4"/>
      <c r="V532" s="4"/>
      <c r="W532" s="242"/>
      <c r="X532" s="4"/>
      <c r="Y532" s="4"/>
      <c r="Z532" s="4"/>
    </row>
    <row r="533" ht="13.5" customHeight="1" spans="1:26" x14ac:dyDescent="0.25">
      <c r="A533" s="4"/>
      <c r="B533" s="4"/>
      <c r="C533" s="4"/>
      <c r="D533" s="4"/>
      <c r="E533" s="4"/>
      <c r="F533" s="4"/>
      <c r="G533" s="4"/>
      <c r="H533" s="4"/>
      <c r="I533" s="4"/>
      <c r="J533" s="4"/>
      <c r="K533" s="4"/>
      <c r="L533" s="4"/>
      <c r="M533" s="4"/>
      <c r="N533" s="4"/>
      <c r="O533" s="4"/>
      <c r="P533" s="4"/>
      <c r="Q533" s="4"/>
      <c r="R533" s="4"/>
      <c r="S533" s="4"/>
      <c r="T533" s="4"/>
      <c r="U533" s="4"/>
      <c r="V533" s="4"/>
      <c r="W533" s="242"/>
      <c r="X533" s="4"/>
      <c r="Y533" s="4"/>
      <c r="Z533" s="4"/>
    </row>
    <row r="534" ht="13.5" customHeight="1" spans="1:26" x14ac:dyDescent="0.25">
      <c r="A534" s="4"/>
      <c r="B534" s="4"/>
      <c r="C534" s="4"/>
      <c r="D534" s="4"/>
      <c r="E534" s="4"/>
      <c r="F534" s="4"/>
      <c r="G534" s="4"/>
      <c r="H534" s="4"/>
      <c r="I534" s="4"/>
      <c r="J534" s="4"/>
      <c r="K534" s="4"/>
      <c r="L534" s="4"/>
      <c r="M534" s="4"/>
      <c r="N534" s="4"/>
      <c r="O534" s="4"/>
      <c r="P534" s="4"/>
      <c r="Q534" s="4"/>
      <c r="R534" s="4"/>
      <c r="S534" s="4"/>
      <c r="T534" s="4"/>
      <c r="U534" s="4"/>
      <c r="V534" s="4"/>
      <c r="W534" s="242"/>
      <c r="X534" s="4"/>
      <c r="Y534" s="4"/>
      <c r="Z534" s="4"/>
    </row>
    <row r="535" ht="13.5" customHeight="1" spans="1:26" x14ac:dyDescent="0.25">
      <c r="A535" s="4"/>
      <c r="B535" s="4"/>
      <c r="C535" s="4"/>
      <c r="D535" s="4"/>
      <c r="E535" s="4"/>
      <c r="F535" s="4"/>
      <c r="G535" s="4"/>
      <c r="H535" s="4"/>
      <c r="I535" s="4"/>
      <c r="J535" s="4"/>
      <c r="K535" s="4"/>
      <c r="L535" s="4"/>
      <c r="M535" s="4"/>
      <c r="N535" s="4"/>
      <c r="O535" s="4"/>
      <c r="P535" s="4"/>
      <c r="Q535" s="4"/>
      <c r="R535" s="4"/>
      <c r="S535" s="4"/>
      <c r="T535" s="4"/>
      <c r="U535" s="4"/>
      <c r="V535" s="4"/>
      <c r="W535" s="242"/>
      <c r="X535" s="4"/>
      <c r="Y535" s="4"/>
      <c r="Z535" s="4"/>
    </row>
    <row r="536" ht="13.5" customHeight="1" spans="1:26" x14ac:dyDescent="0.25">
      <c r="A536" s="4"/>
      <c r="B536" s="4"/>
      <c r="C536" s="4"/>
      <c r="D536" s="4"/>
      <c r="E536" s="4"/>
      <c r="F536" s="4"/>
      <c r="G536" s="4"/>
      <c r="H536" s="4"/>
      <c r="I536" s="4"/>
      <c r="J536" s="4"/>
      <c r="K536" s="4"/>
      <c r="L536" s="4"/>
      <c r="M536" s="4"/>
      <c r="N536" s="4"/>
      <c r="O536" s="4"/>
      <c r="P536" s="4"/>
      <c r="Q536" s="4"/>
      <c r="R536" s="4"/>
      <c r="S536" s="4"/>
      <c r="T536" s="4"/>
      <c r="U536" s="4"/>
      <c r="V536" s="4"/>
      <c r="W536" s="242"/>
      <c r="X536" s="4"/>
      <c r="Y536" s="4"/>
      <c r="Z536" s="4"/>
    </row>
    <row r="537" ht="13.5" customHeight="1" spans="1:26" x14ac:dyDescent="0.25">
      <c r="A537" s="4"/>
      <c r="B537" s="4"/>
      <c r="C537" s="4"/>
      <c r="D537" s="4"/>
      <c r="E537" s="4"/>
      <c r="F537" s="4"/>
      <c r="G537" s="4"/>
      <c r="H537" s="4"/>
      <c r="I537" s="4"/>
      <c r="J537" s="4"/>
      <c r="K537" s="4"/>
      <c r="L537" s="4"/>
      <c r="M537" s="4"/>
      <c r="N537" s="4"/>
      <c r="O537" s="4"/>
      <c r="P537" s="4"/>
      <c r="Q537" s="4"/>
      <c r="R537" s="4"/>
      <c r="S537" s="4"/>
      <c r="T537" s="4"/>
      <c r="U537" s="4"/>
      <c r="V537" s="4"/>
      <c r="W537" s="242"/>
      <c r="X537" s="4"/>
      <c r="Y537" s="4"/>
      <c r="Z537" s="4"/>
    </row>
    <row r="538" ht="13.5" customHeight="1" spans="1:26" x14ac:dyDescent="0.25">
      <c r="A538" s="4"/>
      <c r="B538" s="4"/>
      <c r="C538" s="4"/>
      <c r="D538" s="4"/>
      <c r="E538" s="4"/>
      <c r="F538" s="4"/>
      <c r="G538" s="4"/>
      <c r="H538" s="4"/>
      <c r="I538" s="4"/>
      <c r="J538" s="4"/>
      <c r="K538" s="4"/>
      <c r="L538" s="4"/>
      <c r="M538" s="4"/>
      <c r="N538" s="4"/>
      <c r="O538" s="4"/>
      <c r="P538" s="4"/>
      <c r="Q538" s="4"/>
      <c r="R538" s="4"/>
      <c r="S538" s="4"/>
      <c r="T538" s="4"/>
      <c r="U538" s="4"/>
      <c r="V538" s="4"/>
      <c r="W538" s="242"/>
      <c r="X538" s="4"/>
      <c r="Y538" s="4"/>
      <c r="Z538" s="4"/>
    </row>
    <row r="539" ht="13.5" customHeight="1" spans="1:26" x14ac:dyDescent="0.25">
      <c r="A539" s="4"/>
      <c r="B539" s="4"/>
      <c r="C539" s="4"/>
      <c r="D539" s="4"/>
      <c r="E539" s="4"/>
      <c r="F539" s="4"/>
      <c r="G539" s="4"/>
      <c r="H539" s="4"/>
      <c r="I539" s="4"/>
      <c r="J539" s="4"/>
      <c r="K539" s="4"/>
      <c r="L539" s="4"/>
      <c r="M539" s="4"/>
      <c r="N539" s="4"/>
      <c r="O539" s="4"/>
      <c r="P539" s="4"/>
      <c r="Q539" s="4"/>
      <c r="R539" s="4"/>
      <c r="S539" s="4"/>
      <c r="T539" s="4"/>
      <c r="U539" s="4"/>
      <c r="V539" s="4"/>
      <c r="W539" s="242"/>
      <c r="X539" s="4"/>
      <c r="Y539" s="4"/>
      <c r="Z539" s="4"/>
    </row>
    <row r="540" ht="13.5" customHeight="1" spans="1:26" x14ac:dyDescent="0.25">
      <c r="A540" s="4"/>
      <c r="B540" s="4"/>
      <c r="C540" s="4"/>
      <c r="D540" s="4"/>
      <c r="E540" s="4"/>
      <c r="F540" s="4"/>
      <c r="G540" s="4"/>
      <c r="H540" s="4"/>
      <c r="I540" s="4"/>
      <c r="J540" s="4"/>
      <c r="K540" s="4"/>
      <c r="L540" s="4"/>
      <c r="M540" s="4"/>
      <c r="N540" s="4"/>
      <c r="O540" s="4"/>
      <c r="P540" s="4"/>
      <c r="Q540" s="4"/>
      <c r="R540" s="4"/>
      <c r="S540" s="4"/>
      <c r="T540" s="4"/>
      <c r="U540" s="4"/>
      <c r="V540" s="4"/>
      <c r="W540" s="242"/>
      <c r="X540" s="4"/>
      <c r="Y540" s="4"/>
      <c r="Z540" s="4"/>
    </row>
    <row r="541" ht="13.5" customHeight="1" spans="1:26" x14ac:dyDescent="0.25">
      <c r="A541" s="4"/>
      <c r="B541" s="4"/>
      <c r="C541" s="4"/>
      <c r="D541" s="4"/>
      <c r="E541" s="4"/>
      <c r="F541" s="4"/>
      <c r="G541" s="4"/>
      <c r="H541" s="4"/>
      <c r="I541" s="4"/>
      <c r="J541" s="4"/>
      <c r="K541" s="4"/>
      <c r="L541" s="4"/>
      <c r="M541" s="4"/>
      <c r="N541" s="4"/>
      <c r="O541" s="4"/>
      <c r="P541" s="4"/>
      <c r="Q541" s="4"/>
      <c r="R541" s="4"/>
      <c r="S541" s="4"/>
      <c r="T541" s="4"/>
      <c r="U541" s="4"/>
      <c r="V541" s="4"/>
      <c r="W541" s="242"/>
      <c r="X541" s="4"/>
      <c r="Y541" s="4"/>
      <c r="Z541" s="4"/>
    </row>
    <row r="542" ht="13.5" customHeight="1" spans="1:26" x14ac:dyDescent="0.25">
      <c r="A542" s="4"/>
      <c r="B542" s="4"/>
      <c r="C542" s="4"/>
      <c r="D542" s="4"/>
      <c r="E542" s="4"/>
      <c r="F542" s="4"/>
      <c r="G542" s="4"/>
      <c r="H542" s="4"/>
      <c r="I542" s="4"/>
      <c r="J542" s="4"/>
      <c r="K542" s="4"/>
      <c r="L542" s="4"/>
      <c r="M542" s="4"/>
      <c r="N542" s="4"/>
      <c r="O542" s="4"/>
      <c r="P542" s="4"/>
      <c r="Q542" s="4"/>
      <c r="R542" s="4"/>
      <c r="S542" s="4"/>
      <c r="T542" s="4"/>
      <c r="U542" s="4"/>
      <c r="V542" s="4"/>
      <c r="W542" s="242"/>
      <c r="X542" s="4"/>
      <c r="Y542" s="4"/>
      <c r="Z542" s="4"/>
    </row>
    <row r="543" ht="13.5" customHeight="1" spans="1:26" x14ac:dyDescent="0.25">
      <c r="A543" s="4"/>
      <c r="B543" s="4"/>
      <c r="C543" s="4"/>
      <c r="D543" s="4"/>
      <c r="E543" s="4"/>
      <c r="F543" s="4"/>
      <c r="G543" s="4"/>
      <c r="H543" s="4"/>
      <c r="I543" s="4"/>
      <c r="J543" s="4"/>
      <c r="K543" s="4"/>
      <c r="L543" s="4"/>
      <c r="M543" s="4"/>
      <c r="N543" s="4"/>
      <c r="O543" s="4"/>
      <c r="P543" s="4"/>
      <c r="Q543" s="4"/>
      <c r="R543" s="4"/>
      <c r="S543" s="4"/>
      <c r="T543" s="4"/>
      <c r="U543" s="4"/>
      <c r="V543" s="4"/>
      <c r="W543" s="242"/>
      <c r="X543" s="4"/>
      <c r="Y543" s="4"/>
      <c r="Z543" s="4"/>
    </row>
    <row r="544" ht="13.5" customHeight="1" spans="1:26" x14ac:dyDescent="0.25">
      <c r="A544" s="4"/>
      <c r="B544" s="4"/>
      <c r="C544" s="4"/>
      <c r="D544" s="4"/>
      <c r="E544" s="4"/>
      <c r="F544" s="4"/>
      <c r="G544" s="4"/>
      <c r="H544" s="4"/>
      <c r="I544" s="4"/>
      <c r="J544" s="4"/>
      <c r="K544" s="4"/>
      <c r="L544" s="4"/>
      <c r="M544" s="4"/>
      <c r="N544" s="4"/>
      <c r="O544" s="4"/>
      <c r="P544" s="4"/>
      <c r="Q544" s="4"/>
      <c r="R544" s="4"/>
      <c r="S544" s="4"/>
      <c r="T544" s="4"/>
      <c r="U544" s="4"/>
      <c r="V544" s="4"/>
      <c r="W544" s="242"/>
      <c r="X544" s="4"/>
      <c r="Y544" s="4"/>
      <c r="Z544" s="4"/>
    </row>
    <row r="545" ht="13.5" customHeight="1" spans="1:26" x14ac:dyDescent="0.25">
      <c r="A545" s="4"/>
      <c r="B545" s="4"/>
      <c r="C545" s="4"/>
      <c r="D545" s="4"/>
      <c r="E545" s="4"/>
      <c r="F545" s="4"/>
      <c r="G545" s="4"/>
      <c r="H545" s="4"/>
      <c r="I545" s="4"/>
      <c r="J545" s="4"/>
      <c r="K545" s="4"/>
      <c r="L545" s="4"/>
      <c r="M545" s="4"/>
      <c r="N545" s="4"/>
      <c r="O545" s="4"/>
      <c r="P545" s="4"/>
      <c r="Q545" s="4"/>
      <c r="R545" s="4"/>
      <c r="S545" s="4"/>
      <c r="T545" s="4"/>
      <c r="U545" s="4"/>
      <c r="V545" s="4"/>
      <c r="W545" s="242"/>
      <c r="X545" s="4"/>
      <c r="Y545" s="4"/>
      <c r="Z545" s="4"/>
    </row>
    <row r="546" ht="13.5" customHeight="1" spans="1:26" x14ac:dyDescent="0.25">
      <c r="A546" s="4"/>
      <c r="B546" s="4"/>
      <c r="C546" s="4"/>
      <c r="D546" s="4"/>
      <c r="E546" s="4"/>
      <c r="F546" s="4"/>
      <c r="G546" s="4"/>
      <c r="H546" s="4"/>
      <c r="I546" s="4"/>
      <c r="J546" s="4"/>
      <c r="K546" s="4"/>
      <c r="L546" s="4"/>
      <c r="M546" s="4"/>
      <c r="N546" s="4"/>
      <c r="O546" s="4"/>
      <c r="P546" s="4"/>
      <c r="Q546" s="4"/>
      <c r="R546" s="4"/>
      <c r="S546" s="4"/>
      <c r="T546" s="4"/>
      <c r="U546" s="4"/>
      <c r="V546" s="4"/>
      <c r="W546" s="242"/>
      <c r="X546" s="4"/>
      <c r="Y546" s="4"/>
      <c r="Z546" s="4"/>
    </row>
    <row r="547" ht="13.5" customHeight="1" spans="1:26" x14ac:dyDescent="0.25">
      <c r="A547" s="4"/>
      <c r="B547" s="4"/>
      <c r="C547" s="4"/>
      <c r="D547" s="4"/>
      <c r="E547" s="4"/>
      <c r="F547" s="4"/>
      <c r="G547" s="4"/>
      <c r="H547" s="4"/>
      <c r="I547" s="4"/>
      <c r="J547" s="4"/>
      <c r="K547" s="4"/>
      <c r="L547" s="4"/>
      <c r="M547" s="4"/>
      <c r="N547" s="4"/>
      <c r="O547" s="4"/>
      <c r="P547" s="4"/>
      <c r="Q547" s="4"/>
      <c r="R547" s="4"/>
      <c r="S547" s="4"/>
      <c r="T547" s="4"/>
      <c r="U547" s="4"/>
      <c r="V547" s="4"/>
      <c r="W547" s="242"/>
      <c r="X547" s="4"/>
      <c r="Y547" s="4"/>
      <c r="Z547" s="4"/>
    </row>
    <row r="548" ht="13.5" customHeight="1" spans="1:26" x14ac:dyDescent="0.25">
      <c r="A548" s="4"/>
      <c r="B548" s="4"/>
      <c r="C548" s="4"/>
      <c r="D548" s="4"/>
      <c r="E548" s="4"/>
      <c r="F548" s="4"/>
      <c r="G548" s="4"/>
      <c r="H548" s="4"/>
      <c r="I548" s="4"/>
      <c r="J548" s="4"/>
      <c r="K548" s="4"/>
      <c r="L548" s="4"/>
      <c r="M548" s="4"/>
      <c r="N548" s="4"/>
      <c r="O548" s="4"/>
      <c r="P548" s="4"/>
      <c r="Q548" s="4"/>
      <c r="R548" s="4"/>
      <c r="S548" s="4"/>
      <c r="T548" s="4"/>
      <c r="U548" s="4"/>
      <c r="V548" s="4"/>
      <c r="W548" s="242"/>
      <c r="X548" s="4"/>
      <c r="Y548" s="4"/>
      <c r="Z548" s="4"/>
    </row>
    <row r="549" ht="13.5" customHeight="1" spans="1:26" x14ac:dyDescent="0.25">
      <c r="A549" s="4"/>
      <c r="B549" s="4"/>
      <c r="C549" s="4"/>
      <c r="D549" s="4"/>
      <c r="E549" s="4"/>
      <c r="F549" s="4"/>
      <c r="G549" s="4"/>
      <c r="H549" s="4"/>
      <c r="I549" s="4"/>
      <c r="J549" s="4"/>
      <c r="K549" s="4"/>
      <c r="L549" s="4"/>
      <c r="M549" s="4"/>
      <c r="N549" s="4"/>
      <c r="O549" s="4"/>
      <c r="P549" s="4"/>
      <c r="Q549" s="4"/>
      <c r="R549" s="4"/>
      <c r="S549" s="4"/>
      <c r="T549" s="4"/>
      <c r="U549" s="4"/>
      <c r="V549" s="4"/>
      <c r="W549" s="242"/>
      <c r="X549" s="4"/>
      <c r="Y549" s="4"/>
      <c r="Z549" s="4"/>
    </row>
    <row r="550" ht="13.5" customHeight="1" spans="1:26" x14ac:dyDescent="0.25">
      <c r="A550" s="4"/>
      <c r="B550" s="4"/>
      <c r="C550" s="4"/>
      <c r="D550" s="4"/>
      <c r="E550" s="4"/>
      <c r="F550" s="4"/>
      <c r="G550" s="4"/>
      <c r="H550" s="4"/>
      <c r="I550" s="4"/>
      <c r="J550" s="4"/>
      <c r="K550" s="4"/>
      <c r="L550" s="4"/>
      <c r="M550" s="4"/>
      <c r="N550" s="4"/>
      <c r="O550" s="4"/>
      <c r="P550" s="4"/>
      <c r="Q550" s="4"/>
      <c r="R550" s="4"/>
      <c r="S550" s="4"/>
      <c r="T550" s="4"/>
      <c r="U550" s="4"/>
      <c r="V550" s="4"/>
      <c r="W550" s="242"/>
      <c r="X550" s="4"/>
      <c r="Y550" s="4"/>
      <c r="Z550" s="4"/>
    </row>
    <row r="551" ht="13.5" customHeight="1" spans="1:26" x14ac:dyDescent="0.25">
      <c r="A551" s="4"/>
      <c r="B551" s="4"/>
      <c r="C551" s="4"/>
      <c r="D551" s="4"/>
      <c r="E551" s="4"/>
      <c r="F551" s="4"/>
      <c r="G551" s="4"/>
      <c r="H551" s="4"/>
      <c r="I551" s="4"/>
      <c r="J551" s="4"/>
      <c r="K551" s="4"/>
      <c r="L551" s="4"/>
      <c r="M551" s="4"/>
      <c r="N551" s="4"/>
      <c r="O551" s="4"/>
      <c r="P551" s="4"/>
      <c r="Q551" s="4"/>
      <c r="R551" s="4"/>
      <c r="S551" s="4"/>
      <c r="T551" s="4"/>
      <c r="U551" s="4"/>
      <c r="V551" s="4"/>
      <c r="W551" s="242"/>
      <c r="X551" s="4"/>
      <c r="Y551" s="4"/>
      <c r="Z551" s="4"/>
    </row>
    <row r="552" ht="13.5" customHeight="1" spans="1:26" x14ac:dyDescent="0.25">
      <c r="A552" s="4"/>
      <c r="B552" s="4"/>
      <c r="C552" s="4"/>
      <c r="D552" s="4"/>
      <c r="E552" s="4"/>
      <c r="F552" s="4"/>
      <c r="G552" s="4"/>
      <c r="H552" s="4"/>
      <c r="I552" s="4"/>
      <c r="J552" s="4"/>
      <c r="K552" s="4"/>
      <c r="L552" s="4"/>
      <c r="M552" s="4"/>
      <c r="N552" s="4"/>
      <c r="O552" s="4"/>
      <c r="P552" s="4"/>
      <c r="Q552" s="4"/>
      <c r="R552" s="4"/>
      <c r="S552" s="4"/>
      <c r="T552" s="4"/>
      <c r="U552" s="4"/>
      <c r="V552" s="4"/>
      <c r="W552" s="242"/>
      <c r="X552" s="4"/>
      <c r="Y552" s="4"/>
      <c r="Z552" s="4"/>
    </row>
    <row r="553" ht="13.5" customHeight="1" spans="1:26" x14ac:dyDescent="0.25">
      <c r="A553" s="4"/>
      <c r="B553" s="4"/>
      <c r="C553" s="4"/>
      <c r="D553" s="4"/>
      <c r="E553" s="4"/>
      <c r="F553" s="4"/>
      <c r="G553" s="4"/>
      <c r="H553" s="4"/>
      <c r="I553" s="4"/>
      <c r="J553" s="4"/>
      <c r="K553" s="4"/>
      <c r="L553" s="4"/>
      <c r="M553" s="4"/>
      <c r="N553" s="4"/>
      <c r="O553" s="4"/>
      <c r="P553" s="4"/>
      <c r="Q553" s="4"/>
      <c r="R553" s="4"/>
      <c r="S553" s="4"/>
      <c r="T553" s="4"/>
      <c r="U553" s="4"/>
      <c r="V553" s="4"/>
      <c r="W553" s="242"/>
      <c r="X553" s="4"/>
      <c r="Y553" s="4"/>
      <c r="Z553" s="4"/>
    </row>
    <row r="554" ht="13.5" customHeight="1" spans="1:26" x14ac:dyDescent="0.25">
      <c r="A554" s="4"/>
      <c r="B554" s="4"/>
      <c r="C554" s="4"/>
      <c r="D554" s="4"/>
      <c r="E554" s="4"/>
      <c r="F554" s="4"/>
      <c r="G554" s="4"/>
      <c r="H554" s="4"/>
      <c r="I554" s="4"/>
      <c r="J554" s="4"/>
      <c r="K554" s="4"/>
      <c r="L554" s="4"/>
      <c r="M554" s="4"/>
      <c r="N554" s="4"/>
      <c r="O554" s="4"/>
      <c r="P554" s="4"/>
      <c r="Q554" s="4"/>
      <c r="R554" s="4"/>
      <c r="S554" s="4"/>
      <c r="T554" s="4"/>
      <c r="U554" s="4"/>
      <c r="V554" s="4"/>
      <c r="W554" s="242"/>
      <c r="X554" s="4"/>
      <c r="Y554" s="4"/>
      <c r="Z554" s="4"/>
    </row>
    <row r="555" ht="13.5" customHeight="1" spans="1:26" x14ac:dyDescent="0.25">
      <c r="A555" s="4"/>
      <c r="B555" s="4"/>
      <c r="C555" s="4"/>
      <c r="D555" s="4"/>
      <c r="E555" s="4"/>
      <c r="F555" s="4"/>
      <c r="G555" s="4"/>
      <c r="H555" s="4"/>
      <c r="I555" s="4"/>
      <c r="J555" s="4"/>
      <c r="K555" s="4"/>
      <c r="L555" s="4"/>
      <c r="M555" s="4"/>
      <c r="N555" s="4"/>
      <c r="O555" s="4"/>
      <c r="P555" s="4"/>
      <c r="Q555" s="4"/>
      <c r="R555" s="4"/>
      <c r="S555" s="4"/>
      <c r="T555" s="4"/>
      <c r="U555" s="4"/>
      <c r="V555" s="4"/>
      <c r="W555" s="242"/>
      <c r="X555" s="4"/>
      <c r="Y555" s="4"/>
      <c r="Z555" s="4"/>
    </row>
    <row r="556" ht="13.5" customHeight="1" spans="1:26" x14ac:dyDescent="0.25">
      <c r="A556" s="4"/>
      <c r="B556" s="4"/>
      <c r="C556" s="4"/>
      <c r="D556" s="4"/>
      <c r="E556" s="4"/>
      <c r="F556" s="4"/>
      <c r="G556" s="4"/>
      <c r="H556" s="4"/>
      <c r="I556" s="4"/>
      <c r="J556" s="4"/>
      <c r="K556" s="4"/>
      <c r="L556" s="4"/>
      <c r="M556" s="4"/>
      <c r="N556" s="4"/>
      <c r="O556" s="4"/>
      <c r="P556" s="4"/>
      <c r="Q556" s="4"/>
      <c r="R556" s="4"/>
      <c r="S556" s="4"/>
      <c r="T556" s="4"/>
      <c r="U556" s="4"/>
      <c r="V556" s="4"/>
      <c r="W556" s="242"/>
      <c r="X556" s="4"/>
      <c r="Y556" s="4"/>
      <c r="Z556" s="4"/>
    </row>
    <row r="557" ht="13.5" customHeight="1" spans="1:26" x14ac:dyDescent="0.25">
      <c r="A557" s="4"/>
      <c r="B557" s="4"/>
      <c r="C557" s="4"/>
      <c r="D557" s="4"/>
      <c r="E557" s="4"/>
      <c r="F557" s="4"/>
      <c r="G557" s="4"/>
      <c r="H557" s="4"/>
      <c r="I557" s="4"/>
      <c r="J557" s="4"/>
      <c r="K557" s="4"/>
      <c r="L557" s="4"/>
      <c r="M557" s="4"/>
      <c r="N557" s="4"/>
      <c r="O557" s="4"/>
      <c r="P557" s="4"/>
      <c r="Q557" s="4"/>
      <c r="R557" s="4"/>
      <c r="S557" s="4"/>
      <c r="T557" s="4"/>
      <c r="U557" s="4"/>
      <c r="V557" s="4"/>
      <c r="W557" s="242"/>
      <c r="X557" s="4"/>
      <c r="Y557" s="4"/>
      <c r="Z557" s="4"/>
    </row>
    <row r="558" ht="13.5" customHeight="1" spans="1:26" x14ac:dyDescent="0.25">
      <c r="A558" s="4"/>
      <c r="B558" s="4"/>
      <c r="C558" s="4"/>
      <c r="D558" s="4"/>
      <c r="E558" s="4"/>
      <c r="F558" s="4"/>
      <c r="G558" s="4"/>
      <c r="H558" s="4"/>
      <c r="I558" s="4"/>
      <c r="J558" s="4"/>
      <c r="K558" s="4"/>
      <c r="L558" s="4"/>
      <c r="M558" s="4"/>
      <c r="N558" s="4"/>
      <c r="O558" s="4"/>
      <c r="P558" s="4"/>
      <c r="Q558" s="4"/>
      <c r="R558" s="4"/>
      <c r="S558" s="4"/>
      <c r="T558" s="4"/>
      <c r="U558" s="4"/>
      <c r="V558" s="4"/>
      <c r="W558" s="242"/>
      <c r="X558" s="4"/>
      <c r="Y558" s="4"/>
      <c r="Z558" s="4"/>
    </row>
    <row r="559" ht="13.5" customHeight="1" spans="1:26" x14ac:dyDescent="0.25">
      <c r="A559" s="4"/>
      <c r="B559" s="4"/>
      <c r="C559" s="4"/>
      <c r="D559" s="4"/>
      <c r="E559" s="4"/>
      <c r="F559" s="4"/>
      <c r="G559" s="4"/>
      <c r="H559" s="4"/>
      <c r="I559" s="4"/>
      <c r="J559" s="4"/>
      <c r="K559" s="4"/>
      <c r="L559" s="4"/>
      <c r="M559" s="4"/>
      <c r="N559" s="4"/>
      <c r="O559" s="4"/>
      <c r="P559" s="4"/>
      <c r="Q559" s="4"/>
      <c r="R559" s="4"/>
      <c r="S559" s="4"/>
      <c r="T559" s="4"/>
      <c r="U559" s="4"/>
      <c r="V559" s="4"/>
      <c r="W559" s="242"/>
      <c r="X559" s="4"/>
      <c r="Y559" s="4"/>
      <c r="Z559" s="4"/>
    </row>
    <row r="560" ht="13.5" customHeight="1" spans="1:26" x14ac:dyDescent="0.25">
      <c r="A560" s="4"/>
      <c r="B560" s="4"/>
      <c r="C560" s="4"/>
      <c r="D560" s="4"/>
      <c r="E560" s="4"/>
      <c r="F560" s="4"/>
      <c r="G560" s="4"/>
      <c r="H560" s="4"/>
      <c r="I560" s="4"/>
      <c r="J560" s="4"/>
      <c r="K560" s="4"/>
      <c r="L560" s="4"/>
      <c r="M560" s="4"/>
      <c r="N560" s="4"/>
      <c r="O560" s="4"/>
      <c r="P560" s="4"/>
      <c r="Q560" s="4"/>
      <c r="R560" s="4"/>
      <c r="S560" s="4"/>
      <c r="T560" s="4"/>
      <c r="U560" s="4"/>
      <c r="V560" s="4"/>
      <c r="W560" s="242"/>
      <c r="X560" s="4"/>
      <c r="Y560" s="4"/>
      <c r="Z560" s="4"/>
    </row>
    <row r="561" ht="13.5" customHeight="1" spans="1:26" x14ac:dyDescent="0.25">
      <c r="A561" s="4"/>
      <c r="B561" s="4"/>
      <c r="C561" s="4"/>
      <c r="D561" s="4"/>
      <c r="E561" s="4"/>
      <c r="F561" s="4"/>
      <c r="G561" s="4"/>
      <c r="H561" s="4"/>
      <c r="I561" s="4"/>
      <c r="J561" s="4"/>
      <c r="K561" s="4"/>
      <c r="L561" s="4"/>
      <c r="M561" s="4"/>
      <c r="N561" s="4"/>
      <c r="O561" s="4"/>
      <c r="P561" s="4"/>
      <c r="Q561" s="4"/>
      <c r="R561" s="4"/>
      <c r="S561" s="4"/>
      <c r="T561" s="4"/>
      <c r="U561" s="4"/>
      <c r="V561" s="4"/>
      <c r="W561" s="242"/>
      <c r="X561" s="4"/>
      <c r="Y561" s="4"/>
      <c r="Z561" s="4"/>
    </row>
    <row r="562" ht="13.5" customHeight="1" spans="1:26" x14ac:dyDescent="0.25">
      <c r="A562" s="4"/>
      <c r="B562" s="4"/>
      <c r="C562" s="4"/>
      <c r="D562" s="4"/>
      <c r="E562" s="4"/>
      <c r="F562" s="4"/>
      <c r="G562" s="4"/>
      <c r="H562" s="4"/>
      <c r="I562" s="4"/>
      <c r="J562" s="4"/>
      <c r="K562" s="4"/>
      <c r="L562" s="4"/>
      <c r="M562" s="4"/>
      <c r="N562" s="4"/>
      <c r="O562" s="4"/>
      <c r="P562" s="4"/>
      <c r="Q562" s="4"/>
      <c r="R562" s="4"/>
      <c r="S562" s="4"/>
      <c r="T562" s="4"/>
      <c r="U562" s="4"/>
      <c r="V562" s="4"/>
      <c r="W562" s="242"/>
      <c r="X562" s="4"/>
      <c r="Y562" s="4"/>
      <c r="Z562" s="4"/>
    </row>
    <row r="563" ht="13.5" customHeight="1" spans="1:26" x14ac:dyDescent="0.25">
      <c r="A563" s="4"/>
      <c r="B563" s="4"/>
      <c r="C563" s="4"/>
      <c r="D563" s="4"/>
      <c r="E563" s="4"/>
      <c r="F563" s="4"/>
      <c r="G563" s="4"/>
      <c r="H563" s="4"/>
      <c r="I563" s="4"/>
      <c r="J563" s="4"/>
      <c r="K563" s="4"/>
      <c r="L563" s="4"/>
      <c r="M563" s="4"/>
      <c r="N563" s="4"/>
      <c r="O563" s="4"/>
      <c r="P563" s="4"/>
      <c r="Q563" s="4"/>
      <c r="R563" s="4"/>
      <c r="S563" s="4"/>
      <c r="T563" s="4"/>
      <c r="U563" s="4"/>
      <c r="V563" s="4"/>
      <c r="W563" s="242"/>
      <c r="X563" s="4"/>
      <c r="Y563" s="4"/>
      <c r="Z563" s="4"/>
    </row>
    <row r="564" ht="13.5" customHeight="1" spans="1:26" x14ac:dyDescent="0.25">
      <c r="A564" s="4"/>
      <c r="B564" s="4"/>
      <c r="C564" s="4"/>
      <c r="D564" s="4"/>
      <c r="E564" s="4"/>
      <c r="F564" s="4"/>
      <c r="G564" s="4"/>
      <c r="H564" s="4"/>
      <c r="I564" s="4"/>
      <c r="J564" s="4"/>
      <c r="K564" s="4"/>
      <c r="L564" s="4"/>
      <c r="M564" s="4"/>
      <c r="N564" s="4"/>
      <c r="O564" s="4"/>
      <c r="P564" s="4"/>
      <c r="Q564" s="4"/>
      <c r="R564" s="4"/>
      <c r="S564" s="4"/>
      <c r="T564" s="4"/>
      <c r="U564" s="4"/>
      <c r="V564" s="4"/>
      <c r="W564" s="242"/>
      <c r="X564" s="4"/>
      <c r="Y564" s="4"/>
      <c r="Z564" s="4"/>
    </row>
    <row r="565" ht="13.5" customHeight="1" spans="1:26" x14ac:dyDescent="0.25">
      <c r="A565" s="4"/>
      <c r="B565" s="4"/>
      <c r="C565" s="4"/>
      <c r="D565" s="4"/>
      <c r="E565" s="4"/>
      <c r="F565" s="4"/>
      <c r="G565" s="4"/>
      <c r="H565" s="4"/>
      <c r="I565" s="4"/>
      <c r="J565" s="4"/>
      <c r="K565" s="4"/>
      <c r="L565" s="4"/>
      <c r="M565" s="4"/>
      <c r="N565" s="4"/>
      <c r="O565" s="4"/>
      <c r="P565" s="4"/>
      <c r="Q565" s="4"/>
      <c r="R565" s="4"/>
      <c r="S565" s="4"/>
      <c r="T565" s="4"/>
      <c r="U565" s="4"/>
      <c r="V565" s="4"/>
      <c r="W565" s="242"/>
      <c r="X565" s="4"/>
      <c r="Y565" s="4"/>
      <c r="Z565" s="4"/>
    </row>
    <row r="566" ht="13.5" customHeight="1" spans="1:26" x14ac:dyDescent="0.25">
      <c r="A566" s="4"/>
      <c r="B566" s="4"/>
      <c r="C566" s="4"/>
      <c r="D566" s="4"/>
      <c r="E566" s="4"/>
      <c r="F566" s="4"/>
      <c r="G566" s="4"/>
      <c r="H566" s="4"/>
      <c r="I566" s="4"/>
      <c r="J566" s="4"/>
      <c r="K566" s="4"/>
      <c r="L566" s="4"/>
      <c r="M566" s="4"/>
      <c r="N566" s="4"/>
      <c r="O566" s="4"/>
      <c r="P566" s="4"/>
      <c r="Q566" s="4"/>
      <c r="R566" s="4"/>
      <c r="S566" s="4"/>
      <c r="T566" s="4"/>
      <c r="U566" s="4"/>
      <c r="V566" s="4"/>
      <c r="W566" s="242"/>
      <c r="X566" s="4"/>
      <c r="Y566" s="4"/>
      <c r="Z566" s="4"/>
    </row>
    <row r="567" ht="13.5" customHeight="1" spans="1:26" x14ac:dyDescent="0.25">
      <c r="A567" s="4"/>
      <c r="B567" s="4"/>
      <c r="C567" s="4"/>
      <c r="D567" s="4"/>
      <c r="E567" s="4"/>
      <c r="F567" s="4"/>
      <c r="G567" s="4"/>
      <c r="H567" s="4"/>
      <c r="I567" s="4"/>
      <c r="J567" s="4"/>
      <c r="K567" s="4"/>
      <c r="L567" s="4"/>
      <c r="M567" s="4"/>
      <c r="N567" s="4"/>
      <c r="O567" s="4"/>
      <c r="P567" s="4"/>
      <c r="Q567" s="4"/>
      <c r="R567" s="4"/>
      <c r="S567" s="4"/>
      <c r="T567" s="4"/>
      <c r="U567" s="4"/>
      <c r="V567" s="4"/>
      <c r="W567" s="242"/>
      <c r="X567" s="4"/>
      <c r="Y567" s="4"/>
      <c r="Z567" s="4"/>
    </row>
    <row r="568" ht="13.5" customHeight="1" spans="1:26" x14ac:dyDescent="0.25">
      <c r="A568" s="4"/>
      <c r="B568" s="4"/>
      <c r="C568" s="4"/>
      <c r="D568" s="4"/>
      <c r="E568" s="4"/>
      <c r="F568" s="4"/>
      <c r="G568" s="4"/>
      <c r="H568" s="4"/>
      <c r="I568" s="4"/>
      <c r="J568" s="4"/>
      <c r="K568" s="4"/>
      <c r="L568" s="4"/>
      <c r="M568" s="4"/>
      <c r="N568" s="4"/>
      <c r="O568" s="4"/>
      <c r="P568" s="4"/>
      <c r="Q568" s="4"/>
      <c r="R568" s="4"/>
      <c r="S568" s="4"/>
      <c r="T568" s="4"/>
      <c r="U568" s="4"/>
      <c r="V568" s="4"/>
      <c r="W568" s="242"/>
      <c r="X568" s="4"/>
      <c r="Y568" s="4"/>
      <c r="Z568" s="4"/>
    </row>
    <row r="569" ht="13.5" customHeight="1" spans="1:26" x14ac:dyDescent="0.25">
      <c r="A569" s="4"/>
      <c r="B569" s="4"/>
      <c r="C569" s="4"/>
      <c r="D569" s="4"/>
      <c r="E569" s="4"/>
      <c r="F569" s="4"/>
      <c r="G569" s="4"/>
      <c r="H569" s="4"/>
      <c r="I569" s="4"/>
      <c r="J569" s="4"/>
      <c r="K569" s="4"/>
      <c r="L569" s="4"/>
      <c r="M569" s="4"/>
      <c r="N569" s="4"/>
      <c r="O569" s="4"/>
      <c r="P569" s="4"/>
      <c r="Q569" s="4"/>
      <c r="R569" s="4"/>
      <c r="S569" s="4"/>
      <c r="T569" s="4"/>
      <c r="U569" s="4"/>
      <c r="V569" s="4"/>
      <c r="W569" s="242"/>
      <c r="X569" s="4"/>
      <c r="Y569" s="4"/>
      <c r="Z569" s="4"/>
    </row>
    <row r="570" ht="13.5" customHeight="1" spans="1:26" x14ac:dyDescent="0.25">
      <c r="A570" s="4"/>
      <c r="B570" s="4"/>
      <c r="C570" s="4"/>
      <c r="D570" s="4"/>
      <c r="E570" s="4"/>
      <c r="F570" s="4"/>
      <c r="G570" s="4"/>
      <c r="H570" s="4"/>
      <c r="I570" s="4"/>
      <c r="J570" s="4"/>
      <c r="K570" s="4"/>
      <c r="L570" s="4"/>
      <c r="M570" s="4"/>
      <c r="N570" s="4"/>
      <c r="O570" s="4"/>
      <c r="P570" s="4"/>
      <c r="Q570" s="4"/>
      <c r="R570" s="4"/>
      <c r="S570" s="4"/>
      <c r="T570" s="4"/>
      <c r="U570" s="4"/>
      <c r="V570" s="4"/>
      <c r="W570" s="242"/>
      <c r="X570" s="4"/>
      <c r="Y570" s="4"/>
      <c r="Z570" s="4"/>
    </row>
    <row r="571" ht="13.5" customHeight="1" spans="1:26" x14ac:dyDescent="0.25">
      <c r="A571" s="4"/>
      <c r="B571" s="4"/>
      <c r="C571" s="4"/>
      <c r="D571" s="4"/>
      <c r="E571" s="4"/>
      <c r="F571" s="4"/>
      <c r="G571" s="4"/>
      <c r="H571" s="4"/>
      <c r="I571" s="4"/>
      <c r="J571" s="4"/>
      <c r="K571" s="4"/>
      <c r="L571" s="4"/>
      <c r="M571" s="4"/>
      <c r="N571" s="4"/>
      <c r="O571" s="4"/>
      <c r="P571" s="4"/>
      <c r="Q571" s="4"/>
      <c r="R571" s="4"/>
      <c r="S571" s="4"/>
      <c r="T571" s="4"/>
      <c r="U571" s="4"/>
      <c r="V571" s="4"/>
      <c r="W571" s="242"/>
      <c r="X571" s="4"/>
      <c r="Y571" s="4"/>
      <c r="Z571" s="4"/>
    </row>
    <row r="572" ht="13.5" customHeight="1" spans="1:26" x14ac:dyDescent="0.25">
      <c r="A572" s="4"/>
      <c r="B572" s="4"/>
      <c r="C572" s="4"/>
      <c r="D572" s="4"/>
      <c r="E572" s="4"/>
      <c r="F572" s="4"/>
      <c r="G572" s="4"/>
      <c r="H572" s="4"/>
      <c r="I572" s="4"/>
      <c r="J572" s="4"/>
      <c r="K572" s="4"/>
      <c r="L572" s="4"/>
      <c r="M572" s="4"/>
      <c r="N572" s="4"/>
      <c r="O572" s="4"/>
      <c r="P572" s="4"/>
      <c r="Q572" s="4"/>
      <c r="R572" s="4"/>
      <c r="S572" s="4"/>
      <c r="T572" s="4"/>
      <c r="U572" s="4"/>
      <c r="V572" s="4"/>
      <c r="W572" s="242"/>
      <c r="X572" s="4"/>
      <c r="Y572" s="4"/>
      <c r="Z572" s="4"/>
    </row>
    <row r="573" ht="13.5" customHeight="1" spans="1:26" x14ac:dyDescent="0.25">
      <c r="A573" s="4"/>
      <c r="B573" s="4"/>
      <c r="C573" s="4"/>
      <c r="D573" s="4"/>
      <c r="E573" s="4"/>
      <c r="F573" s="4"/>
      <c r="G573" s="4"/>
      <c r="H573" s="4"/>
      <c r="I573" s="4"/>
      <c r="J573" s="4"/>
      <c r="K573" s="4"/>
      <c r="L573" s="4"/>
      <c r="M573" s="4"/>
      <c r="N573" s="4"/>
      <c r="O573" s="4"/>
      <c r="P573" s="4"/>
      <c r="Q573" s="4"/>
      <c r="R573" s="4"/>
      <c r="S573" s="4"/>
      <c r="T573" s="4"/>
      <c r="U573" s="4"/>
      <c r="V573" s="4"/>
      <c r="W573" s="242"/>
      <c r="X573" s="4"/>
      <c r="Y573" s="4"/>
      <c r="Z573" s="4"/>
    </row>
    <row r="574" ht="13.5" customHeight="1" spans="1:26" x14ac:dyDescent="0.25">
      <c r="A574" s="4"/>
      <c r="B574" s="4"/>
      <c r="C574" s="4"/>
      <c r="D574" s="4"/>
      <c r="E574" s="4"/>
      <c r="F574" s="4"/>
      <c r="G574" s="4"/>
      <c r="H574" s="4"/>
      <c r="I574" s="4"/>
      <c r="J574" s="4"/>
      <c r="K574" s="4"/>
      <c r="L574" s="4"/>
      <c r="M574" s="4"/>
      <c r="N574" s="4"/>
      <c r="O574" s="4"/>
      <c r="P574" s="4"/>
      <c r="Q574" s="4"/>
      <c r="R574" s="4"/>
      <c r="S574" s="4"/>
      <c r="T574" s="4"/>
      <c r="U574" s="4"/>
      <c r="V574" s="4"/>
      <c r="W574" s="242"/>
      <c r="X574" s="4"/>
      <c r="Y574" s="4"/>
      <c r="Z574" s="4"/>
    </row>
    <row r="575" ht="13.5" customHeight="1" spans="1:26" x14ac:dyDescent="0.25">
      <c r="A575" s="4"/>
      <c r="B575" s="4"/>
      <c r="C575" s="4"/>
      <c r="D575" s="4"/>
      <c r="E575" s="4"/>
      <c r="F575" s="4"/>
      <c r="G575" s="4"/>
      <c r="H575" s="4"/>
      <c r="I575" s="4"/>
      <c r="J575" s="4"/>
      <c r="K575" s="4"/>
      <c r="L575" s="4"/>
      <c r="M575" s="4"/>
      <c r="N575" s="4"/>
      <c r="O575" s="4"/>
      <c r="P575" s="4"/>
      <c r="Q575" s="4"/>
      <c r="R575" s="4"/>
      <c r="S575" s="4"/>
      <c r="T575" s="4"/>
      <c r="U575" s="4"/>
      <c r="V575" s="4"/>
      <c r="W575" s="242"/>
      <c r="X575" s="4"/>
      <c r="Y575" s="4"/>
      <c r="Z575" s="4"/>
    </row>
    <row r="576" ht="13.5" customHeight="1" spans="1:26" x14ac:dyDescent="0.25">
      <c r="A576" s="4"/>
      <c r="B576" s="4"/>
      <c r="C576" s="4"/>
      <c r="D576" s="4"/>
      <c r="E576" s="4"/>
      <c r="F576" s="4"/>
      <c r="G576" s="4"/>
      <c r="H576" s="4"/>
      <c r="I576" s="4"/>
      <c r="J576" s="4"/>
      <c r="K576" s="4"/>
      <c r="L576" s="4"/>
      <c r="M576" s="4"/>
      <c r="N576" s="4"/>
      <c r="O576" s="4"/>
      <c r="P576" s="4"/>
      <c r="Q576" s="4"/>
      <c r="R576" s="4"/>
      <c r="S576" s="4"/>
      <c r="T576" s="4"/>
      <c r="U576" s="4"/>
      <c r="V576" s="4"/>
      <c r="W576" s="242"/>
      <c r="X576" s="4"/>
      <c r="Y576" s="4"/>
      <c r="Z576" s="4"/>
    </row>
    <row r="577" ht="13.5" customHeight="1" spans="1:26" x14ac:dyDescent="0.25">
      <c r="A577" s="4"/>
      <c r="B577" s="4"/>
      <c r="C577" s="4"/>
      <c r="D577" s="4"/>
      <c r="E577" s="4"/>
      <c r="F577" s="4"/>
      <c r="G577" s="4"/>
      <c r="H577" s="4"/>
      <c r="I577" s="4"/>
      <c r="J577" s="4"/>
      <c r="K577" s="4"/>
      <c r="L577" s="4"/>
      <c r="M577" s="4"/>
      <c r="N577" s="4"/>
      <c r="O577" s="4"/>
      <c r="P577" s="4"/>
      <c r="Q577" s="4"/>
      <c r="R577" s="4"/>
      <c r="S577" s="4"/>
      <c r="T577" s="4"/>
      <c r="U577" s="4"/>
      <c r="V577" s="4"/>
      <c r="W577" s="242"/>
      <c r="X577" s="4"/>
      <c r="Y577" s="4"/>
      <c r="Z577" s="4"/>
    </row>
    <row r="578" ht="13.5" customHeight="1" spans="1:26" x14ac:dyDescent="0.25">
      <c r="A578" s="4"/>
      <c r="B578" s="4"/>
      <c r="C578" s="4"/>
      <c r="D578" s="4"/>
      <c r="E578" s="4"/>
      <c r="F578" s="4"/>
      <c r="G578" s="4"/>
      <c r="H578" s="4"/>
      <c r="I578" s="4"/>
      <c r="J578" s="4"/>
      <c r="K578" s="4"/>
      <c r="L578" s="4"/>
      <c r="M578" s="4"/>
      <c r="N578" s="4"/>
      <c r="O578" s="4"/>
      <c r="P578" s="4"/>
      <c r="Q578" s="4"/>
      <c r="R578" s="4"/>
      <c r="S578" s="4"/>
      <c r="T578" s="4"/>
      <c r="U578" s="4"/>
      <c r="V578" s="4"/>
      <c r="W578" s="242"/>
      <c r="X578" s="4"/>
      <c r="Y578" s="4"/>
      <c r="Z578" s="4"/>
    </row>
    <row r="579" ht="13.5" customHeight="1" spans="1:26" x14ac:dyDescent="0.25">
      <c r="A579" s="4"/>
      <c r="B579" s="4"/>
      <c r="C579" s="4"/>
      <c r="D579" s="4"/>
      <c r="E579" s="4"/>
      <c r="F579" s="4"/>
      <c r="G579" s="4"/>
      <c r="H579" s="4"/>
      <c r="I579" s="4"/>
      <c r="J579" s="4"/>
      <c r="K579" s="4"/>
      <c r="L579" s="4"/>
      <c r="M579" s="4"/>
      <c r="N579" s="4"/>
      <c r="O579" s="4"/>
      <c r="P579" s="4"/>
      <c r="Q579" s="4"/>
      <c r="R579" s="4"/>
      <c r="S579" s="4"/>
      <c r="T579" s="4"/>
      <c r="U579" s="4"/>
      <c r="V579" s="4"/>
      <c r="W579" s="242"/>
      <c r="X579" s="4"/>
      <c r="Y579" s="4"/>
      <c r="Z579" s="4"/>
    </row>
    <row r="580" ht="13.5" customHeight="1" spans="1:26" x14ac:dyDescent="0.25">
      <c r="A580" s="4"/>
      <c r="B580" s="4"/>
      <c r="C580" s="4"/>
      <c r="D580" s="4"/>
      <c r="E580" s="4"/>
      <c r="F580" s="4"/>
      <c r="G580" s="4"/>
      <c r="H580" s="4"/>
      <c r="I580" s="4"/>
      <c r="J580" s="4"/>
      <c r="K580" s="4"/>
      <c r="L580" s="4"/>
      <c r="M580" s="4"/>
      <c r="N580" s="4"/>
      <c r="O580" s="4"/>
      <c r="P580" s="4"/>
      <c r="Q580" s="4"/>
      <c r="R580" s="4"/>
      <c r="S580" s="4"/>
      <c r="T580" s="4"/>
      <c r="U580" s="4"/>
      <c r="V580" s="4"/>
      <c r="W580" s="242"/>
      <c r="X580" s="4"/>
      <c r="Y580" s="4"/>
      <c r="Z580" s="4"/>
    </row>
    <row r="581" ht="13.5" customHeight="1" spans="1:26" x14ac:dyDescent="0.25">
      <c r="A581" s="4"/>
      <c r="B581" s="4"/>
      <c r="C581" s="4"/>
      <c r="D581" s="4"/>
      <c r="E581" s="4"/>
      <c r="F581" s="4"/>
      <c r="G581" s="4"/>
      <c r="H581" s="4"/>
      <c r="I581" s="4"/>
      <c r="J581" s="4"/>
      <c r="K581" s="4"/>
      <c r="L581" s="4"/>
      <c r="M581" s="4"/>
      <c r="N581" s="4"/>
      <c r="O581" s="4"/>
      <c r="P581" s="4"/>
      <c r="Q581" s="4"/>
      <c r="R581" s="4"/>
      <c r="S581" s="4"/>
      <c r="T581" s="4"/>
      <c r="U581" s="4"/>
      <c r="V581" s="4"/>
      <c r="W581" s="242"/>
      <c r="X581" s="4"/>
      <c r="Y581" s="4"/>
      <c r="Z581" s="4"/>
    </row>
    <row r="582" ht="13.5" customHeight="1" spans="1:26" x14ac:dyDescent="0.25">
      <c r="A582" s="4"/>
      <c r="B582" s="4"/>
      <c r="C582" s="4"/>
      <c r="D582" s="4"/>
      <c r="E582" s="4"/>
      <c r="F582" s="4"/>
      <c r="G582" s="4"/>
      <c r="H582" s="4"/>
      <c r="I582" s="4"/>
      <c r="J582" s="4"/>
      <c r="K582" s="4"/>
      <c r="L582" s="4"/>
      <c r="M582" s="4"/>
      <c r="N582" s="4"/>
      <c r="O582" s="4"/>
      <c r="P582" s="4"/>
      <c r="Q582" s="4"/>
      <c r="R582" s="4"/>
      <c r="S582" s="4"/>
      <c r="T582" s="4"/>
      <c r="U582" s="4"/>
      <c r="V582" s="4"/>
      <c r="W582" s="242"/>
      <c r="X582" s="4"/>
      <c r="Y582" s="4"/>
      <c r="Z582" s="4"/>
    </row>
    <row r="583" ht="13.5" customHeight="1" spans="1:26" x14ac:dyDescent="0.25">
      <c r="A583" s="4"/>
      <c r="B583" s="4"/>
      <c r="C583" s="4"/>
      <c r="D583" s="4"/>
      <c r="E583" s="4"/>
      <c r="F583" s="4"/>
      <c r="G583" s="4"/>
      <c r="H583" s="4"/>
      <c r="I583" s="4"/>
      <c r="J583" s="4"/>
      <c r="K583" s="4"/>
      <c r="L583" s="4"/>
      <c r="M583" s="4"/>
      <c r="N583" s="4"/>
      <c r="O583" s="4"/>
      <c r="P583" s="4"/>
      <c r="Q583" s="4"/>
      <c r="R583" s="4"/>
      <c r="S583" s="4"/>
      <c r="T583" s="4"/>
      <c r="U583" s="4"/>
      <c r="V583" s="4"/>
      <c r="W583" s="242"/>
      <c r="X583" s="4"/>
      <c r="Y583" s="4"/>
      <c r="Z583" s="4"/>
    </row>
    <row r="584" ht="13.5" customHeight="1" spans="1:26" x14ac:dyDescent="0.25">
      <c r="A584" s="4"/>
      <c r="B584" s="4"/>
      <c r="C584" s="4"/>
      <c r="D584" s="4"/>
      <c r="E584" s="4"/>
      <c r="F584" s="4"/>
      <c r="G584" s="4"/>
      <c r="H584" s="4"/>
      <c r="I584" s="4"/>
      <c r="J584" s="4"/>
      <c r="K584" s="4"/>
      <c r="L584" s="4"/>
      <c r="M584" s="4"/>
      <c r="N584" s="4"/>
      <c r="O584" s="4"/>
      <c r="P584" s="4"/>
      <c r="Q584" s="4"/>
      <c r="R584" s="4"/>
      <c r="S584" s="4"/>
      <c r="T584" s="4"/>
      <c r="U584" s="4"/>
      <c r="V584" s="4"/>
      <c r="W584" s="242"/>
      <c r="X584" s="4"/>
      <c r="Y584" s="4"/>
      <c r="Z584" s="4"/>
    </row>
    <row r="585" ht="13.5" customHeight="1" spans="1:26" x14ac:dyDescent="0.25">
      <c r="A585" s="4"/>
      <c r="B585" s="4"/>
      <c r="C585" s="4"/>
      <c r="D585" s="4"/>
      <c r="E585" s="4"/>
      <c r="F585" s="4"/>
      <c r="G585" s="4"/>
      <c r="H585" s="4"/>
      <c r="I585" s="4"/>
      <c r="J585" s="4"/>
      <c r="K585" s="4"/>
      <c r="L585" s="4"/>
      <c r="M585" s="4"/>
      <c r="N585" s="4"/>
      <c r="O585" s="4"/>
      <c r="P585" s="4"/>
      <c r="Q585" s="4"/>
      <c r="R585" s="4"/>
      <c r="S585" s="4"/>
      <c r="T585" s="4"/>
      <c r="U585" s="4"/>
      <c r="V585" s="4"/>
      <c r="W585" s="242"/>
      <c r="X585" s="4"/>
      <c r="Y585" s="4"/>
      <c r="Z585" s="4"/>
    </row>
    <row r="586" ht="13.5" customHeight="1" spans="1:26" x14ac:dyDescent="0.25">
      <c r="A586" s="4"/>
      <c r="B586" s="4"/>
      <c r="C586" s="4"/>
      <c r="D586" s="4"/>
      <c r="E586" s="4"/>
      <c r="F586" s="4"/>
      <c r="G586" s="4"/>
      <c r="H586" s="4"/>
      <c r="I586" s="4"/>
      <c r="J586" s="4"/>
      <c r="K586" s="4"/>
      <c r="L586" s="4"/>
      <c r="M586" s="4"/>
      <c r="N586" s="4"/>
      <c r="O586" s="4"/>
      <c r="P586" s="4"/>
      <c r="Q586" s="4"/>
      <c r="R586" s="4"/>
      <c r="S586" s="4"/>
      <c r="T586" s="4"/>
      <c r="U586" s="4"/>
      <c r="V586" s="4"/>
      <c r="W586" s="242"/>
      <c r="X586" s="4"/>
      <c r="Y586" s="4"/>
      <c r="Z586" s="4"/>
    </row>
    <row r="587" ht="13.5" customHeight="1" spans="1:26" x14ac:dyDescent="0.25">
      <c r="A587" s="4"/>
      <c r="B587" s="4"/>
      <c r="C587" s="4"/>
      <c r="D587" s="4"/>
      <c r="E587" s="4"/>
      <c r="F587" s="4"/>
      <c r="G587" s="4"/>
      <c r="H587" s="4"/>
      <c r="I587" s="4"/>
      <c r="J587" s="4"/>
      <c r="K587" s="4"/>
      <c r="L587" s="4"/>
      <c r="M587" s="4"/>
      <c r="N587" s="4"/>
      <c r="O587" s="4"/>
      <c r="P587" s="4"/>
      <c r="Q587" s="4"/>
      <c r="R587" s="4"/>
      <c r="S587" s="4"/>
      <c r="T587" s="4"/>
      <c r="U587" s="4"/>
      <c r="V587" s="4"/>
      <c r="W587" s="242"/>
      <c r="X587" s="4"/>
      <c r="Y587" s="4"/>
      <c r="Z587" s="4"/>
    </row>
    <row r="588" ht="13.5" customHeight="1" spans="1:26" x14ac:dyDescent="0.25">
      <c r="A588" s="4"/>
      <c r="B588" s="4"/>
      <c r="C588" s="4"/>
      <c r="D588" s="4"/>
      <c r="E588" s="4"/>
      <c r="F588" s="4"/>
      <c r="G588" s="4"/>
      <c r="H588" s="4"/>
      <c r="I588" s="4"/>
      <c r="J588" s="4"/>
      <c r="K588" s="4"/>
      <c r="L588" s="4"/>
      <c r="M588" s="4"/>
      <c r="N588" s="4"/>
      <c r="O588" s="4"/>
      <c r="P588" s="4"/>
      <c r="Q588" s="4"/>
      <c r="R588" s="4"/>
      <c r="S588" s="4"/>
      <c r="T588" s="4"/>
      <c r="U588" s="4"/>
      <c r="V588" s="4"/>
      <c r="W588" s="242"/>
      <c r="X588" s="4"/>
      <c r="Y588" s="4"/>
      <c r="Z588" s="4"/>
    </row>
    <row r="589" ht="13.5" customHeight="1" spans="1:26" x14ac:dyDescent="0.25">
      <c r="A589" s="4"/>
      <c r="B589" s="4"/>
      <c r="C589" s="4"/>
      <c r="D589" s="4"/>
      <c r="E589" s="4"/>
      <c r="F589" s="4"/>
      <c r="G589" s="4"/>
      <c r="H589" s="4"/>
      <c r="I589" s="4"/>
      <c r="J589" s="4"/>
      <c r="K589" s="4"/>
      <c r="L589" s="4"/>
      <c r="M589" s="4"/>
      <c r="N589" s="4"/>
      <c r="O589" s="4"/>
      <c r="P589" s="4"/>
      <c r="Q589" s="4"/>
      <c r="R589" s="4"/>
      <c r="S589" s="4"/>
      <c r="T589" s="4"/>
      <c r="U589" s="4"/>
      <c r="V589" s="4"/>
      <c r="W589" s="242"/>
      <c r="X589" s="4"/>
      <c r="Y589" s="4"/>
      <c r="Z589" s="4"/>
    </row>
    <row r="590" ht="13.5" customHeight="1" spans="1:26" x14ac:dyDescent="0.25">
      <c r="A590" s="4"/>
      <c r="B590" s="4"/>
      <c r="C590" s="4"/>
      <c r="D590" s="4"/>
      <c r="E590" s="4"/>
      <c r="F590" s="4"/>
      <c r="G590" s="4"/>
      <c r="H590" s="4"/>
      <c r="I590" s="4"/>
      <c r="J590" s="4"/>
      <c r="K590" s="4"/>
      <c r="L590" s="4"/>
      <c r="M590" s="4"/>
      <c r="N590" s="4"/>
      <c r="O590" s="4"/>
      <c r="P590" s="4"/>
      <c r="Q590" s="4"/>
      <c r="R590" s="4"/>
      <c r="S590" s="4"/>
      <c r="T590" s="4"/>
      <c r="U590" s="4"/>
      <c r="V590" s="4"/>
      <c r="W590" s="242"/>
      <c r="X590" s="4"/>
      <c r="Y590" s="4"/>
      <c r="Z590" s="4"/>
    </row>
    <row r="591" ht="13.5" customHeight="1" spans="1:26" x14ac:dyDescent="0.25">
      <c r="A591" s="4"/>
      <c r="B591" s="4"/>
      <c r="C591" s="4"/>
      <c r="D591" s="4"/>
      <c r="E591" s="4"/>
      <c r="F591" s="4"/>
      <c r="G591" s="4"/>
      <c r="H591" s="4"/>
      <c r="I591" s="4"/>
      <c r="J591" s="4"/>
      <c r="K591" s="4"/>
      <c r="L591" s="4"/>
      <c r="M591" s="4"/>
      <c r="N591" s="4"/>
      <c r="O591" s="4"/>
      <c r="P591" s="4"/>
      <c r="Q591" s="4"/>
      <c r="R591" s="4"/>
      <c r="S591" s="4"/>
      <c r="T591" s="4"/>
      <c r="U591" s="4"/>
      <c r="V591" s="4"/>
      <c r="W591" s="242"/>
      <c r="X591" s="4"/>
      <c r="Y591" s="4"/>
      <c r="Z591" s="4"/>
    </row>
    <row r="592" ht="13.5" customHeight="1" spans="1:26" x14ac:dyDescent="0.25">
      <c r="A592" s="4"/>
      <c r="B592" s="4"/>
      <c r="C592" s="4"/>
      <c r="D592" s="4"/>
      <c r="E592" s="4"/>
      <c r="F592" s="4"/>
      <c r="G592" s="4"/>
      <c r="H592" s="4"/>
      <c r="I592" s="4"/>
      <c r="J592" s="4"/>
      <c r="K592" s="4"/>
      <c r="L592" s="4"/>
      <c r="M592" s="4"/>
      <c r="N592" s="4"/>
      <c r="O592" s="4"/>
      <c r="P592" s="4"/>
      <c r="Q592" s="4"/>
      <c r="R592" s="4"/>
      <c r="S592" s="4"/>
      <c r="T592" s="4"/>
      <c r="U592" s="4"/>
      <c r="V592" s="4"/>
      <c r="W592" s="242"/>
      <c r="X592" s="4"/>
      <c r="Y592" s="4"/>
      <c r="Z592" s="4"/>
    </row>
    <row r="593" ht="13.5" customHeight="1" spans="1:26" x14ac:dyDescent="0.25">
      <c r="A593" s="4"/>
      <c r="B593" s="4"/>
      <c r="C593" s="4"/>
      <c r="D593" s="4"/>
      <c r="E593" s="4"/>
      <c r="F593" s="4"/>
      <c r="G593" s="4"/>
      <c r="H593" s="4"/>
      <c r="I593" s="4"/>
      <c r="J593" s="4"/>
      <c r="K593" s="4"/>
      <c r="L593" s="4"/>
      <c r="M593" s="4"/>
      <c r="N593" s="4"/>
      <c r="O593" s="4"/>
      <c r="P593" s="4"/>
      <c r="Q593" s="4"/>
      <c r="R593" s="4"/>
      <c r="S593" s="4"/>
      <c r="T593" s="4"/>
      <c r="U593" s="4"/>
      <c r="V593" s="4"/>
      <c r="W593" s="242"/>
      <c r="X593" s="4"/>
      <c r="Y593" s="4"/>
      <c r="Z593" s="4"/>
    </row>
    <row r="594" ht="13.5" customHeight="1" spans="1:26" x14ac:dyDescent="0.25">
      <c r="A594" s="4"/>
      <c r="B594" s="4"/>
      <c r="C594" s="4"/>
      <c r="D594" s="4"/>
      <c r="E594" s="4"/>
      <c r="F594" s="4"/>
      <c r="G594" s="4"/>
      <c r="H594" s="4"/>
      <c r="I594" s="4"/>
      <c r="J594" s="4"/>
      <c r="K594" s="4"/>
      <c r="L594" s="4"/>
      <c r="M594" s="4"/>
      <c r="N594" s="4"/>
      <c r="O594" s="4"/>
      <c r="P594" s="4"/>
      <c r="Q594" s="4"/>
      <c r="R594" s="4"/>
      <c r="S594" s="4"/>
      <c r="T594" s="4"/>
      <c r="U594" s="4"/>
      <c r="V594" s="4"/>
      <c r="W594" s="242"/>
      <c r="X594" s="4"/>
      <c r="Y594" s="4"/>
      <c r="Z594" s="4"/>
    </row>
    <row r="595" ht="13.5" customHeight="1" spans="1:26" x14ac:dyDescent="0.25">
      <c r="A595" s="4"/>
      <c r="B595" s="4"/>
      <c r="C595" s="4"/>
      <c r="D595" s="4"/>
      <c r="E595" s="4"/>
      <c r="F595" s="4"/>
      <c r="G595" s="4"/>
      <c r="H595" s="4"/>
      <c r="I595" s="4"/>
      <c r="J595" s="4"/>
      <c r="K595" s="4"/>
      <c r="L595" s="4"/>
      <c r="M595" s="4"/>
      <c r="N595" s="4"/>
      <c r="O595" s="4"/>
      <c r="P595" s="4"/>
      <c r="Q595" s="4"/>
      <c r="R595" s="4"/>
      <c r="S595" s="4"/>
      <c r="T595" s="4"/>
      <c r="U595" s="4"/>
      <c r="V595" s="4"/>
      <c r="W595" s="242"/>
      <c r="X595" s="4"/>
      <c r="Y595" s="4"/>
      <c r="Z595" s="4"/>
    </row>
    <row r="596" ht="13.5" customHeight="1" spans="1:26" x14ac:dyDescent="0.25">
      <c r="A596" s="4"/>
      <c r="B596" s="4"/>
      <c r="C596" s="4"/>
      <c r="D596" s="4"/>
      <c r="E596" s="4"/>
      <c r="F596" s="4"/>
      <c r="G596" s="4"/>
      <c r="H596" s="4"/>
      <c r="I596" s="4"/>
      <c r="J596" s="4"/>
      <c r="K596" s="4"/>
      <c r="L596" s="4"/>
      <c r="M596" s="4"/>
      <c r="N596" s="4"/>
      <c r="O596" s="4"/>
      <c r="P596" s="4"/>
      <c r="Q596" s="4"/>
      <c r="R596" s="4"/>
      <c r="S596" s="4"/>
      <c r="T596" s="4"/>
      <c r="U596" s="4"/>
      <c r="V596" s="4"/>
      <c r="W596" s="242"/>
      <c r="X596" s="4"/>
      <c r="Y596" s="4"/>
      <c r="Z596" s="4"/>
    </row>
    <row r="597" ht="13.5" customHeight="1" spans="1:26" x14ac:dyDescent="0.25">
      <c r="A597" s="4"/>
      <c r="B597" s="4"/>
      <c r="C597" s="4"/>
      <c r="D597" s="4"/>
      <c r="E597" s="4"/>
      <c r="F597" s="4"/>
      <c r="G597" s="4"/>
      <c r="H597" s="4"/>
      <c r="I597" s="4"/>
      <c r="J597" s="4"/>
      <c r="K597" s="4"/>
      <c r="L597" s="4"/>
      <c r="M597" s="4"/>
      <c r="N597" s="4"/>
      <c r="O597" s="4"/>
      <c r="P597" s="4"/>
      <c r="Q597" s="4"/>
      <c r="R597" s="4"/>
      <c r="S597" s="4"/>
      <c r="T597" s="4"/>
      <c r="U597" s="4"/>
      <c r="V597" s="4"/>
      <c r="W597" s="242"/>
      <c r="X597" s="4"/>
      <c r="Y597" s="4"/>
      <c r="Z597" s="4"/>
    </row>
    <row r="598" ht="13.5" customHeight="1" spans="1:26" x14ac:dyDescent="0.25">
      <c r="A598" s="4"/>
      <c r="B598" s="4"/>
      <c r="C598" s="4"/>
      <c r="D598" s="4"/>
      <c r="E598" s="4"/>
      <c r="F598" s="4"/>
      <c r="G598" s="4"/>
      <c r="H598" s="4"/>
      <c r="I598" s="4"/>
      <c r="J598" s="4"/>
      <c r="K598" s="4"/>
      <c r="L598" s="4"/>
      <c r="M598" s="4"/>
      <c r="N598" s="4"/>
      <c r="O598" s="4"/>
      <c r="P598" s="4"/>
      <c r="Q598" s="4"/>
      <c r="R598" s="4"/>
      <c r="S598" s="4"/>
      <c r="T598" s="4"/>
      <c r="U598" s="4"/>
      <c r="V598" s="4"/>
      <c r="W598" s="242"/>
      <c r="X598" s="4"/>
      <c r="Y598" s="4"/>
      <c r="Z598" s="4"/>
    </row>
    <row r="599" ht="13.5" customHeight="1" spans="1:26" x14ac:dyDescent="0.25">
      <c r="A599" s="4"/>
      <c r="B599" s="4"/>
      <c r="C599" s="4"/>
      <c r="D599" s="4"/>
      <c r="E599" s="4"/>
      <c r="F599" s="4"/>
      <c r="G599" s="4"/>
      <c r="H599" s="4"/>
      <c r="I599" s="4"/>
      <c r="J599" s="4"/>
      <c r="K599" s="4"/>
      <c r="L599" s="4"/>
      <c r="M599" s="4"/>
      <c r="N599" s="4"/>
      <c r="O599" s="4"/>
      <c r="P599" s="4"/>
      <c r="Q599" s="4"/>
      <c r="R599" s="4"/>
      <c r="S599" s="4"/>
      <c r="T599" s="4"/>
      <c r="U599" s="4"/>
      <c r="V599" s="4"/>
      <c r="W599" s="242"/>
      <c r="X599" s="4"/>
      <c r="Y599" s="4"/>
      <c r="Z599" s="4"/>
    </row>
    <row r="600" ht="13.5" customHeight="1" spans="1:26" x14ac:dyDescent="0.25">
      <c r="A600" s="4"/>
      <c r="B600" s="4"/>
      <c r="C600" s="4"/>
      <c r="D600" s="4"/>
      <c r="E600" s="4"/>
      <c r="F600" s="4"/>
      <c r="G600" s="4"/>
      <c r="H600" s="4"/>
      <c r="I600" s="4"/>
      <c r="J600" s="4"/>
      <c r="K600" s="4"/>
      <c r="L600" s="4"/>
      <c r="M600" s="4"/>
      <c r="N600" s="4"/>
      <c r="O600" s="4"/>
      <c r="P600" s="4"/>
      <c r="Q600" s="4"/>
      <c r="R600" s="4"/>
      <c r="S600" s="4"/>
      <c r="T600" s="4"/>
      <c r="U600" s="4"/>
      <c r="V600" s="4"/>
      <c r="W600" s="242"/>
      <c r="X600" s="4"/>
      <c r="Y600" s="4"/>
      <c r="Z600" s="4"/>
    </row>
    <row r="601" ht="13.5" customHeight="1" spans="1:26" x14ac:dyDescent="0.25">
      <c r="A601" s="4"/>
      <c r="B601" s="4"/>
      <c r="C601" s="4"/>
      <c r="D601" s="4"/>
      <c r="E601" s="4"/>
      <c r="F601" s="4"/>
      <c r="G601" s="4"/>
      <c r="H601" s="4"/>
      <c r="I601" s="4"/>
      <c r="J601" s="4"/>
      <c r="K601" s="4"/>
      <c r="L601" s="4"/>
      <c r="M601" s="4"/>
      <c r="N601" s="4"/>
      <c r="O601" s="4"/>
      <c r="P601" s="4"/>
      <c r="Q601" s="4"/>
      <c r="R601" s="4"/>
      <c r="S601" s="4"/>
      <c r="T601" s="4"/>
      <c r="U601" s="4"/>
      <c r="V601" s="4"/>
      <c r="W601" s="242"/>
      <c r="X601" s="4"/>
      <c r="Y601" s="4"/>
      <c r="Z601" s="4"/>
    </row>
    <row r="602" ht="13.5" customHeight="1" spans="1:26" x14ac:dyDescent="0.25">
      <c r="A602" s="4"/>
      <c r="B602" s="4"/>
      <c r="C602" s="4"/>
      <c r="D602" s="4"/>
      <c r="E602" s="4"/>
      <c r="F602" s="4"/>
      <c r="G602" s="4"/>
      <c r="H602" s="4"/>
      <c r="I602" s="4"/>
      <c r="J602" s="4"/>
      <c r="K602" s="4"/>
      <c r="L602" s="4"/>
      <c r="M602" s="4"/>
      <c r="N602" s="4"/>
      <c r="O602" s="4"/>
      <c r="P602" s="4"/>
      <c r="Q602" s="4"/>
      <c r="R602" s="4"/>
      <c r="S602" s="4"/>
      <c r="T602" s="4"/>
      <c r="U602" s="4"/>
      <c r="V602" s="4"/>
      <c r="W602" s="242"/>
      <c r="X602" s="4"/>
      <c r="Y602" s="4"/>
      <c r="Z602" s="4"/>
    </row>
    <row r="603" ht="13.5" customHeight="1" spans="1:26" x14ac:dyDescent="0.25">
      <c r="A603" s="4"/>
      <c r="B603" s="4"/>
      <c r="C603" s="4"/>
      <c r="D603" s="4"/>
      <c r="E603" s="4"/>
      <c r="F603" s="4"/>
      <c r="G603" s="4"/>
      <c r="H603" s="4"/>
      <c r="I603" s="4"/>
      <c r="J603" s="4"/>
      <c r="K603" s="4"/>
      <c r="L603" s="4"/>
      <c r="M603" s="4"/>
      <c r="N603" s="4"/>
      <c r="O603" s="4"/>
      <c r="P603" s="4"/>
      <c r="Q603" s="4"/>
      <c r="R603" s="4"/>
      <c r="S603" s="4"/>
      <c r="T603" s="4"/>
      <c r="U603" s="4"/>
      <c r="V603" s="4"/>
      <c r="W603" s="242"/>
      <c r="X603" s="4"/>
      <c r="Y603" s="4"/>
      <c r="Z603" s="4"/>
    </row>
    <row r="604" ht="13.5" customHeight="1" spans="1:26" x14ac:dyDescent="0.25">
      <c r="A604" s="4"/>
      <c r="B604" s="4"/>
      <c r="C604" s="4"/>
      <c r="D604" s="4"/>
      <c r="E604" s="4"/>
      <c r="F604" s="4"/>
      <c r="G604" s="4"/>
      <c r="H604" s="4"/>
      <c r="I604" s="4"/>
      <c r="J604" s="4"/>
      <c r="K604" s="4"/>
      <c r="L604" s="4"/>
      <c r="M604" s="4"/>
      <c r="N604" s="4"/>
      <c r="O604" s="4"/>
      <c r="P604" s="4"/>
      <c r="Q604" s="4"/>
      <c r="R604" s="4"/>
      <c r="S604" s="4"/>
      <c r="T604" s="4"/>
      <c r="U604" s="4"/>
      <c r="V604" s="4"/>
      <c r="W604" s="242"/>
      <c r="X604" s="4"/>
      <c r="Y604" s="4"/>
      <c r="Z604" s="4"/>
    </row>
    <row r="605" ht="13.5" customHeight="1" spans="1:26" x14ac:dyDescent="0.25">
      <c r="A605" s="4"/>
      <c r="B605" s="4"/>
      <c r="C605" s="4"/>
      <c r="D605" s="4"/>
      <c r="E605" s="4"/>
      <c r="F605" s="4"/>
      <c r="G605" s="4"/>
      <c r="H605" s="4"/>
      <c r="I605" s="4"/>
      <c r="J605" s="4"/>
      <c r="K605" s="4"/>
      <c r="L605" s="4"/>
      <c r="M605" s="4"/>
      <c r="N605" s="4"/>
      <c r="O605" s="4"/>
      <c r="P605" s="4"/>
      <c r="Q605" s="4"/>
      <c r="R605" s="4"/>
      <c r="S605" s="4"/>
      <c r="T605" s="4"/>
      <c r="U605" s="4"/>
      <c r="V605" s="4"/>
      <c r="W605" s="242"/>
      <c r="X605" s="4"/>
      <c r="Y605" s="4"/>
      <c r="Z605" s="4"/>
    </row>
    <row r="606" ht="13.5" customHeight="1" spans="1:26" x14ac:dyDescent="0.25">
      <c r="A606" s="4"/>
      <c r="B606" s="4"/>
      <c r="C606" s="4"/>
      <c r="D606" s="4"/>
      <c r="E606" s="4"/>
      <c r="F606" s="4"/>
      <c r="G606" s="4"/>
      <c r="H606" s="4"/>
      <c r="I606" s="4"/>
      <c r="J606" s="4"/>
      <c r="K606" s="4"/>
      <c r="L606" s="4"/>
      <c r="M606" s="4"/>
      <c r="N606" s="4"/>
      <c r="O606" s="4"/>
      <c r="P606" s="4"/>
      <c r="Q606" s="4"/>
      <c r="R606" s="4"/>
      <c r="S606" s="4"/>
      <c r="T606" s="4"/>
      <c r="U606" s="4"/>
      <c r="V606" s="4"/>
      <c r="W606" s="242"/>
      <c r="X606" s="4"/>
      <c r="Y606" s="4"/>
      <c r="Z606" s="4"/>
    </row>
    <row r="607" ht="13.5" customHeight="1" spans="1:26" x14ac:dyDescent="0.25">
      <c r="A607" s="4"/>
      <c r="B607" s="4"/>
      <c r="C607" s="4"/>
      <c r="D607" s="4"/>
      <c r="E607" s="4"/>
      <c r="F607" s="4"/>
      <c r="G607" s="4"/>
      <c r="H607" s="4"/>
      <c r="I607" s="4"/>
      <c r="J607" s="4"/>
      <c r="K607" s="4"/>
      <c r="L607" s="4"/>
      <c r="M607" s="4"/>
      <c r="N607" s="4"/>
      <c r="O607" s="4"/>
      <c r="P607" s="4"/>
      <c r="Q607" s="4"/>
      <c r="R607" s="4"/>
      <c r="S607" s="4"/>
      <c r="T607" s="4"/>
      <c r="U607" s="4"/>
      <c r="V607" s="4"/>
      <c r="W607" s="242"/>
      <c r="X607" s="4"/>
      <c r="Y607" s="4"/>
      <c r="Z607" s="4"/>
    </row>
    <row r="608" ht="13.5" customHeight="1" spans="1:26" x14ac:dyDescent="0.25">
      <c r="A608" s="4"/>
      <c r="B608" s="4"/>
      <c r="C608" s="4"/>
      <c r="D608" s="4"/>
      <c r="E608" s="4"/>
      <c r="F608" s="4"/>
      <c r="G608" s="4"/>
      <c r="H608" s="4"/>
      <c r="I608" s="4"/>
      <c r="J608" s="4"/>
      <c r="K608" s="4"/>
      <c r="L608" s="4"/>
      <c r="M608" s="4"/>
      <c r="N608" s="4"/>
      <c r="O608" s="4"/>
      <c r="P608" s="4"/>
      <c r="Q608" s="4"/>
      <c r="R608" s="4"/>
      <c r="S608" s="4"/>
      <c r="T608" s="4"/>
      <c r="U608" s="4"/>
      <c r="V608" s="4"/>
      <c r="W608" s="242"/>
      <c r="X608" s="4"/>
      <c r="Y608" s="4"/>
      <c r="Z608" s="4"/>
    </row>
    <row r="609" ht="13.5" customHeight="1" spans="1:26" x14ac:dyDescent="0.25">
      <c r="A609" s="4"/>
      <c r="B609" s="4"/>
      <c r="C609" s="4"/>
      <c r="D609" s="4"/>
      <c r="E609" s="4"/>
      <c r="F609" s="4"/>
      <c r="G609" s="4"/>
      <c r="H609" s="4"/>
      <c r="I609" s="4"/>
      <c r="J609" s="4"/>
      <c r="K609" s="4"/>
      <c r="L609" s="4"/>
      <c r="M609" s="4"/>
      <c r="N609" s="4"/>
      <c r="O609" s="4"/>
      <c r="P609" s="4"/>
      <c r="Q609" s="4"/>
      <c r="R609" s="4"/>
      <c r="S609" s="4"/>
      <c r="T609" s="4"/>
      <c r="U609" s="4"/>
      <c r="V609" s="4"/>
      <c r="W609" s="242"/>
      <c r="X609" s="4"/>
      <c r="Y609" s="4"/>
      <c r="Z609" s="4"/>
    </row>
    <row r="610" ht="13.5" customHeight="1" spans="1:26" x14ac:dyDescent="0.25">
      <c r="A610" s="4"/>
      <c r="B610" s="4"/>
      <c r="C610" s="4"/>
      <c r="D610" s="4"/>
      <c r="E610" s="4"/>
      <c r="F610" s="4"/>
      <c r="G610" s="4"/>
      <c r="H610" s="4"/>
      <c r="I610" s="4"/>
      <c r="J610" s="4"/>
      <c r="K610" s="4"/>
      <c r="L610" s="4"/>
      <c r="M610" s="4"/>
      <c r="N610" s="4"/>
      <c r="O610" s="4"/>
      <c r="P610" s="4"/>
      <c r="Q610" s="4"/>
      <c r="R610" s="4"/>
      <c r="S610" s="4"/>
      <c r="T610" s="4"/>
      <c r="U610" s="4"/>
      <c r="V610" s="4"/>
      <c r="W610" s="242"/>
      <c r="X610" s="4"/>
      <c r="Y610" s="4"/>
      <c r="Z610" s="4"/>
    </row>
    <row r="611" ht="13.5" customHeight="1" spans="1:26" x14ac:dyDescent="0.25">
      <c r="A611" s="4"/>
      <c r="B611" s="4"/>
      <c r="C611" s="4"/>
      <c r="D611" s="4"/>
      <c r="E611" s="4"/>
      <c r="F611" s="4"/>
      <c r="G611" s="4"/>
      <c r="H611" s="4"/>
      <c r="I611" s="4"/>
      <c r="J611" s="4"/>
      <c r="K611" s="4"/>
      <c r="L611" s="4"/>
      <c r="M611" s="4"/>
      <c r="N611" s="4"/>
      <c r="O611" s="4"/>
      <c r="P611" s="4"/>
      <c r="Q611" s="4"/>
      <c r="R611" s="4"/>
      <c r="S611" s="4"/>
      <c r="T611" s="4"/>
      <c r="U611" s="4"/>
      <c r="V611" s="4"/>
      <c r="W611" s="242"/>
      <c r="X611" s="4"/>
      <c r="Y611" s="4"/>
      <c r="Z611" s="4"/>
    </row>
    <row r="612" ht="13.5" customHeight="1" spans="1:26" x14ac:dyDescent="0.25">
      <c r="A612" s="4"/>
      <c r="B612" s="4"/>
      <c r="C612" s="4"/>
      <c r="D612" s="4"/>
      <c r="E612" s="4"/>
      <c r="F612" s="4"/>
      <c r="G612" s="4"/>
      <c r="H612" s="4"/>
      <c r="I612" s="4"/>
      <c r="J612" s="4"/>
      <c r="K612" s="4"/>
      <c r="L612" s="4"/>
      <c r="M612" s="4"/>
      <c r="N612" s="4"/>
      <c r="O612" s="4"/>
      <c r="P612" s="4"/>
      <c r="Q612" s="4"/>
      <c r="R612" s="4"/>
      <c r="S612" s="4"/>
      <c r="T612" s="4"/>
      <c r="U612" s="4"/>
      <c r="V612" s="4"/>
      <c r="W612" s="242"/>
      <c r="X612" s="4"/>
      <c r="Y612" s="4"/>
      <c r="Z612" s="4"/>
    </row>
    <row r="613" ht="13.5" customHeight="1" spans="1:26" x14ac:dyDescent="0.25">
      <c r="A613" s="4"/>
      <c r="B613" s="4"/>
      <c r="C613" s="4"/>
      <c r="D613" s="4"/>
      <c r="E613" s="4"/>
      <c r="F613" s="4"/>
      <c r="G613" s="4"/>
      <c r="H613" s="4"/>
      <c r="I613" s="4"/>
      <c r="J613" s="4"/>
      <c r="K613" s="4"/>
      <c r="L613" s="4"/>
      <c r="M613" s="4"/>
      <c r="N613" s="4"/>
      <c r="O613" s="4"/>
      <c r="P613" s="4"/>
      <c r="Q613" s="4"/>
      <c r="R613" s="4"/>
      <c r="S613" s="4"/>
      <c r="T613" s="4"/>
      <c r="U613" s="4"/>
      <c r="V613" s="4"/>
      <c r="W613" s="242"/>
      <c r="X613" s="4"/>
      <c r="Y613" s="4"/>
      <c r="Z613" s="4"/>
    </row>
    <row r="614" ht="13.5" customHeight="1" spans="1:26" x14ac:dyDescent="0.25">
      <c r="A614" s="4"/>
      <c r="B614" s="4"/>
      <c r="C614" s="4"/>
      <c r="D614" s="4"/>
      <c r="E614" s="4"/>
      <c r="F614" s="4"/>
      <c r="G614" s="4"/>
      <c r="H614" s="4"/>
      <c r="I614" s="4"/>
      <c r="J614" s="4"/>
      <c r="K614" s="4"/>
      <c r="L614" s="4"/>
      <c r="M614" s="4"/>
      <c r="N614" s="4"/>
      <c r="O614" s="4"/>
      <c r="P614" s="4"/>
      <c r="Q614" s="4"/>
      <c r="R614" s="4"/>
      <c r="S614" s="4"/>
      <c r="T614" s="4"/>
      <c r="U614" s="4"/>
      <c r="V614" s="4"/>
      <c r="W614" s="242"/>
      <c r="X614" s="4"/>
      <c r="Y614" s="4"/>
      <c r="Z614" s="4"/>
    </row>
    <row r="615" ht="13.5" customHeight="1" spans="1:26" x14ac:dyDescent="0.25">
      <c r="A615" s="4"/>
      <c r="B615" s="4"/>
      <c r="C615" s="4"/>
      <c r="D615" s="4"/>
      <c r="E615" s="4"/>
      <c r="F615" s="4"/>
      <c r="G615" s="4"/>
      <c r="H615" s="4"/>
      <c r="I615" s="4"/>
      <c r="J615" s="4"/>
      <c r="K615" s="4"/>
      <c r="L615" s="4"/>
      <c r="M615" s="4"/>
      <c r="N615" s="4"/>
      <c r="O615" s="4"/>
      <c r="P615" s="4"/>
      <c r="Q615" s="4"/>
      <c r="R615" s="4"/>
      <c r="S615" s="4"/>
      <c r="T615" s="4"/>
      <c r="U615" s="4"/>
      <c r="V615" s="4"/>
      <c r="W615" s="242"/>
      <c r="X615" s="4"/>
      <c r="Y615" s="4"/>
      <c r="Z615" s="4"/>
    </row>
    <row r="616" ht="13.5" customHeight="1" spans="1:26" x14ac:dyDescent="0.25">
      <c r="A616" s="4"/>
      <c r="B616" s="4"/>
      <c r="C616" s="4"/>
      <c r="D616" s="4"/>
      <c r="E616" s="4"/>
      <c r="F616" s="4"/>
      <c r="G616" s="4"/>
      <c r="H616" s="4"/>
      <c r="I616" s="4"/>
      <c r="J616" s="4"/>
      <c r="K616" s="4"/>
      <c r="L616" s="4"/>
      <c r="M616" s="4"/>
      <c r="N616" s="4"/>
      <c r="O616" s="4"/>
      <c r="P616" s="4"/>
      <c r="Q616" s="4"/>
      <c r="R616" s="4"/>
      <c r="S616" s="4"/>
      <c r="T616" s="4"/>
      <c r="U616" s="4"/>
      <c r="V616" s="4"/>
      <c r="W616" s="242"/>
      <c r="X616" s="4"/>
      <c r="Y616" s="4"/>
      <c r="Z616" s="4"/>
    </row>
    <row r="617" ht="13.5" customHeight="1" spans="1:26" x14ac:dyDescent="0.25">
      <c r="A617" s="4"/>
      <c r="B617" s="4"/>
      <c r="C617" s="4"/>
      <c r="D617" s="4"/>
      <c r="E617" s="4"/>
      <c r="F617" s="4"/>
      <c r="G617" s="4"/>
      <c r="H617" s="4"/>
      <c r="I617" s="4"/>
      <c r="J617" s="4"/>
      <c r="K617" s="4"/>
      <c r="L617" s="4"/>
      <c r="M617" s="4"/>
      <c r="N617" s="4"/>
      <c r="O617" s="4"/>
      <c r="P617" s="4"/>
      <c r="Q617" s="4"/>
      <c r="R617" s="4"/>
      <c r="S617" s="4"/>
      <c r="T617" s="4"/>
      <c r="U617" s="4"/>
      <c r="V617" s="4"/>
      <c r="W617" s="242"/>
      <c r="X617" s="4"/>
      <c r="Y617" s="4"/>
      <c r="Z617" s="4"/>
    </row>
    <row r="618" ht="13.5" customHeight="1" spans="1:26" x14ac:dyDescent="0.25">
      <c r="A618" s="4"/>
      <c r="B618" s="4"/>
      <c r="C618" s="4"/>
      <c r="D618" s="4"/>
      <c r="E618" s="4"/>
      <c r="F618" s="4"/>
      <c r="G618" s="4"/>
      <c r="H618" s="4"/>
      <c r="I618" s="4"/>
      <c r="J618" s="4"/>
      <c r="K618" s="4"/>
      <c r="L618" s="4"/>
      <c r="M618" s="4"/>
      <c r="N618" s="4"/>
      <c r="O618" s="4"/>
      <c r="P618" s="4"/>
      <c r="Q618" s="4"/>
      <c r="R618" s="4"/>
      <c r="S618" s="4"/>
      <c r="T618" s="4"/>
      <c r="U618" s="4"/>
      <c r="V618" s="4"/>
      <c r="W618" s="242"/>
      <c r="X618" s="4"/>
      <c r="Y618" s="4"/>
      <c r="Z618" s="4"/>
    </row>
    <row r="619" ht="13.5" customHeight="1" spans="1:26" x14ac:dyDescent="0.25">
      <c r="A619" s="4"/>
      <c r="B619" s="4"/>
      <c r="C619" s="4"/>
      <c r="D619" s="4"/>
      <c r="E619" s="4"/>
      <c r="F619" s="4"/>
      <c r="G619" s="4"/>
      <c r="H619" s="4"/>
      <c r="I619" s="4"/>
      <c r="J619" s="4"/>
      <c r="K619" s="4"/>
      <c r="L619" s="4"/>
      <c r="M619" s="4"/>
      <c r="N619" s="4"/>
      <c r="O619" s="4"/>
      <c r="P619" s="4"/>
      <c r="Q619" s="4"/>
      <c r="R619" s="4"/>
      <c r="S619" s="4"/>
      <c r="T619" s="4"/>
      <c r="U619" s="4"/>
      <c r="V619" s="4"/>
      <c r="W619" s="242"/>
      <c r="X619" s="4"/>
      <c r="Y619" s="4"/>
      <c r="Z619" s="4"/>
    </row>
    <row r="620" ht="13.5" customHeight="1" spans="1:26" x14ac:dyDescent="0.25">
      <c r="A620" s="4"/>
      <c r="B620" s="4"/>
      <c r="C620" s="4"/>
      <c r="D620" s="4"/>
      <c r="E620" s="4"/>
      <c r="F620" s="4"/>
      <c r="G620" s="4"/>
      <c r="H620" s="4"/>
      <c r="I620" s="4"/>
      <c r="J620" s="4"/>
      <c r="K620" s="4"/>
      <c r="L620" s="4"/>
      <c r="M620" s="4"/>
      <c r="N620" s="4"/>
      <c r="O620" s="4"/>
      <c r="P620" s="4"/>
      <c r="Q620" s="4"/>
      <c r="R620" s="4"/>
      <c r="S620" s="4"/>
      <c r="T620" s="4"/>
      <c r="U620" s="4"/>
      <c r="V620" s="4"/>
      <c r="W620" s="242"/>
      <c r="X620" s="4"/>
      <c r="Y620" s="4"/>
      <c r="Z620" s="4"/>
    </row>
    <row r="621" ht="13.5" customHeight="1" spans="1:26" x14ac:dyDescent="0.25">
      <c r="A621" s="4"/>
      <c r="B621" s="4"/>
      <c r="C621" s="4"/>
      <c r="D621" s="4"/>
      <c r="E621" s="4"/>
      <c r="F621" s="4"/>
      <c r="G621" s="4"/>
      <c r="H621" s="4"/>
      <c r="I621" s="4"/>
      <c r="J621" s="4"/>
      <c r="K621" s="4"/>
      <c r="L621" s="4"/>
      <c r="M621" s="4"/>
      <c r="N621" s="4"/>
      <c r="O621" s="4"/>
      <c r="P621" s="4"/>
      <c r="Q621" s="4"/>
      <c r="R621" s="4"/>
      <c r="S621" s="4"/>
      <c r="T621" s="4"/>
      <c r="U621" s="4"/>
      <c r="V621" s="4"/>
      <c r="W621" s="242"/>
      <c r="X621" s="4"/>
      <c r="Y621" s="4"/>
      <c r="Z621" s="4"/>
    </row>
    <row r="622" ht="13.5" customHeight="1" spans="1:26" x14ac:dyDescent="0.25">
      <c r="A622" s="4"/>
      <c r="B622" s="4"/>
      <c r="C622" s="4"/>
      <c r="D622" s="4"/>
      <c r="E622" s="4"/>
      <c r="F622" s="4"/>
      <c r="G622" s="4"/>
      <c r="H622" s="4"/>
      <c r="I622" s="4"/>
      <c r="J622" s="4"/>
      <c r="K622" s="4"/>
      <c r="L622" s="4"/>
      <c r="M622" s="4"/>
      <c r="N622" s="4"/>
      <c r="O622" s="4"/>
      <c r="P622" s="4"/>
      <c r="Q622" s="4"/>
      <c r="R622" s="4"/>
      <c r="S622" s="4"/>
      <c r="T622" s="4"/>
      <c r="U622" s="4"/>
      <c r="V622" s="4"/>
      <c r="W622" s="242"/>
      <c r="X622" s="4"/>
      <c r="Y622" s="4"/>
      <c r="Z622" s="4"/>
    </row>
    <row r="623" ht="13.5" customHeight="1" spans="1:26" x14ac:dyDescent="0.25">
      <c r="A623" s="4"/>
      <c r="B623" s="4"/>
      <c r="C623" s="4"/>
      <c r="D623" s="4"/>
      <c r="E623" s="4"/>
      <c r="F623" s="4"/>
      <c r="G623" s="4"/>
      <c r="H623" s="4"/>
      <c r="I623" s="4"/>
      <c r="J623" s="4"/>
      <c r="K623" s="4"/>
      <c r="L623" s="4"/>
      <c r="M623" s="4"/>
      <c r="N623" s="4"/>
      <c r="O623" s="4"/>
      <c r="P623" s="4"/>
      <c r="Q623" s="4"/>
      <c r="R623" s="4"/>
      <c r="S623" s="4"/>
      <c r="T623" s="4"/>
      <c r="U623" s="4"/>
      <c r="V623" s="4"/>
      <c r="W623" s="242"/>
      <c r="X623" s="4"/>
      <c r="Y623" s="4"/>
      <c r="Z623" s="4"/>
    </row>
    <row r="624" ht="13.5" customHeight="1" spans="1:26" x14ac:dyDescent="0.25">
      <c r="A624" s="4"/>
      <c r="B624" s="4"/>
      <c r="C624" s="4"/>
      <c r="D624" s="4"/>
      <c r="E624" s="4"/>
      <c r="F624" s="4"/>
      <c r="G624" s="4"/>
      <c r="H624" s="4"/>
      <c r="I624" s="4"/>
      <c r="J624" s="4"/>
      <c r="K624" s="4"/>
      <c r="L624" s="4"/>
      <c r="M624" s="4"/>
      <c r="N624" s="4"/>
      <c r="O624" s="4"/>
      <c r="P624" s="4"/>
      <c r="Q624" s="4"/>
      <c r="R624" s="4"/>
      <c r="S624" s="4"/>
      <c r="T624" s="4"/>
      <c r="U624" s="4"/>
      <c r="V624" s="4"/>
      <c r="W624" s="242"/>
      <c r="X624" s="4"/>
      <c r="Y624" s="4"/>
      <c r="Z624" s="4"/>
    </row>
    <row r="625" ht="13.5" customHeight="1" spans="1:26" x14ac:dyDescent="0.25">
      <c r="A625" s="4"/>
      <c r="B625" s="4"/>
      <c r="C625" s="4"/>
      <c r="D625" s="4"/>
      <c r="E625" s="4"/>
      <c r="F625" s="4"/>
      <c r="G625" s="4"/>
      <c r="H625" s="4"/>
      <c r="I625" s="4"/>
      <c r="J625" s="4"/>
      <c r="K625" s="4"/>
      <c r="L625" s="4"/>
      <c r="M625" s="4"/>
      <c r="N625" s="4"/>
      <c r="O625" s="4"/>
      <c r="P625" s="4"/>
      <c r="Q625" s="4"/>
      <c r="R625" s="4"/>
      <c r="S625" s="4"/>
      <c r="T625" s="4"/>
      <c r="U625" s="4"/>
      <c r="V625" s="4"/>
      <c r="W625" s="242"/>
      <c r="X625" s="4"/>
      <c r="Y625" s="4"/>
      <c r="Z625" s="4"/>
    </row>
    <row r="626" ht="13.5" customHeight="1" spans="1:26" x14ac:dyDescent="0.25">
      <c r="A626" s="4"/>
      <c r="B626" s="4"/>
      <c r="C626" s="4"/>
      <c r="D626" s="4"/>
      <c r="E626" s="4"/>
      <c r="F626" s="4"/>
      <c r="G626" s="4"/>
      <c r="H626" s="4"/>
      <c r="I626" s="4"/>
      <c r="J626" s="4"/>
      <c r="K626" s="4"/>
      <c r="L626" s="4"/>
      <c r="M626" s="4"/>
      <c r="N626" s="4"/>
      <c r="O626" s="4"/>
      <c r="P626" s="4"/>
      <c r="Q626" s="4"/>
      <c r="R626" s="4"/>
      <c r="S626" s="4"/>
      <c r="T626" s="4"/>
      <c r="U626" s="4"/>
      <c r="V626" s="4"/>
      <c r="W626" s="242"/>
      <c r="X626" s="4"/>
      <c r="Y626" s="4"/>
      <c r="Z626" s="4"/>
    </row>
    <row r="627" ht="13.5" customHeight="1" spans="1:26" x14ac:dyDescent="0.25">
      <c r="A627" s="4"/>
      <c r="B627" s="4"/>
      <c r="C627" s="4"/>
      <c r="D627" s="4"/>
      <c r="E627" s="4"/>
      <c r="F627" s="4"/>
      <c r="G627" s="4"/>
      <c r="H627" s="4"/>
      <c r="I627" s="4"/>
      <c r="J627" s="4"/>
      <c r="K627" s="4"/>
      <c r="L627" s="4"/>
      <c r="M627" s="4"/>
      <c r="N627" s="4"/>
      <c r="O627" s="4"/>
      <c r="P627" s="4"/>
      <c r="Q627" s="4"/>
      <c r="R627" s="4"/>
      <c r="S627" s="4"/>
      <c r="T627" s="4"/>
      <c r="U627" s="4"/>
      <c r="V627" s="4"/>
      <c r="W627" s="242"/>
      <c r="X627" s="4"/>
      <c r="Y627" s="4"/>
      <c r="Z627" s="4"/>
    </row>
    <row r="628" ht="13.5" customHeight="1" spans="1:26" x14ac:dyDescent="0.25">
      <c r="A628" s="4"/>
      <c r="B628" s="4"/>
      <c r="C628" s="4"/>
      <c r="D628" s="4"/>
      <c r="E628" s="4"/>
      <c r="F628" s="4"/>
      <c r="G628" s="4"/>
      <c r="H628" s="4"/>
      <c r="I628" s="4"/>
      <c r="J628" s="4"/>
      <c r="K628" s="4"/>
      <c r="L628" s="4"/>
      <c r="M628" s="4"/>
      <c r="N628" s="4"/>
      <c r="O628" s="4"/>
      <c r="P628" s="4"/>
      <c r="Q628" s="4"/>
      <c r="R628" s="4"/>
      <c r="S628" s="4"/>
      <c r="T628" s="4"/>
      <c r="U628" s="4"/>
      <c r="V628" s="4"/>
      <c r="W628" s="242"/>
      <c r="X628" s="4"/>
      <c r="Y628" s="4"/>
      <c r="Z628" s="4"/>
    </row>
    <row r="629" ht="13.5" customHeight="1" spans="1:26" x14ac:dyDescent="0.25">
      <c r="A629" s="4"/>
      <c r="B629" s="4"/>
      <c r="C629" s="4"/>
      <c r="D629" s="4"/>
      <c r="E629" s="4"/>
      <c r="F629" s="4"/>
      <c r="G629" s="4"/>
      <c r="H629" s="4"/>
      <c r="I629" s="4"/>
      <c r="J629" s="4"/>
      <c r="K629" s="4"/>
      <c r="L629" s="4"/>
      <c r="M629" s="4"/>
      <c r="N629" s="4"/>
      <c r="O629" s="4"/>
      <c r="P629" s="4"/>
      <c r="Q629" s="4"/>
      <c r="R629" s="4"/>
      <c r="S629" s="4"/>
      <c r="T629" s="4"/>
      <c r="U629" s="4"/>
      <c r="V629" s="4"/>
      <c r="W629" s="242"/>
      <c r="X629" s="4"/>
      <c r="Y629" s="4"/>
      <c r="Z629" s="4"/>
    </row>
    <row r="630" ht="13.5" customHeight="1" spans="1:26" x14ac:dyDescent="0.25">
      <c r="A630" s="4"/>
      <c r="B630" s="4"/>
      <c r="C630" s="4"/>
      <c r="D630" s="4"/>
      <c r="E630" s="4"/>
      <c r="F630" s="4"/>
      <c r="G630" s="4"/>
      <c r="H630" s="4"/>
      <c r="I630" s="4"/>
      <c r="J630" s="4"/>
      <c r="K630" s="4"/>
      <c r="L630" s="4"/>
      <c r="M630" s="4"/>
      <c r="N630" s="4"/>
      <c r="O630" s="4"/>
      <c r="P630" s="4"/>
      <c r="Q630" s="4"/>
      <c r="R630" s="4"/>
      <c r="S630" s="4"/>
      <c r="T630" s="4"/>
      <c r="U630" s="4"/>
      <c r="V630" s="4"/>
      <c r="W630" s="242"/>
      <c r="X630" s="4"/>
      <c r="Y630" s="4"/>
      <c r="Z630" s="4"/>
    </row>
    <row r="631" ht="13.5" customHeight="1" spans="1:26" x14ac:dyDescent="0.25">
      <c r="A631" s="4"/>
      <c r="B631" s="4"/>
      <c r="C631" s="4"/>
      <c r="D631" s="4"/>
      <c r="E631" s="4"/>
      <c r="F631" s="4"/>
      <c r="G631" s="4"/>
      <c r="H631" s="4"/>
      <c r="I631" s="4"/>
      <c r="J631" s="4"/>
      <c r="K631" s="4"/>
      <c r="L631" s="4"/>
      <c r="M631" s="4"/>
      <c r="N631" s="4"/>
      <c r="O631" s="4"/>
      <c r="P631" s="4"/>
      <c r="Q631" s="4"/>
      <c r="R631" s="4"/>
      <c r="S631" s="4"/>
      <c r="T631" s="4"/>
      <c r="U631" s="4"/>
      <c r="V631" s="4"/>
      <c r="W631" s="242"/>
      <c r="X631" s="4"/>
      <c r="Y631" s="4"/>
      <c r="Z631" s="4"/>
    </row>
    <row r="632" ht="13.5" customHeight="1" spans="1:26" x14ac:dyDescent="0.25">
      <c r="A632" s="4"/>
      <c r="B632" s="4"/>
      <c r="C632" s="4"/>
      <c r="D632" s="4"/>
      <c r="E632" s="4"/>
      <c r="F632" s="4"/>
      <c r="G632" s="4"/>
      <c r="H632" s="4"/>
      <c r="I632" s="4"/>
      <c r="J632" s="4"/>
      <c r="K632" s="4"/>
      <c r="L632" s="4"/>
      <c r="M632" s="4"/>
      <c r="N632" s="4"/>
      <c r="O632" s="4"/>
      <c r="P632" s="4"/>
      <c r="Q632" s="4"/>
      <c r="R632" s="4"/>
      <c r="S632" s="4"/>
      <c r="T632" s="4"/>
      <c r="U632" s="4"/>
      <c r="V632" s="4"/>
      <c r="W632" s="242"/>
      <c r="X632" s="4"/>
      <c r="Y632" s="4"/>
      <c r="Z632" s="4"/>
    </row>
    <row r="633" ht="13.5" customHeight="1" spans="1:26" x14ac:dyDescent="0.25">
      <c r="A633" s="4"/>
      <c r="B633" s="4"/>
      <c r="C633" s="4"/>
      <c r="D633" s="4"/>
      <c r="E633" s="4"/>
      <c r="F633" s="4"/>
      <c r="G633" s="4"/>
      <c r="H633" s="4"/>
      <c r="I633" s="4"/>
      <c r="J633" s="4"/>
      <c r="K633" s="4"/>
      <c r="L633" s="4"/>
      <c r="M633" s="4"/>
      <c r="N633" s="4"/>
      <c r="O633" s="4"/>
      <c r="P633" s="4"/>
      <c r="Q633" s="4"/>
      <c r="R633" s="4"/>
      <c r="S633" s="4"/>
      <c r="T633" s="4"/>
      <c r="U633" s="4"/>
      <c r="V633" s="4"/>
      <c r="W633" s="242"/>
      <c r="X633" s="4"/>
      <c r="Y633" s="4"/>
      <c r="Z633" s="4"/>
    </row>
    <row r="634" ht="13.5" customHeight="1" spans="1:26" x14ac:dyDescent="0.25">
      <c r="A634" s="4"/>
      <c r="B634" s="4"/>
      <c r="C634" s="4"/>
      <c r="D634" s="4"/>
      <c r="E634" s="4"/>
      <c r="F634" s="4"/>
      <c r="G634" s="4"/>
      <c r="H634" s="4"/>
      <c r="I634" s="4"/>
      <c r="J634" s="4"/>
      <c r="K634" s="4"/>
      <c r="L634" s="4"/>
      <c r="M634" s="4"/>
      <c r="N634" s="4"/>
      <c r="O634" s="4"/>
      <c r="P634" s="4"/>
      <c r="Q634" s="4"/>
      <c r="R634" s="4"/>
      <c r="S634" s="4"/>
      <c r="T634" s="4"/>
      <c r="U634" s="4"/>
      <c r="V634" s="4"/>
      <c r="W634" s="242"/>
      <c r="X634" s="4"/>
      <c r="Y634" s="4"/>
      <c r="Z634" s="4"/>
    </row>
    <row r="635" ht="13.5" customHeight="1" spans="1:26" x14ac:dyDescent="0.25">
      <c r="A635" s="4"/>
      <c r="B635" s="4"/>
      <c r="C635" s="4"/>
      <c r="D635" s="4"/>
      <c r="E635" s="4"/>
      <c r="F635" s="4"/>
      <c r="G635" s="4"/>
      <c r="H635" s="4"/>
      <c r="I635" s="4"/>
      <c r="J635" s="4"/>
      <c r="K635" s="4"/>
      <c r="L635" s="4"/>
      <c r="M635" s="4"/>
      <c r="N635" s="4"/>
      <c r="O635" s="4"/>
      <c r="P635" s="4"/>
      <c r="Q635" s="4"/>
      <c r="R635" s="4"/>
      <c r="S635" s="4"/>
      <c r="T635" s="4"/>
      <c r="U635" s="4"/>
      <c r="V635" s="4"/>
      <c r="W635" s="242"/>
      <c r="X635" s="4"/>
      <c r="Y635" s="4"/>
      <c r="Z635" s="4"/>
    </row>
    <row r="636" ht="13.5" customHeight="1" spans="1:26" x14ac:dyDescent="0.25">
      <c r="A636" s="4"/>
      <c r="B636" s="4"/>
      <c r="C636" s="4"/>
      <c r="D636" s="4"/>
      <c r="E636" s="4"/>
      <c r="F636" s="4"/>
      <c r="G636" s="4"/>
      <c r="H636" s="4"/>
      <c r="I636" s="4"/>
      <c r="J636" s="4"/>
      <c r="K636" s="4"/>
      <c r="L636" s="4"/>
      <c r="M636" s="4"/>
      <c r="N636" s="4"/>
      <c r="O636" s="4"/>
      <c r="P636" s="4"/>
      <c r="Q636" s="4"/>
      <c r="R636" s="4"/>
      <c r="S636" s="4"/>
      <c r="T636" s="4"/>
      <c r="U636" s="4"/>
      <c r="V636" s="4"/>
      <c r="W636" s="242"/>
      <c r="X636" s="4"/>
      <c r="Y636" s="4"/>
      <c r="Z636" s="4"/>
    </row>
    <row r="637" ht="13.5" customHeight="1" spans="1:26" x14ac:dyDescent="0.25">
      <c r="A637" s="4"/>
      <c r="B637" s="4"/>
      <c r="C637" s="4"/>
      <c r="D637" s="4"/>
      <c r="E637" s="4"/>
      <c r="F637" s="4"/>
      <c r="G637" s="4"/>
      <c r="H637" s="4"/>
      <c r="I637" s="4"/>
      <c r="J637" s="4"/>
      <c r="K637" s="4"/>
      <c r="L637" s="4"/>
      <c r="M637" s="4"/>
      <c r="N637" s="4"/>
      <c r="O637" s="4"/>
      <c r="P637" s="4"/>
      <c r="Q637" s="4"/>
      <c r="R637" s="4"/>
      <c r="S637" s="4"/>
      <c r="T637" s="4"/>
      <c r="U637" s="4"/>
      <c r="V637" s="4"/>
      <c r="W637" s="242"/>
      <c r="X637" s="4"/>
      <c r="Y637" s="4"/>
      <c r="Z637" s="4"/>
    </row>
    <row r="638" ht="13.5" customHeight="1" spans="1:26" x14ac:dyDescent="0.25">
      <c r="A638" s="4"/>
      <c r="B638" s="4"/>
      <c r="C638" s="4"/>
      <c r="D638" s="4"/>
      <c r="E638" s="4"/>
      <c r="F638" s="4"/>
      <c r="G638" s="4"/>
      <c r="H638" s="4"/>
      <c r="I638" s="4"/>
      <c r="J638" s="4"/>
      <c r="K638" s="4"/>
      <c r="L638" s="4"/>
      <c r="M638" s="4"/>
      <c r="N638" s="4"/>
      <c r="O638" s="4"/>
      <c r="P638" s="4"/>
      <c r="Q638" s="4"/>
      <c r="R638" s="4"/>
      <c r="S638" s="4"/>
      <c r="T638" s="4"/>
      <c r="U638" s="4"/>
      <c r="V638" s="4"/>
      <c r="W638" s="242"/>
      <c r="X638" s="4"/>
      <c r="Y638" s="4"/>
      <c r="Z638" s="4"/>
    </row>
    <row r="639" ht="13.5" customHeight="1" spans="1:26" x14ac:dyDescent="0.25">
      <c r="A639" s="4"/>
      <c r="B639" s="4"/>
      <c r="C639" s="4"/>
      <c r="D639" s="4"/>
      <c r="E639" s="4"/>
      <c r="F639" s="4"/>
      <c r="G639" s="4"/>
      <c r="H639" s="4"/>
      <c r="I639" s="4"/>
      <c r="J639" s="4"/>
      <c r="K639" s="4"/>
      <c r="L639" s="4"/>
      <c r="M639" s="4"/>
      <c r="N639" s="4"/>
      <c r="O639" s="4"/>
      <c r="P639" s="4"/>
      <c r="Q639" s="4"/>
      <c r="R639" s="4"/>
      <c r="S639" s="4"/>
      <c r="T639" s="4"/>
      <c r="U639" s="4"/>
      <c r="V639" s="4"/>
      <c r="W639" s="242"/>
      <c r="X639" s="4"/>
      <c r="Y639" s="4"/>
      <c r="Z639" s="4"/>
    </row>
    <row r="640" ht="13.5" customHeight="1" spans="1:26" x14ac:dyDescent="0.25">
      <c r="A640" s="4"/>
      <c r="B640" s="4"/>
      <c r="C640" s="4"/>
      <c r="D640" s="4"/>
      <c r="E640" s="4"/>
      <c r="F640" s="4"/>
      <c r="G640" s="4"/>
      <c r="H640" s="4"/>
      <c r="I640" s="4"/>
      <c r="J640" s="4"/>
      <c r="K640" s="4"/>
      <c r="L640" s="4"/>
      <c r="M640" s="4"/>
      <c r="N640" s="4"/>
      <c r="O640" s="4"/>
      <c r="P640" s="4"/>
      <c r="Q640" s="4"/>
      <c r="R640" s="4"/>
      <c r="S640" s="4"/>
      <c r="T640" s="4"/>
      <c r="U640" s="4"/>
      <c r="V640" s="4"/>
      <c r="W640" s="242"/>
      <c r="X640" s="4"/>
      <c r="Y640" s="4"/>
      <c r="Z640" s="4"/>
    </row>
    <row r="641" ht="13.5" customHeight="1" spans="1:26" x14ac:dyDescent="0.25">
      <c r="A641" s="4"/>
      <c r="B641" s="4"/>
      <c r="C641" s="4"/>
      <c r="D641" s="4"/>
      <c r="E641" s="4"/>
      <c r="F641" s="4"/>
      <c r="G641" s="4"/>
      <c r="H641" s="4"/>
      <c r="I641" s="4"/>
      <c r="J641" s="4"/>
      <c r="K641" s="4"/>
      <c r="L641" s="4"/>
      <c r="M641" s="4"/>
      <c r="N641" s="4"/>
      <c r="O641" s="4"/>
      <c r="P641" s="4"/>
      <c r="Q641" s="4"/>
      <c r="R641" s="4"/>
      <c r="S641" s="4"/>
      <c r="T641" s="4"/>
      <c r="U641" s="4"/>
      <c r="V641" s="4"/>
      <c r="W641" s="242"/>
      <c r="X641" s="4"/>
      <c r="Y641" s="4"/>
      <c r="Z641" s="4"/>
    </row>
    <row r="642" ht="13.5" customHeight="1" spans="1:26" x14ac:dyDescent="0.25">
      <c r="A642" s="4"/>
      <c r="B642" s="4"/>
      <c r="C642" s="4"/>
      <c r="D642" s="4"/>
      <c r="E642" s="4"/>
      <c r="F642" s="4"/>
      <c r="G642" s="4"/>
      <c r="H642" s="4"/>
      <c r="I642" s="4"/>
      <c r="J642" s="4"/>
      <c r="K642" s="4"/>
      <c r="L642" s="4"/>
      <c r="M642" s="4"/>
      <c r="N642" s="4"/>
      <c r="O642" s="4"/>
      <c r="P642" s="4"/>
      <c r="Q642" s="4"/>
      <c r="R642" s="4"/>
      <c r="S642" s="4"/>
      <c r="T642" s="4"/>
      <c r="U642" s="4"/>
      <c r="V642" s="4"/>
      <c r="W642" s="242"/>
      <c r="X642" s="4"/>
      <c r="Y642" s="4"/>
      <c r="Z642" s="4"/>
    </row>
    <row r="643" ht="13.5" customHeight="1" spans="1:26" x14ac:dyDescent="0.25">
      <c r="A643" s="4"/>
      <c r="B643" s="4"/>
      <c r="C643" s="4"/>
      <c r="D643" s="4"/>
      <c r="E643" s="4"/>
      <c r="F643" s="4"/>
      <c r="G643" s="4"/>
      <c r="H643" s="4"/>
      <c r="I643" s="4"/>
      <c r="J643" s="4"/>
      <c r="K643" s="4"/>
      <c r="L643" s="4"/>
      <c r="M643" s="4"/>
      <c r="N643" s="4"/>
      <c r="O643" s="4"/>
      <c r="P643" s="4"/>
      <c r="Q643" s="4"/>
      <c r="R643" s="4"/>
      <c r="S643" s="4"/>
      <c r="T643" s="4"/>
      <c r="U643" s="4"/>
      <c r="V643" s="4"/>
      <c r="W643" s="242"/>
      <c r="X643" s="4"/>
      <c r="Y643" s="4"/>
      <c r="Z643" s="4"/>
    </row>
    <row r="644" ht="13.5" customHeight="1" spans="1:26" x14ac:dyDescent="0.25">
      <c r="A644" s="4"/>
      <c r="B644" s="4"/>
      <c r="C644" s="4"/>
      <c r="D644" s="4"/>
      <c r="E644" s="4"/>
      <c r="F644" s="4"/>
      <c r="G644" s="4"/>
      <c r="H644" s="4"/>
      <c r="I644" s="4"/>
      <c r="J644" s="4"/>
      <c r="K644" s="4"/>
      <c r="L644" s="4"/>
      <c r="M644" s="4"/>
      <c r="N644" s="4"/>
      <c r="O644" s="4"/>
      <c r="P644" s="4"/>
      <c r="Q644" s="4"/>
      <c r="R644" s="4"/>
      <c r="S644" s="4"/>
      <c r="T644" s="4"/>
      <c r="U644" s="4"/>
      <c r="V644" s="4"/>
      <c r="W644" s="242"/>
      <c r="X644" s="4"/>
      <c r="Y644" s="4"/>
      <c r="Z644" s="4"/>
    </row>
    <row r="645" ht="13.5" customHeight="1" spans="1:26" x14ac:dyDescent="0.25">
      <c r="A645" s="4"/>
      <c r="B645" s="4"/>
      <c r="C645" s="4"/>
      <c r="D645" s="4"/>
      <c r="E645" s="4"/>
      <c r="F645" s="4"/>
      <c r="G645" s="4"/>
      <c r="H645" s="4"/>
      <c r="I645" s="4"/>
      <c r="J645" s="4"/>
      <c r="K645" s="4"/>
      <c r="L645" s="4"/>
      <c r="M645" s="4"/>
      <c r="N645" s="4"/>
      <c r="O645" s="4"/>
      <c r="P645" s="4"/>
      <c r="Q645" s="4"/>
      <c r="R645" s="4"/>
      <c r="S645" s="4"/>
      <c r="T645" s="4"/>
      <c r="U645" s="4"/>
      <c r="V645" s="4"/>
      <c r="W645" s="242"/>
      <c r="X645" s="4"/>
      <c r="Y645" s="4"/>
      <c r="Z645" s="4"/>
    </row>
    <row r="646" ht="13.5" customHeight="1" spans="1:26" x14ac:dyDescent="0.25">
      <c r="A646" s="4"/>
      <c r="B646" s="4"/>
      <c r="C646" s="4"/>
      <c r="D646" s="4"/>
      <c r="E646" s="4"/>
      <c r="F646" s="4"/>
      <c r="G646" s="4"/>
      <c r="H646" s="4"/>
      <c r="I646" s="4"/>
      <c r="J646" s="4"/>
      <c r="K646" s="4"/>
      <c r="L646" s="4"/>
      <c r="M646" s="4"/>
      <c r="N646" s="4"/>
      <c r="O646" s="4"/>
      <c r="P646" s="4"/>
      <c r="Q646" s="4"/>
      <c r="R646" s="4"/>
      <c r="S646" s="4"/>
      <c r="T646" s="4"/>
      <c r="U646" s="4"/>
      <c r="V646" s="4"/>
      <c r="W646" s="242"/>
      <c r="X646" s="4"/>
      <c r="Y646" s="4"/>
      <c r="Z646" s="4"/>
    </row>
    <row r="647" ht="13.5" customHeight="1" spans="1:26" x14ac:dyDescent="0.25">
      <c r="A647" s="4"/>
      <c r="B647" s="4"/>
      <c r="C647" s="4"/>
      <c r="D647" s="4"/>
      <c r="E647" s="4"/>
      <c r="F647" s="4"/>
      <c r="G647" s="4"/>
      <c r="H647" s="4"/>
      <c r="I647" s="4"/>
      <c r="J647" s="4"/>
      <c r="K647" s="4"/>
      <c r="L647" s="4"/>
      <c r="M647" s="4"/>
      <c r="N647" s="4"/>
      <c r="O647" s="4"/>
      <c r="P647" s="4"/>
      <c r="Q647" s="4"/>
      <c r="R647" s="4"/>
      <c r="S647" s="4"/>
      <c r="T647" s="4"/>
      <c r="U647" s="4"/>
      <c r="V647" s="4"/>
      <c r="W647" s="242"/>
      <c r="X647" s="4"/>
      <c r="Y647" s="4"/>
      <c r="Z647" s="4"/>
    </row>
    <row r="648" ht="13.5" customHeight="1" spans="1:26" x14ac:dyDescent="0.25">
      <c r="A648" s="4"/>
      <c r="B648" s="4"/>
      <c r="C648" s="4"/>
      <c r="D648" s="4"/>
      <c r="E648" s="4"/>
      <c r="F648" s="4"/>
      <c r="G648" s="4"/>
      <c r="H648" s="4"/>
      <c r="I648" s="4"/>
      <c r="J648" s="4"/>
      <c r="K648" s="4"/>
      <c r="L648" s="4"/>
      <c r="M648" s="4"/>
      <c r="N648" s="4"/>
      <c r="O648" s="4"/>
      <c r="P648" s="4"/>
      <c r="Q648" s="4"/>
      <c r="R648" s="4"/>
      <c r="S648" s="4"/>
      <c r="T648" s="4"/>
      <c r="U648" s="4"/>
      <c r="V648" s="4"/>
      <c r="W648" s="242"/>
      <c r="X648" s="4"/>
      <c r="Y648" s="4"/>
      <c r="Z648" s="4"/>
    </row>
    <row r="649" ht="13.5" customHeight="1" spans="1:26" x14ac:dyDescent="0.25">
      <c r="A649" s="4"/>
      <c r="B649" s="4"/>
      <c r="C649" s="4"/>
      <c r="D649" s="4"/>
      <c r="E649" s="4"/>
      <c r="F649" s="4"/>
      <c r="G649" s="4"/>
      <c r="H649" s="4"/>
      <c r="I649" s="4"/>
      <c r="J649" s="4"/>
      <c r="K649" s="4"/>
      <c r="L649" s="4"/>
      <c r="M649" s="4"/>
      <c r="N649" s="4"/>
      <c r="O649" s="4"/>
      <c r="P649" s="4"/>
      <c r="Q649" s="4"/>
      <c r="R649" s="4"/>
      <c r="S649" s="4"/>
      <c r="T649" s="4"/>
      <c r="U649" s="4"/>
      <c r="V649" s="4"/>
      <c r="W649" s="242"/>
      <c r="X649" s="4"/>
      <c r="Y649" s="4"/>
      <c r="Z649" s="4"/>
    </row>
    <row r="650" ht="13.5" customHeight="1" spans="1:26" x14ac:dyDescent="0.25">
      <c r="A650" s="4"/>
      <c r="B650" s="4"/>
      <c r="C650" s="4"/>
      <c r="D650" s="4"/>
      <c r="E650" s="4"/>
      <c r="F650" s="4"/>
      <c r="G650" s="4"/>
      <c r="H650" s="4"/>
      <c r="I650" s="4"/>
      <c r="J650" s="4"/>
      <c r="K650" s="4"/>
      <c r="L650" s="4"/>
      <c r="M650" s="4"/>
      <c r="N650" s="4"/>
      <c r="O650" s="4"/>
      <c r="P650" s="4"/>
      <c r="Q650" s="4"/>
      <c r="R650" s="4"/>
      <c r="S650" s="4"/>
      <c r="T650" s="4"/>
      <c r="U650" s="4"/>
      <c r="V650" s="4"/>
      <c r="W650" s="242"/>
      <c r="X650" s="4"/>
      <c r="Y650" s="4"/>
      <c r="Z650" s="4"/>
    </row>
    <row r="651" ht="13.5" customHeight="1" spans="1:26" x14ac:dyDescent="0.25">
      <c r="A651" s="4"/>
      <c r="B651" s="4"/>
      <c r="C651" s="4"/>
      <c r="D651" s="4"/>
      <c r="E651" s="4"/>
      <c r="F651" s="4"/>
      <c r="G651" s="4"/>
      <c r="H651" s="4"/>
      <c r="I651" s="4"/>
      <c r="J651" s="4"/>
      <c r="K651" s="4"/>
      <c r="L651" s="4"/>
      <c r="M651" s="4"/>
      <c r="N651" s="4"/>
      <c r="O651" s="4"/>
      <c r="P651" s="4"/>
      <c r="Q651" s="4"/>
      <c r="R651" s="4"/>
      <c r="S651" s="4"/>
      <c r="T651" s="4"/>
      <c r="U651" s="4"/>
      <c r="V651" s="4"/>
      <c r="W651" s="242"/>
      <c r="X651" s="4"/>
      <c r="Y651" s="4"/>
      <c r="Z651" s="4"/>
    </row>
    <row r="652" ht="13.5" customHeight="1" spans="1:26" x14ac:dyDescent="0.25">
      <c r="A652" s="4"/>
      <c r="B652" s="4"/>
      <c r="C652" s="4"/>
      <c r="D652" s="4"/>
      <c r="E652" s="4"/>
      <c r="F652" s="4"/>
      <c r="G652" s="4"/>
      <c r="H652" s="4"/>
      <c r="I652" s="4"/>
      <c r="J652" s="4"/>
      <c r="K652" s="4"/>
      <c r="L652" s="4"/>
      <c r="M652" s="4"/>
      <c r="N652" s="4"/>
      <c r="O652" s="4"/>
      <c r="P652" s="4"/>
      <c r="Q652" s="4"/>
      <c r="R652" s="4"/>
      <c r="S652" s="4"/>
      <c r="T652" s="4"/>
      <c r="U652" s="4"/>
      <c r="V652" s="4"/>
      <c r="W652" s="242"/>
      <c r="X652" s="4"/>
      <c r="Y652" s="4"/>
      <c r="Z652" s="4"/>
    </row>
    <row r="653" ht="13.5" customHeight="1" spans="1:26" x14ac:dyDescent="0.25">
      <c r="A653" s="4"/>
      <c r="B653" s="4"/>
      <c r="C653" s="4"/>
      <c r="D653" s="4"/>
      <c r="E653" s="4"/>
      <c r="F653" s="4"/>
      <c r="G653" s="4"/>
      <c r="H653" s="4"/>
      <c r="I653" s="4"/>
      <c r="J653" s="4"/>
      <c r="K653" s="4"/>
      <c r="L653" s="4"/>
      <c r="M653" s="4"/>
      <c r="N653" s="4"/>
      <c r="O653" s="4"/>
      <c r="P653" s="4"/>
      <c r="Q653" s="4"/>
      <c r="R653" s="4"/>
      <c r="S653" s="4"/>
      <c r="T653" s="4"/>
      <c r="U653" s="4"/>
      <c r="V653" s="4"/>
      <c r="W653" s="242"/>
      <c r="X653" s="4"/>
      <c r="Y653" s="4"/>
      <c r="Z653" s="4"/>
    </row>
    <row r="654" ht="13.5" customHeight="1" spans="1:26" x14ac:dyDescent="0.25">
      <c r="A654" s="4"/>
      <c r="B654" s="4"/>
      <c r="C654" s="4"/>
      <c r="D654" s="4"/>
      <c r="E654" s="4"/>
      <c r="F654" s="4"/>
      <c r="G654" s="4"/>
      <c r="H654" s="4"/>
      <c r="I654" s="4"/>
      <c r="J654" s="4"/>
      <c r="K654" s="4"/>
      <c r="L654" s="4"/>
      <c r="M654" s="4"/>
      <c r="N654" s="4"/>
      <c r="O654" s="4"/>
      <c r="P654" s="4"/>
      <c r="Q654" s="4"/>
      <c r="R654" s="4"/>
      <c r="S654" s="4"/>
      <c r="T654" s="4"/>
      <c r="U654" s="4"/>
      <c r="V654" s="4"/>
      <c r="W654" s="242"/>
      <c r="X654" s="4"/>
      <c r="Y654" s="4"/>
      <c r="Z654" s="4"/>
    </row>
    <row r="655" ht="13.5" customHeight="1" spans="1:26" x14ac:dyDescent="0.25">
      <c r="A655" s="4"/>
      <c r="B655" s="4"/>
      <c r="C655" s="4"/>
      <c r="D655" s="4"/>
      <c r="E655" s="4"/>
      <c r="F655" s="4"/>
      <c r="G655" s="4"/>
      <c r="H655" s="4"/>
      <c r="I655" s="4"/>
      <c r="J655" s="4"/>
      <c r="K655" s="4"/>
      <c r="L655" s="4"/>
      <c r="M655" s="4"/>
      <c r="N655" s="4"/>
      <c r="O655" s="4"/>
      <c r="P655" s="4"/>
      <c r="Q655" s="4"/>
      <c r="R655" s="4"/>
      <c r="S655" s="4"/>
      <c r="T655" s="4"/>
      <c r="U655" s="4"/>
      <c r="V655" s="4"/>
      <c r="W655" s="242"/>
      <c r="X655" s="4"/>
      <c r="Y655" s="4"/>
      <c r="Z655" s="4"/>
    </row>
    <row r="656" ht="13.5" customHeight="1" spans="1:26" x14ac:dyDescent="0.25">
      <c r="A656" s="4"/>
      <c r="B656" s="4"/>
      <c r="C656" s="4"/>
      <c r="D656" s="4"/>
      <c r="E656" s="4"/>
      <c r="F656" s="4"/>
      <c r="G656" s="4"/>
      <c r="H656" s="4"/>
      <c r="I656" s="4"/>
      <c r="J656" s="4"/>
      <c r="K656" s="4"/>
      <c r="L656" s="4"/>
      <c r="M656" s="4"/>
      <c r="N656" s="4"/>
      <c r="O656" s="4"/>
      <c r="P656" s="4"/>
      <c r="Q656" s="4"/>
      <c r="R656" s="4"/>
      <c r="S656" s="4"/>
      <c r="T656" s="4"/>
      <c r="U656" s="4"/>
      <c r="V656" s="4"/>
      <c r="W656" s="242"/>
      <c r="X656" s="4"/>
      <c r="Y656" s="4"/>
      <c r="Z656" s="4"/>
    </row>
    <row r="657" ht="13.5" customHeight="1" spans="1:26" x14ac:dyDescent="0.25">
      <c r="A657" s="4"/>
      <c r="B657" s="4"/>
      <c r="C657" s="4"/>
      <c r="D657" s="4"/>
      <c r="E657" s="4"/>
      <c r="F657" s="4"/>
      <c r="G657" s="4"/>
      <c r="H657" s="4"/>
      <c r="I657" s="4"/>
      <c r="J657" s="4"/>
      <c r="K657" s="4"/>
      <c r="L657" s="4"/>
      <c r="M657" s="4"/>
      <c r="N657" s="4"/>
      <c r="O657" s="4"/>
      <c r="P657" s="4"/>
      <c r="Q657" s="4"/>
      <c r="R657" s="4"/>
      <c r="S657" s="4"/>
      <c r="T657" s="4"/>
      <c r="U657" s="4"/>
      <c r="V657" s="4"/>
      <c r="W657" s="242"/>
      <c r="X657" s="4"/>
      <c r="Y657" s="4"/>
      <c r="Z657" s="4"/>
    </row>
    <row r="658" ht="13.5" customHeight="1" spans="1:26" x14ac:dyDescent="0.25">
      <c r="A658" s="4"/>
      <c r="B658" s="4"/>
      <c r="C658" s="4"/>
      <c r="D658" s="4"/>
      <c r="E658" s="4"/>
      <c r="F658" s="4"/>
      <c r="G658" s="4"/>
      <c r="H658" s="4"/>
      <c r="I658" s="4"/>
      <c r="J658" s="4"/>
      <c r="K658" s="4"/>
      <c r="L658" s="4"/>
      <c r="M658" s="4"/>
      <c r="N658" s="4"/>
      <c r="O658" s="4"/>
      <c r="P658" s="4"/>
      <c r="Q658" s="4"/>
      <c r="R658" s="4"/>
      <c r="S658" s="4"/>
      <c r="T658" s="4"/>
      <c r="U658" s="4"/>
      <c r="V658" s="4"/>
      <c r="W658" s="242"/>
      <c r="X658" s="4"/>
      <c r="Y658" s="4"/>
      <c r="Z658" s="4"/>
    </row>
    <row r="659" ht="13.5" customHeight="1" spans="1:26" x14ac:dyDescent="0.25">
      <c r="A659" s="4"/>
      <c r="B659" s="4"/>
      <c r="C659" s="4"/>
      <c r="D659" s="4"/>
      <c r="E659" s="4"/>
      <c r="F659" s="4"/>
      <c r="G659" s="4"/>
      <c r="H659" s="4"/>
      <c r="I659" s="4"/>
      <c r="J659" s="4"/>
      <c r="K659" s="4"/>
      <c r="L659" s="4"/>
      <c r="M659" s="4"/>
      <c r="N659" s="4"/>
      <c r="O659" s="4"/>
      <c r="P659" s="4"/>
      <c r="Q659" s="4"/>
      <c r="R659" s="4"/>
      <c r="S659" s="4"/>
      <c r="T659" s="4"/>
      <c r="U659" s="4"/>
      <c r="V659" s="4"/>
      <c r="W659" s="242"/>
      <c r="X659" s="4"/>
      <c r="Y659" s="4"/>
      <c r="Z659" s="4"/>
    </row>
    <row r="660" ht="13.5" customHeight="1" spans="1:26" x14ac:dyDescent="0.25">
      <c r="A660" s="4"/>
      <c r="B660" s="4"/>
      <c r="C660" s="4"/>
      <c r="D660" s="4"/>
      <c r="E660" s="4"/>
      <c r="F660" s="4"/>
      <c r="G660" s="4"/>
      <c r="H660" s="4"/>
      <c r="I660" s="4"/>
      <c r="J660" s="4"/>
      <c r="K660" s="4"/>
      <c r="L660" s="4"/>
      <c r="M660" s="4"/>
      <c r="N660" s="4"/>
      <c r="O660" s="4"/>
      <c r="P660" s="4"/>
      <c r="Q660" s="4"/>
      <c r="R660" s="4"/>
      <c r="S660" s="4"/>
      <c r="T660" s="4"/>
      <c r="U660" s="4"/>
      <c r="V660" s="4"/>
      <c r="W660" s="242"/>
      <c r="X660" s="4"/>
      <c r="Y660" s="4"/>
      <c r="Z660" s="4"/>
    </row>
    <row r="661" ht="13.5" customHeight="1" spans="1:26" x14ac:dyDescent="0.25">
      <c r="A661" s="4"/>
      <c r="B661" s="4"/>
      <c r="C661" s="4"/>
      <c r="D661" s="4"/>
      <c r="E661" s="4"/>
      <c r="F661" s="4"/>
      <c r="G661" s="4"/>
      <c r="H661" s="4"/>
      <c r="I661" s="4"/>
      <c r="J661" s="4"/>
      <c r="K661" s="4"/>
      <c r="L661" s="4"/>
      <c r="M661" s="4"/>
      <c r="N661" s="4"/>
      <c r="O661" s="4"/>
      <c r="P661" s="4"/>
      <c r="Q661" s="4"/>
      <c r="R661" s="4"/>
      <c r="S661" s="4"/>
      <c r="T661" s="4"/>
      <c r="U661" s="4"/>
      <c r="V661" s="4"/>
      <c r="W661" s="242"/>
      <c r="X661" s="4"/>
      <c r="Y661" s="4"/>
      <c r="Z661" s="4"/>
    </row>
    <row r="662" ht="13.5" customHeight="1" spans="1:26" x14ac:dyDescent="0.25">
      <c r="A662" s="4"/>
      <c r="B662" s="4"/>
      <c r="C662" s="4"/>
      <c r="D662" s="4"/>
      <c r="E662" s="4"/>
      <c r="F662" s="4"/>
      <c r="G662" s="4"/>
      <c r="H662" s="4"/>
      <c r="I662" s="4"/>
      <c r="J662" s="4"/>
      <c r="K662" s="4"/>
      <c r="L662" s="4"/>
      <c r="M662" s="4"/>
      <c r="N662" s="4"/>
      <c r="O662" s="4"/>
      <c r="P662" s="4"/>
      <c r="Q662" s="4"/>
      <c r="R662" s="4"/>
      <c r="S662" s="4"/>
      <c r="T662" s="4"/>
      <c r="U662" s="4"/>
      <c r="V662" s="4"/>
      <c r="W662" s="242"/>
      <c r="X662" s="4"/>
      <c r="Y662" s="4"/>
      <c r="Z662" s="4"/>
    </row>
    <row r="663" ht="13.5" customHeight="1" spans="1:26" x14ac:dyDescent="0.25">
      <c r="A663" s="4"/>
      <c r="B663" s="4"/>
      <c r="C663" s="4"/>
      <c r="D663" s="4"/>
      <c r="E663" s="4"/>
      <c r="F663" s="4"/>
      <c r="G663" s="4"/>
      <c r="H663" s="4"/>
      <c r="I663" s="4"/>
      <c r="J663" s="4"/>
      <c r="K663" s="4"/>
      <c r="L663" s="4"/>
      <c r="M663" s="4"/>
      <c r="N663" s="4"/>
      <c r="O663" s="4"/>
      <c r="P663" s="4"/>
      <c r="Q663" s="4"/>
      <c r="R663" s="4"/>
      <c r="S663" s="4"/>
      <c r="T663" s="4"/>
      <c r="U663" s="4"/>
      <c r="V663" s="4"/>
      <c r="W663" s="242"/>
      <c r="X663" s="4"/>
      <c r="Y663" s="4"/>
      <c r="Z663" s="4"/>
    </row>
    <row r="664" ht="13.5" customHeight="1" spans="1:26" x14ac:dyDescent="0.25">
      <c r="A664" s="4"/>
      <c r="B664" s="4"/>
      <c r="C664" s="4"/>
      <c r="D664" s="4"/>
      <c r="E664" s="4"/>
      <c r="F664" s="4"/>
      <c r="G664" s="4"/>
      <c r="H664" s="4"/>
      <c r="I664" s="4"/>
      <c r="J664" s="4"/>
      <c r="K664" s="4"/>
      <c r="L664" s="4"/>
      <c r="M664" s="4"/>
      <c r="N664" s="4"/>
      <c r="O664" s="4"/>
      <c r="P664" s="4"/>
      <c r="Q664" s="4"/>
      <c r="R664" s="4"/>
      <c r="S664" s="4"/>
      <c r="T664" s="4"/>
      <c r="U664" s="4"/>
      <c r="V664" s="4"/>
      <c r="W664" s="242"/>
      <c r="X664" s="4"/>
      <c r="Y664" s="4"/>
      <c r="Z664" s="4"/>
    </row>
    <row r="665" ht="13.5" customHeight="1" spans="1:26" x14ac:dyDescent="0.25">
      <c r="A665" s="4"/>
      <c r="B665" s="4"/>
      <c r="C665" s="4"/>
      <c r="D665" s="4"/>
      <c r="E665" s="4"/>
      <c r="F665" s="4"/>
      <c r="G665" s="4"/>
      <c r="H665" s="4"/>
      <c r="I665" s="4"/>
      <c r="J665" s="4"/>
      <c r="K665" s="4"/>
      <c r="L665" s="4"/>
      <c r="M665" s="4"/>
      <c r="N665" s="4"/>
      <c r="O665" s="4"/>
      <c r="P665" s="4"/>
      <c r="Q665" s="4"/>
      <c r="R665" s="4"/>
      <c r="S665" s="4"/>
      <c r="T665" s="4"/>
      <c r="U665" s="4"/>
      <c r="V665" s="4"/>
      <c r="W665" s="242"/>
      <c r="X665" s="4"/>
      <c r="Y665" s="4"/>
      <c r="Z665" s="4"/>
    </row>
    <row r="666" ht="13.5" customHeight="1" spans="1:26" x14ac:dyDescent="0.25">
      <c r="A666" s="4"/>
      <c r="B666" s="4"/>
      <c r="C666" s="4"/>
      <c r="D666" s="4"/>
      <c r="E666" s="4"/>
      <c r="F666" s="4"/>
      <c r="G666" s="4"/>
      <c r="H666" s="4"/>
      <c r="I666" s="4"/>
      <c r="J666" s="4"/>
      <c r="K666" s="4"/>
      <c r="L666" s="4"/>
      <c r="M666" s="4"/>
      <c r="N666" s="4"/>
      <c r="O666" s="4"/>
      <c r="P666" s="4"/>
      <c r="Q666" s="4"/>
      <c r="R666" s="4"/>
      <c r="S666" s="4"/>
      <c r="T666" s="4"/>
      <c r="U666" s="4"/>
      <c r="V666" s="4"/>
      <c r="W666" s="242"/>
      <c r="X666" s="4"/>
      <c r="Y666" s="4"/>
      <c r="Z666" s="4"/>
    </row>
    <row r="667" ht="13.5" customHeight="1" spans="1:26" x14ac:dyDescent="0.25">
      <c r="A667" s="4"/>
      <c r="B667" s="4"/>
      <c r="C667" s="4"/>
      <c r="D667" s="4"/>
      <c r="E667" s="4"/>
      <c r="F667" s="4"/>
      <c r="G667" s="4"/>
      <c r="H667" s="4"/>
      <c r="I667" s="4"/>
      <c r="J667" s="4"/>
      <c r="K667" s="4"/>
      <c r="L667" s="4"/>
      <c r="M667" s="4"/>
      <c r="N667" s="4"/>
      <c r="O667" s="4"/>
      <c r="P667" s="4"/>
      <c r="Q667" s="4"/>
      <c r="R667" s="4"/>
      <c r="S667" s="4"/>
      <c r="T667" s="4"/>
      <c r="U667" s="4"/>
      <c r="V667" s="4"/>
      <c r="W667" s="242"/>
      <c r="X667" s="4"/>
      <c r="Y667" s="4"/>
      <c r="Z667" s="4"/>
    </row>
    <row r="668" ht="13.5" customHeight="1" spans="1:26" x14ac:dyDescent="0.25">
      <c r="A668" s="4"/>
      <c r="B668" s="4"/>
      <c r="C668" s="4"/>
      <c r="D668" s="4"/>
      <c r="E668" s="4"/>
      <c r="F668" s="4"/>
      <c r="G668" s="4"/>
      <c r="H668" s="4"/>
      <c r="I668" s="4"/>
      <c r="J668" s="4"/>
      <c r="K668" s="4"/>
      <c r="L668" s="4"/>
      <c r="M668" s="4"/>
      <c r="N668" s="4"/>
      <c r="O668" s="4"/>
      <c r="P668" s="4"/>
      <c r="Q668" s="4"/>
      <c r="R668" s="4"/>
      <c r="S668" s="4"/>
      <c r="T668" s="4"/>
      <c r="U668" s="4"/>
      <c r="V668" s="4"/>
      <c r="W668" s="242"/>
      <c r="X668" s="4"/>
      <c r="Y668" s="4"/>
      <c r="Z668" s="4"/>
    </row>
    <row r="669" ht="13.5" customHeight="1" spans="1:26" x14ac:dyDescent="0.25">
      <c r="A669" s="4"/>
      <c r="B669" s="4"/>
      <c r="C669" s="4"/>
      <c r="D669" s="4"/>
      <c r="E669" s="4"/>
      <c r="F669" s="4"/>
      <c r="G669" s="4"/>
      <c r="H669" s="4"/>
      <c r="I669" s="4"/>
      <c r="J669" s="4"/>
      <c r="K669" s="4"/>
      <c r="L669" s="4"/>
      <c r="M669" s="4"/>
      <c r="N669" s="4"/>
      <c r="O669" s="4"/>
      <c r="P669" s="4"/>
      <c r="Q669" s="4"/>
      <c r="R669" s="4"/>
      <c r="S669" s="4"/>
      <c r="T669" s="4"/>
      <c r="U669" s="4"/>
      <c r="V669" s="4"/>
      <c r="W669" s="242"/>
      <c r="X669" s="4"/>
      <c r="Y669" s="4"/>
      <c r="Z669" s="4"/>
    </row>
    <row r="670" ht="13.5" customHeight="1" spans="1:26" x14ac:dyDescent="0.25">
      <c r="A670" s="4"/>
      <c r="B670" s="4"/>
      <c r="C670" s="4"/>
      <c r="D670" s="4"/>
      <c r="E670" s="4"/>
      <c r="F670" s="4"/>
      <c r="G670" s="4"/>
      <c r="H670" s="4"/>
      <c r="I670" s="4"/>
      <c r="J670" s="4"/>
      <c r="K670" s="4"/>
      <c r="L670" s="4"/>
      <c r="M670" s="4"/>
      <c r="N670" s="4"/>
      <c r="O670" s="4"/>
      <c r="P670" s="4"/>
      <c r="Q670" s="4"/>
      <c r="R670" s="4"/>
      <c r="S670" s="4"/>
      <c r="T670" s="4"/>
      <c r="U670" s="4"/>
      <c r="V670" s="4"/>
      <c r="W670" s="242"/>
      <c r="X670" s="4"/>
      <c r="Y670" s="4"/>
      <c r="Z670" s="4"/>
    </row>
    <row r="671" ht="13.5" customHeight="1" spans="1:26" x14ac:dyDescent="0.25">
      <c r="A671" s="4"/>
      <c r="B671" s="4"/>
      <c r="C671" s="4"/>
      <c r="D671" s="4"/>
      <c r="E671" s="4"/>
      <c r="F671" s="4"/>
      <c r="G671" s="4"/>
      <c r="H671" s="4"/>
      <c r="I671" s="4"/>
      <c r="J671" s="4"/>
      <c r="K671" s="4"/>
      <c r="L671" s="4"/>
      <c r="M671" s="4"/>
      <c r="N671" s="4"/>
      <c r="O671" s="4"/>
      <c r="P671" s="4"/>
      <c r="Q671" s="4"/>
      <c r="R671" s="4"/>
      <c r="S671" s="4"/>
      <c r="T671" s="4"/>
      <c r="U671" s="4"/>
      <c r="V671" s="4"/>
      <c r="W671" s="242"/>
      <c r="X671" s="4"/>
      <c r="Y671" s="4"/>
      <c r="Z671" s="4"/>
    </row>
    <row r="672" ht="13.5" customHeight="1" spans="1:26" x14ac:dyDescent="0.25">
      <c r="A672" s="4"/>
      <c r="B672" s="4"/>
      <c r="C672" s="4"/>
      <c r="D672" s="4"/>
      <c r="E672" s="4"/>
      <c r="F672" s="4"/>
      <c r="G672" s="4"/>
      <c r="H672" s="4"/>
      <c r="I672" s="4"/>
      <c r="J672" s="4"/>
      <c r="K672" s="4"/>
      <c r="L672" s="4"/>
      <c r="M672" s="4"/>
      <c r="N672" s="4"/>
      <c r="O672" s="4"/>
      <c r="P672" s="4"/>
      <c r="Q672" s="4"/>
      <c r="R672" s="4"/>
      <c r="S672" s="4"/>
      <c r="T672" s="4"/>
      <c r="U672" s="4"/>
      <c r="V672" s="4"/>
      <c r="W672" s="242"/>
      <c r="X672" s="4"/>
      <c r="Y672" s="4"/>
      <c r="Z672" s="4"/>
    </row>
    <row r="673" ht="13.5" customHeight="1" spans="1:26" x14ac:dyDescent="0.25">
      <c r="A673" s="4"/>
      <c r="B673" s="4"/>
      <c r="C673" s="4"/>
      <c r="D673" s="4"/>
      <c r="E673" s="4"/>
      <c r="F673" s="4"/>
      <c r="G673" s="4"/>
      <c r="H673" s="4"/>
      <c r="I673" s="4"/>
      <c r="J673" s="4"/>
      <c r="K673" s="4"/>
      <c r="L673" s="4"/>
      <c r="M673" s="4"/>
      <c r="N673" s="4"/>
      <c r="O673" s="4"/>
      <c r="P673" s="4"/>
      <c r="Q673" s="4"/>
      <c r="R673" s="4"/>
      <c r="S673" s="4"/>
      <c r="T673" s="4"/>
      <c r="U673" s="4"/>
      <c r="V673" s="4"/>
      <c r="W673" s="242"/>
      <c r="X673" s="4"/>
      <c r="Y673" s="4"/>
      <c r="Z673" s="4"/>
    </row>
    <row r="674" ht="13.5" customHeight="1" spans="1:26" x14ac:dyDescent="0.25">
      <c r="A674" s="4"/>
      <c r="B674" s="4"/>
      <c r="C674" s="4"/>
      <c r="D674" s="4"/>
      <c r="E674" s="4"/>
      <c r="F674" s="4"/>
      <c r="G674" s="4"/>
      <c r="H674" s="4"/>
      <c r="I674" s="4"/>
      <c r="J674" s="4"/>
      <c r="K674" s="4"/>
      <c r="L674" s="4"/>
      <c r="M674" s="4"/>
      <c r="N674" s="4"/>
      <c r="O674" s="4"/>
      <c r="P674" s="4"/>
      <c r="Q674" s="4"/>
      <c r="R674" s="4"/>
      <c r="S674" s="4"/>
      <c r="T674" s="4"/>
      <c r="U674" s="4"/>
      <c r="V674" s="4"/>
      <c r="W674" s="242"/>
      <c r="X674" s="4"/>
      <c r="Y674" s="4"/>
      <c r="Z674" s="4"/>
    </row>
    <row r="675" ht="13.5" customHeight="1" spans="1:26" x14ac:dyDescent="0.25">
      <c r="A675" s="4"/>
      <c r="B675" s="4"/>
      <c r="C675" s="4"/>
      <c r="D675" s="4"/>
      <c r="E675" s="4"/>
      <c r="F675" s="4"/>
      <c r="G675" s="4"/>
      <c r="H675" s="4"/>
      <c r="I675" s="4"/>
      <c r="J675" s="4"/>
      <c r="K675" s="4"/>
      <c r="L675" s="4"/>
      <c r="M675" s="4"/>
      <c r="N675" s="4"/>
      <c r="O675" s="4"/>
      <c r="P675" s="4"/>
      <c r="Q675" s="4"/>
      <c r="R675" s="4"/>
      <c r="S675" s="4"/>
      <c r="T675" s="4"/>
      <c r="U675" s="4"/>
      <c r="V675" s="4"/>
      <c r="W675" s="242"/>
      <c r="X675" s="4"/>
      <c r="Y675" s="4"/>
      <c r="Z675" s="4"/>
    </row>
    <row r="676" ht="13.5" customHeight="1" spans="1:26" x14ac:dyDescent="0.25">
      <c r="A676" s="4"/>
      <c r="B676" s="4"/>
      <c r="C676" s="4"/>
      <c r="D676" s="4"/>
      <c r="E676" s="4"/>
      <c r="F676" s="4"/>
      <c r="G676" s="4"/>
      <c r="H676" s="4"/>
      <c r="I676" s="4"/>
      <c r="J676" s="4"/>
      <c r="K676" s="4"/>
      <c r="L676" s="4"/>
      <c r="M676" s="4"/>
      <c r="N676" s="4"/>
      <c r="O676" s="4"/>
      <c r="P676" s="4"/>
      <c r="Q676" s="4"/>
      <c r="R676" s="4"/>
      <c r="S676" s="4"/>
      <c r="T676" s="4"/>
      <c r="U676" s="4"/>
      <c r="V676" s="4"/>
      <c r="W676" s="242"/>
      <c r="X676" s="4"/>
      <c r="Y676" s="4"/>
      <c r="Z676" s="4"/>
    </row>
    <row r="677" ht="13.5" customHeight="1" spans="1:26" x14ac:dyDescent="0.25">
      <c r="A677" s="4"/>
      <c r="B677" s="4"/>
      <c r="C677" s="4"/>
      <c r="D677" s="4"/>
      <c r="E677" s="4"/>
      <c r="F677" s="4"/>
      <c r="G677" s="4"/>
      <c r="H677" s="4"/>
      <c r="I677" s="4"/>
      <c r="J677" s="4"/>
      <c r="K677" s="4"/>
      <c r="L677" s="4"/>
      <c r="M677" s="4"/>
      <c r="N677" s="4"/>
      <c r="O677" s="4"/>
      <c r="P677" s="4"/>
      <c r="Q677" s="4"/>
      <c r="R677" s="4"/>
      <c r="S677" s="4"/>
      <c r="T677" s="4"/>
      <c r="U677" s="4"/>
      <c r="V677" s="4"/>
      <c r="W677" s="242"/>
      <c r="X677" s="4"/>
      <c r="Y677" s="4"/>
      <c r="Z677" s="4"/>
    </row>
    <row r="678" ht="13.5" customHeight="1" spans="1:26" x14ac:dyDescent="0.25">
      <c r="A678" s="4"/>
      <c r="B678" s="4"/>
      <c r="C678" s="4"/>
      <c r="D678" s="4"/>
      <c r="E678" s="4"/>
      <c r="F678" s="4"/>
      <c r="G678" s="4"/>
      <c r="H678" s="4"/>
      <c r="I678" s="4"/>
      <c r="J678" s="4"/>
      <c r="K678" s="4"/>
      <c r="L678" s="4"/>
      <c r="M678" s="4"/>
      <c r="N678" s="4"/>
      <c r="O678" s="4"/>
      <c r="P678" s="4"/>
      <c r="Q678" s="4"/>
      <c r="R678" s="4"/>
      <c r="S678" s="4"/>
      <c r="T678" s="4"/>
      <c r="U678" s="4"/>
      <c r="V678" s="4"/>
      <c r="W678" s="242"/>
      <c r="X678" s="4"/>
      <c r="Y678" s="4"/>
      <c r="Z678" s="4"/>
    </row>
    <row r="679" ht="13.5" customHeight="1" spans="1:26" x14ac:dyDescent="0.25">
      <c r="A679" s="4"/>
      <c r="B679" s="4"/>
      <c r="C679" s="4"/>
      <c r="D679" s="4"/>
      <c r="E679" s="4"/>
      <c r="F679" s="4"/>
      <c r="G679" s="4"/>
      <c r="H679" s="4"/>
      <c r="I679" s="4"/>
      <c r="J679" s="4"/>
      <c r="K679" s="4"/>
      <c r="L679" s="4"/>
      <c r="M679" s="4"/>
      <c r="N679" s="4"/>
      <c r="O679" s="4"/>
      <c r="P679" s="4"/>
      <c r="Q679" s="4"/>
      <c r="R679" s="4"/>
      <c r="S679" s="4"/>
      <c r="T679" s="4"/>
      <c r="U679" s="4"/>
      <c r="V679" s="4"/>
      <c r="W679" s="242"/>
      <c r="X679" s="4"/>
      <c r="Y679" s="4"/>
      <c r="Z679" s="4"/>
    </row>
    <row r="680" ht="13.5" customHeight="1" spans="1:26" x14ac:dyDescent="0.25">
      <c r="A680" s="4"/>
      <c r="B680" s="4"/>
      <c r="C680" s="4"/>
      <c r="D680" s="4"/>
      <c r="E680" s="4"/>
      <c r="F680" s="4"/>
      <c r="G680" s="4"/>
      <c r="H680" s="4"/>
      <c r="I680" s="4"/>
      <c r="J680" s="4"/>
      <c r="K680" s="4"/>
      <c r="L680" s="4"/>
      <c r="M680" s="4"/>
      <c r="N680" s="4"/>
      <c r="O680" s="4"/>
      <c r="P680" s="4"/>
      <c r="Q680" s="4"/>
      <c r="R680" s="4"/>
      <c r="S680" s="4"/>
      <c r="T680" s="4"/>
      <c r="U680" s="4"/>
      <c r="V680" s="4"/>
      <c r="W680" s="242"/>
      <c r="X680" s="4"/>
      <c r="Y680" s="4"/>
      <c r="Z680" s="4"/>
    </row>
    <row r="681" ht="13.5" customHeight="1" spans="1:26" x14ac:dyDescent="0.25">
      <c r="A681" s="4"/>
      <c r="B681" s="4"/>
      <c r="C681" s="4"/>
      <c r="D681" s="4"/>
      <c r="E681" s="4"/>
      <c r="F681" s="4"/>
      <c r="G681" s="4"/>
      <c r="H681" s="4"/>
      <c r="I681" s="4"/>
      <c r="J681" s="4"/>
      <c r="K681" s="4"/>
      <c r="L681" s="4"/>
      <c r="M681" s="4"/>
      <c r="N681" s="4"/>
      <c r="O681" s="4"/>
      <c r="P681" s="4"/>
      <c r="Q681" s="4"/>
      <c r="R681" s="4"/>
      <c r="S681" s="4"/>
      <c r="T681" s="4"/>
      <c r="U681" s="4"/>
      <c r="V681" s="4"/>
      <c r="W681" s="242"/>
      <c r="X681" s="4"/>
      <c r="Y681" s="4"/>
      <c r="Z681" s="4"/>
    </row>
    <row r="682" ht="13.5" customHeight="1" spans="1:26" x14ac:dyDescent="0.25">
      <c r="A682" s="4"/>
      <c r="B682" s="4"/>
      <c r="C682" s="4"/>
      <c r="D682" s="4"/>
      <c r="E682" s="4"/>
      <c r="F682" s="4"/>
      <c r="G682" s="4"/>
      <c r="H682" s="4"/>
      <c r="I682" s="4"/>
      <c r="J682" s="4"/>
      <c r="K682" s="4"/>
      <c r="L682" s="4"/>
      <c r="M682" s="4"/>
      <c r="N682" s="4"/>
      <c r="O682" s="4"/>
      <c r="P682" s="4"/>
      <c r="Q682" s="4"/>
      <c r="R682" s="4"/>
      <c r="S682" s="4"/>
      <c r="T682" s="4"/>
      <c r="U682" s="4"/>
      <c r="V682" s="4"/>
      <c r="W682" s="242"/>
      <c r="X682" s="4"/>
      <c r="Y682" s="4"/>
      <c r="Z682" s="4"/>
    </row>
    <row r="683" ht="13.5" customHeight="1" spans="1:26" x14ac:dyDescent="0.25">
      <c r="A683" s="4"/>
      <c r="B683" s="4"/>
      <c r="C683" s="4"/>
      <c r="D683" s="4"/>
      <c r="E683" s="4"/>
      <c r="F683" s="4"/>
      <c r="G683" s="4"/>
      <c r="H683" s="4"/>
      <c r="I683" s="4"/>
      <c r="J683" s="4"/>
      <c r="K683" s="4"/>
      <c r="L683" s="4"/>
      <c r="M683" s="4"/>
      <c r="N683" s="4"/>
      <c r="O683" s="4"/>
      <c r="P683" s="4"/>
      <c r="Q683" s="4"/>
      <c r="R683" s="4"/>
      <c r="S683" s="4"/>
      <c r="T683" s="4"/>
      <c r="U683" s="4"/>
      <c r="V683" s="4"/>
      <c r="W683" s="242"/>
      <c r="X683" s="4"/>
      <c r="Y683" s="4"/>
      <c r="Z683" s="4"/>
    </row>
    <row r="684" ht="13.5" customHeight="1" spans="1:26" x14ac:dyDescent="0.25">
      <c r="A684" s="4"/>
      <c r="B684" s="4"/>
      <c r="C684" s="4"/>
      <c r="D684" s="4"/>
      <c r="E684" s="4"/>
      <c r="F684" s="4"/>
      <c r="G684" s="4"/>
      <c r="H684" s="4"/>
      <c r="I684" s="4"/>
      <c r="J684" s="4"/>
      <c r="K684" s="4"/>
      <c r="L684" s="4"/>
      <c r="M684" s="4"/>
      <c r="N684" s="4"/>
      <c r="O684" s="4"/>
      <c r="P684" s="4"/>
      <c r="Q684" s="4"/>
      <c r="R684" s="4"/>
      <c r="S684" s="4"/>
      <c r="T684" s="4"/>
      <c r="U684" s="4"/>
      <c r="V684" s="4"/>
      <c r="W684" s="242"/>
      <c r="X684" s="4"/>
      <c r="Y684" s="4"/>
      <c r="Z684" s="4"/>
    </row>
    <row r="685" ht="13.5" customHeight="1" spans="1:26" x14ac:dyDescent="0.25">
      <c r="A685" s="4"/>
      <c r="B685" s="4"/>
      <c r="C685" s="4"/>
      <c r="D685" s="4"/>
      <c r="E685" s="4"/>
      <c r="F685" s="4"/>
      <c r="G685" s="4"/>
      <c r="H685" s="4"/>
      <c r="I685" s="4"/>
      <c r="J685" s="4"/>
      <c r="K685" s="4"/>
      <c r="L685" s="4"/>
      <c r="M685" s="4"/>
      <c r="N685" s="4"/>
      <c r="O685" s="4"/>
      <c r="P685" s="4"/>
      <c r="Q685" s="4"/>
      <c r="R685" s="4"/>
      <c r="S685" s="4"/>
      <c r="T685" s="4"/>
      <c r="U685" s="4"/>
      <c r="V685" s="4"/>
      <c r="W685" s="242"/>
      <c r="X685" s="4"/>
      <c r="Y685" s="4"/>
      <c r="Z685" s="4"/>
    </row>
    <row r="686" ht="13.5" customHeight="1" spans="1:26" x14ac:dyDescent="0.25">
      <c r="A686" s="4"/>
      <c r="B686" s="4"/>
      <c r="C686" s="4"/>
      <c r="D686" s="4"/>
      <c r="E686" s="4"/>
      <c r="F686" s="4"/>
      <c r="G686" s="4"/>
      <c r="H686" s="4"/>
      <c r="I686" s="4"/>
      <c r="J686" s="4"/>
      <c r="K686" s="4"/>
      <c r="L686" s="4"/>
      <c r="M686" s="4"/>
      <c r="N686" s="4"/>
      <c r="O686" s="4"/>
      <c r="P686" s="4"/>
      <c r="Q686" s="4"/>
      <c r="R686" s="4"/>
      <c r="S686" s="4"/>
      <c r="T686" s="4"/>
      <c r="U686" s="4"/>
      <c r="V686" s="4"/>
      <c r="W686" s="242"/>
      <c r="X686" s="4"/>
      <c r="Y686" s="4"/>
      <c r="Z686" s="4"/>
    </row>
    <row r="687" ht="13.5" customHeight="1" spans="1:26" x14ac:dyDescent="0.25">
      <c r="A687" s="4"/>
      <c r="B687" s="4"/>
      <c r="C687" s="4"/>
      <c r="D687" s="4"/>
      <c r="E687" s="4"/>
      <c r="F687" s="4"/>
      <c r="G687" s="4"/>
      <c r="H687" s="4"/>
      <c r="I687" s="4"/>
      <c r="J687" s="4"/>
      <c r="K687" s="4"/>
      <c r="L687" s="4"/>
      <c r="M687" s="4"/>
      <c r="N687" s="4"/>
      <c r="O687" s="4"/>
      <c r="P687" s="4"/>
      <c r="Q687" s="4"/>
      <c r="R687" s="4"/>
      <c r="S687" s="4"/>
      <c r="T687" s="4"/>
      <c r="U687" s="4"/>
      <c r="V687" s="4"/>
      <c r="W687" s="242"/>
      <c r="X687" s="4"/>
      <c r="Y687" s="4"/>
      <c r="Z687" s="4"/>
    </row>
    <row r="688" ht="13.5" customHeight="1" spans="1:26" x14ac:dyDescent="0.25">
      <c r="A688" s="4"/>
      <c r="B688" s="4"/>
      <c r="C688" s="4"/>
      <c r="D688" s="4"/>
      <c r="E688" s="4"/>
      <c r="F688" s="4"/>
      <c r="G688" s="4"/>
      <c r="H688" s="4"/>
      <c r="I688" s="4"/>
      <c r="J688" s="4"/>
      <c r="K688" s="4"/>
      <c r="L688" s="4"/>
      <c r="M688" s="4"/>
      <c r="N688" s="4"/>
      <c r="O688" s="4"/>
      <c r="P688" s="4"/>
      <c r="Q688" s="4"/>
      <c r="R688" s="4"/>
      <c r="S688" s="4"/>
      <c r="T688" s="4"/>
      <c r="U688" s="4"/>
      <c r="V688" s="4"/>
      <c r="W688" s="242"/>
      <c r="X688" s="4"/>
      <c r="Y688" s="4"/>
      <c r="Z688" s="4"/>
    </row>
    <row r="689" ht="13.5" customHeight="1" spans="1:26" x14ac:dyDescent="0.25">
      <c r="A689" s="4"/>
      <c r="B689" s="4"/>
      <c r="C689" s="4"/>
      <c r="D689" s="4"/>
      <c r="E689" s="4"/>
      <c r="F689" s="4"/>
      <c r="G689" s="4"/>
      <c r="H689" s="4"/>
      <c r="I689" s="4"/>
      <c r="J689" s="4"/>
      <c r="K689" s="4"/>
      <c r="L689" s="4"/>
      <c r="M689" s="4"/>
      <c r="N689" s="4"/>
      <c r="O689" s="4"/>
      <c r="P689" s="4"/>
      <c r="Q689" s="4"/>
      <c r="R689" s="4"/>
      <c r="S689" s="4"/>
      <c r="T689" s="4"/>
      <c r="U689" s="4"/>
      <c r="V689" s="4"/>
      <c r="W689" s="242"/>
      <c r="X689" s="4"/>
      <c r="Y689" s="4"/>
      <c r="Z689" s="4"/>
    </row>
    <row r="690" ht="13.5" customHeight="1" spans="1:26" x14ac:dyDescent="0.25">
      <c r="A690" s="4"/>
      <c r="B690" s="4"/>
      <c r="C690" s="4"/>
      <c r="D690" s="4"/>
      <c r="E690" s="4"/>
      <c r="F690" s="4"/>
      <c r="G690" s="4"/>
      <c r="H690" s="4"/>
      <c r="I690" s="4"/>
      <c r="J690" s="4"/>
      <c r="K690" s="4"/>
      <c r="L690" s="4"/>
      <c r="M690" s="4"/>
      <c r="N690" s="4"/>
      <c r="O690" s="4"/>
      <c r="P690" s="4"/>
      <c r="Q690" s="4"/>
      <c r="R690" s="4"/>
      <c r="S690" s="4"/>
      <c r="T690" s="4"/>
      <c r="U690" s="4"/>
      <c r="V690" s="4"/>
      <c r="W690" s="242"/>
      <c r="X690" s="4"/>
      <c r="Y690" s="4"/>
      <c r="Z690" s="4"/>
    </row>
    <row r="691" ht="13.5" customHeight="1" spans="1:26" x14ac:dyDescent="0.25">
      <c r="A691" s="4"/>
      <c r="B691" s="4"/>
      <c r="C691" s="4"/>
      <c r="D691" s="4"/>
      <c r="E691" s="4"/>
      <c r="F691" s="4"/>
      <c r="G691" s="4"/>
      <c r="H691" s="4"/>
      <c r="I691" s="4"/>
      <c r="J691" s="4"/>
      <c r="K691" s="4"/>
      <c r="L691" s="4"/>
      <c r="M691" s="4"/>
      <c r="N691" s="4"/>
      <c r="O691" s="4"/>
      <c r="P691" s="4"/>
      <c r="Q691" s="4"/>
      <c r="R691" s="4"/>
      <c r="S691" s="4"/>
      <c r="T691" s="4"/>
      <c r="U691" s="4"/>
      <c r="V691" s="4"/>
      <c r="W691" s="242"/>
      <c r="X691" s="4"/>
      <c r="Y691" s="4"/>
      <c r="Z691" s="4"/>
    </row>
    <row r="692" ht="13.5" customHeight="1" spans="1:26" x14ac:dyDescent="0.25">
      <c r="A692" s="4"/>
      <c r="B692" s="4"/>
      <c r="C692" s="4"/>
      <c r="D692" s="4"/>
      <c r="E692" s="4"/>
      <c r="F692" s="4"/>
      <c r="G692" s="4"/>
      <c r="H692" s="4"/>
      <c r="I692" s="4"/>
      <c r="J692" s="4"/>
      <c r="K692" s="4"/>
      <c r="L692" s="4"/>
      <c r="M692" s="4"/>
      <c r="N692" s="4"/>
      <c r="O692" s="4"/>
      <c r="P692" s="4"/>
      <c r="Q692" s="4"/>
      <c r="R692" s="4"/>
      <c r="S692" s="4"/>
      <c r="T692" s="4"/>
      <c r="U692" s="4"/>
      <c r="V692" s="4"/>
      <c r="W692" s="242"/>
      <c r="X692" s="4"/>
      <c r="Y692" s="4"/>
      <c r="Z692" s="4"/>
    </row>
    <row r="693" ht="13.5" customHeight="1" spans="1:26" x14ac:dyDescent="0.25">
      <c r="A693" s="4"/>
      <c r="B693" s="4"/>
      <c r="C693" s="4"/>
      <c r="D693" s="4"/>
      <c r="E693" s="4"/>
      <c r="F693" s="4"/>
      <c r="G693" s="4"/>
      <c r="H693" s="4"/>
      <c r="I693" s="4"/>
      <c r="J693" s="4"/>
      <c r="K693" s="4"/>
      <c r="L693" s="4"/>
      <c r="M693" s="4"/>
      <c r="N693" s="4"/>
      <c r="O693" s="4"/>
      <c r="P693" s="4"/>
      <c r="Q693" s="4"/>
      <c r="R693" s="4"/>
      <c r="S693" s="4"/>
      <c r="T693" s="4"/>
      <c r="U693" s="4"/>
      <c r="V693" s="4"/>
      <c r="W693" s="242"/>
      <c r="X693" s="4"/>
      <c r="Y693" s="4"/>
      <c r="Z693" s="4"/>
    </row>
    <row r="694" ht="13.5" customHeight="1" spans="1:26" x14ac:dyDescent="0.25">
      <c r="A694" s="4"/>
      <c r="B694" s="4"/>
      <c r="C694" s="4"/>
      <c r="D694" s="4"/>
      <c r="E694" s="4"/>
      <c r="F694" s="4"/>
      <c r="G694" s="4"/>
      <c r="H694" s="4"/>
      <c r="I694" s="4"/>
      <c r="J694" s="4"/>
      <c r="K694" s="4"/>
      <c r="L694" s="4"/>
      <c r="M694" s="4"/>
      <c r="N694" s="4"/>
      <c r="O694" s="4"/>
      <c r="P694" s="4"/>
      <c r="Q694" s="4"/>
      <c r="R694" s="4"/>
      <c r="S694" s="4"/>
      <c r="T694" s="4"/>
      <c r="U694" s="4"/>
      <c r="V694" s="4"/>
      <c r="W694" s="242"/>
      <c r="X694" s="4"/>
      <c r="Y694" s="4"/>
      <c r="Z694" s="4"/>
    </row>
    <row r="695" ht="13.5" customHeight="1" spans="1:26" x14ac:dyDescent="0.25">
      <c r="A695" s="4"/>
      <c r="B695" s="4"/>
      <c r="C695" s="4"/>
      <c r="D695" s="4"/>
      <c r="E695" s="4"/>
      <c r="F695" s="4"/>
      <c r="G695" s="4"/>
      <c r="H695" s="4"/>
      <c r="I695" s="4"/>
      <c r="J695" s="4"/>
      <c r="K695" s="4"/>
      <c r="L695" s="4"/>
      <c r="M695" s="4"/>
      <c r="N695" s="4"/>
      <c r="O695" s="4"/>
      <c r="P695" s="4"/>
      <c r="Q695" s="4"/>
      <c r="R695" s="4"/>
      <c r="S695" s="4"/>
      <c r="T695" s="4"/>
      <c r="U695" s="4"/>
      <c r="V695" s="4"/>
      <c r="W695" s="242"/>
      <c r="X695" s="4"/>
      <c r="Y695" s="4"/>
      <c r="Z695" s="4"/>
    </row>
    <row r="696" ht="13.5" customHeight="1" spans="1:26" x14ac:dyDescent="0.25">
      <c r="A696" s="4"/>
      <c r="B696" s="4"/>
      <c r="C696" s="4"/>
      <c r="D696" s="4"/>
      <c r="E696" s="4"/>
      <c r="F696" s="4"/>
      <c r="G696" s="4"/>
      <c r="H696" s="4"/>
      <c r="I696" s="4"/>
      <c r="J696" s="4"/>
      <c r="K696" s="4"/>
      <c r="L696" s="4"/>
      <c r="M696" s="4"/>
      <c r="N696" s="4"/>
      <c r="O696" s="4"/>
      <c r="P696" s="4"/>
      <c r="Q696" s="4"/>
      <c r="R696" s="4"/>
      <c r="S696" s="4"/>
      <c r="T696" s="4"/>
      <c r="U696" s="4"/>
      <c r="V696" s="4"/>
      <c r="W696" s="242"/>
      <c r="X696" s="4"/>
      <c r="Y696" s="4"/>
      <c r="Z696" s="4"/>
    </row>
    <row r="697" ht="13.5" customHeight="1" spans="1:26" x14ac:dyDescent="0.25">
      <c r="A697" s="4"/>
      <c r="B697" s="4"/>
      <c r="C697" s="4"/>
      <c r="D697" s="4"/>
      <c r="E697" s="4"/>
      <c r="F697" s="4"/>
      <c r="G697" s="4"/>
      <c r="H697" s="4"/>
      <c r="I697" s="4"/>
      <c r="J697" s="4"/>
      <c r="K697" s="4"/>
      <c r="L697" s="4"/>
      <c r="M697" s="4"/>
      <c r="N697" s="4"/>
      <c r="O697" s="4"/>
      <c r="P697" s="4"/>
      <c r="Q697" s="4"/>
      <c r="R697" s="4"/>
      <c r="S697" s="4"/>
      <c r="T697" s="4"/>
      <c r="U697" s="4"/>
      <c r="V697" s="4"/>
      <c r="W697" s="242"/>
      <c r="X697" s="4"/>
      <c r="Y697" s="4"/>
      <c r="Z697" s="4"/>
    </row>
    <row r="698" ht="13.5" customHeight="1" spans="1:26" x14ac:dyDescent="0.25">
      <c r="A698" s="4"/>
      <c r="B698" s="4"/>
      <c r="C698" s="4"/>
      <c r="D698" s="4"/>
      <c r="E698" s="4"/>
      <c r="F698" s="4"/>
      <c r="G698" s="4"/>
      <c r="H698" s="4"/>
      <c r="I698" s="4"/>
      <c r="J698" s="4"/>
      <c r="K698" s="4"/>
      <c r="L698" s="4"/>
      <c r="M698" s="4"/>
      <c r="N698" s="4"/>
      <c r="O698" s="4"/>
      <c r="P698" s="4"/>
      <c r="Q698" s="4"/>
      <c r="R698" s="4"/>
      <c r="S698" s="4"/>
      <c r="T698" s="4"/>
      <c r="U698" s="4"/>
      <c r="V698" s="4"/>
      <c r="W698" s="242"/>
      <c r="X698" s="4"/>
      <c r="Y698" s="4"/>
      <c r="Z698" s="4"/>
    </row>
    <row r="699" ht="13.5" customHeight="1" spans="1:26" x14ac:dyDescent="0.25">
      <c r="A699" s="4"/>
      <c r="B699" s="4"/>
      <c r="C699" s="4"/>
      <c r="D699" s="4"/>
      <c r="E699" s="4"/>
      <c r="F699" s="4"/>
      <c r="G699" s="4"/>
      <c r="H699" s="4"/>
      <c r="I699" s="4"/>
      <c r="J699" s="4"/>
      <c r="K699" s="4"/>
      <c r="L699" s="4"/>
      <c r="M699" s="4"/>
      <c r="N699" s="4"/>
      <c r="O699" s="4"/>
      <c r="P699" s="4"/>
      <c r="Q699" s="4"/>
      <c r="R699" s="4"/>
      <c r="S699" s="4"/>
      <c r="T699" s="4"/>
      <c r="U699" s="4"/>
      <c r="V699" s="4"/>
      <c r="W699" s="242"/>
      <c r="X699" s="4"/>
      <c r="Y699" s="4"/>
      <c r="Z699" s="4"/>
    </row>
    <row r="700" ht="13.5" customHeight="1" spans="1:26" x14ac:dyDescent="0.25">
      <c r="A700" s="4"/>
      <c r="B700" s="4"/>
      <c r="C700" s="4"/>
      <c r="D700" s="4"/>
      <c r="E700" s="4"/>
      <c r="F700" s="4"/>
      <c r="G700" s="4"/>
      <c r="H700" s="4"/>
      <c r="I700" s="4"/>
      <c r="J700" s="4"/>
      <c r="K700" s="4"/>
      <c r="L700" s="4"/>
      <c r="M700" s="4"/>
      <c r="N700" s="4"/>
      <c r="O700" s="4"/>
      <c r="P700" s="4"/>
      <c r="Q700" s="4"/>
      <c r="R700" s="4"/>
      <c r="S700" s="4"/>
      <c r="T700" s="4"/>
      <c r="U700" s="4"/>
      <c r="V700" s="4"/>
      <c r="W700" s="242"/>
      <c r="X700" s="4"/>
      <c r="Y700" s="4"/>
      <c r="Z700" s="4"/>
    </row>
    <row r="701" ht="13.5" customHeight="1" spans="1:26" x14ac:dyDescent="0.25">
      <c r="A701" s="4"/>
      <c r="B701" s="4"/>
      <c r="C701" s="4"/>
      <c r="D701" s="4"/>
      <c r="E701" s="4"/>
      <c r="F701" s="4"/>
      <c r="G701" s="4"/>
      <c r="H701" s="4"/>
      <c r="I701" s="4"/>
      <c r="J701" s="4"/>
      <c r="K701" s="4"/>
      <c r="L701" s="4"/>
      <c r="M701" s="4"/>
      <c r="N701" s="4"/>
      <c r="O701" s="4"/>
      <c r="P701" s="4"/>
      <c r="Q701" s="4"/>
      <c r="R701" s="4"/>
      <c r="S701" s="4"/>
      <c r="T701" s="4"/>
      <c r="U701" s="4"/>
      <c r="V701" s="4"/>
      <c r="W701" s="242"/>
      <c r="X701" s="4"/>
      <c r="Y701" s="4"/>
      <c r="Z701" s="4"/>
    </row>
    <row r="702" ht="13.5" customHeight="1" spans="1:26" x14ac:dyDescent="0.25">
      <c r="A702" s="4"/>
      <c r="B702" s="4"/>
      <c r="C702" s="4"/>
      <c r="D702" s="4"/>
      <c r="E702" s="4"/>
      <c r="F702" s="4"/>
      <c r="G702" s="4"/>
      <c r="H702" s="4"/>
      <c r="I702" s="4"/>
      <c r="J702" s="4"/>
      <c r="K702" s="4"/>
      <c r="L702" s="4"/>
      <c r="M702" s="4"/>
      <c r="N702" s="4"/>
      <c r="O702" s="4"/>
      <c r="P702" s="4"/>
      <c r="Q702" s="4"/>
      <c r="R702" s="4"/>
      <c r="S702" s="4"/>
      <c r="T702" s="4"/>
      <c r="U702" s="4"/>
      <c r="V702" s="4"/>
      <c r="W702" s="242"/>
      <c r="X702" s="4"/>
      <c r="Y702" s="4"/>
      <c r="Z702" s="4"/>
    </row>
    <row r="703" ht="13.5" customHeight="1" spans="1:26" x14ac:dyDescent="0.25">
      <c r="A703" s="4"/>
      <c r="B703" s="4"/>
      <c r="C703" s="4"/>
      <c r="D703" s="4"/>
      <c r="E703" s="4"/>
      <c r="F703" s="4"/>
      <c r="G703" s="4"/>
      <c r="H703" s="4"/>
      <c r="I703" s="4"/>
      <c r="J703" s="4"/>
      <c r="K703" s="4"/>
      <c r="L703" s="4"/>
      <c r="M703" s="4"/>
      <c r="N703" s="4"/>
      <c r="O703" s="4"/>
      <c r="P703" s="4"/>
      <c r="Q703" s="4"/>
      <c r="R703" s="4"/>
      <c r="S703" s="4"/>
      <c r="T703" s="4"/>
      <c r="U703" s="4"/>
      <c r="V703" s="4"/>
      <c r="W703" s="242"/>
      <c r="X703" s="4"/>
      <c r="Y703" s="4"/>
      <c r="Z703" s="4"/>
    </row>
    <row r="704" ht="13.5" customHeight="1" spans="1:26" x14ac:dyDescent="0.25">
      <c r="A704" s="4"/>
      <c r="B704" s="4"/>
      <c r="C704" s="4"/>
      <c r="D704" s="4"/>
      <c r="E704" s="4"/>
      <c r="F704" s="4"/>
      <c r="G704" s="4"/>
      <c r="H704" s="4"/>
      <c r="I704" s="4"/>
      <c r="J704" s="4"/>
      <c r="K704" s="4"/>
      <c r="L704" s="4"/>
      <c r="M704" s="4"/>
      <c r="N704" s="4"/>
      <c r="O704" s="4"/>
      <c r="P704" s="4"/>
      <c r="Q704" s="4"/>
      <c r="R704" s="4"/>
      <c r="S704" s="4"/>
      <c r="T704" s="4"/>
      <c r="U704" s="4"/>
      <c r="V704" s="4"/>
      <c r="W704" s="242"/>
      <c r="X704" s="4"/>
      <c r="Y704" s="4"/>
      <c r="Z704" s="4"/>
    </row>
    <row r="705" ht="13.5" customHeight="1" spans="1:26" x14ac:dyDescent="0.25">
      <c r="A705" s="4"/>
      <c r="B705" s="4"/>
      <c r="C705" s="4"/>
      <c r="D705" s="4"/>
      <c r="E705" s="4"/>
      <c r="F705" s="4"/>
      <c r="G705" s="4"/>
      <c r="H705" s="4"/>
      <c r="I705" s="4"/>
      <c r="J705" s="4"/>
      <c r="K705" s="4"/>
      <c r="L705" s="4"/>
      <c r="M705" s="4"/>
      <c r="N705" s="4"/>
      <c r="O705" s="4"/>
      <c r="P705" s="4"/>
      <c r="Q705" s="4"/>
      <c r="R705" s="4"/>
      <c r="S705" s="4"/>
      <c r="T705" s="4"/>
      <c r="U705" s="4"/>
      <c r="V705" s="4"/>
      <c r="W705" s="242"/>
      <c r="X705" s="4"/>
      <c r="Y705" s="4"/>
      <c r="Z705" s="4"/>
    </row>
    <row r="706" ht="13.5" customHeight="1" spans="1:26" x14ac:dyDescent="0.25">
      <c r="A706" s="4"/>
      <c r="B706" s="4"/>
      <c r="C706" s="4"/>
      <c r="D706" s="4"/>
      <c r="E706" s="4"/>
      <c r="F706" s="4"/>
      <c r="G706" s="4"/>
      <c r="H706" s="4"/>
      <c r="I706" s="4"/>
      <c r="J706" s="4"/>
      <c r="K706" s="4"/>
      <c r="L706" s="4"/>
      <c r="M706" s="4"/>
      <c r="N706" s="4"/>
      <c r="O706" s="4"/>
      <c r="P706" s="4"/>
      <c r="Q706" s="4"/>
      <c r="R706" s="4"/>
      <c r="S706" s="4"/>
      <c r="T706" s="4"/>
      <c r="U706" s="4"/>
      <c r="V706" s="4"/>
      <c r="W706" s="242"/>
      <c r="X706" s="4"/>
      <c r="Y706" s="4"/>
      <c r="Z706" s="4"/>
    </row>
    <row r="707" ht="13.5" customHeight="1" spans="1:26" x14ac:dyDescent="0.25">
      <c r="A707" s="4"/>
      <c r="B707" s="4"/>
      <c r="C707" s="4"/>
      <c r="D707" s="4"/>
      <c r="E707" s="4"/>
      <c r="F707" s="4"/>
      <c r="G707" s="4"/>
      <c r="H707" s="4"/>
      <c r="I707" s="4"/>
      <c r="J707" s="4"/>
      <c r="K707" s="4"/>
      <c r="L707" s="4"/>
      <c r="M707" s="4"/>
      <c r="N707" s="4"/>
      <c r="O707" s="4"/>
      <c r="P707" s="4"/>
      <c r="Q707" s="4"/>
      <c r="R707" s="4"/>
      <c r="S707" s="4"/>
      <c r="T707" s="4"/>
      <c r="U707" s="4"/>
      <c r="V707" s="4"/>
      <c r="W707" s="242"/>
      <c r="X707" s="4"/>
      <c r="Y707" s="4"/>
      <c r="Z707" s="4"/>
    </row>
    <row r="708" ht="13.5" customHeight="1" spans="1:26" x14ac:dyDescent="0.25">
      <c r="A708" s="4"/>
      <c r="B708" s="4"/>
      <c r="C708" s="4"/>
      <c r="D708" s="4"/>
      <c r="E708" s="4"/>
      <c r="F708" s="4"/>
      <c r="G708" s="4"/>
      <c r="H708" s="4"/>
      <c r="I708" s="4"/>
      <c r="J708" s="4"/>
      <c r="K708" s="4"/>
      <c r="L708" s="4"/>
      <c r="M708" s="4"/>
      <c r="N708" s="4"/>
      <c r="O708" s="4"/>
      <c r="P708" s="4"/>
      <c r="Q708" s="4"/>
      <c r="R708" s="4"/>
      <c r="S708" s="4"/>
      <c r="T708" s="4"/>
      <c r="U708" s="4"/>
      <c r="V708" s="4"/>
      <c r="W708" s="242"/>
      <c r="X708" s="4"/>
      <c r="Y708" s="4"/>
      <c r="Z708" s="4"/>
    </row>
    <row r="709" ht="13.5" customHeight="1" spans="1:26" x14ac:dyDescent="0.25">
      <c r="A709" s="4"/>
      <c r="B709" s="4"/>
      <c r="C709" s="4"/>
      <c r="D709" s="4"/>
      <c r="E709" s="4"/>
      <c r="F709" s="4"/>
      <c r="G709" s="4"/>
      <c r="H709" s="4"/>
      <c r="I709" s="4"/>
      <c r="J709" s="4"/>
      <c r="K709" s="4"/>
      <c r="L709" s="4"/>
      <c r="M709" s="4"/>
      <c r="N709" s="4"/>
      <c r="O709" s="4"/>
      <c r="P709" s="4"/>
      <c r="Q709" s="4"/>
      <c r="R709" s="4"/>
      <c r="S709" s="4"/>
      <c r="T709" s="4"/>
      <c r="U709" s="4"/>
      <c r="V709" s="4"/>
      <c r="W709" s="242"/>
      <c r="X709" s="4"/>
      <c r="Y709" s="4"/>
      <c r="Z709" s="4"/>
    </row>
    <row r="710" ht="13.5" customHeight="1" spans="1:26" x14ac:dyDescent="0.25">
      <c r="A710" s="4"/>
      <c r="B710" s="4"/>
      <c r="C710" s="4"/>
      <c r="D710" s="4"/>
      <c r="E710" s="4"/>
      <c r="F710" s="4"/>
      <c r="G710" s="4"/>
      <c r="H710" s="4"/>
      <c r="I710" s="4"/>
      <c r="J710" s="4"/>
      <c r="K710" s="4"/>
      <c r="L710" s="4"/>
      <c r="M710" s="4"/>
      <c r="N710" s="4"/>
      <c r="O710" s="4"/>
      <c r="P710" s="4"/>
      <c r="Q710" s="4"/>
      <c r="R710" s="4"/>
      <c r="S710" s="4"/>
      <c r="T710" s="4"/>
      <c r="U710" s="4"/>
      <c r="V710" s="4"/>
      <c r="W710" s="242"/>
      <c r="X710" s="4"/>
      <c r="Y710" s="4"/>
      <c r="Z710" s="4"/>
    </row>
    <row r="711" ht="13.5" customHeight="1" spans="1:26" x14ac:dyDescent="0.25">
      <c r="A711" s="4"/>
      <c r="B711" s="4"/>
      <c r="C711" s="4"/>
      <c r="D711" s="4"/>
      <c r="E711" s="4"/>
      <c r="F711" s="4"/>
      <c r="G711" s="4"/>
      <c r="H711" s="4"/>
      <c r="I711" s="4"/>
      <c r="J711" s="4"/>
      <c r="K711" s="4"/>
      <c r="L711" s="4"/>
      <c r="M711" s="4"/>
      <c r="N711" s="4"/>
      <c r="O711" s="4"/>
      <c r="P711" s="4"/>
      <c r="Q711" s="4"/>
      <c r="R711" s="4"/>
      <c r="S711" s="4"/>
      <c r="T711" s="4"/>
      <c r="U711" s="4"/>
      <c r="V711" s="4"/>
      <c r="W711" s="242"/>
      <c r="X711" s="4"/>
      <c r="Y711" s="4"/>
      <c r="Z711" s="4"/>
    </row>
    <row r="712" ht="13.5" customHeight="1" spans="1:26" x14ac:dyDescent="0.25">
      <c r="A712" s="4"/>
      <c r="B712" s="4"/>
      <c r="C712" s="4"/>
      <c r="D712" s="4"/>
      <c r="E712" s="4"/>
      <c r="F712" s="4"/>
      <c r="G712" s="4"/>
      <c r="H712" s="4"/>
      <c r="I712" s="4"/>
      <c r="J712" s="4"/>
      <c r="K712" s="4"/>
      <c r="L712" s="4"/>
      <c r="M712" s="4"/>
      <c r="N712" s="4"/>
      <c r="O712" s="4"/>
      <c r="P712" s="4"/>
      <c r="Q712" s="4"/>
      <c r="R712" s="4"/>
      <c r="S712" s="4"/>
      <c r="T712" s="4"/>
      <c r="U712" s="4"/>
      <c r="V712" s="4"/>
      <c r="W712" s="242"/>
      <c r="X712" s="4"/>
      <c r="Y712" s="4"/>
      <c r="Z712" s="4"/>
    </row>
    <row r="713" ht="13.5" customHeight="1" spans="1:26" x14ac:dyDescent="0.25">
      <c r="A713" s="4"/>
      <c r="B713" s="4"/>
      <c r="C713" s="4"/>
      <c r="D713" s="4"/>
      <c r="E713" s="4"/>
      <c r="F713" s="4"/>
      <c r="G713" s="4"/>
      <c r="H713" s="4"/>
      <c r="I713" s="4"/>
      <c r="J713" s="4"/>
      <c r="K713" s="4"/>
      <c r="L713" s="4"/>
      <c r="M713" s="4"/>
      <c r="N713" s="4"/>
      <c r="O713" s="4"/>
      <c r="P713" s="4"/>
      <c r="Q713" s="4"/>
      <c r="R713" s="4"/>
      <c r="S713" s="4"/>
      <c r="T713" s="4"/>
      <c r="U713" s="4"/>
      <c r="V713" s="4"/>
      <c r="W713" s="242"/>
      <c r="X713" s="4"/>
      <c r="Y713" s="4"/>
      <c r="Z713" s="4"/>
    </row>
    <row r="714" ht="13.5" customHeight="1" spans="1:26" x14ac:dyDescent="0.25">
      <c r="A714" s="4"/>
      <c r="B714" s="4"/>
      <c r="C714" s="4"/>
      <c r="D714" s="4"/>
      <c r="E714" s="4"/>
      <c r="F714" s="4"/>
      <c r="G714" s="4"/>
      <c r="H714" s="4"/>
      <c r="I714" s="4"/>
      <c r="J714" s="4"/>
      <c r="K714" s="4"/>
      <c r="L714" s="4"/>
      <c r="M714" s="4"/>
      <c r="N714" s="4"/>
      <c r="O714" s="4"/>
      <c r="P714" s="4"/>
      <c r="Q714" s="4"/>
      <c r="R714" s="4"/>
      <c r="S714" s="4"/>
      <c r="T714" s="4"/>
      <c r="U714" s="4"/>
      <c r="V714" s="4"/>
      <c r="W714" s="242"/>
      <c r="X714" s="4"/>
      <c r="Y714" s="4"/>
      <c r="Z714" s="4"/>
    </row>
    <row r="715" ht="13.5" customHeight="1" spans="1:26" x14ac:dyDescent="0.25">
      <c r="A715" s="4"/>
      <c r="B715" s="4"/>
      <c r="C715" s="4"/>
      <c r="D715" s="4"/>
      <c r="E715" s="4"/>
      <c r="F715" s="4"/>
      <c r="G715" s="4"/>
      <c r="H715" s="4"/>
      <c r="I715" s="4"/>
      <c r="J715" s="4"/>
      <c r="K715" s="4"/>
      <c r="L715" s="4"/>
      <c r="M715" s="4"/>
      <c r="N715" s="4"/>
      <c r="O715" s="4"/>
      <c r="P715" s="4"/>
      <c r="Q715" s="4"/>
      <c r="R715" s="4"/>
      <c r="S715" s="4"/>
      <c r="T715" s="4"/>
      <c r="U715" s="4"/>
      <c r="V715" s="4"/>
      <c r="W715" s="242"/>
      <c r="X715" s="4"/>
      <c r="Y715" s="4"/>
      <c r="Z715" s="4"/>
    </row>
    <row r="716" ht="13.5" customHeight="1" spans="1:26" x14ac:dyDescent="0.25">
      <c r="A716" s="4"/>
      <c r="B716" s="4"/>
      <c r="C716" s="4"/>
      <c r="D716" s="4"/>
      <c r="E716" s="4"/>
      <c r="F716" s="4"/>
      <c r="G716" s="4"/>
      <c r="H716" s="4"/>
      <c r="I716" s="4"/>
      <c r="J716" s="4"/>
      <c r="K716" s="4"/>
      <c r="L716" s="4"/>
      <c r="M716" s="4"/>
      <c r="N716" s="4"/>
      <c r="O716" s="4"/>
      <c r="P716" s="4"/>
      <c r="Q716" s="4"/>
      <c r="R716" s="4"/>
      <c r="S716" s="4"/>
      <c r="T716" s="4"/>
      <c r="U716" s="4"/>
      <c r="V716" s="4"/>
      <c r="W716" s="242"/>
      <c r="X716" s="4"/>
      <c r="Y716" s="4"/>
      <c r="Z716" s="4"/>
    </row>
    <row r="717" ht="13.5" customHeight="1" spans="1:26" x14ac:dyDescent="0.25">
      <c r="A717" s="4"/>
      <c r="B717" s="4"/>
      <c r="C717" s="4"/>
      <c r="D717" s="4"/>
      <c r="E717" s="4"/>
      <c r="F717" s="4"/>
      <c r="G717" s="4"/>
      <c r="H717" s="4"/>
      <c r="I717" s="4"/>
      <c r="J717" s="4"/>
      <c r="K717" s="4"/>
      <c r="L717" s="4"/>
      <c r="M717" s="4"/>
      <c r="N717" s="4"/>
      <c r="O717" s="4"/>
      <c r="P717" s="4"/>
      <c r="Q717" s="4"/>
      <c r="R717" s="4"/>
      <c r="S717" s="4"/>
      <c r="T717" s="4"/>
      <c r="U717" s="4"/>
      <c r="V717" s="4"/>
      <c r="W717" s="242"/>
      <c r="X717" s="4"/>
      <c r="Y717" s="4"/>
      <c r="Z717" s="4"/>
    </row>
    <row r="718" ht="13.5" customHeight="1" spans="1:26" x14ac:dyDescent="0.25">
      <c r="A718" s="4"/>
      <c r="B718" s="4"/>
      <c r="C718" s="4"/>
      <c r="D718" s="4"/>
      <c r="E718" s="4"/>
      <c r="F718" s="4"/>
      <c r="G718" s="4"/>
      <c r="H718" s="4"/>
      <c r="I718" s="4"/>
      <c r="J718" s="4"/>
      <c r="K718" s="4"/>
      <c r="L718" s="4"/>
      <c r="M718" s="4"/>
      <c r="N718" s="4"/>
      <c r="O718" s="4"/>
      <c r="P718" s="4"/>
      <c r="Q718" s="4"/>
      <c r="R718" s="4"/>
      <c r="S718" s="4"/>
      <c r="T718" s="4"/>
      <c r="U718" s="4"/>
      <c r="V718" s="4"/>
      <c r="W718" s="242"/>
      <c r="X718" s="4"/>
      <c r="Y718" s="4"/>
      <c r="Z718" s="4"/>
    </row>
    <row r="719" ht="13.5" customHeight="1" spans="1:26" x14ac:dyDescent="0.25">
      <c r="A719" s="4"/>
      <c r="B719" s="4"/>
      <c r="C719" s="4"/>
      <c r="D719" s="4"/>
      <c r="E719" s="4"/>
      <c r="F719" s="4"/>
      <c r="G719" s="4"/>
      <c r="H719" s="4"/>
      <c r="I719" s="4"/>
      <c r="J719" s="4"/>
      <c r="K719" s="4"/>
      <c r="L719" s="4"/>
      <c r="M719" s="4"/>
      <c r="N719" s="4"/>
      <c r="O719" s="4"/>
      <c r="P719" s="4"/>
      <c r="Q719" s="4"/>
      <c r="R719" s="4"/>
      <c r="S719" s="4"/>
      <c r="T719" s="4"/>
      <c r="U719" s="4"/>
      <c r="V719" s="4"/>
      <c r="W719" s="242"/>
      <c r="X719" s="4"/>
      <c r="Y719" s="4"/>
      <c r="Z719" s="4"/>
    </row>
    <row r="720" ht="13.5" customHeight="1" spans="1:26" x14ac:dyDescent="0.25">
      <c r="A720" s="4"/>
      <c r="B720" s="4"/>
      <c r="C720" s="4"/>
      <c r="D720" s="4"/>
      <c r="E720" s="4"/>
      <c r="F720" s="4"/>
      <c r="G720" s="4"/>
      <c r="H720" s="4"/>
      <c r="I720" s="4"/>
      <c r="J720" s="4"/>
      <c r="K720" s="4"/>
      <c r="L720" s="4"/>
      <c r="M720" s="4"/>
      <c r="N720" s="4"/>
      <c r="O720" s="4"/>
      <c r="P720" s="4"/>
      <c r="Q720" s="4"/>
      <c r="R720" s="4"/>
      <c r="S720" s="4"/>
      <c r="T720" s="4"/>
      <c r="U720" s="4"/>
      <c r="V720" s="4"/>
      <c r="W720" s="242"/>
      <c r="X720" s="4"/>
      <c r="Y720" s="4"/>
      <c r="Z720" s="4"/>
    </row>
    <row r="721" ht="13.5" customHeight="1" spans="1:26" x14ac:dyDescent="0.25">
      <c r="A721" s="4"/>
      <c r="B721" s="4"/>
      <c r="C721" s="4"/>
      <c r="D721" s="4"/>
      <c r="E721" s="4"/>
      <c r="F721" s="4"/>
      <c r="G721" s="4"/>
      <c r="H721" s="4"/>
      <c r="I721" s="4"/>
      <c r="J721" s="4"/>
      <c r="K721" s="4"/>
      <c r="L721" s="4"/>
      <c r="M721" s="4"/>
      <c r="N721" s="4"/>
      <c r="O721" s="4"/>
      <c r="P721" s="4"/>
      <c r="Q721" s="4"/>
      <c r="R721" s="4"/>
      <c r="S721" s="4"/>
      <c r="T721" s="4"/>
      <c r="U721" s="4"/>
      <c r="V721" s="4"/>
      <c r="W721" s="242"/>
      <c r="X721" s="4"/>
      <c r="Y721" s="4"/>
      <c r="Z721" s="4"/>
    </row>
    <row r="722" ht="13.5" customHeight="1" spans="1:26" x14ac:dyDescent="0.25">
      <c r="A722" s="4"/>
      <c r="B722" s="4"/>
      <c r="C722" s="4"/>
      <c r="D722" s="4"/>
      <c r="E722" s="4"/>
      <c r="F722" s="4"/>
      <c r="G722" s="4"/>
      <c r="H722" s="4"/>
      <c r="I722" s="4"/>
      <c r="J722" s="4"/>
      <c r="K722" s="4"/>
      <c r="L722" s="4"/>
      <c r="M722" s="4"/>
      <c r="N722" s="4"/>
      <c r="O722" s="4"/>
      <c r="P722" s="4"/>
      <c r="Q722" s="4"/>
      <c r="R722" s="4"/>
      <c r="S722" s="4"/>
      <c r="T722" s="4"/>
      <c r="U722" s="4"/>
      <c r="V722" s="4"/>
      <c r="W722" s="242"/>
      <c r="X722" s="4"/>
      <c r="Y722" s="4"/>
      <c r="Z722" s="4"/>
    </row>
    <row r="723" ht="13.5" customHeight="1" spans="1:26" x14ac:dyDescent="0.25">
      <c r="A723" s="4"/>
      <c r="B723" s="4"/>
      <c r="C723" s="4"/>
      <c r="D723" s="4"/>
      <c r="E723" s="4"/>
      <c r="F723" s="4"/>
      <c r="G723" s="4"/>
      <c r="H723" s="4"/>
      <c r="I723" s="4"/>
      <c r="J723" s="4"/>
      <c r="K723" s="4"/>
      <c r="L723" s="4"/>
      <c r="M723" s="4"/>
      <c r="N723" s="4"/>
      <c r="O723" s="4"/>
      <c r="P723" s="4"/>
      <c r="Q723" s="4"/>
      <c r="R723" s="4"/>
      <c r="S723" s="4"/>
      <c r="T723" s="4"/>
      <c r="U723" s="4"/>
      <c r="V723" s="4"/>
      <c r="W723" s="242"/>
      <c r="X723" s="4"/>
      <c r="Y723" s="4"/>
      <c r="Z723" s="4"/>
    </row>
    <row r="724" ht="13.5" customHeight="1" spans="1:26" x14ac:dyDescent="0.25">
      <c r="A724" s="4"/>
      <c r="B724" s="4"/>
      <c r="C724" s="4"/>
      <c r="D724" s="4"/>
      <c r="E724" s="4"/>
      <c r="F724" s="4"/>
      <c r="G724" s="4"/>
      <c r="H724" s="4"/>
      <c r="I724" s="4"/>
      <c r="J724" s="4"/>
      <c r="K724" s="4"/>
      <c r="L724" s="4"/>
      <c r="M724" s="4"/>
      <c r="N724" s="4"/>
      <c r="O724" s="4"/>
      <c r="P724" s="4"/>
      <c r="Q724" s="4"/>
      <c r="R724" s="4"/>
      <c r="S724" s="4"/>
      <c r="T724" s="4"/>
      <c r="U724" s="4"/>
      <c r="V724" s="4"/>
      <c r="W724" s="242"/>
      <c r="X724" s="4"/>
      <c r="Y724" s="4"/>
      <c r="Z724" s="4"/>
    </row>
    <row r="725" ht="13.5" customHeight="1" spans="1:26" x14ac:dyDescent="0.25">
      <c r="A725" s="4"/>
      <c r="B725" s="4"/>
      <c r="C725" s="4"/>
      <c r="D725" s="4"/>
      <c r="E725" s="4"/>
      <c r="F725" s="4"/>
      <c r="G725" s="4"/>
      <c r="H725" s="4"/>
      <c r="I725" s="4"/>
      <c r="J725" s="4"/>
      <c r="K725" s="4"/>
      <c r="L725" s="4"/>
      <c r="M725" s="4"/>
      <c r="N725" s="4"/>
      <c r="O725" s="4"/>
      <c r="P725" s="4"/>
      <c r="Q725" s="4"/>
      <c r="R725" s="4"/>
      <c r="S725" s="4"/>
      <c r="T725" s="4"/>
      <c r="U725" s="4"/>
      <c r="V725" s="4"/>
      <c r="W725" s="242"/>
      <c r="X725" s="4"/>
      <c r="Y725" s="4"/>
      <c r="Z725" s="4"/>
    </row>
    <row r="726" ht="13.5" customHeight="1" spans="1:26" x14ac:dyDescent="0.25">
      <c r="A726" s="4"/>
      <c r="B726" s="4"/>
      <c r="C726" s="4"/>
      <c r="D726" s="4"/>
      <c r="E726" s="4"/>
      <c r="F726" s="4"/>
      <c r="G726" s="4"/>
      <c r="H726" s="4"/>
      <c r="I726" s="4"/>
      <c r="J726" s="4"/>
      <c r="K726" s="4"/>
      <c r="L726" s="4"/>
      <c r="M726" s="4"/>
      <c r="N726" s="4"/>
      <c r="O726" s="4"/>
      <c r="P726" s="4"/>
      <c r="Q726" s="4"/>
      <c r="R726" s="4"/>
      <c r="S726" s="4"/>
      <c r="T726" s="4"/>
      <c r="U726" s="4"/>
      <c r="V726" s="4"/>
      <c r="W726" s="242"/>
      <c r="X726" s="4"/>
      <c r="Y726" s="4"/>
      <c r="Z726" s="4"/>
    </row>
    <row r="727" ht="13.5" customHeight="1" spans="1:26" x14ac:dyDescent="0.25">
      <c r="A727" s="4"/>
      <c r="B727" s="4"/>
      <c r="C727" s="4"/>
      <c r="D727" s="4"/>
      <c r="E727" s="4"/>
      <c r="F727" s="4"/>
      <c r="G727" s="4"/>
      <c r="H727" s="4"/>
      <c r="I727" s="4"/>
      <c r="J727" s="4"/>
      <c r="K727" s="4"/>
      <c r="L727" s="4"/>
      <c r="M727" s="4"/>
      <c r="N727" s="4"/>
      <c r="O727" s="4"/>
      <c r="P727" s="4"/>
      <c r="Q727" s="4"/>
      <c r="R727" s="4"/>
      <c r="S727" s="4"/>
      <c r="T727" s="4"/>
      <c r="U727" s="4"/>
      <c r="V727" s="4"/>
      <c r="W727" s="242"/>
      <c r="X727" s="4"/>
      <c r="Y727" s="4"/>
      <c r="Z727" s="4"/>
    </row>
    <row r="728" ht="13.5" customHeight="1" spans="1:26" x14ac:dyDescent="0.25">
      <c r="A728" s="4"/>
      <c r="B728" s="4"/>
      <c r="C728" s="4"/>
      <c r="D728" s="4"/>
      <c r="E728" s="4"/>
      <c r="F728" s="4"/>
      <c r="G728" s="4"/>
      <c r="H728" s="4"/>
      <c r="I728" s="4"/>
      <c r="J728" s="4"/>
      <c r="K728" s="4"/>
      <c r="L728" s="4"/>
      <c r="M728" s="4"/>
      <c r="N728" s="4"/>
      <c r="O728" s="4"/>
      <c r="P728" s="4"/>
      <c r="Q728" s="4"/>
      <c r="R728" s="4"/>
      <c r="S728" s="4"/>
      <c r="T728" s="4"/>
      <c r="U728" s="4"/>
      <c r="V728" s="4"/>
      <c r="W728" s="242"/>
      <c r="X728" s="4"/>
      <c r="Y728" s="4"/>
      <c r="Z728" s="4"/>
    </row>
    <row r="729" ht="13.5" customHeight="1" spans="1:26" x14ac:dyDescent="0.25">
      <c r="A729" s="4"/>
      <c r="B729" s="4"/>
      <c r="C729" s="4"/>
      <c r="D729" s="4"/>
      <c r="E729" s="4"/>
      <c r="F729" s="4"/>
      <c r="G729" s="4"/>
      <c r="H729" s="4"/>
      <c r="I729" s="4"/>
      <c r="J729" s="4"/>
      <c r="K729" s="4"/>
      <c r="L729" s="4"/>
      <c r="M729" s="4"/>
      <c r="N729" s="4"/>
      <c r="O729" s="4"/>
      <c r="P729" s="4"/>
      <c r="Q729" s="4"/>
      <c r="R729" s="4"/>
      <c r="S729" s="4"/>
      <c r="T729" s="4"/>
      <c r="U729" s="4"/>
      <c r="V729" s="4"/>
      <c r="W729" s="242"/>
      <c r="X729" s="4"/>
      <c r="Y729" s="4"/>
      <c r="Z729" s="4"/>
    </row>
    <row r="730" ht="13.5" customHeight="1" spans="1:26" x14ac:dyDescent="0.25">
      <c r="A730" s="4"/>
      <c r="B730" s="4"/>
      <c r="C730" s="4"/>
      <c r="D730" s="4"/>
      <c r="E730" s="4"/>
      <c r="F730" s="4"/>
      <c r="G730" s="4"/>
      <c r="H730" s="4"/>
      <c r="I730" s="4"/>
      <c r="J730" s="4"/>
      <c r="K730" s="4"/>
      <c r="L730" s="4"/>
      <c r="M730" s="4"/>
      <c r="N730" s="4"/>
      <c r="O730" s="4"/>
      <c r="P730" s="4"/>
      <c r="Q730" s="4"/>
      <c r="R730" s="4"/>
      <c r="S730" s="4"/>
      <c r="T730" s="4"/>
      <c r="U730" s="4"/>
      <c r="V730" s="4"/>
      <c r="W730" s="242"/>
      <c r="X730" s="4"/>
      <c r="Y730" s="4"/>
      <c r="Z730" s="4"/>
    </row>
    <row r="731" ht="13.5" customHeight="1" spans="1:26" x14ac:dyDescent="0.25">
      <c r="A731" s="4"/>
      <c r="B731" s="4"/>
      <c r="C731" s="4"/>
      <c r="D731" s="4"/>
      <c r="E731" s="4"/>
      <c r="F731" s="4"/>
      <c r="G731" s="4"/>
      <c r="H731" s="4"/>
      <c r="I731" s="4"/>
      <c r="J731" s="4"/>
      <c r="K731" s="4"/>
      <c r="L731" s="4"/>
      <c r="M731" s="4"/>
      <c r="N731" s="4"/>
      <c r="O731" s="4"/>
      <c r="P731" s="4"/>
      <c r="Q731" s="4"/>
      <c r="R731" s="4"/>
      <c r="S731" s="4"/>
      <c r="T731" s="4"/>
      <c r="U731" s="4"/>
      <c r="V731" s="4"/>
      <c r="W731" s="242"/>
      <c r="X731" s="4"/>
      <c r="Y731" s="4"/>
      <c r="Z731" s="4"/>
    </row>
    <row r="732" ht="13.5" customHeight="1" spans="1:26" x14ac:dyDescent="0.25">
      <c r="A732" s="4"/>
      <c r="B732" s="4"/>
      <c r="C732" s="4"/>
      <c r="D732" s="4"/>
      <c r="E732" s="4"/>
      <c r="F732" s="4"/>
      <c r="G732" s="4"/>
      <c r="H732" s="4"/>
      <c r="I732" s="4"/>
      <c r="J732" s="4"/>
      <c r="K732" s="4"/>
      <c r="L732" s="4"/>
      <c r="M732" s="4"/>
      <c r="N732" s="4"/>
      <c r="O732" s="4"/>
      <c r="P732" s="4"/>
      <c r="Q732" s="4"/>
      <c r="R732" s="4"/>
      <c r="S732" s="4"/>
      <c r="T732" s="4"/>
      <c r="U732" s="4"/>
      <c r="V732" s="4"/>
      <c r="W732" s="242"/>
      <c r="X732" s="4"/>
      <c r="Y732" s="4"/>
      <c r="Z732" s="4"/>
    </row>
    <row r="733" ht="13.5" customHeight="1" spans="1:26" x14ac:dyDescent="0.25">
      <c r="A733" s="4"/>
      <c r="B733" s="4"/>
      <c r="C733" s="4"/>
      <c r="D733" s="4"/>
      <c r="E733" s="4"/>
      <c r="F733" s="4"/>
      <c r="G733" s="4"/>
      <c r="H733" s="4"/>
      <c r="I733" s="4"/>
      <c r="J733" s="4"/>
      <c r="K733" s="4"/>
      <c r="L733" s="4"/>
      <c r="M733" s="4"/>
      <c r="N733" s="4"/>
      <c r="O733" s="4"/>
      <c r="P733" s="4"/>
      <c r="Q733" s="4"/>
      <c r="R733" s="4"/>
      <c r="S733" s="4"/>
      <c r="T733" s="4"/>
      <c r="U733" s="4"/>
      <c r="V733" s="4"/>
      <c r="W733" s="242"/>
      <c r="X733" s="4"/>
      <c r="Y733" s="4"/>
      <c r="Z733" s="4"/>
    </row>
    <row r="734" ht="13.5" customHeight="1" spans="1:26" x14ac:dyDescent="0.25">
      <c r="A734" s="4"/>
      <c r="B734" s="4"/>
      <c r="C734" s="4"/>
      <c r="D734" s="4"/>
      <c r="E734" s="4"/>
      <c r="F734" s="4"/>
      <c r="G734" s="4"/>
      <c r="H734" s="4"/>
      <c r="I734" s="4"/>
      <c r="J734" s="4"/>
      <c r="K734" s="4"/>
      <c r="L734" s="4"/>
      <c r="M734" s="4"/>
      <c r="N734" s="4"/>
      <c r="O734" s="4"/>
      <c r="P734" s="4"/>
      <c r="Q734" s="4"/>
      <c r="R734" s="4"/>
      <c r="S734" s="4"/>
      <c r="T734" s="4"/>
      <c r="U734" s="4"/>
      <c r="V734" s="4"/>
      <c r="W734" s="242"/>
      <c r="X734" s="4"/>
      <c r="Y734" s="4"/>
      <c r="Z734" s="4"/>
    </row>
    <row r="735" ht="13.5" customHeight="1" spans="1:26" x14ac:dyDescent="0.25">
      <c r="A735" s="4"/>
      <c r="B735" s="4"/>
      <c r="C735" s="4"/>
      <c r="D735" s="4"/>
      <c r="E735" s="4"/>
      <c r="F735" s="4"/>
      <c r="G735" s="4"/>
      <c r="H735" s="4"/>
      <c r="I735" s="4"/>
      <c r="J735" s="4"/>
      <c r="K735" s="4"/>
      <c r="L735" s="4"/>
      <c r="M735" s="4"/>
      <c r="N735" s="4"/>
      <c r="O735" s="4"/>
      <c r="P735" s="4"/>
      <c r="Q735" s="4"/>
      <c r="R735" s="4"/>
      <c r="S735" s="4"/>
      <c r="T735" s="4"/>
      <c r="U735" s="4"/>
      <c r="V735" s="4"/>
      <c r="W735" s="242"/>
      <c r="X735" s="4"/>
      <c r="Y735" s="4"/>
      <c r="Z735" s="4"/>
    </row>
    <row r="736" ht="13.5" customHeight="1" spans="1:26" x14ac:dyDescent="0.25">
      <c r="A736" s="4"/>
      <c r="B736" s="4"/>
      <c r="C736" s="4"/>
      <c r="D736" s="4"/>
      <c r="E736" s="4"/>
      <c r="F736" s="4"/>
      <c r="G736" s="4"/>
      <c r="H736" s="4"/>
      <c r="I736" s="4"/>
      <c r="J736" s="4"/>
      <c r="K736" s="4"/>
      <c r="L736" s="4"/>
      <c r="M736" s="4"/>
      <c r="N736" s="4"/>
      <c r="O736" s="4"/>
      <c r="P736" s="4"/>
      <c r="Q736" s="4"/>
      <c r="R736" s="4"/>
      <c r="S736" s="4"/>
      <c r="T736" s="4"/>
      <c r="U736" s="4"/>
      <c r="V736" s="4"/>
      <c r="W736" s="242"/>
      <c r="X736" s="4"/>
      <c r="Y736" s="4"/>
      <c r="Z736" s="4"/>
    </row>
    <row r="737" ht="13.5" customHeight="1" spans="1:26" x14ac:dyDescent="0.25">
      <c r="A737" s="4"/>
      <c r="B737" s="4"/>
      <c r="C737" s="4"/>
      <c r="D737" s="4"/>
      <c r="E737" s="4"/>
      <c r="F737" s="4"/>
      <c r="G737" s="4"/>
      <c r="H737" s="4"/>
      <c r="I737" s="4"/>
      <c r="J737" s="4"/>
      <c r="K737" s="4"/>
      <c r="L737" s="4"/>
      <c r="M737" s="4"/>
      <c r="N737" s="4"/>
      <c r="O737" s="4"/>
      <c r="P737" s="4"/>
      <c r="Q737" s="4"/>
      <c r="R737" s="4"/>
      <c r="S737" s="4"/>
      <c r="T737" s="4"/>
      <c r="U737" s="4"/>
      <c r="V737" s="4"/>
      <c r="W737" s="242"/>
      <c r="X737" s="4"/>
      <c r="Y737" s="4"/>
      <c r="Z737" s="4"/>
    </row>
    <row r="738" ht="13.5" customHeight="1" spans="1:26" x14ac:dyDescent="0.25">
      <c r="A738" s="4"/>
      <c r="B738" s="4"/>
      <c r="C738" s="4"/>
      <c r="D738" s="4"/>
      <c r="E738" s="4"/>
      <c r="F738" s="4"/>
      <c r="G738" s="4"/>
      <c r="H738" s="4"/>
      <c r="I738" s="4"/>
      <c r="J738" s="4"/>
      <c r="K738" s="4"/>
      <c r="L738" s="4"/>
      <c r="M738" s="4"/>
      <c r="N738" s="4"/>
      <c r="O738" s="4"/>
      <c r="P738" s="4"/>
      <c r="Q738" s="4"/>
      <c r="R738" s="4"/>
      <c r="S738" s="4"/>
      <c r="T738" s="4"/>
      <c r="U738" s="4"/>
      <c r="V738" s="4"/>
      <c r="W738" s="242"/>
      <c r="X738" s="4"/>
      <c r="Y738" s="4"/>
      <c r="Z738" s="4"/>
    </row>
    <row r="739" ht="13.5" customHeight="1" spans="1:26" x14ac:dyDescent="0.25">
      <c r="A739" s="4"/>
      <c r="B739" s="4"/>
      <c r="C739" s="4"/>
      <c r="D739" s="4"/>
      <c r="E739" s="4"/>
      <c r="F739" s="4"/>
      <c r="G739" s="4"/>
      <c r="H739" s="4"/>
      <c r="I739" s="4"/>
      <c r="J739" s="4"/>
      <c r="K739" s="4"/>
      <c r="L739" s="4"/>
      <c r="M739" s="4"/>
      <c r="N739" s="4"/>
      <c r="O739" s="4"/>
      <c r="P739" s="4"/>
      <c r="Q739" s="4"/>
      <c r="R739" s="4"/>
      <c r="S739" s="4"/>
      <c r="T739" s="4"/>
      <c r="U739" s="4"/>
      <c r="V739" s="4"/>
      <c r="W739" s="242"/>
      <c r="X739" s="4"/>
      <c r="Y739" s="4"/>
      <c r="Z739" s="4"/>
    </row>
    <row r="740" ht="13.5" customHeight="1" spans="1:26" x14ac:dyDescent="0.25">
      <c r="A740" s="4"/>
      <c r="B740" s="4"/>
      <c r="C740" s="4"/>
      <c r="D740" s="4"/>
      <c r="E740" s="4"/>
      <c r="F740" s="4"/>
      <c r="G740" s="4"/>
      <c r="H740" s="4"/>
      <c r="I740" s="4"/>
      <c r="J740" s="4"/>
      <c r="K740" s="4"/>
      <c r="L740" s="4"/>
      <c r="M740" s="4"/>
      <c r="N740" s="4"/>
      <c r="O740" s="4"/>
      <c r="P740" s="4"/>
      <c r="Q740" s="4"/>
      <c r="R740" s="4"/>
      <c r="S740" s="4"/>
      <c r="T740" s="4"/>
      <c r="U740" s="4"/>
      <c r="V740" s="4"/>
      <c r="W740" s="242"/>
      <c r="X740" s="4"/>
      <c r="Y740" s="4"/>
      <c r="Z740" s="4"/>
    </row>
    <row r="741" ht="13.5" customHeight="1" spans="1:26" x14ac:dyDescent="0.25">
      <c r="A741" s="4"/>
      <c r="B741" s="4"/>
      <c r="C741" s="4"/>
      <c r="D741" s="4"/>
      <c r="E741" s="4"/>
      <c r="F741" s="4"/>
      <c r="G741" s="4"/>
      <c r="H741" s="4"/>
      <c r="I741" s="4"/>
      <c r="J741" s="4"/>
      <c r="K741" s="4"/>
      <c r="L741" s="4"/>
      <c r="M741" s="4"/>
      <c r="N741" s="4"/>
      <c r="O741" s="4"/>
      <c r="P741" s="4"/>
      <c r="Q741" s="4"/>
      <c r="R741" s="4"/>
      <c r="S741" s="4"/>
      <c r="T741" s="4"/>
      <c r="U741" s="4"/>
      <c r="V741" s="4"/>
      <c r="W741" s="242"/>
      <c r="X741" s="4"/>
      <c r="Y741" s="4"/>
      <c r="Z741" s="4"/>
    </row>
    <row r="742" ht="13.5" customHeight="1" spans="1:26" x14ac:dyDescent="0.25">
      <c r="A742" s="4"/>
      <c r="B742" s="4"/>
      <c r="C742" s="4"/>
      <c r="D742" s="4"/>
      <c r="E742" s="4"/>
      <c r="F742" s="4"/>
      <c r="G742" s="4"/>
      <c r="H742" s="4"/>
      <c r="I742" s="4"/>
      <c r="J742" s="4"/>
      <c r="K742" s="4"/>
      <c r="L742" s="4"/>
      <c r="M742" s="4"/>
      <c r="N742" s="4"/>
      <c r="O742" s="4"/>
      <c r="P742" s="4"/>
      <c r="Q742" s="4"/>
      <c r="R742" s="4"/>
      <c r="S742" s="4"/>
      <c r="T742" s="4"/>
      <c r="U742" s="4"/>
      <c r="V742" s="4"/>
      <c r="W742" s="242"/>
      <c r="X742" s="4"/>
      <c r="Y742" s="4"/>
      <c r="Z742" s="4"/>
    </row>
    <row r="743" ht="13.5" customHeight="1" spans="1:26" x14ac:dyDescent="0.25">
      <c r="A743" s="4"/>
      <c r="B743" s="4"/>
      <c r="C743" s="4"/>
      <c r="D743" s="4"/>
      <c r="E743" s="4"/>
      <c r="F743" s="4"/>
      <c r="G743" s="4"/>
      <c r="H743" s="4"/>
      <c r="I743" s="4"/>
      <c r="J743" s="4"/>
      <c r="K743" s="4"/>
      <c r="L743" s="4"/>
      <c r="M743" s="4"/>
      <c r="N743" s="4"/>
      <c r="O743" s="4"/>
      <c r="P743" s="4"/>
      <c r="Q743" s="4"/>
      <c r="R743" s="4"/>
      <c r="S743" s="4"/>
      <c r="T743" s="4"/>
      <c r="U743" s="4"/>
      <c r="V743" s="4"/>
      <c r="W743" s="242"/>
      <c r="X743" s="4"/>
      <c r="Y743" s="4"/>
      <c r="Z743" s="4"/>
    </row>
    <row r="744" ht="13.5" customHeight="1" spans="1:26" x14ac:dyDescent="0.25">
      <c r="A744" s="4"/>
      <c r="B744" s="4"/>
      <c r="C744" s="4"/>
      <c r="D744" s="4"/>
      <c r="E744" s="4"/>
      <c r="F744" s="4"/>
      <c r="G744" s="4"/>
      <c r="H744" s="4"/>
      <c r="I744" s="4"/>
      <c r="J744" s="4"/>
      <c r="K744" s="4"/>
      <c r="L744" s="4"/>
      <c r="M744" s="4"/>
      <c r="N744" s="4"/>
      <c r="O744" s="4"/>
      <c r="P744" s="4"/>
      <c r="Q744" s="4"/>
      <c r="R744" s="4"/>
      <c r="S744" s="4"/>
      <c r="T744" s="4"/>
      <c r="U744" s="4"/>
      <c r="V744" s="4"/>
      <c r="W744" s="242"/>
      <c r="X744" s="4"/>
      <c r="Y744" s="4"/>
      <c r="Z744" s="4"/>
    </row>
    <row r="745" ht="13.5" customHeight="1" spans="1:26" x14ac:dyDescent="0.25">
      <c r="A745" s="4"/>
      <c r="B745" s="4"/>
      <c r="C745" s="4"/>
      <c r="D745" s="4"/>
      <c r="E745" s="4"/>
      <c r="F745" s="4"/>
      <c r="G745" s="4"/>
      <c r="H745" s="4"/>
      <c r="I745" s="4"/>
      <c r="J745" s="4"/>
      <c r="K745" s="4"/>
      <c r="L745" s="4"/>
      <c r="M745" s="4"/>
      <c r="N745" s="4"/>
      <c r="O745" s="4"/>
      <c r="P745" s="4"/>
      <c r="Q745" s="4"/>
      <c r="R745" s="4"/>
      <c r="S745" s="4"/>
      <c r="T745" s="4"/>
      <c r="U745" s="4"/>
      <c r="V745" s="4"/>
      <c r="W745" s="242"/>
      <c r="X745" s="4"/>
      <c r="Y745" s="4"/>
      <c r="Z745" s="4"/>
    </row>
    <row r="746" ht="13.5" customHeight="1" spans="1:26" x14ac:dyDescent="0.25">
      <c r="A746" s="4"/>
      <c r="B746" s="4"/>
      <c r="C746" s="4"/>
      <c r="D746" s="4"/>
      <c r="E746" s="4"/>
      <c r="F746" s="4"/>
      <c r="G746" s="4"/>
      <c r="H746" s="4"/>
      <c r="I746" s="4"/>
      <c r="J746" s="4"/>
      <c r="K746" s="4"/>
      <c r="L746" s="4"/>
      <c r="M746" s="4"/>
      <c r="N746" s="4"/>
      <c r="O746" s="4"/>
      <c r="P746" s="4"/>
      <c r="Q746" s="4"/>
      <c r="R746" s="4"/>
      <c r="S746" s="4"/>
      <c r="T746" s="4"/>
      <c r="U746" s="4"/>
      <c r="V746" s="4"/>
      <c r="W746" s="242"/>
      <c r="X746" s="4"/>
      <c r="Y746" s="4"/>
      <c r="Z746" s="4"/>
    </row>
    <row r="747" ht="13.5" customHeight="1" spans="1:26" x14ac:dyDescent="0.25">
      <c r="A747" s="4"/>
      <c r="B747" s="4"/>
      <c r="C747" s="4"/>
      <c r="D747" s="4"/>
      <c r="E747" s="4"/>
      <c r="F747" s="4"/>
      <c r="G747" s="4"/>
      <c r="H747" s="4"/>
      <c r="I747" s="4"/>
      <c r="J747" s="4"/>
      <c r="K747" s="4"/>
      <c r="L747" s="4"/>
      <c r="M747" s="4"/>
      <c r="N747" s="4"/>
      <c r="O747" s="4"/>
      <c r="P747" s="4"/>
      <c r="Q747" s="4"/>
      <c r="R747" s="4"/>
      <c r="S747" s="4"/>
      <c r="T747" s="4"/>
      <c r="U747" s="4"/>
      <c r="V747" s="4"/>
      <c r="W747" s="242"/>
      <c r="X747" s="4"/>
      <c r="Y747" s="4"/>
      <c r="Z747" s="4"/>
    </row>
    <row r="748" ht="13.5" customHeight="1" spans="1:26" x14ac:dyDescent="0.25">
      <c r="A748" s="4"/>
      <c r="B748" s="4"/>
      <c r="C748" s="4"/>
      <c r="D748" s="4"/>
      <c r="E748" s="4"/>
      <c r="F748" s="4"/>
      <c r="G748" s="4"/>
      <c r="H748" s="4"/>
      <c r="I748" s="4"/>
      <c r="J748" s="4"/>
      <c r="K748" s="4"/>
      <c r="L748" s="4"/>
      <c r="M748" s="4"/>
      <c r="N748" s="4"/>
      <c r="O748" s="4"/>
      <c r="P748" s="4"/>
      <c r="Q748" s="4"/>
      <c r="R748" s="4"/>
      <c r="S748" s="4"/>
      <c r="T748" s="4"/>
      <c r="U748" s="4"/>
      <c r="V748" s="4"/>
      <c r="W748" s="242"/>
      <c r="X748" s="4"/>
      <c r="Y748" s="4"/>
      <c r="Z748" s="4"/>
    </row>
    <row r="749" ht="13.5" customHeight="1" spans="1:26" x14ac:dyDescent="0.25">
      <c r="A749" s="4"/>
      <c r="B749" s="4"/>
      <c r="C749" s="4"/>
      <c r="D749" s="4"/>
      <c r="E749" s="4"/>
      <c r="F749" s="4"/>
      <c r="G749" s="4"/>
      <c r="H749" s="4"/>
      <c r="I749" s="4"/>
      <c r="J749" s="4"/>
      <c r="K749" s="4"/>
      <c r="L749" s="4"/>
      <c r="M749" s="4"/>
      <c r="N749" s="4"/>
      <c r="O749" s="4"/>
      <c r="P749" s="4"/>
      <c r="Q749" s="4"/>
      <c r="R749" s="4"/>
      <c r="S749" s="4"/>
      <c r="T749" s="4"/>
      <c r="U749" s="4"/>
      <c r="V749" s="4"/>
      <c r="W749" s="242"/>
      <c r="X749" s="4"/>
      <c r="Y749" s="4"/>
      <c r="Z749" s="4"/>
    </row>
    <row r="750" ht="13.5" customHeight="1" spans="1:26" x14ac:dyDescent="0.25">
      <c r="A750" s="4"/>
      <c r="B750" s="4"/>
      <c r="C750" s="4"/>
      <c r="D750" s="4"/>
      <c r="E750" s="4"/>
      <c r="F750" s="4"/>
      <c r="G750" s="4"/>
      <c r="H750" s="4"/>
      <c r="I750" s="4"/>
      <c r="J750" s="4"/>
      <c r="K750" s="4"/>
      <c r="L750" s="4"/>
      <c r="M750" s="4"/>
      <c r="N750" s="4"/>
      <c r="O750" s="4"/>
      <c r="P750" s="4"/>
      <c r="Q750" s="4"/>
      <c r="R750" s="4"/>
      <c r="S750" s="4"/>
      <c r="T750" s="4"/>
      <c r="U750" s="4"/>
      <c r="V750" s="4"/>
      <c r="W750" s="242"/>
      <c r="X750" s="4"/>
      <c r="Y750" s="4"/>
      <c r="Z750" s="4"/>
    </row>
    <row r="751" ht="13.5" customHeight="1" spans="1:26" x14ac:dyDescent="0.25">
      <c r="A751" s="4"/>
      <c r="B751" s="4"/>
      <c r="C751" s="4"/>
      <c r="D751" s="4"/>
      <c r="E751" s="4"/>
      <c r="F751" s="4"/>
      <c r="G751" s="4"/>
      <c r="H751" s="4"/>
      <c r="I751" s="4"/>
      <c r="J751" s="4"/>
      <c r="K751" s="4"/>
      <c r="L751" s="4"/>
      <c r="M751" s="4"/>
      <c r="N751" s="4"/>
      <c r="O751" s="4"/>
      <c r="P751" s="4"/>
      <c r="Q751" s="4"/>
      <c r="R751" s="4"/>
      <c r="S751" s="4"/>
      <c r="T751" s="4"/>
      <c r="U751" s="4"/>
      <c r="V751" s="4"/>
      <c r="W751" s="242"/>
      <c r="X751" s="4"/>
      <c r="Y751" s="4"/>
      <c r="Z751" s="4"/>
    </row>
    <row r="752" ht="13.5" customHeight="1" spans="1:26" x14ac:dyDescent="0.25">
      <c r="A752" s="4"/>
      <c r="B752" s="4"/>
      <c r="C752" s="4"/>
      <c r="D752" s="4"/>
      <c r="E752" s="4"/>
      <c r="F752" s="4"/>
      <c r="G752" s="4"/>
      <c r="H752" s="4"/>
      <c r="I752" s="4"/>
      <c r="J752" s="4"/>
      <c r="K752" s="4"/>
      <c r="L752" s="4"/>
      <c r="M752" s="4"/>
      <c r="N752" s="4"/>
      <c r="O752" s="4"/>
      <c r="P752" s="4"/>
      <c r="Q752" s="4"/>
      <c r="R752" s="4"/>
      <c r="S752" s="4"/>
      <c r="T752" s="4"/>
      <c r="U752" s="4"/>
      <c r="V752" s="4"/>
      <c r="W752" s="242"/>
      <c r="X752" s="4"/>
      <c r="Y752" s="4"/>
      <c r="Z752" s="4"/>
    </row>
    <row r="753" ht="13.5" customHeight="1" spans="1:26" x14ac:dyDescent="0.25">
      <c r="A753" s="4"/>
      <c r="B753" s="4"/>
      <c r="C753" s="4"/>
      <c r="D753" s="4"/>
      <c r="E753" s="4"/>
      <c r="F753" s="4"/>
      <c r="G753" s="4"/>
      <c r="H753" s="4"/>
      <c r="I753" s="4"/>
      <c r="J753" s="4"/>
      <c r="K753" s="4"/>
      <c r="L753" s="4"/>
      <c r="M753" s="4"/>
      <c r="N753" s="4"/>
      <c r="O753" s="4"/>
      <c r="P753" s="4"/>
      <c r="Q753" s="4"/>
      <c r="R753" s="4"/>
      <c r="S753" s="4"/>
      <c r="T753" s="4"/>
      <c r="U753" s="4"/>
      <c r="V753" s="4"/>
      <c r="W753" s="242"/>
      <c r="X753" s="4"/>
      <c r="Y753" s="4"/>
      <c r="Z753" s="4"/>
    </row>
    <row r="754" ht="13.5" customHeight="1" spans="1:26" x14ac:dyDescent="0.25">
      <c r="A754" s="4"/>
      <c r="B754" s="4"/>
      <c r="C754" s="4"/>
      <c r="D754" s="4"/>
      <c r="E754" s="4"/>
      <c r="F754" s="4"/>
      <c r="G754" s="4"/>
      <c r="H754" s="4"/>
      <c r="I754" s="4"/>
      <c r="J754" s="4"/>
      <c r="K754" s="4"/>
      <c r="L754" s="4"/>
      <c r="M754" s="4"/>
      <c r="N754" s="4"/>
      <c r="O754" s="4"/>
      <c r="P754" s="4"/>
      <c r="Q754" s="4"/>
      <c r="R754" s="4"/>
      <c r="S754" s="4"/>
      <c r="T754" s="4"/>
      <c r="U754" s="4"/>
      <c r="V754" s="4"/>
      <c r="W754" s="242"/>
      <c r="X754" s="4"/>
      <c r="Y754" s="4"/>
      <c r="Z754" s="4"/>
    </row>
    <row r="755" ht="13.5" customHeight="1" spans="1:26" x14ac:dyDescent="0.25">
      <c r="A755" s="4"/>
      <c r="B755" s="4"/>
      <c r="C755" s="4"/>
      <c r="D755" s="4"/>
      <c r="E755" s="4"/>
      <c r="F755" s="4"/>
      <c r="G755" s="4"/>
      <c r="H755" s="4"/>
      <c r="I755" s="4"/>
      <c r="J755" s="4"/>
      <c r="K755" s="4"/>
      <c r="L755" s="4"/>
      <c r="M755" s="4"/>
      <c r="N755" s="4"/>
      <c r="O755" s="4"/>
      <c r="P755" s="4"/>
      <c r="Q755" s="4"/>
      <c r="R755" s="4"/>
      <c r="S755" s="4"/>
      <c r="T755" s="4"/>
      <c r="U755" s="4"/>
      <c r="V755" s="4"/>
      <c r="W755" s="242"/>
      <c r="X755" s="4"/>
      <c r="Y755" s="4"/>
      <c r="Z755" s="4"/>
    </row>
    <row r="756" ht="13.5" customHeight="1" spans="1:26" x14ac:dyDescent="0.25">
      <c r="A756" s="4"/>
      <c r="B756" s="4"/>
      <c r="C756" s="4"/>
      <c r="D756" s="4"/>
      <c r="E756" s="4"/>
      <c r="F756" s="4"/>
      <c r="G756" s="4"/>
      <c r="H756" s="4"/>
      <c r="I756" s="4"/>
      <c r="J756" s="4"/>
      <c r="K756" s="4"/>
      <c r="L756" s="4"/>
      <c r="M756" s="4"/>
      <c r="N756" s="4"/>
      <c r="O756" s="4"/>
      <c r="P756" s="4"/>
      <c r="Q756" s="4"/>
      <c r="R756" s="4"/>
      <c r="S756" s="4"/>
      <c r="T756" s="4"/>
      <c r="U756" s="4"/>
      <c r="V756" s="4"/>
      <c r="W756" s="242"/>
      <c r="X756" s="4"/>
      <c r="Y756" s="4"/>
      <c r="Z756" s="4"/>
    </row>
    <row r="757" ht="13.5" customHeight="1" spans="1:26" x14ac:dyDescent="0.25">
      <c r="A757" s="4"/>
      <c r="B757" s="4"/>
      <c r="C757" s="4"/>
      <c r="D757" s="4"/>
      <c r="E757" s="4"/>
      <c r="F757" s="4"/>
      <c r="G757" s="4"/>
      <c r="H757" s="4"/>
      <c r="I757" s="4"/>
      <c r="J757" s="4"/>
      <c r="K757" s="4"/>
      <c r="L757" s="4"/>
      <c r="M757" s="4"/>
      <c r="N757" s="4"/>
      <c r="O757" s="4"/>
      <c r="P757" s="4"/>
      <c r="Q757" s="4"/>
      <c r="R757" s="4"/>
      <c r="S757" s="4"/>
      <c r="T757" s="4"/>
      <c r="U757" s="4"/>
      <c r="V757" s="4"/>
      <c r="W757" s="242"/>
      <c r="X757" s="4"/>
      <c r="Y757" s="4"/>
      <c r="Z757" s="4"/>
    </row>
    <row r="758" ht="13.5" customHeight="1" spans="1:26" x14ac:dyDescent="0.25">
      <c r="A758" s="4"/>
      <c r="B758" s="4"/>
      <c r="C758" s="4"/>
      <c r="D758" s="4"/>
      <c r="E758" s="4"/>
      <c r="F758" s="4"/>
      <c r="G758" s="4"/>
      <c r="H758" s="4"/>
      <c r="I758" s="4"/>
      <c r="J758" s="4"/>
      <c r="K758" s="4"/>
      <c r="L758" s="4"/>
      <c r="M758" s="4"/>
      <c r="N758" s="4"/>
      <c r="O758" s="4"/>
      <c r="P758" s="4"/>
      <c r="Q758" s="4"/>
      <c r="R758" s="4"/>
      <c r="S758" s="4"/>
      <c r="T758" s="4"/>
      <c r="U758" s="4"/>
      <c r="V758" s="4"/>
      <c r="W758" s="242"/>
      <c r="X758" s="4"/>
      <c r="Y758" s="4"/>
      <c r="Z758" s="4"/>
    </row>
    <row r="759" ht="13.5" customHeight="1" spans="1:26" x14ac:dyDescent="0.25">
      <c r="A759" s="4"/>
      <c r="B759" s="4"/>
      <c r="C759" s="4"/>
      <c r="D759" s="4"/>
      <c r="E759" s="4"/>
      <c r="F759" s="4"/>
      <c r="G759" s="4"/>
      <c r="H759" s="4"/>
      <c r="I759" s="4"/>
      <c r="J759" s="4"/>
      <c r="K759" s="4"/>
      <c r="L759" s="4"/>
      <c r="M759" s="4"/>
      <c r="N759" s="4"/>
      <c r="O759" s="4"/>
      <c r="P759" s="4"/>
      <c r="Q759" s="4"/>
      <c r="R759" s="4"/>
      <c r="S759" s="4"/>
      <c r="T759" s="4"/>
      <c r="U759" s="4"/>
      <c r="V759" s="4"/>
      <c r="W759" s="242"/>
      <c r="X759" s="4"/>
      <c r="Y759" s="4"/>
      <c r="Z759" s="4"/>
    </row>
    <row r="760" ht="13.5" customHeight="1" spans="1:26" x14ac:dyDescent="0.25">
      <c r="A760" s="4"/>
      <c r="B760" s="4"/>
      <c r="C760" s="4"/>
      <c r="D760" s="4"/>
      <c r="E760" s="4"/>
      <c r="F760" s="4"/>
      <c r="G760" s="4"/>
      <c r="H760" s="4"/>
      <c r="I760" s="4"/>
      <c r="J760" s="4"/>
      <c r="K760" s="4"/>
      <c r="L760" s="4"/>
      <c r="M760" s="4"/>
      <c r="N760" s="4"/>
      <c r="O760" s="4"/>
      <c r="P760" s="4"/>
      <c r="Q760" s="4"/>
      <c r="R760" s="4"/>
      <c r="S760" s="4"/>
      <c r="T760" s="4"/>
      <c r="U760" s="4"/>
      <c r="V760" s="4"/>
      <c r="W760" s="242"/>
      <c r="X760" s="4"/>
      <c r="Y760" s="4"/>
      <c r="Z760" s="4"/>
    </row>
    <row r="761" ht="13.5" customHeight="1" spans="1:26" x14ac:dyDescent="0.25">
      <c r="A761" s="4"/>
      <c r="B761" s="4"/>
      <c r="C761" s="4"/>
      <c r="D761" s="4"/>
      <c r="E761" s="4"/>
      <c r="F761" s="4"/>
      <c r="G761" s="4"/>
      <c r="H761" s="4"/>
      <c r="I761" s="4"/>
      <c r="J761" s="4"/>
      <c r="K761" s="4"/>
      <c r="L761" s="4"/>
      <c r="M761" s="4"/>
      <c r="N761" s="4"/>
      <c r="O761" s="4"/>
      <c r="P761" s="4"/>
      <c r="Q761" s="4"/>
      <c r="R761" s="4"/>
      <c r="S761" s="4"/>
      <c r="T761" s="4"/>
      <c r="U761" s="4"/>
      <c r="V761" s="4"/>
      <c r="W761" s="242"/>
      <c r="X761" s="4"/>
      <c r="Y761" s="4"/>
      <c r="Z761" s="4"/>
    </row>
    <row r="762" ht="13.5" customHeight="1" spans="1:26" x14ac:dyDescent="0.25">
      <c r="A762" s="4"/>
      <c r="B762" s="4"/>
      <c r="C762" s="4"/>
      <c r="D762" s="4"/>
      <c r="E762" s="4"/>
      <c r="F762" s="4"/>
      <c r="G762" s="4"/>
      <c r="H762" s="4"/>
      <c r="I762" s="4"/>
      <c r="J762" s="4"/>
      <c r="K762" s="4"/>
      <c r="L762" s="4"/>
      <c r="M762" s="4"/>
      <c r="N762" s="4"/>
      <c r="O762" s="4"/>
      <c r="P762" s="4"/>
      <c r="Q762" s="4"/>
      <c r="R762" s="4"/>
      <c r="S762" s="4"/>
      <c r="T762" s="4"/>
      <c r="U762" s="4"/>
      <c r="V762" s="4"/>
      <c r="W762" s="242"/>
      <c r="X762" s="4"/>
      <c r="Y762" s="4"/>
      <c r="Z762" s="4"/>
    </row>
    <row r="763" ht="13.5" customHeight="1" spans="1:26" x14ac:dyDescent="0.25">
      <c r="A763" s="4"/>
      <c r="B763" s="4"/>
      <c r="C763" s="4"/>
      <c r="D763" s="4"/>
      <c r="E763" s="4"/>
      <c r="F763" s="4"/>
      <c r="G763" s="4"/>
      <c r="H763" s="4"/>
      <c r="I763" s="4"/>
      <c r="J763" s="4"/>
      <c r="K763" s="4"/>
      <c r="L763" s="4"/>
      <c r="M763" s="4"/>
      <c r="N763" s="4"/>
      <c r="O763" s="4"/>
      <c r="P763" s="4"/>
      <c r="Q763" s="4"/>
      <c r="R763" s="4"/>
      <c r="S763" s="4"/>
      <c r="T763" s="4"/>
      <c r="U763" s="4"/>
      <c r="V763" s="4"/>
      <c r="W763" s="242"/>
      <c r="X763" s="4"/>
      <c r="Y763" s="4"/>
      <c r="Z763" s="4"/>
    </row>
    <row r="764" ht="13.5" customHeight="1" spans="1:26" x14ac:dyDescent="0.25">
      <c r="A764" s="4"/>
      <c r="B764" s="4"/>
      <c r="C764" s="4"/>
      <c r="D764" s="4"/>
      <c r="E764" s="4"/>
      <c r="F764" s="4"/>
      <c r="G764" s="4"/>
      <c r="H764" s="4"/>
      <c r="I764" s="4"/>
      <c r="J764" s="4"/>
      <c r="K764" s="4"/>
      <c r="L764" s="4"/>
      <c r="M764" s="4"/>
      <c r="N764" s="4"/>
      <c r="O764" s="4"/>
      <c r="P764" s="4"/>
      <c r="Q764" s="4"/>
      <c r="R764" s="4"/>
      <c r="S764" s="4"/>
      <c r="T764" s="4"/>
      <c r="U764" s="4"/>
      <c r="V764" s="4"/>
      <c r="W764" s="242"/>
      <c r="X764" s="4"/>
      <c r="Y764" s="4"/>
      <c r="Z764" s="4"/>
    </row>
    <row r="765" ht="13.5" customHeight="1" spans="1:26" x14ac:dyDescent="0.25">
      <c r="A765" s="4"/>
      <c r="B765" s="4"/>
      <c r="C765" s="4"/>
      <c r="D765" s="4"/>
      <c r="E765" s="4"/>
      <c r="F765" s="4"/>
      <c r="G765" s="4"/>
      <c r="H765" s="4"/>
      <c r="I765" s="4"/>
      <c r="J765" s="4"/>
      <c r="K765" s="4"/>
      <c r="L765" s="4"/>
      <c r="M765" s="4"/>
      <c r="N765" s="4"/>
      <c r="O765" s="4"/>
      <c r="P765" s="4"/>
      <c r="Q765" s="4"/>
      <c r="R765" s="4"/>
      <c r="S765" s="4"/>
      <c r="T765" s="4"/>
      <c r="U765" s="4"/>
      <c r="V765" s="4"/>
      <c r="W765" s="242"/>
      <c r="X765" s="4"/>
      <c r="Y765" s="4"/>
      <c r="Z765" s="4"/>
    </row>
    <row r="766" ht="13.5" customHeight="1" spans="1:26" x14ac:dyDescent="0.25">
      <c r="A766" s="4"/>
      <c r="B766" s="4"/>
      <c r="C766" s="4"/>
      <c r="D766" s="4"/>
      <c r="E766" s="4"/>
      <c r="F766" s="4"/>
      <c r="G766" s="4"/>
      <c r="H766" s="4"/>
      <c r="I766" s="4"/>
      <c r="J766" s="4"/>
      <c r="K766" s="4"/>
      <c r="L766" s="4"/>
      <c r="M766" s="4"/>
      <c r="N766" s="4"/>
      <c r="O766" s="4"/>
      <c r="P766" s="4"/>
      <c r="Q766" s="4"/>
      <c r="R766" s="4"/>
      <c r="S766" s="4"/>
      <c r="T766" s="4"/>
      <c r="U766" s="4"/>
      <c r="V766" s="4"/>
      <c r="W766" s="242"/>
      <c r="X766" s="4"/>
      <c r="Y766" s="4"/>
      <c r="Z766" s="4"/>
    </row>
    <row r="767" ht="13.5" customHeight="1" spans="1:26" x14ac:dyDescent="0.25">
      <c r="A767" s="4"/>
      <c r="B767" s="4"/>
      <c r="C767" s="4"/>
      <c r="D767" s="4"/>
      <c r="E767" s="4"/>
      <c r="F767" s="4"/>
      <c r="G767" s="4"/>
      <c r="H767" s="4"/>
      <c r="I767" s="4"/>
      <c r="J767" s="4"/>
      <c r="K767" s="4"/>
      <c r="L767" s="4"/>
      <c r="M767" s="4"/>
      <c r="N767" s="4"/>
      <c r="O767" s="4"/>
      <c r="P767" s="4"/>
      <c r="Q767" s="4"/>
      <c r="R767" s="4"/>
      <c r="S767" s="4"/>
      <c r="T767" s="4"/>
      <c r="U767" s="4"/>
      <c r="V767" s="4"/>
      <c r="W767" s="242"/>
      <c r="X767" s="4"/>
      <c r="Y767" s="4"/>
      <c r="Z767" s="4"/>
    </row>
    <row r="768" ht="13.5" customHeight="1" spans="1:26" x14ac:dyDescent="0.25">
      <c r="A768" s="4"/>
      <c r="B768" s="4"/>
      <c r="C768" s="4"/>
      <c r="D768" s="4"/>
      <c r="E768" s="4"/>
      <c r="F768" s="4"/>
      <c r="G768" s="4"/>
      <c r="H768" s="4"/>
      <c r="I768" s="4"/>
      <c r="J768" s="4"/>
      <c r="K768" s="4"/>
      <c r="L768" s="4"/>
      <c r="M768" s="4"/>
      <c r="N768" s="4"/>
      <c r="O768" s="4"/>
      <c r="P768" s="4"/>
      <c r="Q768" s="4"/>
      <c r="R768" s="4"/>
      <c r="S768" s="4"/>
      <c r="T768" s="4"/>
      <c r="U768" s="4"/>
      <c r="V768" s="4"/>
      <c r="W768" s="242"/>
      <c r="X768" s="4"/>
      <c r="Y768" s="4"/>
      <c r="Z768" s="4"/>
    </row>
    <row r="769" ht="13.5" customHeight="1" spans="1:26" x14ac:dyDescent="0.25">
      <c r="A769" s="4"/>
      <c r="B769" s="4"/>
      <c r="C769" s="4"/>
      <c r="D769" s="4"/>
      <c r="E769" s="4"/>
      <c r="F769" s="4"/>
      <c r="G769" s="4"/>
      <c r="H769" s="4"/>
      <c r="I769" s="4"/>
      <c r="J769" s="4"/>
      <c r="K769" s="4"/>
      <c r="L769" s="4"/>
      <c r="M769" s="4"/>
      <c r="N769" s="4"/>
      <c r="O769" s="4"/>
      <c r="P769" s="4"/>
      <c r="Q769" s="4"/>
      <c r="R769" s="4"/>
      <c r="S769" s="4"/>
      <c r="T769" s="4"/>
      <c r="U769" s="4"/>
      <c r="V769" s="4"/>
      <c r="W769" s="242"/>
      <c r="X769" s="4"/>
      <c r="Y769" s="4"/>
      <c r="Z769" s="4"/>
    </row>
    <row r="770" ht="13.5" customHeight="1" spans="1:26" x14ac:dyDescent="0.25">
      <c r="A770" s="4"/>
      <c r="B770" s="4"/>
      <c r="C770" s="4"/>
      <c r="D770" s="4"/>
      <c r="E770" s="4"/>
      <c r="F770" s="4"/>
      <c r="G770" s="4"/>
      <c r="H770" s="4"/>
      <c r="I770" s="4"/>
      <c r="J770" s="4"/>
      <c r="K770" s="4"/>
      <c r="L770" s="4"/>
      <c r="M770" s="4"/>
      <c r="N770" s="4"/>
      <c r="O770" s="4"/>
      <c r="P770" s="4"/>
      <c r="Q770" s="4"/>
      <c r="R770" s="4"/>
      <c r="S770" s="4"/>
      <c r="T770" s="4"/>
      <c r="U770" s="4"/>
      <c r="V770" s="4"/>
      <c r="W770" s="242"/>
      <c r="X770" s="4"/>
      <c r="Y770" s="4"/>
      <c r="Z770" s="4"/>
    </row>
    <row r="771" ht="13.5" customHeight="1" spans="1:26" x14ac:dyDescent="0.25">
      <c r="A771" s="4"/>
      <c r="B771" s="4"/>
      <c r="C771" s="4"/>
      <c r="D771" s="4"/>
      <c r="E771" s="4"/>
      <c r="F771" s="4"/>
      <c r="G771" s="4"/>
      <c r="H771" s="4"/>
      <c r="I771" s="4"/>
      <c r="J771" s="4"/>
      <c r="K771" s="4"/>
      <c r="L771" s="4"/>
      <c r="M771" s="4"/>
      <c r="N771" s="4"/>
      <c r="O771" s="4"/>
      <c r="P771" s="4"/>
      <c r="Q771" s="4"/>
      <c r="R771" s="4"/>
      <c r="S771" s="4"/>
      <c r="T771" s="4"/>
      <c r="U771" s="4"/>
      <c r="V771" s="4"/>
      <c r="W771" s="242"/>
      <c r="X771" s="4"/>
      <c r="Y771" s="4"/>
      <c r="Z771" s="4"/>
    </row>
    <row r="772" ht="13.5" customHeight="1" spans="1:26" x14ac:dyDescent="0.25">
      <c r="A772" s="4"/>
      <c r="B772" s="4"/>
      <c r="C772" s="4"/>
      <c r="D772" s="4"/>
      <c r="E772" s="4"/>
      <c r="F772" s="4"/>
      <c r="G772" s="4"/>
      <c r="H772" s="4"/>
      <c r="I772" s="4"/>
      <c r="J772" s="4"/>
      <c r="K772" s="4"/>
      <c r="L772" s="4"/>
      <c r="M772" s="4"/>
      <c r="N772" s="4"/>
      <c r="O772" s="4"/>
      <c r="P772" s="4"/>
      <c r="Q772" s="4"/>
      <c r="R772" s="4"/>
      <c r="S772" s="4"/>
      <c r="T772" s="4"/>
      <c r="U772" s="4"/>
      <c r="V772" s="4"/>
      <c r="W772" s="242"/>
      <c r="X772" s="4"/>
      <c r="Y772" s="4"/>
      <c r="Z772" s="4"/>
    </row>
    <row r="773" ht="13.5" customHeight="1" spans="1:26" x14ac:dyDescent="0.25">
      <c r="A773" s="4"/>
      <c r="B773" s="4"/>
      <c r="C773" s="4"/>
      <c r="D773" s="4"/>
      <c r="E773" s="4"/>
      <c r="F773" s="4"/>
      <c r="G773" s="4"/>
      <c r="H773" s="4"/>
      <c r="I773" s="4"/>
      <c r="J773" s="4"/>
      <c r="K773" s="4"/>
      <c r="L773" s="4"/>
      <c r="M773" s="4"/>
      <c r="N773" s="4"/>
      <c r="O773" s="4"/>
      <c r="P773" s="4"/>
      <c r="Q773" s="4"/>
      <c r="R773" s="4"/>
      <c r="S773" s="4"/>
      <c r="T773" s="4"/>
      <c r="U773" s="4"/>
      <c r="V773" s="4"/>
      <c r="W773" s="242"/>
      <c r="X773" s="4"/>
      <c r="Y773" s="4"/>
      <c r="Z773" s="4"/>
    </row>
    <row r="774" ht="13.5" customHeight="1" spans="1:26" x14ac:dyDescent="0.25">
      <c r="A774" s="4"/>
      <c r="B774" s="4"/>
      <c r="C774" s="4"/>
      <c r="D774" s="4"/>
      <c r="E774" s="4"/>
      <c r="F774" s="4"/>
      <c r="G774" s="4"/>
      <c r="H774" s="4"/>
      <c r="I774" s="4"/>
      <c r="J774" s="4"/>
      <c r="K774" s="4"/>
      <c r="L774" s="4"/>
      <c r="M774" s="4"/>
      <c r="N774" s="4"/>
      <c r="O774" s="4"/>
      <c r="P774" s="4"/>
      <c r="Q774" s="4"/>
      <c r="R774" s="4"/>
      <c r="S774" s="4"/>
      <c r="T774" s="4"/>
      <c r="U774" s="4"/>
      <c r="V774" s="4"/>
      <c r="W774" s="242"/>
      <c r="X774" s="4"/>
      <c r="Y774" s="4"/>
      <c r="Z774" s="4"/>
    </row>
    <row r="775" ht="13.5" customHeight="1" spans="1:26" x14ac:dyDescent="0.25">
      <c r="A775" s="4"/>
      <c r="B775" s="4"/>
      <c r="C775" s="4"/>
      <c r="D775" s="4"/>
      <c r="E775" s="4"/>
      <c r="F775" s="4"/>
      <c r="G775" s="4"/>
      <c r="H775" s="4"/>
      <c r="I775" s="4"/>
      <c r="J775" s="4"/>
      <c r="K775" s="4"/>
      <c r="L775" s="4"/>
      <c r="M775" s="4"/>
      <c r="N775" s="4"/>
      <c r="O775" s="4"/>
      <c r="P775" s="4"/>
      <c r="Q775" s="4"/>
      <c r="R775" s="4"/>
      <c r="S775" s="4"/>
      <c r="T775" s="4"/>
      <c r="U775" s="4"/>
      <c r="V775" s="4"/>
      <c r="W775" s="242"/>
      <c r="X775" s="4"/>
      <c r="Y775" s="4"/>
      <c r="Z775" s="4"/>
    </row>
    <row r="776" ht="13.5" customHeight="1" spans="1:26" x14ac:dyDescent="0.25">
      <c r="A776" s="4"/>
      <c r="B776" s="4"/>
      <c r="C776" s="4"/>
      <c r="D776" s="4"/>
      <c r="E776" s="4"/>
      <c r="F776" s="4"/>
      <c r="G776" s="4"/>
      <c r="H776" s="4"/>
      <c r="I776" s="4"/>
      <c r="J776" s="4"/>
      <c r="K776" s="4"/>
      <c r="L776" s="4"/>
      <c r="M776" s="4"/>
      <c r="N776" s="4"/>
      <c r="O776" s="4"/>
      <c r="P776" s="4"/>
      <c r="Q776" s="4"/>
      <c r="R776" s="4"/>
      <c r="S776" s="4"/>
      <c r="T776" s="4"/>
      <c r="U776" s="4"/>
      <c r="V776" s="4"/>
      <c r="W776" s="242"/>
      <c r="X776" s="4"/>
      <c r="Y776" s="4"/>
      <c r="Z776" s="4"/>
    </row>
    <row r="777" ht="13.5" customHeight="1" spans="1:26" x14ac:dyDescent="0.25">
      <c r="A777" s="4"/>
      <c r="B777" s="4"/>
      <c r="C777" s="4"/>
      <c r="D777" s="4"/>
      <c r="E777" s="4"/>
      <c r="F777" s="4"/>
      <c r="G777" s="4"/>
      <c r="H777" s="4"/>
      <c r="I777" s="4"/>
      <c r="J777" s="4"/>
      <c r="K777" s="4"/>
      <c r="L777" s="4"/>
      <c r="M777" s="4"/>
      <c r="N777" s="4"/>
      <c r="O777" s="4"/>
      <c r="P777" s="4"/>
      <c r="Q777" s="4"/>
      <c r="R777" s="4"/>
      <c r="S777" s="4"/>
      <c r="T777" s="4"/>
      <c r="U777" s="4"/>
      <c r="V777" s="4"/>
      <c r="W777" s="242"/>
      <c r="X777" s="4"/>
      <c r="Y777" s="4"/>
      <c r="Z777" s="4"/>
    </row>
    <row r="778" ht="13.5" customHeight="1" spans="1:26" x14ac:dyDescent="0.25">
      <c r="A778" s="4"/>
      <c r="B778" s="4"/>
      <c r="C778" s="4"/>
      <c r="D778" s="4"/>
      <c r="E778" s="4"/>
      <c r="F778" s="4"/>
      <c r="G778" s="4"/>
      <c r="H778" s="4"/>
      <c r="I778" s="4"/>
      <c r="J778" s="4"/>
      <c r="K778" s="4"/>
      <c r="L778" s="4"/>
      <c r="M778" s="4"/>
      <c r="N778" s="4"/>
      <c r="O778" s="4"/>
      <c r="P778" s="4"/>
      <c r="Q778" s="4"/>
      <c r="R778" s="4"/>
      <c r="S778" s="4"/>
      <c r="T778" s="4"/>
      <c r="U778" s="4"/>
      <c r="V778" s="4"/>
      <c r="W778" s="242"/>
      <c r="X778" s="4"/>
      <c r="Y778" s="4"/>
      <c r="Z778" s="4"/>
    </row>
    <row r="779" ht="13.5" customHeight="1" spans="1:26" x14ac:dyDescent="0.25">
      <c r="A779" s="4"/>
      <c r="B779" s="4"/>
      <c r="C779" s="4"/>
      <c r="D779" s="4"/>
      <c r="E779" s="4"/>
      <c r="F779" s="4"/>
      <c r="G779" s="4"/>
      <c r="H779" s="4"/>
      <c r="I779" s="4"/>
      <c r="J779" s="4"/>
      <c r="K779" s="4"/>
      <c r="L779" s="4"/>
      <c r="M779" s="4"/>
      <c r="N779" s="4"/>
      <c r="O779" s="4"/>
      <c r="P779" s="4"/>
      <c r="Q779" s="4"/>
      <c r="R779" s="4"/>
      <c r="S779" s="4"/>
      <c r="T779" s="4"/>
      <c r="U779" s="4"/>
      <c r="V779" s="4"/>
      <c r="W779" s="242"/>
      <c r="X779" s="4"/>
      <c r="Y779" s="4"/>
      <c r="Z779" s="4"/>
    </row>
    <row r="780" ht="13.5" customHeight="1" spans="1:26" x14ac:dyDescent="0.25">
      <c r="A780" s="4"/>
      <c r="B780" s="4"/>
      <c r="C780" s="4"/>
      <c r="D780" s="4"/>
      <c r="E780" s="4"/>
      <c r="F780" s="4"/>
      <c r="G780" s="4"/>
      <c r="H780" s="4"/>
      <c r="I780" s="4"/>
      <c r="J780" s="4"/>
      <c r="K780" s="4"/>
      <c r="L780" s="4"/>
      <c r="M780" s="4"/>
      <c r="N780" s="4"/>
      <c r="O780" s="4"/>
      <c r="P780" s="4"/>
      <c r="Q780" s="4"/>
      <c r="R780" s="4"/>
      <c r="S780" s="4"/>
      <c r="T780" s="4"/>
      <c r="U780" s="4"/>
      <c r="V780" s="4"/>
      <c r="W780" s="242"/>
      <c r="X780" s="4"/>
      <c r="Y780" s="4"/>
      <c r="Z780" s="4"/>
    </row>
    <row r="781" ht="13.5" customHeight="1" spans="1:26" x14ac:dyDescent="0.25">
      <c r="A781" s="4"/>
      <c r="B781" s="4"/>
      <c r="C781" s="4"/>
      <c r="D781" s="4"/>
      <c r="E781" s="4"/>
      <c r="F781" s="4"/>
      <c r="G781" s="4"/>
      <c r="H781" s="4"/>
      <c r="I781" s="4"/>
      <c r="J781" s="4"/>
      <c r="K781" s="4"/>
      <c r="L781" s="4"/>
      <c r="M781" s="4"/>
      <c r="N781" s="4"/>
      <c r="O781" s="4"/>
      <c r="P781" s="4"/>
      <c r="Q781" s="4"/>
      <c r="R781" s="4"/>
      <c r="S781" s="4"/>
      <c r="T781" s="4"/>
      <c r="U781" s="4"/>
      <c r="V781" s="4"/>
      <c r="W781" s="242"/>
      <c r="X781" s="4"/>
      <c r="Y781" s="4"/>
      <c r="Z781" s="4"/>
    </row>
    <row r="782" ht="13.5" customHeight="1" spans="1:26" x14ac:dyDescent="0.25">
      <c r="A782" s="4"/>
      <c r="B782" s="4"/>
      <c r="C782" s="4"/>
      <c r="D782" s="4"/>
      <c r="E782" s="4"/>
      <c r="F782" s="4"/>
      <c r="G782" s="4"/>
      <c r="H782" s="4"/>
      <c r="I782" s="4"/>
      <c r="J782" s="4"/>
      <c r="K782" s="4"/>
      <c r="L782" s="4"/>
      <c r="M782" s="4"/>
      <c r="N782" s="4"/>
      <c r="O782" s="4"/>
      <c r="P782" s="4"/>
      <c r="Q782" s="4"/>
      <c r="R782" s="4"/>
      <c r="S782" s="4"/>
      <c r="T782" s="4"/>
      <c r="U782" s="4"/>
      <c r="V782" s="4"/>
      <c r="W782" s="242"/>
      <c r="X782" s="4"/>
      <c r="Y782" s="4"/>
      <c r="Z782" s="4"/>
    </row>
    <row r="783" ht="13.5" customHeight="1" spans="1:26" x14ac:dyDescent="0.25">
      <c r="A783" s="4"/>
      <c r="B783" s="4"/>
      <c r="C783" s="4"/>
      <c r="D783" s="4"/>
      <c r="E783" s="4"/>
      <c r="F783" s="4"/>
      <c r="G783" s="4"/>
      <c r="H783" s="4"/>
      <c r="I783" s="4"/>
      <c r="J783" s="4"/>
      <c r="K783" s="4"/>
      <c r="L783" s="4"/>
      <c r="M783" s="4"/>
      <c r="N783" s="4"/>
      <c r="O783" s="4"/>
      <c r="P783" s="4"/>
      <c r="Q783" s="4"/>
      <c r="R783" s="4"/>
      <c r="S783" s="4"/>
      <c r="T783" s="4"/>
      <c r="U783" s="4"/>
      <c r="V783" s="4"/>
      <c r="W783" s="242"/>
      <c r="X783" s="4"/>
      <c r="Y783" s="4"/>
      <c r="Z783" s="4"/>
    </row>
    <row r="784" ht="13.5" customHeight="1" spans="1:26" x14ac:dyDescent="0.25">
      <c r="A784" s="4"/>
      <c r="B784" s="4"/>
      <c r="C784" s="4"/>
      <c r="D784" s="4"/>
      <c r="E784" s="4"/>
      <c r="F784" s="4"/>
      <c r="G784" s="4"/>
      <c r="H784" s="4"/>
      <c r="I784" s="4"/>
      <c r="J784" s="4"/>
      <c r="K784" s="4"/>
      <c r="L784" s="4"/>
      <c r="M784" s="4"/>
      <c r="N784" s="4"/>
      <c r="O784" s="4"/>
      <c r="P784" s="4"/>
      <c r="Q784" s="4"/>
      <c r="R784" s="4"/>
      <c r="S784" s="4"/>
      <c r="T784" s="4"/>
      <c r="U784" s="4"/>
      <c r="V784" s="4"/>
      <c r="W784" s="242"/>
      <c r="X784" s="4"/>
      <c r="Y784" s="4"/>
      <c r="Z784" s="4"/>
    </row>
    <row r="785" ht="13.5" customHeight="1" spans="1:26" x14ac:dyDescent="0.25">
      <c r="A785" s="4"/>
      <c r="B785" s="4"/>
      <c r="C785" s="4"/>
      <c r="D785" s="4"/>
      <c r="E785" s="4"/>
      <c r="F785" s="4"/>
      <c r="G785" s="4"/>
      <c r="H785" s="4"/>
      <c r="I785" s="4"/>
      <c r="J785" s="4"/>
      <c r="K785" s="4"/>
      <c r="L785" s="4"/>
      <c r="M785" s="4"/>
      <c r="N785" s="4"/>
      <c r="O785" s="4"/>
      <c r="P785" s="4"/>
      <c r="Q785" s="4"/>
      <c r="R785" s="4"/>
      <c r="S785" s="4"/>
      <c r="T785" s="4"/>
      <c r="U785" s="4"/>
      <c r="V785" s="4"/>
      <c r="W785" s="242"/>
      <c r="X785" s="4"/>
      <c r="Y785" s="4"/>
      <c r="Z785" s="4"/>
    </row>
    <row r="786" ht="13.5" customHeight="1" spans="1:26" x14ac:dyDescent="0.25">
      <c r="A786" s="4"/>
      <c r="B786" s="4"/>
      <c r="C786" s="4"/>
      <c r="D786" s="4"/>
      <c r="E786" s="4"/>
      <c r="F786" s="4"/>
      <c r="G786" s="4"/>
      <c r="H786" s="4"/>
      <c r="I786" s="4"/>
      <c r="J786" s="4"/>
      <c r="K786" s="4"/>
      <c r="L786" s="4"/>
      <c r="M786" s="4"/>
      <c r="N786" s="4"/>
      <c r="O786" s="4"/>
      <c r="P786" s="4"/>
      <c r="Q786" s="4"/>
      <c r="R786" s="4"/>
      <c r="S786" s="4"/>
      <c r="T786" s="4"/>
      <c r="U786" s="4"/>
      <c r="V786" s="4"/>
      <c r="W786" s="242"/>
      <c r="X786" s="4"/>
      <c r="Y786" s="4"/>
      <c r="Z786" s="4"/>
    </row>
    <row r="787" ht="13.5" customHeight="1" spans="1:26" x14ac:dyDescent="0.25">
      <c r="A787" s="4"/>
      <c r="B787" s="4"/>
      <c r="C787" s="4"/>
      <c r="D787" s="4"/>
      <c r="E787" s="4"/>
      <c r="F787" s="4"/>
      <c r="G787" s="4"/>
      <c r="H787" s="4"/>
      <c r="I787" s="4"/>
      <c r="J787" s="4"/>
      <c r="K787" s="4"/>
      <c r="L787" s="4"/>
      <c r="M787" s="4"/>
      <c r="N787" s="4"/>
      <c r="O787" s="4"/>
      <c r="P787" s="4"/>
      <c r="Q787" s="4"/>
      <c r="R787" s="4"/>
      <c r="S787" s="4"/>
      <c r="T787" s="4"/>
      <c r="U787" s="4"/>
      <c r="V787" s="4"/>
      <c r="W787" s="242"/>
      <c r="X787" s="4"/>
      <c r="Y787" s="4"/>
      <c r="Z787" s="4"/>
    </row>
    <row r="788" ht="13.5" customHeight="1" spans="1:26" x14ac:dyDescent="0.25">
      <c r="A788" s="4"/>
      <c r="B788" s="4"/>
      <c r="C788" s="4"/>
      <c r="D788" s="4"/>
      <c r="E788" s="4"/>
      <c r="F788" s="4"/>
      <c r="G788" s="4"/>
      <c r="H788" s="4"/>
      <c r="I788" s="4"/>
      <c r="J788" s="4"/>
      <c r="K788" s="4"/>
      <c r="L788" s="4"/>
      <c r="M788" s="4"/>
      <c r="N788" s="4"/>
      <c r="O788" s="4"/>
      <c r="P788" s="4"/>
      <c r="Q788" s="4"/>
      <c r="R788" s="4"/>
      <c r="S788" s="4"/>
      <c r="T788" s="4"/>
      <c r="U788" s="4"/>
      <c r="V788" s="4"/>
      <c r="W788" s="242"/>
      <c r="X788" s="4"/>
      <c r="Y788" s="4"/>
      <c r="Z788" s="4"/>
    </row>
    <row r="789" ht="13.5" customHeight="1" spans="1:26" x14ac:dyDescent="0.25">
      <c r="A789" s="4"/>
      <c r="B789" s="4"/>
      <c r="C789" s="4"/>
      <c r="D789" s="4"/>
      <c r="E789" s="4"/>
      <c r="F789" s="4"/>
      <c r="G789" s="4"/>
      <c r="H789" s="4"/>
      <c r="I789" s="4"/>
      <c r="J789" s="4"/>
      <c r="K789" s="4"/>
      <c r="L789" s="4"/>
      <c r="M789" s="4"/>
      <c r="N789" s="4"/>
      <c r="O789" s="4"/>
      <c r="P789" s="4"/>
      <c r="Q789" s="4"/>
      <c r="R789" s="4"/>
      <c r="S789" s="4"/>
      <c r="T789" s="4"/>
      <c r="U789" s="4"/>
      <c r="V789" s="4"/>
      <c r="W789" s="242"/>
      <c r="X789" s="4"/>
      <c r="Y789" s="4"/>
      <c r="Z789" s="4"/>
    </row>
    <row r="790" ht="13.5" customHeight="1" spans="1:26" x14ac:dyDescent="0.25">
      <c r="A790" s="4"/>
      <c r="B790" s="4"/>
      <c r="C790" s="4"/>
      <c r="D790" s="4"/>
      <c r="E790" s="4"/>
      <c r="F790" s="4"/>
      <c r="G790" s="4"/>
      <c r="H790" s="4"/>
      <c r="I790" s="4"/>
      <c r="J790" s="4"/>
      <c r="K790" s="4"/>
      <c r="L790" s="4"/>
      <c r="M790" s="4"/>
      <c r="N790" s="4"/>
      <c r="O790" s="4"/>
      <c r="P790" s="4"/>
      <c r="Q790" s="4"/>
      <c r="R790" s="4"/>
      <c r="S790" s="4"/>
      <c r="T790" s="4"/>
      <c r="U790" s="4"/>
      <c r="V790" s="4"/>
      <c r="W790" s="242"/>
      <c r="X790" s="4"/>
      <c r="Y790" s="4"/>
      <c r="Z790" s="4"/>
    </row>
    <row r="791" ht="13.5" customHeight="1" spans="1:26" x14ac:dyDescent="0.25">
      <c r="A791" s="4"/>
      <c r="B791" s="4"/>
      <c r="C791" s="4"/>
      <c r="D791" s="4"/>
      <c r="E791" s="4"/>
      <c r="F791" s="4"/>
      <c r="G791" s="4"/>
      <c r="H791" s="4"/>
      <c r="I791" s="4"/>
      <c r="J791" s="4"/>
      <c r="K791" s="4"/>
      <c r="L791" s="4"/>
      <c r="M791" s="4"/>
      <c r="N791" s="4"/>
      <c r="O791" s="4"/>
      <c r="P791" s="4"/>
      <c r="Q791" s="4"/>
      <c r="R791" s="4"/>
      <c r="S791" s="4"/>
      <c r="T791" s="4"/>
      <c r="U791" s="4"/>
      <c r="V791" s="4"/>
      <c r="W791" s="242"/>
      <c r="X791" s="4"/>
      <c r="Y791" s="4"/>
      <c r="Z791" s="4"/>
    </row>
    <row r="792" ht="13.5" customHeight="1" spans="1:26" x14ac:dyDescent="0.25">
      <c r="A792" s="4"/>
      <c r="B792" s="4"/>
      <c r="C792" s="4"/>
      <c r="D792" s="4"/>
      <c r="E792" s="4"/>
      <c r="F792" s="4"/>
      <c r="G792" s="4"/>
      <c r="H792" s="4"/>
      <c r="I792" s="4"/>
      <c r="J792" s="4"/>
      <c r="K792" s="4"/>
      <c r="L792" s="4"/>
      <c r="M792" s="4"/>
      <c r="N792" s="4"/>
      <c r="O792" s="4"/>
      <c r="P792" s="4"/>
      <c r="Q792" s="4"/>
      <c r="R792" s="4"/>
      <c r="S792" s="4"/>
      <c r="T792" s="4"/>
      <c r="U792" s="4"/>
      <c r="V792" s="4"/>
      <c r="W792" s="242"/>
      <c r="X792" s="4"/>
      <c r="Y792" s="4"/>
      <c r="Z792" s="4"/>
    </row>
    <row r="793" ht="13.5" customHeight="1" spans="1:26" x14ac:dyDescent="0.25">
      <c r="A793" s="4"/>
      <c r="B793" s="4"/>
      <c r="C793" s="4"/>
      <c r="D793" s="4"/>
      <c r="E793" s="4"/>
      <c r="F793" s="4"/>
      <c r="G793" s="4"/>
      <c r="H793" s="4"/>
      <c r="I793" s="4"/>
      <c r="J793" s="4"/>
      <c r="K793" s="4"/>
      <c r="L793" s="4"/>
      <c r="M793" s="4"/>
      <c r="N793" s="4"/>
      <c r="O793" s="4"/>
      <c r="P793" s="4"/>
      <c r="Q793" s="4"/>
      <c r="R793" s="4"/>
      <c r="S793" s="4"/>
      <c r="T793" s="4"/>
      <c r="U793" s="4"/>
      <c r="V793" s="4"/>
      <c r="W793" s="242"/>
      <c r="X793" s="4"/>
      <c r="Y793" s="4"/>
      <c r="Z793" s="4"/>
    </row>
    <row r="794" ht="13.5" customHeight="1" spans="1:26" x14ac:dyDescent="0.25">
      <c r="A794" s="4"/>
      <c r="B794" s="4"/>
      <c r="C794" s="4"/>
      <c r="D794" s="4"/>
      <c r="E794" s="4"/>
      <c r="F794" s="4"/>
      <c r="G794" s="4"/>
      <c r="H794" s="4"/>
      <c r="I794" s="4"/>
      <c r="J794" s="4"/>
      <c r="K794" s="4"/>
      <c r="L794" s="4"/>
      <c r="M794" s="4"/>
      <c r="N794" s="4"/>
      <c r="O794" s="4"/>
      <c r="P794" s="4"/>
      <c r="Q794" s="4"/>
      <c r="R794" s="4"/>
      <c r="S794" s="4"/>
      <c r="T794" s="4"/>
      <c r="U794" s="4"/>
      <c r="V794" s="4"/>
      <c r="W794" s="242"/>
      <c r="X794" s="4"/>
      <c r="Y794" s="4"/>
      <c r="Z794" s="4"/>
    </row>
    <row r="795" ht="13.5" customHeight="1" spans="1:26" x14ac:dyDescent="0.25">
      <c r="A795" s="4"/>
      <c r="B795" s="4"/>
      <c r="C795" s="4"/>
      <c r="D795" s="4"/>
      <c r="E795" s="4"/>
      <c r="F795" s="4"/>
      <c r="G795" s="4"/>
      <c r="H795" s="4"/>
      <c r="I795" s="4"/>
      <c r="J795" s="4"/>
      <c r="K795" s="4"/>
      <c r="L795" s="4"/>
      <c r="M795" s="4"/>
      <c r="N795" s="4"/>
      <c r="O795" s="4"/>
      <c r="P795" s="4"/>
      <c r="Q795" s="4"/>
      <c r="R795" s="4"/>
      <c r="S795" s="4"/>
      <c r="T795" s="4"/>
      <c r="U795" s="4"/>
      <c r="V795" s="4"/>
      <c r="W795" s="242"/>
      <c r="X795" s="4"/>
      <c r="Y795" s="4"/>
      <c r="Z795" s="4"/>
    </row>
    <row r="796" ht="13.5" customHeight="1" spans="1:26" x14ac:dyDescent="0.25">
      <c r="A796" s="4"/>
      <c r="B796" s="4"/>
      <c r="C796" s="4"/>
      <c r="D796" s="4"/>
      <c r="E796" s="4"/>
      <c r="F796" s="4"/>
      <c r="G796" s="4"/>
      <c r="H796" s="4"/>
      <c r="I796" s="4"/>
      <c r="J796" s="4"/>
      <c r="K796" s="4"/>
      <c r="L796" s="4"/>
      <c r="M796" s="4"/>
      <c r="N796" s="4"/>
      <c r="O796" s="4"/>
      <c r="P796" s="4"/>
      <c r="Q796" s="4"/>
      <c r="R796" s="4"/>
      <c r="S796" s="4"/>
      <c r="T796" s="4"/>
      <c r="U796" s="4"/>
      <c r="V796" s="4"/>
      <c r="W796" s="242"/>
      <c r="X796" s="4"/>
      <c r="Y796" s="4"/>
      <c r="Z796" s="4"/>
    </row>
    <row r="797" ht="13.5" customHeight="1" spans="1:26" x14ac:dyDescent="0.25">
      <c r="A797" s="4"/>
      <c r="B797" s="4"/>
      <c r="C797" s="4"/>
      <c r="D797" s="4"/>
      <c r="E797" s="4"/>
      <c r="F797" s="4"/>
      <c r="G797" s="4"/>
      <c r="H797" s="4"/>
      <c r="I797" s="4"/>
      <c r="J797" s="4"/>
      <c r="K797" s="4"/>
      <c r="L797" s="4"/>
      <c r="M797" s="4"/>
      <c r="N797" s="4"/>
      <c r="O797" s="4"/>
      <c r="P797" s="4"/>
      <c r="Q797" s="4"/>
      <c r="R797" s="4"/>
      <c r="S797" s="4"/>
      <c r="T797" s="4"/>
      <c r="U797" s="4"/>
      <c r="V797" s="4"/>
      <c r="W797" s="242"/>
      <c r="X797" s="4"/>
      <c r="Y797" s="4"/>
      <c r="Z797" s="4"/>
    </row>
    <row r="798" ht="13.5" customHeight="1" spans="1:26" x14ac:dyDescent="0.25">
      <c r="A798" s="4"/>
      <c r="B798" s="4"/>
      <c r="C798" s="4"/>
      <c r="D798" s="4"/>
      <c r="E798" s="4"/>
      <c r="F798" s="4"/>
      <c r="G798" s="4"/>
      <c r="H798" s="4"/>
      <c r="I798" s="4"/>
      <c r="J798" s="4"/>
      <c r="K798" s="4"/>
      <c r="L798" s="4"/>
      <c r="M798" s="4"/>
      <c r="N798" s="4"/>
      <c r="O798" s="4"/>
      <c r="P798" s="4"/>
      <c r="Q798" s="4"/>
      <c r="R798" s="4"/>
      <c r="S798" s="4"/>
      <c r="T798" s="4"/>
      <c r="U798" s="4"/>
      <c r="V798" s="4"/>
      <c r="W798" s="242"/>
      <c r="X798" s="4"/>
      <c r="Y798" s="4"/>
      <c r="Z798" s="4"/>
    </row>
    <row r="799" ht="13.5" customHeight="1" spans="1:26" x14ac:dyDescent="0.25">
      <c r="A799" s="4"/>
      <c r="B799" s="4"/>
      <c r="C799" s="4"/>
      <c r="D799" s="4"/>
      <c r="E799" s="4"/>
      <c r="F799" s="4"/>
      <c r="G799" s="4"/>
      <c r="H799" s="4"/>
      <c r="I799" s="4"/>
      <c r="J799" s="4"/>
      <c r="K799" s="4"/>
      <c r="L799" s="4"/>
      <c r="M799" s="4"/>
      <c r="N799" s="4"/>
      <c r="O799" s="4"/>
      <c r="P799" s="4"/>
      <c r="Q799" s="4"/>
      <c r="R799" s="4"/>
      <c r="S799" s="4"/>
      <c r="T799" s="4"/>
      <c r="U799" s="4"/>
      <c r="V799" s="4"/>
      <c r="W799" s="242"/>
      <c r="X799" s="4"/>
      <c r="Y799" s="4"/>
      <c r="Z799" s="4"/>
    </row>
    <row r="800" ht="13.5" customHeight="1" spans="1:26" x14ac:dyDescent="0.25">
      <c r="A800" s="4"/>
      <c r="B800" s="4"/>
      <c r="C800" s="4"/>
      <c r="D800" s="4"/>
      <c r="E800" s="4"/>
      <c r="F800" s="4"/>
      <c r="G800" s="4"/>
      <c r="H800" s="4"/>
      <c r="I800" s="4"/>
      <c r="J800" s="4"/>
      <c r="K800" s="4"/>
      <c r="L800" s="4"/>
      <c r="M800" s="4"/>
      <c r="N800" s="4"/>
      <c r="O800" s="4"/>
      <c r="P800" s="4"/>
      <c r="Q800" s="4"/>
      <c r="R800" s="4"/>
      <c r="S800" s="4"/>
      <c r="T800" s="4"/>
      <c r="U800" s="4"/>
      <c r="V800" s="4"/>
      <c r="W800" s="242"/>
      <c r="X800" s="4"/>
      <c r="Y800" s="4"/>
      <c r="Z800" s="4"/>
    </row>
    <row r="801" ht="13.5" customHeight="1" spans="1:26" x14ac:dyDescent="0.25">
      <c r="A801" s="4"/>
      <c r="B801" s="4"/>
      <c r="C801" s="4"/>
      <c r="D801" s="4"/>
      <c r="E801" s="4"/>
      <c r="F801" s="4"/>
      <c r="G801" s="4"/>
      <c r="H801" s="4"/>
      <c r="I801" s="4"/>
      <c r="J801" s="4"/>
      <c r="K801" s="4"/>
      <c r="L801" s="4"/>
      <c r="M801" s="4"/>
      <c r="N801" s="4"/>
      <c r="O801" s="4"/>
      <c r="P801" s="4"/>
      <c r="Q801" s="4"/>
      <c r="R801" s="4"/>
      <c r="S801" s="4"/>
      <c r="T801" s="4"/>
      <c r="U801" s="4"/>
      <c r="V801" s="4"/>
      <c r="W801" s="242"/>
      <c r="X801" s="4"/>
      <c r="Y801" s="4"/>
      <c r="Z801" s="4"/>
    </row>
    <row r="802" ht="13.5" customHeight="1" spans="1:26" x14ac:dyDescent="0.25">
      <c r="A802" s="4"/>
      <c r="B802" s="4"/>
      <c r="C802" s="4"/>
      <c r="D802" s="4"/>
      <c r="E802" s="4"/>
      <c r="F802" s="4"/>
      <c r="G802" s="4"/>
      <c r="H802" s="4"/>
      <c r="I802" s="4"/>
      <c r="J802" s="4"/>
      <c r="K802" s="4"/>
      <c r="L802" s="4"/>
      <c r="M802" s="4"/>
      <c r="N802" s="4"/>
      <c r="O802" s="4"/>
      <c r="P802" s="4"/>
      <c r="Q802" s="4"/>
      <c r="R802" s="4"/>
      <c r="S802" s="4"/>
      <c r="T802" s="4"/>
      <c r="U802" s="4"/>
      <c r="V802" s="4"/>
      <c r="W802" s="242"/>
      <c r="X802" s="4"/>
      <c r="Y802" s="4"/>
      <c r="Z802" s="4"/>
    </row>
    <row r="803" ht="13.5" customHeight="1" spans="1:26" x14ac:dyDescent="0.25">
      <c r="A803" s="4"/>
      <c r="B803" s="4"/>
      <c r="C803" s="4"/>
      <c r="D803" s="4"/>
      <c r="E803" s="4"/>
      <c r="F803" s="4"/>
      <c r="G803" s="4"/>
      <c r="H803" s="4"/>
      <c r="I803" s="4"/>
      <c r="J803" s="4"/>
      <c r="K803" s="4"/>
      <c r="L803" s="4"/>
      <c r="M803" s="4"/>
      <c r="N803" s="4"/>
      <c r="O803" s="4"/>
      <c r="P803" s="4"/>
      <c r="Q803" s="4"/>
      <c r="R803" s="4"/>
      <c r="S803" s="4"/>
      <c r="T803" s="4"/>
      <c r="U803" s="4"/>
      <c r="V803" s="4"/>
      <c r="W803" s="242"/>
      <c r="X803" s="4"/>
      <c r="Y803" s="4"/>
      <c r="Z803" s="4"/>
    </row>
    <row r="804" ht="13.5" customHeight="1" spans="1:26" x14ac:dyDescent="0.25">
      <c r="A804" s="4"/>
      <c r="B804" s="4"/>
      <c r="C804" s="4"/>
      <c r="D804" s="4"/>
      <c r="E804" s="4"/>
      <c r="F804" s="4"/>
      <c r="G804" s="4"/>
      <c r="H804" s="4"/>
      <c r="I804" s="4"/>
      <c r="J804" s="4"/>
      <c r="K804" s="4"/>
      <c r="L804" s="4"/>
      <c r="M804" s="4"/>
      <c r="N804" s="4"/>
      <c r="O804" s="4"/>
      <c r="P804" s="4"/>
      <c r="Q804" s="4"/>
      <c r="R804" s="4"/>
      <c r="S804" s="4"/>
      <c r="T804" s="4"/>
      <c r="U804" s="4"/>
      <c r="V804" s="4"/>
      <c r="W804" s="242"/>
      <c r="X804" s="4"/>
      <c r="Y804" s="4"/>
      <c r="Z804" s="4"/>
    </row>
    <row r="805" ht="13.5" customHeight="1" spans="1:26" x14ac:dyDescent="0.25">
      <c r="A805" s="4"/>
      <c r="B805" s="4"/>
      <c r="C805" s="4"/>
      <c r="D805" s="4"/>
      <c r="E805" s="4"/>
      <c r="F805" s="4"/>
      <c r="G805" s="4"/>
      <c r="H805" s="4"/>
      <c r="I805" s="4"/>
      <c r="J805" s="4"/>
      <c r="K805" s="4"/>
      <c r="L805" s="4"/>
      <c r="M805" s="4"/>
      <c r="N805" s="4"/>
      <c r="O805" s="4"/>
      <c r="P805" s="4"/>
      <c r="Q805" s="4"/>
      <c r="R805" s="4"/>
      <c r="S805" s="4"/>
      <c r="T805" s="4"/>
      <c r="U805" s="4"/>
      <c r="V805" s="4"/>
      <c r="W805" s="242"/>
      <c r="X805" s="4"/>
      <c r="Y805" s="4"/>
      <c r="Z805" s="4"/>
    </row>
    <row r="806" ht="13.5" customHeight="1" spans="1:26" x14ac:dyDescent="0.25">
      <c r="A806" s="4"/>
      <c r="B806" s="4"/>
      <c r="C806" s="4"/>
      <c r="D806" s="4"/>
      <c r="E806" s="4"/>
      <c r="F806" s="4"/>
      <c r="G806" s="4"/>
      <c r="H806" s="4"/>
      <c r="I806" s="4"/>
      <c r="J806" s="4"/>
      <c r="K806" s="4"/>
      <c r="L806" s="4"/>
      <c r="M806" s="4"/>
      <c r="N806" s="4"/>
      <c r="O806" s="4"/>
      <c r="P806" s="4"/>
      <c r="Q806" s="4"/>
      <c r="R806" s="4"/>
      <c r="S806" s="4"/>
      <c r="T806" s="4"/>
      <c r="U806" s="4"/>
      <c r="V806" s="4"/>
      <c r="W806" s="242"/>
      <c r="X806" s="4"/>
      <c r="Y806" s="4"/>
      <c r="Z806" s="4"/>
    </row>
    <row r="807" ht="13.5" customHeight="1" spans="1:26" x14ac:dyDescent="0.25">
      <c r="A807" s="4"/>
      <c r="B807" s="4"/>
      <c r="C807" s="4"/>
      <c r="D807" s="4"/>
      <c r="E807" s="4"/>
      <c r="F807" s="4"/>
      <c r="G807" s="4"/>
      <c r="H807" s="4"/>
      <c r="I807" s="4"/>
      <c r="J807" s="4"/>
      <c r="K807" s="4"/>
      <c r="L807" s="4"/>
      <c r="M807" s="4"/>
      <c r="N807" s="4"/>
      <c r="O807" s="4"/>
      <c r="P807" s="4"/>
      <c r="Q807" s="4"/>
      <c r="R807" s="4"/>
      <c r="S807" s="4"/>
      <c r="T807" s="4"/>
      <c r="U807" s="4"/>
      <c r="V807" s="4"/>
      <c r="W807" s="242"/>
      <c r="X807" s="4"/>
      <c r="Y807" s="4"/>
      <c r="Z807" s="4"/>
    </row>
    <row r="808" ht="13.5" customHeight="1" spans="1:26" x14ac:dyDescent="0.25">
      <c r="A808" s="4"/>
      <c r="B808" s="4"/>
      <c r="C808" s="4"/>
      <c r="D808" s="4"/>
      <c r="E808" s="4"/>
      <c r="F808" s="4"/>
      <c r="G808" s="4"/>
      <c r="H808" s="4"/>
      <c r="I808" s="4"/>
      <c r="J808" s="4"/>
      <c r="K808" s="4"/>
      <c r="L808" s="4"/>
      <c r="M808" s="4"/>
      <c r="N808" s="4"/>
      <c r="O808" s="4"/>
      <c r="P808" s="4"/>
      <c r="Q808" s="4"/>
      <c r="R808" s="4"/>
      <c r="S808" s="4"/>
      <c r="T808" s="4"/>
      <c r="U808" s="4"/>
      <c r="V808" s="4"/>
      <c r="W808" s="242"/>
      <c r="X808" s="4"/>
      <c r="Y808" s="4"/>
      <c r="Z808" s="4"/>
    </row>
    <row r="809" ht="13.5" customHeight="1" spans="1:26" x14ac:dyDescent="0.25">
      <c r="A809" s="4"/>
      <c r="B809" s="4"/>
      <c r="C809" s="4"/>
      <c r="D809" s="4"/>
      <c r="E809" s="4"/>
      <c r="F809" s="4"/>
      <c r="G809" s="4"/>
      <c r="H809" s="4"/>
      <c r="I809" s="4"/>
      <c r="J809" s="4"/>
      <c r="K809" s="4"/>
      <c r="L809" s="4"/>
      <c r="M809" s="4"/>
      <c r="N809" s="4"/>
      <c r="O809" s="4"/>
      <c r="P809" s="4"/>
      <c r="Q809" s="4"/>
      <c r="R809" s="4"/>
      <c r="S809" s="4"/>
      <c r="T809" s="4"/>
      <c r="U809" s="4"/>
      <c r="V809" s="4"/>
      <c r="W809" s="242"/>
      <c r="X809" s="4"/>
      <c r="Y809" s="4"/>
      <c r="Z809" s="4"/>
    </row>
    <row r="810" ht="13.5" customHeight="1" spans="1:26" x14ac:dyDescent="0.25">
      <c r="A810" s="4"/>
      <c r="B810" s="4"/>
      <c r="C810" s="4"/>
      <c r="D810" s="4"/>
      <c r="E810" s="4"/>
      <c r="F810" s="4"/>
      <c r="G810" s="4"/>
      <c r="H810" s="4"/>
      <c r="I810" s="4"/>
      <c r="J810" s="4"/>
      <c r="K810" s="4"/>
      <c r="L810" s="4"/>
      <c r="M810" s="4"/>
      <c r="N810" s="4"/>
      <c r="O810" s="4"/>
      <c r="P810" s="4"/>
      <c r="Q810" s="4"/>
      <c r="R810" s="4"/>
      <c r="S810" s="4"/>
      <c r="T810" s="4"/>
      <c r="U810" s="4"/>
      <c r="V810" s="4"/>
      <c r="W810" s="242"/>
      <c r="X810" s="4"/>
      <c r="Y810" s="4"/>
      <c r="Z810" s="4"/>
    </row>
    <row r="811" ht="13.5" customHeight="1" spans="1:26" x14ac:dyDescent="0.25">
      <c r="A811" s="4"/>
      <c r="B811" s="4"/>
      <c r="C811" s="4"/>
      <c r="D811" s="4"/>
      <c r="E811" s="4"/>
      <c r="F811" s="4"/>
      <c r="G811" s="4"/>
      <c r="H811" s="4"/>
      <c r="I811" s="4"/>
      <c r="J811" s="4"/>
      <c r="K811" s="4"/>
      <c r="L811" s="4"/>
      <c r="M811" s="4"/>
      <c r="N811" s="4"/>
      <c r="O811" s="4"/>
      <c r="P811" s="4"/>
      <c r="Q811" s="4"/>
      <c r="R811" s="4"/>
      <c r="S811" s="4"/>
      <c r="T811" s="4"/>
      <c r="U811" s="4"/>
      <c r="V811" s="4"/>
      <c r="W811" s="242"/>
      <c r="X811" s="4"/>
      <c r="Y811" s="4"/>
      <c r="Z811" s="4"/>
    </row>
    <row r="812" ht="13.5" customHeight="1" spans="1:26" x14ac:dyDescent="0.25">
      <c r="A812" s="4"/>
      <c r="B812" s="4"/>
      <c r="C812" s="4"/>
      <c r="D812" s="4"/>
      <c r="E812" s="4"/>
      <c r="F812" s="4"/>
      <c r="G812" s="4"/>
      <c r="H812" s="4"/>
      <c r="I812" s="4"/>
      <c r="J812" s="4"/>
      <c r="K812" s="4"/>
      <c r="L812" s="4"/>
      <c r="M812" s="4"/>
      <c r="N812" s="4"/>
      <c r="O812" s="4"/>
      <c r="P812" s="4"/>
      <c r="Q812" s="4"/>
      <c r="R812" s="4"/>
      <c r="S812" s="4"/>
      <c r="T812" s="4"/>
      <c r="U812" s="4"/>
      <c r="V812" s="4"/>
      <c r="W812" s="242"/>
      <c r="X812" s="4"/>
      <c r="Y812" s="4"/>
      <c r="Z812" s="4"/>
    </row>
    <row r="813" ht="13.5" customHeight="1" spans="1:26" x14ac:dyDescent="0.25">
      <c r="A813" s="4"/>
      <c r="B813" s="4"/>
      <c r="C813" s="4"/>
      <c r="D813" s="4"/>
      <c r="E813" s="4"/>
      <c r="F813" s="4"/>
      <c r="G813" s="4"/>
      <c r="H813" s="4"/>
      <c r="I813" s="4"/>
      <c r="J813" s="4"/>
      <c r="K813" s="4"/>
      <c r="L813" s="4"/>
      <c r="M813" s="4"/>
      <c r="N813" s="4"/>
      <c r="O813" s="4"/>
      <c r="P813" s="4"/>
      <c r="Q813" s="4"/>
      <c r="R813" s="4"/>
      <c r="S813" s="4"/>
      <c r="T813" s="4"/>
      <c r="U813" s="4"/>
      <c r="V813" s="4"/>
      <c r="W813" s="242"/>
      <c r="X813" s="4"/>
      <c r="Y813" s="4"/>
      <c r="Z813" s="4"/>
    </row>
    <row r="814" ht="13.5" customHeight="1" spans="1:26" x14ac:dyDescent="0.25">
      <c r="A814" s="4"/>
      <c r="B814" s="4"/>
      <c r="C814" s="4"/>
      <c r="D814" s="4"/>
      <c r="E814" s="4"/>
      <c r="F814" s="4"/>
      <c r="G814" s="4"/>
      <c r="H814" s="4"/>
      <c r="I814" s="4"/>
      <c r="J814" s="4"/>
      <c r="K814" s="4"/>
      <c r="L814" s="4"/>
      <c r="M814" s="4"/>
      <c r="N814" s="4"/>
      <c r="O814" s="4"/>
      <c r="P814" s="4"/>
      <c r="Q814" s="4"/>
      <c r="R814" s="4"/>
      <c r="S814" s="4"/>
      <c r="T814" s="4"/>
      <c r="U814" s="4"/>
      <c r="V814" s="4"/>
      <c r="W814" s="242"/>
      <c r="X814" s="4"/>
      <c r="Y814" s="4"/>
      <c r="Z814" s="4"/>
    </row>
    <row r="815" ht="13.5" customHeight="1" spans="1:26" x14ac:dyDescent="0.25">
      <c r="A815" s="4"/>
      <c r="B815" s="4"/>
      <c r="C815" s="4"/>
      <c r="D815" s="4"/>
      <c r="E815" s="4"/>
      <c r="F815" s="4"/>
      <c r="G815" s="4"/>
      <c r="H815" s="4"/>
      <c r="I815" s="4"/>
      <c r="J815" s="4"/>
      <c r="K815" s="4"/>
      <c r="L815" s="4"/>
      <c r="M815" s="4"/>
      <c r="N815" s="4"/>
      <c r="O815" s="4"/>
      <c r="P815" s="4"/>
      <c r="Q815" s="4"/>
      <c r="R815" s="4"/>
      <c r="S815" s="4"/>
      <c r="T815" s="4"/>
      <c r="U815" s="4"/>
      <c r="V815" s="4"/>
      <c r="W815" s="242"/>
      <c r="X815" s="4"/>
      <c r="Y815" s="4"/>
      <c r="Z815" s="4"/>
    </row>
    <row r="816" ht="13.5" customHeight="1" spans="1:26" x14ac:dyDescent="0.25">
      <c r="A816" s="4"/>
      <c r="B816" s="4"/>
      <c r="C816" s="4"/>
      <c r="D816" s="4"/>
      <c r="E816" s="4"/>
      <c r="F816" s="4"/>
      <c r="G816" s="4"/>
      <c r="H816" s="4"/>
      <c r="I816" s="4"/>
      <c r="J816" s="4"/>
      <c r="K816" s="4"/>
      <c r="L816" s="4"/>
      <c r="M816" s="4"/>
      <c r="N816" s="4"/>
      <c r="O816" s="4"/>
      <c r="P816" s="4"/>
      <c r="Q816" s="4"/>
      <c r="R816" s="4"/>
      <c r="S816" s="4"/>
      <c r="T816" s="4"/>
      <c r="U816" s="4"/>
      <c r="V816" s="4"/>
      <c r="W816" s="242"/>
      <c r="X816" s="4"/>
      <c r="Y816" s="4"/>
      <c r="Z816" s="4"/>
    </row>
    <row r="817" ht="13.5" customHeight="1" spans="1:26" x14ac:dyDescent="0.25">
      <c r="A817" s="4"/>
      <c r="B817" s="4"/>
      <c r="C817" s="4"/>
      <c r="D817" s="4"/>
      <c r="E817" s="4"/>
      <c r="F817" s="4"/>
      <c r="G817" s="4"/>
      <c r="H817" s="4"/>
      <c r="I817" s="4"/>
      <c r="J817" s="4"/>
      <c r="K817" s="4"/>
      <c r="L817" s="4"/>
      <c r="M817" s="4"/>
      <c r="N817" s="4"/>
      <c r="O817" s="4"/>
      <c r="P817" s="4"/>
      <c r="Q817" s="4"/>
      <c r="R817" s="4"/>
      <c r="S817" s="4"/>
      <c r="T817" s="4"/>
      <c r="U817" s="4"/>
      <c r="V817" s="4"/>
      <c r="W817" s="242"/>
      <c r="X817" s="4"/>
      <c r="Y817" s="4"/>
      <c r="Z817" s="4"/>
    </row>
    <row r="818" ht="13.5" customHeight="1" spans="1:26" x14ac:dyDescent="0.25">
      <c r="A818" s="4"/>
      <c r="B818" s="4"/>
      <c r="C818" s="4"/>
      <c r="D818" s="4"/>
      <c r="E818" s="4"/>
      <c r="F818" s="4"/>
      <c r="G818" s="4"/>
      <c r="H818" s="4"/>
      <c r="I818" s="4"/>
      <c r="J818" s="4"/>
      <c r="K818" s="4"/>
      <c r="L818" s="4"/>
      <c r="M818" s="4"/>
      <c r="N818" s="4"/>
      <c r="O818" s="4"/>
      <c r="P818" s="4"/>
      <c r="Q818" s="4"/>
      <c r="R818" s="4"/>
      <c r="S818" s="4"/>
      <c r="T818" s="4"/>
      <c r="U818" s="4"/>
      <c r="V818" s="4"/>
      <c r="W818" s="242"/>
      <c r="X818" s="4"/>
      <c r="Y818" s="4"/>
      <c r="Z818" s="4"/>
    </row>
    <row r="819" ht="13.5" customHeight="1" spans="1:26" x14ac:dyDescent="0.25">
      <c r="A819" s="4"/>
      <c r="B819" s="4"/>
      <c r="C819" s="4"/>
      <c r="D819" s="4"/>
      <c r="E819" s="4"/>
      <c r="F819" s="4"/>
      <c r="G819" s="4"/>
      <c r="H819" s="4"/>
      <c r="I819" s="4"/>
      <c r="J819" s="4"/>
      <c r="K819" s="4"/>
      <c r="L819" s="4"/>
      <c r="M819" s="4"/>
      <c r="N819" s="4"/>
      <c r="O819" s="4"/>
      <c r="P819" s="4"/>
      <c r="Q819" s="4"/>
      <c r="R819" s="4"/>
      <c r="S819" s="4"/>
      <c r="T819" s="4"/>
      <c r="U819" s="4"/>
      <c r="V819" s="4"/>
      <c r="W819" s="242"/>
      <c r="X819" s="4"/>
      <c r="Y819" s="4"/>
      <c r="Z819" s="4"/>
    </row>
    <row r="820" ht="13.5" customHeight="1" spans="1:26" x14ac:dyDescent="0.25">
      <c r="A820" s="4"/>
      <c r="B820" s="4"/>
      <c r="C820" s="4"/>
      <c r="D820" s="4"/>
      <c r="E820" s="4"/>
      <c r="F820" s="4"/>
      <c r="G820" s="4"/>
      <c r="H820" s="4"/>
      <c r="I820" s="4"/>
      <c r="J820" s="4"/>
      <c r="K820" s="4"/>
      <c r="L820" s="4"/>
      <c r="M820" s="4"/>
      <c r="N820" s="4"/>
      <c r="O820" s="4"/>
      <c r="P820" s="4"/>
      <c r="Q820" s="4"/>
      <c r="R820" s="4"/>
      <c r="S820" s="4"/>
      <c r="T820" s="4"/>
      <c r="U820" s="4"/>
      <c r="V820" s="4"/>
      <c r="W820" s="242"/>
      <c r="X820" s="4"/>
      <c r="Y820" s="4"/>
      <c r="Z820" s="4"/>
    </row>
    <row r="821" ht="13.5" customHeight="1" spans="1:26" x14ac:dyDescent="0.25">
      <c r="A821" s="4"/>
      <c r="B821" s="4"/>
      <c r="C821" s="4"/>
      <c r="D821" s="4"/>
      <c r="E821" s="4"/>
      <c r="F821" s="4"/>
      <c r="G821" s="4"/>
      <c r="H821" s="4"/>
      <c r="I821" s="4"/>
      <c r="J821" s="4"/>
      <c r="K821" s="4"/>
      <c r="L821" s="4"/>
      <c r="M821" s="4"/>
      <c r="N821" s="4"/>
      <c r="O821" s="4"/>
      <c r="P821" s="4"/>
      <c r="Q821" s="4"/>
      <c r="R821" s="4"/>
      <c r="S821" s="4"/>
      <c r="T821" s="4"/>
      <c r="U821" s="4"/>
      <c r="V821" s="4"/>
      <c r="W821" s="242"/>
      <c r="X821" s="4"/>
      <c r="Y821" s="4"/>
      <c r="Z821" s="4"/>
    </row>
    <row r="822" ht="13.5" customHeight="1" spans="1:26" x14ac:dyDescent="0.25">
      <c r="A822" s="4"/>
      <c r="B822" s="4"/>
      <c r="C822" s="4"/>
      <c r="D822" s="4"/>
      <c r="E822" s="4"/>
      <c r="F822" s="4"/>
      <c r="G822" s="4"/>
      <c r="H822" s="4"/>
      <c r="I822" s="4"/>
      <c r="J822" s="4"/>
      <c r="K822" s="4"/>
      <c r="L822" s="4"/>
      <c r="M822" s="4"/>
      <c r="N822" s="4"/>
      <c r="O822" s="4"/>
      <c r="P822" s="4"/>
      <c r="Q822" s="4"/>
      <c r="R822" s="4"/>
      <c r="S822" s="4"/>
      <c r="T822" s="4"/>
      <c r="U822" s="4"/>
      <c r="V822" s="4"/>
      <c r="W822" s="242"/>
      <c r="X822" s="4"/>
      <c r="Y822" s="4"/>
      <c r="Z822" s="4"/>
    </row>
    <row r="823" ht="13.5" customHeight="1" spans="1:26" x14ac:dyDescent="0.25">
      <c r="A823" s="4"/>
      <c r="B823" s="4"/>
      <c r="C823" s="4"/>
      <c r="D823" s="4"/>
      <c r="E823" s="4"/>
      <c r="F823" s="4"/>
      <c r="G823" s="4"/>
      <c r="H823" s="4"/>
      <c r="I823" s="4"/>
      <c r="J823" s="4"/>
      <c r="K823" s="4"/>
      <c r="L823" s="4"/>
      <c r="M823" s="4"/>
      <c r="N823" s="4"/>
      <c r="O823" s="4"/>
      <c r="P823" s="4"/>
      <c r="Q823" s="4"/>
      <c r="R823" s="4"/>
      <c r="S823" s="4"/>
      <c r="T823" s="4"/>
      <c r="U823" s="4"/>
      <c r="V823" s="4"/>
      <c r="W823" s="242"/>
      <c r="X823" s="4"/>
      <c r="Y823" s="4"/>
      <c r="Z823" s="4"/>
    </row>
    <row r="824" ht="13.5" customHeight="1" spans="1:26" x14ac:dyDescent="0.25">
      <c r="A824" s="4"/>
      <c r="B824" s="4"/>
      <c r="C824" s="4"/>
      <c r="D824" s="4"/>
      <c r="E824" s="4"/>
      <c r="F824" s="4"/>
      <c r="G824" s="4"/>
      <c r="H824" s="4"/>
      <c r="I824" s="4"/>
      <c r="J824" s="4"/>
      <c r="K824" s="4"/>
      <c r="L824" s="4"/>
      <c r="M824" s="4"/>
      <c r="N824" s="4"/>
      <c r="O824" s="4"/>
      <c r="P824" s="4"/>
      <c r="Q824" s="4"/>
      <c r="R824" s="4"/>
      <c r="S824" s="4"/>
      <c r="T824" s="4"/>
      <c r="U824" s="4"/>
      <c r="V824" s="4"/>
      <c r="W824" s="242"/>
      <c r="X824" s="4"/>
      <c r="Y824" s="4"/>
      <c r="Z824" s="4"/>
    </row>
    <row r="825" ht="13.5" customHeight="1" spans="1:26" x14ac:dyDescent="0.25">
      <c r="A825" s="4"/>
      <c r="B825" s="4"/>
      <c r="C825" s="4"/>
      <c r="D825" s="4"/>
      <c r="E825" s="4"/>
      <c r="F825" s="4"/>
      <c r="G825" s="4"/>
      <c r="H825" s="4"/>
      <c r="I825" s="4"/>
      <c r="J825" s="4"/>
      <c r="K825" s="4"/>
      <c r="L825" s="4"/>
      <c r="M825" s="4"/>
      <c r="N825" s="4"/>
      <c r="O825" s="4"/>
      <c r="P825" s="4"/>
      <c r="Q825" s="4"/>
      <c r="R825" s="4"/>
      <c r="S825" s="4"/>
      <c r="T825" s="4"/>
      <c r="U825" s="4"/>
      <c r="V825" s="4"/>
      <c r="W825" s="242"/>
      <c r="X825" s="4"/>
      <c r="Y825" s="4"/>
      <c r="Z825" s="4"/>
    </row>
    <row r="826" ht="13.5" customHeight="1" spans="1:26" x14ac:dyDescent="0.25">
      <c r="A826" s="4"/>
      <c r="B826" s="4"/>
      <c r="C826" s="4"/>
      <c r="D826" s="4"/>
      <c r="E826" s="4"/>
      <c r="F826" s="4"/>
      <c r="G826" s="4"/>
      <c r="H826" s="4"/>
      <c r="I826" s="4"/>
      <c r="J826" s="4"/>
      <c r="K826" s="4"/>
      <c r="L826" s="4"/>
      <c r="M826" s="4"/>
      <c r="N826" s="4"/>
      <c r="O826" s="4"/>
      <c r="P826" s="4"/>
      <c r="Q826" s="4"/>
      <c r="R826" s="4"/>
      <c r="S826" s="4"/>
      <c r="T826" s="4"/>
      <c r="U826" s="4"/>
      <c r="V826" s="4"/>
      <c r="W826" s="242"/>
      <c r="X826" s="4"/>
      <c r="Y826" s="4"/>
      <c r="Z826" s="4"/>
    </row>
    <row r="827" ht="13.5" customHeight="1" spans="1:26" x14ac:dyDescent="0.25">
      <c r="A827" s="4"/>
      <c r="B827" s="4"/>
      <c r="C827" s="4"/>
      <c r="D827" s="4"/>
      <c r="E827" s="4"/>
      <c r="F827" s="4"/>
      <c r="G827" s="4"/>
      <c r="H827" s="4"/>
      <c r="I827" s="4"/>
      <c r="J827" s="4"/>
      <c r="K827" s="4"/>
      <c r="L827" s="4"/>
      <c r="M827" s="4"/>
      <c r="N827" s="4"/>
      <c r="O827" s="4"/>
      <c r="P827" s="4"/>
      <c r="Q827" s="4"/>
      <c r="R827" s="4"/>
      <c r="S827" s="4"/>
      <c r="T827" s="4"/>
      <c r="U827" s="4"/>
      <c r="V827" s="4"/>
      <c r="W827" s="242"/>
      <c r="X827" s="4"/>
      <c r="Y827" s="4"/>
      <c r="Z827" s="4"/>
    </row>
    <row r="828" ht="13.5" customHeight="1" spans="1:26" x14ac:dyDescent="0.25">
      <c r="A828" s="4"/>
      <c r="B828" s="4"/>
      <c r="C828" s="4"/>
      <c r="D828" s="4"/>
      <c r="E828" s="4"/>
      <c r="F828" s="4"/>
      <c r="G828" s="4"/>
      <c r="H828" s="4"/>
      <c r="I828" s="4"/>
      <c r="J828" s="4"/>
      <c r="K828" s="4"/>
      <c r="L828" s="4"/>
      <c r="M828" s="4"/>
      <c r="N828" s="4"/>
      <c r="O828" s="4"/>
      <c r="P828" s="4"/>
      <c r="Q828" s="4"/>
      <c r="R828" s="4"/>
      <c r="S828" s="4"/>
      <c r="T828" s="4"/>
      <c r="U828" s="4"/>
      <c r="V828" s="4"/>
      <c r="W828" s="242"/>
      <c r="X828" s="4"/>
      <c r="Y828" s="4"/>
      <c r="Z828" s="4"/>
    </row>
    <row r="829" ht="13.5" customHeight="1" spans="1:26" x14ac:dyDescent="0.25">
      <c r="A829" s="4"/>
      <c r="B829" s="4"/>
      <c r="C829" s="4"/>
      <c r="D829" s="4"/>
      <c r="E829" s="4"/>
      <c r="F829" s="4"/>
      <c r="G829" s="4"/>
      <c r="H829" s="4"/>
      <c r="I829" s="4"/>
      <c r="J829" s="4"/>
      <c r="K829" s="4"/>
      <c r="L829" s="4"/>
      <c r="M829" s="4"/>
      <c r="N829" s="4"/>
      <c r="O829" s="4"/>
      <c r="P829" s="4"/>
      <c r="Q829" s="4"/>
      <c r="R829" s="4"/>
      <c r="S829" s="4"/>
      <c r="T829" s="4"/>
      <c r="U829" s="4"/>
      <c r="V829" s="4"/>
      <c r="W829" s="242"/>
      <c r="X829" s="4"/>
      <c r="Y829" s="4"/>
      <c r="Z829" s="4"/>
    </row>
    <row r="830" ht="13.5" customHeight="1" spans="1:26" x14ac:dyDescent="0.25">
      <c r="A830" s="4"/>
      <c r="B830" s="4"/>
      <c r="C830" s="4"/>
      <c r="D830" s="4"/>
      <c r="E830" s="4"/>
      <c r="F830" s="4"/>
      <c r="G830" s="4"/>
      <c r="H830" s="4"/>
      <c r="I830" s="4"/>
      <c r="J830" s="4"/>
      <c r="K830" s="4"/>
      <c r="L830" s="4"/>
      <c r="M830" s="4"/>
      <c r="N830" s="4"/>
      <c r="O830" s="4"/>
      <c r="P830" s="4"/>
      <c r="Q830" s="4"/>
      <c r="R830" s="4"/>
      <c r="S830" s="4"/>
      <c r="T830" s="4"/>
      <c r="U830" s="4"/>
      <c r="V830" s="4"/>
      <c r="W830" s="242"/>
      <c r="X830" s="4"/>
      <c r="Y830" s="4"/>
      <c r="Z830" s="4"/>
    </row>
    <row r="831" ht="13.5" customHeight="1" spans="1:26" x14ac:dyDescent="0.25">
      <c r="A831" s="4"/>
      <c r="B831" s="4"/>
      <c r="C831" s="4"/>
      <c r="D831" s="4"/>
      <c r="E831" s="4"/>
      <c r="F831" s="4"/>
      <c r="G831" s="4"/>
      <c r="H831" s="4"/>
      <c r="I831" s="4"/>
      <c r="J831" s="4"/>
      <c r="K831" s="4"/>
      <c r="L831" s="4"/>
      <c r="M831" s="4"/>
      <c r="N831" s="4"/>
      <c r="O831" s="4"/>
      <c r="P831" s="4"/>
      <c r="Q831" s="4"/>
      <c r="R831" s="4"/>
      <c r="S831" s="4"/>
      <c r="T831" s="4"/>
      <c r="U831" s="4"/>
      <c r="V831" s="4"/>
      <c r="W831" s="242"/>
      <c r="X831" s="4"/>
      <c r="Y831" s="4"/>
      <c r="Z831" s="4"/>
    </row>
    <row r="832" ht="13.5" customHeight="1" spans="1:26" x14ac:dyDescent="0.25">
      <c r="A832" s="4"/>
      <c r="B832" s="4"/>
      <c r="C832" s="4"/>
      <c r="D832" s="4"/>
      <c r="E832" s="4"/>
      <c r="F832" s="4"/>
      <c r="G832" s="4"/>
      <c r="H832" s="4"/>
      <c r="I832" s="4"/>
      <c r="J832" s="4"/>
      <c r="K832" s="4"/>
      <c r="L832" s="4"/>
      <c r="M832" s="4"/>
      <c r="N832" s="4"/>
      <c r="O832" s="4"/>
      <c r="P832" s="4"/>
      <c r="Q832" s="4"/>
      <c r="R832" s="4"/>
      <c r="S832" s="4"/>
      <c r="T832" s="4"/>
      <c r="U832" s="4"/>
      <c r="V832" s="4"/>
      <c r="W832" s="242"/>
      <c r="X832" s="4"/>
      <c r="Y832" s="4"/>
      <c r="Z832" s="4"/>
    </row>
    <row r="833" ht="13.5" customHeight="1" spans="1:26" x14ac:dyDescent="0.25">
      <c r="A833" s="4"/>
      <c r="B833" s="4"/>
      <c r="C833" s="4"/>
      <c r="D833" s="4"/>
      <c r="E833" s="4"/>
      <c r="F833" s="4"/>
      <c r="G833" s="4"/>
      <c r="H833" s="4"/>
      <c r="I833" s="4"/>
      <c r="J833" s="4"/>
      <c r="K833" s="4"/>
      <c r="L833" s="4"/>
      <c r="M833" s="4"/>
      <c r="N833" s="4"/>
      <c r="O833" s="4"/>
      <c r="P833" s="4"/>
      <c r="Q833" s="4"/>
      <c r="R833" s="4"/>
      <c r="S833" s="4"/>
      <c r="T833" s="4"/>
      <c r="U833" s="4"/>
      <c r="V833" s="4"/>
      <c r="W833" s="242"/>
      <c r="X833" s="4"/>
      <c r="Y833" s="4"/>
      <c r="Z833" s="4"/>
    </row>
    <row r="834" ht="13.5" customHeight="1" spans="1:26" x14ac:dyDescent="0.25">
      <c r="A834" s="4"/>
      <c r="B834" s="4"/>
      <c r="C834" s="4"/>
      <c r="D834" s="4"/>
      <c r="E834" s="4"/>
      <c r="F834" s="4"/>
      <c r="G834" s="4"/>
      <c r="H834" s="4"/>
      <c r="I834" s="4"/>
      <c r="J834" s="4"/>
      <c r="K834" s="4"/>
      <c r="L834" s="4"/>
      <c r="M834" s="4"/>
      <c r="N834" s="4"/>
      <c r="O834" s="4"/>
      <c r="P834" s="4"/>
      <c r="Q834" s="4"/>
      <c r="R834" s="4"/>
      <c r="S834" s="4"/>
      <c r="T834" s="4"/>
      <c r="U834" s="4"/>
      <c r="V834" s="4"/>
      <c r="W834" s="242"/>
      <c r="X834" s="4"/>
      <c r="Y834" s="4"/>
      <c r="Z834" s="4"/>
    </row>
    <row r="835" ht="13.5" customHeight="1" spans="1:26" x14ac:dyDescent="0.25">
      <c r="A835" s="4"/>
      <c r="B835" s="4"/>
      <c r="C835" s="4"/>
      <c r="D835" s="4"/>
      <c r="E835" s="4"/>
      <c r="F835" s="4"/>
      <c r="G835" s="4"/>
      <c r="H835" s="4"/>
      <c r="I835" s="4"/>
      <c r="J835" s="4"/>
      <c r="K835" s="4"/>
      <c r="L835" s="4"/>
      <c r="M835" s="4"/>
      <c r="N835" s="4"/>
      <c r="O835" s="4"/>
      <c r="P835" s="4"/>
      <c r="Q835" s="4"/>
      <c r="R835" s="4"/>
      <c r="S835" s="4"/>
      <c r="T835" s="4"/>
      <c r="U835" s="4"/>
      <c r="V835" s="4"/>
      <c r="W835" s="242"/>
      <c r="X835" s="4"/>
      <c r="Y835" s="4"/>
      <c r="Z835" s="4"/>
    </row>
    <row r="836" ht="13.5" customHeight="1" spans="1:26" x14ac:dyDescent="0.25">
      <c r="A836" s="4"/>
      <c r="B836" s="4"/>
      <c r="C836" s="4"/>
      <c r="D836" s="4"/>
      <c r="E836" s="4"/>
      <c r="F836" s="4"/>
      <c r="G836" s="4"/>
      <c r="H836" s="4"/>
      <c r="I836" s="4"/>
      <c r="J836" s="4"/>
      <c r="K836" s="4"/>
      <c r="L836" s="4"/>
      <c r="M836" s="4"/>
      <c r="N836" s="4"/>
      <c r="O836" s="4"/>
      <c r="P836" s="4"/>
      <c r="Q836" s="4"/>
      <c r="R836" s="4"/>
      <c r="S836" s="4"/>
      <c r="T836" s="4"/>
      <c r="U836" s="4"/>
      <c r="V836" s="4"/>
      <c r="W836" s="242"/>
      <c r="X836" s="4"/>
      <c r="Y836" s="4"/>
      <c r="Z836" s="4"/>
    </row>
    <row r="837" ht="13.5" customHeight="1" spans="1:26" x14ac:dyDescent="0.25">
      <c r="A837" s="4"/>
      <c r="B837" s="4"/>
      <c r="C837" s="4"/>
      <c r="D837" s="4"/>
      <c r="E837" s="4"/>
      <c r="F837" s="4"/>
      <c r="G837" s="4"/>
      <c r="H837" s="4"/>
      <c r="I837" s="4"/>
      <c r="J837" s="4"/>
      <c r="K837" s="4"/>
      <c r="L837" s="4"/>
      <c r="M837" s="4"/>
      <c r="N837" s="4"/>
      <c r="O837" s="4"/>
      <c r="P837" s="4"/>
      <c r="Q837" s="4"/>
      <c r="R837" s="4"/>
      <c r="S837" s="4"/>
      <c r="T837" s="4"/>
      <c r="U837" s="4"/>
      <c r="V837" s="4"/>
      <c r="W837" s="242"/>
      <c r="X837" s="4"/>
      <c r="Y837" s="4"/>
      <c r="Z837" s="4"/>
    </row>
    <row r="838" ht="13.5" customHeight="1" spans="1:26" x14ac:dyDescent="0.25">
      <c r="A838" s="4"/>
      <c r="B838" s="4"/>
      <c r="C838" s="4"/>
      <c r="D838" s="4"/>
      <c r="E838" s="4"/>
      <c r="F838" s="4"/>
      <c r="G838" s="4"/>
      <c r="H838" s="4"/>
      <c r="I838" s="4"/>
      <c r="J838" s="4"/>
      <c r="K838" s="4"/>
      <c r="L838" s="4"/>
      <c r="M838" s="4"/>
      <c r="N838" s="4"/>
      <c r="O838" s="4"/>
      <c r="P838" s="4"/>
      <c r="Q838" s="4"/>
      <c r="R838" s="4"/>
      <c r="S838" s="4"/>
      <c r="T838" s="4"/>
      <c r="U838" s="4"/>
      <c r="V838" s="4"/>
      <c r="W838" s="242"/>
      <c r="X838" s="4"/>
      <c r="Y838" s="4"/>
      <c r="Z838" s="4"/>
    </row>
    <row r="839" ht="13.5" customHeight="1" spans="1:26" x14ac:dyDescent="0.25">
      <c r="A839" s="4"/>
      <c r="B839" s="4"/>
      <c r="C839" s="4"/>
      <c r="D839" s="4"/>
      <c r="E839" s="4"/>
      <c r="F839" s="4"/>
      <c r="G839" s="4"/>
      <c r="H839" s="4"/>
      <c r="I839" s="4"/>
      <c r="J839" s="4"/>
      <c r="K839" s="4"/>
      <c r="L839" s="4"/>
      <c r="M839" s="4"/>
      <c r="N839" s="4"/>
      <c r="O839" s="4"/>
      <c r="P839" s="4"/>
      <c r="Q839" s="4"/>
      <c r="R839" s="4"/>
      <c r="S839" s="4"/>
      <c r="T839" s="4"/>
      <c r="U839" s="4"/>
      <c r="V839" s="4"/>
      <c r="W839" s="242"/>
      <c r="X839" s="4"/>
      <c r="Y839" s="4"/>
      <c r="Z839" s="4"/>
    </row>
    <row r="840" ht="13.5" customHeight="1" spans="1:26" x14ac:dyDescent="0.25">
      <c r="A840" s="4"/>
      <c r="B840" s="4"/>
      <c r="C840" s="4"/>
      <c r="D840" s="4"/>
      <c r="E840" s="4"/>
      <c r="F840" s="4"/>
      <c r="G840" s="4"/>
      <c r="H840" s="4"/>
      <c r="I840" s="4"/>
      <c r="J840" s="4"/>
      <c r="K840" s="4"/>
      <c r="L840" s="4"/>
      <c r="M840" s="4"/>
      <c r="N840" s="4"/>
      <c r="O840" s="4"/>
      <c r="P840" s="4"/>
      <c r="Q840" s="4"/>
      <c r="R840" s="4"/>
      <c r="S840" s="4"/>
      <c r="T840" s="4"/>
      <c r="U840" s="4"/>
      <c r="V840" s="4"/>
      <c r="W840" s="242"/>
      <c r="X840" s="4"/>
      <c r="Y840" s="4"/>
      <c r="Z840" s="4"/>
    </row>
    <row r="841" ht="13.5" customHeight="1" spans="1:26" x14ac:dyDescent="0.25">
      <c r="A841" s="4"/>
      <c r="B841" s="4"/>
      <c r="C841" s="4"/>
      <c r="D841" s="4"/>
      <c r="E841" s="4"/>
      <c r="F841" s="4"/>
      <c r="G841" s="4"/>
      <c r="H841" s="4"/>
      <c r="I841" s="4"/>
      <c r="J841" s="4"/>
      <c r="K841" s="4"/>
      <c r="L841" s="4"/>
      <c r="M841" s="4"/>
      <c r="N841" s="4"/>
      <c r="O841" s="4"/>
      <c r="P841" s="4"/>
      <c r="Q841" s="4"/>
      <c r="R841" s="4"/>
      <c r="S841" s="4"/>
      <c r="T841" s="4"/>
      <c r="U841" s="4"/>
      <c r="V841" s="4"/>
      <c r="W841" s="242"/>
      <c r="X841" s="4"/>
      <c r="Y841" s="4"/>
      <c r="Z841" s="4"/>
    </row>
    <row r="842" ht="13.5" customHeight="1" spans="1:26" x14ac:dyDescent="0.25">
      <c r="A842" s="4"/>
      <c r="B842" s="4"/>
      <c r="C842" s="4"/>
      <c r="D842" s="4"/>
      <c r="E842" s="4"/>
      <c r="F842" s="4"/>
      <c r="G842" s="4"/>
      <c r="H842" s="4"/>
      <c r="I842" s="4"/>
      <c r="J842" s="4"/>
      <c r="K842" s="4"/>
      <c r="L842" s="4"/>
      <c r="M842" s="4"/>
      <c r="N842" s="4"/>
      <c r="O842" s="4"/>
      <c r="P842" s="4"/>
      <c r="Q842" s="4"/>
      <c r="R842" s="4"/>
      <c r="S842" s="4"/>
      <c r="T842" s="4"/>
      <c r="U842" s="4"/>
      <c r="V842" s="4"/>
      <c r="W842" s="242"/>
      <c r="X842" s="4"/>
      <c r="Y842" s="4"/>
      <c r="Z842" s="4"/>
    </row>
    <row r="843" ht="13.5" customHeight="1" spans="1:26" x14ac:dyDescent="0.25">
      <c r="A843" s="4"/>
      <c r="B843" s="4"/>
      <c r="C843" s="4"/>
      <c r="D843" s="4"/>
      <c r="E843" s="4"/>
      <c r="F843" s="4"/>
      <c r="G843" s="4"/>
      <c r="H843" s="4"/>
      <c r="I843" s="4"/>
      <c r="J843" s="4"/>
      <c r="K843" s="4"/>
      <c r="L843" s="4"/>
      <c r="M843" s="4"/>
      <c r="N843" s="4"/>
      <c r="O843" s="4"/>
      <c r="P843" s="4"/>
      <c r="Q843" s="4"/>
      <c r="R843" s="4"/>
      <c r="S843" s="4"/>
      <c r="T843" s="4"/>
      <c r="U843" s="4"/>
      <c r="V843" s="4"/>
      <c r="W843" s="242"/>
      <c r="X843" s="4"/>
      <c r="Y843" s="4"/>
      <c r="Z843" s="4"/>
    </row>
    <row r="844" ht="13.5" customHeight="1" spans="1:26" x14ac:dyDescent="0.25">
      <c r="A844" s="4"/>
      <c r="B844" s="4"/>
      <c r="C844" s="4"/>
      <c r="D844" s="4"/>
      <c r="E844" s="4"/>
      <c r="F844" s="4"/>
      <c r="G844" s="4"/>
      <c r="H844" s="4"/>
      <c r="I844" s="4"/>
      <c r="J844" s="4"/>
      <c r="K844" s="4"/>
      <c r="L844" s="4"/>
      <c r="M844" s="4"/>
      <c r="N844" s="4"/>
      <c r="O844" s="4"/>
      <c r="P844" s="4"/>
      <c r="Q844" s="4"/>
      <c r="R844" s="4"/>
      <c r="S844" s="4"/>
      <c r="T844" s="4"/>
      <c r="U844" s="4"/>
      <c r="V844" s="4"/>
      <c r="W844" s="242"/>
      <c r="X844" s="4"/>
      <c r="Y844" s="4"/>
      <c r="Z844" s="4"/>
    </row>
    <row r="845" ht="13.5" customHeight="1" spans="1:26" x14ac:dyDescent="0.25">
      <c r="A845" s="4"/>
      <c r="B845" s="4"/>
      <c r="C845" s="4"/>
      <c r="D845" s="4"/>
      <c r="E845" s="4"/>
      <c r="F845" s="4"/>
      <c r="G845" s="4"/>
      <c r="H845" s="4"/>
      <c r="I845" s="4"/>
      <c r="J845" s="4"/>
      <c r="K845" s="4"/>
      <c r="L845" s="4"/>
      <c r="M845" s="4"/>
      <c r="N845" s="4"/>
      <c r="O845" s="4"/>
      <c r="P845" s="4"/>
      <c r="Q845" s="4"/>
      <c r="R845" s="4"/>
      <c r="S845" s="4"/>
      <c r="T845" s="4"/>
      <c r="U845" s="4"/>
      <c r="V845" s="4"/>
      <c r="W845" s="242"/>
      <c r="X845" s="4"/>
      <c r="Y845" s="4"/>
      <c r="Z845" s="4"/>
    </row>
    <row r="846" ht="13.5" customHeight="1" spans="1:26" x14ac:dyDescent="0.25">
      <c r="A846" s="4"/>
      <c r="B846" s="4"/>
      <c r="C846" s="4"/>
      <c r="D846" s="4"/>
      <c r="E846" s="4"/>
      <c r="F846" s="4"/>
      <c r="G846" s="4"/>
      <c r="H846" s="4"/>
      <c r="I846" s="4"/>
      <c r="J846" s="4"/>
      <c r="K846" s="4"/>
      <c r="L846" s="4"/>
      <c r="M846" s="4"/>
      <c r="N846" s="4"/>
      <c r="O846" s="4"/>
      <c r="P846" s="4"/>
      <c r="Q846" s="4"/>
      <c r="R846" s="4"/>
      <c r="S846" s="4"/>
      <c r="T846" s="4"/>
      <c r="U846" s="4"/>
      <c r="V846" s="4"/>
      <c r="W846" s="242"/>
      <c r="X846" s="4"/>
      <c r="Y846" s="4"/>
      <c r="Z846" s="4"/>
    </row>
    <row r="847" ht="13.5" customHeight="1" spans="1:26" x14ac:dyDescent="0.25">
      <c r="A847" s="4"/>
      <c r="B847" s="4"/>
      <c r="C847" s="4"/>
      <c r="D847" s="4"/>
      <c r="E847" s="4"/>
      <c r="F847" s="4"/>
      <c r="G847" s="4"/>
      <c r="H847" s="4"/>
      <c r="I847" s="4"/>
      <c r="J847" s="4"/>
      <c r="K847" s="4"/>
      <c r="L847" s="4"/>
      <c r="M847" s="4"/>
      <c r="N847" s="4"/>
      <c r="O847" s="4"/>
      <c r="P847" s="4"/>
      <c r="Q847" s="4"/>
      <c r="R847" s="4"/>
      <c r="S847" s="4"/>
      <c r="T847" s="4"/>
      <c r="U847" s="4"/>
      <c r="V847" s="4"/>
      <c r="W847" s="242"/>
      <c r="X847" s="4"/>
      <c r="Y847" s="4"/>
      <c r="Z847" s="4"/>
    </row>
    <row r="848" ht="13.5" customHeight="1" spans="1:26" x14ac:dyDescent="0.25">
      <c r="A848" s="4"/>
      <c r="B848" s="4"/>
      <c r="C848" s="4"/>
      <c r="D848" s="4"/>
      <c r="E848" s="4"/>
      <c r="F848" s="4"/>
      <c r="G848" s="4"/>
      <c r="H848" s="4"/>
      <c r="I848" s="4"/>
      <c r="J848" s="4"/>
      <c r="K848" s="4"/>
      <c r="L848" s="4"/>
      <c r="M848" s="4"/>
      <c r="N848" s="4"/>
      <c r="O848" s="4"/>
      <c r="P848" s="4"/>
      <c r="Q848" s="4"/>
      <c r="R848" s="4"/>
      <c r="S848" s="4"/>
      <c r="T848" s="4"/>
      <c r="U848" s="4"/>
      <c r="V848" s="4"/>
      <c r="W848" s="242"/>
      <c r="X848" s="4"/>
      <c r="Y848" s="4"/>
      <c r="Z848" s="4"/>
    </row>
    <row r="849" ht="13.5" customHeight="1" spans="1:26" x14ac:dyDescent="0.25">
      <c r="A849" s="4"/>
      <c r="B849" s="4"/>
      <c r="C849" s="4"/>
      <c r="D849" s="4"/>
      <c r="E849" s="4"/>
      <c r="F849" s="4"/>
      <c r="G849" s="4"/>
      <c r="H849" s="4"/>
      <c r="I849" s="4"/>
      <c r="J849" s="4"/>
      <c r="K849" s="4"/>
      <c r="L849" s="4"/>
      <c r="M849" s="4"/>
      <c r="N849" s="4"/>
      <c r="O849" s="4"/>
      <c r="P849" s="4"/>
      <c r="Q849" s="4"/>
      <c r="R849" s="4"/>
      <c r="S849" s="4"/>
      <c r="T849" s="4"/>
      <c r="U849" s="4"/>
      <c r="V849" s="4"/>
      <c r="W849" s="242"/>
      <c r="X849" s="4"/>
      <c r="Y849" s="4"/>
      <c r="Z849" s="4"/>
    </row>
    <row r="850" ht="13.5" customHeight="1" spans="1:26" x14ac:dyDescent="0.25">
      <c r="A850" s="4"/>
      <c r="B850" s="4"/>
      <c r="C850" s="4"/>
      <c r="D850" s="4"/>
      <c r="E850" s="4"/>
      <c r="F850" s="4"/>
      <c r="G850" s="4"/>
      <c r="H850" s="4"/>
      <c r="I850" s="4"/>
      <c r="J850" s="4"/>
      <c r="K850" s="4"/>
      <c r="L850" s="4"/>
      <c r="M850" s="4"/>
      <c r="N850" s="4"/>
      <c r="O850" s="4"/>
      <c r="P850" s="4"/>
      <c r="Q850" s="4"/>
      <c r="R850" s="4"/>
      <c r="S850" s="4"/>
      <c r="T850" s="4"/>
      <c r="U850" s="4"/>
      <c r="V850" s="4"/>
      <c r="W850" s="242"/>
      <c r="X850" s="4"/>
      <c r="Y850" s="4"/>
      <c r="Z850" s="4"/>
    </row>
    <row r="851" ht="13.5" customHeight="1" spans="1:26" x14ac:dyDescent="0.25">
      <c r="A851" s="4"/>
      <c r="B851" s="4"/>
      <c r="C851" s="4"/>
      <c r="D851" s="4"/>
      <c r="E851" s="4"/>
      <c r="F851" s="4"/>
      <c r="G851" s="4"/>
      <c r="H851" s="4"/>
      <c r="I851" s="4"/>
      <c r="J851" s="4"/>
      <c r="K851" s="4"/>
      <c r="L851" s="4"/>
      <c r="M851" s="4"/>
      <c r="N851" s="4"/>
      <c r="O851" s="4"/>
      <c r="P851" s="4"/>
      <c r="Q851" s="4"/>
      <c r="R851" s="4"/>
      <c r="S851" s="4"/>
      <c r="T851" s="4"/>
      <c r="U851" s="4"/>
      <c r="V851" s="4"/>
      <c r="W851" s="242"/>
      <c r="X851" s="4"/>
      <c r="Y851" s="4"/>
      <c r="Z851" s="4"/>
    </row>
    <row r="852" ht="13.5" customHeight="1" spans="1:26" x14ac:dyDescent="0.25">
      <c r="A852" s="4"/>
      <c r="B852" s="4"/>
      <c r="C852" s="4"/>
      <c r="D852" s="4"/>
      <c r="E852" s="4"/>
      <c r="F852" s="4"/>
      <c r="G852" s="4"/>
      <c r="H852" s="4"/>
      <c r="I852" s="4"/>
      <c r="J852" s="4"/>
      <c r="K852" s="4"/>
      <c r="L852" s="4"/>
      <c r="M852" s="4"/>
      <c r="N852" s="4"/>
      <c r="O852" s="4"/>
      <c r="P852" s="4"/>
      <c r="Q852" s="4"/>
      <c r="R852" s="4"/>
      <c r="S852" s="4"/>
      <c r="T852" s="4"/>
      <c r="U852" s="4"/>
      <c r="V852" s="4"/>
      <c r="W852" s="242"/>
      <c r="X852" s="4"/>
      <c r="Y852" s="4"/>
      <c r="Z852" s="4"/>
    </row>
    <row r="853" ht="13.5" customHeight="1" spans="1:26" x14ac:dyDescent="0.25">
      <c r="A853" s="4"/>
      <c r="B853" s="4"/>
      <c r="C853" s="4"/>
      <c r="D853" s="4"/>
      <c r="E853" s="4"/>
      <c r="F853" s="4"/>
      <c r="G853" s="4"/>
      <c r="H853" s="4"/>
      <c r="I853" s="4"/>
      <c r="J853" s="4"/>
      <c r="K853" s="4"/>
      <c r="L853" s="4"/>
      <c r="M853" s="4"/>
      <c r="N853" s="4"/>
      <c r="O853" s="4"/>
      <c r="P853" s="4"/>
      <c r="Q853" s="4"/>
      <c r="R853" s="4"/>
      <c r="S853" s="4"/>
      <c r="T853" s="4"/>
      <c r="U853" s="4"/>
      <c r="V853" s="4"/>
      <c r="W853" s="242"/>
      <c r="X853" s="4"/>
      <c r="Y853" s="4"/>
      <c r="Z853" s="4"/>
    </row>
    <row r="854" ht="13.5" customHeight="1" spans="1:26" x14ac:dyDescent="0.25">
      <c r="A854" s="4"/>
      <c r="B854" s="4"/>
      <c r="C854" s="4"/>
      <c r="D854" s="4"/>
      <c r="E854" s="4"/>
      <c r="F854" s="4"/>
      <c r="G854" s="4"/>
      <c r="H854" s="4"/>
      <c r="I854" s="4"/>
      <c r="J854" s="4"/>
      <c r="K854" s="4"/>
      <c r="L854" s="4"/>
      <c r="M854" s="4"/>
      <c r="N854" s="4"/>
      <c r="O854" s="4"/>
      <c r="P854" s="4"/>
      <c r="Q854" s="4"/>
      <c r="R854" s="4"/>
      <c r="S854" s="4"/>
      <c r="T854" s="4"/>
      <c r="U854" s="4"/>
      <c r="V854" s="4"/>
      <c r="W854" s="242"/>
      <c r="X854" s="4"/>
      <c r="Y854" s="4"/>
      <c r="Z854" s="4"/>
    </row>
    <row r="855" ht="13.5" customHeight="1" spans="1:26" x14ac:dyDescent="0.25">
      <c r="A855" s="4"/>
      <c r="B855" s="4"/>
      <c r="C855" s="4"/>
      <c r="D855" s="4"/>
      <c r="E855" s="4"/>
      <c r="F855" s="4"/>
      <c r="G855" s="4"/>
      <c r="H855" s="4"/>
      <c r="I855" s="4"/>
      <c r="J855" s="4"/>
      <c r="K855" s="4"/>
      <c r="L855" s="4"/>
      <c r="M855" s="4"/>
      <c r="N855" s="4"/>
      <c r="O855" s="4"/>
      <c r="P855" s="4"/>
      <c r="Q855" s="4"/>
      <c r="R855" s="4"/>
      <c r="S855" s="4"/>
      <c r="T855" s="4"/>
      <c r="U855" s="4"/>
      <c r="V855" s="4"/>
      <c r="W855" s="242"/>
      <c r="X855" s="4"/>
      <c r="Y855" s="4"/>
      <c r="Z855" s="4"/>
    </row>
    <row r="856" ht="13.5" customHeight="1" spans="1:26" x14ac:dyDescent="0.25">
      <c r="A856" s="4"/>
      <c r="B856" s="4"/>
      <c r="C856" s="4"/>
      <c r="D856" s="4"/>
      <c r="E856" s="4"/>
      <c r="F856" s="4"/>
      <c r="G856" s="4"/>
      <c r="H856" s="4"/>
      <c r="I856" s="4"/>
      <c r="J856" s="4"/>
      <c r="K856" s="4"/>
      <c r="L856" s="4"/>
      <c r="M856" s="4"/>
      <c r="N856" s="4"/>
      <c r="O856" s="4"/>
      <c r="P856" s="4"/>
      <c r="Q856" s="4"/>
      <c r="R856" s="4"/>
      <c r="S856" s="4"/>
      <c r="T856" s="4"/>
      <c r="U856" s="4"/>
      <c r="V856" s="4"/>
      <c r="W856" s="242"/>
      <c r="X856" s="4"/>
      <c r="Y856" s="4"/>
      <c r="Z856" s="4"/>
    </row>
    <row r="857" ht="13.5" customHeight="1" spans="1:26" x14ac:dyDescent="0.25">
      <c r="A857" s="4"/>
      <c r="B857" s="4"/>
      <c r="C857" s="4"/>
      <c r="D857" s="4"/>
      <c r="E857" s="4"/>
      <c r="F857" s="4"/>
      <c r="G857" s="4"/>
      <c r="H857" s="4"/>
      <c r="I857" s="4"/>
      <c r="J857" s="4"/>
      <c r="K857" s="4"/>
      <c r="L857" s="4"/>
      <c r="M857" s="4"/>
      <c r="N857" s="4"/>
      <c r="O857" s="4"/>
      <c r="P857" s="4"/>
      <c r="Q857" s="4"/>
      <c r="R857" s="4"/>
      <c r="S857" s="4"/>
      <c r="T857" s="4"/>
      <c r="U857" s="4"/>
      <c r="V857" s="4"/>
      <c r="W857" s="242"/>
      <c r="X857" s="4"/>
      <c r="Y857" s="4"/>
      <c r="Z857" s="4"/>
    </row>
    <row r="858" ht="13.5" customHeight="1" spans="1:26" x14ac:dyDescent="0.25">
      <c r="A858" s="4"/>
      <c r="B858" s="4"/>
      <c r="C858" s="4"/>
      <c r="D858" s="4"/>
      <c r="E858" s="4"/>
      <c r="F858" s="4"/>
      <c r="G858" s="4"/>
      <c r="H858" s="4"/>
      <c r="I858" s="4"/>
      <c r="J858" s="4"/>
      <c r="K858" s="4"/>
      <c r="L858" s="4"/>
      <c r="M858" s="4"/>
      <c r="N858" s="4"/>
      <c r="O858" s="4"/>
      <c r="P858" s="4"/>
      <c r="Q858" s="4"/>
      <c r="R858" s="4"/>
      <c r="S858" s="4"/>
      <c r="T858" s="4"/>
      <c r="U858" s="4"/>
      <c r="V858" s="4"/>
      <c r="W858" s="242"/>
      <c r="X858" s="4"/>
      <c r="Y858" s="4"/>
      <c r="Z858" s="4"/>
    </row>
    <row r="859" ht="13.5" customHeight="1" spans="1:26" x14ac:dyDescent="0.25">
      <c r="A859" s="4"/>
      <c r="B859" s="4"/>
      <c r="C859" s="4"/>
      <c r="D859" s="4"/>
      <c r="E859" s="4"/>
      <c r="F859" s="4"/>
      <c r="G859" s="4"/>
      <c r="H859" s="4"/>
      <c r="I859" s="4"/>
      <c r="J859" s="4"/>
      <c r="K859" s="4"/>
      <c r="L859" s="4"/>
      <c r="M859" s="4"/>
      <c r="N859" s="4"/>
      <c r="O859" s="4"/>
      <c r="P859" s="4"/>
      <c r="Q859" s="4"/>
      <c r="R859" s="4"/>
      <c r="S859" s="4"/>
      <c r="T859" s="4"/>
      <c r="U859" s="4"/>
      <c r="V859" s="4"/>
      <c r="W859" s="242"/>
      <c r="X859" s="4"/>
      <c r="Y859" s="4"/>
      <c r="Z859" s="4"/>
    </row>
    <row r="860" ht="13.5" customHeight="1" spans="1:26" x14ac:dyDescent="0.25">
      <c r="A860" s="4"/>
      <c r="B860" s="4"/>
      <c r="C860" s="4"/>
      <c r="D860" s="4"/>
      <c r="E860" s="4"/>
      <c r="F860" s="4"/>
      <c r="G860" s="4"/>
      <c r="H860" s="4"/>
      <c r="I860" s="4"/>
      <c r="J860" s="4"/>
      <c r="K860" s="4"/>
      <c r="L860" s="4"/>
      <c r="M860" s="4"/>
      <c r="N860" s="4"/>
      <c r="O860" s="4"/>
      <c r="P860" s="4"/>
      <c r="Q860" s="4"/>
      <c r="R860" s="4"/>
      <c r="S860" s="4"/>
      <c r="T860" s="4"/>
      <c r="U860" s="4"/>
      <c r="V860" s="4"/>
      <c r="W860" s="242"/>
      <c r="X860" s="4"/>
      <c r="Y860" s="4"/>
      <c r="Z860" s="4"/>
    </row>
    <row r="861" ht="13.5" customHeight="1" spans="1:26" x14ac:dyDescent="0.25">
      <c r="A861" s="4"/>
      <c r="B861" s="4"/>
      <c r="C861" s="4"/>
      <c r="D861" s="4"/>
      <c r="E861" s="4"/>
      <c r="F861" s="4"/>
      <c r="G861" s="4"/>
      <c r="H861" s="4"/>
      <c r="I861" s="4"/>
      <c r="J861" s="4"/>
      <c r="K861" s="4"/>
      <c r="L861" s="4"/>
      <c r="M861" s="4"/>
      <c r="N861" s="4"/>
      <c r="O861" s="4"/>
      <c r="P861" s="4"/>
      <c r="Q861" s="4"/>
      <c r="R861" s="4"/>
      <c r="S861" s="4"/>
      <c r="T861" s="4"/>
      <c r="U861" s="4"/>
      <c r="V861" s="4"/>
      <c r="W861" s="242"/>
      <c r="X861" s="4"/>
      <c r="Y861" s="4"/>
      <c r="Z861" s="4"/>
    </row>
    <row r="862" ht="13.5" customHeight="1" spans="1:26" x14ac:dyDescent="0.25">
      <c r="A862" s="4"/>
      <c r="B862" s="4"/>
      <c r="C862" s="4"/>
      <c r="D862" s="4"/>
      <c r="E862" s="4"/>
      <c r="F862" s="4"/>
      <c r="G862" s="4"/>
      <c r="H862" s="4"/>
      <c r="I862" s="4"/>
      <c r="J862" s="4"/>
      <c r="K862" s="4"/>
      <c r="L862" s="4"/>
      <c r="M862" s="4"/>
      <c r="N862" s="4"/>
      <c r="O862" s="4"/>
      <c r="P862" s="4"/>
      <c r="Q862" s="4"/>
      <c r="R862" s="4"/>
      <c r="S862" s="4"/>
      <c r="T862" s="4"/>
      <c r="U862" s="4"/>
      <c r="V862" s="4"/>
      <c r="W862" s="242"/>
      <c r="X862" s="4"/>
      <c r="Y862" s="4"/>
      <c r="Z862" s="4"/>
    </row>
    <row r="863" ht="13.5" customHeight="1" spans="1:26" x14ac:dyDescent="0.25">
      <c r="A863" s="4"/>
      <c r="B863" s="4"/>
      <c r="C863" s="4"/>
      <c r="D863" s="4"/>
      <c r="E863" s="4"/>
      <c r="F863" s="4"/>
      <c r="G863" s="4"/>
      <c r="H863" s="4"/>
      <c r="I863" s="4"/>
      <c r="J863" s="4"/>
      <c r="K863" s="4"/>
      <c r="L863" s="4"/>
      <c r="M863" s="4"/>
      <c r="N863" s="4"/>
      <c r="O863" s="4"/>
      <c r="P863" s="4"/>
      <c r="Q863" s="4"/>
      <c r="R863" s="4"/>
      <c r="S863" s="4"/>
      <c r="T863" s="4"/>
      <c r="U863" s="4"/>
      <c r="V863" s="4"/>
      <c r="W863" s="242"/>
      <c r="X863" s="4"/>
      <c r="Y863" s="4"/>
      <c r="Z863" s="4"/>
    </row>
    <row r="864" ht="13.5" customHeight="1" spans="1:26" x14ac:dyDescent="0.25">
      <c r="A864" s="4"/>
      <c r="B864" s="4"/>
      <c r="C864" s="4"/>
      <c r="D864" s="4"/>
      <c r="E864" s="4"/>
      <c r="F864" s="4"/>
      <c r="G864" s="4"/>
      <c r="H864" s="4"/>
      <c r="I864" s="4"/>
      <c r="J864" s="4"/>
      <c r="K864" s="4"/>
      <c r="L864" s="4"/>
      <c r="M864" s="4"/>
      <c r="N864" s="4"/>
      <c r="O864" s="4"/>
      <c r="P864" s="4"/>
      <c r="Q864" s="4"/>
      <c r="R864" s="4"/>
      <c r="S864" s="4"/>
      <c r="T864" s="4"/>
      <c r="U864" s="4"/>
      <c r="V864" s="4"/>
      <c r="W864" s="242"/>
      <c r="X864" s="4"/>
      <c r="Y864" s="4"/>
      <c r="Z864" s="4"/>
    </row>
    <row r="865" ht="13.5" customHeight="1" spans="1:26" x14ac:dyDescent="0.25">
      <c r="A865" s="4"/>
      <c r="B865" s="4"/>
      <c r="C865" s="4"/>
      <c r="D865" s="4"/>
      <c r="E865" s="4"/>
      <c r="F865" s="4"/>
      <c r="G865" s="4"/>
      <c r="H865" s="4"/>
      <c r="I865" s="4"/>
      <c r="J865" s="4"/>
      <c r="K865" s="4"/>
      <c r="L865" s="4"/>
      <c r="M865" s="4"/>
      <c r="N865" s="4"/>
      <c r="O865" s="4"/>
      <c r="P865" s="4"/>
      <c r="Q865" s="4"/>
      <c r="R865" s="4"/>
      <c r="S865" s="4"/>
      <c r="T865" s="4"/>
      <c r="U865" s="4"/>
      <c r="V865" s="4"/>
      <c r="W865" s="242"/>
      <c r="X865" s="4"/>
      <c r="Y865" s="4"/>
      <c r="Z865" s="4"/>
    </row>
    <row r="866" ht="13.5" customHeight="1" spans="1:26" x14ac:dyDescent="0.25">
      <c r="A866" s="4"/>
      <c r="B866" s="4"/>
      <c r="C866" s="4"/>
      <c r="D866" s="4"/>
      <c r="E866" s="4"/>
      <c r="F866" s="4"/>
      <c r="G866" s="4"/>
      <c r="H866" s="4"/>
      <c r="I866" s="4"/>
      <c r="J866" s="4"/>
      <c r="K866" s="4"/>
      <c r="L866" s="4"/>
      <c r="M866" s="4"/>
      <c r="N866" s="4"/>
      <c r="O866" s="4"/>
      <c r="P866" s="4"/>
      <c r="Q866" s="4"/>
      <c r="R866" s="4"/>
      <c r="S866" s="4"/>
      <c r="T866" s="4"/>
      <c r="U866" s="4"/>
      <c r="V866" s="4"/>
      <c r="W866" s="242"/>
      <c r="X866" s="4"/>
      <c r="Y866" s="4"/>
      <c r="Z866" s="4"/>
    </row>
    <row r="867" ht="13.5" customHeight="1" spans="1:26" x14ac:dyDescent="0.25">
      <c r="A867" s="4"/>
      <c r="B867" s="4"/>
      <c r="C867" s="4"/>
      <c r="D867" s="4"/>
      <c r="E867" s="4"/>
      <c r="F867" s="4"/>
      <c r="G867" s="4"/>
      <c r="H867" s="4"/>
      <c r="I867" s="4"/>
      <c r="J867" s="4"/>
      <c r="K867" s="4"/>
      <c r="L867" s="4"/>
      <c r="M867" s="4"/>
      <c r="N867" s="4"/>
      <c r="O867" s="4"/>
      <c r="P867" s="4"/>
      <c r="Q867" s="4"/>
      <c r="R867" s="4"/>
      <c r="S867" s="4"/>
      <c r="T867" s="4"/>
      <c r="U867" s="4"/>
      <c r="V867" s="4"/>
      <c r="W867" s="242"/>
      <c r="X867" s="4"/>
      <c r="Y867" s="4"/>
      <c r="Z867" s="4"/>
    </row>
    <row r="868" ht="13.5" customHeight="1" spans="1:26" x14ac:dyDescent="0.25">
      <c r="A868" s="4"/>
      <c r="B868" s="4"/>
      <c r="C868" s="4"/>
      <c r="D868" s="4"/>
      <c r="E868" s="4"/>
      <c r="F868" s="4"/>
      <c r="G868" s="4"/>
      <c r="H868" s="4"/>
      <c r="I868" s="4"/>
      <c r="J868" s="4"/>
      <c r="K868" s="4"/>
      <c r="L868" s="4"/>
      <c r="M868" s="4"/>
      <c r="N868" s="4"/>
      <c r="O868" s="4"/>
      <c r="P868" s="4"/>
      <c r="Q868" s="4"/>
      <c r="R868" s="4"/>
      <c r="S868" s="4"/>
      <c r="T868" s="4"/>
      <c r="U868" s="4"/>
      <c r="V868" s="4"/>
      <c r="W868" s="242"/>
      <c r="X868" s="4"/>
      <c r="Y868" s="4"/>
      <c r="Z868" s="4"/>
    </row>
    <row r="869" ht="13.5" customHeight="1" spans="1:26" x14ac:dyDescent="0.25">
      <c r="A869" s="4"/>
      <c r="B869" s="4"/>
      <c r="C869" s="4"/>
      <c r="D869" s="4"/>
      <c r="E869" s="4"/>
      <c r="F869" s="4"/>
      <c r="G869" s="4"/>
      <c r="H869" s="4"/>
      <c r="I869" s="4"/>
      <c r="J869" s="4"/>
      <c r="K869" s="4"/>
      <c r="L869" s="4"/>
      <c r="M869" s="4"/>
      <c r="N869" s="4"/>
      <c r="O869" s="4"/>
      <c r="P869" s="4"/>
      <c r="Q869" s="4"/>
      <c r="R869" s="4"/>
      <c r="S869" s="4"/>
      <c r="T869" s="4"/>
      <c r="U869" s="4"/>
      <c r="V869" s="4"/>
      <c r="W869" s="242"/>
      <c r="X869" s="4"/>
      <c r="Y869" s="4"/>
      <c r="Z869" s="4"/>
    </row>
    <row r="870" ht="13.5" customHeight="1" spans="1:26" x14ac:dyDescent="0.25">
      <c r="A870" s="4"/>
      <c r="B870" s="4"/>
      <c r="C870" s="4"/>
      <c r="D870" s="4"/>
      <c r="E870" s="4"/>
      <c r="F870" s="4"/>
      <c r="G870" s="4"/>
      <c r="H870" s="4"/>
      <c r="I870" s="4"/>
      <c r="J870" s="4"/>
      <c r="K870" s="4"/>
      <c r="L870" s="4"/>
      <c r="M870" s="4"/>
      <c r="N870" s="4"/>
      <c r="O870" s="4"/>
      <c r="P870" s="4"/>
      <c r="Q870" s="4"/>
      <c r="R870" s="4"/>
      <c r="S870" s="4"/>
      <c r="T870" s="4"/>
      <c r="U870" s="4"/>
      <c r="V870" s="4"/>
      <c r="W870" s="242"/>
      <c r="X870" s="4"/>
      <c r="Y870" s="4"/>
      <c r="Z870" s="4"/>
    </row>
    <row r="871" ht="13.5" customHeight="1" spans="1:26" x14ac:dyDescent="0.25">
      <c r="A871" s="4"/>
      <c r="B871" s="4"/>
      <c r="C871" s="4"/>
      <c r="D871" s="4"/>
      <c r="E871" s="4"/>
      <c r="F871" s="4"/>
      <c r="G871" s="4"/>
      <c r="H871" s="4"/>
      <c r="I871" s="4"/>
      <c r="J871" s="4"/>
      <c r="K871" s="4"/>
      <c r="L871" s="4"/>
      <c r="M871" s="4"/>
      <c r="N871" s="4"/>
      <c r="O871" s="4"/>
      <c r="P871" s="4"/>
      <c r="Q871" s="4"/>
      <c r="R871" s="4"/>
      <c r="S871" s="4"/>
      <c r="T871" s="4"/>
      <c r="U871" s="4"/>
      <c r="V871" s="4"/>
      <c r="W871" s="242"/>
      <c r="X871" s="4"/>
      <c r="Y871" s="4"/>
      <c r="Z871" s="4"/>
    </row>
    <row r="872" ht="13.5" customHeight="1" spans="1:26" x14ac:dyDescent="0.25">
      <c r="A872" s="4"/>
      <c r="B872" s="4"/>
      <c r="C872" s="4"/>
      <c r="D872" s="4"/>
      <c r="E872" s="4"/>
      <c r="F872" s="4"/>
      <c r="G872" s="4"/>
      <c r="H872" s="4"/>
      <c r="I872" s="4"/>
      <c r="J872" s="4"/>
      <c r="K872" s="4"/>
      <c r="L872" s="4"/>
      <c r="M872" s="4"/>
      <c r="N872" s="4"/>
      <c r="O872" s="4"/>
      <c r="P872" s="4"/>
      <c r="Q872" s="4"/>
      <c r="R872" s="4"/>
      <c r="S872" s="4"/>
      <c r="T872" s="4"/>
      <c r="U872" s="4"/>
      <c r="V872" s="4"/>
      <c r="W872" s="242"/>
      <c r="X872" s="4"/>
      <c r="Y872" s="4"/>
      <c r="Z872" s="4"/>
    </row>
    <row r="873" ht="13.5" customHeight="1" spans="1:26" x14ac:dyDescent="0.25">
      <c r="A873" s="4"/>
      <c r="B873" s="4"/>
      <c r="C873" s="4"/>
      <c r="D873" s="4"/>
      <c r="E873" s="4"/>
      <c r="F873" s="4"/>
      <c r="G873" s="4"/>
      <c r="H873" s="4"/>
      <c r="I873" s="4"/>
      <c r="J873" s="4"/>
      <c r="K873" s="4"/>
      <c r="L873" s="4"/>
      <c r="M873" s="4"/>
      <c r="N873" s="4"/>
      <c r="O873" s="4"/>
      <c r="P873" s="4"/>
      <c r="Q873" s="4"/>
      <c r="R873" s="4"/>
      <c r="S873" s="4"/>
      <c r="T873" s="4"/>
      <c r="U873" s="4"/>
      <c r="V873" s="4"/>
      <c r="W873" s="242"/>
      <c r="X873" s="4"/>
      <c r="Y873" s="4"/>
      <c r="Z873" s="4"/>
    </row>
    <row r="874" ht="13.5" customHeight="1" spans="1:26" x14ac:dyDescent="0.25">
      <c r="A874" s="4"/>
      <c r="B874" s="4"/>
      <c r="C874" s="4"/>
      <c r="D874" s="4"/>
      <c r="E874" s="4"/>
      <c r="F874" s="4"/>
      <c r="G874" s="4"/>
      <c r="H874" s="4"/>
      <c r="I874" s="4"/>
      <c r="J874" s="4"/>
      <c r="K874" s="4"/>
      <c r="L874" s="4"/>
      <c r="M874" s="4"/>
      <c r="N874" s="4"/>
      <c r="O874" s="4"/>
      <c r="P874" s="4"/>
      <c r="Q874" s="4"/>
      <c r="R874" s="4"/>
      <c r="S874" s="4"/>
      <c r="T874" s="4"/>
      <c r="U874" s="4"/>
      <c r="V874" s="4"/>
      <c r="W874" s="242"/>
      <c r="X874" s="4"/>
      <c r="Y874" s="4"/>
      <c r="Z874" s="4"/>
    </row>
    <row r="875" ht="13.5" customHeight="1" spans="1:26" x14ac:dyDescent="0.25">
      <c r="A875" s="4"/>
      <c r="B875" s="4"/>
      <c r="C875" s="4"/>
      <c r="D875" s="4"/>
      <c r="E875" s="4"/>
      <c r="F875" s="4"/>
      <c r="G875" s="4"/>
      <c r="H875" s="4"/>
      <c r="I875" s="4"/>
      <c r="J875" s="4"/>
      <c r="K875" s="4"/>
      <c r="L875" s="4"/>
      <c r="M875" s="4"/>
      <c r="N875" s="4"/>
      <c r="O875" s="4"/>
      <c r="P875" s="4"/>
      <c r="Q875" s="4"/>
      <c r="R875" s="4"/>
      <c r="S875" s="4"/>
      <c r="T875" s="4"/>
      <c r="U875" s="4"/>
      <c r="V875" s="4"/>
      <c r="W875" s="242"/>
      <c r="X875" s="4"/>
      <c r="Y875" s="4"/>
      <c r="Z875" s="4"/>
    </row>
    <row r="876" ht="13.5" customHeight="1" spans="1:26" x14ac:dyDescent="0.25">
      <c r="A876" s="4"/>
      <c r="B876" s="4"/>
      <c r="C876" s="4"/>
      <c r="D876" s="4"/>
      <c r="E876" s="4"/>
      <c r="F876" s="4"/>
      <c r="G876" s="4"/>
      <c r="H876" s="4"/>
      <c r="I876" s="4"/>
      <c r="J876" s="4"/>
      <c r="K876" s="4"/>
      <c r="L876" s="4"/>
      <c r="M876" s="4"/>
      <c r="N876" s="4"/>
      <c r="O876" s="4"/>
      <c r="P876" s="4"/>
      <c r="Q876" s="4"/>
      <c r="R876" s="4"/>
      <c r="S876" s="4"/>
      <c r="T876" s="4"/>
      <c r="U876" s="4"/>
      <c r="V876" s="4"/>
      <c r="W876" s="242"/>
      <c r="X876" s="4"/>
      <c r="Y876" s="4"/>
      <c r="Z876" s="4"/>
    </row>
    <row r="877" ht="13.5" customHeight="1" spans="1:26" x14ac:dyDescent="0.25">
      <c r="A877" s="4"/>
      <c r="B877" s="4"/>
      <c r="C877" s="4"/>
      <c r="D877" s="4"/>
      <c r="E877" s="4"/>
      <c r="F877" s="4"/>
      <c r="G877" s="4"/>
      <c r="H877" s="4"/>
      <c r="I877" s="4"/>
      <c r="J877" s="4"/>
      <c r="K877" s="4"/>
      <c r="L877" s="4"/>
      <c r="M877" s="4"/>
      <c r="N877" s="4"/>
      <c r="O877" s="4"/>
      <c r="P877" s="4"/>
      <c r="Q877" s="4"/>
      <c r="R877" s="4"/>
      <c r="S877" s="4"/>
      <c r="T877" s="4"/>
      <c r="U877" s="4"/>
      <c r="V877" s="4"/>
      <c r="W877" s="242"/>
      <c r="X877" s="4"/>
      <c r="Y877" s="4"/>
      <c r="Z877" s="4"/>
    </row>
    <row r="878" ht="13.5" customHeight="1" spans="1:26" x14ac:dyDescent="0.25">
      <c r="A878" s="4"/>
      <c r="B878" s="4"/>
      <c r="C878" s="4"/>
      <c r="D878" s="4"/>
      <c r="E878" s="4"/>
      <c r="F878" s="4"/>
      <c r="G878" s="4"/>
      <c r="H878" s="4"/>
      <c r="I878" s="4"/>
      <c r="J878" s="4"/>
      <c r="K878" s="4"/>
      <c r="L878" s="4"/>
      <c r="M878" s="4"/>
      <c r="N878" s="4"/>
      <c r="O878" s="4"/>
      <c r="P878" s="4"/>
      <c r="Q878" s="4"/>
      <c r="R878" s="4"/>
      <c r="S878" s="4"/>
      <c r="T878" s="4"/>
      <c r="U878" s="4"/>
      <c r="V878" s="4"/>
      <c r="W878" s="242"/>
      <c r="X878" s="4"/>
      <c r="Y878" s="4"/>
      <c r="Z878" s="4"/>
    </row>
    <row r="879" ht="13.5" customHeight="1" spans="1:26" x14ac:dyDescent="0.25">
      <c r="A879" s="4"/>
      <c r="B879" s="4"/>
      <c r="C879" s="4"/>
      <c r="D879" s="4"/>
      <c r="E879" s="4"/>
      <c r="F879" s="4"/>
      <c r="G879" s="4"/>
      <c r="H879" s="4"/>
      <c r="I879" s="4"/>
      <c r="J879" s="4"/>
      <c r="K879" s="4"/>
      <c r="L879" s="4"/>
      <c r="M879" s="4"/>
      <c r="N879" s="4"/>
      <c r="O879" s="4"/>
      <c r="P879" s="4"/>
      <c r="Q879" s="4"/>
      <c r="R879" s="4"/>
      <c r="S879" s="4"/>
      <c r="T879" s="4"/>
      <c r="U879" s="4"/>
      <c r="V879" s="4"/>
      <c r="W879" s="242"/>
      <c r="X879" s="4"/>
      <c r="Y879" s="4"/>
      <c r="Z879" s="4"/>
    </row>
    <row r="880" ht="13.5" customHeight="1" spans="1:26" x14ac:dyDescent="0.25">
      <c r="A880" s="4"/>
      <c r="B880" s="4"/>
      <c r="C880" s="4"/>
      <c r="D880" s="4"/>
      <c r="E880" s="4"/>
      <c r="F880" s="4"/>
      <c r="G880" s="4"/>
      <c r="H880" s="4"/>
      <c r="I880" s="4"/>
      <c r="J880" s="4"/>
      <c r="K880" s="4"/>
      <c r="L880" s="4"/>
      <c r="M880" s="4"/>
      <c r="N880" s="4"/>
      <c r="O880" s="4"/>
      <c r="P880" s="4"/>
      <c r="Q880" s="4"/>
      <c r="R880" s="4"/>
      <c r="S880" s="4"/>
      <c r="T880" s="4"/>
      <c r="U880" s="4"/>
      <c r="V880" s="4"/>
      <c r="W880" s="242"/>
      <c r="X880" s="4"/>
      <c r="Y880" s="4"/>
      <c r="Z880" s="4"/>
    </row>
    <row r="881" ht="13.5" customHeight="1" spans="1:26" x14ac:dyDescent="0.25">
      <c r="A881" s="4"/>
      <c r="B881" s="4"/>
      <c r="C881" s="4"/>
      <c r="D881" s="4"/>
      <c r="E881" s="4"/>
      <c r="F881" s="4"/>
      <c r="G881" s="4"/>
      <c r="H881" s="4"/>
      <c r="I881" s="4"/>
      <c r="J881" s="4"/>
      <c r="K881" s="4"/>
      <c r="L881" s="4"/>
      <c r="M881" s="4"/>
      <c r="N881" s="4"/>
      <c r="O881" s="4"/>
      <c r="P881" s="4"/>
      <c r="Q881" s="4"/>
      <c r="R881" s="4"/>
      <c r="S881" s="4"/>
      <c r="T881" s="4"/>
      <c r="U881" s="4"/>
      <c r="V881" s="4"/>
      <c r="W881" s="242"/>
      <c r="X881" s="4"/>
      <c r="Y881" s="4"/>
      <c r="Z881" s="4"/>
    </row>
    <row r="882" ht="13.5" customHeight="1" spans="1:26" x14ac:dyDescent="0.25">
      <c r="A882" s="4"/>
      <c r="B882" s="4"/>
      <c r="C882" s="4"/>
      <c r="D882" s="4"/>
      <c r="E882" s="4"/>
      <c r="F882" s="4"/>
      <c r="G882" s="4"/>
      <c r="H882" s="4"/>
      <c r="I882" s="4"/>
      <c r="J882" s="4"/>
      <c r="K882" s="4"/>
      <c r="L882" s="4"/>
      <c r="M882" s="4"/>
      <c r="N882" s="4"/>
      <c r="O882" s="4"/>
      <c r="P882" s="4"/>
      <c r="Q882" s="4"/>
      <c r="R882" s="4"/>
      <c r="S882" s="4"/>
      <c r="T882" s="4"/>
      <c r="U882" s="4"/>
      <c r="V882" s="4"/>
      <c r="W882" s="242"/>
      <c r="X882" s="4"/>
      <c r="Y882" s="4"/>
      <c r="Z882" s="4"/>
    </row>
    <row r="883" ht="13.5" customHeight="1" spans="1:26" x14ac:dyDescent="0.25">
      <c r="A883" s="4"/>
      <c r="B883" s="4"/>
      <c r="C883" s="4"/>
      <c r="D883" s="4"/>
      <c r="E883" s="4"/>
      <c r="F883" s="4"/>
      <c r="G883" s="4"/>
      <c r="H883" s="4"/>
      <c r="I883" s="4"/>
      <c r="J883" s="4"/>
      <c r="K883" s="4"/>
      <c r="L883" s="4"/>
      <c r="M883" s="4"/>
      <c r="N883" s="4"/>
      <c r="O883" s="4"/>
      <c r="P883" s="4"/>
      <c r="Q883" s="4"/>
      <c r="R883" s="4"/>
      <c r="S883" s="4"/>
      <c r="T883" s="4"/>
      <c r="U883" s="4"/>
      <c r="V883" s="4"/>
      <c r="W883" s="242"/>
      <c r="X883" s="4"/>
      <c r="Y883" s="4"/>
      <c r="Z883" s="4"/>
    </row>
    <row r="884" ht="13.5" customHeight="1" spans="1:26" x14ac:dyDescent="0.25">
      <c r="A884" s="4"/>
      <c r="B884" s="4"/>
      <c r="C884" s="4"/>
      <c r="D884" s="4"/>
      <c r="E884" s="4"/>
      <c r="F884" s="4"/>
      <c r="G884" s="4"/>
      <c r="H884" s="4"/>
      <c r="I884" s="4"/>
      <c r="J884" s="4"/>
      <c r="K884" s="4"/>
      <c r="L884" s="4"/>
      <c r="M884" s="4"/>
      <c r="N884" s="4"/>
      <c r="O884" s="4"/>
      <c r="P884" s="4"/>
      <c r="Q884" s="4"/>
      <c r="R884" s="4"/>
      <c r="S884" s="4"/>
      <c r="T884" s="4"/>
      <c r="U884" s="4"/>
      <c r="V884" s="4"/>
      <c r="W884" s="242"/>
      <c r="X884" s="4"/>
      <c r="Y884" s="4"/>
      <c r="Z884" s="4"/>
    </row>
    <row r="885" ht="13.5" customHeight="1" spans="1:26" x14ac:dyDescent="0.25">
      <c r="A885" s="4"/>
      <c r="B885" s="4"/>
      <c r="C885" s="4"/>
      <c r="D885" s="4"/>
      <c r="E885" s="4"/>
      <c r="F885" s="4"/>
      <c r="G885" s="4"/>
      <c r="H885" s="4"/>
      <c r="I885" s="4"/>
      <c r="J885" s="4"/>
      <c r="K885" s="4"/>
      <c r="L885" s="4"/>
      <c r="M885" s="4"/>
      <c r="N885" s="4"/>
      <c r="O885" s="4"/>
      <c r="P885" s="4"/>
      <c r="Q885" s="4"/>
      <c r="R885" s="4"/>
      <c r="S885" s="4"/>
      <c r="T885" s="4"/>
      <c r="U885" s="4"/>
      <c r="V885" s="4"/>
      <c r="W885" s="242"/>
      <c r="X885" s="4"/>
      <c r="Y885" s="4"/>
      <c r="Z885" s="4"/>
    </row>
    <row r="886" ht="13.5" customHeight="1" spans="1:26" x14ac:dyDescent="0.25">
      <c r="A886" s="4"/>
      <c r="B886" s="4"/>
      <c r="C886" s="4"/>
      <c r="D886" s="4"/>
      <c r="E886" s="4"/>
      <c r="F886" s="4"/>
      <c r="G886" s="4"/>
      <c r="H886" s="4"/>
      <c r="I886" s="4"/>
      <c r="J886" s="4"/>
      <c r="K886" s="4"/>
      <c r="L886" s="4"/>
      <c r="M886" s="4"/>
      <c r="N886" s="4"/>
      <c r="O886" s="4"/>
      <c r="P886" s="4"/>
      <c r="Q886" s="4"/>
      <c r="R886" s="4"/>
      <c r="S886" s="4"/>
      <c r="T886" s="4"/>
      <c r="U886" s="4"/>
      <c r="V886" s="4"/>
      <c r="W886" s="242"/>
      <c r="X886" s="4"/>
      <c r="Y886" s="4"/>
      <c r="Z886" s="4"/>
    </row>
    <row r="887" ht="13.5" customHeight="1" spans="1:26" x14ac:dyDescent="0.25">
      <c r="A887" s="4"/>
      <c r="B887" s="4"/>
      <c r="C887" s="4"/>
      <c r="D887" s="4"/>
      <c r="E887" s="4"/>
      <c r="F887" s="4"/>
      <c r="G887" s="4"/>
      <c r="H887" s="4"/>
      <c r="I887" s="4"/>
      <c r="J887" s="4"/>
      <c r="K887" s="4"/>
      <c r="L887" s="4"/>
      <c r="M887" s="4"/>
      <c r="N887" s="4"/>
      <c r="O887" s="4"/>
      <c r="P887" s="4"/>
      <c r="Q887" s="4"/>
      <c r="R887" s="4"/>
      <c r="S887" s="4"/>
      <c r="T887" s="4"/>
      <c r="U887" s="4"/>
      <c r="V887" s="4"/>
      <c r="W887" s="242"/>
      <c r="X887" s="4"/>
      <c r="Y887" s="4"/>
      <c r="Z887" s="4"/>
    </row>
    <row r="888" ht="13.5" customHeight="1" spans="1:26" x14ac:dyDescent="0.25">
      <c r="A888" s="4"/>
      <c r="B888" s="4"/>
      <c r="C888" s="4"/>
      <c r="D888" s="4"/>
      <c r="E888" s="4"/>
      <c r="F888" s="4"/>
      <c r="G888" s="4"/>
      <c r="H888" s="4"/>
      <c r="I888" s="4"/>
      <c r="J888" s="4"/>
      <c r="K888" s="4"/>
      <c r="L888" s="4"/>
      <c r="M888" s="4"/>
      <c r="N888" s="4"/>
      <c r="O888" s="4"/>
      <c r="P888" s="4"/>
      <c r="Q888" s="4"/>
      <c r="R888" s="4"/>
      <c r="S888" s="4"/>
      <c r="T888" s="4"/>
      <c r="U888" s="4"/>
      <c r="V888" s="4"/>
      <c r="W888" s="242"/>
      <c r="X888" s="4"/>
      <c r="Y888" s="4"/>
      <c r="Z888" s="4"/>
    </row>
    <row r="889" ht="13.5" customHeight="1" spans="1:26" x14ac:dyDescent="0.25">
      <c r="A889" s="4"/>
      <c r="B889" s="4"/>
      <c r="C889" s="4"/>
      <c r="D889" s="4"/>
      <c r="E889" s="4"/>
      <c r="F889" s="4"/>
      <c r="G889" s="4"/>
      <c r="H889" s="4"/>
      <c r="I889" s="4"/>
      <c r="J889" s="4"/>
      <c r="K889" s="4"/>
      <c r="L889" s="4"/>
      <c r="M889" s="4"/>
      <c r="N889" s="4"/>
      <c r="O889" s="4"/>
      <c r="P889" s="4"/>
      <c r="Q889" s="4"/>
      <c r="R889" s="4"/>
      <c r="S889" s="4"/>
      <c r="T889" s="4"/>
      <c r="U889" s="4"/>
      <c r="V889" s="4"/>
      <c r="W889" s="242"/>
      <c r="X889" s="4"/>
      <c r="Y889" s="4"/>
      <c r="Z889" s="4"/>
    </row>
    <row r="890" ht="13.5" customHeight="1" spans="1:26" x14ac:dyDescent="0.25">
      <c r="A890" s="4"/>
      <c r="B890" s="4"/>
      <c r="C890" s="4"/>
      <c r="D890" s="4"/>
      <c r="E890" s="4"/>
      <c r="F890" s="4"/>
      <c r="G890" s="4"/>
      <c r="H890" s="4"/>
      <c r="I890" s="4"/>
      <c r="J890" s="4"/>
      <c r="K890" s="4"/>
      <c r="L890" s="4"/>
      <c r="M890" s="4"/>
      <c r="N890" s="4"/>
      <c r="O890" s="4"/>
      <c r="P890" s="4"/>
      <c r="Q890" s="4"/>
      <c r="R890" s="4"/>
      <c r="S890" s="4"/>
      <c r="T890" s="4"/>
      <c r="U890" s="4"/>
      <c r="V890" s="4"/>
      <c r="W890" s="242"/>
      <c r="X890" s="4"/>
      <c r="Y890" s="4"/>
      <c r="Z890" s="4"/>
    </row>
    <row r="891" ht="13.5" customHeight="1" spans="1:26" x14ac:dyDescent="0.25">
      <c r="A891" s="4"/>
      <c r="B891" s="4"/>
      <c r="C891" s="4"/>
      <c r="D891" s="4"/>
      <c r="E891" s="4"/>
      <c r="F891" s="4"/>
      <c r="G891" s="4"/>
      <c r="H891" s="4"/>
      <c r="I891" s="4"/>
      <c r="J891" s="4"/>
      <c r="K891" s="4"/>
      <c r="L891" s="4"/>
      <c r="M891" s="4"/>
      <c r="N891" s="4"/>
      <c r="O891" s="4"/>
      <c r="P891" s="4"/>
      <c r="Q891" s="4"/>
      <c r="R891" s="4"/>
      <c r="S891" s="4"/>
      <c r="T891" s="4"/>
      <c r="U891" s="4"/>
      <c r="V891" s="4"/>
      <c r="W891" s="242"/>
      <c r="X891" s="4"/>
      <c r="Y891" s="4"/>
      <c r="Z891" s="4"/>
    </row>
    <row r="892" ht="13.5" customHeight="1" spans="1:26" x14ac:dyDescent="0.25">
      <c r="A892" s="4"/>
      <c r="B892" s="4"/>
      <c r="C892" s="4"/>
      <c r="D892" s="4"/>
      <c r="E892" s="4"/>
      <c r="F892" s="4"/>
      <c r="G892" s="4"/>
      <c r="H892" s="4"/>
      <c r="I892" s="4"/>
      <c r="J892" s="4"/>
      <c r="K892" s="4"/>
      <c r="L892" s="4"/>
      <c r="M892" s="4"/>
      <c r="N892" s="4"/>
      <c r="O892" s="4"/>
      <c r="P892" s="4"/>
      <c r="Q892" s="4"/>
      <c r="R892" s="4"/>
      <c r="S892" s="4"/>
      <c r="T892" s="4"/>
      <c r="U892" s="4"/>
      <c r="V892" s="4"/>
      <c r="W892" s="242"/>
      <c r="X892" s="4"/>
      <c r="Y892" s="4"/>
      <c r="Z892" s="4"/>
    </row>
    <row r="893" ht="13.5" customHeight="1" spans="1:26" x14ac:dyDescent="0.25">
      <c r="A893" s="4"/>
      <c r="B893" s="4"/>
      <c r="C893" s="4"/>
      <c r="D893" s="4"/>
      <c r="E893" s="4"/>
      <c r="F893" s="4"/>
      <c r="G893" s="4"/>
      <c r="H893" s="4"/>
      <c r="I893" s="4"/>
      <c r="J893" s="4"/>
      <c r="K893" s="4"/>
      <c r="L893" s="4"/>
      <c r="M893" s="4"/>
      <c r="N893" s="4"/>
      <c r="O893" s="4"/>
      <c r="P893" s="4"/>
      <c r="Q893" s="4"/>
      <c r="R893" s="4"/>
      <c r="S893" s="4"/>
      <c r="T893" s="4"/>
      <c r="U893" s="4"/>
      <c r="V893" s="4"/>
      <c r="W893" s="242"/>
      <c r="X893" s="4"/>
      <c r="Y893" s="4"/>
      <c r="Z893" s="4"/>
    </row>
    <row r="894" ht="13.5" customHeight="1" spans="1:26" x14ac:dyDescent="0.25">
      <c r="A894" s="4"/>
      <c r="B894" s="4"/>
      <c r="C894" s="4"/>
      <c r="D894" s="4"/>
      <c r="E894" s="4"/>
      <c r="F894" s="4"/>
      <c r="G894" s="4"/>
      <c r="H894" s="4"/>
      <c r="I894" s="4"/>
      <c r="J894" s="4"/>
      <c r="K894" s="4"/>
      <c r="L894" s="4"/>
      <c r="M894" s="4"/>
      <c r="N894" s="4"/>
      <c r="O894" s="4"/>
      <c r="P894" s="4"/>
      <c r="Q894" s="4"/>
      <c r="R894" s="4"/>
      <c r="S894" s="4"/>
      <c r="T894" s="4"/>
      <c r="U894" s="4"/>
      <c r="V894" s="4"/>
      <c r="W894" s="242"/>
      <c r="X894" s="4"/>
      <c r="Y894" s="4"/>
      <c r="Z894" s="4"/>
    </row>
    <row r="895" ht="13.5" customHeight="1" spans="1:26" x14ac:dyDescent="0.25">
      <c r="A895" s="4"/>
      <c r="B895" s="4"/>
      <c r="C895" s="4"/>
      <c r="D895" s="4"/>
      <c r="E895" s="4"/>
      <c r="F895" s="4"/>
      <c r="G895" s="4"/>
      <c r="H895" s="4"/>
      <c r="I895" s="4"/>
      <c r="J895" s="4"/>
      <c r="K895" s="4"/>
      <c r="L895" s="4"/>
      <c r="M895" s="4"/>
      <c r="N895" s="4"/>
      <c r="O895" s="4"/>
      <c r="P895" s="4"/>
      <c r="Q895" s="4"/>
      <c r="R895" s="4"/>
      <c r="S895" s="4"/>
      <c r="T895" s="4"/>
      <c r="U895" s="4"/>
      <c r="V895" s="4"/>
      <c r="W895" s="242"/>
      <c r="X895" s="4"/>
      <c r="Y895" s="4"/>
      <c r="Z895" s="4"/>
    </row>
    <row r="896" ht="13.5" customHeight="1" spans="1:26" x14ac:dyDescent="0.25">
      <c r="A896" s="4"/>
      <c r="B896" s="4"/>
      <c r="C896" s="4"/>
      <c r="D896" s="4"/>
      <c r="E896" s="4"/>
      <c r="F896" s="4"/>
      <c r="G896" s="4"/>
      <c r="H896" s="4"/>
      <c r="I896" s="4"/>
      <c r="J896" s="4"/>
      <c r="K896" s="4"/>
      <c r="L896" s="4"/>
      <c r="M896" s="4"/>
      <c r="N896" s="4"/>
      <c r="O896" s="4"/>
      <c r="P896" s="4"/>
      <c r="Q896" s="4"/>
      <c r="R896" s="4"/>
      <c r="S896" s="4"/>
      <c r="T896" s="4"/>
      <c r="U896" s="4"/>
      <c r="V896" s="4"/>
      <c r="W896" s="242"/>
      <c r="X896" s="4"/>
      <c r="Y896" s="4"/>
      <c r="Z896" s="4"/>
    </row>
    <row r="897" ht="13.5" customHeight="1" spans="1:26" x14ac:dyDescent="0.25">
      <c r="A897" s="4"/>
      <c r="B897" s="4"/>
      <c r="C897" s="4"/>
      <c r="D897" s="4"/>
      <c r="E897" s="4"/>
      <c r="F897" s="4"/>
      <c r="G897" s="4"/>
      <c r="H897" s="4"/>
      <c r="I897" s="4"/>
      <c r="J897" s="4"/>
      <c r="K897" s="4"/>
      <c r="L897" s="4"/>
      <c r="M897" s="4"/>
      <c r="N897" s="4"/>
      <c r="O897" s="4"/>
      <c r="P897" s="4"/>
      <c r="Q897" s="4"/>
      <c r="R897" s="4"/>
      <c r="S897" s="4"/>
      <c r="T897" s="4"/>
      <c r="U897" s="4"/>
      <c r="V897" s="4"/>
      <c r="W897" s="242"/>
      <c r="X897" s="4"/>
      <c r="Y897" s="4"/>
      <c r="Z897" s="4"/>
    </row>
    <row r="898" ht="13.5" customHeight="1" spans="1:26" x14ac:dyDescent="0.25">
      <c r="A898" s="4"/>
      <c r="B898" s="4"/>
      <c r="C898" s="4"/>
      <c r="D898" s="4"/>
      <c r="E898" s="4"/>
      <c r="F898" s="4"/>
      <c r="G898" s="4"/>
      <c r="H898" s="4"/>
      <c r="I898" s="4"/>
      <c r="J898" s="4"/>
      <c r="K898" s="4"/>
      <c r="L898" s="4"/>
      <c r="M898" s="4"/>
      <c r="N898" s="4"/>
      <c r="O898" s="4"/>
      <c r="P898" s="4"/>
      <c r="Q898" s="4"/>
      <c r="R898" s="4"/>
      <c r="S898" s="4"/>
      <c r="T898" s="4"/>
      <c r="U898" s="4"/>
      <c r="V898" s="4"/>
      <c r="W898" s="242"/>
      <c r="X898" s="4"/>
      <c r="Y898" s="4"/>
      <c r="Z898" s="4"/>
    </row>
    <row r="899" ht="13.5" customHeight="1" spans="1:26" x14ac:dyDescent="0.25">
      <c r="A899" s="4"/>
      <c r="B899" s="4"/>
      <c r="C899" s="4"/>
      <c r="D899" s="4"/>
      <c r="E899" s="4"/>
      <c r="F899" s="4"/>
      <c r="G899" s="4"/>
      <c r="H899" s="4"/>
      <c r="I899" s="4"/>
      <c r="J899" s="4"/>
      <c r="K899" s="4"/>
      <c r="L899" s="4"/>
      <c r="M899" s="4"/>
      <c r="N899" s="4"/>
      <c r="O899" s="4"/>
      <c r="P899" s="4"/>
      <c r="Q899" s="4"/>
      <c r="R899" s="4"/>
      <c r="S899" s="4"/>
      <c r="T899" s="4"/>
      <c r="U899" s="4"/>
      <c r="V899" s="4"/>
      <c r="W899" s="242"/>
      <c r="X899" s="4"/>
      <c r="Y899" s="4"/>
      <c r="Z899" s="4"/>
    </row>
    <row r="900" ht="13.5" customHeight="1" spans="1:26" x14ac:dyDescent="0.25">
      <c r="A900" s="4"/>
      <c r="B900" s="4"/>
      <c r="C900" s="4"/>
      <c r="D900" s="4"/>
      <c r="E900" s="4"/>
      <c r="F900" s="4"/>
      <c r="G900" s="4"/>
      <c r="H900" s="4"/>
      <c r="I900" s="4"/>
      <c r="J900" s="4"/>
      <c r="K900" s="4"/>
      <c r="L900" s="4"/>
      <c r="M900" s="4"/>
      <c r="N900" s="4"/>
      <c r="O900" s="4"/>
      <c r="P900" s="4"/>
      <c r="Q900" s="4"/>
      <c r="R900" s="4"/>
      <c r="S900" s="4"/>
      <c r="T900" s="4"/>
      <c r="U900" s="4"/>
      <c r="V900" s="4"/>
      <c r="W900" s="242"/>
      <c r="X900" s="4"/>
      <c r="Y900" s="4"/>
      <c r="Z900" s="4"/>
    </row>
    <row r="901" ht="13.5" customHeight="1" spans="1:26" x14ac:dyDescent="0.25">
      <c r="A901" s="4"/>
      <c r="B901" s="4"/>
      <c r="C901" s="4"/>
      <c r="D901" s="4"/>
      <c r="E901" s="4"/>
      <c r="F901" s="4"/>
      <c r="G901" s="4"/>
      <c r="H901" s="4"/>
      <c r="I901" s="4"/>
      <c r="J901" s="4"/>
      <c r="K901" s="4"/>
      <c r="L901" s="4"/>
      <c r="M901" s="4"/>
      <c r="N901" s="4"/>
      <c r="O901" s="4"/>
      <c r="P901" s="4"/>
      <c r="Q901" s="4"/>
      <c r="R901" s="4"/>
      <c r="S901" s="4"/>
      <c r="T901" s="4"/>
      <c r="U901" s="4"/>
      <c r="V901" s="4"/>
      <c r="W901" s="242"/>
      <c r="X901" s="4"/>
      <c r="Y901" s="4"/>
      <c r="Z901" s="4"/>
    </row>
    <row r="902" ht="13.5" customHeight="1" spans="1:26" x14ac:dyDescent="0.25">
      <c r="A902" s="4"/>
      <c r="B902" s="4"/>
      <c r="C902" s="4"/>
      <c r="D902" s="4"/>
      <c r="E902" s="4"/>
      <c r="F902" s="4"/>
      <c r="G902" s="4"/>
      <c r="H902" s="4"/>
      <c r="I902" s="4"/>
      <c r="J902" s="4"/>
      <c r="K902" s="4"/>
      <c r="L902" s="4"/>
      <c r="M902" s="4"/>
      <c r="N902" s="4"/>
      <c r="O902" s="4"/>
      <c r="P902" s="4"/>
      <c r="Q902" s="4"/>
      <c r="R902" s="4"/>
      <c r="S902" s="4"/>
      <c r="T902" s="4"/>
      <c r="U902" s="4"/>
      <c r="V902" s="4"/>
      <c r="W902" s="242"/>
      <c r="X902" s="4"/>
      <c r="Y902" s="4"/>
      <c r="Z902" s="4"/>
    </row>
    <row r="903" ht="13.5" customHeight="1" spans="1:26" x14ac:dyDescent="0.25">
      <c r="A903" s="4"/>
      <c r="B903" s="4"/>
      <c r="C903" s="4"/>
      <c r="D903" s="4"/>
      <c r="E903" s="4"/>
      <c r="F903" s="4"/>
      <c r="G903" s="4"/>
      <c r="H903" s="4"/>
      <c r="I903" s="4"/>
      <c r="J903" s="4"/>
      <c r="K903" s="4"/>
      <c r="L903" s="4"/>
      <c r="M903" s="4"/>
      <c r="N903" s="4"/>
      <c r="O903" s="4"/>
      <c r="P903" s="4"/>
      <c r="Q903" s="4"/>
      <c r="R903" s="4"/>
      <c r="S903" s="4"/>
      <c r="T903" s="4"/>
      <c r="U903" s="4"/>
      <c r="V903" s="4"/>
      <c r="W903" s="242"/>
      <c r="X903" s="4"/>
      <c r="Y903" s="4"/>
      <c r="Z903" s="4"/>
    </row>
    <row r="904" ht="13.5" customHeight="1" spans="1:26" x14ac:dyDescent="0.25">
      <c r="A904" s="4"/>
      <c r="B904" s="4"/>
      <c r="C904" s="4"/>
      <c r="D904" s="4"/>
      <c r="E904" s="4"/>
      <c r="F904" s="4"/>
      <c r="G904" s="4"/>
      <c r="H904" s="4"/>
      <c r="I904" s="4"/>
      <c r="J904" s="4"/>
      <c r="K904" s="4"/>
      <c r="L904" s="4"/>
      <c r="M904" s="4"/>
      <c r="N904" s="4"/>
      <c r="O904" s="4"/>
      <c r="P904" s="4"/>
      <c r="Q904" s="4"/>
      <c r="R904" s="4"/>
      <c r="S904" s="4"/>
      <c r="T904" s="4"/>
      <c r="U904" s="4"/>
      <c r="V904" s="4"/>
      <c r="W904" s="242"/>
      <c r="X904" s="4"/>
      <c r="Y904" s="4"/>
      <c r="Z904" s="4"/>
    </row>
    <row r="905" ht="13.5" customHeight="1" spans="1:26" x14ac:dyDescent="0.25">
      <c r="A905" s="4"/>
      <c r="B905" s="4"/>
      <c r="C905" s="4"/>
      <c r="D905" s="4"/>
      <c r="E905" s="4"/>
      <c r="F905" s="4"/>
      <c r="G905" s="4"/>
      <c r="H905" s="4"/>
      <c r="I905" s="4"/>
      <c r="J905" s="4"/>
      <c r="K905" s="4"/>
      <c r="L905" s="4"/>
      <c r="M905" s="4"/>
      <c r="N905" s="4"/>
      <c r="O905" s="4"/>
      <c r="P905" s="4"/>
      <c r="Q905" s="4"/>
      <c r="R905" s="4"/>
      <c r="S905" s="4"/>
      <c r="T905" s="4"/>
      <c r="U905" s="4"/>
      <c r="V905" s="4"/>
      <c r="W905" s="242"/>
      <c r="X905" s="4"/>
      <c r="Y905" s="4"/>
      <c r="Z905" s="4"/>
    </row>
    <row r="906" ht="13.5" customHeight="1" spans="1:26" x14ac:dyDescent="0.25">
      <c r="A906" s="4"/>
      <c r="B906" s="4"/>
      <c r="C906" s="4"/>
      <c r="D906" s="4"/>
      <c r="E906" s="4"/>
      <c r="F906" s="4"/>
      <c r="G906" s="4"/>
      <c r="H906" s="4"/>
      <c r="I906" s="4"/>
      <c r="J906" s="4"/>
      <c r="K906" s="4"/>
      <c r="L906" s="4"/>
      <c r="M906" s="4"/>
      <c r="N906" s="4"/>
      <c r="O906" s="4"/>
      <c r="P906" s="4"/>
      <c r="Q906" s="4"/>
      <c r="R906" s="4"/>
      <c r="S906" s="4"/>
      <c r="T906" s="4"/>
      <c r="U906" s="4"/>
      <c r="V906" s="4"/>
      <c r="W906" s="242"/>
      <c r="X906" s="4"/>
      <c r="Y906" s="4"/>
      <c r="Z906" s="4"/>
    </row>
    <row r="907" ht="13.5" customHeight="1" spans="1:26" x14ac:dyDescent="0.25">
      <c r="A907" s="4"/>
      <c r="B907" s="4"/>
      <c r="C907" s="4"/>
      <c r="D907" s="4"/>
      <c r="E907" s="4"/>
      <c r="F907" s="4"/>
      <c r="G907" s="4"/>
      <c r="H907" s="4"/>
      <c r="I907" s="4"/>
      <c r="J907" s="4"/>
      <c r="K907" s="4"/>
      <c r="L907" s="4"/>
      <c r="M907" s="4"/>
      <c r="N907" s="4"/>
      <c r="O907" s="4"/>
      <c r="P907" s="4"/>
      <c r="Q907" s="4"/>
      <c r="R907" s="4"/>
      <c r="S907" s="4"/>
      <c r="T907" s="4"/>
      <c r="U907" s="4"/>
      <c r="V907" s="4"/>
      <c r="W907" s="242"/>
      <c r="X907" s="4"/>
      <c r="Y907" s="4"/>
      <c r="Z907" s="4"/>
    </row>
    <row r="908" ht="13.5" customHeight="1" spans="1:26" x14ac:dyDescent="0.25">
      <c r="A908" s="4"/>
      <c r="B908" s="4"/>
      <c r="C908" s="4"/>
      <c r="D908" s="4"/>
      <c r="E908" s="4"/>
      <c r="F908" s="4"/>
      <c r="G908" s="4"/>
      <c r="H908" s="4"/>
      <c r="I908" s="4"/>
      <c r="J908" s="4"/>
      <c r="K908" s="4"/>
      <c r="L908" s="4"/>
      <c r="M908" s="4"/>
      <c r="N908" s="4"/>
      <c r="O908" s="4"/>
      <c r="P908" s="4"/>
      <c r="Q908" s="4"/>
      <c r="R908" s="4"/>
      <c r="S908" s="4"/>
      <c r="T908" s="4"/>
      <c r="U908" s="4"/>
      <c r="V908" s="4"/>
      <c r="W908" s="242"/>
      <c r="X908" s="4"/>
      <c r="Y908" s="4"/>
      <c r="Z908" s="4"/>
    </row>
    <row r="909" ht="13.5" customHeight="1" spans="1:26" x14ac:dyDescent="0.25">
      <c r="A909" s="4"/>
      <c r="B909" s="4"/>
      <c r="C909" s="4"/>
      <c r="D909" s="4"/>
      <c r="E909" s="4"/>
      <c r="F909" s="4"/>
      <c r="G909" s="4"/>
      <c r="H909" s="4"/>
      <c r="I909" s="4"/>
      <c r="J909" s="4"/>
      <c r="K909" s="4"/>
      <c r="L909" s="4"/>
      <c r="M909" s="4"/>
      <c r="N909" s="4"/>
      <c r="O909" s="4"/>
      <c r="P909" s="4"/>
      <c r="Q909" s="4"/>
      <c r="R909" s="4"/>
      <c r="S909" s="4"/>
      <c r="T909" s="4"/>
      <c r="U909" s="4"/>
      <c r="V909" s="4"/>
      <c r="W909" s="242"/>
      <c r="X909" s="4"/>
      <c r="Y909" s="4"/>
      <c r="Z909" s="4"/>
    </row>
    <row r="910" ht="13.5" customHeight="1" spans="1:26" x14ac:dyDescent="0.25">
      <c r="A910" s="4"/>
      <c r="B910" s="4"/>
      <c r="C910" s="4"/>
      <c r="D910" s="4"/>
      <c r="E910" s="4"/>
      <c r="F910" s="4"/>
      <c r="G910" s="4"/>
      <c r="H910" s="4"/>
      <c r="I910" s="4"/>
      <c r="J910" s="4"/>
      <c r="K910" s="4"/>
      <c r="L910" s="4"/>
      <c r="M910" s="4"/>
      <c r="N910" s="4"/>
      <c r="O910" s="4"/>
      <c r="P910" s="4"/>
      <c r="Q910" s="4"/>
      <c r="R910" s="4"/>
      <c r="S910" s="4"/>
      <c r="T910" s="4"/>
      <c r="U910" s="4"/>
      <c r="V910" s="4"/>
      <c r="W910" s="242"/>
      <c r="X910" s="4"/>
      <c r="Y910" s="4"/>
      <c r="Z910" s="4"/>
    </row>
    <row r="911" ht="13.5" customHeight="1" spans="1:26" x14ac:dyDescent="0.25">
      <c r="A911" s="4"/>
      <c r="B911" s="4"/>
      <c r="C911" s="4"/>
      <c r="D911" s="4"/>
      <c r="E911" s="4"/>
      <c r="F911" s="4"/>
      <c r="G911" s="4"/>
      <c r="H911" s="4"/>
      <c r="I911" s="4"/>
      <c r="J911" s="4"/>
      <c r="K911" s="4"/>
      <c r="L911" s="4"/>
      <c r="M911" s="4"/>
      <c r="N911" s="4"/>
      <c r="O911" s="4"/>
      <c r="P911" s="4"/>
      <c r="Q911" s="4"/>
      <c r="R911" s="4"/>
      <c r="S911" s="4"/>
      <c r="T911" s="4"/>
      <c r="U911" s="4"/>
      <c r="V911" s="4"/>
      <c r="W911" s="242"/>
      <c r="X911" s="4"/>
      <c r="Y911" s="4"/>
      <c r="Z911" s="4"/>
    </row>
    <row r="912" ht="13.5" customHeight="1" spans="1:26" x14ac:dyDescent="0.25">
      <c r="A912" s="4"/>
      <c r="B912" s="4"/>
      <c r="C912" s="4"/>
      <c r="D912" s="4"/>
      <c r="E912" s="4"/>
      <c r="F912" s="4"/>
      <c r="G912" s="4"/>
      <c r="H912" s="4"/>
      <c r="I912" s="4"/>
      <c r="J912" s="4"/>
      <c r="K912" s="4"/>
      <c r="L912" s="4"/>
      <c r="M912" s="4"/>
      <c r="N912" s="4"/>
      <c r="O912" s="4"/>
      <c r="P912" s="4"/>
      <c r="Q912" s="4"/>
      <c r="R912" s="4"/>
      <c r="S912" s="4"/>
      <c r="T912" s="4"/>
      <c r="U912" s="4"/>
      <c r="V912" s="4"/>
      <c r="W912" s="242"/>
      <c r="X912" s="4"/>
      <c r="Y912" s="4"/>
      <c r="Z912" s="4"/>
    </row>
    <row r="913" ht="13.5" customHeight="1" spans="1:26" x14ac:dyDescent="0.25">
      <c r="A913" s="4"/>
      <c r="B913" s="4"/>
      <c r="C913" s="4"/>
      <c r="D913" s="4"/>
      <c r="E913" s="4"/>
      <c r="F913" s="4"/>
      <c r="G913" s="4"/>
      <c r="H913" s="4"/>
      <c r="I913" s="4"/>
      <c r="J913" s="4"/>
      <c r="K913" s="4"/>
      <c r="L913" s="4"/>
      <c r="M913" s="4"/>
      <c r="N913" s="4"/>
      <c r="O913" s="4"/>
      <c r="P913" s="4"/>
      <c r="Q913" s="4"/>
      <c r="R913" s="4"/>
      <c r="S913" s="4"/>
      <c r="T913" s="4"/>
      <c r="U913" s="4"/>
      <c r="V913" s="4"/>
      <c r="W913" s="242"/>
      <c r="X913" s="4"/>
      <c r="Y913" s="4"/>
      <c r="Z913" s="4"/>
    </row>
    <row r="914" ht="13.5" customHeight="1" spans="1:26" x14ac:dyDescent="0.25">
      <c r="A914" s="4"/>
      <c r="B914" s="4"/>
      <c r="C914" s="4"/>
      <c r="D914" s="4"/>
      <c r="E914" s="4"/>
      <c r="F914" s="4"/>
      <c r="G914" s="4"/>
      <c r="H914" s="4"/>
      <c r="I914" s="4"/>
      <c r="J914" s="4"/>
      <c r="K914" s="4"/>
      <c r="L914" s="4"/>
      <c r="M914" s="4"/>
      <c r="N914" s="4"/>
      <c r="O914" s="4"/>
      <c r="P914" s="4"/>
      <c r="Q914" s="4"/>
      <c r="R914" s="4"/>
      <c r="S914" s="4"/>
      <c r="T914" s="4"/>
      <c r="U914" s="4"/>
      <c r="V914" s="4"/>
      <c r="W914" s="242"/>
      <c r="X914" s="4"/>
      <c r="Y914" s="4"/>
      <c r="Z914" s="4"/>
    </row>
    <row r="915" ht="13.5" customHeight="1" spans="1:26" x14ac:dyDescent="0.25">
      <c r="A915" s="4"/>
      <c r="B915" s="4"/>
      <c r="C915" s="4"/>
      <c r="D915" s="4"/>
      <c r="E915" s="4"/>
      <c r="F915" s="4"/>
      <c r="G915" s="4"/>
      <c r="H915" s="4"/>
      <c r="I915" s="4"/>
      <c r="J915" s="4"/>
      <c r="K915" s="4"/>
      <c r="L915" s="4"/>
      <c r="M915" s="4"/>
      <c r="N915" s="4"/>
      <c r="O915" s="4"/>
      <c r="P915" s="4"/>
      <c r="Q915" s="4"/>
      <c r="R915" s="4"/>
      <c r="S915" s="4"/>
      <c r="T915" s="4"/>
      <c r="U915" s="4"/>
      <c r="V915" s="4"/>
      <c r="W915" s="242"/>
      <c r="X915" s="4"/>
      <c r="Y915" s="4"/>
      <c r="Z915" s="4"/>
    </row>
    <row r="916" ht="13.5" customHeight="1" spans="1:26" x14ac:dyDescent="0.25">
      <c r="A916" s="4"/>
      <c r="B916" s="4"/>
      <c r="C916" s="4"/>
      <c r="D916" s="4"/>
      <c r="E916" s="4"/>
      <c r="F916" s="4"/>
      <c r="G916" s="4"/>
      <c r="H916" s="4"/>
      <c r="I916" s="4"/>
      <c r="J916" s="4"/>
      <c r="K916" s="4"/>
      <c r="L916" s="4"/>
      <c r="M916" s="4"/>
      <c r="N916" s="4"/>
      <c r="O916" s="4"/>
      <c r="P916" s="4"/>
      <c r="Q916" s="4"/>
      <c r="R916" s="4"/>
      <c r="S916" s="4"/>
      <c r="T916" s="4"/>
      <c r="U916" s="4"/>
      <c r="V916" s="4"/>
      <c r="W916" s="242"/>
      <c r="X916" s="4"/>
      <c r="Y916" s="4"/>
      <c r="Z916" s="4"/>
    </row>
    <row r="917" ht="13.5" customHeight="1" spans="1:26" x14ac:dyDescent="0.25">
      <c r="A917" s="4"/>
      <c r="B917" s="4"/>
      <c r="C917" s="4"/>
      <c r="D917" s="4"/>
      <c r="E917" s="4"/>
      <c r="F917" s="4"/>
      <c r="G917" s="4"/>
      <c r="H917" s="4"/>
      <c r="I917" s="4"/>
      <c r="J917" s="4"/>
      <c r="K917" s="4"/>
      <c r="L917" s="4"/>
      <c r="M917" s="4"/>
      <c r="N917" s="4"/>
      <c r="O917" s="4"/>
      <c r="P917" s="4"/>
      <c r="Q917" s="4"/>
      <c r="R917" s="4"/>
      <c r="S917" s="4"/>
      <c r="T917" s="4"/>
      <c r="U917" s="4"/>
      <c r="V917" s="4"/>
      <c r="W917" s="242"/>
      <c r="X917" s="4"/>
      <c r="Y917" s="4"/>
      <c r="Z917" s="4"/>
    </row>
    <row r="918" ht="13.5" customHeight="1" spans="1:26" x14ac:dyDescent="0.25">
      <c r="A918" s="4"/>
      <c r="B918" s="4"/>
      <c r="C918" s="4"/>
      <c r="D918" s="4"/>
      <c r="E918" s="4"/>
      <c r="F918" s="4"/>
      <c r="G918" s="4"/>
      <c r="H918" s="4"/>
      <c r="I918" s="4"/>
      <c r="J918" s="4"/>
      <c r="K918" s="4"/>
      <c r="L918" s="4"/>
      <c r="M918" s="4"/>
      <c r="N918" s="4"/>
      <c r="O918" s="4"/>
      <c r="P918" s="4"/>
      <c r="Q918" s="4"/>
      <c r="R918" s="4"/>
      <c r="S918" s="4"/>
      <c r="T918" s="4"/>
      <c r="U918" s="4"/>
      <c r="V918" s="4"/>
      <c r="W918" s="242"/>
      <c r="X918" s="4"/>
      <c r="Y918" s="4"/>
      <c r="Z918" s="4"/>
    </row>
    <row r="919" ht="13.5" customHeight="1" spans="1:26" x14ac:dyDescent="0.25">
      <c r="A919" s="4"/>
      <c r="B919" s="4"/>
      <c r="C919" s="4"/>
      <c r="D919" s="4"/>
      <c r="E919" s="4"/>
      <c r="F919" s="4"/>
      <c r="G919" s="4"/>
      <c r="H919" s="4"/>
      <c r="I919" s="4"/>
      <c r="J919" s="4"/>
      <c r="K919" s="4"/>
      <c r="L919" s="4"/>
      <c r="M919" s="4"/>
      <c r="N919" s="4"/>
      <c r="O919" s="4"/>
      <c r="P919" s="4"/>
      <c r="Q919" s="4"/>
      <c r="R919" s="4"/>
      <c r="S919" s="4"/>
      <c r="T919" s="4"/>
      <c r="U919" s="4"/>
      <c r="V919" s="4"/>
      <c r="W919" s="242"/>
      <c r="X919" s="4"/>
      <c r="Y919" s="4"/>
      <c r="Z919" s="4"/>
    </row>
    <row r="920" ht="13.5" customHeight="1" spans="1:26" x14ac:dyDescent="0.25">
      <c r="A920" s="4"/>
      <c r="B920" s="4"/>
      <c r="C920" s="4"/>
      <c r="D920" s="4"/>
      <c r="E920" s="4"/>
      <c r="F920" s="4"/>
      <c r="G920" s="4"/>
      <c r="H920" s="4"/>
      <c r="I920" s="4"/>
      <c r="J920" s="4"/>
      <c r="K920" s="4"/>
      <c r="L920" s="4"/>
      <c r="M920" s="4"/>
      <c r="N920" s="4"/>
      <c r="O920" s="4"/>
      <c r="P920" s="4"/>
      <c r="Q920" s="4"/>
      <c r="R920" s="4"/>
      <c r="S920" s="4"/>
      <c r="T920" s="4"/>
      <c r="U920" s="4"/>
      <c r="V920" s="4"/>
      <c r="W920" s="242"/>
      <c r="X920" s="4"/>
      <c r="Y920" s="4"/>
      <c r="Z920" s="4"/>
    </row>
    <row r="921" ht="13.5" customHeight="1" spans="1:26" x14ac:dyDescent="0.25">
      <c r="A921" s="4"/>
      <c r="B921" s="4"/>
      <c r="C921" s="4"/>
      <c r="D921" s="4"/>
      <c r="E921" s="4"/>
      <c r="F921" s="4"/>
      <c r="G921" s="4"/>
      <c r="H921" s="4"/>
      <c r="I921" s="4"/>
      <c r="J921" s="4"/>
      <c r="K921" s="4"/>
      <c r="L921" s="4"/>
      <c r="M921" s="4"/>
      <c r="N921" s="4"/>
      <c r="O921" s="4"/>
      <c r="P921" s="4"/>
      <c r="Q921" s="4"/>
      <c r="R921" s="4"/>
      <c r="S921" s="4"/>
      <c r="T921" s="4"/>
      <c r="U921" s="4"/>
      <c r="V921" s="4"/>
      <c r="W921" s="242"/>
      <c r="X921" s="4"/>
      <c r="Y921" s="4"/>
      <c r="Z921" s="4"/>
    </row>
    <row r="922" ht="13.5" customHeight="1" spans="1:26" x14ac:dyDescent="0.25">
      <c r="A922" s="4"/>
      <c r="B922" s="4"/>
      <c r="C922" s="4"/>
      <c r="D922" s="4"/>
      <c r="E922" s="4"/>
      <c r="F922" s="4"/>
      <c r="G922" s="4"/>
      <c r="H922" s="4"/>
      <c r="I922" s="4"/>
      <c r="J922" s="4"/>
      <c r="K922" s="4"/>
      <c r="L922" s="4"/>
      <c r="M922" s="4"/>
      <c r="N922" s="4"/>
      <c r="O922" s="4"/>
      <c r="P922" s="4"/>
      <c r="Q922" s="4"/>
      <c r="R922" s="4"/>
      <c r="S922" s="4"/>
      <c r="T922" s="4"/>
      <c r="U922" s="4"/>
      <c r="V922" s="4"/>
      <c r="W922" s="242"/>
      <c r="X922" s="4"/>
      <c r="Y922" s="4"/>
      <c r="Z922" s="4"/>
    </row>
    <row r="923" ht="13.5" customHeight="1" spans="1:26" x14ac:dyDescent="0.25">
      <c r="A923" s="4"/>
      <c r="B923" s="4"/>
      <c r="C923" s="4"/>
      <c r="D923" s="4"/>
      <c r="E923" s="4"/>
      <c r="F923" s="4"/>
      <c r="G923" s="4"/>
      <c r="H923" s="4"/>
      <c r="I923" s="4"/>
      <c r="J923" s="4"/>
      <c r="K923" s="4"/>
      <c r="L923" s="4"/>
      <c r="M923" s="4"/>
      <c r="N923" s="4"/>
      <c r="O923" s="4"/>
      <c r="P923" s="4"/>
      <c r="Q923" s="4"/>
      <c r="R923" s="4"/>
      <c r="S923" s="4"/>
      <c r="T923" s="4"/>
      <c r="U923" s="4"/>
      <c r="V923" s="4"/>
      <c r="W923" s="242"/>
      <c r="X923" s="4"/>
      <c r="Y923" s="4"/>
      <c r="Z923" s="4"/>
    </row>
    <row r="924" ht="13.5" customHeight="1" spans="1:26" x14ac:dyDescent="0.25">
      <c r="A924" s="4"/>
      <c r="B924" s="4"/>
      <c r="C924" s="4"/>
      <c r="D924" s="4"/>
      <c r="E924" s="4"/>
      <c r="F924" s="4"/>
      <c r="G924" s="4"/>
      <c r="H924" s="4"/>
      <c r="I924" s="4"/>
      <c r="J924" s="4"/>
      <c r="K924" s="4"/>
      <c r="L924" s="4"/>
      <c r="M924" s="4"/>
      <c r="N924" s="4"/>
      <c r="O924" s="4"/>
      <c r="P924" s="4"/>
      <c r="Q924" s="4"/>
      <c r="R924" s="4"/>
      <c r="S924" s="4"/>
      <c r="T924" s="4"/>
      <c r="U924" s="4"/>
      <c r="V924" s="4"/>
      <c r="W924" s="242"/>
      <c r="X924" s="4"/>
      <c r="Y924" s="4"/>
      <c r="Z924" s="4"/>
    </row>
    <row r="925" ht="13.5" customHeight="1" spans="1:26" x14ac:dyDescent="0.25">
      <c r="A925" s="4"/>
      <c r="B925" s="4"/>
      <c r="C925" s="4"/>
      <c r="D925" s="4"/>
      <c r="E925" s="4"/>
      <c r="F925" s="4"/>
      <c r="G925" s="4"/>
      <c r="H925" s="4"/>
      <c r="I925" s="4"/>
      <c r="J925" s="4"/>
      <c r="K925" s="4"/>
      <c r="L925" s="4"/>
      <c r="M925" s="4"/>
      <c r="N925" s="4"/>
      <c r="O925" s="4"/>
      <c r="P925" s="4"/>
      <c r="Q925" s="4"/>
      <c r="R925" s="4"/>
      <c r="S925" s="4"/>
      <c r="T925" s="4"/>
      <c r="U925" s="4"/>
      <c r="V925" s="4"/>
      <c r="W925" s="242"/>
      <c r="X925" s="4"/>
      <c r="Y925" s="4"/>
      <c r="Z925" s="4"/>
    </row>
    <row r="926" ht="13.5" customHeight="1" spans="1:26" x14ac:dyDescent="0.25">
      <c r="A926" s="4"/>
      <c r="B926" s="4"/>
      <c r="C926" s="4"/>
      <c r="D926" s="4"/>
      <c r="E926" s="4"/>
      <c r="F926" s="4"/>
      <c r="G926" s="4"/>
      <c r="H926" s="4"/>
      <c r="I926" s="4"/>
      <c r="J926" s="4"/>
      <c r="K926" s="4"/>
      <c r="L926" s="4"/>
      <c r="M926" s="4"/>
      <c r="N926" s="4"/>
      <c r="O926" s="4"/>
      <c r="P926" s="4"/>
      <c r="Q926" s="4"/>
      <c r="R926" s="4"/>
      <c r="S926" s="4"/>
      <c r="T926" s="4"/>
      <c r="U926" s="4"/>
      <c r="V926" s="4"/>
      <c r="W926" s="242"/>
      <c r="X926" s="4"/>
      <c r="Y926" s="4"/>
      <c r="Z926" s="4"/>
    </row>
    <row r="927" ht="13.5" customHeight="1" spans="1:26" x14ac:dyDescent="0.25">
      <c r="A927" s="4"/>
      <c r="B927" s="4"/>
      <c r="C927" s="4"/>
      <c r="D927" s="4"/>
      <c r="E927" s="4"/>
      <c r="F927" s="4"/>
      <c r="G927" s="4"/>
      <c r="H927" s="4"/>
      <c r="I927" s="4"/>
      <c r="J927" s="4"/>
      <c r="K927" s="4"/>
      <c r="L927" s="4"/>
      <c r="M927" s="4"/>
      <c r="N927" s="4"/>
      <c r="O927" s="4"/>
      <c r="P927" s="4"/>
      <c r="Q927" s="4"/>
      <c r="R927" s="4"/>
      <c r="S927" s="4"/>
      <c r="T927" s="4"/>
      <c r="U927" s="4"/>
      <c r="V927" s="4"/>
      <c r="W927" s="242"/>
      <c r="X927" s="4"/>
      <c r="Y927" s="4"/>
      <c r="Z927" s="4"/>
    </row>
    <row r="928" ht="13.5" customHeight="1" spans="1:26" x14ac:dyDescent="0.25">
      <c r="A928" s="4"/>
      <c r="B928" s="4"/>
      <c r="C928" s="4"/>
      <c r="D928" s="4"/>
      <c r="E928" s="4"/>
      <c r="F928" s="4"/>
      <c r="G928" s="4"/>
      <c r="H928" s="4"/>
      <c r="I928" s="4"/>
      <c r="J928" s="4"/>
      <c r="K928" s="4"/>
      <c r="L928" s="4"/>
      <c r="M928" s="4"/>
      <c r="N928" s="4"/>
      <c r="O928" s="4"/>
      <c r="P928" s="4"/>
      <c r="Q928" s="4"/>
      <c r="R928" s="4"/>
      <c r="S928" s="4"/>
      <c r="T928" s="4"/>
      <c r="U928" s="4"/>
      <c r="V928" s="4"/>
      <c r="W928" s="242"/>
      <c r="X928" s="4"/>
      <c r="Y928" s="4"/>
      <c r="Z928" s="4"/>
    </row>
    <row r="929" ht="13.5" customHeight="1" spans="1:26" x14ac:dyDescent="0.25">
      <c r="A929" s="4"/>
      <c r="B929" s="4"/>
      <c r="C929" s="4"/>
      <c r="D929" s="4"/>
      <c r="E929" s="4"/>
      <c r="F929" s="4"/>
      <c r="G929" s="4"/>
      <c r="H929" s="4"/>
      <c r="I929" s="4"/>
      <c r="J929" s="4"/>
      <c r="K929" s="4"/>
      <c r="L929" s="4"/>
      <c r="M929" s="4"/>
      <c r="N929" s="4"/>
      <c r="O929" s="4"/>
      <c r="P929" s="4"/>
      <c r="Q929" s="4"/>
      <c r="R929" s="4"/>
      <c r="S929" s="4"/>
      <c r="T929" s="4"/>
      <c r="U929" s="4"/>
      <c r="V929" s="4"/>
      <c r="W929" s="242"/>
      <c r="X929" s="4"/>
      <c r="Y929" s="4"/>
      <c r="Z929" s="4"/>
    </row>
    <row r="930" ht="13.5" customHeight="1" spans="1:26" x14ac:dyDescent="0.25">
      <c r="A930" s="4"/>
      <c r="B930" s="4"/>
      <c r="C930" s="4"/>
      <c r="D930" s="4"/>
      <c r="E930" s="4"/>
      <c r="F930" s="4"/>
      <c r="G930" s="4"/>
      <c r="H930" s="4"/>
      <c r="I930" s="4"/>
      <c r="J930" s="4"/>
      <c r="K930" s="4"/>
      <c r="L930" s="4"/>
      <c r="M930" s="4"/>
      <c r="N930" s="4"/>
      <c r="O930" s="4"/>
      <c r="P930" s="4"/>
      <c r="Q930" s="4"/>
      <c r="R930" s="4"/>
      <c r="S930" s="4"/>
      <c r="T930" s="4"/>
      <c r="U930" s="4"/>
      <c r="V930" s="4"/>
      <c r="W930" s="242"/>
      <c r="X930" s="4"/>
      <c r="Y930" s="4"/>
      <c r="Z930" s="4"/>
    </row>
    <row r="931" ht="13.5" customHeight="1" spans="1:26" x14ac:dyDescent="0.25">
      <c r="A931" s="4"/>
      <c r="B931" s="4"/>
      <c r="C931" s="4"/>
      <c r="D931" s="4"/>
      <c r="E931" s="4"/>
      <c r="F931" s="4"/>
      <c r="G931" s="4"/>
      <c r="H931" s="4"/>
      <c r="I931" s="4"/>
      <c r="J931" s="4"/>
      <c r="K931" s="4"/>
      <c r="L931" s="4"/>
      <c r="M931" s="4"/>
      <c r="N931" s="4"/>
      <c r="O931" s="4"/>
      <c r="P931" s="4"/>
      <c r="Q931" s="4"/>
      <c r="R931" s="4"/>
      <c r="S931" s="4"/>
      <c r="T931" s="4"/>
      <c r="U931" s="4"/>
      <c r="V931" s="4"/>
      <c r="W931" s="242"/>
      <c r="X931" s="4"/>
      <c r="Y931" s="4"/>
      <c r="Z931" s="4"/>
    </row>
    <row r="932" ht="13.5" customHeight="1" spans="1:26" x14ac:dyDescent="0.25">
      <c r="A932" s="4"/>
      <c r="B932" s="4"/>
      <c r="C932" s="4"/>
      <c r="D932" s="4"/>
      <c r="E932" s="4"/>
      <c r="F932" s="4"/>
      <c r="G932" s="4"/>
      <c r="H932" s="4"/>
      <c r="I932" s="4"/>
      <c r="J932" s="4"/>
      <c r="K932" s="4"/>
      <c r="L932" s="4"/>
      <c r="M932" s="4"/>
      <c r="N932" s="4"/>
      <c r="O932" s="4"/>
      <c r="P932" s="4"/>
      <c r="Q932" s="4"/>
      <c r="R932" s="4"/>
      <c r="S932" s="4"/>
      <c r="T932" s="4"/>
      <c r="U932" s="4"/>
      <c r="V932" s="4"/>
      <c r="W932" s="242"/>
      <c r="X932" s="4"/>
      <c r="Y932" s="4"/>
      <c r="Z932" s="4"/>
    </row>
    <row r="933" ht="13.5" customHeight="1" spans="1:26" x14ac:dyDescent="0.25">
      <c r="A933" s="4"/>
      <c r="B933" s="4"/>
      <c r="C933" s="4"/>
      <c r="D933" s="4"/>
      <c r="E933" s="4"/>
      <c r="F933" s="4"/>
      <c r="G933" s="4"/>
      <c r="H933" s="4"/>
      <c r="I933" s="4"/>
      <c r="J933" s="4"/>
      <c r="K933" s="4"/>
      <c r="L933" s="4"/>
      <c r="M933" s="4"/>
      <c r="N933" s="4"/>
      <c r="O933" s="4"/>
      <c r="P933" s="4"/>
      <c r="Q933" s="4"/>
      <c r="R933" s="4"/>
      <c r="S933" s="4"/>
      <c r="T933" s="4"/>
      <c r="U933" s="4"/>
      <c r="V933" s="4"/>
      <c r="W933" s="242"/>
      <c r="X933" s="4"/>
      <c r="Y933" s="4"/>
      <c r="Z933" s="4"/>
    </row>
    <row r="934" ht="13.5" customHeight="1" spans="1:26" x14ac:dyDescent="0.25">
      <c r="A934" s="4"/>
      <c r="B934" s="4"/>
      <c r="C934" s="4"/>
      <c r="D934" s="4"/>
      <c r="E934" s="4"/>
      <c r="F934" s="4"/>
      <c r="G934" s="4"/>
      <c r="H934" s="4"/>
      <c r="I934" s="4"/>
      <c r="J934" s="4"/>
      <c r="K934" s="4"/>
      <c r="L934" s="4"/>
      <c r="M934" s="4"/>
      <c r="N934" s="4"/>
      <c r="O934" s="4"/>
      <c r="P934" s="4"/>
      <c r="Q934" s="4"/>
      <c r="R934" s="4"/>
      <c r="S934" s="4"/>
      <c r="T934" s="4"/>
      <c r="U934" s="4"/>
      <c r="V934" s="4"/>
      <c r="W934" s="242"/>
      <c r="X934" s="4"/>
      <c r="Y934" s="4"/>
      <c r="Z934" s="4"/>
    </row>
    <row r="935" ht="13.5" customHeight="1" spans="1:26" x14ac:dyDescent="0.25">
      <c r="A935" s="4"/>
      <c r="B935" s="4"/>
      <c r="C935" s="4"/>
      <c r="D935" s="4"/>
      <c r="E935" s="4"/>
      <c r="F935" s="4"/>
      <c r="G935" s="4"/>
      <c r="H935" s="4"/>
      <c r="I935" s="4"/>
      <c r="J935" s="4"/>
      <c r="K935" s="4"/>
      <c r="L935" s="4"/>
      <c r="M935" s="4"/>
      <c r="N935" s="4"/>
      <c r="O935" s="4"/>
      <c r="P935" s="4"/>
      <c r="Q935" s="4"/>
      <c r="R935" s="4"/>
      <c r="S935" s="4"/>
      <c r="T935" s="4"/>
      <c r="U935" s="4"/>
      <c r="V935" s="4"/>
      <c r="W935" s="242"/>
      <c r="X935" s="4"/>
      <c r="Y935" s="4"/>
      <c r="Z935" s="4"/>
    </row>
    <row r="936" ht="13.5" customHeight="1" spans="1:26" x14ac:dyDescent="0.25">
      <c r="A936" s="4"/>
      <c r="B936" s="4"/>
      <c r="C936" s="4"/>
      <c r="D936" s="4"/>
      <c r="E936" s="4"/>
      <c r="F936" s="4"/>
      <c r="G936" s="4"/>
      <c r="H936" s="4"/>
      <c r="I936" s="4"/>
      <c r="J936" s="4"/>
      <c r="K936" s="4"/>
      <c r="L936" s="4"/>
      <c r="M936" s="4"/>
      <c r="N936" s="4"/>
      <c r="O936" s="4"/>
      <c r="P936" s="4"/>
      <c r="Q936" s="4"/>
      <c r="R936" s="4"/>
      <c r="S936" s="4"/>
      <c r="T936" s="4"/>
      <c r="U936" s="4"/>
      <c r="V936" s="4"/>
      <c r="W936" s="242"/>
      <c r="X936" s="4"/>
      <c r="Y936" s="4"/>
      <c r="Z936" s="4"/>
    </row>
    <row r="937" ht="13.5" customHeight="1" spans="1:26" x14ac:dyDescent="0.25">
      <c r="A937" s="4"/>
      <c r="B937" s="4"/>
      <c r="C937" s="4"/>
      <c r="D937" s="4"/>
      <c r="E937" s="4"/>
      <c r="F937" s="4"/>
      <c r="G937" s="4"/>
      <c r="H937" s="4"/>
      <c r="I937" s="4"/>
      <c r="J937" s="4"/>
      <c r="K937" s="4"/>
      <c r="L937" s="4"/>
      <c r="M937" s="4"/>
      <c r="N937" s="4"/>
      <c r="O937" s="4"/>
      <c r="P937" s="4"/>
      <c r="Q937" s="4"/>
      <c r="R937" s="4"/>
      <c r="S937" s="4"/>
      <c r="T937" s="4"/>
      <c r="U937" s="4"/>
      <c r="V937" s="4"/>
      <c r="W937" s="242"/>
      <c r="X937" s="4"/>
      <c r="Y937" s="4"/>
      <c r="Z937" s="4"/>
    </row>
    <row r="938" ht="13.5" customHeight="1" spans="1:26" x14ac:dyDescent="0.25">
      <c r="A938" s="4"/>
      <c r="B938" s="4"/>
      <c r="C938" s="4"/>
      <c r="D938" s="4"/>
      <c r="E938" s="4"/>
      <c r="F938" s="4"/>
      <c r="G938" s="4"/>
      <c r="H938" s="4"/>
      <c r="I938" s="4"/>
      <c r="J938" s="4"/>
      <c r="K938" s="4"/>
      <c r="L938" s="4"/>
      <c r="M938" s="4"/>
      <c r="N938" s="4"/>
      <c r="O938" s="4"/>
      <c r="P938" s="4"/>
      <c r="Q938" s="4"/>
      <c r="R938" s="4"/>
      <c r="S938" s="4"/>
      <c r="T938" s="4"/>
      <c r="U938" s="4"/>
      <c r="V938" s="4"/>
      <c r="W938" s="242"/>
      <c r="X938" s="4"/>
      <c r="Y938" s="4"/>
      <c r="Z938" s="4"/>
    </row>
    <row r="939" ht="13.5" customHeight="1" spans="1:26" x14ac:dyDescent="0.25">
      <c r="A939" s="4"/>
      <c r="B939" s="4"/>
      <c r="C939" s="4"/>
      <c r="D939" s="4"/>
      <c r="E939" s="4"/>
      <c r="F939" s="4"/>
      <c r="G939" s="4"/>
      <c r="H939" s="4"/>
      <c r="I939" s="4"/>
      <c r="J939" s="4"/>
      <c r="K939" s="4"/>
      <c r="L939" s="4"/>
      <c r="M939" s="4"/>
      <c r="N939" s="4"/>
      <c r="O939" s="4"/>
      <c r="P939" s="4"/>
      <c r="Q939" s="4"/>
      <c r="R939" s="4"/>
      <c r="S939" s="4"/>
      <c r="T939" s="4"/>
      <c r="U939" s="4"/>
      <c r="V939" s="4"/>
      <c r="W939" s="242"/>
      <c r="X939" s="4"/>
      <c r="Y939" s="4"/>
      <c r="Z939" s="4"/>
    </row>
    <row r="940" ht="13.5" customHeight="1" spans="1:26" x14ac:dyDescent="0.25">
      <c r="A940" s="4"/>
      <c r="B940" s="4"/>
      <c r="C940" s="4"/>
      <c r="D940" s="4"/>
      <c r="E940" s="4"/>
      <c r="F940" s="4"/>
      <c r="G940" s="4"/>
      <c r="H940" s="4"/>
      <c r="I940" s="4"/>
      <c r="J940" s="4"/>
      <c r="K940" s="4"/>
      <c r="L940" s="4"/>
      <c r="M940" s="4"/>
      <c r="N940" s="4"/>
      <c r="O940" s="4"/>
      <c r="P940" s="4"/>
      <c r="Q940" s="4"/>
      <c r="R940" s="4"/>
      <c r="S940" s="4"/>
      <c r="T940" s="4"/>
      <c r="U940" s="4"/>
      <c r="V940" s="4"/>
      <c r="W940" s="242"/>
      <c r="X940" s="4"/>
      <c r="Y940" s="4"/>
      <c r="Z940" s="4"/>
    </row>
    <row r="941" ht="13.5" customHeight="1" spans="1:26" x14ac:dyDescent="0.25">
      <c r="A941" s="4"/>
      <c r="B941" s="4"/>
      <c r="C941" s="4"/>
      <c r="D941" s="4"/>
      <c r="E941" s="4"/>
      <c r="F941" s="4"/>
      <c r="G941" s="4"/>
      <c r="H941" s="4"/>
      <c r="I941" s="4"/>
      <c r="J941" s="4"/>
      <c r="K941" s="4"/>
      <c r="L941" s="4"/>
      <c r="M941" s="4"/>
      <c r="N941" s="4"/>
      <c r="O941" s="4"/>
      <c r="P941" s="4"/>
      <c r="Q941" s="4"/>
      <c r="R941" s="4"/>
      <c r="S941" s="4"/>
      <c r="T941" s="4"/>
      <c r="U941" s="4"/>
      <c r="V941" s="4"/>
      <c r="W941" s="242"/>
      <c r="X941" s="4"/>
      <c r="Y941" s="4"/>
      <c r="Z941" s="4"/>
    </row>
    <row r="942" ht="13.5" customHeight="1" spans="1:26" x14ac:dyDescent="0.25">
      <c r="A942" s="4"/>
      <c r="B942" s="4"/>
      <c r="C942" s="4"/>
      <c r="D942" s="4"/>
      <c r="E942" s="4"/>
      <c r="F942" s="4"/>
      <c r="G942" s="4"/>
      <c r="H942" s="4"/>
      <c r="I942" s="4"/>
      <c r="J942" s="4"/>
      <c r="K942" s="4"/>
      <c r="L942" s="4"/>
      <c r="M942" s="4"/>
      <c r="N942" s="4"/>
      <c r="O942" s="4"/>
      <c r="P942" s="4"/>
      <c r="Q942" s="4"/>
      <c r="R942" s="4"/>
      <c r="S942" s="4"/>
      <c r="T942" s="4"/>
      <c r="U942" s="4"/>
      <c r="V942" s="4"/>
      <c r="W942" s="242"/>
      <c r="X942" s="4"/>
      <c r="Y942" s="4"/>
      <c r="Z942" s="4"/>
    </row>
    <row r="943" ht="13.5" customHeight="1" spans="1:26" x14ac:dyDescent="0.25">
      <c r="A943" s="4"/>
      <c r="B943" s="4"/>
      <c r="C943" s="4"/>
      <c r="D943" s="4"/>
      <c r="E943" s="4"/>
      <c r="F943" s="4"/>
      <c r="G943" s="4"/>
      <c r="H943" s="4"/>
      <c r="I943" s="4"/>
      <c r="J943" s="4"/>
      <c r="K943" s="4"/>
      <c r="L943" s="4"/>
      <c r="M943" s="4"/>
      <c r="N943" s="4"/>
      <c r="O943" s="4"/>
      <c r="P943" s="4"/>
      <c r="Q943" s="4"/>
      <c r="R943" s="4"/>
      <c r="S943" s="4"/>
      <c r="T943" s="4"/>
      <c r="U943" s="4"/>
      <c r="V943" s="4"/>
      <c r="W943" s="242"/>
      <c r="X943" s="4"/>
      <c r="Y943" s="4"/>
      <c r="Z943" s="4"/>
    </row>
    <row r="944" ht="13.5" customHeight="1" spans="1:26" x14ac:dyDescent="0.25">
      <c r="A944" s="4"/>
      <c r="B944" s="4"/>
      <c r="C944" s="4"/>
      <c r="D944" s="4"/>
      <c r="E944" s="4"/>
      <c r="F944" s="4"/>
      <c r="G944" s="4"/>
      <c r="H944" s="4"/>
      <c r="I944" s="4"/>
      <c r="J944" s="4"/>
      <c r="K944" s="4"/>
      <c r="L944" s="4"/>
      <c r="M944" s="4"/>
      <c r="N944" s="4"/>
      <c r="O944" s="4"/>
      <c r="P944" s="4"/>
      <c r="Q944" s="4"/>
      <c r="R944" s="4"/>
      <c r="S944" s="4"/>
      <c r="T944" s="4"/>
      <c r="U944" s="4"/>
      <c r="V944" s="4"/>
      <c r="W944" s="242"/>
      <c r="X944" s="4"/>
      <c r="Y944" s="4"/>
      <c r="Z944" s="4"/>
    </row>
    <row r="945" ht="13.5" customHeight="1" spans="1:26" x14ac:dyDescent="0.25">
      <c r="A945" s="4"/>
      <c r="B945" s="4"/>
      <c r="C945" s="4"/>
      <c r="D945" s="4"/>
      <c r="E945" s="4"/>
      <c r="F945" s="4"/>
      <c r="G945" s="4"/>
      <c r="H945" s="4"/>
      <c r="I945" s="4"/>
      <c r="J945" s="4"/>
      <c r="K945" s="4"/>
      <c r="L945" s="4"/>
      <c r="M945" s="4"/>
      <c r="N945" s="4"/>
      <c r="O945" s="4"/>
      <c r="P945" s="4"/>
      <c r="Q945" s="4"/>
      <c r="R945" s="4"/>
      <c r="S945" s="4"/>
      <c r="T945" s="4"/>
      <c r="U945" s="4"/>
      <c r="V945" s="4"/>
      <c r="W945" s="242"/>
      <c r="X945" s="4"/>
      <c r="Y945" s="4"/>
      <c r="Z945" s="4"/>
    </row>
    <row r="946" ht="13.5" customHeight="1" spans="1:26" x14ac:dyDescent="0.25">
      <c r="A946" s="4"/>
      <c r="B946" s="4"/>
      <c r="C946" s="4"/>
      <c r="D946" s="4"/>
      <c r="E946" s="4"/>
      <c r="F946" s="4"/>
      <c r="G946" s="4"/>
      <c r="H946" s="4"/>
      <c r="I946" s="4"/>
      <c r="J946" s="4"/>
      <c r="K946" s="4"/>
      <c r="L946" s="4"/>
      <c r="M946" s="4"/>
      <c r="N946" s="4"/>
      <c r="O946" s="4"/>
      <c r="P946" s="4"/>
      <c r="Q946" s="4"/>
      <c r="R946" s="4"/>
      <c r="S946" s="4"/>
      <c r="T946" s="4"/>
      <c r="U946" s="4"/>
      <c r="V946" s="4"/>
      <c r="W946" s="242"/>
      <c r="X946" s="4"/>
      <c r="Y946" s="4"/>
      <c r="Z946" s="4"/>
    </row>
    <row r="947" ht="13.5" customHeight="1" spans="1:26" x14ac:dyDescent="0.25">
      <c r="A947" s="4"/>
      <c r="B947" s="4"/>
      <c r="C947" s="4"/>
      <c r="D947" s="4"/>
      <c r="E947" s="4"/>
      <c r="F947" s="4"/>
      <c r="G947" s="4"/>
      <c r="H947" s="4"/>
      <c r="I947" s="4"/>
      <c r="J947" s="4"/>
      <c r="K947" s="4"/>
      <c r="L947" s="4"/>
      <c r="M947" s="4"/>
      <c r="N947" s="4"/>
      <c r="O947" s="4"/>
      <c r="P947" s="4"/>
      <c r="Q947" s="4"/>
      <c r="R947" s="4"/>
      <c r="S947" s="4"/>
      <c r="T947" s="4"/>
      <c r="U947" s="4"/>
      <c r="V947" s="4"/>
      <c r="W947" s="242"/>
      <c r="X947" s="4"/>
      <c r="Y947" s="4"/>
      <c r="Z947" s="4"/>
    </row>
    <row r="948" ht="13.5" customHeight="1" spans="1:26" x14ac:dyDescent="0.25">
      <c r="A948" s="4"/>
      <c r="B948" s="4"/>
      <c r="C948" s="4"/>
      <c r="D948" s="4"/>
      <c r="E948" s="4"/>
      <c r="F948" s="4"/>
      <c r="G948" s="4"/>
      <c r="H948" s="4"/>
      <c r="I948" s="4"/>
      <c r="J948" s="4"/>
      <c r="K948" s="4"/>
      <c r="L948" s="4"/>
      <c r="M948" s="4"/>
      <c r="N948" s="4"/>
      <c r="O948" s="4"/>
      <c r="P948" s="4"/>
      <c r="Q948" s="4"/>
      <c r="R948" s="4"/>
      <c r="S948" s="4"/>
      <c r="T948" s="4"/>
      <c r="U948" s="4"/>
      <c r="V948" s="4"/>
      <c r="W948" s="242"/>
      <c r="X948" s="4"/>
      <c r="Y948" s="4"/>
      <c r="Z948" s="4"/>
    </row>
    <row r="949" ht="13.5" customHeight="1" spans="1:26" x14ac:dyDescent="0.25">
      <c r="A949" s="4"/>
      <c r="B949" s="4"/>
      <c r="C949" s="4"/>
      <c r="D949" s="4"/>
      <c r="E949" s="4"/>
      <c r="F949" s="4"/>
      <c r="G949" s="4"/>
      <c r="H949" s="4"/>
      <c r="I949" s="4"/>
      <c r="J949" s="4"/>
      <c r="K949" s="4"/>
      <c r="L949" s="4"/>
      <c r="M949" s="4"/>
      <c r="N949" s="4"/>
      <c r="O949" s="4"/>
      <c r="P949" s="4"/>
      <c r="Q949" s="4"/>
      <c r="R949" s="4"/>
      <c r="S949" s="4"/>
      <c r="T949" s="4"/>
      <c r="U949" s="4"/>
      <c r="V949" s="4"/>
      <c r="W949" s="242"/>
      <c r="X949" s="4"/>
      <c r="Y949" s="4"/>
      <c r="Z949" s="4"/>
    </row>
    <row r="950" ht="13.5" customHeight="1" spans="1:26" x14ac:dyDescent="0.25">
      <c r="A950" s="4"/>
      <c r="B950" s="4"/>
      <c r="C950" s="4"/>
      <c r="D950" s="4"/>
      <c r="E950" s="4"/>
      <c r="F950" s="4"/>
      <c r="G950" s="4"/>
      <c r="H950" s="4"/>
      <c r="I950" s="4"/>
      <c r="J950" s="4"/>
      <c r="K950" s="4"/>
      <c r="L950" s="4"/>
      <c r="M950" s="4"/>
      <c r="N950" s="4"/>
      <c r="O950" s="4"/>
      <c r="P950" s="4"/>
      <c r="Q950" s="4"/>
      <c r="R950" s="4"/>
      <c r="S950" s="4"/>
      <c r="T950" s="4"/>
      <c r="U950" s="4"/>
      <c r="V950" s="4"/>
      <c r="W950" s="242"/>
      <c r="X950" s="4"/>
      <c r="Y950" s="4"/>
      <c r="Z950" s="4"/>
    </row>
    <row r="951" ht="13.5" customHeight="1" spans="1:26" x14ac:dyDescent="0.25">
      <c r="A951" s="4"/>
      <c r="B951" s="4"/>
      <c r="C951" s="4"/>
      <c r="D951" s="4"/>
      <c r="E951" s="4"/>
      <c r="F951" s="4"/>
      <c r="G951" s="4"/>
      <c r="H951" s="4"/>
      <c r="I951" s="4"/>
      <c r="J951" s="4"/>
      <c r="K951" s="4"/>
      <c r="L951" s="4"/>
      <c r="M951" s="4"/>
      <c r="N951" s="4"/>
      <c r="O951" s="4"/>
      <c r="P951" s="4"/>
      <c r="Q951" s="4"/>
      <c r="R951" s="4"/>
      <c r="S951" s="4"/>
      <c r="T951" s="4"/>
      <c r="U951" s="4"/>
      <c r="V951" s="4"/>
      <c r="W951" s="242"/>
      <c r="X951" s="4"/>
      <c r="Y951" s="4"/>
      <c r="Z951" s="4"/>
    </row>
    <row r="952" ht="13.5" customHeight="1" spans="1:26" x14ac:dyDescent="0.25">
      <c r="A952" s="4"/>
      <c r="B952" s="4"/>
      <c r="C952" s="4"/>
      <c r="D952" s="4"/>
      <c r="E952" s="4"/>
      <c r="F952" s="4"/>
      <c r="G952" s="4"/>
      <c r="H952" s="4"/>
      <c r="I952" s="4"/>
      <c r="J952" s="4"/>
      <c r="K952" s="4"/>
      <c r="L952" s="4"/>
      <c r="M952" s="4"/>
      <c r="N952" s="4"/>
      <c r="O952" s="4"/>
      <c r="P952" s="4"/>
      <c r="Q952" s="4"/>
      <c r="R952" s="4"/>
      <c r="S952" s="4"/>
      <c r="T952" s="4"/>
      <c r="U952" s="4"/>
      <c r="V952" s="4"/>
      <c r="W952" s="242"/>
      <c r="X952" s="4"/>
      <c r="Y952" s="4"/>
      <c r="Z952" s="4"/>
    </row>
    <row r="953" ht="13.5" customHeight="1" spans="1:26" x14ac:dyDescent="0.25">
      <c r="A953" s="4"/>
      <c r="B953" s="4"/>
      <c r="C953" s="4"/>
      <c r="D953" s="4"/>
      <c r="E953" s="4"/>
      <c r="F953" s="4"/>
      <c r="G953" s="4"/>
      <c r="H953" s="4"/>
      <c r="I953" s="4"/>
      <c r="J953" s="4"/>
      <c r="K953" s="4"/>
      <c r="L953" s="4"/>
      <c r="M953" s="4"/>
      <c r="N953" s="4"/>
      <c r="O953" s="4"/>
      <c r="P953" s="4"/>
      <c r="Q953" s="4"/>
      <c r="R953" s="4"/>
      <c r="S953" s="4"/>
      <c r="T953" s="4"/>
      <c r="U953" s="4"/>
      <c r="V953" s="4"/>
      <c r="W953" s="242"/>
      <c r="X953" s="4"/>
      <c r="Y953" s="4"/>
      <c r="Z953" s="4"/>
    </row>
    <row r="954" ht="13.5" customHeight="1" spans="1:26" x14ac:dyDescent="0.25">
      <c r="A954" s="4"/>
      <c r="B954" s="4"/>
      <c r="C954" s="4"/>
      <c r="D954" s="4"/>
      <c r="E954" s="4"/>
      <c r="F954" s="4"/>
      <c r="G954" s="4"/>
      <c r="H954" s="4"/>
      <c r="I954" s="4"/>
      <c r="J954" s="4"/>
      <c r="K954" s="4"/>
      <c r="L954" s="4"/>
      <c r="M954" s="4"/>
      <c r="N954" s="4"/>
      <c r="O954" s="4"/>
      <c r="P954" s="4"/>
      <c r="Q954" s="4"/>
      <c r="R954" s="4"/>
      <c r="S954" s="4"/>
      <c r="T954" s="4"/>
      <c r="U954" s="4"/>
      <c r="V954" s="4"/>
      <c r="W954" s="242"/>
      <c r="X954" s="4"/>
      <c r="Y954" s="4"/>
      <c r="Z954" s="4"/>
    </row>
    <row r="955" ht="13.5" customHeight="1" spans="1:26" x14ac:dyDescent="0.25">
      <c r="A955" s="4"/>
      <c r="B955" s="4"/>
      <c r="C955" s="4"/>
      <c r="D955" s="4"/>
      <c r="E955" s="4"/>
      <c r="F955" s="4"/>
      <c r="G955" s="4"/>
      <c r="H955" s="4"/>
      <c r="I955" s="4"/>
      <c r="J955" s="4"/>
      <c r="K955" s="4"/>
      <c r="L955" s="4"/>
      <c r="M955" s="4"/>
      <c r="N955" s="4"/>
      <c r="O955" s="4"/>
      <c r="P955" s="4"/>
      <c r="Q955" s="4"/>
      <c r="R955" s="4"/>
      <c r="S955" s="4"/>
      <c r="T955" s="4"/>
      <c r="U955" s="4"/>
      <c r="V955" s="4"/>
      <c r="W955" s="242"/>
      <c r="X955" s="4"/>
      <c r="Y955" s="4"/>
      <c r="Z955" s="4"/>
    </row>
    <row r="956" ht="13.5" customHeight="1" spans="1:26" x14ac:dyDescent="0.25">
      <c r="A956" s="4"/>
      <c r="B956" s="4"/>
      <c r="C956" s="4"/>
      <c r="D956" s="4"/>
      <c r="E956" s="4"/>
      <c r="F956" s="4"/>
      <c r="G956" s="4"/>
      <c r="H956" s="4"/>
      <c r="I956" s="4"/>
      <c r="J956" s="4"/>
      <c r="K956" s="4"/>
      <c r="L956" s="4"/>
      <c r="M956" s="4"/>
      <c r="N956" s="4"/>
      <c r="O956" s="4"/>
      <c r="P956" s="4"/>
      <c r="Q956" s="4"/>
      <c r="R956" s="4"/>
      <c r="S956" s="4"/>
      <c r="T956" s="4"/>
      <c r="U956" s="4"/>
      <c r="V956" s="4"/>
      <c r="W956" s="242"/>
      <c r="X956" s="4"/>
      <c r="Y956" s="4"/>
      <c r="Z956" s="4"/>
    </row>
    <row r="957" ht="13.5" customHeight="1" spans="1:26" x14ac:dyDescent="0.25">
      <c r="A957" s="4"/>
      <c r="B957" s="4"/>
      <c r="C957" s="4"/>
      <c r="D957" s="4"/>
      <c r="E957" s="4"/>
      <c r="F957" s="4"/>
      <c r="G957" s="4"/>
      <c r="H957" s="4"/>
      <c r="I957" s="4"/>
      <c r="J957" s="4"/>
      <c r="K957" s="4"/>
      <c r="L957" s="4"/>
      <c r="M957" s="4"/>
      <c r="N957" s="4"/>
      <c r="O957" s="4"/>
      <c r="P957" s="4"/>
      <c r="Q957" s="4"/>
      <c r="R957" s="4"/>
      <c r="S957" s="4"/>
      <c r="T957" s="4"/>
      <c r="U957" s="4"/>
      <c r="V957" s="4"/>
      <c r="W957" s="242"/>
      <c r="X957" s="4"/>
      <c r="Y957" s="4"/>
      <c r="Z957" s="4"/>
    </row>
    <row r="958" ht="13.5" customHeight="1" spans="1:26" x14ac:dyDescent="0.25">
      <c r="A958" s="4"/>
      <c r="B958" s="4"/>
      <c r="C958" s="4"/>
      <c r="D958" s="4"/>
      <c r="E958" s="4"/>
      <c r="F958" s="4"/>
      <c r="G958" s="4"/>
      <c r="H958" s="4"/>
      <c r="I958" s="4"/>
      <c r="J958" s="4"/>
      <c r="K958" s="4"/>
      <c r="L958" s="4"/>
      <c r="M958" s="4"/>
      <c r="N958" s="4"/>
      <c r="O958" s="4"/>
      <c r="P958" s="4"/>
      <c r="Q958" s="4"/>
      <c r="R958" s="4"/>
      <c r="S958" s="4"/>
      <c r="T958" s="4"/>
      <c r="U958" s="4"/>
      <c r="V958" s="4"/>
      <c r="W958" s="242"/>
      <c r="X958" s="4"/>
      <c r="Y958" s="4"/>
      <c r="Z958" s="4"/>
    </row>
    <row r="959" ht="13.5" customHeight="1" spans="1:26" x14ac:dyDescent="0.25">
      <c r="A959" s="4"/>
      <c r="B959" s="4"/>
      <c r="C959" s="4"/>
      <c r="D959" s="4"/>
      <c r="E959" s="4"/>
      <c r="F959" s="4"/>
      <c r="G959" s="4"/>
      <c r="H959" s="4"/>
      <c r="I959" s="4"/>
      <c r="J959" s="4"/>
      <c r="K959" s="4"/>
      <c r="L959" s="4"/>
      <c r="M959" s="4"/>
      <c r="N959" s="4"/>
      <c r="O959" s="4"/>
      <c r="P959" s="4"/>
      <c r="Q959" s="4"/>
      <c r="R959" s="4"/>
      <c r="S959" s="4"/>
      <c r="T959" s="4"/>
      <c r="U959" s="4"/>
      <c r="V959" s="4"/>
      <c r="W959" s="242"/>
      <c r="X959" s="4"/>
      <c r="Y959" s="4"/>
      <c r="Z959" s="4"/>
    </row>
    <row r="960" ht="13.5" customHeight="1" spans="1:26" x14ac:dyDescent="0.25">
      <c r="A960" s="4"/>
      <c r="B960" s="4"/>
      <c r="C960" s="4"/>
      <c r="D960" s="4"/>
      <c r="E960" s="4"/>
      <c r="F960" s="4"/>
      <c r="G960" s="4"/>
      <c r="H960" s="4"/>
      <c r="I960" s="4"/>
      <c r="J960" s="4"/>
      <c r="K960" s="4"/>
      <c r="L960" s="4"/>
      <c r="M960" s="4"/>
      <c r="N960" s="4"/>
      <c r="O960" s="4"/>
      <c r="P960" s="4"/>
      <c r="Q960" s="4"/>
      <c r="R960" s="4"/>
      <c r="S960" s="4"/>
      <c r="T960" s="4"/>
      <c r="U960" s="4"/>
      <c r="V960" s="4"/>
      <c r="W960" s="242"/>
      <c r="X960" s="4"/>
      <c r="Y960" s="4"/>
      <c r="Z960" s="4"/>
    </row>
    <row r="961" ht="13.5" customHeight="1" spans="1:26" x14ac:dyDescent="0.25">
      <c r="A961" s="4"/>
      <c r="B961" s="4"/>
      <c r="C961" s="4"/>
      <c r="D961" s="4"/>
      <c r="E961" s="4"/>
      <c r="F961" s="4"/>
      <c r="G961" s="4"/>
      <c r="H961" s="4"/>
      <c r="I961" s="4"/>
      <c r="J961" s="4"/>
      <c r="K961" s="4"/>
      <c r="L961" s="4"/>
      <c r="M961" s="4"/>
      <c r="N961" s="4"/>
      <c r="O961" s="4"/>
      <c r="P961" s="4"/>
      <c r="Q961" s="4"/>
      <c r="R961" s="4"/>
      <c r="S961" s="4"/>
      <c r="T961" s="4"/>
      <c r="U961" s="4"/>
      <c r="V961" s="4"/>
      <c r="W961" s="242"/>
      <c r="X961" s="4"/>
      <c r="Y961" s="4"/>
      <c r="Z961" s="4"/>
    </row>
    <row r="962" ht="13.5" customHeight="1" spans="1:26" x14ac:dyDescent="0.25">
      <c r="A962" s="4"/>
      <c r="B962" s="4"/>
      <c r="C962" s="4"/>
      <c r="D962" s="4"/>
      <c r="E962" s="4"/>
      <c r="F962" s="4"/>
      <c r="G962" s="4"/>
      <c r="H962" s="4"/>
      <c r="I962" s="4"/>
      <c r="J962" s="4"/>
      <c r="K962" s="4"/>
      <c r="L962" s="4"/>
      <c r="M962" s="4"/>
      <c r="N962" s="4"/>
      <c r="O962" s="4"/>
      <c r="P962" s="4"/>
      <c r="Q962" s="4"/>
      <c r="R962" s="4"/>
      <c r="S962" s="4"/>
      <c r="T962" s="4"/>
      <c r="U962" s="4"/>
      <c r="V962" s="4"/>
      <c r="W962" s="242"/>
      <c r="X962" s="4"/>
      <c r="Y962" s="4"/>
      <c r="Z962" s="4"/>
    </row>
    <row r="963" ht="13.5" customHeight="1" spans="1:26" x14ac:dyDescent="0.25">
      <c r="A963" s="4"/>
      <c r="B963" s="4"/>
      <c r="C963" s="4"/>
      <c r="D963" s="4"/>
      <c r="E963" s="4"/>
      <c r="F963" s="4"/>
      <c r="G963" s="4"/>
      <c r="H963" s="4"/>
      <c r="I963" s="4"/>
      <c r="J963" s="4"/>
      <c r="K963" s="4"/>
      <c r="L963" s="4"/>
      <c r="M963" s="4"/>
      <c r="N963" s="4"/>
      <c r="O963" s="4"/>
      <c r="P963" s="4"/>
      <c r="Q963" s="4"/>
      <c r="R963" s="4"/>
      <c r="S963" s="4"/>
      <c r="T963" s="4"/>
      <c r="U963" s="4"/>
      <c r="V963" s="4"/>
      <c r="W963" s="242"/>
      <c r="X963" s="4"/>
      <c r="Y963" s="4"/>
      <c r="Z963" s="4"/>
    </row>
    <row r="964" ht="13.5" customHeight="1" spans="1:26" x14ac:dyDescent="0.25">
      <c r="A964" s="4"/>
      <c r="B964" s="4"/>
      <c r="C964" s="4"/>
      <c r="D964" s="4"/>
      <c r="E964" s="4"/>
      <c r="F964" s="4"/>
      <c r="G964" s="4"/>
      <c r="H964" s="4"/>
      <c r="I964" s="4"/>
      <c r="J964" s="4"/>
      <c r="K964" s="4"/>
      <c r="L964" s="4"/>
      <c r="M964" s="4"/>
      <c r="N964" s="4"/>
      <c r="O964" s="4"/>
      <c r="P964" s="4"/>
      <c r="Q964" s="4"/>
      <c r="R964" s="4"/>
      <c r="S964" s="4"/>
      <c r="T964" s="4"/>
      <c r="U964" s="4"/>
      <c r="V964" s="4"/>
      <c r="W964" s="242"/>
      <c r="X964" s="4"/>
      <c r="Y964" s="4"/>
      <c r="Z964" s="4"/>
    </row>
    <row r="965" ht="13.5" customHeight="1" spans="1:26" x14ac:dyDescent="0.25">
      <c r="A965" s="4"/>
      <c r="B965" s="4"/>
      <c r="C965" s="4"/>
      <c r="D965" s="4"/>
      <c r="E965" s="4"/>
      <c r="F965" s="4"/>
      <c r="G965" s="4"/>
      <c r="H965" s="4"/>
      <c r="I965" s="4"/>
      <c r="J965" s="4"/>
      <c r="K965" s="4"/>
      <c r="L965" s="4"/>
      <c r="M965" s="4"/>
      <c r="N965" s="4"/>
      <c r="O965" s="4"/>
      <c r="P965" s="4"/>
      <c r="Q965" s="4"/>
      <c r="R965" s="4"/>
      <c r="S965" s="4"/>
      <c r="T965" s="4"/>
      <c r="U965" s="4"/>
      <c r="V965" s="4"/>
      <c r="W965" s="242"/>
      <c r="X965" s="4"/>
      <c r="Y965" s="4"/>
      <c r="Z965" s="4"/>
    </row>
    <row r="966" ht="13.5" customHeight="1" spans="1:26" x14ac:dyDescent="0.25">
      <c r="A966" s="4"/>
      <c r="B966" s="4"/>
      <c r="C966" s="4"/>
      <c r="D966" s="4"/>
      <c r="E966" s="4"/>
      <c r="F966" s="4"/>
      <c r="G966" s="4"/>
      <c r="H966" s="4"/>
      <c r="I966" s="4"/>
      <c r="J966" s="4"/>
      <c r="K966" s="4"/>
      <c r="L966" s="4"/>
      <c r="M966" s="4"/>
      <c r="N966" s="4"/>
      <c r="O966" s="4"/>
      <c r="P966" s="4"/>
      <c r="Q966" s="4"/>
      <c r="R966" s="4"/>
      <c r="S966" s="4"/>
      <c r="T966" s="4"/>
      <c r="U966" s="4"/>
      <c r="V966" s="4"/>
      <c r="W966" s="242"/>
      <c r="X966" s="4"/>
      <c r="Y966" s="4"/>
      <c r="Z966" s="4"/>
    </row>
    <row r="967" ht="13.5" customHeight="1" spans="1:26" x14ac:dyDescent="0.25">
      <c r="A967" s="4"/>
      <c r="B967" s="4"/>
      <c r="C967" s="4"/>
      <c r="D967" s="4"/>
      <c r="E967" s="4"/>
      <c r="F967" s="4"/>
      <c r="G967" s="4"/>
      <c r="H967" s="4"/>
      <c r="I967" s="4"/>
      <c r="J967" s="4"/>
      <c r="K967" s="4"/>
      <c r="L967" s="4"/>
      <c r="M967" s="4"/>
      <c r="N967" s="4"/>
      <c r="O967" s="4"/>
      <c r="P967" s="4"/>
      <c r="Q967" s="4"/>
      <c r="R967" s="4"/>
      <c r="S967" s="4"/>
      <c r="T967" s="4"/>
      <c r="U967" s="4"/>
      <c r="V967" s="4"/>
      <c r="W967" s="242"/>
      <c r="X967" s="4"/>
      <c r="Y967" s="4"/>
      <c r="Z967" s="4"/>
    </row>
    <row r="968" ht="13.5" customHeight="1" spans="1:26" x14ac:dyDescent="0.25">
      <c r="A968" s="4"/>
      <c r="B968" s="4"/>
      <c r="C968" s="4"/>
      <c r="D968" s="4"/>
      <c r="E968" s="4"/>
      <c r="F968" s="4"/>
      <c r="G968" s="4"/>
      <c r="H968" s="4"/>
      <c r="I968" s="4"/>
      <c r="J968" s="4"/>
      <c r="K968" s="4"/>
      <c r="L968" s="4"/>
      <c r="M968" s="4"/>
      <c r="N968" s="4"/>
      <c r="O968" s="4"/>
      <c r="P968" s="4"/>
      <c r="Q968" s="4"/>
      <c r="R968" s="4"/>
      <c r="S968" s="4"/>
      <c r="T968" s="4"/>
      <c r="U968" s="4"/>
      <c r="V968" s="4"/>
      <c r="W968" s="242"/>
      <c r="X968" s="4"/>
      <c r="Y968" s="4"/>
      <c r="Z968" s="4"/>
    </row>
    <row r="969" ht="13.5" customHeight="1" spans="1:26" x14ac:dyDescent="0.25">
      <c r="A969" s="4"/>
      <c r="B969" s="4"/>
      <c r="C969" s="4"/>
      <c r="D969" s="4"/>
      <c r="E969" s="4"/>
      <c r="F969" s="4"/>
      <c r="G969" s="4"/>
      <c r="H969" s="4"/>
      <c r="I969" s="4"/>
      <c r="J969" s="4"/>
      <c r="K969" s="4"/>
      <c r="L969" s="4"/>
      <c r="M969" s="4"/>
      <c r="N969" s="4"/>
      <c r="O969" s="4"/>
      <c r="P969" s="4"/>
      <c r="Q969" s="4"/>
      <c r="R969" s="4"/>
      <c r="S969" s="4"/>
      <c r="T969" s="4"/>
      <c r="U969" s="4"/>
      <c r="V969" s="4"/>
      <c r="W969" s="242"/>
      <c r="X969" s="4"/>
      <c r="Y969" s="4"/>
      <c r="Z969" s="4"/>
    </row>
    <row r="970" ht="13.5" customHeight="1" spans="1:26" x14ac:dyDescent="0.25">
      <c r="A970" s="4"/>
      <c r="B970" s="4"/>
      <c r="C970" s="4"/>
      <c r="D970" s="4"/>
      <c r="E970" s="4"/>
      <c r="F970" s="4"/>
      <c r="G970" s="4"/>
      <c r="H970" s="4"/>
      <c r="I970" s="4"/>
      <c r="J970" s="4"/>
      <c r="K970" s="4"/>
      <c r="L970" s="4"/>
      <c r="M970" s="4"/>
      <c r="N970" s="4"/>
      <c r="O970" s="4"/>
      <c r="P970" s="4"/>
      <c r="Q970" s="4"/>
      <c r="R970" s="4"/>
      <c r="S970" s="4"/>
      <c r="T970" s="4"/>
      <c r="U970" s="4"/>
      <c r="V970" s="4"/>
      <c r="W970" s="242"/>
      <c r="X970" s="4"/>
      <c r="Y970" s="4"/>
      <c r="Z970" s="4"/>
    </row>
    <row r="971" ht="13.5" customHeight="1" spans="1:26" x14ac:dyDescent="0.25">
      <c r="A971" s="4"/>
      <c r="B971" s="4"/>
      <c r="C971" s="4"/>
      <c r="D971" s="4"/>
      <c r="E971" s="4"/>
      <c r="F971" s="4"/>
      <c r="G971" s="4"/>
      <c r="H971" s="4"/>
      <c r="I971" s="4"/>
      <c r="J971" s="4"/>
      <c r="K971" s="4"/>
      <c r="L971" s="4"/>
      <c r="M971" s="4"/>
      <c r="N971" s="4"/>
      <c r="O971" s="4"/>
      <c r="P971" s="4"/>
      <c r="Q971" s="4"/>
      <c r="R971" s="4"/>
      <c r="S971" s="4"/>
      <c r="T971" s="4"/>
      <c r="U971" s="4"/>
      <c r="V971" s="4"/>
      <c r="W971" s="242"/>
      <c r="X971" s="4"/>
      <c r="Y971" s="4"/>
      <c r="Z971" s="4"/>
    </row>
    <row r="972" ht="13.5" customHeight="1" spans="1:26" x14ac:dyDescent="0.25">
      <c r="A972" s="4"/>
      <c r="B972" s="4"/>
      <c r="C972" s="4"/>
      <c r="D972" s="4"/>
      <c r="E972" s="4"/>
      <c r="F972" s="4"/>
      <c r="G972" s="4"/>
      <c r="H972" s="4"/>
      <c r="I972" s="4"/>
      <c r="J972" s="4"/>
      <c r="K972" s="4"/>
      <c r="L972" s="4"/>
      <c r="M972" s="4"/>
      <c r="N972" s="4"/>
      <c r="O972" s="4"/>
      <c r="P972" s="4"/>
      <c r="Q972" s="4"/>
      <c r="R972" s="4"/>
      <c r="S972" s="4"/>
      <c r="T972" s="4"/>
      <c r="U972" s="4"/>
      <c r="V972" s="4"/>
      <c r="W972" s="242"/>
      <c r="X972" s="4"/>
      <c r="Y972" s="4"/>
      <c r="Z972" s="4"/>
    </row>
    <row r="973" ht="13.5" customHeight="1" spans="1:26" x14ac:dyDescent="0.25">
      <c r="A973" s="4"/>
      <c r="B973" s="4"/>
      <c r="C973" s="4"/>
      <c r="D973" s="4"/>
      <c r="E973" s="4"/>
      <c r="F973" s="4"/>
      <c r="G973" s="4"/>
      <c r="H973" s="4"/>
      <c r="I973" s="4"/>
      <c r="J973" s="4"/>
      <c r="K973" s="4"/>
      <c r="L973" s="4"/>
      <c r="M973" s="4"/>
      <c r="N973" s="4"/>
      <c r="O973" s="4"/>
      <c r="P973" s="4"/>
      <c r="Q973" s="4"/>
      <c r="R973" s="4"/>
      <c r="S973" s="4"/>
      <c r="T973" s="4"/>
      <c r="U973" s="4"/>
      <c r="V973" s="4"/>
      <c r="W973" s="242"/>
      <c r="X973" s="4"/>
      <c r="Y973" s="4"/>
      <c r="Z973" s="4"/>
    </row>
    <row r="974" ht="13.5" customHeight="1" spans="1:26" x14ac:dyDescent="0.25">
      <c r="A974" s="4"/>
      <c r="B974" s="4"/>
      <c r="C974" s="4"/>
      <c r="D974" s="4"/>
      <c r="E974" s="4"/>
      <c r="F974" s="4"/>
      <c r="G974" s="4"/>
      <c r="H974" s="4"/>
      <c r="I974" s="4"/>
      <c r="J974" s="4"/>
      <c r="K974" s="4"/>
      <c r="L974" s="4"/>
      <c r="M974" s="4"/>
      <c r="N974" s="4"/>
      <c r="O974" s="4"/>
      <c r="P974" s="4"/>
      <c r="Q974" s="4"/>
      <c r="R974" s="4"/>
      <c r="S974" s="4"/>
      <c r="T974" s="4"/>
      <c r="U974" s="4"/>
      <c r="V974" s="4"/>
      <c r="W974" s="242"/>
      <c r="X974" s="4"/>
      <c r="Y974" s="4"/>
      <c r="Z974" s="4"/>
    </row>
    <row r="975" ht="13.5" customHeight="1" spans="1:26" x14ac:dyDescent="0.25">
      <c r="A975" s="4"/>
      <c r="B975" s="4"/>
      <c r="C975" s="4"/>
      <c r="D975" s="4"/>
      <c r="E975" s="4"/>
      <c r="F975" s="4"/>
      <c r="G975" s="4"/>
      <c r="H975" s="4"/>
      <c r="I975" s="4"/>
      <c r="J975" s="4"/>
      <c r="K975" s="4"/>
      <c r="L975" s="4"/>
      <c r="M975" s="4"/>
      <c r="N975" s="4"/>
      <c r="O975" s="4"/>
      <c r="P975" s="4"/>
      <c r="Q975" s="4"/>
      <c r="R975" s="4"/>
      <c r="S975" s="4"/>
      <c r="T975" s="4"/>
      <c r="U975" s="4"/>
      <c r="V975" s="4"/>
      <c r="W975" s="242"/>
      <c r="X975" s="4"/>
      <c r="Y975" s="4"/>
      <c r="Z975" s="4"/>
    </row>
    <row r="976" ht="13.5" customHeight="1" spans="1:26" x14ac:dyDescent="0.25">
      <c r="A976" s="4"/>
      <c r="B976" s="4"/>
      <c r="C976" s="4"/>
      <c r="D976" s="4"/>
      <c r="E976" s="4"/>
      <c r="F976" s="4"/>
      <c r="G976" s="4"/>
      <c r="H976" s="4"/>
      <c r="I976" s="4"/>
      <c r="J976" s="4"/>
      <c r="K976" s="4"/>
      <c r="L976" s="4"/>
      <c r="M976" s="4"/>
      <c r="N976" s="4"/>
      <c r="O976" s="4"/>
      <c r="P976" s="4"/>
      <c r="Q976" s="4"/>
      <c r="R976" s="4"/>
      <c r="S976" s="4"/>
      <c r="T976" s="4"/>
      <c r="U976" s="4"/>
      <c r="V976" s="4"/>
      <c r="W976" s="242"/>
      <c r="X976" s="4"/>
      <c r="Y976" s="4"/>
      <c r="Z976" s="4"/>
    </row>
    <row r="977" ht="13.5" customHeight="1" spans="1:26" x14ac:dyDescent="0.25">
      <c r="A977" s="4"/>
      <c r="B977" s="4"/>
      <c r="C977" s="4"/>
      <c r="D977" s="4"/>
      <c r="E977" s="4"/>
      <c r="F977" s="4"/>
      <c r="G977" s="4"/>
      <c r="H977" s="4"/>
      <c r="I977" s="4"/>
      <c r="J977" s="4"/>
      <c r="K977" s="4"/>
      <c r="L977" s="4"/>
      <c r="M977" s="4"/>
      <c r="N977" s="4"/>
      <c r="O977" s="4"/>
      <c r="P977" s="4"/>
      <c r="Q977" s="4"/>
      <c r="R977" s="4"/>
      <c r="S977" s="4"/>
      <c r="T977" s="4"/>
      <c r="U977" s="4"/>
      <c r="V977" s="4"/>
      <c r="W977" s="242"/>
      <c r="X977" s="4"/>
      <c r="Y977" s="4"/>
      <c r="Z977" s="4"/>
    </row>
    <row r="978" ht="13.5" customHeight="1" spans="1:26" x14ac:dyDescent="0.25">
      <c r="A978" s="4"/>
      <c r="B978" s="4"/>
      <c r="C978" s="4"/>
      <c r="D978" s="4"/>
      <c r="E978" s="4"/>
      <c r="F978" s="4"/>
      <c r="G978" s="4"/>
      <c r="H978" s="4"/>
      <c r="I978" s="4"/>
      <c r="J978" s="4"/>
      <c r="K978" s="4"/>
      <c r="L978" s="4"/>
      <c r="M978" s="4"/>
      <c r="N978" s="4"/>
      <c r="O978" s="4"/>
      <c r="P978" s="4"/>
      <c r="Q978" s="4"/>
      <c r="R978" s="4"/>
      <c r="S978" s="4"/>
      <c r="T978" s="4"/>
      <c r="U978" s="4"/>
      <c r="V978" s="4"/>
      <c r="W978" s="242"/>
      <c r="X978" s="4"/>
      <c r="Y978" s="4"/>
      <c r="Z978" s="4"/>
    </row>
    <row r="979" ht="13.5" customHeight="1" spans="1:26" x14ac:dyDescent="0.25">
      <c r="A979" s="4"/>
      <c r="B979" s="4"/>
      <c r="C979" s="4"/>
      <c r="D979" s="4"/>
      <c r="E979" s="4"/>
      <c r="F979" s="4"/>
      <c r="G979" s="4"/>
      <c r="H979" s="4"/>
      <c r="I979" s="4"/>
      <c r="J979" s="4"/>
      <c r="K979" s="4"/>
      <c r="L979" s="4"/>
      <c r="M979" s="4"/>
      <c r="N979" s="4"/>
      <c r="O979" s="4"/>
      <c r="P979" s="4"/>
      <c r="Q979" s="4"/>
      <c r="R979" s="4"/>
      <c r="S979" s="4"/>
      <c r="T979" s="4"/>
      <c r="U979" s="4"/>
      <c r="V979" s="4"/>
      <c r="W979" s="242"/>
      <c r="X979" s="4"/>
      <c r="Y979" s="4"/>
      <c r="Z979" s="4"/>
    </row>
    <row r="980" ht="13.5" customHeight="1" spans="1:26" x14ac:dyDescent="0.25">
      <c r="A980" s="4"/>
      <c r="B980" s="4"/>
      <c r="C980" s="4"/>
      <c r="D980" s="4"/>
      <c r="E980" s="4"/>
      <c r="F980" s="4"/>
      <c r="G980" s="4"/>
      <c r="H980" s="4"/>
      <c r="I980" s="4"/>
      <c r="J980" s="4"/>
      <c r="K980" s="4"/>
      <c r="L980" s="4"/>
      <c r="M980" s="4"/>
      <c r="N980" s="4"/>
      <c r="O980" s="4"/>
      <c r="P980" s="4"/>
      <c r="Q980" s="4"/>
      <c r="R980" s="4"/>
      <c r="S980" s="4"/>
      <c r="T980" s="4"/>
      <c r="U980" s="4"/>
      <c r="V980" s="4"/>
      <c r="W980" s="242"/>
      <c r="X980" s="4"/>
      <c r="Y980" s="4"/>
      <c r="Z980" s="4"/>
    </row>
    <row r="981" ht="13.5" customHeight="1" spans="1:26" x14ac:dyDescent="0.25">
      <c r="A981" s="4"/>
      <c r="B981" s="4"/>
      <c r="C981" s="4"/>
      <c r="D981" s="4"/>
      <c r="E981" s="4"/>
      <c r="F981" s="4"/>
      <c r="G981" s="4"/>
      <c r="H981" s="4"/>
      <c r="I981" s="4"/>
      <c r="J981" s="4"/>
      <c r="K981" s="4"/>
      <c r="L981" s="4"/>
      <c r="M981" s="4"/>
      <c r="N981" s="4"/>
      <c r="O981" s="4"/>
      <c r="P981" s="4"/>
      <c r="Q981" s="4"/>
      <c r="R981" s="4"/>
      <c r="S981" s="4"/>
      <c r="T981" s="4"/>
      <c r="U981" s="4"/>
      <c r="V981" s="4"/>
      <c r="W981" s="242"/>
      <c r="X981" s="4"/>
      <c r="Y981" s="4"/>
      <c r="Z981" s="4"/>
    </row>
    <row r="982" ht="13.5" customHeight="1" spans="1:26" x14ac:dyDescent="0.25">
      <c r="A982" s="4"/>
      <c r="B982" s="4"/>
      <c r="C982" s="4"/>
      <c r="D982" s="4"/>
      <c r="E982" s="4"/>
      <c r="F982" s="4"/>
      <c r="G982" s="4"/>
      <c r="H982" s="4"/>
      <c r="I982" s="4"/>
      <c r="J982" s="4"/>
      <c r="K982" s="4"/>
      <c r="L982" s="4"/>
      <c r="M982" s="4"/>
      <c r="N982" s="4"/>
      <c r="O982" s="4"/>
      <c r="P982" s="4"/>
      <c r="Q982" s="4"/>
      <c r="R982" s="4"/>
      <c r="S982" s="4"/>
      <c r="T982" s="4"/>
      <c r="U982" s="4"/>
      <c r="V982" s="4"/>
      <c r="W982" s="242"/>
      <c r="X982" s="4"/>
      <c r="Y982" s="4"/>
      <c r="Z982" s="4"/>
    </row>
    <row r="983" ht="13.5" customHeight="1" spans="1:26" x14ac:dyDescent="0.25">
      <c r="A983" s="4"/>
      <c r="B983" s="4"/>
      <c r="C983" s="4"/>
      <c r="D983" s="4"/>
      <c r="E983" s="4"/>
      <c r="F983" s="4"/>
      <c r="G983" s="4"/>
      <c r="H983" s="4"/>
      <c r="I983" s="4"/>
      <c r="J983" s="4"/>
      <c r="K983" s="4"/>
      <c r="L983" s="4"/>
      <c r="M983" s="4"/>
      <c r="N983" s="4"/>
      <c r="O983" s="4"/>
      <c r="P983" s="4"/>
      <c r="Q983" s="4"/>
      <c r="R983" s="4"/>
      <c r="S983" s="4"/>
      <c r="T983" s="4"/>
      <c r="U983" s="4"/>
      <c r="V983" s="4"/>
      <c r="W983" s="242"/>
      <c r="X983" s="4"/>
      <c r="Y983" s="4"/>
      <c r="Z983" s="4"/>
    </row>
    <row r="984" ht="13.5" customHeight="1" spans="1:26" x14ac:dyDescent="0.25">
      <c r="A984" s="4"/>
      <c r="B984" s="4"/>
      <c r="C984" s="4"/>
      <c r="D984" s="4"/>
      <c r="E984" s="4"/>
      <c r="F984" s="4"/>
      <c r="G984" s="4"/>
      <c r="H984" s="4"/>
      <c r="I984" s="4"/>
      <c r="J984" s="4"/>
      <c r="K984" s="4"/>
      <c r="L984" s="4"/>
      <c r="M984" s="4"/>
      <c r="N984" s="4"/>
      <c r="O984" s="4"/>
      <c r="P984" s="4"/>
      <c r="Q984" s="4"/>
      <c r="R984" s="4"/>
      <c r="S984" s="4"/>
      <c r="T984" s="4"/>
      <c r="U984" s="4"/>
      <c r="V984" s="4"/>
      <c r="W984" s="242"/>
      <c r="X984" s="4"/>
      <c r="Y984" s="4"/>
      <c r="Z984" s="4"/>
    </row>
    <row r="985" ht="13.5" customHeight="1" spans="1:26" x14ac:dyDescent="0.25">
      <c r="A985" s="4"/>
      <c r="B985" s="4"/>
      <c r="C985" s="4"/>
      <c r="D985" s="4"/>
      <c r="E985" s="4"/>
      <c r="F985" s="4"/>
      <c r="G985" s="4"/>
      <c r="H985" s="4"/>
      <c r="I985" s="4"/>
      <c r="J985" s="4"/>
      <c r="K985" s="4"/>
      <c r="L985" s="4"/>
      <c r="M985" s="4"/>
      <c r="N985" s="4"/>
      <c r="O985" s="4"/>
      <c r="P985" s="4"/>
      <c r="Q985" s="4"/>
      <c r="R985" s="4"/>
      <c r="S985" s="4"/>
      <c r="T985" s="4"/>
      <c r="U985" s="4"/>
      <c r="V985" s="4"/>
      <c r="W985" s="242"/>
      <c r="X985" s="4"/>
      <c r="Y985" s="4"/>
      <c r="Z985" s="4"/>
    </row>
    <row r="986" ht="13.5" customHeight="1" spans="1:26" x14ac:dyDescent="0.25">
      <c r="A986" s="4"/>
      <c r="B986" s="4"/>
      <c r="C986" s="4"/>
      <c r="D986" s="4"/>
      <c r="E986" s="4"/>
      <c r="F986" s="4"/>
      <c r="G986" s="4"/>
      <c r="H986" s="4"/>
      <c r="I986" s="4"/>
      <c r="J986" s="4"/>
      <c r="K986" s="4"/>
      <c r="L986" s="4"/>
      <c r="M986" s="4"/>
      <c r="N986" s="4"/>
      <c r="O986" s="4"/>
      <c r="P986" s="4"/>
      <c r="Q986" s="4"/>
      <c r="R986" s="4"/>
      <c r="S986" s="4"/>
      <c r="T986" s="4"/>
      <c r="U986" s="4"/>
      <c r="V986" s="4"/>
      <c r="W986" s="242"/>
      <c r="X986" s="4"/>
      <c r="Y986" s="4"/>
      <c r="Z986" s="4"/>
    </row>
    <row r="987" ht="13.5" customHeight="1" spans="1:26" x14ac:dyDescent="0.25">
      <c r="A987" s="4"/>
      <c r="B987" s="4"/>
      <c r="C987" s="4"/>
      <c r="D987" s="4"/>
      <c r="E987" s="4"/>
      <c r="F987" s="4"/>
      <c r="G987" s="4"/>
      <c r="H987" s="4"/>
      <c r="I987" s="4"/>
      <c r="J987" s="4"/>
      <c r="K987" s="4"/>
      <c r="L987" s="4"/>
      <c r="M987" s="4"/>
      <c r="N987" s="4"/>
      <c r="O987" s="4"/>
      <c r="P987" s="4"/>
      <c r="Q987" s="4"/>
      <c r="R987" s="4"/>
      <c r="S987" s="4"/>
      <c r="T987" s="4"/>
      <c r="U987" s="4"/>
      <c r="V987" s="4"/>
      <c r="W987" s="242"/>
      <c r="X987" s="4"/>
      <c r="Y987" s="4"/>
      <c r="Z987" s="4"/>
    </row>
    <row r="988" ht="13.5" customHeight="1" spans="1:26" x14ac:dyDescent="0.25">
      <c r="A988" s="4"/>
      <c r="B988" s="4"/>
      <c r="C988" s="4"/>
      <c r="D988" s="4"/>
      <c r="E988" s="4"/>
      <c r="F988" s="4"/>
      <c r="G988" s="4"/>
      <c r="H988" s="4"/>
      <c r="I988" s="4"/>
      <c r="J988" s="4"/>
      <c r="K988" s="4"/>
      <c r="L988" s="4"/>
      <c r="M988" s="4"/>
      <c r="N988" s="4"/>
      <c r="O988" s="4"/>
      <c r="P988" s="4"/>
      <c r="Q988" s="4"/>
      <c r="R988" s="4"/>
      <c r="S988" s="4"/>
      <c r="T988" s="4"/>
      <c r="U988" s="4"/>
      <c r="V988" s="4"/>
      <c r="W988" s="242"/>
      <c r="X988" s="4"/>
      <c r="Y988" s="4"/>
      <c r="Z988" s="4"/>
    </row>
    <row r="989" ht="13.5" customHeight="1" spans="1:26" x14ac:dyDescent="0.25">
      <c r="A989" s="4"/>
      <c r="B989" s="4"/>
      <c r="C989" s="4"/>
      <c r="D989" s="4"/>
      <c r="E989" s="4"/>
      <c r="F989" s="4"/>
      <c r="G989" s="4"/>
      <c r="H989" s="4"/>
      <c r="I989" s="4"/>
      <c r="J989" s="4"/>
      <c r="K989" s="4"/>
      <c r="L989" s="4"/>
      <c r="M989" s="4"/>
      <c r="N989" s="4"/>
      <c r="O989" s="4"/>
      <c r="P989" s="4"/>
      <c r="Q989" s="4"/>
      <c r="R989" s="4"/>
      <c r="S989" s="4"/>
      <c r="T989" s="4"/>
      <c r="U989" s="4"/>
      <c r="V989" s="4"/>
      <c r="W989" s="242"/>
      <c r="X989" s="4"/>
      <c r="Y989" s="4"/>
      <c r="Z989" s="4"/>
    </row>
    <row r="990" ht="13.5" customHeight="1" spans="1:26" x14ac:dyDescent="0.25">
      <c r="A990" s="4"/>
      <c r="B990" s="4"/>
      <c r="C990" s="4"/>
      <c r="D990" s="4"/>
      <c r="E990" s="4"/>
      <c r="F990" s="4"/>
      <c r="G990" s="4"/>
      <c r="H990" s="4"/>
      <c r="I990" s="4"/>
      <c r="J990" s="4"/>
      <c r="K990" s="4"/>
      <c r="L990" s="4"/>
      <c r="M990" s="4"/>
      <c r="N990" s="4"/>
      <c r="O990" s="4"/>
      <c r="P990" s="4"/>
      <c r="Q990" s="4"/>
      <c r="R990" s="4"/>
      <c r="S990" s="4"/>
      <c r="T990" s="4"/>
      <c r="U990" s="4"/>
      <c r="V990" s="4"/>
      <c r="W990" s="242"/>
      <c r="X990" s="4"/>
      <c r="Y990" s="4"/>
      <c r="Z990" s="4"/>
    </row>
    <row r="991" ht="13.5" customHeight="1" spans="1:26" x14ac:dyDescent="0.25">
      <c r="A991" s="4"/>
      <c r="B991" s="4"/>
      <c r="C991" s="4"/>
      <c r="D991" s="4"/>
      <c r="E991" s="4"/>
      <c r="F991" s="4"/>
      <c r="G991" s="4"/>
      <c r="H991" s="4"/>
      <c r="I991" s="4"/>
      <c r="J991" s="4"/>
      <c r="K991" s="4"/>
      <c r="L991" s="4"/>
      <c r="M991" s="4"/>
      <c r="N991" s="4"/>
      <c r="O991" s="4"/>
      <c r="P991" s="4"/>
      <c r="Q991" s="4"/>
      <c r="R991" s="4"/>
      <c r="S991" s="4"/>
      <c r="T991" s="4"/>
      <c r="U991" s="4"/>
      <c r="V991" s="4"/>
      <c r="W991" s="242"/>
      <c r="X991" s="4"/>
      <c r="Y991" s="4"/>
      <c r="Z991" s="4"/>
    </row>
    <row r="992" ht="13.5" customHeight="1" spans="1:26" x14ac:dyDescent="0.25">
      <c r="A992" s="4"/>
      <c r="B992" s="4"/>
      <c r="C992" s="4"/>
      <c r="D992" s="4"/>
      <c r="E992" s="4"/>
      <c r="F992" s="4"/>
      <c r="G992" s="4"/>
      <c r="H992" s="4"/>
      <c r="I992" s="4"/>
      <c r="J992" s="4"/>
      <c r="K992" s="4"/>
      <c r="L992" s="4"/>
      <c r="M992" s="4"/>
      <c r="N992" s="4"/>
      <c r="O992" s="4"/>
      <c r="P992" s="4"/>
      <c r="Q992" s="4"/>
      <c r="R992" s="4"/>
      <c r="S992" s="4"/>
      <c r="T992" s="4"/>
      <c r="U992" s="4"/>
      <c r="V992" s="4"/>
      <c r="W992" s="242"/>
      <c r="X992" s="4"/>
      <c r="Y992" s="4"/>
      <c r="Z992" s="4"/>
    </row>
    <row r="993" ht="13.5" customHeight="1" spans="1:26" x14ac:dyDescent="0.25">
      <c r="A993" s="4"/>
      <c r="B993" s="4"/>
      <c r="C993" s="4"/>
      <c r="D993" s="4"/>
      <c r="E993" s="4"/>
      <c r="F993" s="4"/>
      <c r="G993" s="4"/>
      <c r="H993" s="4"/>
      <c r="I993" s="4"/>
      <c r="J993" s="4"/>
      <c r="K993" s="4"/>
      <c r="L993" s="4"/>
      <c r="M993" s="4"/>
      <c r="N993" s="4"/>
      <c r="O993" s="4"/>
      <c r="P993" s="4"/>
      <c r="Q993" s="4"/>
      <c r="R993" s="4"/>
      <c r="S993" s="4"/>
      <c r="T993" s="4"/>
      <c r="U993" s="4"/>
      <c r="V993" s="4"/>
      <c r="W993" s="242"/>
      <c r="X993" s="4"/>
      <c r="Y993" s="4"/>
      <c r="Z993" s="4"/>
    </row>
    <row r="994" ht="13.5" customHeight="1" spans="1:26" x14ac:dyDescent="0.25">
      <c r="A994" s="4"/>
      <c r="B994" s="4"/>
      <c r="C994" s="4"/>
      <c r="D994" s="4"/>
      <c r="E994" s="4"/>
      <c r="F994" s="4"/>
      <c r="G994" s="4"/>
      <c r="H994" s="4"/>
      <c r="I994" s="4"/>
      <c r="J994" s="4"/>
      <c r="K994" s="4"/>
      <c r="L994" s="4"/>
      <c r="M994" s="4"/>
      <c r="N994" s="4"/>
      <c r="O994" s="4"/>
      <c r="P994" s="4"/>
      <c r="Q994" s="4"/>
      <c r="R994" s="4"/>
      <c r="S994" s="4"/>
      <c r="T994" s="4"/>
      <c r="U994" s="4"/>
      <c r="V994" s="4"/>
      <c r="W994" s="242"/>
      <c r="X994" s="4"/>
      <c r="Y994" s="4"/>
      <c r="Z994" s="4"/>
    </row>
    <row r="995" ht="13.5" customHeight="1" spans="1:26" x14ac:dyDescent="0.25">
      <c r="A995" s="4"/>
      <c r="B995" s="4"/>
      <c r="C995" s="4"/>
      <c r="D995" s="4"/>
      <c r="E995" s="4"/>
      <c r="F995" s="4"/>
      <c r="G995" s="4"/>
      <c r="H995" s="4"/>
      <c r="I995" s="4"/>
      <c r="J995" s="4"/>
      <c r="K995" s="4"/>
      <c r="L995" s="4"/>
      <c r="M995" s="4"/>
      <c r="N995" s="4"/>
      <c r="O995" s="4"/>
      <c r="P995" s="4"/>
      <c r="Q995" s="4"/>
      <c r="R995" s="4"/>
      <c r="S995" s="4"/>
      <c r="T995" s="4"/>
      <c r="U995" s="4"/>
      <c r="V995" s="4"/>
      <c r="W995" s="242"/>
      <c r="X995" s="4"/>
      <c r="Y995" s="4"/>
      <c r="Z995" s="4"/>
    </row>
    <row r="996" ht="13.5" customHeight="1" spans="1:26" x14ac:dyDescent="0.25">
      <c r="A996" s="4"/>
      <c r="B996" s="4"/>
      <c r="C996" s="4"/>
      <c r="D996" s="4"/>
      <c r="E996" s="4"/>
      <c r="F996" s="4"/>
      <c r="G996" s="4"/>
      <c r="H996" s="4"/>
      <c r="I996" s="4"/>
      <c r="J996" s="4"/>
      <c r="K996" s="4"/>
      <c r="L996" s="4"/>
      <c r="M996" s="4"/>
      <c r="N996" s="4"/>
      <c r="O996" s="4"/>
      <c r="P996" s="4"/>
      <c r="Q996" s="4"/>
      <c r="R996" s="4"/>
      <c r="S996" s="4"/>
      <c r="T996" s="4"/>
      <c r="U996" s="4"/>
      <c r="V996" s="4"/>
      <c r="W996" s="242"/>
      <c r="X996" s="4"/>
      <c r="Y996" s="4"/>
      <c r="Z996" s="4"/>
    </row>
    <row r="997" ht="13.5" customHeight="1" spans="1:26" x14ac:dyDescent="0.25">
      <c r="A997" s="4"/>
      <c r="B997" s="4"/>
      <c r="C997" s="4"/>
      <c r="D997" s="4"/>
      <c r="E997" s="4"/>
      <c r="F997" s="4"/>
      <c r="G997" s="4"/>
      <c r="H997" s="4"/>
      <c r="I997" s="4"/>
      <c r="J997" s="4"/>
      <c r="K997" s="4"/>
      <c r="L997" s="4"/>
      <c r="M997" s="4"/>
      <c r="N997" s="4"/>
      <c r="O997" s="4"/>
      <c r="P997" s="4"/>
      <c r="Q997" s="4"/>
      <c r="R997" s="4"/>
      <c r="S997" s="4"/>
      <c r="T997" s="4"/>
      <c r="U997" s="4"/>
      <c r="V997" s="4"/>
      <c r="W997" s="242"/>
      <c r="X997" s="4"/>
      <c r="Y997" s="4"/>
      <c r="Z997" s="4"/>
    </row>
    <row r="998" ht="13.5" customHeight="1" spans="1:26" x14ac:dyDescent="0.25">
      <c r="A998" s="4"/>
      <c r="B998" s="4"/>
      <c r="C998" s="4"/>
      <c r="D998" s="4"/>
      <c r="E998" s="4"/>
      <c r="F998" s="4"/>
      <c r="G998" s="4"/>
      <c r="H998" s="4"/>
      <c r="I998" s="4"/>
      <c r="J998" s="4"/>
      <c r="K998" s="4"/>
      <c r="L998" s="4"/>
      <c r="M998" s="4"/>
      <c r="N998" s="4"/>
      <c r="O998" s="4"/>
      <c r="P998" s="4"/>
      <c r="Q998" s="4"/>
      <c r="R998" s="4"/>
      <c r="S998" s="4"/>
      <c r="T998" s="4"/>
      <c r="U998" s="4"/>
      <c r="V998" s="4"/>
      <c r="W998" s="242"/>
      <c r="X998" s="4"/>
      <c r="Y998" s="4"/>
      <c r="Z998" s="4"/>
    </row>
    <row r="999" ht="13.5" customHeight="1" spans="1:26" x14ac:dyDescent="0.25">
      <c r="A999" s="4"/>
      <c r="B999" s="4"/>
      <c r="C999" s="4"/>
      <c r="D999" s="4"/>
      <c r="E999" s="4"/>
      <c r="F999" s="4"/>
      <c r="G999" s="4"/>
      <c r="H999" s="4"/>
      <c r="I999" s="4"/>
      <c r="J999" s="4"/>
      <c r="K999" s="4"/>
      <c r="L999" s="4"/>
      <c r="M999" s="4"/>
      <c r="N999" s="4"/>
      <c r="O999" s="4"/>
      <c r="P999" s="4"/>
      <c r="Q999" s="4"/>
      <c r="R999" s="4"/>
      <c r="S999" s="4"/>
      <c r="T999" s="4"/>
      <c r="U999" s="4"/>
      <c r="V999" s="4"/>
      <c r="W999" s="242"/>
      <c r="X999" s="4"/>
      <c r="Y999" s="4"/>
      <c r="Z999" s="4"/>
    </row>
    <row r="1000" ht="13.5" customHeight="1" spans="1:26" x14ac:dyDescent="0.25">
      <c r="A1000" s="4"/>
      <c r="B1000" s="4"/>
      <c r="C1000" s="4"/>
      <c r="D1000" s="4"/>
      <c r="E1000" s="4"/>
      <c r="F1000" s="4"/>
      <c r="G1000" s="4"/>
      <c r="H1000" s="4"/>
      <c r="I1000" s="4"/>
      <c r="J1000" s="4"/>
      <c r="K1000" s="4"/>
      <c r="L1000" s="4"/>
      <c r="M1000" s="4"/>
      <c r="N1000" s="4"/>
      <c r="O1000" s="4"/>
      <c r="P1000" s="4"/>
      <c r="Q1000" s="4"/>
      <c r="R1000" s="4"/>
      <c r="S1000" s="4"/>
      <c r="T1000" s="4"/>
      <c r="U1000" s="4"/>
      <c r="V1000" s="4"/>
      <c r="W1000" s="242"/>
      <c r="X1000" s="4"/>
      <c r="Y1000" s="4"/>
      <c r="Z1000" s="4"/>
    </row>
  </sheetData>
  <mergeCells count="1">
    <mergeCell ref="T22:V22"/>
  </mergeCells>
  <pageMargins left="0.7" right="0.7" top="0.75" bottom="0.75" header="0" footer="0"/>
  <pageSetup orientation="portrait" horizontalDpi="4294967295" verticalDpi="4294967295" scale="43" fitToWidth="1" fitToHeight="1" firstPageNumber="1" useFirstPageNumber="1" copies="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C0DEF6"/>
  </sheetPr>
  <dimension ref="A1:Z1000"/>
  <sheetViews>
    <sheetView workbookViewId="0" showGridLines="0" zoomScale="100" zoomScaleNormal="100">
      <pane xSplit="1" ySplit="1" topLeftCell="B2" activePane="bottomRight" state="frozen"/>
      <selection pane="bottomRight" activeCell="B2" sqref="B2"/>
    </sheetView>
  </sheetViews>
  <sheetFormatPr defaultRowHeight="15" outlineLevelRow="0" outlineLevelCol="0" x14ac:dyDescent="0" defaultColWidth="14.5"/>
  <cols>
    <col min="1" max="2" width="1.6640625" customWidth="1"/>
    <col min="3" max="3" width="29.5" customWidth="1"/>
    <col min="4" max="4" width="22.33203125" customWidth="1"/>
    <col min="5" max="5" width="25.6640625" customWidth="1"/>
    <col min="6" max="6" width="32.5" customWidth="1"/>
    <col min="7" max="7" width="1.6640625" customWidth="1"/>
    <col min="8" max="26" width="9.1640625" customWidth="1"/>
  </cols>
  <sheetData>
    <row r="1" ht="13.5" customHeight="1" spans="1:26" x14ac:dyDescent="0.25">
      <c r="A1" s="4"/>
      <c r="B1" s="4"/>
      <c r="C1" s="12" t="str">
        <f ca="1">Company_Name&amp;" - "&amp;MID(CELL("filename",A1),FIND("]",CELL("filename",A1))+1,255)</f>
        <v>Lowe's Companies, Inc. - Integrity</v>
      </c>
      <c r="D1" s="4"/>
      <c r="E1" s="4"/>
      <c r="F1" s="4"/>
      <c r="G1" s="4"/>
      <c r="H1" s="4"/>
      <c r="I1" s="4"/>
      <c r="J1" s="4"/>
      <c r="K1" s="4"/>
      <c r="L1" s="4"/>
      <c r="M1" s="4"/>
      <c r="N1" s="4"/>
      <c r="O1" s="4"/>
      <c r="P1" s="4"/>
      <c r="Q1" s="4"/>
      <c r="R1" s="4"/>
      <c r="S1" s="4"/>
      <c r="T1" s="4"/>
      <c r="U1" s="4"/>
      <c r="V1" s="4"/>
      <c r="W1" s="4"/>
      <c r="X1" s="4"/>
      <c r="Y1" s="4"/>
      <c r="Z1" s="4"/>
    </row>
    <row r="2" ht="13.5" customHeight="1" spans="1:26" x14ac:dyDescent="0.25">
      <c r="A2" s="4"/>
      <c r="B2" s="4"/>
      <c r="C2" s="4"/>
      <c r="D2" s="4"/>
      <c r="E2" s="4"/>
      <c r="F2" s="4"/>
      <c r="G2" s="4"/>
      <c r="H2" s="4"/>
      <c r="I2" s="4"/>
      <c r="J2" s="4"/>
      <c r="K2" s="4"/>
      <c r="L2" s="4"/>
      <c r="M2" s="4"/>
      <c r="N2" s="4"/>
      <c r="O2" s="4"/>
      <c r="P2" s="4"/>
      <c r="Q2" s="4"/>
      <c r="R2" s="4"/>
      <c r="S2" s="4"/>
      <c r="T2" s="4"/>
      <c r="U2" s="4"/>
      <c r="V2" s="4"/>
      <c r="W2" s="4"/>
      <c r="X2" s="4"/>
      <c r="Y2" s="4"/>
      <c r="Z2" s="4"/>
    </row>
    <row r="3" ht="13.5" customHeight="1" spans="1:26" x14ac:dyDescent="0.25">
      <c r="A3" s="5"/>
      <c r="B3" s="4"/>
      <c r="C3" s="243" t="s">
        <v>39</v>
      </c>
      <c r="D3" s="244"/>
      <c r="E3" s="244"/>
      <c r="F3" s="243"/>
      <c r="G3" s="243"/>
      <c r="H3" s="4"/>
      <c r="I3" s="4"/>
      <c r="J3" s="4"/>
      <c r="K3" s="4"/>
      <c r="L3" s="4"/>
      <c r="M3" s="4"/>
      <c r="N3" s="4"/>
      <c r="O3" s="4"/>
      <c r="P3" s="4"/>
      <c r="Q3" s="4"/>
      <c r="R3" s="4"/>
      <c r="S3" s="4"/>
      <c r="T3" s="4"/>
      <c r="U3" s="4"/>
      <c r="V3" s="4"/>
      <c r="W3" s="4"/>
      <c r="X3" s="4"/>
      <c r="Y3" s="4"/>
      <c r="Z3" s="4"/>
    </row>
    <row r="4" ht="13.5" customHeight="1" spans="1:26" x14ac:dyDescent="0.25">
      <c r="A4" s="4"/>
      <c r="B4" s="4"/>
      <c r="C4" s="245" t="s">
        <v>169</v>
      </c>
      <c r="D4" s="246"/>
      <c r="E4" s="246"/>
      <c r="F4" s="246"/>
      <c r="G4" s="247"/>
      <c r="H4" s="4"/>
      <c r="I4" s="4"/>
      <c r="J4" s="4"/>
      <c r="K4" s="4"/>
      <c r="L4" s="4"/>
      <c r="M4" s="4"/>
      <c r="N4" s="4"/>
      <c r="O4" s="4"/>
      <c r="P4" s="4"/>
      <c r="Q4" s="4"/>
      <c r="R4" s="4"/>
      <c r="S4" s="4"/>
      <c r="T4" s="4"/>
      <c r="U4" s="4"/>
      <c r="V4" s="4"/>
      <c r="W4" s="4"/>
      <c r="X4" s="4"/>
      <c r="Y4" s="4"/>
      <c r="Z4" s="4"/>
    </row>
    <row r="5" ht="13.5" customHeight="1" spans="1:26" x14ac:dyDescent="0.25">
      <c r="A5" s="4"/>
      <c r="B5" s="4"/>
      <c r="C5" s="248"/>
      <c r="D5" s="249"/>
      <c r="E5" s="4"/>
      <c r="F5" s="4"/>
      <c r="G5" s="4"/>
      <c r="H5" s="4"/>
      <c r="I5" s="4"/>
      <c r="J5" s="4"/>
      <c r="K5" s="4"/>
      <c r="L5" s="4"/>
      <c r="M5" s="4"/>
      <c r="N5" s="4"/>
      <c r="O5" s="4"/>
      <c r="P5" s="4"/>
      <c r="Q5" s="4"/>
      <c r="R5" s="4"/>
      <c r="S5" s="4"/>
      <c r="T5" s="4"/>
      <c r="U5" s="4"/>
      <c r="V5" s="4"/>
      <c r="W5" s="4"/>
      <c r="X5" s="4"/>
      <c r="Y5" s="4"/>
      <c r="Z5" s="4"/>
    </row>
    <row r="6" ht="13.5" customHeight="1" spans="1:26" x14ac:dyDescent="0.25">
      <c r="A6" s="4"/>
      <c r="B6" s="4"/>
      <c r="C6" s="11" t="s">
        <v>170</v>
      </c>
      <c r="D6" s="249"/>
      <c r="E6" s="4"/>
      <c r="F6" s="4"/>
      <c r="G6" s="4"/>
      <c r="H6" s="4"/>
      <c r="I6" s="4"/>
      <c r="J6" s="4"/>
      <c r="K6" s="4"/>
      <c r="L6" s="4"/>
      <c r="M6" s="4"/>
      <c r="N6" s="4"/>
      <c r="O6" s="4"/>
      <c r="P6" s="4"/>
      <c r="Q6" s="4"/>
      <c r="R6" s="4"/>
      <c r="S6" s="4"/>
      <c r="T6" s="4"/>
      <c r="U6" s="4"/>
      <c r="V6" s="4"/>
      <c r="W6" s="4"/>
      <c r="X6" s="4"/>
      <c r="Y6" s="4"/>
      <c r="Z6" s="4"/>
    </row>
    <row r="7" ht="13.5" customHeight="1" spans="1:26" x14ac:dyDescent="0.25">
      <c r="A7" s="4"/>
      <c r="B7" s="4"/>
      <c r="C7" s="248" t="s">
        <v>171</v>
      </c>
      <c r="D7" s="249">
        <f ca="1">SUM(Model!F158:AG158)</f>
      </c>
      <c r="E7" s="4"/>
      <c r="F7" s="4"/>
      <c r="G7" s="4"/>
      <c r="H7" s="4"/>
      <c r="I7" s="4"/>
      <c r="J7" s="4"/>
      <c r="K7" s="4"/>
      <c r="L7" s="4"/>
      <c r="M7" s="4"/>
      <c r="N7" s="4"/>
      <c r="O7" s="4"/>
      <c r="P7" s="4"/>
      <c r="Q7" s="4"/>
      <c r="R7" s="4"/>
      <c r="S7" s="4"/>
      <c r="T7" s="4"/>
      <c r="U7" s="4"/>
      <c r="V7" s="4"/>
      <c r="W7" s="4"/>
      <c r="X7" s="4"/>
      <c r="Y7" s="4"/>
      <c r="Z7" s="4"/>
    </row>
    <row r="8" ht="13.5" customHeight="1" spans="1:26" x14ac:dyDescent="0.25">
      <c r="A8" s="4"/>
      <c r="B8" s="4"/>
      <c r="C8" s="248" t="s">
        <v>172</v>
      </c>
      <c r="D8" s="249" t="str">
        <f ca="1">IF(Case_Scenario="Base","OK!","Check!")</f>
        <v>OK!</v>
      </c>
      <c r="E8" s="4"/>
      <c r="F8" s="4"/>
      <c r="G8" s="4"/>
      <c r="H8" s="4"/>
      <c r="I8" s="4"/>
      <c r="J8" s="4"/>
      <c r="K8" s="4"/>
      <c r="L8" s="4"/>
      <c r="M8" s="4"/>
      <c r="N8" s="4"/>
      <c r="O8" s="4"/>
      <c r="P8" s="4"/>
      <c r="Q8" s="4"/>
      <c r="R8" s="4"/>
      <c r="S8" s="4"/>
      <c r="T8" s="4"/>
      <c r="U8" s="4"/>
      <c r="V8" s="4"/>
      <c r="W8" s="4"/>
      <c r="X8" s="4"/>
      <c r="Y8" s="4"/>
      <c r="Z8" s="4"/>
    </row>
    <row r="9" ht="13.5" customHeight="1" spans="1:26" x14ac:dyDescent="0.25">
      <c r="A9" s="4"/>
      <c r="B9" s="4"/>
      <c r="C9" s="248" t="s">
        <v>173</v>
      </c>
      <c r="D9" s="249" t="str">
        <f ca="1">IF(Model!C8="On","OK!","CHECK - OFF")</f>
        <v>OK!</v>
      </c>
      <c r="E9" s="4"/>
      <c r="F9" s="4"/>
      <c r="G9" s="4"/>
      <c r="H9" s="4"/>
      <c r="I9" s="4"/>
      <c r="J9" s="4"/>
      <c r="K9" s="4"/>
      <c r="L9" s="4"/>
      <c r="M9" s="4"/>
      <c r="N9" s="4"/>
      <c r="O9" s="4"/>
      <c r="P9" s="4"/>
      <c r="Q9" s="4"/>
      <c r="R9" s="4"/>
      <c r="S9" s="4"/>
      <c r="T9" s="4"/>
      <c r="U9" s="4"/>
      <c r="V9" s="4"/>
      <c r="W9" s="4"/>
      <c r="X9" s="4"/>
      <c r="Y9" s="4"/>
      <c r="Z9" s="4"/>
    </row>
    <row r="10" ht="13.5" customHeight="1" spans="1:26" x14ac:dyDescent="0.25">
      <c r="A10" s="4"/>
      <c r="B10" s="4"/>
      <c r="C10" s="248" t="s">
        <v>141</v>
      </c>
      <c r="D10" s="249"/>
      <c r="E10" s="4"/>
      <c r="F10" s="4"/>
      <c r="G10" s="4"/>
      <c r="H10" s="4"/>
      <c r="I10" s="4"/>
      <c r="J10" s="4"/>
      <c r="K10" s="4"/>
      <c r="L10" s="4"/>
      <c r="M10" s="4"/>
      <c r="N10" s="4"/>
      <c r="O10" s="4"/>
      <c r="P10" s="4"/>
      <c r="Q10" s="4"/>
      <c r="R10" s="4"/>
      <c r="S10" s="4"/>
      <c r="T10" s="4"/>
      <c r="U10" s="4"/>
      <c r="V10" s="4"/>
      <c r="W10" s="4"/>
      <c r="X10" s="4"/>
      <c r="Y10" s="4"/>
      <c r="Z10" s="4"/>
    </row>
    <row r="11" ht="13.5" customHeight="1" spans="1:26" x14ac:dyDescent="0.25">
      <c r="A11" s="4"/>
      <c r="B11" s="4"/>
      <c r="C11" s="250"/>
      <c r="D11" s="249"/>
      <c r="E11" s="4"/>
      <c r="F11" s="4"/>
      <c r="G11" s="4"/>
      <c r="H11" s="4"/>
      <c r="I11" s="4"/>
      <c r="J11" s="4"/>
      <c r="K11" s="4"/>
      <c r="L11" s="4"/>
      <c r="M11" s="4"/>
      <c r="N11" s="4"/>
      <c r="O11" s="4"/>
      <c r="P11" s="4"/>
      <c r="Q11" s="4"/>
      <c r="R11" s="4"/>
      <c r="S11" s="4"/>
      <c r="T11" s="4"/>
      <c r="U11" s="4"/>
      <c r="V11" s="4"/>
      <c r="W11" s="4"/>
      <c r="X11" s="4"/>
      <c r="Y11" s="4"/>
      <c r="Z11" s="4"/>
    </row>
    <row r="12" ht="13.5" customHeight="1" spans="1:26" x14ac:dyDescent="0.25">
      <c r="A12" s="4"/>
      <c r="B12" s="4"/>
      <c r="C12" s="11" t="s">
        <v>174</v>
      </c>
      <c r="D12" s="249"/>
      <c r="E12" s="4"/>
      <c r="F12" s="4"/>
      <c r="G12" s="4"/>
      <c r="H12" s="4"/>
      <c r="I12" s="4"/>
      <c r="J12" s="4"/>
      <c r="K12" s="4"/>
      <c r="L12" s="4"/>
      <c r="M12" s="4"/>
      <c r="N12" s="4"/>
      <c r="O12" s="4"/>
      <c r="P12" s="4"/>
      <c r="Q12" s="4"/>
      <c r="R12" s="4"/>
      <c r="S12" s="4"/>
      <c r="T12" s="4"/>
      <c r="U12" s="4"/>
      <c r="V12" s="4"/>
      <c r="W12" s="4"/>
      <c r="X12" s="4"/>
      <c r="Y12" s="4"/>
      <c r="Z12" s="4"/>
    </row>
    <row r="13" ht="13.5" customHeight="1" spans="1:26" x14ac:dyDescent="0.25">
      <c r="A13" s="4"/>
      <c r="B13" s="4"/>
      <c r="C13" s="248" t="s">
        <v>175</v>
      </c>
      <c r="D13" s="249">
        <f ca="1">SUM(Valuation!F92,Valuation!K92,Valuation!P92,Valuation!F151:F155,Valuation!L151:L155,Valuation!F227:F231,Valuation!L227:L231)</f>
        <v>0.00024017932196848668</v>
      </c>
      <c r="E13" s="4"/>
      <c r="F13" s="4"/>
      <c r="G13" s="4"/>
      <c r="H13" s="4"/>
      <c r="I13" s="4"/>
      <c r="J13" s="4"/>
      <c r="K13" s="4"/>
      <c r="L13" s="4"/>
      <c r="M13" s="4"/>
      <c r="N13" s="4"/>
      <c r="O13" s="4"/>
      <c r="P13" s="4"/>
      <c r="Q13" s="4"/>
      <c r="R13" s="4"/>
      <c r="S13" s="4"/>
      <c r="T13" s="4"/>
      <c r="U13" s="4"/>
      <c r="V13" s="4"/>
      <c r="W13" s="4"/>
      <c r="X13" s="4"/>
      <c r="Y13" s="4"/>
      <c r="Z13" s="4"/>
    </row>
    <row r="14" ht="13.5" customHeight="1" spans="1:26" x14ac:dyDescent="0.25">
      <c r="A14" s="4"/>
      <c r="B14" s="4"/>
      <c r="C14" s="248" t="s">
        <v>176</v>
      </c>
      <c r="D14" s="249">
        <f ca="1">SUM(WACC!Q20,WACC!N33:N37)</f>
        <v>-0.0025865399713846104</v>
      </c>
      <c r="E14" s="4"/>
      <c r="F14" s="4"/>
      <c r="G14" s="4"/>
      <c r="H14" s="4"/>
      <c r="I14" s="4"/>
      <c r="J14" s="4"/>
      <c r="K14" s="4"/>
      <c r="L14" s="4"/>
      <c r="M14" s="4"/>
      <c r="N14" s="4"/>
      <c r="O14" s="4"/>
      <c r="P14" s="4"/>
      <c r="Q14" s="4"/>
      <c r="R14" s="4"/>
      <c r="S14" s="4"/>
      <c r="T14" s="4"/>
      <c r="U14" s="4"/>
      <c r="V14" s="4"/>
      <c r="W14" s="4"/>
      <c r="X14" s="4"/>
      <c r="Y14" s="4"/>
      <c r="Z14" s="4"/>
    </row>
    <row r="15" ht="13.5" customHeight="1" spans="1:26" x14ac:dyDescent="0.25">
      <c r="A15" s="4"/>
      <c r="B15" s="4"/>
      <c r="C15" s="248"/>
      <c r="D15" s="4"/>
      <c r="E15" s="4"/>
      <c r="F15" s="4"/>
      <c r="G15" s="4"/>
      <c r="H15" s="4"/>
      <c r="I15" s="4"/>
      <c r="J15" s="4"/>
      <c r="K15" s="4"/>
      <c r="L15" s="4"/>
      <c r="M15" s="4"/>
      <c r="N15" s="4"/>
      <c r="O15" s="4"/>
      <c r="P15" s="4"/>
      <c r="Q15" s="4"/>
      <c r="R15" s="4"/>
      <c r="S15" s="4"/>
      <c r="T15" s="4"/>
      <c r="U15" s="4"/>
      <c r="V15" s="4"/>
      <c r="W15" s="4"/>
      <c r="X15" s="4"/>
      <c r="Y15" s="4"/>
      <c r="Z15" s="4"/>
    </row>
    <row r="16" ht="13.5" customHeight="1" spans="1:26" x14ac:dyDescent="0.25">
      <c r="A16" s="4"/>
      <c r="B16" s="4"/>
      <c r="C16" s="251" t="s">
        <v>177</v>
      </c>
      <c r="D16" s="4"/>
      <c r="E16" s="4"/>
      <c r="F16" s="4"/>
      <c r="G16" s="4"/>
      <c r="H16" s="4"/>
      <c r="I16" s="4"/>
      <c r="J16" s="4"/>
      <c r="K16" s="4"/>
      <c r="L16" s="4"/>
      <c r="M16" s="4"/>
      <c r="N16" s="4"/>
      <c r="O16" s="4"/>
      <c r="P16" s="4"/>
      <c r="Q16" s="4"/>
      <c r="R16" s="4"/>
      <c r="S16" s="4"/>
      <c r="T16" s="4"/>
      <c r="U16" s="4"/>
      <c r="V16" s="4"/>
      <c r="W16" s="4"/>
      <c r="X16" s="4"/>
      <c r="Y16" s="4"/>
      <c r="Z16" s="4"/>
    </row>
    <row r="17" ht="13.5" customHeight="1" spans="1:26" x14ac:dyDescent="0.25">
      <c r="A17" s="4"/>
      <c r="B17" s="4"/>
      <c r="C17" s="248" t="s">
        <v>178</v>
      </c>
      <c r="D17" s="242" t="str">
        <f ca="1">Cover!$Q$2</f>
        <v>Working</v>
      </c>
      <c r="E17" s="4"/>
      <c r="F17" s="4"/>
      <c r="G17" s="4"/>
      <c r="H17" s="4"/>
      <c r="I17" s="4"/>
      <c r="J17" s="4"/>
      <c r="K17" s="4"/>
      <c r="L17" s="4"/>
      <c r="M17" s="4"/>
      <c r="N17" s="4"/>
      <c r="O17" s="4"/>
      <c r="P17" s="4"/>
      <c r="Q17" s="4"/>
      <c r="R17" s="4"/>
      <c r="S17" s="4"/>
      <c r="T17" s="4"/>
      <c r="U17" s="4"/>
      <c r="V17" s="4"/>
      <c r="W17" s="4"/>
      <c r="X17" s="4"/>
      <c r="Y17" s="4"/>
      <c r="Z17" s="4"/>
    </row>
    <row r="18" ht="13.5" customHeight="1" spans="1:26" x14ac:dyDescent="0.25">
      <c r="A18" s="4"/>
      <c r="B18" s="4"/>
      <c r="C18" s="248" t="s">
        <v>179</v>
      </c>
      <c r="D18" s="242" t="str">
        <f ca="1">'Revenue Build'!$C$22</f>
        <v>Working</v>
      </c>
      <c r="E18" s="4"/>
      <c r="F18" s="4"/>
      <c r="G18" s="4"/>
      <c r="H18" s="4"/>
      <c r="I18" s="4"/>
      <c r="J18" s="4"/>
      <c r="K18" s="4"/>
      <c r="L18" s="4"/>
      <c r="M18" s="4"/>
      <c r="N18" s="4"/>
      <c r="O18" s="4"/>
      <c r="P18" s="4"/>
      <c r="Q18" s="4"/>
      <c r="R18" s="4"/>
      <c r="S18" s="4"/>
      <c r="T18" s="4"/>
      <c r="U18" s="4"/>
      <c r="V18" s="4"/>
      <c r="W18" s="4"/>
      <c r="X18" s="4"/>
      <c r="Y18" s="4"/>
      <c r="Z18" s="4"/>
    </row>
    <row r="19" ht="13.5" customHeight="1" spans="1:26" x14ac:dyDescent="0.25">
      <c r="A19" s="4"/>
      <c r="B19" s="4"/>
      <c r="C19" s="248" t="s">
        <v>170</v>
      </c>
      <c r="D19" s="242" t="str">
        <f ca="1">Model!$C$5</f>
        <v>Working</v>
      </c>
      <c r="E19" s="4"/>
      <c r="F19" s="4"/>
      <c r="G19" s="4"/>
      <c r="H19" s="4"/>
      <c r="I19" s="4"/>
      <c r="J19" s="4"/>
      <c r="K19" s="4"/>
      <c r="L19" s="4"/>
      <c r="M19" s="4"/>
      <c r="N19" s="4"/>
      <c r="O19" s="4"/>
      <c r="P19" s="4"/>
      <c r="Q19" s="4"/>
      <c r="R19" s="4"/>
      <c r="S19" s="4"/>
      <c r="T19" s="4"/>
      <c r="U19" s="4"/>
      <c r="V19" s="4"/>
      <c r="W19" s="4"/>
      <c r="X19" s="4"/>
      <c r="Y19" s="4"/>
      <c r="Z19" s="4"/>
    </row>
    <row r="20" ht="13.5" customHeight="1" spans="1:26" x14ac:dyDescent="0.25">
      <c r="A20" s="4"/>
      <c r="B20" s="4"/>
      <c r="C20" s="248" t="s">
        <v>47</v>
      </c>
      <c r="D20" s="242" t="str">
        <f ca="1">WACC!R5</f>
        <v>Working</v>
      </c>
      <c r="E20" s="4"/>
      <c r="F20" s="4"/>
      <c r="G20" s="4"/>
      <c r="H20" s="4"/>
      <c r="I20" s="4"/>
      <c r="J20" s="4"/>
      <c r="K20" s="4"/>
      <c r="L20" s="4"/>
      <c r="M20" s="4"/>
      <c r="N20" s="4"/>
      <c r="O20" s="4"/>
      <c r="P20" s="4"/>
      <c r="Q20" s="4"/>
      <c r="R20" s="4"/>
      <c r="S20" s="4"/>
      <c r="T20" s="4"/>
      <c r="U20" s="4"/>
      <c r="V20" s="4"/>
      <c r="W20" s="4"/>
      <c r="X20" s="4"/>
      <c r="Y20" s="4"/>
      <c r="Z20" s="4"/>
    </row>
    <row r="21" ht="13.5" customHeight="1" spans="1:26" x14ac:dyDescent="0.25">
      <c r="A21" s="4"/>
      <c r="B21" s="4"/>
      <c r="C21" s="248" t="s">
        <v>180</v>
      </c>
      <c r="D21" s="242" t="str">
        <f ca="1">Valuation!$R$2</f>
        <v>Working</v>
      </c>
      <c r="E21" s="4"/>
      <c r="F21" s="4"/>
      <c r="G21" s="4"/>
      <c r="H21" s="4"/>
      <c r="I21" s="4"/>
      <c r="J21" s="4"/>
      <c r="K21" s="4"/>
      <c r="L21" s="4"/>
      <c r="M21" s="4"/>
      <c r="N21" s="4"/>
      <c r="O21" s="4"/>
      <c r="P21" s="4"/>
      <c r="Q21" s="4"/>
      <c r="R21" s="4"/>
      <c r="S21" s="4"/>
      <c r="T21" s="4"/>
      <c r="U21" s="4"/>
      <c r="V21" s="4"/>
      <c r="W21" s="4"/>
      <c r="X21" s="4"/>
      <c r="Y21" s="4"/>
      <c r="Z21" s="4"/>
    </row>
    <row r="22" ht="13.5" customHeight="1" spans="1:26" x14ac:dyDescent="0.25">
      <c r="A22" s="4"/>
      <c r="B22" s="4"/>
      <c r="C22" s="4"/>
      <c r="D22" s="4"/>
      <c r="E22" s="4"/>
      <c r="F22" s="4"/>
      <c r="G22" s="4"/>
      <c r="H22" s="4"/>
      <c r="I22" s="4"/>
      <c r="J22" s="4"/>
      <c r="K22" s="4"/>
      <c r="L22" s="4"/>
      <c r="M22" s="4"/>
      <c r="N22" s="4"/>
      <c r="O22" s="4"/>
      <c r="P22" s="4"/>
      <c r="Q22" s="4"/>
      <c r="R22" s="4"/>
      <c r="S22" s="4"/>
      <c r="T22" s="4"/>
      <c r="U22" s="4"/>
      <c r="V22" s="4"/>
      <c r="W22" s="4"/>
      <c r="X22" s="4"/>
      <c r="Y22" s="4"/>
      <c r="Z22" s="4"/>
    </row>
    <row r="23" ht="13.5" customHeight="1" spans="1:26" x14ac:dyDescent="0.25">
      <c r="A23" s="4"/>
      <c r="B23" s="4"/>
      <c r="C23" s="243" t="s">
        <v>181</v>
      </c>
      <c r="D23" s="244"/>
      <c r="E23" s="244"/>
      <c r="F23" s="243"/>
      <c r="G23" s="243"/>
      <c r="H23" s="4"/>
      <c r="I23" s="4"/>
      <c r="J23" s="4"/>
      <c r="K23" s="4"/>
      <c r="L23" s="4"/>
      <c r="M23" s="4"/>
      <c r="N23" s="4"/>
      <c r="O23" s="4"/>
      <c r="P23" s="4"/>
      <c r="Q23" s="4"/>
      <c r="R23" s="4"/>
      <c r="S23" s="4"/>
      <c r="T23" s="4"/>
      <c r="U23" s="4"/>
      <c r="V23" s="4"/>
      <c r="W23" s="4"/>
      <c r="X23" s="4"/>
      <c r="Y23" s="4"/>
      <c r="Z23" s="4"/>
    </row>
    <row r="24" ht="13.5" customHeight="1" spans="1:26" x14ac:dyDescent="0.25">
      <c r="A24" s="4"/>
      <c r="B24" s="4"/>
      <c r="C24" s="245" t="s">
        <v>182</v>
      </c>
      <c r="D24" s="246" t="s">
        <v>183</v>
      </c>
      <c r="E24" s="246" t="s">
        <v>184</v>
      </c>
      <c r="F24" s="252" t="s">
        <v>185</v>
      </c>
      <c r="G24" s="247"/>
      <c r="H24" s="4"/>
      <c r="I24" s="4"/>
      <c r="J24" s="4"/>
      <c r="K24" s="4"/>
      <c r="L24" s="4"/>
      <c r="M24" s="4"/>
      <c r="N24" s="4"/>
      <c r="O24" s="4"/>
      <c r="P24" s="4"/>
      <c r="Q24" s="4"/>
      <c r="R24" s="4"/>
      <c r="S24" s="4"/>
      <c r="T24" s="4"/>
      <c r="U24" s="4"/>
      <c r="V24" s="4"/>
      <c r="W24" s="4"/>
      <c r="X24" s="4"/>
      <c r="Y24" s="4"/>
      <c r="Z24" s="4"/>
    </row>
    <row r="25" ht="13.5" customHeight="1" spans="1:26" x14ac:dyDescent="0.25">
      <c r="A25" s="4"/>
      <c r="B25" s="4"/>
      <c r="C25" s="253">
        <v>44476</v>
      </c>
      <c r="D25" s="254" t="s">
        <v>186</v>
      </c>
      <c r="E25" s="253" t="s">
        <v>187</v>
      </c>
      <c r="F25" s="255" t="s">
        <v>188</v>
      </c>
      <c r="G25" s="4"/>
      <c r="H25" s="4"/>
      <c r="I25" s="4"/>
      <c r="J25" s="4"/>
      <c r="K25" s="4"/>
      <c r="L25" s="4"/>
      <c r="M25" s="4"/>
      <c r="N25" s="4"/>
      <c r="O25" s="4"/>
      <c r="P25" s="4"/>
      <c r="Q25" s="4"/>
      <c r="R25" s="4"/>
      <c r="S25" s="4"/>
      <c r="T25" s="4"/>
      <c r="U25" s="4"/>
      <c r="V25" s="4"/>
      <c r="W25" s="4"/>
      <c r="X25" s="4"/>
      <c r="Y25" s="4"/>
      <c r="Z25" s="4"/>
    </row>
    <row r="26" ht="13.5" customHeight="1" spans="1:26" x14ac:dyDescent="0.25">
      <c r="A26" s="4"/>
      <c r="B26" s="4"/>
      <c r="C26" s="256">
        <v>44476</v>
      </c>
      <c r="D26" s="242" t="s">
        <v>189</v>
      </c>
      <c r="E26" s="253" t="s">
        <v>190</v>
      </c>
      <c r="F26" s="255" t="s">
        <v>191</v>
      </c>
      <c r="G26" s="4"/>
      <c r="H26" s="4"/>
      <c r="I26" s="4"/>
      <c r="J26" s="4"/>
      <c r="K26" s="4"/>
      <c r="L26" s="4"/>
      <c r="M26" s="4"/>
      <c r="N26" s="4"/>
      <c r="O26" s="4"/>
      <c r="P26" s="4"/>
      <c r="Q26" s="4"/>
      <c r="R26" s="4"/>
      <c r="S26" s="4"/>
      <c r="T26" s="4"/>
      <c r="U26" s="4"/>
      <c r="V26" s="4"/>
      <c r="W26" s="4"/>
      <c r="X26" s="4"/>
      <c r="Y26" s="4"/>
      <c r="Z26" s="4"/>
    </row>
    <row r="27" ht="13.5" customHeight="1" spans="1:26" x14ac:dyDescent="0.25">
      <c r="A27" s="4"/>
      <c r="B27" s="4"/>
      <c r="C27" s="253">
        <v>44480</v>
      </c>
      <c r="D27" s="254" t="s">
        <v>192</v>
      </c>
      <c r="E27" s="253" t="s">
        <v>187</v>
      </c>
      <c r="F27" s="255" t="s">
        <v>193</v>
      </c>
      <c r="G27" s="4"/>
      <c r="H27" s="4"/>
      <c r="I27" s="4"/>
      <c r="J27" s="4"/>
      <c r="K27" s="4"/>
      <c r="L27" s="4"/>
      <c r="M27" s="4"/>
      <c r="N27" s="4"/>
      <c r="O27" s="4"/>
      <c r="P27" s="4"/>
      <c r="Q27" s="4"/>
      <c r="R27" s="4"/>
      <c r="S27" s="4"/>
      <c r="T27" s="4"/>
      <c r="U27" s="4"/>
      <c r="V27" s="4"/>
      <c r="W27" s="4"/>
      <c r="X27" s="4"/>
      <c r="Y27" s="4"/>
      <c r="Z27" s="4"/>
    </row>
    <row r="28" ht="13.5" customHeight="1" spans="1:26" x14ac:dyDescent="0.25">
      <c r="A28" s="4"/>
      <c r="B28" s="4"/>
      <c r="C28" s="253">
        <v>44488</v>
      </c>
      <c r="D28" s="254" t="s">
        <v>194</v>
      </c>
      <c r="E28" s="253" t="s">
        <v>187</v>
      </c>
      <c r="F28" s="255" t="s">
        <v>195</v>
      </c>
      <c r="G28" s="4"/>
      <c r="H28" s="4"/>
      <c r="I28" s="4"/>
      <c r="J28" s="4"/>
      <c r="K28" s="4"/>
      <c r="L28" s="4"/>
      <c r="M28" s="4"/>
      <c r="N28" s="4"/>
      <c r="O28" s="4"/>
      <c r="P28" s="4"/>
      <c r="Q28" s="4"/>
      <c r="R28" s="4"/>
      <c r="S28" s="4"/>
      <c r="T28" s="4"/>
      <c r="U28" s="4"/>
      <c r="V28" s="4"/>
      <c r="W28" s="4"/>
      <c r="X28" s="4"/>
      <c r="Y28" s="4"/>
      <c r="Z28" s="4"/>
    </row>
    <row r="29" ht="13.5" customHeight="1" spans="1:26" x14ac:dyDescent="0.25">
      <c r="A29" s="4"/>
      <c r="B29" s="4"/>
      <c r="C29" s="256">
        <v>44489</v>
      </c>
      <c r="D29" s="242" t="s">
        <v>196</v>
      </c>
      <c r="E29" s="250" t="s">
        <v>197</v>
      </c>
      <c r="F29" s="255" t="s">
        <v>198</v>
      </c>
      <c r="G29" s="4"/>
      <c r="H29" s="4"/>
      <c r="I29" s="4"/>
      <c r="J29" s="4"/>
      <c r="K29" s="4"/>
      <c r="L29" s="4"/>
      <c r="M29" s="4"/>
      <c r="N29" s="4"/>
      <c r="O29" s="4"/>
      <c r="P29" s="4"/>
      <c r="Q29" s="4"/>
      <c r="R29" s="4"/>
      <c r="S29" s="4"/>
      <c r="T29" s="4"/>
      <c r="U29" s="4"/>
      <c r="V29" s="4"/>
      <c r="W29" s="4"/>
      <c r="X29" s="4"/>
      <c r="Y29" s="4"/>
      <c r="Z29" s="4"/>
    </row>
    <row r="30" ht="13.5" customHeight="1" spans="1:26" x14ac:dyDescent="0.25">
      <c r="A30" s="4"/>
      <c r="B30" s="4"/>
      <c r="C30" s="256">
        <v>44491</v>
      </c>
      <c r="D30" s="242" t="s">
        <v>199</v>
      </c>
      <c r="E30" s="250" t="s">
        <v>197</v>
      </c>
      <c r="F30" s="255" t="s">
        <v>200</v>
      </c>
      <c r="G30" s="4"/>
      <c r="H30" s="4"/>
      <c r="I30" s="4"/>
      <c r="J30" s="4"/>
      <c r="K30" s="4"/>
      <c r="L30" s="4"/>
      <c r="M30" s="4"/>
      <c r="N30" s="4"/>
      <c r="O30" s="4"/>
      <c r="P30" s="4"/>
      <c r="Q30" s="4"/>
      <c r="R30" s="4"/>
      <c r="S30" s="4"/>
      <c r="T30" s="4"/>
      <c r="U30" s="4"/>
      <c r="V30" s="4"/>
      <c r="W30" s="4"/>
      <c r="X30" s="4"/>
      <c r="Y30" s="4"/>
      <c r="Z30" s="4"/>
    </row>
    <row r="31" ht="13.5" customHeight="1" spans="1:26" x14ac:dyDescent="0.25">
      <c r="A31" s="4"/>
      <c r="B31" s="4"/>
      <c r="C31" s="257">
        <v>44496</v>
      </c>
      <c r="D31" s="242" t="s">
        <v>201</v>
      </c>
      <c r="E31" s="258" t="s">
        <v>190</v>
      </c>
      <c r="F31" s="259" t="s">
        <v>202</v>
      </c>
      <c r="G31" s="4"/>
      <c r="H31" s="4"/>
      <c r="I31" s="4"/>
      <c r="J31" s="4"/>
      <c r="K31" s="4"/>
      <c r="L31" s="4"/>
      <c r="M31" s="4"/>
      <c r="N31" s="4"/>
      <c r="O31" s="4"/>
      <c r="P31" s="4"/>
      <c r="Q31" s="4"/>
      <c r="R31" s="4"/>
      <c r="S31" s="4"/>
      <c r="T31" s="4"/>
      <c r="U31" s="4"/>
      <c r="V31" s="4"/>
      <c r="W31" s="4"/>
      <c r="X31" s="4"/>
      <c r="Y31" s="4"/>
      <c r="Z31" s="4"/>
    </row>
    <row r="32" ht="13.5" customHeight="1" spans="1:26" x14ac:dyDescent="0.25">
      <c r="A32" s="4"/>
      <c r="B32" s="4"/>
      <c r="C32" s="257">
        <v>44503</v>
      </c>
      <c r="D32" s="242" t="s">
        <v>203</v>
      </c>
      <c r="E32" s="258" t="s">
        <v>197</v>
      </c>
      <c r="F32" s="259" t="s">
        <v>204</v>
      </c>
      <c r="G32" s="4"/>
      <c r="H32" s="4"/>
      <c r="I32" s="4"/>
      <c r="J32" s="4"/>
      <c r="K32" s="4"/>
      <c r="L32" s="4"/>
      <c r="M32" s="4"/>
      <c r="N32" s="4"/>
      <c r="O32" s="4"/>
      <c r="P32" s="4"/>
      <c r="Q32" s="4"/>
      <c r="R32" s="4"/>
      <c r="S32" s="4"/>
      <c r="T32" s="4"/>
      <c r="U32" s="4"/>
      <c r="V32" s="4"/>
      <c r="W32" s="4"/>
      <c r="X32" s="4"/>
      <c r="Y32" s="4"/>
      <c r="Z32" s="4"/>
    </row>
    <row r="33" ht="13.5" customHeight="1" spans="1:26" x14ac:dyDescent="0.25">
      <c r="A33" s="4"/>
      <c r="B33" s="4"/>
      <c r="C33" s="257">
        <v>44512</v>
      </c>
      <c r="D33" s="242" t="s">
        <v>205</v>
      </c>
      <c r="E33" s="4" t="s">
        <v>197</v>
      </c>
      <c r="F33" s="260" t="s">
        <v>206</v>
      </c>
      <c r="G33" s="4"/>
      <c r="H33" s="4"/>
      <c r="I33" s="4"/>
      <c r="J33" s="4"/>
      <c r="K33" s="4"/>
      <c r="L33" s="4"/>
      <c r="M33" s="4"/>
      <c r="N33" s="4"/>
      <c r="O33" s="4"/>
      <c r="P33" s="4"/>
      <c r="Q33" s="4"/>
      <c r="R33" s="4"/>
      <c r="S33" s="4"/>
      <c r="T33" s="4"/>
      <c r="U33" s="4"/>
      <c r="V33" s="4"/>
      <c r="W33" s="4"/>
      <c r="X33" s="4"/>
      <c r="Y33" s="4"/>
      <c r="Z33" s="4"/>
    </row>
    <row r="34" ht="13.5" customHeight="1" spans="1:26" x14ac:dyDescent="0.25">
      <c r="A34" s="4"/>
      <c r="B34" s="4"/>
      <c r="C34" s="257">
        <v>44522</v>
      </c>
      <c r="D34" s="242" t="s">
        <v>207</v>
      </c>
      <c r="E34" s="4" t="s">
        <v>197</v>
      </c>
      <c r="F34" s="260" t="s">
        <v>208</v>
      </c>
      <c r="G34" s="4"/>
      <c r="H34" s="4"/>
      <c r="I34" s="4"/>
      <c r="J34" s="4"/>
      <c r="K34" s="4"/>
      <c r="L34" s="4"/>
      <c r="M34" s="4"/>
      <c r="N34" s="4"/>
      <c r="O34" s="4"/>
      <c r="P34" s="4"/>
      <c r="Q34" s="4"/>
      <c r="R34" s="4"/>
      <c r="S34" s="4"/>
      <c r="T34" s="4"/>
      <c r="U34" s="4"/>
      <c r="V34" s="4"/>
      <c r="W34" s="4"/>
      <c r="X34" s="4"/>
      <c r="Y34" s="4"/>
      <c r="Z34" s="4"/>
    </row>
    <row r="35" ht="13.5" customHeight="1" spans="1:26" x14ac:dyDescent="0.25">
      <c r="A35" s="4"/>
      <c r="B35" s="4"/>
      <c r="C35" s="257">
        <v>44582</v>
      </c>
      <c r="D35" s="242" t="s">
        <v>209</v>
      </c>
      <c r="E35" s="4" t="s">
        <v>190</v>
      </c>
      <c r="F35" s="260" t="s">
        <v>210</v>
      </c>
      <c r="G35" s="4"/>
      <c r="H35" s="4"/>
      <c r="I35" s="4"/>
      <c r="J35" s="4"/>
      <c r="K35" s="4"/>
      <c r="L35" s="4"/>
      <c r="M35" s="4"/>
      <c r="N35" s="4"/>
      <c r="O35" s="4"/>
      <c r="P35" s="4"/>
      <c r="Q35" s="4"/>
      <c r="R35" s="4"/>
      <c r="S35" s="4"/>
      <c r="T35" s="4"/>
      <c r="U35" s="4"/>
      <c r="V35" s="4"/>
      <c r="W35" s="4"/>
      <c r="X35" s="4"/>
      <c r="Y35" s="4"/>
      <c r="Z35" s="4"/>
    </row>
    <row r="36" ht="13.5" customHeight="1" spans="1:26" x14ac:dyDescent="0.25">
      <c r="A36" s="4"/>
      <c r="B36" s="4"/>
      <c r="C36" s="257">
        <v>44584</v>
      </c>
      <c r="D36" s="242" t="s">
        <v>211</v>
      </c>
      <c r="E36" s="4" t="s">
        <v>212</v>
      </c>
      <c r="F36" s="250" t="s">
        <v>213</v>
      </c>
      <c r="G36" s="4"/>
      <c r="H36" s="4"/>
      <c r="I36" s="4"/>
      <c r="J36" s="4"/>
      <c r="K36" s="4"/>
      <c r="L36" s="4"/>
      <c r="M36" s="4"/>
      <c r="N36" s="4"/>
      <c r="O36" s="4"/>
      <c r="P36" s="4"/>
      <c r="Q36" s="4"/>
      <c r="R36" s="4"/>
      <c r="S36" s="4"/>
      <c r="T36" s="4"/>
      <c r="U36" s="4"/>
      <c r="V36" s="4"/>
      <c r="W36" s="4"/>
      <c r="X36" s="4"/>
      <c r="Y36" s="4"/>
      <c r="Z36" s="4"/>
    </row>
    <row r="37" ht="153.75" customHeight="1" spans="1:26" x14ac:dyDescent="0.25">
      <c r="A37" s="4"/>
      <c r="B37" s="4"/>
      <c r="C37" s="257">
        <v>44587</v>
      </c>
      <c r="D37" s="242" t="s">
        <v>214</v>
      </c>
      <c r="E37" s="258" t="s">
        <v>190</v>
      </c>
      <c r="F37" s="260" t="s">
        <v>215</v>
      </c>
      <c r="G37" s="4"/>
      <c r="H37" s="4"/>
      <c r="I37" s="4"/>
      <c r="J37" s="4"/>
      <c r="K37" s="4"/>
      <c r="L37" s="4"/>
      <c r="M37" s="4"/>
      <c r="N37" s="4"/>
      <c r="O37" s="4"/>
      <c r="P37" s="4"/>
      <c r="Q37" s="4"/>
      <c r="R37" s="4"/>
      <c r="S37" s="4"/>
      <c r="T37" s="4"/>
      <c r="U37" s="4"/>
      <c r="V37" s="4"/>
      <c r="W37" s="4"/>
      <c r="X37" s="4"/>
      <c r="Y37" s="4"/>
      <c r="Z37" s="4"/>
    </row>
    <row r="38" ht="13.5" customHeight="1" spans="1:26" x14ac:dyDescent="0.25">
      <c r="A38" s="4"/>
      <c r="B38" s="4"/>
      <c r="C38" s="257">
        <v>44607</v>
      </c>
      <c r="D38" s="242" t="s">
        <v>216</v>
      </c>
      <c r="E38" s="258" t="s">
        <v>197</v>
      </c>
      <c r="F38" s="260" t="s">
        <v>217</v>
      </c>
      <c r="G38" s="4"/>
      <c r="H38" s="4"/>
      <c r="I38" s="4"/>
      <c r="J38" s="4"/>
      <c r="K38" s="4"/>
      <c r="L38" s="4"/>
      <c r="M38" s="4"/>
      <c r="N38" s="4"/>
      <c r="O38" s="4"/>
      <c r="P38" s="4"/>
      <c r="Q38" s="4"/>
      <c r="R38" s="4"/>
      <c r="S38" s="4"/>
      <c r="T38" s="4"/>
      <c r="U38" s="4"/>
      <c r="V38" s="4"/>
      <c r="W38" s="4"/>
      <c r="X38" s="4"/>
      <c r="Y38" s="4"/>
      <c r="Z38" s="4"/>
    </row>
    <row r="39" ht="13.5" customHeight="1" spans="1:26" x14ac:dyDescent="0.25">
      <c r="A39" s="4"/>
      <c r="B39" s="4"/>
      <c r="C39" s="256">
        <v>44979</v>
      </c>
      <c r="D39" s="242" t="s">
        <v>218</v>
      </c>
      <c r="E39" s="261" t="s">
        <v>219</v>
      </c>
      <c r="F39" s="262" t="s">
        <v>220</v>
      </c>
      <c r="G39" s="4"/>
      <c r="H39" s="4"/>
      <c r="I39" s="4"/>
      <c r="J39" s="4"/>
      <c r="K39" s="4"/>
      <c r="L39" s="4"/>
      <c r="M39" s="4"/>
      <c r="N39" s="4"/>
      <c r="O39" s="4"/>
      <c r="P39" s="4"/>
      <c r="Q39" s="4"/>
      <c r="R39" s="4"/>
      <c r="S39" s="4"/>
      <c r="T39" s="4"/>
      <c r="U39" s="4"/>
      <c r="V39" s="4"/>
      <c r="W39" s="4"/>
      <c r="X39" s="4"/>
      <c r="Y39" s="4"/>
      <c r="Z39" s="4"/>
    </row>
    <row r="40" ht="13.5" customHeight="1" spans="1:26" x14ac:dyDescent="0.25">
      <c r="A40" s="4"/>
      <c r="B40" s="4"/>
      <c r="C40" s="256">
        <v>44990</v>
      </c>
      <c r="D40" s="242" t="s">
        <v>221</v>
      </c>
      <c r="E40" s="261" t="s">
        <v>222</v>
      </c>
      <c r="F40" s="262" t="s">
        <v>223</v>
      </c>
      <c r="G40" s="4"/>
      <c r="H40" s="4"/>
      <c r="I40" s="4"/>
      <c r="J40" s="4"/>
      <c r="K40" s="4"/>
      <c r="L40" s="4"/>
      <c r="M40" s="4"/>
      <c r="N40" s="4"/>
      <c r="O40" s="4"/>
      <c r="P40" s="4"/>
      <c r="Q40" s="4"/>
      <c r="R40" s="4"/>
      <c r="S40" s="4"/>
      <c r="T40" s="4"/>
      <c r="U40" s="4"/>
      <c r="V40" s="4"/>
      <c r="W40" s="4"/>
      <c r="X40" s="4"/>
      <c r="Y40" s="4"/>
      <c r="Z40" s="4"/>
    </row>
    <row r="41" ht="13.5" customHeight="1" spans="1:26" x14ac:dyDescent="0.25">
      <c r="A41" s="4"/>
      <c r="B41" s="4"/>
      <c r="C41" s="256">
        <v>44991</v>
      </c>
      <c r="D41" s="242" t="s">
        <v>224</v>
      </c>
      <c r="E41" s="261" t="s">
        <v>222</v>
      </c>
      <c r="F41" s="262" t="s">
        <v>225</v>
      </c>
      <c r="G41" s="4"/>
      <c r="H41" s="4"/>
      <c r="I41" s="4"/>
      <c r="J41" s="4"/>
      <c r="K41" s="4"/>
      <c r="L41" s="4"/>
      <c r="M41" s="4"/>
      <c r="N41" s="4"/>
      <c r="O41" s="4"/>
      <c r="P41" s="4"/>
      <c r="Q41" s="4"/>
      <c r="R41" s="4"/>
      <c r="S41" s="4"/>
      <c r="T41" s="4"/>
      <c r="U41" s="4"/>
      <c r="V41" s="4"/>
      <c r="W41" s="4"/>
      <c r="X41" s="4"/>
      <c r="Y41" s="4"/>
      <c r="Z41" s="4"/>
    </row>
    <row r="42" ht="13.5" customHeight="1" spans="1:26" x14ac:dyDescent="0.25">
      <c r="A42" s="4"/>
      <c r="B42" s="4"/>
      <c r="C42" s="256">
        <v>45005</v>
      </c>
      <c r="D42" s="242" t="s">
        <v>226</v>
      </c>
      <c r="E42" s="261" t="s">
        <v>227</v>
      </c>
      <c r="F42" s="262" t="s">
        <v>228</v>
      </c>
      <c r="G42" s="4"/>
      <c r="H42" s="4"/>
      <c r="I42" s="4"/>
      <c r="J42" s="4"/>
      <c r="K42" s="4"/>
      <c r="L42" s="4"/>
      <c r="M42" s="4"/>
      <c r="N42" s="4"/>
      <c r="O42" s="4"/>
      <c r="P42" s="4"/>
      <c r="Q42" s="4"/>
      <c r="R42" s="4"/>
      <c r="S42" s="4"/>
      <c r="T42" s="4"/>
      <c r="U42" s="4"/>
      <c r="V42" s="4"/>
      <c r="W42" s="4"/>
      <c r="X42" s="4"/>
      <c r="Y42" s="4"/>
      <c r="Z42" s="4"/>
    </row>
    <row r="43" ht="13.5" customHeight="1" spans="1:26" x14ac:dyDescent="0.25">
      <c r="A43" s="4"/>
      <c r="B43" s="4"/>
      <c r="C43" s="256">
        <v>45130</v>
      </c>
      <c r="D43" s="242" t="s">
        <v>229</v>
      </c>
      <c r="E43" s="261" t="s">
        <v>230</v>
      </c>
      <c r="F43" s="262" t="s">
        <v>231</v>
      </c>
      <c r="G43" s="4"/>
      <c r="H43" s="4"/>
      <c r="I43" s="4"/>
      <c r="J43" s="4"/>
      <c r="K43" s="4"/>
      <c r="L43" s="4"/>
      <c r="M43" s="4"/>
      <c r="N43" s="4"/>
      <c r="O43" s="4"/>
      <c r="P43" s="4"/>
      <c r="Q43" s="4"/>
      <c r="R43" s="4"/>
      <c r="S43" s="4"/>
      <c r="T43" s="4"/>
      <c r="U43" s="4"/>
      <c r="V43" s="4"/>
      <c r="W43" s="4"/>
      <c r="X43" s="4"/>
      <c r="Y43" s="4"/>
      <c r="Z43" s="4"/>
    </row>
    <row r="44" ht="107.25" customHeight="1" spans="1:26" x14ac:dyDescent="0.25">
      <c r="A44" s="4"/>
      <c r="B44" s="4"/>
      <c r="C44" s="256">
        <v>45230</v>
      </c>
      <c r="D44" s="242" t="s">
        <v>232</v>
      </c>
      <c r="E44" s="261" t="s">
        <v>230</v>
      </c>
      <c r="F44" s="262" t="s">
        <v>233</v>
      </c>
      <c r="G44" s="4"/>
      <c r="H44" s="4"/>
      <c r="I44" s="4"/>
      <c r="J44" s="4"/>
      <c r="K44" s="4"/>
      <c r="L44" s="4"/>
      <c r="M44" s="4"/>
      <c r="N44" s="4"/>
      <c r="O44" s="4"/>
      <c r="P44" s="4"/>
      <c r="Q44" s="4"/>
      <c r="R44" s="4"/>
      <c r="S44" s="4"/>
      <c r="T44" s="4"/>
      <c r="U44" s="4"/>
      <c r="V44" s="4"/>
      <c r="W44" s="4"/>
      <c r="X44" s="4"/>
      <c r="Y44" s="4"/>
      <c r="Z44" s="4"/>
    </row>
    <row r="45" ht="13.5" customHeight="1" spans="1:26" x14ac:dyDescent="0.25">
      <c r="A45" s="4"/>
      <c r="B45" s="4"/>
      <c r="C45" s="256">
        <v>45325</v>
      </c>
      <c r="D45" s="242" t="s">
        <v>234</v>
      </c>
      <c r="E45" s="261" t="s">
        <v>235</v>
      </c>
      <c r="F45" s="262" t="s">
        <v>236</v>
      </c>
      <c r="G45" s="4"/>
      <c r="H45" s="4"/>
      <c r="I45" s="4"/>
      <c r="J45" s="4"/>
      <c r="K45" s="4"/>
      <c r="L45" s="4"/>
      <c r="M45" s="4"/>
      <c r="N45" s="4"/>
      <c r="O45" s="4"/>
      <c r="P45" s="4"/>
      <c r="Q45" s="4"/>
      <c r="R45" s="4"/>
      <c r="S45" s="4"/>
      <c r="T45" s="4"/>
      <c r="U45" s="4"/>
      <c r="V45" s="4"/>
      <c r="W45" s="4"/>
      <c r="X45" s="4"/>
      <c r="Y45" s="4"/>
      <c r="Z45" s="4"/>
    </row>
    <row r="46" ht="90" customHeight="1" spans="1:26" x14ac:dyDescent="0.25">
      <c r="A46" s="4"/>
      <c r="B46" s="4"/>
      <c r="C46" s="256">
        <v>45376</v>
      </c>
      <c r="D46" s="242" t="s">
        <v>237</v>
      </c>
      <c r="E46" s="261" t="s">
        <v>230</v>
      </c>
      <c r="F46" s="262" t="s">
        <v>238</v>
      </c>
      <c r="G46" s="4"/>
      <c r="H46" s="4"/>
      <c r="I46" s="4"/>
      <c r="J46" s="4"/>
      <c r="K46" s="4"/>
      <c r="L46" s="4"/>
      <c r="M46" s="4"/>
      <c r="N46" s="4"/>
      <c r="O46" s="4"/>
      <c r="P46" s="4"/>
      <c r="Q46" s="4"/>
      <c r="R46" s="4"/>
      <c r="S46" s="4"/>
      <c r="T46" s="4"/>
      <c r="U46" s="4"/>
      <c r="V46" s="4"/>
      <c r="W46" s="4"/>
      <c r="X46" s="4"/>
      <c r="Y46" s="4"/>
      <c r="Z46" s="4"/>
    </row>
    <row r="47" ht="13.5" customHeight="1" spans="1:26" x14ac:dyDescent="0.25">
      <c r="A47" s="4"/>
      <c r="B47" s="4"/>
      <c r="C47" s="256">
        <v>45581</v>
      </c>
      <c r="D47" s="242" t="s">
        <v>239</v>
      </c>
      <c r="E47" s="261" t="s">
        <v>240</v>
      </c>
      <c r="F47" s="262" t="s">
        <v>241</v>
      </c>
      <c r="G47" s="4"/>
      <c r="H47" s="4"/>
      <c r="I47" s="4"/>
      <c r="J47" s="4"/>
      <c r="K47" s="4"/>
      <c r="L47" s="4"/>
      <c r="M47" s="4"/>
      <c r="N47" s="4"/>
      <c r="O47" s="4"/>
      <c r="P47" s="4"/>
      <c r="Q47" s="4"/>
      <c r="R47" s="4"/>
      <c r="S47" s="4"/>
      <c r="T47" s="4"/>
      <c r="U47" s="4"/>
      <c r="V47" s="4"/>
      <c r="W47" s="4"/>
      <c r="X47" s="4"/>
      <c r="Y47" s="4"/>
      <c r="Z47" s="4"/>
    </row>
    <row r="48" ht="13.5" customHeight="1" spans="1:26" x14ac:dyDescent="0.25">
      <c r="A48" s="4"/>
      <c r="B48" s="4"/>
      <c r="C48" s="4"/>
      <c r="D48" s="4"/>
      <c r="E48" s="4"/>
      <c r="F48" s="4"/>
      <c r="G48" s="4"/>
      <c r="H48" s="4"/>
      <c r="I48" s="4"/>
      <c r="J48" s="4"/>
      <c r="K48" s="4"/>
      <c r="L48" s="4"/>
      <c r="M48" s="4"/>
      <c r="N48" s="4"/>
      <c r="O48" s="4"/>
      <c r="P48" s="4"/>
      <c r="Q48" s="4"/>
      <c r="R48" s="4"/>
      <c r="S48" s="4"/>
      <c r="T48" s="4"/>
      <c r="U48" s="4"/>
      <c r="V48" s="4"/>
      <c r="W48" s="4"/>
      <c r="X48" s="4"/>
      <c r="Y48" s="4"/>
      <c r="Z48" s="4"/>
    </row>
    <row r="49" ht="13.5" customHeight="1" spans="1:26" x14ac:dyDescent="0.25">
      <c r="A49" s="4"/>
      <c r="B49" s="4"/>
      <c r="C49" s="4"/>
      <c r="D49" s="4"/>
      <c r="E49" s="4"/>
      <c r="F49" s="4"/>
      <c r="G49" s="4"/>
      <c r="H49" s="4"/>
      <c r="I49" s="4"/>
      <c r="J49" s="4"/>
      <c r="K49" s="4"/>
      <c r="L49" s="4"/>
      <c r="M49" s="4"/>
      <c r="N49" s="4"/>
      <c r="O49" s="4"/>
      <c r="P49" s="4"/>
      <c r="Q49" s="4"/>
      <c r="R49" s="4"/>
      <c r="S49" s="4"/>
      <c r="T49" s="4"/>
      <c r="U49" s="4"/>
      <c r="V49" s="4"/>
      <c r="W49" s="4"/>
      <c r="X49" s="4"/>
      <c r="Y49" s="4"/>
      <c r="Z49" s="4"/>
    </row>
    <row r="50" ht="13.5" customHeight="1" spans="1:26" x14ac:dyDescent="0.25">
      <c r="A50" s="4"/>
      <c r="B50" s="4"/>
      <c r="C50" s="4"/>
      <c r="D50" s="4"/>
      <c r="E50" s="4"/>
      <c r="F50" s="4"/>
      <c r="G50" s="4"/>
      <c r="H50" s="4"/>
      <c r="I50" s="4"/>
      <c r="J50" s="4"/>
      <c r="K50" s="4"/>
      <c r="L50" s="4"/>
      <c r="M50" s="4"/>
      <c r="N50" s="4"/>
      <c r="O50" s="4"/>
      <c r="P50" s="4"/>
      <c r="Q50" s="4"/>
      <c r="R50" s="4"/>
      <c r="S50" s="4"/>
      <c r="T50" s="4"/>
      <c r="U50" s="4"/>
      <c r="V50" s="4"/>
      <c r="W50" s="4"/>
      <c r="X50" s="4"/>
      <c r="Y50" s="4"/>
      <c r="Z50" s="4"/>
    </row>
    <row r="51" ht="13.5" customHeight="1" spans="1:26" x14ac:dyDescent="0.25">
      <c r="A51" s="4"/>
      <c r="B51" s="4"/>
      <c r="C51" s="4"/>
      <c r="D51" s="4"/>
      <c r="E51" s="4"/>
      <c r="F51" s="4"/>
      <c r="G51" s="4"/>
      <c r="H51" s="4"/>
      <c r="I51" s="4"/>
      <c r="J51" s="4"/>
      <c r="K51" s="4"/>
      <c r="L51" s="4"/>
      <c r="M51" s="4"/>
      <c r="N51" s="4"/>
      <c r="O51" s="4"/>
      <c r="P51" s="4"/>
      <c r="Q51" s="4"/>
      <c r="R51" s="4"/>
      <c r="S51" s="4"/>
      <c r="T51" s="4"/>
      <c r="U51" s="4"/>
      <c r="V51" s="4"/>
      <c r="W51" s="4"/>
      <c r="X51" s="4"/>
      <c r="Y51" s="4"/>
      <c r="Z51" s="4"/>
    </row>
    <row r="52" ht="13.5" customHeight="1" spans="1:26" x14ac:dyDescent="0.25">
      <c r="A52" s="4"/>
      <c r="B52" s="4"/>
      <c r="C52" s="4"/>
      <c r="D52" s="4"/>
      <c r="E52" s="4"/>
      <c r="F52" s="4"/>
      <c r="G52" s="4"/>
      <c r="H52" s="4"/>
      <c r="I52" s="4"/>
      <c r="J52" s="4"/>
      <c r="K52" s="4"/>
      <c r="L52" s="4"/>
      <c r="M52" s="4"/>
      <c r="N52" s="4"/>
      <c r="O52" s="4"/>
      <c r="P52" s="4"/>
      <c r="Q52" s="4"/>
      <c r="R52" s="4"/>
      <c r="S52" s="4"/>
      <c r="T52" s="4"/>
      <c r="U52" s="4"/>
      <c r="V52" s="4"/>
      <c r="W52" s="4"/>
      <c r="X52" s="4"/>
      <c r="Y52" s="4"/>
      <c r="Z52" s="4"/>
    </row>
    <row r="53" ht="13.5" customHeight="1" spans="1:26" x14ac:dyDescent="0.25">
      <c r="A53" s="4"/>
      <c r="B53" s="4"/>
      <c r="C53" s="4"/>
      <c r="D53" s="4"/>
      <c r="E53" s="4"/>
      <c r="F53" s="4"/>
      <c r="G53" s="4"/>
      <c r="H53" s="4"/>
      <c r="I53" s="4"/>
      <c r="J53" s="4"/>
      <c r="K53" s="4"/>
      <c r="L53" s="4"/>
      <c r="M53" s="4"/>
      <c r="N53" s="4"/>
      <c r="O53" s="4"/>
      <c r="P53" s="4"/>
      <c r="Q53" s="4"/>
      <c r="R53" s="4"/>
      <c r="S53" s="4"/>
      <c r="T53" s="4"/>
      <c r="U53" s="4"/>
      <c r="V53" s="4"/>
      <c r="W53" s="4"/>
      <c r="X53" s="4"/>
      <c r="Y53" s="4"/>
      <c r="Z53" s="4"/>
    </row>
    <row r="54" ht="13.5" customHeight="1" spans="1:26" x14ac:dyDescent="0.25">
      <c r="A54" s="4"/>
      <c r="B54" s="4"/>
      <c r="C54" s="4"/>
      <c r="D54" s="4"/>
      <c r="E54" s="4"/>
      <c r="F54" s="4"/>
      <c r="G54" s="4"/>
      <c r="H54" s="4"/>
      <c r="I54" s="4"/>
      <c r="J54" s="4"/>
      <c r="K54" s="4"/>
      <c r="L54" s="4"/>
      <c r="M54" s="4"/>
      <c r="N54" s="4"/>
      <c r="O54" s="4"/>
      <c r="P54" s="4"/>
      <c r="Q54" s="4"/>
      <c r="R54" s="4"/>
      <c r="S54" s="4"/>
      <c r="T54" s="4"/>
      <c r="U54" s="4"/>
      <c r="V54" s="4"/>
      <c r="W54" s="4"/>
      <c r="X54" s="4"/>
      <c r="Y54" s="4"/>
      <c r="Z54" s="4"/>
    </row>
    <row r="55" ht="13.5" customHeight="1" spans="1:26" x14ac:dyDescent="0.25">
      <c r="A55" s="4"/>
      <c r="B55" s="4"/>
      <c r="C55" s="4"/>
      <c r="D55" s="4"/>
      <c r="E55" s="4"/>
      <c r="F55" s="4"/>
      <c r="G55" s="4"/>
      <c r="H55" s="4"/>
      <c r="I55" s="4"/>
      <c r="J55" s="4"/>
      <c r="K55" s="4"/>
      <c r="L55" s="4"/>
      <c r="M55" s="4"/>
      <c r="N55" s="4"/>
      <c r="O55" s="4"/>
      <c r="P55" s="4"/>
      <c r="Q55" s="4"/>
      <c r="R55" s="4"/>
      <c r="S55" s="4"/>
      <c r="T55" s="4"/>
      <c r="U55" s="4"/>
      <c r="V55" s="4"/>
      <c r="W55" s="4"/>
      <c r="X55" s="4"/>
      <c r="Y55" s="4"/>
      <c r="Z55" s="4"/>
    </row>
    <row r="56" ht="13.5" customHeight="1" spans="1:26" x14ac:dyDescent="0.25">
      <c r="A56" s="4"/>
      <c r="B56" s="4"/>
      <c r="C56" s="4"/>
      <c r="D56" s="4"/>
      <c r="E56" s="4"/>
      <c r="F56" s="4"/>
      <c r="G56" s="4"/>
      <c r="H56" s="4"/>
      <c r="I56" s="4"/>
      <c r="J56" s="4"/>
      <c r="K56" s="4"/>
      <c r="L56" s="4"/>
      <c r="M56" s="4"/>
      <c r="N56" s="4"/>
      <c r="O56" s="4"/>
      <c r="P56" s="4"/>
      <c r="Q56" s="4"/>
      <c r="R56" s="4"/>
      <c r="S56" s="4"/>
      <c r="T56" s="4"/>
      <c r="U56" s="4"/>
      <c r="V56" s="4"/>
      <c r="W56" s="4"/>
      <c r="X56" s="4"/>
      <c r="Y56" s="4"/>
      <c r="Z56" s="4"/>
    </row>
    <row r="57" ht="13.5" customHeight="1" spans="1:26" x14ac:dyDescent="0.25">
      <c r="A57" s="4"/>
      <c r="B57" s="4"/>
      <c r="C57" s="4"/>
      <c r="D57" s="4"/>
      <c r="E57" s="4"/>
      <c r="F57" s="4"/>
      <c r="G57" s="4"/>
      <c r="H57" s="4"/>
      <c r="I57" s="4"/>
      <c r="J57" s="4"/>
      <c r="K57" s="4"/>
      <c r="L57" s="4"/>
      <c r="M57" s="4"/>
      <c r="N57" s="4"/>
      <c r="O57" s="4"/>
      <c r="P57" s="4"/>
      <c r="Q57" s="4"/>
      <c r="R57" s="4"/>
      <c r="S57" s="4"/>
      <c r="T57" s="4"/>
      <c r="U57" s="4"/>
      <c r="V57" s="4"/>
      <c r="W57" s="4"/>
      <c r="X57" s="4"/>
      <c r="Y57" s="4"/>
      <c r="Z57" s="4"/>
    </row>
    <row r="58" ht="13.5" customHeight="1" spans="1:26" x14ac:dyDescent="0.25">
      <c r="A58" s="4"/>
      <c r="B58" s="4"/>
      <c r="C58" s="4"/>
      <c r="D58" s="4"/>
      <c r="E58" s="4"/>
      <c r="F58" s="4"/>
      <c r="G58" s="4"/>
      <c r="H58" s="4"/>
      <c r="I58" s="4"/>
      <c r="J58" s="4"/>
      <c r="K58" s="4"/>
      <c r="L58" s="4"/>
      <c r="M58" s="4"/>
      <c r="N58" s="4"/>
      <c r="O58" s="4"/>
      <c r="P58" s="4"/>
      <c r="Q58" s="4"/>
      <c r="R58" s="4"/>
      <c r="S58" s="4"/>
      <c r="T58" s="4"/>
      <c r="U58" s="4"/>
      <c r="V58" s="4"/>
      <c r="W58" s="4"/>
      <c r="X58" s="4"/>
      <c r="Y58" s="4"/>
      <c r="Z58" s="4"/>
    </row>
    <row r="59" ht="13.5" customHeight="1" spans="1:26" x14ac:dyDescent="0.25">
      <c r="A59" s="4"/>
      <c r="B59" s="4"/>
      <c r="C59" s="4"/>
      <c r="D59" s="4"/>
      <c r="E59" s="4"/>
      <c r="F59" s="4"/>
      <c r="G59" s="4"/>
      <c r="H59" s="4"/>
      <c r="I59" s="4"/>
      <c r="J59" s="4"/>
      <c r="K59" s="4"/>
      <c r="L59" s="4"/>
      <c r="M59" s="4"/>
      <c r="N59" s="4"/>
      <c r="O59" s="4"/>
      <c r="P59" s="4"/>
      <c r="Q59" s="4"/>
      <c r="R59" s="4"/>
      <c r="S59" s="4"/>
      <c r="T59" s="4"/>
      <c r="U59" s="4"/>
      <c r="V59" s="4"/>
      <c r="W59" s="4"/>
      <c r="X59" s="4"/>
      <c r="Y59" s="4"/>
      <c r="Z59" s="4"/>
    </row>
    <row r="60" ht="13.5" customHeight="1" spans="1:26" x14ac:dyDescent="0.25">
      <c r="A60" s="4"/>
      <c r="B60" s="4"/>
      <c r="C60" s="4"/>
      <c r="D60" s="4"/>
      <c r="E60" s="4"/>
      <c r="F60" s="4"/>
      <c r="G60" s="4"/>
      <c r="H60" s="4"/>
      <c r="I60" s="4"/>
      <c r="J60" s="4"/>
      <c r="K60" s="4"/>
      <c r="L60" s="4"/>
      <c r="M60" s="4"/>
      <c r="N60" s="4"/>
      <c r="O60" s="4"/>
      <c r="P60" s="4"/>
      <c r="Q60" s="4"/>
      <c r="R60" s="4"/>
      <c r="S60" s="4"/>
      <c r="T60" s="4"/>
      <c r="U60" s="4"/>
      <c r="V60" s="4"/>
      <c r="W60" s="4"/>
      <c r="X60" s="4"/>
      <c r="Y60" s="4"/>
      <c r="Z60" s="4"/>
    </row>
    <row r="61" ht="13.5" customHeight="1" spans="1:26" x14ac:dyDescent="0.25">
      <c r="A61" s="4"/>
      <c r="B61" s="4"/>
      <c r="C61" s="4"/>
      <c r="D61" s="4"/>
      <c r="E61" s="4"/>
      <c r="F61" s="4"/>
      <c r="G61" s="4"/>
      <c r="H61" s="4"/>
      <c r="I61" s="4"/>
      <c r="J61" s="4"/>
      <c r="K61" s="4"/>
      <c r="L61" s="4"/>
      <c r="M61" s="4"/>
      <c r="N61" s="4"/>
      <c r="O61" s="4"/>
      <c r="P61" s="4"/>
      <c r="Q61" s="4"/>
      <c r="R61" s="4"/>
      <c r="S61" s="4"/>
      <c r="T61" s="4"/>
      <c r="U61" s="4"/>
      <c r="V61" s="4"/>
      <c r="W61" s="4"/>
      <c r="X61" s="4"/>
      <c r="Y61" s="4"/>
      <c r="Z61" s="4"/>
    </row>
    <row r="62" ht="13.5" customHeight="1" spans="1:26" x14ac:dyDescent="0.25">
      <c r="A62" s="4"/>
      <c r="B62" s="4"/>
      <c r="C62" s="4"/>
      <c r="D62" s="4"/>
      <c r="E62" s="4"/>
      <c r="F62" s="4"/>
      <c r="G62" s="4"/>
      <c r="H62" s="4"/>
      <c r="I62" s="4"/>
      <c r="J62" s="4"/>
      <c r="K62" s="4"/>
      <c r="L62" s="4"/>
      <c r="M62" s="4"/>
      <c r="N62" s="4"/>
      <c r="O62" s="4"/>
      <c r="P62" s="4"/>
      <c r="Q62" s="4"/>
      <c r="R62" s="4"/>
      <c r="S62" s="4"/>
      <c r="T62" s="4"/>
      <c r="U62" s="4"/>
      <c r="V62" s="4"/>
      <c r="W62" s="4"/>
      <c r="X62" s="4"/>
      <c r="Y62" s="4"/>
      <c r="Z62" s="4"/>
    </row>
    <row r="63" ht="13.5" customHeight="1" spans="1:26" x14ac:dyDescent="0.25">
      <c r="A63" s="4"/>
      <c r="B63" s="4"/>
      <c r="C63" s="4"/>
      <c r="D63" s="4"/>
      <c r="E63" s="4"/>
      <c r="F63" s="4"/>
      <c r="G63" s="4"/>
      <c r="H63" s="4"/>
      <c r="I63" s="4"/>
      <c r="J63" s="4"/>
      <c r="K63" s="4"/>
      <c r="L63" s="4"/>
      <c r="M63" s="4"/>
      <c r="N63" s="4"/>
      <c r="O63" s="4"/>
      <c r="P63" s="4"/>
      <c r="Q63" s="4"/>
      <c r="R63" s="4"/>
      <c r="S63" s="4"/>
      <c r="T63" s="4"/>
      <c r="U63" s="4"/>
      <c r="V63" s="4"/>
      <c r="W63" s="4"/>
      <c r="X63" s="4"/>
      <c r="Y63" s="4"/>
      <c r="Z63" s="4"/>
    </row>
    <row r="64" ht="13.5" customHeight="1" spans="1:26" x14ac:dyDescent="0.25">
      <c r="A64" s="4"/>
      <c r="B64" s="4"/>
      <c r="C64" s="4"/>
      <c r="D64" s="4"/>
      <c r="E64" s="4"/>
      <c r="F64" s="4"/>
      <c r="G64" s="4"/>
      <c r="H64" s="4"/>
      <c r="I64" s="4"/>
      <c r="J64" s="4"/>
      <c r="K64" s="4"/>
      <c r="L64" s="4"/>
      <c r="M64" s="4"/>
      <c r="N64" s="4"/>
      <c r="O64" s="4"/>
      <c r="P64" s="4"/>
      <c r="Q64" s="4"/>
      <c r="R64" s="4"/>
      <c r="S64" s="4"/>
      <c r="T64" s="4"/>
      <c r="U64" s="4"/>
      <c r="V64" s="4"/>
      <c r="W64" s="4"/>
      <c r="X64" s="4"/>
      <c r="Y64" s="4"/>
      <c r="Z64" s="4"/>
    </row>
    <row r="65" ht="13.5" customHeight="1" spans="1:26" x14ac:dyDescent="0.25">
      <c r="A65" s="4"/>
      <c r="B65" s="4"/>
      <c r="C65" s="4"/>
      <c r="D65" s="4"/>
      <c r="E65" s="4"/>
      <c r="F65" s="4"/>
      <c r="G65" s="4"/>
      <c r="H65" s="4"/>
      <c r="I65" s="4"/>
      <c r="J65" s="4"/>
      <c r="K65" s="4"/>
      <c r="L65" s="4"/>
      <c r="M65" s="4"/>
      <c r="N65" s="4"/>
      <c r="O65" s="4"/>
      <c r="P65" s="4"/>
      <c r="Q65" s="4"/>
      <c r="R65" s="4"/>
      <c r="S65" s="4"/>
      <c r="T65" s="4"/>
      <c r="U65" s="4"/>
      <c r="V65" s="4"/>
      <c r="W65" s="4"/>
      <c r="X65" s="4"/>
      <c r="Y65" s="4"/>
      <c r="Z65" s="4"/>
    </row>
    <row r="66" ht="13.5" customHeight="1" spans="1:26" x14ac:dyDescent="0.25">
      <c r="A66" s="4"/>
      <c r="B66" s="4"/>
      <c r="C66" s="4"/>
      <c r="D66" s="4"/>
      <c r="E66" s="4"/>
      <c r="F66" s="4"/>
      <c r="G66" s="4"/>
      <c r="H66" s="4"/>
      <c r="I66" s="4"/>
      <c r="J66" s="4"/>
      <c r="K66" s="4"/>
      <c r="L66" s="4"/>
      <c r="M66" s="4"/>
      <c r="N66" s="4"/>
      <c r="O66" s="4"/>
      <c r="P66" s="4"/>
      <c r="Q66" s="4"/>
      <c r="R66" s="4"/>
      <c r="S66" s="4"/>
      <c r="T66" s="4"/>
      <c r="U66" s="4"/>
      <c r="V66" s="4"/>
      <c r="W66" s="4"/>
      <c r="X66" s="4"/>
      <c r="Y66" s="4"/>
      <c r="Z66" s="4"/>
    </row>
    <row r="67" ht="13.5" customHeight="1" spans="1:26" x14ac:dyDescent="0.25">
      <c r="A67" s="4"/>
      <c r="B67" s="4"/>
      <c r="C67" s="4"/>
      <c r="D67" s="4"/>
      <c r="E67" s="4"/>
      <c r="F67" s="4"/>
      <c r="G67" s="4"/>
      <c r="H67" s="4"/>
      <c r="I67" s="4"/>
      <c r="J67" s="4"/>
      <c r="K67" s="4"/>
      <c r="L67" s="4"/>
      <c r="M67" s="4"/>
      <c r="N67" s="4"/>
      <c r="O67" s="4"/>
      <c r="P67" s="4"/>
      <c r="Q67" s="4"/>
      <c r="R67" s="4"/>
      <c r="S67" s="4"/>
      <c r="T67" s="4"/>
      <c r="U67" s="4"/>
      <c r="V67" s="4"/>
      <c r="W67" s="4"/>
      <c r="X67" s="4"/>
      <c r="Y67" s="4"/>
      <c r="Z67" s="4"/>
    </row>
    <row r="68" ht="13.5" customHeight="1" spans="1:26" x14ac:dyDescent="0.25">
      <c r="A68" s="4"/>
      <c r="B68" s="4"/>
      <c r="C68" s="4"/>
      <c r="D68" s="4"/>
      <c r="E68" s="4"/>
      <c r="F68" s="4"/>
      <c r="G68" s="4"/>
      <c r="H68" s="4"/>
      <c r="I68" s="4"/>
      <c r="J68" s="4"/>
      <c r="K68" s="4"/>
      <c r="L68" s="4"/>
      <c r="M68" s="4"/>
      <c r="N68" s="4"/>
      <c r="O68" s="4"/>
      <c r="P68" s="4"/>
      <c r="Q68" s="4"/>
      <c r="R68" s="4"/>
      <c r="S68" s="4"/>
      <c r="T68" s="4"/>
      <c r="U68" s="4"/>
      <c r="V68" s="4"/>
      <c r="W68" s="4"/>
      <c r="X68" s="4"/>
      <c r="Y68" s="4"/>
      <c r="Z68" s="4"/>
    </row>
    <row r="69" ht="13.5" customHeight="1" spans="1:26" x14ac:dyDescent="0.25">
      <c r="A69" s="4"/>
      <c r="B69" s="4"/>
      <c r="C69" s="4"/>
      <c r="D69" s="4"/>
      <c r="E69" s="4"/>
      <c r="F69" s="4"/>
      <c r="G69" s="4"/>
      <c r="H69" s="4"/>
      <c r="I69" s="4"/>
      <c r="J69" s="4"/>
      <c r="K69" s="4"/>
      <c r="L69" s="4"/>
      <c r="M69" s="4"/>
      <c r="N69" s="4"/>
      <c r="O69" s="4"/>
      <c r="P69" s="4"/>
      <c r="Q69" s="4"/>
      <c r="R69" s="4"/>
      <c r="S69" s="4"/>
      <c r="T69" s="4"/>
      <c r="U69" s="4"/>
      <c r="V69" s="4"/>
      <c r="W69" s="4"/>
      <c r="X69" s="4"/>
      <c r="Y69" s="4"/>
      <c r="Z69" s="4"/>
    </row>
    <row r="70" ht="13.5" customHeight="1" spans="1:26" x14ac:dyDescent="0.25">
      <c r="A70" s="4"/>
      <c r="B70" s="4"/>
      <c r="C70" s="4"/>
      <c r="D70" s="4"/>
      <c r="E70" s="4"/>
      <c r="F70" s="4"/>
      <c r="G70" s="4"/>
      <c r="H70" s="4"/>
      <c r="I70" s="4"/>
      <c r="J70" s="4"/>
      <c r="K70" s="4"/>
      <c r="L70" s="4"/>
      <c r="M70" s="4"/>
      <c r="N70" s="4"/>
      <c r="O70" s="4"/>
      <c r="P70" s="4"/>
      <c r="Q70" s="4"/>
      <c r="R70" s="4"/>
      <c r="S70" s="4"/>
      <c r="T70" s="4"/>
      <c r="U70" s="4"/>
      <c r="V70" s="4"/>
      <c r="W70" s="4"/>
      <c r="X70" s="4"/>
      <c r="Y70" s="4"/>
      <c r="Z70" s="4"/>
    </row>
    <row r="71" ht="13.5" customHeight="1" spans="1:26" x14ac:dyDescent="0.25">
      <c r="A71" s="4"/>
      <c r="B71" s="4"/>
      <c r="C71" s="4"/>
      <c r="D71" s="4"/>
      <c r="E71" s="4"/>
      <c r="F71" s="4"/>
      <c r="G71" s="4"/>
      <c r="H71" s="4"/>
      <c r="I71" s="4"/>
      <c r="J71" s="4"/>
      <c r="K71" s="4"/>
      <c r="L71" s="4"/>
      <c r="M71" s="4"/>
      <c r="N71" s="4"/>
      <c r="O71" s="4"/>
      <c r="P71" s="4"/>
      <c r="Q71" s="4"/>
      <c r="R71" s="4"/>
      <c r="S71" s="4"/>
      <c r="T71" s="4"/>
      <c r="U71" s="4"/>
      <c r="V71" s="4"/>
      <c r="W71" s="4"/>
      <c r="X71" s="4"/>
      <c r="Y71" s="4"/>
      <c r="Z71" s="4"/>
    </row>
    <row r="72" ht="13.5" customHeight="1" spans="1:26" x14ac:dyDescent="0.25">
      <c r="A72" s="4"/>
      <c r="B72" s="4"/>
      <c r="C72" s="4"/>
      <c r="D72" s="4"/>
      <c r="E72" s="4"/>
      <c r="F72" s="4"/>
      <c r="G72" s="4"/>
      <c r="H72" s="4"/>
      <c r="I72" s="4"/>
      <c r="J72" s="4"/>
      <c r="K72" s="4"/>
      <c r="L72" s="4"/>
      <c r="M72" s="4"/>
      <c r="N72" s="4"/>
      <c r="O72" s="4"/>
      <c r="P72" s="4"/>
      <c r="Q72" s="4"/>
      <c r="R72" s="4"/>
      <c r="S72" s="4"/>
      <c r="T72" s="4"/>
      <c r="U72" s="4"/>
      <c r="V72" s="4"/>
      <c r="W72" s="4"/>
      <c r="X72" s="4"/>
      <c r="Y72" s="4"/>
      <c r="Z72" s="4"/>
    </row>
    <row r="73" ht="13.5" customHeight="1" spans="1:26" x14ac:dyDescent="0.25">
      <c r="A73" s="4"/>
      <c r="B73" s="4"/>
      <c r="C73" s="4"/>
      <c r="D73" s="4"/>
      <c r="E73" s="4"/>
      <c r="F73" s="4"/>
      <c r="G73" s="4"/>
      <c r="H73" s="4"/>
      <c r="I73" s="4"/>
      <c r="J73" s="4"/>
      <c r="K73" s="4"/>
      <c r="L73" s="4"/>
      <c r="M73" s="4"/>
      <c r="N73" s="4"/>
      <c r="O73" s="4"/>
      <c r="P73" s="4"/>
      <c r="Q73" s="4"/>
      <c r="R73" s="4"/>
      <c r="S73" s="4"/>
      <c r="T73" s="4"/>
      <c r="U73" s="4"/>
      <c r="V73" s="4"/>
      <c r="W73" s="4"/>
      <c r="X73" s="4"/>
      <c r="Y73" s="4"/>
      <c r="Z73" s="4"/>
    </row>
    <row r="74" ht="13.5" customHeight="1" spans="1:26" x14ac:dyDescent="0.25">
      <c r="A74" s="4"/>
      <c r="B74" s="4"/>
      <c r="C74" s="4"/>
      <c r="D74" s="4"/>
      <c r="E74" s="4"/>
      <c r="F74" s="4"/>
      <c r="G74" s="4"/>
      <c r="H74" s="4"/>
      <c r="I74" s="4"/>
      <c r="J74" s="4"/>
      <c r="K74" s="4"/>
      <c r="L74" s="4"/>
      <c r="M74" s="4"/>
      <c r="N74" s="4"/>
      <c r="O74" s="4"/>
      <c r="P74" s="4"/>
      <c r="Q74" s="4"/>
      <c r="R74" s="4"/>
      <c r="S74" s="4"/>
      <c r="T74" s="4"/>
      <c r="U74" s="4"/>
      <c r="V74" s="4"/>
      <c r="W74" s="4"/>
      <c r="X74" s="4"/>
      <c r="Y74" s="4"/>
      <c r="Z74" s="4"/>
    </row>
    <row r="75" ht="13.5" customHeight="1" spans="1:26" x14ac:dyDescent="0.25">
      <c r="A75" s="4"/>
      <c r="B75" s="4"/>
      <c r="C75" s="4"/>
      <c r="D75" s="4"/>
      <c r="E75" s="4"/>
      <c r="F75" s="4"/>
      <c r="G75" s="4"/>
      <c r="H75" s="4"/>
      <c r="I75" s="4"/>
      <c r="J75" s="4"/>
      <c r="K75" s="4"/>
      <c r="L75" s="4"/>
      <c r="M75" s="4"/>
      <c r="N75" s="4"/>
      <c r="O75" s="4"/>
      <c r="P75" s="4"/>
      <c r="Q75" s="4"/>
      <c r="R75" s="4"/>
      <c r="S75" s="4"/>
      <c r="T75" s="4"/>
      <c r="U75" s="4"/>
      <c r="V75" s="4"/>
      <c r="W75" s="4"/>
      <c r="X75" s="4"/>
      <c r="Y75" s="4"/>
      <c r="Z75" s="4"/>
    </row>
    <row r="76" ht="13.5" customHeight="1" spans="1:26" x14ac:dyDescent="0.25">
      <c r="A76" s="4"/>
      <c r="B76" s="4"/>
      <c r="C76" s="4"/>
      <c r="D76" s="4"/>
      <c r="E76" s="4"/>
      <c r="F76" s="4"/>
      <c r="G76" s="4"/>
      <c r="H76" s="4"/>
      <c r="I76" s="4"/>
      <c r="J76" s="4"/>
      <c r="K76" s="4"/>
      <c r="L76" s="4"/>
      <c r="M76" s="4"/>
      <c r="N76" s="4"/>
      <c r="O76" s="4"/>
      <c r="P76" s="4"/>
      <c r="Q76" s="4"/>
      <c r="R76" s="4"/>
      <c r="S76" s="4"/>
      <c r="T76" s="4"/>
      <c r="U76" s="4"/>
      <c r="V76" s="4"/>
      <c r="W76" s="4"/>
      <c r="X76" s="4"/>
      <c r="Y76" s="4"/>
      <c r="Z76" s="4"/>
    </row>
    <row r="77" ht="13.5" customHeight="1" spans="1:26" x14ac:dyDescent="0.25">
      <c r="A77" s="4"/>
      <c r="B77" s="4"/>
      <c r="C77" s="4"/>
      <c r="D77" s="4"/>
      <c r="E77" s="4"/>
      <c r="F77" s="4"/>
      <c r="G77" s="4"/>
      <c r="H77" s="4"/>
      <c r="I77" s="4"/>
      <c r="J77" s="4"/>
      <c r="K77" s="4"/>
      <c r="L77" s="4"/>
      <c r="M77" s="4"/>
      <c r="N77" s="4"/>
      <c r="O77" s="4"/>
      <c r="P77" s="4"/>
      <c r="Q77" s="4"/>
      <c r="R77" s="4"/>
      <c r="S77" s="4"/>
      <c r="T77" s="4"/>
      <c r="U77" s="4"/>
      <c r="V77" s="4"/>
      <c r="W77" s="4"/>
      <c r="X77" s="4"/>
      <c r="Y77" s="4"/>
      <c r="Z77" s="4"/>
    </row>
    <row r="78" ht="13.5" customHeight="1" spans="1:26" x14ac:dyDescent="0.25">
      <c r="A78" s="4"/>
      <c r="B78" s="4"/>
      <c r="C78" s="4"/>
      <c r="D78" s="4"/>
      <c r="E78" s="4"/>
      <c r="F78" s="4"/>
      <c r="G78" s="4"/>
      <c r="H78" s="4"/>
      <c r="I78" s="4"/>
      <c r="J78" s="4"/>
      <c r="K78" s="4"/>
      <c r="L78" s="4"/>
      <c r="M78" s="4"/>
      <c r="N78" s="4"/>
      <c r="O78" s="4"/>
      <c r="P78" s="4"/>
      <c r="Q78" s="4"/>
      <c r="R78" s="4"/>
      <c r="S78" s="4"/>
      <c r="T78" s="4"/>
      <c r="U78" s="4"/>
      <c r="V78" s="4"/>
      <c r="W78" s="4"/>
      <c r="X78" s="4"/>
      <c r="Y78" s="4"/>
      <c r="Z78" s="4"/>
    </row>
    <row r="79" ht="13.5" customHeight="1" spans="1:26" x14ac:dyDescent="0.25">
      <c r="A79" s="4"/>
      <c r="B79" s="4"/>
      <c r="C79" s="4"/>
      <c r="D79" s="4"/>
      <c r="E79" s="4"/>
      <c r="F79" s="4"/>
      <c r="G79" s="4"/>
      <c r="H79" s="4"/>
      <c r="I79" s="4"/>
      <c r="J79" s="4"/>
      <c r="K79" s="4"/>
      <c r="L79" s="4"/>
      <c r="M79" s="4"/>
      <c r="N79" s="4"/>
      <c r="O79" s="4"/>
      <c r="P79" s="4"/>
      <c r="Q79" s="4"/>
      <c r="R79" s="4"/>
      <c r="S79" s="4"/>
      <c r="T79" s="4"/>
      <c r="U79" s="4"/>
      <c r="V79" s="4"/>
      <c r="W79" s="4"/>
      <c r="X79" s="4"/>
      <c r="Y79" s="4"/>
      <c r="Z79" s="4"/>
    </row>
    <row r="80" ht="13.5" customHeight="1" spans="1:26" x14ac:dyDescent="0.25">
      <c r="A80" s="4"/>
      <c r="B80" s="4"/>
      <c r="C80" s="4"/>
      <c r="D80" s="4"/>
      <c r="E80" s="4"/>
      <c r="F80" s="4"/>
      <c r="G80" s="4"/>
      <c r="H80" s="4"/>
      <c r="I80" s="4"/>
      <c r="J80" s="4"/>
      <c r="K80" s="4"/>
      <c r="L80" s="4"/>
      <c r="M80" s="4"/>
      <c r="N80" s="4"/>
      <c r="O80" s="4"/>
      <c r="P80" s="4"/>
      <c r="Q80" s="4"/>
      <c r="R80" s="4"/>
      <c r="S80" s="4"/>
      <c r="T80" s="4"/>
      <c r="U80" s="4"/>
      <c r="V80" s="4"/>
      <c r="W80" s="4"/>
      <c r="X80" s="4"/>
      <c r="Y80" s="4"/>
      <c r="Z80" s="4"/>
    </row>
    <row r="81" ht="13.5" customHeight="1" spans="1:26" x14ac:dyDescent="0.25">
      <c r="A81" s="4"/>
      <c r="B81" s="4"/>
      <c r="C81" s="4"/>
      <c r="D81" s="4"/>
      <c r="E81" s="4"/>
      <c r="F81" s="4"/>
      <c r="G81" s="4"/>
      <c r="H81" s="4"/>
      <c r="I81" s="4"/>
      <c r="J81" s="4"/>
      <c r="K81" s="4"/>
      <c r="L81" s="4"/>
      <c r="M81" s="4"/>
      <c r="N81" s="4"/>
      <c r="O81" s="4"/>
      <c r="P81" s="4"/>
      <c r="Q81" s="4"/>
      <c r="R81" s="4"/>
      <c r="S81" s="4"/>
      <c r="T81" s="4"/>
      <c r="U81" s="4"/>
      <c r="V81" s="4"/>
      <c r="W81" s="4"/>
      <c r="X81" s="4"/>
      <c r="Y81" s="4"/>
      <c r="Z81" s="4"/>
    </row>
    <row r="82" ht="13.5" customHeight="1" spans="1:26" x14ac:dyDescent="0.25">
      <c r="A82" s="4"/>
      <c r="B82" s="4"/>
      <c r="C82" s="4"/>
      <c r="D82" s="4"/>
      <c r="E82" s="4"/>
      <c r="F82" s="4"/>
      <c r="G82" s="4"/>
      <c r="H82" s="4"/>
      <c r="I82" s="4"/>
      <c r="J82" s="4"/>
      <c r="K82" s="4"/>
      <c r="L82" s="4"/>
      <c r="M82" s="4"/>
      <c r="N82" s="4"/>
      <c r="O82" s="4"/>
      <c r="P82" s="4"/>
      <c r="Q82" s="4"/>
      <c r="R82" s="4"/>
      <c r="S82" s="4"/>
      <c r="T82" s="4"/>
      <c r="U82" s="4"/>
      <c r="V82" s="4"/>
      <c r="W82" s="4"/>
      <c r="X82" s="4"/>
      <c r="Y82" s="4"/>
      <c r="Z82" s="4"/>
    </row>
    <row r="83" ht="13.5" customHeight="1" spans="1:26" x14ac:dyDescent="0.25">
      <c r="A83" s="4"/>
      <c r="B83" s="4"/>
      <c r="C83" s="4"/>
      <c r="D83" s="4"/>
      <c r="E83" s="4"/>
      <c r="F83" s="4"/>
      <c r="G83" s="4"/>
      <c r="H83" s="4"/>
      <c r="I83" s="4"/>
      <c r="J83" s="4"/>
      <c r="K83" s="4"/>
      <c r="L83" s="4"/>
      <c r="M83" s="4"/>
      <c r="N83" s="4"/>
      <c r="O83" s="4"/>
      <c r="P83" s="4"/>
      <c r="Q83" s="4"/>
      <c r="R83" s="4"/>
      <c r="S83" s="4"/>
      <c r="T83" s="4"/>
      <c r="U83" s="4"/>
      <c r="V83" s="4"/>
      <c r="W83" s="4"/>
      <c r="X83" s="4"/>
      <c r="Y83" s="4"/>
      <c r="Z83" s="4"/>
    </row>
    <row r="84" ht="13.5" customHeight="1" spans="1:26" x14ac:dyDescent="0.25">
      <c r="A84" s="4"/>
      <c r="B84" s="4"/>
      <c r="C84" s="4"/>
      <c r="D84" s="4"/>
      <c r="E84" s="4"/>
      <c r="F84" s="4"/>
      <c r="G84" s="4"/>
      <c r="H84" s="4"/>
      <c r="I84" s="4"/>
      <c r="J84" s="4"/>
      <c r="K84" s="4"/>
      <c r="L84" s="4"/>
      <c r="M84" s="4"/>
      <c r="N84" s="4"/>
      <c r="O84" s="4"/>
      <c r="P84" s="4"/>
      <c r="Q84" s="4"/>
      <c r="R84" s="4"/>
      <c r="S84" s="4"/>
      <c r="T84" s="4"/>
      <c r="U84" s="4"/>
      <c r="V84" s="4"/>
      <c r="W84" s="4"/>
      <c r="X84" s="4"/>
      <c r="Y84" s="4"/>
      <c r="Z84" s="4"/>
    </row>
    <row r="85" ht="13.5" customHeight="1" spans="1:26" x14ac:dyDescent="0.25">
      <c r="A85" s="4"/>
      <c r="B85" s="4"/>
      <c r="C85" s="4"/>
      <c r="D85" s="4"/>
      <c r="E85" s="4"/>
      <c r="F85" s="4"/>
      <c r="G85" s="4"/>
      <c r="H85" s="4"/>
      <c r="I85" s="4"/>
      <c r="J85" s="4"/>
      <c r="K85" s="4"/>
      <c r="L85" s="4"/>
      <c r="M85" s="4"/>
      <c r="N85" s="4"/>
      <c r="O85" s="4"/>
      <c r="P85" s="4"/>
      <c r="Q85" s="4"/>
      <c r="R85" s="4"/>
      <c r="S85" s="4"/>
      <c r="T85" s="4"/>
      <c r="U85" s="4"/>
      <c r="V85" s="4"/>
      <c r="W85" s="4"/>
      <c r="X85" s="4"/>
      <c r="Y85" s="4"/>
      <c r="Z85" s="4"/>
    </row>
    <row r="86" ht="13.5" customHeight="1" spans="1:26" x14ac:dyDescent="0.25">
      <c r="A86" s="4"/>
      <c r="B86" s="4"/>
      <c r="C86" s="4"/>
      <c r="D86" s="4"/>
      <c r="E86" s="4"/>
      <c r="F86" s="4"/>
      <c r="G86" s="4"/>
      <c r="H86" s="4"/>
      <c r="I86" s="4"/>
      <c r="J86" s="4"/>
      <c r="K86" s="4"/>
      <c r="L86" s="4"/>
      <c r="M86" s="4"/>
      <c r="N86" s="4"/>
      <c r="O86" s="4"/>
      <c r="P86" s="4"/>
      <c r="Q86" s="4"/>
      <c r="R86" s="4"/>
      <c r="S86" s="4"/>
      <c r="T86" s="4"/>
      <c r="U86" s="4"/>
      <c r="V86" s="4"/>
      <c r="W86" s="4"/>
      <c r="X86" s="4"/>
      <c r="Y86" s="4"/>
      <c r="Z86" s="4"/>
    </row>
    <row r="87" ht="13.5" customHeight="1" spans="1:26" x14ac:dyDescent="0.25">
      <c r="A87" s="4"/>
      <c r="B87" s="4"/>
      <c r="C87" s="4"/>
      <c r="D87" s="4"/>
      <c r="E87" s="4"/>
      <c r="F87" s="4"/>
      <c r="G87" s="4"/>
      <c r="H87" s="4"/>
      <c r="I87" s="4"/>
      <c r="J87" s="4"/>
      <c r="K87" s="4"/>
      <c r="L87" s="4"/>
      <c r="M87" s="4"/>
      <c r="N87" s="4"/>
      <c r="O87" s="4"/>
      <c r="P87" s="4"/>
      <c r="Q87" s="4"/>
      <c r="R87" s="4"/>
      <c r="S87" s="4"/>
      <c r="T87" s="4"/>
      <c r="U87" s="4"/>
      <c r="V87" s="4"/>
      <c r="W87" s="4"/>
      <c r="X87" s="4"/>
      <c r="Y87" s="4"/>
      <c r="Z87" s="4"/>
    </row>
    <row r="88" ht="13.5" customHeight="1" spans="1:26" x14ac:dyDescent="0.25">
      <c r="A88" s="4"/>
      <c r="B88" s="4"/>
      <c r="C88" s="4"/>
      <c r="D88" s="4"/>
      <c r="E88" s="4"/>
      <c r="F88" s="4"/>
      <c r="G88" s="4"/>
      <c r="H88" s="4"/>
      <c r="I88" s="4"/>
      <c r="J88" s="4"/>
      <c r="K88" s="4"/>
      <c r="L88" s="4"/>
      <c r="M88" s="4"/>
      <c r="N88" s="4"/>
      <c r="O88" s="4"/>
      <c r="P88" s="4"/>
      <c r="Q88" s="4"/>
      <c r="R88" s="4"/>
      <c r="S88" s="4"/>
      <c r="T88" s="4"/>
      <c r="U88" s="4"/>
      <c r="V88" s="4"/>
      <c r="W88" s="4"/>
      <c r="X88" s="4"/>
      <c r="Y88" s="4"/>
      <c r="Z88" s="4"/>
    </row>
    <row r="89" ht="13.5" customHeight="1" spans="1:26" x14ac:dyDescent="0.25">
      <c r="A89" s="4"/>
      <c r="B89" s="4"/>
      <c r="C89" s="4"/>
      <c r="D89" s="4"/>
      <c r="E89" s="4"/>
      <c r="F89" s="4"/>
      <c r="G89" s="4"/>
      <c r="H89" s="4"/>
      <c r="I89" s="4"/>
      <c r="J89" s="4"/>
      <c r="K89" s="4"/>
      <c r="L89" s="4"/>
      <c r="M89" s="4"/>
      <c r="N89" s="4"/>
      <c r="O89" s="4"/>
      <c r="P89" s="4"/>
      <c r="Q89" s="4"/>
      <c r="R89" s="4"/>
      <c r="S89" s="4"/>
      <c r="T89" s="4"/>
      <c r="U89" s="4"/>
      <c r="V89" s="4"/>
      <c r="W89" s="4"/>
      <c r="X89" s="4"/>
      <c r="Y89" s="4"/>
      <c r="Z89" s="4"/>
    </row>
    <row r="90" ht="13.5" customHeight="1" spans="1:26" x14ac:dyDescent="0.25">
      <c r="A90" s="4"/>
      <c r="B90" s="4"/>
      <c r="C90" s="4"/>
      <c r="D90" s="4"/>
      <c r="E90" s="4"/>
      <c r="F90" s="4"/>
      <c r="G90" s="4"/>
      <c r="H90" s="4"/>
      <c r="I90" s="4"/>
      <c r="J90" s="4"/>
      <c r="K90" s="4"/>
      <c r="L90" s="4"/>
      <c r="M90" s="4"/>
      <c r="N90" s="4"/>
      <c r="O90" s="4"/>
      <c r="P90" s="4"/>
      <c r="Q90" s="4"/>
      <c r="R90" s="4"/>
      <c r="S90" s="4"/>
      <c r="T90" s="4"/>
      <c r="U90" s="4"/>
      <c r="V90" s="4"/>
      <c r="W90" s="4"/>
      <c r="X90" s="4"/>
      <c r="Y90" s="4"/>
      <c r="Z90" s="4"/>
    </row>
    <row r="91" ht="13.5" customHeight="1" spans="1:26" x14ac:dyDescent="0.25">
      <c r="A91" s="4"/>
      <c r="B91" s="4"/>
      <c r="C91" s="4"/>
      <c r="D91" s="4"/>
      <c r="E91" s="4"/>
      <c r="F91" s="4"/>
      <c r="G91" s="4"/>
      <c r="H91" s="4"/>
      <c r="I91" s="4"/>
      <c r="J91" s="4"/>
      <c r="K91" s="4"/>
      <c r="L91" s="4"/>
      <c r="M91" s="4"/>
      <c r="N91" s="4"/>
      <c r="O91" s="4"/>
      <c r="P91" s="4"/>
      <c r="Q91" s="4"/>
      <c r="R91" s="4"/>
      <c r="S91" s="4"/>
      <c r="T91" s="4"/>
      <c r="U91" s="4"/>
      <c r="V91" s="4"/>
      <c r="W91" s="4"/>
      <c r="X91" s="4"/>
      <c r="Y91" s="4"/>
      <c r="Z91" s="4"/>
    </row>
    <row r="92" ht="13.5" customHeight="1" spans="1:26" x14ac:dyDescent="0.25">
      <c r="A92" s="4"/>
      <c r="B92" s="4"/>
      <c r="C92" s="4"/>
      <c r="D92" s="4"/>
      <c r="E92" s="4"/>
      <c r="F92" s="4"/>
      <c r="G92" s="4"/>
      <c r="H92" s="4"/>
      <c r="I92" s="4"/>
      <c r="J92" s="4"/>
      <c r="K92" s="4"/>
      <c r="L92" s="4"/>
      <c r="M92" s="4"/>
      <c r="N92" s="4"/>
      <c r="O92" s="4"/>
      <c r="P92" s="4"/>
      <c r="Q92" s="4"/>
      <c r="R92" s="4"/>
      <c r="S92" s="4"/>
      <c r="T92" s="4"/>
      <c r="U92" s="4"/>
      <c r="V92" s="4"/>
      <c r="W92" s="4"/>
      <c r="X92" s="4"/>
      <c r="Y92" s="4"/>
      <c r="Z92" s="4"/>
    </row>
    <row r="93" ht="13.5" customHeight="1" spans="1:26" x14ac:dyDescent="0.25">
      <c r="A93" s="4"/>
      <c r="B93" s="4"/>
      <c r="C93" s="4"/>
      <c r="D93" s="4"/>
      <c r="E93" s="4"/>
      <c r="F93" s="4"/>
      <c r="G93" s="4"/>
      <c r="H93" s="4"/>
      <c r="I93" s="4"/>
      <c r="J93" s="4"/>
      <c r="K93" s="4"/>
      <c r="L93" s="4"/>
      <c r="M93" s="4"/>
      <c r="N93" s="4"/>
      <c r="O93" s="4"/>
      <c r="P93" s="4"/>
      <c r="Q93" s="4"/>
      <c r="R93" s="4"/>
      <c r="S93" s="4"/>
      <c r="T93" s="4"/>
      <c r="U93" s="4"/>
      <c r="V93" s="4"/>
      <c r="W93" s="4"/>
      <c r="X93" s="4"/>
      <c r="Y93" s="4"/>
      <c r="Z93" s="4"/>
    </row>
    <row r="94" ht="13.5" customHeight="1" spans="1:26" x14ac:dyDescent="0.25">
      <c r="A94" s="4"/>
      <c r="B94" s="4"/>
      <c r="C94" s="4"/>
      <c r="D94" s="4"/>
      <c r="E94" s="4"/>
      <c r="F94" s="4"/>
      <c r="G94" s="4"/>
      <c r="H94" s="4"/>
      <c r="I94" s="4"/>
      <c r="J94" s="4"/>
      <c r="K94" s="4"/>
      <c r="L94" s="4"/>
      <c r="M94" s="4"/>
      <c r="N94" s="4"/>
      <c r="O94" s="4"/>
      <c r="P94" s="4"/>
      <c r="Q94" s="4"/>
      <c r="R94" s="4"/>
      <c r="S94" s="4"/>
      <c r="T94" s="4"/>
      <c r="U94" s="4"/>
      <c r="V94" s="4"/>
      <c r="W94" s="4"/>
      <c r="X94" s="4"/>
      <c r="Y94" s="4"/>
      <c r="Z94" s="4"/>
    </row>
    <row r="95" ht="13.5" customHeight="1" spans="1:26" x14ac:dyDescent="0.25">
      <c r="A95" s="4"/>
      <c r="B95" s="4"/>
      <c r="C95" s="4"/>
      <c r="D95" s="4"/>
      <c r="E95" s="4"/>
      <c r="F95" s="4"/>
      <c r="G95" s="4"/>
      <c r="H95" s="4"/>
      <c r="I95" s="4"/>
      <c r="J95" s="4"/>
      <c r="K95" s="4"/>
      <c r="L95" s="4"/>
      <c r="M95" s="4"/>
      <c r="N95" s="4"/>
      <c r="O95" s="4"/>
      <c r="P95" s="4"/>
      <c r="Q95" s="4"/>
      <c r="R95" s="4"/>
      <c r="S95" s="4"/>
      <c r="T95" s="4"/>
      <c r="U95" s="4"/>
      <c r="V95" s="4"/>
      <c r="W95" s="4"/>
      <c r="X95" s="4"/>
      <c r="Y95" s="4"/>
      <c r="Z95" s="4"/>
    </row>
    <row r="96" ht="13.5" customHeight="1" spans="1:26" x14ac:dyDescent="0.25">
      <c r="A96" s="4"/>
      <c r="B96" s="4"/>
      <c r="C96" s="4"/>
      <c r="D96" s="4"/>
      <c r="E96" s="4"/>
      <c r="F96" s="4"/>
      <c r="G96" s="4"/>
      <c r="H96" s="4"/>
      <c r="I96" s="4"/>
      <c r="J96" s="4"/>
      <c r="K96" s="4"/>
      <c r="L96" s="4"/>
      <c r="M96" s="4"/>
      <c r="N96" s="4"/>
      <c r="O96" s="4"/>
      <c r="P96" s="4"/>
      <c r="Q96" s="4"/>
      <c r="R96" s="4"/>
      <c r="S96" s="4"/>
      <c r="T96" s="4"/>
      <c r="U96" s="4"/>
      <c r="V96" s="4"/>
      <c r="W96" s="4"/>
      <c r="X96" s="4"/>
      <c r="Y96" s="4"/>
      <c r="Z96" s="4"/>
    </row>
    <row r="97" ht="13.5" customHeight="1" spans="1:26" x14ac:dyDescent="0.25">
      <c r="A97" s="4"/>
      <c r="B97" s="4"/>
      <c r="C97" s="4"/>
      <c r="D97" s="4"/>
      <c r="E97" s="4"/>
      <c r="F97" s="4"/>
      <c r="G97" s="4"/>
      <c r="H97" s="4"/>
      <c r="I97" s="4"/>
      <c r="J97" s="4"/>
      <c r="K97" s="4"/>
      <c r="L97" s="4"/>
      <c r="M97" s="4"/>
      <c r="N97" s="4"/>
      <c r="O97" s="4"/>
      <c r="P97" s="4"/>
      <c r="Q97" s="4"/>
      <c r="R97" s="4"/>
      <c r="S97" s="4"/>
      <c r="T97" s="4"/>
      <c r="U97" s="4"/>
      <c r="V97" s="4"/>
      <c r="W97" s="4"/>
      <c r="X97" s="4"/>
      <c r="Y97" s="4"/>
      <c r="Z97" s="4"/>
    </row>
    <row r="98" ht="13.5" customHeight="1" spans="1:26" x14ac:dyDescent="0.25">
      <c r="A98" s="4"/>
      <c r="B98" s="4"/>
      <c r="C98" s="4"/>
      <c r="D98" s="4"/>
      <c r="E98" s="4"/>
      <c r="F98" s="4"/>
      <c r="G98" s="4"/>
      <c r="H98" s="4"/>
      <c r="I98" s="4"/>
      <c r="J98" s="4"/>
      <c r="K98" s="4"/>
      <c r="L98" s="4"/>
      <c r="M98" s="4"/>
      <c r="N98" s="4"/>
      <c r="O98" s="4"/>
      <c r="P98" s="4"/>
      <c r="Q98" s="4"/>
      <c r="R98" s="4"/>
      <c r="S98" s="4"/>
      <c r="T98" s="4"/>
      <c r="U98" s="4"/>
      <c r="V98" s="4"/>
      <c r="W98" s="4"/>
      <c r="X98" s="4"/>
      <c r="Y98" s="4"/>
      <c r="Z98" s="4"/>
    </row>
    <row r="99" ht="13.5" customHeight="1" spans="1:26" x14ac:dyDescent="0.25">
      <c r="A99" s="4"/>
      <c r="B99" s="4"/>
      <c r="C99" s="4"/>
      <c r="D99" s="4"/>
      <c r="E99" s="4"/>
      <c r="F99" s="4"/>
      <c r="G99" s="4"/>
      <c r="H99" s="4"/>
      <c r="I99" s="4"/>
      <c r="J99" s="4"/>
      <c r="K99" s="4"/>
      <c r="L99" s="4"/>
      <c r="M99" s="4"/>
      <c r="N99" s="4"/>
      <c r="O99" s="4"/>
      <c r="P99" s="4"/>
      <c r="Q99" s="4"/>
      <c r="R99" s="4"/>
      <c r="S99" s="4"/>
      <c r="T99" s="4"/>
      <c r="U99" s="4"/>
      <c r="V99" s="4"/>
      <c r="W99" s="4"/>
      <c r="X99" s="4"/>
      <c r="Y99" s="4"/>
      <c r="Z99" s="4"/>
    </row>
    <row r="100" ht="13.5" customHeight="1" spans="1:26" x14ac:dyDescent="0.25">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ht="13.5" customHeight="1" spans="1:26" x14ac:dyDescent="0.25">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ht="13.5" customHeight="1" spans="1:26" x14ac:dyDescent="0.25">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ht="13.5" customHeight="1" spans="1:26" x14ac:dyDescent="0.25">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ht="13.5" customHeight="1" spans="1:26" x14ac:dyDescent="0.25">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ht="13.5" customHeight="1" spans="1:26" x14ac:dyDescent="0.25">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ht="13.5" customHeight="1" spans="1:26" x14ac:dyDescent="0.25">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ht="13.5" customHeight="1" spans="1:26" x14ac:dyDescent="0.25">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ht="13.5" customHeight="1" spans="1:26" x14ac:dyDescent="0.25">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ht="13.5" customHeight="1" spans="1:26" x14ac:dyDescent="0.25">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ht="13.5" customHeight="1" spans="1:26" x14ac:dyDescent="0.25">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ht="13.5" customHeight="1" spans="1:26" x14ac:dyDescent="0.25">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ht="13.5" customHeight="1" spans="1:26" x14ac:dyDescent="0.25">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ht="13.5" customHeight="1" spans="1:26" x14ac:dyDescent="0.25">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ht="13.5" customHeight="1" spans="1:26" x14ac:dyDescent="0.25">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ht="13.5" customHeight="1" spans="1:26" x14ac:dyDescent="0.25">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ht="13.5" customHeight="1" spans="1:26" x14ac:dyDescent="0.25">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ht="13.5" customHeight="1" spans="1:26" x14ac:dyDescent="0.25">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ht="13.5" customHeight="1" spans="1:26" x14ac:dyDescent="0.25">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ht="13.5" customHeight="1" spans="1:26" x14ac:dyDescent="0.25">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ht="13.5" customHeight="1" spans="1:26" x14ac:dyDescent="0.25">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ht="13.5" customHeight="1" spans="1:26" x14ac:dyDescent="0.25">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ht="13.5" customHeight="1" spans="1:26" x14ac:dyDescent="0.25">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ht="13.5" customHeight="1" spans="1:26" x14ac:dyDescent="0.25">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ht="13.5" customHeight="1" spans="1:26" x14ac:dyDescent="0.25">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ht="13.5" customHeight="1" spans="1:26" x14ac:dyDescent="0.25">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ht="13.5" customHeight="1" spans="1:26" x14ac:dyDescent="0.25">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ht="13.5" customHeight="1" spans="1:26" x14ac:dyDescent="0.25">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ht="13.5" customHeight="1" spans="1:26" x14ac:dyDescent="0.25">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ht="13.5" customHeight="1" spans="1:26" x14ac:dyDescent="0.25">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ht="13.5" customHeight="1" spans="1:26" x14ac:dyDescent="0.25">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ht="13.5" customHeight="1" spans="1:26" x14ac:dyDescent="0.25">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ht="13.5" customHeight="1" spans="1:26" x14ac:dyDescent="0.25">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ht="13.5" customHeight="1" spans="1:26" x14ac:dyDescent="0.25">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ht="13.5" customHeight="1" spans="1:26" x14ac:dyDescent="0.25">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ht="13.5" customHeight="1" spans="1:26" x14ac:dyDescent="0.25">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ht="13.5" customHeight="1" spans="1:26" x14ac:dyDescent="0.25">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ht="13.5" customHeight="1" spans="1:26" x14ac:dyDescent="0.25">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ht="13.5" customHeight="1" spans="1:26" x14ac:dyDescent="0.25">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ht="13.5" customHeight="1" spans="1:26" x14ac:dyDescent="0.25">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ht="13.5" customHeight="1" spans="1:26" x14ac:dyDescent="0.25">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ht="13.5" customHeight="1" spans="1:26" x14ac:dyDescent="0.25">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ht="13.5" customHeight="1" spans="1:26" x14ac:dyDescent="0.25">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ht="13.5" customHeight="1" spans="1:26" x14ac:dyDescent="0.25">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ht="13.5" customHeight="1" spans="1:26" x14ac:dyDescent="0.25">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ht="13.5" customHeight="1" spans="1:26" x14ac:dyDescent="0.25">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ht="13.5" customHeight="1" spans="1:26" x14ac:dyDescent="0.25">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ht="13.5" customHeight="1" spans="1:26" x14ac:dyDescent="0.25">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ht="13.5" customHeight="1" spans="1:26" x14ac:dyDescent="0.25">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ht="13.5" customHeight="1" spans="1:26" x14ac:dyDescent="0.25">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ht="13.5" customHeight="1" spans="1:26" x14ac:dyDescent="0.25">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ht="13.5" customHeight="1" spans="1:26" x14ac:dyDescent="0.25">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ht="13.5" customHeight="1" spans="1:26" x14ac:dyDescent="0.25">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ht="13.5" customHeight="1" spans="1:26" x14ac:dyDescent="0.25">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ht="13.5" customHeight="1" spans="1:26" x14ac:dyDescent="0.25">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ht="13.5" customHeight="1" spans="1:26" x14ac:dyDescent="0.25">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ht="13.5" customHeight="1" spans="1:26" x14ac:dyDescent="0.25">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ht="13.5" customHeight="1" spans="1:26" x14ac:dyDescent="0.25">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ht="13.5" customHeight="1" spans="1:26" x14ac:dyDescent="0.25">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ht="13.5" customHeight="1" spans="1:26" x14ac:dyDescent="0.25">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ht="13.5" customHeight="1" spans="1:26" x14ac:dyDescent="0.25">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ht="13.5" customHeight="1" spans="1:26" x14ac:dyDescent="0.25">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ht="13.5" customHeight="1" spans="1:26" x14ac:dyDescent="0.25">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ht="13.5" customHeight="1" spans="1:26" x14ac:dyDescent="0.25">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ht="13.5" customHeight="1" spans="1:26" x14ac:dyDescent="0.25">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ht="13.5" customHeight="1" spans="1:26" x14ac:dyDescent="0.25">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ht="13.5" customHeight="1" spans="1:26" x14ac:dyDescent="0.25">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ht="13.5" customHeight="1" spans="1:26" x14ac:dyDescent="0.25">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ht="13.5" customHeight="1" spans="1:26" x14ac:dyDescent="0.25">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ht="13.5" customHeight="1" spans="1:26" x14ac:dyDescent="0.25">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ht="13.5" customHeight="1" spans="1:26" x14ac:dyDescent="0.25">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ht="13.5" customHeight="1" spans="1:26" x14ac:dyDescent="0.25">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ht="13.5" customHeight="1" spans="1:26" x14ac:dyDescent="0.25">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ht="13.5" customHeight="1" spans="1:26" x14ac:dyDescent="0.25">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13.5" customHeight="1" spans="1:26" x14ac:dyDescent="0.25">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13.5" customHeight="1" spans="1:26" x14ac:dyDescent="0.25">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13.5" customHeight="1" spans="1:26" x14ac:dyDescent="0.25">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ht="13.5" customHeight="1" spans="1:26" x14ac:dyDescent="0.25">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ht="13.5" customHeight="1" spans="1:26" x14ac:dyDescent="0.25">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13.5" customHeight="1" spans="1:26" x14ac:dyDescent="0.25">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13.5" customHeight="1" spans="1:26" x14ac:dyDescent="0.25">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ht="13.5" customHeight="1" spans="1:26" x14ac:dyDescent="0.25">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13.5" customHeight="1" spans="1:26" x14ac:dyDescent="0.25">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13.5" customHeight="1" spans="1:26" x14ac:dyDescent="0.25">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13.5" customHeight="1" spans="1:26" x14ac:dyDescent="0.25">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13.5" customHeight="1" spans="1:26" x14ac:dyDescent="0.25">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13.5" customHeight="1" spans="1:26" x14ac:dyDescent="0.25">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13.5" customHeight="1" spans="1:26" x14ac:dyDescent="0.25">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13.5" customHeight="1" spans="1:26" x14ac:dyDescent="0.25">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13.5" customHeight="1" spans="1:26" x14ac:dyDescent="0.25">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13.5" customHeight="1" spans="1:26" x14ac:dyDescent="0.25">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13.5" customHeight="1" spans="1:26" x14ac:dyDescent="0.25">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13.5" customHeight="1" spans="1:26" x14ac:dyDescent="0.25">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13.5" customHeight="1" spans="1:26" x14ac:dyDescent="0.25">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13.5" customHeight="1" spans="1:26" x14ac:dyDescent="0.25">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13.5" customHeight="1" spans="1:26" x14ac:dyDescent="0.25">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13.5" customHeight="1" spans="1:26" x14ac:dyDescent="0.25">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13.5" customHeight="1" spans="1:26" x14ac:dyDescent="0.25">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13.5" customHeight="1" spans="1:26" x14ac:dyDescent="0.25">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13.5" customHeight="1" spans="1:26" x14ac:dyDescent="0.25">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13.5" customHeight="1" spans="1:26" x14ac:dyDescent="0.25">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13.5" customHeight="1" spans="1:26" x14ac:dyDescent="0.25">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13.5" customHeight="1" spans="1:26" x14ac:dyDescent="0.25">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13.5" customHeight="1" spans="1:26" x14ac:dyDescent="0.25">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13.5" customHeight="1" spans="1:26" x14ac:dyDescent="0.25">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13.5" customHeight="1" spans="1:26" x14ac:dyDescent="0.25">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13.5" customHeight="1" spans="1:26" x14ac:dyDescent="0.25">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13.5" customHeight="1" spans="1:26" x14ac:dyDescent="0.25">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13.5" customHeight="1" spans="1:26" x14ac:dyDescent="0.25">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13.5" customHeight="1" spans="1:26" x14ac:dyDescent="0.25">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13.5" customHeight="1" spans="1:26" x14ac:dyDescent="0.25">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13.5" customHeight="1" spans="1:26" x14ac:dyDescent="0.25">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13.5" customHeight="1" spans="1:26" x14ac:dyDescent="0.25">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13.5" customHeight="1" spans="1:26" x14ac:dyDescent="0.25">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13.5" customHeight="1" spans="1:26" x14ac:dyDescent="0.25">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13.5" customHeight="1" spans="1:26" x14ac:dyDescent="0.25">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13.5" customHeight="1" spans="1:26" x14ac:dyDescent="0.25">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13.5" customHeight="1" spans="1:26" x14ac:dyDescent="0.25">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13.5" customHeight="1" spans="1:26" x14ac:dyDescent="0.25">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13.5" customHeight="1" spans="1:26" x14ac:dyDescent="0.25">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13.5" customHeight="1" spans="1:26" x14ac:dyDescent="0.25">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13.5" customHeight="1" spans="1:26" x14ac:dyDescent="0.25">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ht="13.5" customHeight="1" spans="1:26" x14ac:dyDescent="0.25">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ht="13.5" customHeight="1" spans="1:26" x14ac:dyDescent="0.25">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ht="13.5" customHeight="1" spans="1:26" x14ac:dyDescent="0.25">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ht="13.5" customHeight="1" spans="1:26" x14ac:dyDescent="0.25">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ht="13.5" customHeight="1" spans="1:26" x14ac:dyDescent="0.25">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ht="13.5" customHeight="1" spans="1:26" x14ac:dyDescent="0.25">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ht="13.5" customHeight="1" spans="1:26" x14ac:dyDescent="0.25">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ht="13.5" customHeight="1" spans="1:26" x14ac:dyDescent="0.25">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ht="13.5" customHeight="1" spans="1:26" x14ac:dyDescent="0.25">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ht="13.5" customHeight="1" spans="1:26" x14ac:dyDescent="0.25">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ht="13.5" customHeight="1" spans="1:26" x14ac:dyDescent="0.25">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ht="13.5" customHeight="1" spans="1:26" x14ac:dyDescent="0.25">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ht="13.5" customHeight="1" spans="1:26" x14ac:dyDescent="0.25">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ht="13.5" customHeight="1" spans="1:26" x14ac:dyDescent="0.25">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ht="13.5" customHeight="1" spans="1:26" x14ac:dyDescent="0.25">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ht="13.5" customHeight="1" spans="1:26" x14ac:dyDescent="0.25">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ht="13.5" customHeight="1" spans="1:26" x14ac:dyDescent="0.25">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ht="13.5" customHeight="1" spans="1:26" x14ac:dyDescent="0.25">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ht="13.5" customHeight="1" spans="1:26" x14ac:dyDescent="0.25">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ht="13.5" customHeight="1" spans="1:26" x14ac:dyDescent="0.25">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ht="13.5" customHeight="1" spans="1:26" x14ac:dyDescent="0.25">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ht="13.5" customHeight="1" spans="1:26" x14ac:dyDescent="0.25">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ht="13.5" customHeight="1" spans="1:26" x14ac:dyDescent="0.25">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ht="13.5" customHeight="1" spans="1:26" x14ac:dyDescent="0.25">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ht="13.5" customHeight="1" spans="1:26" x14ac:dyDescent="0.25">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ht="13.5" customHeight="1" spans="1:26" x14ac:dyDescent="0.25">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ht="13.5" customHeight="1" spans="1:26" x14ac:dyDescent="0.25">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ht="13.5" customHeight="1" spans="1:26" x14ac:dyDescent="0.25">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ht="13.5" customHeight="1" spans="1:26" x14ac:dyDescent="0.25">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ht="13.5" customHeight="1" spans="1:26" x14ac:dyDescent="0.25">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ht="13.5" customHeight="1" spans="1:26" x14ac:dyDescent="0.25">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ht="13.5" customHeight="1" spans="1:26" x14ac:dyDescent="0.25">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ht="13.5" customHeight="1" spans="1:26" x14ac:dyDescent="0.25">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ht="13.5" customHeight="1" spans="1:26" x14ac:dyDescent="0.25">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ht="13.5" customHeight="1" spans="1:26" x14ac:dyDescent="0.25">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ht="13.5" customHeight="1" spans="1:26" x14ac:dyDescent="0.25">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ht="13.5" customHeight="1" spans="1:26" x14ac:dyDescent="0.25">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ht="13.5" customHeight="1" spans="1:26" x14ac:dyDescent="0.25">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ht="13.5" customHeight="1" spans="1:26" x14ac:dyDescent="0.25">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ht="13.5" customHeight="1" spans="1:26" x14ac:dyDescent="0.25">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ht="13.5" customHeight="1" spans="1:26" x14ac:dyDescent="0.25">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ht="13.5" customHeight="1" spans="1:26" x14ac:dyDescent="0.25">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ht="13.5" customHeight="1" spans="1:26" x14ac:dyDescent="0.25">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ht="13.5" customHeight="1" spans="1:26" x14ac:dyDescent="0.25">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ht="13.5" customHeight="1" spans="1:26" x14ac:dyDescent="0.25">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ht="13.5" customHeight="1" spans="1:26" x14ac:dyDescent="0.25">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ht="13.5" customHeight="1" spans="1:26" x14ac:dyDescent="0.25">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ht="13.5" customHeight="1" spans="1:26" x14ac:dyDescent="0.25">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ht="13.5" customHeight="1" spans="1:26" x14ac:dyDescent="0.25">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ht="13.5" customHeight="1" spans="1:26" x14ac:dyDescent="0.25">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ht="13.5" customHeight="1" spans="1:26" x14ac:dyDescent="0.25">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ht="13.5" customHeight="1" spans="1:26" x14ac:dyDescent="0.25">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ht="13.5" customHeight="1" spans="1:26" x14ac:dyDescent="0.25">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ht="13.5" customHeight="1" spans="1:26" x14ac:dyDescent="0.25">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ht="13.5" customHeight="1" spans="1:26" x14ac:dyDescent="0.25">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ht="13.5" customHeight="1" spans="1:26" x14ac:dyDescent="0.25">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ht="13.5" customHeight="1" spans="1:26" x14ac:dyDescent="0.25">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ht="13.5" customHeight="1" spans="1:26" x14ac:dyDescent="0.25">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ht="13.5" customHeight="1" spans="1:26" x14ac:dyDescent="0.25">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ht="13.5" customHeight="1" spans="1:26" x14ac:dyDescent="0.25">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ht="13.5" customHeight="1" spans="1:26" x14ac:dyDescent="0.25">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ht="13.5" customHeight="1" spans="1:26" x14ac:dyDescent="0.25">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ht="13.5" customHeight="1" spans="1:26" x14ac:dyDescent="0.25">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ht="13.5" customHeight="1" spans="1:26" x14ac:dyDescent="0.25">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ht="13.5" customHeight="1" spans="1:26" x14ac:dyDescent="0.25">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ht="13.5" customHeight="1" spans="1:26" x14ac:dyDescent="0.25">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ht="13.5" customHeight="1" spans="1:26" x14ac:dyDescent="0.25">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ht="13.5" customHeight="1" spans="1:26" x14ac:dyDescent="0.25">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ht="13.5" customHeight="1" spans="1:26" x14ac:dyDescent="0.25">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ht="13.5" customHeight="1" spans="1:26" x14ac:dyDescent="0.25">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ht="13.5" customHeight="1" spans="1:26" x14ac:dyDescent="0.25">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ht="13.5" customHeight="1" spans="1:26" x14ac:dyDescent="0.25">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ht="13.5" customHeight="1" spans="1:26" x14ac:dyDescent="0.25">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ht="13.5" customHeight="1" spans="1:26" x14ac:dyDescent="0.25">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ht="13.5" customHeight="1" spans="1:26" x14ac:dyDescent="0.25">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ht="13.5" customHeight="1" spans="1:26" x14ac:dyDescent="0.25">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ht="13.5" customHeight="1" spans="1:26" x14ac:dyDescent="0.25">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ht="13.5" customHeight="1" spans="1:26" x14ac:dyDescent="0.25">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ht="13.5" customHeight="1" spans="1:26" x14ac:dyDescent="0.25">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ht="13.5" customHeight="1" spans="1:26" x14ac:dyDescent="0.25">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ht="13.5" customHeight="1" spans="1:26" x14ac:dyDescent="0.25">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ht="13.5" customHeight="1" spans="1:26" x14ac:dyDescent="0.25">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ht="13.5" customHeight="1" spans="1:26" x14ac:dyDescent="0.25">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ht="13.5" customHeight="1" spans="1:26" x14ac:dyDescent="0.2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ht="13.5" customHeight="1" spans="1:26" x14ac:dyDescent="0.25">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ht="13.5" customHeight="1" spans="1:26" x14ac:dyDescent="0.25">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ht="13.5" customHeight="1" spans="1:26" x14ac:dyDescent="0.25">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ht="13.5" customHeight="1" spans="1:26" x14ac:dyDescent="0.25">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ht="13.5" customHeight="1" spans="1:26" x14ac:dyDescent="0.25">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ht="13.5" customHeight="1" spans="1:26" x14ac:dyDescent="0.25">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ht="13.5" customHeight="1" spans="1:26" x14ac:dyDescent="0.25">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ht="13.5" customHeight="1" spans="1:26" x14ac:dyDescent="0.25">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ht="13.5" customHeight="1" spans="1:26" x14ac:dyDescent="0.25">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ht="13.5" customHeight="1" spans="1:26" x14ac:dyDescent="0.2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ht="13.5" customHeight="1" spans="1:26" x14ac:dyDescent="0.25">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ht="13.5" customHeight="1" spans="1:26" x14ac:dyDescent="0.25">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ht="13.5" customHeight="1" spans="1:26" x14ac:dyDescent="0.25">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ht="13.5" customHeight="1" spans="1:26" x14ac:dyDescent="0.25">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ht="13.5" customHeight="1" spans="1:26" x14ac:dyDescent="0.25">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ht="13.5" customHeight="1" spans="1:26" x14ac:dyDescent="0.25">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ht="13.5" customHeight="1" spans="1:26" x14ac:dyDescent="0.25">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ht="13.5" customHeight="1" spans="1:26" x14ac:dyDescent="0.25">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ht="13.5" customHeight="1" spans="1:26" x14ac:dyDescent="0.25">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ht="13.5" customHeight="1" spans="1:26" x14ac:dyDescent="0.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ht="13.5" customHeight="1" spans="1:26" x14ac:dyDescent="0.25">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ht="13.5" customHeight="1" spans="1:26" x14ac:dyDescent="0.25">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ht="13.5" customHeight="1" spans="1:26" x14ac:dyDescent="0.25">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ht="13.5" customHeight="1" spans="1:26" x14ac:dyDescent="0.25">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ht="13.5" customHeight="1" spans="1:26" x14ac:dyDescent="0.25">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ht="13.5" customHeight="1" spans="1:26" x14ac:dyDescent="0.25">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ht="13.5" customHeight="1" spans="1:26" x14ac:dyDescent="0.25">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ht="13.5" customHeight="1" spans="1:26" x14ac:dyDescent="0.25">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ht="13.5" customHeight="1" spans="1:26" x14ac:dyDescent="0.25">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ht="13.5" customHeight="1" spans="1:26" x14ac:dyDescent="0.2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ht="13.5" customHeight="1" spans="1:26" x14ac:dyDescent="0.25">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ht="13.5" customHeight="1" spans="1:26" x14ac:dyDescent="0.25">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ht="13.5" customHeight="1" spans="1:26" x14ac:dyDescent="0.25">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ht="13.5" customHeight="1" spans="1:26" x14ac:dyDescent="0.25">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ht="13.5" customHeight="1" spans="1:26" x14ac:dyDescent="0.25">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ht="13.5" customHeight="1" spans="1:26" x14ac:dyDescent="0.25">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ht="13.5" customHeight="1" spans="1:26" x14ac:dyDescent="0.25">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ht="13.5" customHeight="1" spans="1:26" x14ac:dyDescent="0.25">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ht="13.5" customHeight="1" spans="1:26" x14ac:dyDescent="0.25">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ht="13.5" customHeight="1" spans="1:26" x14ac:dyDescent="0.2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ht="13.5" customHeight="1" spans="1:26" x14ac:dyDescent="0.25">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ht="13.5" customHeight="1" spans="1:26" x14ac:dyDescent="0.25">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ht="13.5" customHeight="1" spans="1:26" x14ac:dyDescent="0.25">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ht="13.5" customHeight="1" spans="1:26" x14ac:dyDescent="0.25">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ht="13.5" customHeight="1" spans="1:26" x14ac:dyDescent="0.25">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ht="13.5" customHeight="1" spans="1:26" x14ac:dyDescent="0.25">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ht="13.5" customHeight="1" spans="1:26" x14ac:dyDescent="0.25">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ht="13.5" customHeight="1" spans="1:26" x14ac:dyDescent="0.25">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ht="13.5" customHeight="1" spans="1:26" x14ac:dyDescent="0.25">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ht="13.5" customHeight="1" spans="1:26" x14ac:dyDescent="0.2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ht="13.5" customHeight="1" spans="1:26" x14ac:dyDescent="0.25">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ht="13.5" customHeight="1" spans="1:26" x14ac:dyDescent="0.25">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ht="13.5" customHeight="1" spans="1:26" x14ac:dyDescent="0.25">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ht="13.5" customHeight="1" spans="1:26" x14ac:dyDescent="0.25">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ht="13.5" customHeight="1" spans="1:26" x14ac:dyDescent="0.25">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ht="13.5" customHeight="1" spans="1:26" x14ac:dyDescent="0.25">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ht="13.5" customHeight="1" spans="1:26" x14ac:dyDescent="0.25">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ht="13.5" customHeight="1" spans="1:26" x14ac:dyDescent="0.25">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ht="13.5" customHeight="1" spans="1:26" x14ac:dyDescent="0.25">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ht="13.5" customHeight="1" spans="1:26" x14ac:dyDescent="0.2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ht="13.5" customHeight="1" spans="1:26" x14ac:dyDescent="0.25">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ht="13.5" customHeight="1" spans="1:26" x14ac:dyDescent="0.25">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ht="13.5" customHeight="1" spans="1:26" x14ac:dyDescent="0.25">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ht="13.5" customHeight="1" spans="1:26" x14ac:dyDescent="0.25">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ht="13.5" customHeight="1" spans="1:26" x14ac:dyDescent="0.25">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ht="13.5" customHeight="1" spans="1:26" x14ac:dyDescent="0.25">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ht="13.5" customHeight="1" spans="1:26" x14ac:dyDescent="0.25">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ht="13.5" customHeight="1" spans="1:26" x14ac:dyDescent="0.25">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ht="13.5" customHeight="1" spans="1:26" x14ac:dyDescent="0.25">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ht="13.5" customHeight="1" spans="1:26" x14ac:dyDescent="0.2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ht="13.5" customHeight="1" spans="1:26" x14ac:dyDescent="0.25">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ht="13.5" customHeight="1" spans="1:26" x14ac:dyDescent="0.25">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ht="13.5" customHeight="1" spans="1:26" x14ac:dyDescent="0.25">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ht="13.5" customHeight="1" spans="1:26" x14ac:dyDescent="0.25">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ht="13.5" customHeight="1" spans="1:26" x14ac:dyDescent="0.25">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ht="13.5" customHeight="1" spans="1:26" x14ac:dyDescent="0.25">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ht="13.5" customHeight="1" spans="1:26" x14ac:dyDescent="0.25">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ht="13.5" customHeight="1" spans="1:26" x14ac:dyDescent="0.25">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ht="13.5" customHeight="1" spans="1:26" x14ac:dyDescent="0.25">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ht="13.5" customHeight="1" spans="1:26" x14ac:dyDescent="0.2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ht="13.5" customHeight="1" spans="1:26" x14ac:dyDescent="0.25">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ht="13.5" customHeight="1" spans="1:26" x14ac:dyDescent="0.25">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ht="13.5" customHeight="1" spans="1:26" x14ac:dyDescent="0.25">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ht="13.5" customHeight="1" spans="1:26" x14ac:dyDescent="0.25">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ht="13.5" customHeight="1" spans="1:26" x14ac:dyDescent="0.25">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ht="13.5" customHeight="1" spans="1:26" x14ac:dyDescent="0.25">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ht="13.5" customHeight="1" spans="1:26" x14ac:dyDescent="0.25">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ht="13.5" customHeight="1" spans="1:26" x14ac:dyDescent="0.25">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ht="13.5" customHeight="1" spans="1:26" x14ac:dyDescent="0.25">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ht="13.5" customHeight="1" spans="1:26" x14ac:dyDescent="0.2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ht="13.5" customHeight="1" spans="1:26" x14ac:dyDescent="0.25">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ht="13.5" customHeight="1" spans="1:26" x14ac:dyDescent="0.25">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ht="13.5" customHeight="1" spans="1:26" x14ac:dyDescent="0.25">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ht="13.5" customHeight="1" spans="1:26" x14ac:dyDescent="0.25">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ht="13.5" customHeight="1" spans="1:26" x14ac:dyDescent="0.25">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ht="13.5" customHeight="1" spans="1:26" x14ac:dyDescent="0.25">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ht="13.5" customHeight="1" spans="1:26" x14ac:dyDescent="0.25">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ht="13.5" customHeight="1" spans="1:26" x14ac:dyDescent="0.25">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ht="13.5" customHeight="1" spans="1:26" x14ac:dyDescent="0.25">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ht="13.5" customHeight="1" spans="1:26" x14ac:dyDescent="0.2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ht="13.5" customHeight="1" spans="1:26" x14ac:dyDescent="0.25">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ht="13.5" customHeight="1" spans="1:26" x14ac:dyDescent="0.25">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ht="13.5" customHeight="1" spans="1:26" x14ac:dyDescent="0.25">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ht="13.5" customHeight="1" spans="1:26" x14ac:dyDescent="0.25">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ht="13.5" customHeight="1" spans="1:26" x14ac:dyDescent="0.25">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ht="13.5" customHeight="1" spans="1:26" x14ac:dyDescent="0.25">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ht="13.5" customHeight="1" spans="1:26" x14ac:dyDescent="0.25">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ht="13.5" customHeight="1" spans="1:26" x14ac:dyDescent="0.25">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ht="13.5" customHeight="1" spans="1:26" x14ac:dyDescent="0.25">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ht="13.5" customHeight="1" spans="1:26" x14ac:dyDescent="0.2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ht="13.5" customHeight="1" spans="1:26" x14ac:dyDescent="0.25">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ht="13.5" customHeight="1" spans="1:26" x14ac:dyDescent="0.25">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ht="13.5" customHeight="1" spans="1:26" x14ac:dyDescent="0.25">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ht="13.5" customHeight="1" spans="1:26" x14ac:dyDescent="0.25">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ht="13.5" customHeight="1" spans="1:26" x14ac:dyDescent="0.25">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ht="13.5" customHeight="1" spans="1:26" x14ac:dyDescent="0.25">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ht="13.5" customHeight="1" spans="1:26" x14ac:dyDescent="0.25">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ht="13.5" customHeight="1" spans="1:26" x14ac:dyDescent="0.25">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ht="13.5" customHeight="1" spans="1:26" x14ac:dyDescent="0.25">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ht="13.5" customHeight="1" spans="1:26" x14ac:dyDescent="0.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ht="13.5" customHeight="1" spans="1:26" x14ac:dyDescent="0.25">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ht="13.5" customHeight="1" spans="1:26" x14ac:dyDescent="0.25">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ht="13.5" customHeight="1" spans="1:26" x14ac:dyDescent="0.25">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ht="13.5" customHeight="1" spans="1:26" x14ac:dyDescent="0.25">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ht="13.5" customHeight="1" spans="1:26" x14ac:dyDescent="0.25">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ht="13.5" customHeight="1" spans="1:26" x14ac:dyDescent="0.25">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ht="13.5" customHeight="1" spans="1:26" x14ac:dyDescent="0.25">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ht="13.5" customHeight="1" spans="1:26" x14ac:dyDescent="0.25">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ht="13.5" customHeight="1" spans="1:26" x14ac:dyDescent="0.25">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ht="13.5" customHeight="1" spans="1:26" x14ac:dyDescent="0.2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ht="13.5" customHeight="1" spans="1:26" x14ac:dyDescent="0.25">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ht="13.5" customHeight="1" spans="1:26" x14ac:dyDescent="0.25">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ht="13.5" customHeight="1" spans="1:26" x14ac:dyDescent="0.25">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ht="13.5" customHeight="1" spans="1:26" x14ac:dyDescent="0.25">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ht="13.5" customHeight="1" spans="1:26" x14ac:dyDescent="0.25">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ht="13.5" customHeight="1" spans="1:26" x14ac:dyDescent="0.25">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ht="13.5" customHeight="1" spans="1:26" x14ac:dyDescent="0.25">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ht="13.5" customHeight="1" spans="1:26" x14ac:dyDescent="0.25">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ht="13.5" customHeight="1" spans="1:26" x14ac:dyDescent="0.25">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ht="13.5" customHeight="1" spans="1:26" x14ac:dyDescent="0.2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ht="13.5" customHeight="1" spans="1:26" x14ac:dyDescent="0.25">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ht="13.5" customHeight="1" spans="1:26" x14ac:dyDescent="0.25">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ht="13.5" customHeight="1" spans="1:26" x14ac:dyDescent="0.25">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ht="13.5" customHeight="1" spans="1:26" x14ac:dyDescent="0.25">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ht="13.5" customHeight="1" spans="1:26" x14ac:dyDescent="0.25">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ht="13.5" customHeight="1" spans="1:26" x14ac:dyDescent="0.25">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ht="13.5" customHeight="1" spans="1:26" x14ac:dyDescent="0.25">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ht="13.5" customHeight="1" spans="1:26" x14ac:dyDescent="0.25">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ht="13.5" customHeight="1" spans="1:26" x14ac:dyDescent="0.25">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ht="13.5" customHeight="1" spans="1:26" x14ac:dyDescent="0.2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ht="13.5" customHeight="1" spans="1:26" x14ac:dyDescent="0.25">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ht="13.5" customHeight="1" spans="1:26" x14ac:dyDescent="0.25">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ht="13.5" customHeight="1" spans="1:26" x14ac:dyDescent="0.25">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ht="13.5" customHeight="1" spans="1:26" x14ac:dyDescent="0.25">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ht="13.5" customHeight="1" spans="1:26" x14ac:dyDescent="0.25">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ht="13.5" customHeight="1" spans="1:26" x14ac:dyDescent="0.25">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ht="13.5" customHeight="1" spans="1:26" x14ac:dyDescent="0.25">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ht="13.5" customHeight="1" spans="1:26" x14ac:dyDescent="0.25">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ht="13.5" customHeight="1" spans="1:26" x14ac:dyDescent="0.25">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ht="13.5" customHeight="1" spans="1:26" x14ac:dyDescent="0.2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ht="13.5" customHeight="1" spans="1:26" x14ac:dyDescent="0.25">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ht="13.5" customHeight="1" spans="1:26" x14ac:dyDescent="0.25">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ht="13.5" customHeight="1" spans="1:26" x14ac:dyDescent="0.25">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ht="13.5" customHeight="1" spans="1:26" x14ac:dyDescent="0.25">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ht="13.5" customHeight="1" spans="1:26" x14ac:dyDescent="0.25">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ht="13.5" customHeight="1" spans="1:26" x14ac:dyDescent="0.25">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ht="13.5" customHeight="1" spans="1:26" x14ac:dyDescent="0.25">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ht="13.5" customHeight="1" spans="1:26" x14ac:dyDescent="0.25">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ht="13.5" customHeight="1" spans="1:26" x14ac:dyDescent="0.25">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ht="13.5" customHeight="1" spans="1:26" x14ac:dyDescent="0.2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ht="13.5" customHeight="1" spans="1:26" x14ac:dyDescent="0.25">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ht="13.5" customHeight="1" spans="1:26" x14ac:dyDescent="0.25">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ht="13.5" customHeight="1" spans="1:26" x14ac:dyDescent="0.25">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ht="13.5" customHeight="1" spans="1:26" x14ac:dyDescent="0.25">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ht="13.5" customHeight="1" spans="1:26" x14ac:dyDescent="0.25">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ht="13.5" customHeight="1" spans="1:26" x14ac:dyDescent="0.25">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ht="13.5" customHeight="1" spans="1:26" x14ac:dyDescent="0.25">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ht="13.5" customHeight="1" spans="1:26" x14ac:dyDescent="0.25">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ht="13.5" customHeight="1" spans="1:26" x14ac:dyDescent="0.25">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ht="13.5" customHeight="1" spans="1:26" x14ac:dyDescent="0.2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ht="13.5" customHeight="1" spans="1:26" x14ac:dyDescent="0.25">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ht="13.5" customHeight="1" spans="1:26" x14ac:dyDescent="0.25">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ht="13.5" customHeight="1" spans="1:26" x14ac:dyDescent="0.25">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ht="13.5" customHeight="1" spans="1:26" x14ac:dyDescent="0.25">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ht="13.5" customHeight="1" spans="1:26" x14ac:dyDescent="0.25">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ht="13.5" customHeight="1" spans="1:26" x14ac:dyDescent="0.25">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ht="13.5" customHeight="1" spans="1:26" x14ac:dyDescent="0.25">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ht="13.5" customHeight="1" spans="1:26" x14ac:dyDescent="0.25">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ht="13.5" customHeight="1" spans="1:26" x14ac:dyDescent="0.25">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ht="13.5" customHeight="1" spans="1:26" x14ac:dyDescent="0.2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ht="13.5" customHeight="1" spans="1:26" x14ac:dyDescent="0.25">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ht="13.5" customHeight="1" spans="1:26" x14ac:dyDescent="0.25">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ht="13.5" customHeight="1" spans="1:26" x14ac:dyDescent="0.25">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ht="13.5" customHeight="1" spans="1:26" x14ac:dyDescent="0.25">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ht="13.5" customHeight="1" spans="1:26" x14ac:dyDescent="0.25">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ht="13.5" customHeight="1" spans="1:26" x14ac:dyDescent="0.25">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ht="13.5" customHeight="1" spans="1:26" x14ac:dyDescent="0.25">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ht="13.5" customHeight="1" spans="1:26" x14ac:dyDescent="0.25">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ht="13.5" customHeight="1" spans="1:26" x14ac:dyDescent="0.25">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ht="13.5" customHeight="1" spans="1:26" x14ac:dyDescent="0.2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ht="13.5" customHeight="1" spans="1:26" x14ac:dyDescent="0.25">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ht="13.5" customHeight="1" spans="1:26" x14ac:dyDescent="0.25">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ht="13.5" customHeight="1" spans="1:26" x14ac:dyDescent="0.25">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ht="13.5" customHeight="1" spans="1:26" x14ac:dyDescent="0.25">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ht="13.5" customHeight="1" spans="1:26" x14ac:dyDescent="0.25">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ht="13.5" customHeight="1" spans="1:26" x14ac:dyDescent="0.25">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ht="13.5" customHeight="1" spans="1:26" x14ac:dyDescent="0.25">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ht="13.5" customHeight="1" spans="1:26" x14ac:dyDescent="0.25">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ht="13.5" customHeight="1" spans="1:26" x14ac:dyDescent="0.25">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ht="13.5" customHeight="1" spans="1:26" x14ac:dyDescent="0.2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ht="13.5" customHeight="1" spans="1:26" x14ac:dyDescent="0.25">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ht="13.5" customHeight="1" spans="1:26" x14ac:dyDescent="0.25">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ht="13.5" customHeight="1" spans="1:26" x14ac:dyDescent="0.25">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ht="13.5" customHeight="1" spans="1:26" x14ac:dyDescent="0.25">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ht="13.5" customHeight="1" spans="1:26" x14ac:dyDescent="0.25">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ht="13.5" customHeight="1" spans="1:26" x14ac:dyDescent="0.25">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ht="13.5" customHeight="1" spans="1:26" x14ac:dyDescent="0.25">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ht="13.5" customHeight="1" spans="1:26" x14ac:dyDescent="0.25">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ht="13.5" customHeight="1" spans="1:26" x14ac:dyDescent="0.25">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ht="13.5" customHeight="1" spans="1:26" x14ac:dyDescent="0.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ht="13.5" customHeight="1" spans="1:26" x14ac:dyDescent="0.25">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ht="13.5" customHeight="1" spans="1:26" x14ac:dyDescent="0.25">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ht="13.5" customHeight="1" spans="1:26" x14ac:dyDescent="0.25">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ht="13.5" customHeight="1" spans="1:26" x14ac:dyDescent="0.25">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ht="13.5" customHeight="1" spans="1:26" x14ac:dyDescent="0.25">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ht="13.5" customHeight="1" spans="1:26" x14ac:dyDescent="0.25">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ht="13.5" customHeight="1" spans="1:26" x14ac:dyDescent="0.25">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ht="13.5" customHeight="1" spans="1:26" x14ac:dyDescent="0.25">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ht="13.5" customHeight="1" spans="1:26" x14ac:dyDescent="0.25">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ht="13.5" customHeight="1" spans="1:26" x14ac:dyDescent="0.2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ht="13.5" customHeight="1" spans="1:26" x14ac:dyDescent="0.25">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ht="13.5" customHeight="1" spans="1:26" x14ac:dyDescent="0.25">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ht="13.5" customHeight="1" spans="1:26" x14ac:dyDescent="0.25">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ht="13.5" customHeight="1" spans="1:26" x14ac:dyDescent="0.25">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ht="13.5" customHeight="1" spans="1:26" x14ac:dyDescent="0.25">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ht="13.5" customHeight="1" spans="1:26" x14ac:dyDescent="0.25">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ht="13.5" customHeight="1" spans="1:26" x14ac:dyDescent="0.25">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ht="13.5" customHeight="1" spans="1:26" x14ac:dyDescent="0.25">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ht="13.5" customHeight="1" spans="1:26" x14ac:dyDescent="0.25">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ht="13.5" customHeight="1" spans="1:26" x14ac:dyDescent="0.2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ht="13.5" customHeight="1" spans="1:26" x14ac:dyDescent="0.25">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ht="13.5" customHeight="1" spans="1:26" x14ac:dyDescent="0.25">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ht="13.5" customHeight="1" spans="1:26" x14ac:dyDescent="0.25">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ht="13.5" customHeight="1" spans="1:26" x14ac:dyDescent="0.25">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ht="13.5" customHeight="1" spans="1:26" x14ac:dyDescent="0.25">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ht="13.5" customHeight="1" spans="1:26" x14ac:dyDescent="0.25">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ht="13.5" customHeight="1" spans="1:26" x14ac:dyDescent="0.25">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ht="13.5" customHeight="1" spans="1:26" x14ac:dyDescent="0.25">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ht="13.5" customHeight="1" spans="1:26" x14ac:dyDescent="0.25">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ht="13.5" customHeight="1" spans="1:26" x14ac:dyDescent="0.2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ht="13.5" customHeight="1" spans="1:26" x14ac:dyDescent="0.25">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ht="13.5" customHeight="1" spans="1:26" x14ac:dyDescent="0.25">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ht="13.5" customHeight="1" spans="1:26" x14ac:dyDescent="0.25">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ht="13.5" customHeight="1" spans="1:26" x14ac:dyDescent="0.25">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ht="13.5" customHeight="1" spans="1:26" x14ac:dyDescent="0.25">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ht="13.5" customHeight="1" spans="1:26" x14ac:dyDescent="0.25">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ht="13.5" customHeight="1" spans="1:26" x14ac:dyDescent="0.25">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ht="13.5" customHeight="1" spans="1:26" x14ac:dyDescent="0.25">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ht="13.5" customHeight="1" spans="1:26" x14ac:dyDescent="0.25">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ht="13.5" customHeight="1" spans="1:26" x14ac:dyDescent="0.2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ht="13.5" customHeight="1" spans="1:26" x14ac:dyDescent="0.25">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ht="13.5" customHeight="1" spans="1:26" x14ac:dyDescent="0.25">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ht="13.5" customHeight="1" spans="1:26" x14ac:dyDescent="0.25">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ht="13.5" customHeight="1" spans="1:26" x14ac:dyDescent="0.25">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ht="13.5" customHeight="1" spans="1:26" x14ac:dyDescent="0.25">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ht="13.5" customHeight="1" spans="1:26" x14ac:dyDescent="0.25">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ht="13.5" customHeight="1" spans="1:26" x14ac:dyDescent="0.25">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ht="13.5" customHeight="1" spans="1:26" x14ac:dyDescent="0.25">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ht="13.5" customHeight="1" spans="1:26" x14ac:dyDescent="0.25">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ht="13.5" customHeight="1" spans="1:26" x14ac:dyDescent="0.2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ht="13.5" customHeight="1" spans="1:26" x14ac:dyDescent="0.25">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ht="13.5" customHeight="1" spans="1:26" x14ac:dyDescent="0.25">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ht="13.5" customHeight="1" spans="1:26" x14ac:dyDescent="0.25">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ht="13.5" customHeight="1" spans="1:26" x14ac:dyDescent="0.25">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ht="13.5" customHeight="1" spans="1:26" x14ac:dyDescent="0.25">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ht="13.5" customHeight="1" spans="1:26" x14ac:dyDescent="0.25">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ht="13.5" customHeight="1" spans="1:26" x14ac:dyDescent="0.25">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ht="13.5" customHeight="1" spans="1:26" x14ac:dyDescent="0.25">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ht="13.5" customHeight="1" spans="1:26" x14ac:dyDescent="0.25">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ht="13.5" customHeight="1" spans="1:26" x14ac:dyDescent="0.2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ht="13.5" customHeight="1" spans="1:26" x14ac:dyDescent="0.25">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ht="13.5" customHeight="1" spans="1:26" x14ac:dyDescent="0.25">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ht="13.5" customHeight="1" spans="1:26" x14ac:dyDescent="0.25">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ht="13.5" customHeight="1" spans="1:26" x14ac:dyDescent="0.25">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ht="13.5" customHeight="1" spans="1:26" x14ac:dyDescent="0.25">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ht="13.5" customHeight="1" spans="1:26" x14ac:dyDescent="0.25">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ht="13.5" customHeight="1" spans="1:26" x14ac:dyDescent="0.25">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ht="13.5" customHeight="1" spans="1:26" x14ac:dyDescent="0.25">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ht="13.5" customHeight="1" spans="1:26" x14ac:dyDescent="0.25">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ht="13.5" customHeight="1" spans="1:26" x14ac:dyDescent="0.2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ht="13.5" customHeight="1" spans="1:26" x14ac:dyDescent="0.25">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ht="13.5" customHeight="1" spans="1:26" x14ac:dyDescent="0.25">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ht="13.5" customHeight="1" spans="1:26" x14ac:dyDescent="0.25">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ht="13.5" customHeight="1" spans="1:26" x14ac:dyDescent="0.25">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ht="13.5" customHeight="1" spans="1:26" x14ac:dyDescent="0.25">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ht="13.5" customHeight="1" spans="1:26" x14ac:dyDescent="0.25">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ht="13.5" customHeight="1" spans="1:26" x14ac:dyDescent="0.25">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ht="13.5" customHeight="1" spans="1:26" x14ac:dyDescent="0.25">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ht="13.5" customHeight="1" spans="1:26" x14ac:dyDescent="0.25">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ht="13.5" customHeight="1" spans="1:26" x14ac:dyDescent="0.2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ht="13.5" customHeight="1" spans="1:26" x14ac:dyDescent="0.25">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ht="13.5" customHeight="1" spans="1:26" x14ac:dyDescent="0.25">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ht="13.5" customHeight="1" spans="1:26" x14ac:dyDescent="0.25">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ht="13.5" customHeight="1" spans="1:26" x14ac:dyDescent="0.25">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ht="13.5" customHeight="1" spans="1:26" x14ac:dyDescent="0.25">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ht="13.5" customHeight="1" spans="1:26" x14ac:dyDescent="0.25">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ht="13.5" customHeight="1" spans="1:26" x14ac:dyDescent="0.25">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ht="13.5" customHeight="1" spans="1:26" x14ac:dyDescent="0.25">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ht="13.5" customHeight="1" spans="1:26" x14ac:dyDescent="0.25">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ht="13.5" customHeight="1" spans="1:26" x14ac:dyDescent="0.2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ht="13.5" customHeight="1" spans="1:26" x14ac:dyDescent="0.25">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ht="13.5" customHeight="1" spans="1:26" x14ac:dyDescent="0.25">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ht="13.5" customHeight="1" spans="1:26" x14ac:dyDescent="0.25">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ht="13.5" customHeight="1" spans="1:26" x14ac:dyDescent="0.25">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ht="13.5" customHeight="1" spans="1:26" x14ac:dyDescent="0.25">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ht="13.5" customHeight="1" spans="1:26" x14ac:dyDescent="0.25">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ht="13.5" customHeight="1" spans="1:26" x14ac:dyDescent="0.25">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ht="13.5" customHeight="1" spans="1:26" x14ac:dyDescent="0.25">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ht="13.5" customHeight="1" spans="1:26" x14ac:dyDescent="0.25">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ht="13.5" customHeight="1" spans="1:26" x14ac:dyDescent="0.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ht="13.5" customHeight="1" spans="1:26" x14ac:dyDescent="0.25">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ht="13.5" customHeight="1" spans="1:26" x14ac:dyDescent="0.25">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ht="13.5" customHeight="1" spans="1:26" x14ac:dyDescent="0.25">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ht="13.5" customHeight="1" spans="1:26" x14ac:dyDescent="0.25">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ht="13.5" customHeight="1" spans="1:26" x14ac:dyDescent="0.25">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ht="13.5" customHeight="1" spans="1:26" x14ac:dyDescent="0.25">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ht="13.5" customHeight="1" spans="1:26" x14ac:dyDescent="0.25">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ht="13.5" customHeight="1" spans="1:26" x14ac:dyDescent="0.25">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ht="13.5" customHeight="1" spans="1:26" x14ac:dyDescent="0.25">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ht="13.5" customHeight="1" spans="1:26" x14ac:dyDescent="0.2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ht="13.5" customHeight="1" spans="1:26" x14ac:dyDescent="0.25">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ht="13.5" customHeight="1" spans="1:26" x14ac:dyDescent="0.25">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ht="13.5" customHeight="1" spans="1:26" x14ac:dyDescent="0.25">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ht="13.5" customHeight="1" spans="1:26" x14ac:dyDescent="0.25">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ht="13.5" customHeight="1" spans="1:26" x14ac:dyDescent="0.25">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ht="13.5" customHeight="1" spans="1:26" x14ac:dyDescent="0.25">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ht="13.5" customHeight="1" spans="1:26" x14ac:dyDescent="0.25">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ht="13.5" customHeight="1" spans="1:26" x14ac:dyDescent="0.25">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ht="13.5" customHeight="1" spans="1:26" x14ac:dyDescent="0.25">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ht="13.5" customHeight="1" spans="1:26" x14ac:dyDescent="0.2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ht="13.5" customHeight="1" spans="1:26" x14ac:dyDescent="0.25">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ht="13.5" customHeight="1" spans="1:26" x14ac:dyDescent="0.25">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ht="13.5" customHeight="1" spans="1:26" x14ac:dyDescent="0.25">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ht="13.5" customHeight="1" spans="1:26" x14ac:dyDescent="0.25">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ht="13.5" customHeight="1" spans="1:26" x14ac:dyDescent="0.25">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ht="13.5" customHeight="1" spans="1:26" x14ac:dyDescent="0.25">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ht="13.5" customHeight="1" spans="1:26" x14ac:dyDescent="0.25">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ht="13.5" customHeight="1" spans="1:26" x14ac:dyDescent="0.25">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ht="13.5" customHeight="1" spans="1:26" x14ac:dyDescent="0.25">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ht="13.5" customHeight="1" spans="1:26" x14ac:dyDescent="0.2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ht="13.5" customHeight="1" spans="1:26" x14ac:dyDescent="0.25">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ht="13.5" customHeight="1" spans="1:26" x14ac:dyDescent="0.25">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ht="13.5" customHeight="1" spans="1:26" x14ac:dyDescent="0.25">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ht="13.5" customHeight="1" spans="1:26" x14ac:dyDescent="0.25">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ht="13.5" customHeight="1" spans="1:26" x14ac:dyDescent="0.25">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ht="13.5" customHeight="1" spans="1:26" x14ac:dyDescent="0.25">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ht="13.5" customHeight="1" spans="1:26" x14ac:dyDescent="0.25">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ht="13.5" customHeight="1" spans="1:26" x14ac:dyDescent="0.25">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ht="13.5" customHeight="1" spans="1:26" x14ac:dyDescent="0.25">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ht="13.5" customHeight="1" spans="1:26" x14ac:dyDescent="0.2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ht="13.5" customHeight="1" spans="1:26" x14ac:dyDescent="0.25">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ht="13.5" customHeight="1" spans="1:26" x14ac:dyDescent="0.25">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ht="13.5" customHeight="1" spans="1:26" x14ac:dyDescent="0.25">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ht="13.5" customHeight="1" spans="1:26" x14ac:dyDescent="0.25">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ht="13.5" customHeight="1" spans="1:26" x14ac:dyDescent="0.25">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ht="13.5" customHeight="1" spans="1:26" x14ac:dyDescent="0.25">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ht="13.5" customHeight="1" spans="1:26" x14ac:dyDescent="0.25">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ht="13.5" customHeight="1" spans="1:26" x14ac:dyDescent="0.25">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ht="13.5" customHeight="1" spans="1:26" x14ac:dyDescent="0.25">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ht="13.5" customHeight="1" spans="1:26" x14ac:dyDescent="0.2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ht="13.5" customHeight="1" spans="1:26" x14ac:dyDescent="0.25">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ht="13.5" customHeight="1" spans="1:26" x14ac:dyDescent="0.25">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ht="13.5" customHeight="1" spans="1:26" x14ac:dyDescent="0.25">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ht="13.5" customHeight="1" spans="1:26" x14ac:dyDescent="0.25">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ht="13.5" customHeight="1" spans="1:26" x14ac:dyDescent="0.25">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ht="13.5" customHeight="1" spans="1:26" x14ac:dyDescent="0.25">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ht="13.5" customHeight="1" spans="1:26" x14ac:dyDescent="0.25">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ht="13.5" customHeight="1" spans="1:26" x14ac:dyDescent="0.25">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ht="13.5" customHeight="1" spans="1:26" x14ac:dyDescent="0.25">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ht="13.5" customHeight="1" spans="1:26" x14ac:dyDescent="0.2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ht="13.5" customHeight="1" spans="1:26" x14ac:dyDescent="0.25">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ht="13.5" customHeight="1" spans="1:26" x14ac:dyDescent="0.25">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ht="13.5" customHeight="1" spans="1:26" x14ac:dyDescent="0.25">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ht="13.5" customHeight="1" spans="1:26" x14ac:dyDescent="0.25">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ht="13.5" customHeight="1" spans="1:26" x14ac:dyDescent="0.25">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ht="13.5" customHeight="1" spans="1:26" x14ac:dyDescent="0.25">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ht="13.5" customHeight="1" spans="1:26" x14ac:dyDescent="0.25">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ht="13.5" customHeight="1" spans="1:26" x14ac:dyDescent="0.25">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ht="13.5" customHeight="1" spans="1:26" x14ac:dyDescent="0.25">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ht="13.5" customHeight="1" spans="1:26" x14ac:dyDescent="0.2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ht="13.5" customHeight="1" spans="1:26" x14ac:dyDescent="0.25">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ht="13.5" customHeight="1" spans="1:26" x14ac:dyDescent="0.25">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ht="13.5" customHeight="1" spans="1:26" x14ac:dyDescent="0.25">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ht="13.5" customHeight="1" spans="1:26" x14ac:dyDescent="0.25">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ht="13.5" customHeight="1" spans="1:26" x14ac:dyDescent="0.25">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ht="13.5" customHeight="1" spans="1:26" x14ac:dyDescent="0.25">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ht="13.5" customHeight="1" spans="1:26" x14ac:dyDescent="0.25">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ht="13.5" customHeight="1" spans="1:26" x14ac:dyDescent="0.25">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ht="13.5" customHeight="1" spans="1:26" x14ac:dyDescent="0.25">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ht="13.5" customHeight="1" spans="1:26" x14ac:dyDescent="0.2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ht="13.5" customHeight="1" spans="1:26" x14ac:dyDescent="0.25">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ht="13.5" customHeight="1" spans="1:26" x14ac:dyDescent="0.25">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ht="13.5" customHeight="1" spans="1:26" x14ac:dyDescent="0.25">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ht="13.5" customHeight="1" spans="1:26" x14ac:dyDescent="0.25">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ht="13.5" customHeight="1" spans="1:26" x14ac:dyDescent="0.25">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ht="13.5" customHeight="1" spans="1:26" x14ac:dyDescent="0.25">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ht="13.5" customHeight="1" spans="1:26" x14ac:dyDescent="0.25">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ht="13.5" customHeight="1" spans="1:26" x14ac:dyDescent="0.25">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ht="13.5" customHeight="1" spans="1:26" x14ac:dyDescent="0.25">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ht="13.5" customHeight="1" spans="1:26" x14ac:dyDescent="0.2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ht="13.5" customHeight="1" spans="1:26" x14ac:dyDescent="0.25">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ht="13.5" customHeight="1" spans="1:26" x14ac:dyDescent="0.25">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ht="13.5" customHeight="1" spans="1:26" x14ac:dyDescent="0.25">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ht="13.5" customHeight="1" spans="1:26" x14ac:dyDescent="0.25">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ht="13.5" customHeight="1" spans="1:26" x14ac:dyDescent="0.25">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ht="13.5" customHeight="1" spans="1:26" x14ac:dyDescent="0.25">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ht="13.5" customHeight="1" spans="1:26" x14ac:dyDescent="0.25">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ht="13.5" customHeight="1" spans="1:26" x14ac:dyDescent="0.25">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ht="13.5" customHeight="1" spans="1:26" x14ac:dyDescent="0.25">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ht="13.5" customHeight="1" spans="1:26" x14ac:dyDescent="0.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ht="13.5" customHeight="1" spans="1:26" x14ac:dyDescent="0.25">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ht="13.5" customHeight="1" spans="1:26" x14ac:dyDescent="0.25">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ht="13.5" customHeight="1" spans="1:26" x14ac:dyDescent="0.25">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ht="13.5" customHeight="1" spans="1:26" x14ac:dyDescent="0.25">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ht="13.5" customHeight="1" spans="1:26" x14ac:dyDescent="0.25">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ht="13.5" customHeight="1" spans="1:26" x14ac:dyDescent="0.25">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ht="13.5" customHeight="1" spans="1:26" x14ac:dyDescent="0.25">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ht="13.5" customHeight="1" spans="1:26" x14ac:dyDescent="0.25">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ht="13.5" customHeight="1" spans="1:26" x14ac:dyDescent="0.25">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ht="13.5" customHeight="1" spans="1:26" x14ac:dyDescent="0.2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ht="13.5" customHeight="1" spans="1:26" x14ac:dyDescent="0.25">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ht="13.5" customHeight="1" spans="1:26" x14ac:dyDescent="0.25">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ht="13.5" customHeight="1" spans="1:26" x14ac:dyDescent="0.25">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ht="13.5" customHeight="1" spans="1:26" x14ac:dyDescent="0.25">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ht="13.5" customHeight="1" spans="1:26" x14ac:dyDescent="0.25">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ht="13.5" customHeight="1" spans="1:26" x14ac:dyDescent="0.25">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ht="13.5" customHeight="1" spans="1:26" x14ac:dyDescent="0.25">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ht="13.5" customHeight="1" spans="1:26" x14ac:dyDescent="0.25">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ht="13.5" customHeight="1" spans="1:26" x14ac:dyDescent="0.25">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ht="13.5" customHeight="1" spans="1:26" x14ac:dyDescent="0.2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ht="13.5" customHeight="1" spans="1:26" x14ac:dyDescent="0.25">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ht="13.5" customHeight="1" spans="1:26" x14ac:dyDescent="0.25">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ht="13.5" customHeight="1" spans="1:26" x14ac:dyDescent="0.25">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ht="13.5" customHeight="1" spans="1:26" x14ac:dyDescent="0.25">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ht="13.5" customHeight="1" spans="1:26" x14ac:dyDescent="0.25">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ht="13.5" customHeight="1" spans="1:26" x14ac:dyDescent="0.25">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ht="13.5" customHeight="1" spans="1:26" x14ac:dyDescent="0.25">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ht="13.5" customHeight="1" spans="1:26" x14ac:dyDescent="0.25">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ht="13.5" customHeight="1" spans="1:26" x14ac:dyDescent="0.25">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ht="13.5" customHeight="1" spans="1:26" x14ac:dyDescent="0.2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ht="13.5" customHeight="1" spans="1:26" x14ac:dyDescent="0.25">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ht="13.5" customHeight="1" spans="1:26" x14ac:dyDescent="0.25">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ht="13.5" customHeight="1" spans="1:26" x14ac:dyDescent="0.25">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ht="13.5" customHeight="1" spans="1:26" x14ac:dyDescent="0.25">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ht="13.5" customHeight="1" spans="1:26" x14ac:dyDescent="0.25">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ht="13.5" customHeight="1" spans="1:26" x14ac:dyDescent="0.25">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ht="13.5" customHeight="1" spans="1:26" x14ac:dyDescent="0.25">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ht="13.5" customHeight="1" spans="1:26" x14ac:dyDescent="0.25">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ht="13.5" customHeight="1" spans="1:26" x14ac:dyDescent="0.25">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ht="13.5" customHeight="1" spans="1:26" x14ac:dyDescent="0.2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ht="13.5" customHeight="1" spans="1:26" x14ac:dyDescent="0.25">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ht="13.5" customHeight="1" spans="1:26" x14ac:dyDescent="0.25">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ht="13.5" customHeight="1" spans="1:26" x14ac:dyDescent="0.25">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ht="13.5" customHeight="1" spans="1:26" x14ac:dyDescent="0.25">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ht="13.5" customHeight="1" spans="1:26" x14ac:dyDescent="0.25">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ht="13.5" customHeight="1" spans="1:26" x14ac:dyDescent="0.25">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ht="13.5" customHeight="1" spans="1:26" x14ac:dyDescent="0.25">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ht="13.5" customHeight="1" spans="1:26" x14ac:dyDescent="0.25">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ht="13.5" customHeight="1" spans="1:26" x14ac:dyDescent="0.25">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ht="13.5" customHeight="1" spans="1:26" x14ac:dyDescent="0.2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ht="13.5" customHeight="1" spans="1:26" x14ac:dyDescent="0.25">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ht="13.5" customHeight="1" spans="1:26" x14ac:dyDescent="0.25">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ht="13.5" customHeight="1" spans="1:26" x14ac:dyDescent="0.25">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ht="13.5" customHeight="1" spans="1:26" x14ac:dyDescent="0.25">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ht="13.5" customHeight="1" spans="1:26" x14ac:dyDescent="0.25">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ht="13.5" customHeight="1" spans="1:26" x14ac:dyDescent="0.25">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ht="13.5" customHeight="1" spans="1:26" x14ac:dyDescent="0.25">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ht="13.5" customHeight="1" spans="1:26" x14ac:dyDescent="0.25">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ht="13.5" customHeight="1" spans="1:26" x14ac:dyDescent="0.25">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ht="13.5" customHeight="1" spans="1:26" x14ac:dyDescent="0.2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ht="13.5" customHeight="1" spans="1:26" x14ac:dyDescent="0.25">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ht="13.5" customHeight="1" spans="1:26" x14ac:dyDescent="0.25">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ht="13.5" customHeight="1" spans="1:26" x14ac:dyDescent="0.25">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ht="13.5" customHeight="1" spans="1:26" x14ac:dyDescent="0.25">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ht="13.5" customHeight="1" spans="1:26" x14ac:dyDescent="0.25">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ht="13.5" customHeight="1" spans="1:26" x14ac:dyDescent="0.25">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ht="13.5" customHeight="1" spans="1:26" x14ac:dyDescent="0.25">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ht="13.5" customHeight="1" spans="1:26" x14ac:dyDescent="0.25">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ht="13.5" customHeight="1" spans="1:26" x14ac:dyDescent="0.25">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ht="13.5" customHeight="1" spans="1:26" x14ac:dyDescent="0.2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ht="13.5" customHeight="1" spans="1:26" x14ac:dyDescent="0.25">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ht="13.5" customHeight="1" spans="1:26" x14ac:dyDescent="0.25">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ht="13.5" customHeight="1" spans="1:26" x14ac:dyDescent="0.25">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ht="13.5" customHeight="1" spans="1:26" x14ac:dyDescent="0.25">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ht="13.5" customHeight="1" spans="1:26" x14ac:dyDescent="0.25">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ht="13.5" customHeight="1" spans="1:26" x14ac:dyDescent="0.25">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ht="13.5" customHeight="1" spans="1:26" x14ac:dyDescent="0.25">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ht="13.5" customHeight="1" spans="1:26" x14ac:dyDescent="0.25">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ht="13.5" customHeight="1" spans="1:26" x14ac:dyDescent="0.25">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ht="13.5" customHeight="1" spans="1:26" x14ac:dyDescent="0.2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ht="13.5" customHeight="1" spans="1:26" x14ac:dyDescent="0.25">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ht="13.5" customHeight="1" spans="1:26" x14ac:dyDescent="0.25">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ht="13.5" customHeight="1" spans="1:26" x14ac:dyDescent="0.25">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ht="13.5" customHeight="1" spans="1:26" x14ac:dyDescent="0.25">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ht="13.5" customHeight="1" spans="1:26" x14ac:dyDescent="0.25">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ht="13.5" customHeight="1" spans="1:26" x14ac:dyDescent="0.25">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ht="13.5" customHeight="1" spans="1:26" x14ac:dyDescent="0.25">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ht="13.5" customHeight="1" spans="1:26" x14ac:dyDescent="0.25">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ht="13.5" customHeight="1" spans="1:26" x14ac:dyDescent="0.25">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ht="13.5" customHeight="1" spans="1:26" x14ac:dyDescent="0.2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ht="13.5" customHeight="1" spans="1:26" x14ac:dyDescent="0.25">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ht="13.5" customHeight="1" spans="1:26" x14ac:dyDescent="0.25">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ht="13.5" customHeight="1" spans="1:26" x14ac:dyDescent="0.25">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ht="13.5" customHeight="1" spans="1:26" x14ac:dyDescent="0.25">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ht="13.5" customHeight="1" spans="1:26" x14ac:dyDescent="0.25">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ht="13.5" customHeight="1" spans="1:26" x14ac:dyDescent="0.25">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ht="13.5" customHeight="1" spans="1:26" x14ac:dyDescent="0.25">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ht="13.5" customHeight="1" spans="1:26" x14ac:dyDescent="0.25">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ht="13.5" customHeight="1" spans="1:26" x14ac:dyDescent="0.25">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ht="13.5" customHeight="1" spans="1:26" x14ac:dyDescent="0.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ht="13.5" customHeight="1" spans="1:26" x14ac:dyDescent="0.25">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ht="13.5" customHeight="1" spans="1:26" x14ac:dyDescent="0.25">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ht="13.5" customHeight="1" spans="1:26" x14ac:dyDescent="0.25">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ht="13.5" customHeight="1" spans="1:26" x14ac:dyDescent="0.25">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ht="13.5" customHeight="1" spans="1:26" x14ac:dyDescent="0.25">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ht="13.5" customHeight="1" spans="1:26" x14ac:dyDescent="0.25">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ht="13.5" customHeight="1" spans="1:26" x14ac:dyDescent="0.25">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ht="13.5" customHeight="1" spans="1:26" x14ac:dyDescent="0.25">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ht="13.5" customHeight="1" spans="1:26" x14ac:dyDescent="0.25">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ht="13.5" customHeight="1" spans="1:26" x14ac:dyDescent="0.2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ht="13.5" customHeight="1" spans="1:26" x14ac:dyDescent="0.25">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ht="13.5" customHeight="1" spans="1:26" x14ac:dyDescent="0.25">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ht="13.5" customHeight="1" spans="1:26" x14ac:dyDescent="0.25">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ht="13.5" customHeight="1" spans="1:26" x14ac:dyDescent="0.25">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ht="13.5" customHeight="1" spans="1:26" x14ac:dyDescent="0.25">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ht="13.5" customHeight="1" spans="1:26" x14ac:dyDescent="0.25">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ht="13.5" customHeight="1" spans="1:26" x14ac:dyDescent="0.25">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ht="13.5" customHeight="1" spans="1:26" x14ac:dyDescent="0.25">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ht="13.5" customHeight="1" spans="1:26" x14ac:dyDescent="0.25">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ht="13.5" customHeight="1" spans="1:26" x14ac:dyDescent="0.2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ht="13.5" customHeight="1" spans="1:26" x14ac:dyDescent="0.25">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ht="13.5" customHeight="1" spans="1:26" x14ac:dyDescent="0.25">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ht="13.5" customHeight="1" spans="1:26" x14ac:dyDescent="0.25">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ht="13.5" customHeight="1" spans="1:26" x14ac:dyDescent="0.25">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ht="13.5" customHeight="1" spans="1:26" x14ac:dyDescent="0.25">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ht="13.5" customHeight="1" spans="1:26" x14ac:dyDescent="0.25">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ht="13.5" customHeight="1" spans="1:26" x14ac:dyDescent="0.25">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ht="13.5" customHeight="1" spans="1:26" x14ac:dyDescent="0.25">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ht="13.5" customHeight="1" spans="1:26" x14ac:dyDescent="0.25">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ht="13.5" customHeight="1" spans="1:26" x14ac:dyDescent="0.2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ht="13.5" customHeight="1" spans="1:26" x14ac:dyDescent="0.25">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ht="13.5" customHeight="1" spans="1:26" x14ac:dyDescent="0.25">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ht="13.5" customHeight="1" spans="1:26" x14ac:dyDescent="0.25">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ht="13.5" customHeight="1" spans="1:26" x14ac:dyDescent="0.25">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ht="13.5" customHeight="1" spans="1:26" x14ac:dyDescent="0.25">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ht="13.5" customHeight="1" spans="1:26" x14ac:dyDescent="0.25">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ht="13.5" customHeight="1" spans="1:26" x14ac:dyDescent="0.25">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ht="13.5" customHeight="1" spans="1:26" x14ac:dyDescent="0.25">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ht="13.5" customHeight="1" spans="1:26" x14ac:dyDescent="0.25">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ht="13.5" customHeight="1" spans="1:26" x14ac:dyDescent="0.2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ht="13.5" customHeight="1" spans="1:26" x14ac:dyDescent="0.25">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ht="13.5" customHeight="1" spans="1:26" x14ac:dyDescent="0.25">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ht="13.5" customHeight="1" spans="1:26" x14ac:dyDescent="0.25">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ht="13.5" customHeight="1" spans="1:26" x14ac:dyDescent="0.25">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ht="13.5" customHeight="1" spans="1:26" x14ac:dyDescent="0.25">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ht="13.5" customHeight="1" spans="1:26" x14ac:dyDescent="0.25">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ht="13.5" customHeight="1" spans="1:26" x14ac:dyDescent="0.25">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ht="13.5" customHeight="1" spans="1:26" x14ac:dyDescent="0.25">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ht="13.5" customHeight="1" spans="1:26" x14ac:dyDescent="0.25">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ht="13.5" customHeight="1" spans="1:26" x14ac:dyDescent="0.2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ht="13.5" customHeight="1" spans="1:26" x14ac:dyDescent="0.25">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ht="13.5" customHeight="1" spans="1:26" x14ac:dyDescent="0.25">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ht="13.5" customHeight="1" spans="1:26" x14ac:dyDescent="0.25">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ht="13.5" customHeight="1" spans="1:26" x14ac:dyDescent="0.25">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ht="13.5" customHeight="1" spans="1:26" x14ac:dyDescent="0.25">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ht="13.5" customHeight="1" spans="1:26" x14ac:dyDescent="0.25">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ht="13.5" customHeight="1" spans="1:26" x14ac:dyDescent="0.25">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ht="13.5" customHeight="1" spans="1:26" x14ac:dyDescent="0.25">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ht="13.5" customHeight="1" spans="1:26" x14ac:dyDescent="0.25">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ht="13.5" customHeight="1" spans="1:26" x14ac:dyDescent="0.2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ht="13.5" customHeight="1" spans="1:26" x14ac:dyDescent="0.25">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ht="13.5" customHeight="1" spans="1:26" x14ac:dyDescent="0.25">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ht="13.5" customHeight="1" spans="1:26" x14ac:dyDescent="0.25">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ht="13.5" customHeight="1" spans="1:26" x14ac:dyDescent="0.25">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ht="13.5" customHeight="1" spans="1:26" x14ac:dyDescent="0.25">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ht="13.5" customHeight="1" spans="1:26" x14ac:dyDescent="0.25">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ht="13.5" customHeight="1" spans="1:26" x14ac:dyDescent="0.25">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ht="13.5" customHeight="1" spans="1:26" x14ac:dyDescent="0.25">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ht="13.5" customHeight="1" spans="1:26" x14ac:dyDescent="0.25">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ht="13.5" customHeight="1" spans="1:26" x14ac:dyDescent="0.2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ht="13.5" customHeight="1" spans="1:26" x14ac:dyDescent="0.25">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ht="13.5" customHeight="1" spans="1:26" x14ac:dyDescent="0.25">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ht="13.5" customHeight="1" spans="1:26" x14ac:dyDescent="0.25">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ht="13.5" customHeight="1" spans="1:26" x14ac:dyDescent="0.25">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ht="13.5" customHeight="1" spans="1:26" x14ac:dyDescent="0.25">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ht="13.5" customHeight="1" spans="1:26" x14ac:dyDescent="0.25">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ht="13.5" customHeight="1" spans="1:26" x14ac:dyDescent="0.25">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ht="13.5" customHeight="1" spans="1:26" x14ac:dyDescent="0.25">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ht="13.5" customHeight="1" spans="1:26" x14ac:dyDescent="0.25">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ht="13.5" customHeight="1" spans="1:26" x14ac:dyDescent="0.2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ht="13.5" customHeight="1" spans="1:26" x14ac:dyDescent="0.25">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ht="13.5" customHeight="1" spans="1:26" x14ac:dyDescent="0.25">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ht="13.5" customHeight="1" spans="1:26" x14ac:dyDescent="0.25">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ht="13.5" customHeight="1" spans="1:26" x14ac:dyDescent="0.25">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ht="13.5" customHeight="1" spans="1:26" x14ac:dyDescent="0.25">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ht="13.5" customHeight="1" spans="1:26" x14ac:dyDescent="0.25">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ht="13.5" customHeight="1" spans="1:26" x14ac:dyDescent="0.25">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ht="13.5" customHeight="1" spans="1:26" x14ac:dyDescent="0.25">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ht="13.5" customHeight="1" spans="1:26" x14ac:dyDescent="0.25">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ht="13.5" customHeight="1" spans="1:26" x14ac:dyDescent="0.2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ht="13.5" customHeight="1" spans="1:26" x14ac:dyDescent="0.25">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ht="13.5" customHeight="1" spans="1:26" x14ac:dyDescent="0.25">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ht="13.5" customHeight="1" spans="1:26" x14ac:dyDescent="0.25">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ht="13.5" customHeight="1" spans="1:26" x14ac:dyDescent="0.25">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ht="13.5" customHeight="1" spans="1:26" x14ac:dyDescent="0.25">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ht="13.5" customHeight="1" spans="1:26" x14ac:dyDescent="0.25">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ht="13.5" customHeight="1" spans="1:26" x14ac:dyDescent="0.25">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ht="13.5" customHeight="1" spans="1:26" x14ac:dyDescent="0.25">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ht="13.5" customHeight="1" spans="1:26" x14ac:dyDescent="0.25">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ht="13.5" customHeight="1" spans="1:26" x14ac:dyDescent="0.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ht="13.5" customHeight="1" spans="1:26" x14ac:dyDescent="0.25">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ht="13.5" customHeight="1" spans="1:26" x14ac:dyDescent="0.25">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ht="13.5" customHeight="1" spans="1:26" x14ac:dyDescent="0.25">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ht="13.5" customHeight="1" spans="1:26" x14ac:dyDescent="0.25">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ht="13.5" customHeight="1" spans="1:26" x14ac:dyDescent="0.25">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ht="13.5" customHeight="1" spans="1:26" x14ac:dyDescent="0.25">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ht="13.5" customHeight="1" spans="1:26" x14ac:dyDescent="0.25">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ht="13.5" customHeight="1" spans="1:26" x14ac:dyDescent="0.25">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ht="13.5" customHeight="1" spans="1:26" x14ac:dyDescent="0.25">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ht="13.5" customHeight="1" spans="1:26" x14ac:dyDescent="0.2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ht="13.5" customHeight="1" spans="1:26" x14ac:dyDescent="0.25">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ht="13.5" customHeight="1" spans="1:26" x14ac:dyDescent="0.25">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ht="13.5" customHeight="1" spans="1:26" x14ac:dyDescent="0.25">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ht="13.5" customHeight="1" spans="1:26" x14ac:dyDescent="0.25">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ht="13.5" customHeight="1" spans="1:26" x14ac:dyDescent="0.25">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ht="13.5" customHeight="1" spans="1:26" x14ac:dyDescent="0.25">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ht="13.5" customHeight="1" spans="1:26" x14ac:dyDescent="0.25">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ht="13.5" customHeight="1" spans="1:26" x14ac:dyDescent="0.25">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ht="13.5" customHeight="1" spans="1:26" x14ac:dyDescent="0.25">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ht="13.5" customHeight="1" spans="1:26" x14ac:dyDescent="0.2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ht="13.5" customHeight="1" spans="1:26" x14ac:dyDescent="0.25">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ht="13.5" customHeight="1" spans="1:26" x14ac:dyDescent="0.25">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ht="13.5" customHeight="1" spans="1:26" x14ac:dyDescent="0.25">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ht="13.5" customHeight="1" spans="1:26" x14ac:dyDescent="0.25">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ht="13.5" customHeight="1" spans="1:26" x14ac:dyDescent="0.25">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ht="13.5" customHeight="1" spans="1:26" x14ac:dyDescent="0.25">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ht="13.5" customHeight="1" spans="1:26" x14ac:dyDescent="0.25">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ht="13.5" customHeight="1" spans="1:26" x14ac:dyDescent="0.25">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ht="13.5" customHeight="1" spans="1:26" x14ac:dyDescent="0.25">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ht="13.5" customHeight="1" spans="1:26" x14ac:dyDescent="0.2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ht="13.5" customHeight="1" spans="1:26" x14ac:dyDescent="0.25">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ht="13.5" customHeight="1" spans="1:26" x14ac:dyDescent="0.25">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ht="13.5" customHeight="1" spans="1:26" x14ac:dyDescent="0.25">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ht="13.5" customHeight="1" spans="1:26" x14ac:dyDescent="0.25">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ht="13.5" customHeight="1" spans="1:26" x14ac:dyDescent="0.25">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ht="13.5" customHeight="1" spans="1:26" x14ac:dyDescent="0.25">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ht="13.5" customHeight="1" spans="1:26" x14ac:dyDescent="0.25">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ht="13.5" customHeight="1" spans="1:26" x14ac:dyDescent="0.25">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ht="13.5" customHeight="1" spans="1:26" x14ac:dyDescent="0.25">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ht="13.5" customHeight="1" spans="1:26" x14ac:dyDescent="0.2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ht="13.5" customHeight="1" spans="1:26" x14ac:dyDescent="0.25">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ht="13.5" customHeight="1" spans="1:26" x14ac:dyDescent="0.25">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ht="13.5" customHeight="1" spans="1:26" x14ac:dyDescent="0.25">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ht="13.5" customHeight="1" spans="1:26" x14ac:dyDescent="0.25">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ht="13.5" customHeight="1" spans="1:26" x14ac:dyDescent="0.25">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ht="13.5" customHeight="1" spans="1:26" x14ac:dyDescent="0.25">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ht="13.5" customHeight="1" spans="1:26" x14ac:dyDescent="0.25">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ht="13.5" customHeight="1" spans="1:26" x14ac:dyDescent="0.25">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ht="13.5" customHeight="1" spans="1:26" x14ac:dyDescent="0.25">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ht="13.5" customHeight="1" spans="1:26" x14ac:dyDescent="0.2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ht="13.5" customHeight="1" spans="1:26" x14ac:dyDescent="0.25">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ht="13.5" customHeight="1" spans="1:26" x14ac:dyDescent="0.25">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ht="13.5" customHeight="1" spans="1:26" x14ac:dyDescent="0.25">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ht="13.5" customHeight="1" spans="1:26" x14ac:dyDescent="0.25">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ht="13.5" customHeight="1" spans="1:26" x14ac:dyDescent="0.25">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ht="13.5" customHeight="1" spans="1:26" x14ac:dyDescent="0.25">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ht="13.5" customHeight="1" spans="1:26" x14ac:dyDescent="0.25">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ht="13.5" customHeight="1" spans="1:26" x14ac:dyDescent="0.25">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ht="13.5" customHeight="1" spans="1:26" x14ac:dyDescent="0.25">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ht="13.5" customHeight="1" spans="1:26" x14ac:dyDescent="0.2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ht="13.5" customHeight="1" spans="1:26" x14ac:dyDescent="0.25">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ht="13.5" customHeight="1" spans="1:26" x14ac:dyDescent="0.25">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ht="13.5" customHeight="1" spans="1:26" x14ac:dyDescent="0.25">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ht="13.5" customHeight="1" spans="1:26" x14ac:dyDescent="0.25">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ht="13.5" customHeight="1" spans="1:26" x14ac:dyDescent="0.25">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ht="13.5" customHeight="1" spans="1:26" x14ac:dyDescent="0.25">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ht="13.5" customHeight="1" spans="1:26" x14ac:dyDescent="0.25">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ht="13.5" customHeight="1" spans="1:26" x14ac:dyDescent="0.25">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ht="13.5" customHeight="1" spans="1:26" x14ac:dyDescent="0.25">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ht="13.5" customHeight="1" spans="1:26" x14ac:dyDescent="0.2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ht="13.5" customHeight="1" spans="1:26" x14ac:dyDescent="0.25">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ht="13.5" customHeight="1" spans="1:26" x14ac:dyDescent="0.25">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ht="13.5" customHeight="1" spans="1:26" x14ac:dyDescent="0.25">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ht="13.5" customHeight="1" spans="1:26" x14ac:dyDescent="0.25">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ht="13.5" customHeight="1" spans="1:26" x14ac:dyDescent="0.25">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conditionalFormatting sqref="D5:D14">
    <cfRule type="expression" dxfId="17" priority="1">
      <formula>$AM$2="Report"</formula>
    </cfRule>
  </conditionalFormatting>
  <pageMargins left="0.7" right="0.7" top="0.75" bottom="0.75" header="0" footer="0"/>
  <pageSetup orientation="portrait" horizontalDpi="4294967295" verticalDpi="4294967295" scale="100" fitToWidth="1" fitToHeight="1" firstPageNumber="1" useFirstPageNumber="1" copies="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355F"/>
  </sheetPr>
  <dimension ref="A1:AJ1000"/>
  <sheetViews>
    <sheetView workbookViewId="0" showGridLines="0" zoomScale="100" zoomScaleNormal="100"/>
  </sheetViews>
  <sheetFormatPr defaultRowHeight="15" outlineLevelRow="1" outlineLevelCol="1" x14ac:dyDescent="0" defaultColWidth="14.5"/>
  <cols>
    <col min="1" max="2" width="1.6640625" customWidth="1"/>
    <col min="3" max="3" width="51.33203125" customWidth="1"/>
    <col min="4" max="5" width="1.6640625" customWidth="1"/>
    <col min="6" max="7" width="12.83203125" outlineLevel="1" collapsed="1" customWidth="1"/>
    <col min="8" max="8" width="13.1640625" outlineLevel="1" collapsed="1" customWidth="1"/>
    <col min="9" max="9" width="12.83203125" outlineLevel="1" collapsed="1" customWidth="1"/>
    <col min="10" max="10" width="12.83203125" customWidth="1"/>
    <col min="11" max="11" width="12.83203125" outlineLevel="1" collapsed="1" customWidth="1"/>
    <col min="12" max="12" width="13.1640625" outlineLevel="1" collapsed="1" customWidth="1"/>
    <col min="13" max="14" width="12.83203125" outlineLevel="1" collapsed="1" customWidth="1"/>
    <col min="15" max="15" width="12.83203125" customWidth="1"/>
    <col min="16" max="19" width="12.83203125" outlineLevel="1" collapsed="1" customWidth="1"/>
    <col min="20" max="20" width="13.5" customWidth="1"/>
    <col min="21" max="22" width="12.83203125" outlineLevel="1" collapsed="1" customWidth="1"/>
    <col min="23" max="23" width="13.1640625" outlineLevel="1" collapsed="1" customWidth="1"/>
    <col min="24" max="24" width="12.83203125" outlineLevel="1" collapsed="1" customWidth="1"/>
    <col min="25" max="25" width="12.83203125" customWidth="1"/>
    <col min="26" max="27" width="13.1640625" outlineLevel="1" collapsed="1" customWidth="1"/>
    <col min="28" max="28" width="12.83203125" outlineLevel="1" collapsed="1" customWidth="1"/>
    <col min="29" max="29" width="13.1640625" outlineLevel="1" collapsed="1" customWidth="1"/>
    <col min="30" max="33" width="13.5" customWidth="1"/>
    <col min="34" max="34" width="1.6640625" customWidth="1"/>
    <col min="35" max="36" width="12.83203125" customWidth="1"/>
  </cols>
  <sheetData>
    <row r="1" ht="12.75" customHeight="1" spans="1:36" x14ac:dyDescent="0.25">
      <c r="A1" s="263"/>
      <c r="B1" s="263"/>
      <c r="C1" s="12" t="str">
        <f ca="1">Company_Name&amp;" - "&amp;MID(CELL("filename",A1),FIND("]",CELL("filename",A1))+1,255)&amp;": "&amp;Case_Scenario&amp;" Case"</f>
        <v>Lowe's Companies, Inc. - Revenue Build: Base Case</v>
      </c>
      <c r="D1" s="263"/>
      <c r="E1" s="263"/>
      <c r="F1" s="263"/>
      <c r="G1" s="263"/>
      <c r="H1" s="263"/>
      <c r="I1" s="263"/>
      <c r="J1" s="263"/>
      <c r="K1" s="263"/>
      <c r="L1" s="263"/>
      <c r="M1" s="263"/>
      <c r="N1" s="263"/>
      <c r="O1" s="263"/>
      <c r="P1" s="263"/>
      <c r="Q1" s="263"/>
      <c r="R1" s="263"/>
      <c r="S1" s="263"/>
      <c r="T1" s="263"/>
      <c r="U1" s="263"/>
      <c r="V1" s="263"/>
      <c r="W1" s="263"/>
      <c r="X1" s="263"/>
      <c r="Y1" s="263"/>
      <c r="Z1" s="263"/>
      <c r="AA1" s="263"/>
      <c r="AB1" s="263"/>
      <c r="AC1" s="263"/>
      <c r="AD1" s="263"/>
      <c r="AE1" s="263"/>
      <c r="AF1" s="263"/>
      <c r="AG1" s="263"/>
      <c r="AH1" s="263"/>
      <c r="AI1" s="263"/>
      <c r="AJ1" s="263"/>
    </row>
    <row r="2" ht="12.75" customHeight="1" spans="1:36" x14ac:dyDescent="0.25">
      <c r="A2" s="16"/>
      <c r="B2" s="16"/>
      <c r="C2" s="14" t="str">
        <f ca="1">Cover!C2</f>
        <v>$ in Millions Except Per Share Data</v>
      </c>
      <c r="D2" s="16"/>
      <c r="E2" s="16"/>
      <c r="F2" s="16"/>
      <c r="G2" s="16"/>
      <c r="H2" s="16"/>
      <c r="I2" s="16"/>
      <c r="J2" s="16"/>
      <c r="K2" s="16"/>
      <c r="L2" s="16"/>
      <c r="M2" s="16"/>
      <c r="N2" s="16"/>
      <c r="O2" s="16"/>
      <c r="P2" s="16"/>
      <c r="Q2" s="16"/>
      <c r="R2" s="16"/>
      <c r="S2" s="16"/>
      <c r="T2" s="16"/>
      <c r="U2" s="16"/>
      <c r="V2" s="16"/>
      <c r="W2" s="16"/>
      <c r="X2" s="16"/>
      <c r="Y2" s="16"/>
      <c r="Z2" s="16"/>
      <c r="AA2" s="16"/>
      <c r="AB2" s="16"/>
      <c r="AC2" s="16"/>
      <c r="AD2" s="16"/>
      <c r="AE2" s="16"/>
      <c r="AF2" s="16"/>
      <c r="AG2" s="16"/>
      <c r="AH2" s="16"/>
      <c r="AI2" s="16"/>
      <c r="AJ2" s="16"/>
    </row>
    <row r="3" ht="12.75" customHeight="1" spans="1:36" x14ac:dyDescent="0.25">
      <c r="A3" s="5"/>
      <c r="B3" s="16"/>
      <c r="C3" s="16"/>
      <c r="D3" s="16"/>
      <c r="E3" s="16"/>
      <c r="F3" s="16"/>
      <c r="G3" s="16"/>
      <c r="H3" s="16"/>
      <c r="I3" s="16"/>
      <c r="J3" s="16"/>
      <c r="K3" s="16"/>
      <c r="L3" s="16"/>
      <c r="M3" s="16"/>
      <c r="N3" s="16"/>
      <c r="O3" s="16"/>
      <c r="P3" s="16"/>
      <c r="Q3" s="16"/>
      <c r="R3" s="16"/>
      <c r="S3" s="16"/>
      <c r="T3" s="16"/>
      <c r="U3" s="16"/>
      <c r="V3" s="16"/>
      <c r="W3" s="16"/>
      <c r="X3" s="16"/>
      <c r="Y3" s="16"/>
      <c r="Z3" s="16"/>
      <c r="AA3" s="16"/>
      <c r="AB3" s="16"/>
      <c r="AC3" s="16"/>
      <c r="AD3" s="16"/>
      <c r="AE3" s="16"/>
      <c r="AF3" s="16"/>
      <c r="AG3" s="16"/>
      <c r="AH3" s="16"/>
      <c r="AI3" s="16"/>
      <c r="AJ3" s="16"/>
    </row>
    <row r="4" ht="12.75" customHeight="1" spans="1:36" x14ac:dyDescent="0.25">
      <c r="A4" s="264" t="s">
        <v>1</v>
      </c>
      <c r="B4" s="16"/>
      <c r="C4" s="62" t="s">
        <v>242</v>
      </c>
      <c r="D4" s="20"/>
      <c r="E4" s="16"/>
      <c r="F4" s="16"/>
      <c r="G4" s="16"/>
      <c r="H4" s="16"/>
      <c r="I4" s="16"/>
      <c r="J4" s="16"/>
      <c r="K4" s="16"/>
      <c r="L4" s="16"/>
      <c r="M4" s="16"/>
      <c r="N4" s="16"/>
      <c r="O4" s="16"/>
      <c r="P4" s="16"/>
      <c r="Q4" s="16"/>
      <c r="R4" s="16"/>
      <c r="S4" s="16"/>
      <c r="T4" s="16"/>
      <c r="U4" s="16"/>
      <c r="V4" s="16"/>
      <c r="W4" s="16"/>
      <c r="X4" s="16"/>
      <c r="Y4" s="16"/>
      <c r="Z4" s="16"/>
      <c r="AA4" s="16"/>
      <c r="AB4" s="16"/>
      <c r="AC4" s="16"/>
      <c r="AD4" s="16"/>
      <c r="AE4" s="16"/>
      <c r="AF4" s="16"/>
      <c r="AG4" s="16"/>
      <c r="AH4" s="16"/>
      <c r="AI4" s="16"/>
      <c r="AJ4" s="16"/>
    </row>
    <row r="5" ht="12.75" customHeight="1" hidden="1" spans="1:36" x14ac:dyDescent="0.25" outlineLevel="1" collapsed="1">
      <c r="A5" s="16"/>
      <c r="B5" s="16"/>
      <c r="C5" s="16"/>
      <c r="D5" s="16"/>
      <c r="E5" s="16"/>
      <c r="F5" s="16"/>
      <c r="G5" s="16"/>
      <c r="H5" s="16"/>
      <c r="I5" s="16"/>
      <c r="J5" s="16"/>
      <c r="K5" s="16"/>
      <c r="L5" s="16"/>
      <c r="M5" s="16"/>
      <c r="N5" s="16"/>
      <c r="O5" s="16"/>
      <c r="P5" s="16"/>
      <c r="Q5" s="16"/>
      <c r="R5" s="16"/>
      <c r="S5" s="16"/>
      <c r="T5" s="16"/>
      <c r="U5" s="16"/>
      <c r="V5" s="16"/>
      <c r="W5" s="16"/>
      <c r="X5" s="16"/>
      <c r="Y5" s="16"/>
      <c r="Z5" s="16"/>
      <c r="AA5" s="16"/>
      <c r="AB5" s="16"/>
      <c r="AC5" s="16"/>
      <c r="AD5" s="16"/>
      <c r="AE5" s="16"/>
      <c r="AF5" s="16"/>
      <c r="AG5" s="16"/>
      <c r="AH5" s="16"/>
      <c r="AI5" s="16"/>
      <c r="AJ5" s="16"/>
    </row>
    <row r="6" ht="12.75" customHeight="1" hidden="1" spans="1:36" x14ac:dyDescent="0.25" outlineLevel="1" collapsed="1">
      <c r="A6" s="16"/>
      <c r="B6" s="16"/>
      <c r="C6" s="131" t="str">
        <f ca="1">C30&amp;" Methodology"</f>
        <v>Total Company Revenue Methodology</v>
      </c>
      <c r="D6" s="265"/>
      <c r="E6" s="16"/>
      <c r="F6" s="16"/>
      <c r="G6" s="16"/>
      <c r="H6" s="16"/>
      <c r="I6" s="16"/>
      <c r="J6" s="16"/>
      <c r="K6" s="16"/>
      <c r="L6" s="16"/>
      <c r="M6" s="16"/>
      <c r="N6" s="16"/>
      <c r="O6" s="16"/>
      <c r="P6" s="16"/>
      <c r="Q6" s="16"/>
      <c r="R6" s="16"/>
      <c r="S6" s="16"/>
      <c r="T6" s="16"/>
      <c r="U6" s="16"/>
      <c r="V6" s="16"/>
      <c r="W6" s="16"/>
      <c r="X6" s="16"/>
      <c r="Y6" s="16"/>
      <c r="Z6" s="16"/>
      <c r="AA6" s="16"/>
      <c r="AB6" s="16"/>
      <c r="AC6" s="16"/>
      <c r="AD6" s="16"/>
      <c r="AE6" s="16"/>
      <c r="AF6" s="16"/>
      <c r="AG6" s="16"/>
      <c r="AH6" s="16"/>
      <c r="AI6" s="16"/>
      <c r="AJ6" s="16"/>
    </row>
    <row r="7" ht="12.75" customHeight="1" hidden="1" spans="1:36" x14ac:dyDescent="0.25" outlineLevel="1" collapsed="1">
      <c r="A7" s="16"/>
      <c r="B7" s="16"/>
      <c r="C7" s="139" t="s">
        <v>243</v>
      </c>
      <c r="D7" s="47"/>
      <c r="E7" s="16"/>
      <c r="F7" s="16"/>
      <c r="G7" s="16"/>
      <c r="H7" s="16"/>
      <c r="I7" s="16"/>
      <c r="J7" s="16"/>
      <c r="K7" s="16"/>
      <c r="L7" s="16"/>
      <c r="M7" s="16"/>
      <c r="N7" s="16"/>
      <c r="O7" s="16"/>
      <c r="P7" s="16"/>
      <c r="Q7" s="16"/>
      <c r="R7" s="16"/>
      <c r="S7" s="16"/>
      <c r="T7" s="16"/>
      <c r="U7" s="16"/>
      <c r="V7" s="16"/>
      <c r="W7" s="16"/>
      <c r="X7" s="16"/>
      <c r="Y7" s="16"/>
      <c r="Z7" s="16"/>
      <c r="AA7" s="16"/>
      <c r="AB7" s="16"/>
      <c r="AC7" s="16"/>
      <c r="AD7" s="16"/>
      <c r="AE7" s="16"/>
      <c r="AF7" s="16"/>
      <c r="AG7" s="16"/>
      <c r="AH7" s="16"/>
      <c r="AI7" s="16"/>
      <c r="AJ7" s="16"/>
    </row>
    <row r="8" ht="12.75" customHeight="1" hidden="1" spans="1:36" x14ac:dyDescent="0.25" outlineLevel="1" collapsed="1">
      <c r="A8" s="16"/>
      <c r="B8" s="16"/>
      <c r="C8" s="131" t="str">
        <f ca="1">C32&amp;" Methodology"</f>
        <v>Home Improvement Retail Revenue Methodology</v>
      </c>
      <c r="D8" s="265"/>
      <c r="E8" s="16"/>
      <c r="F8" s="16"/>
      <c r="G8" s="16"/>
      <c r="H8" s="16"/>
      <c r="I8" s="16"/>
      <c r="J8" s="16"/>
      <c r="K8" s="16"/>
      <c r="L8" s="16"/>
      <c r="M8" s="16"/>
      <c r="N8" s="16"/>
      <c r="O8" s="16"/>
      <c r="P8" s="16"/>
      <c r="Q8" s="16"/>
      <c r="R8" s="16"/>
      <c r="S8" s="16"/>
      <c r="T8" s="16"/>
      <c r="U8" s="16"/>
      <c r="V8" s="16"/>
      <c r="W8" s="16"/>
      <c r="X8" s="16"/>
      <c r="Y8" s="16"/>
      <c r="Z8" s="16"/>
      <c r="AA8" s="16"/>
      <c r="AB8" s="16"/>
      <c r="AC8" s="16"/>
      <c r="AD8" s="16"/>
      <c r="AE8" s="16"/>
      <c r="AF8" s="16"/>
      <c r="AG8" s="16"/>
      <c r="AH8" s="16"/>
      <c r="AI8" s="16"/>
      <c r="AJ8" s="16"/>
    </row>
    <row r="9" ht="12.75" customHeight="1" hidden="1" spans="1:36" x14ac:dyDescent="0.25" outlineLevel="1" collapsed="1">
      <c r="A9" s="16"/>
      <c r="B9" s="16"/>
      <c r="C9" s="139" t="str">
        <f ca="1">IF(Company_Rev_Methodology="Segment","Segment",IF(Company_Rev_Methodology="Activity-Based","Activity-Based",IF(Company_Rev_Methodology="Backlog","Backlog",IF(Company_Rev_Methodology="Mixed",D9,"--"))))</f>
        <v>Segment</v>
      </c>
      <c r="D9" s="47" t="s">
        <v>244</v>
      </c>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row>
    <row r="10" ht="12.75" customHeight="1" hidden="1" spans="1:36" x14ac:dyDescent="0.25" outlineLevel="1" collapsed="1">
      <c r="A10" s="16"/>
      <c r="B10" s="16"/>
      <c r="C10" s="131" t="str">
        <f ca="1">C35&amp;" Methodology"</f>
        <v>Segment 2 Revenue Methodology</v>
      </c>
      <c r="D10" s="265"/>
      <c r="E10" s="16"/>
      <c r="F10" s="16"/>
      <c r="G10" s="16"/>
      <c r="H10" s="16"/>
      <c r="I10" s="16"/>
      <c r="J10" s="16"/>
      <c r="K10" s="16"/>
      <c r="L10" s="16"/>
      <c r="M10" s="16"/>
      <c r="N10" s="16"/>
      <c r="O10" s="16"/>
      <c r="P10" s="16"/>
      <c r="Q10" s="16"/>
      <c r="R10" s="16"/>
      <c r="S10" s="16"/>
      <c r="T10" s="16"/>
      <c r="U10" s="16"/>
      <c r="V10" s="16"/>
      <c r="W10" s="16"/>
      <c r="X10" s="16"/>
      <c r="Y10" s="16"/>
      <c r="Z10" s="16"/>
      <c r="AA10" s="16"/>
      <c r="AB10" s="16"/>
      <c r="AC10" s="16"/>
      <c r="AD10" s="16"/>
      <c r="AE10" s="16"/>
      <c r="AF10" s="16"/>
      <c r="AG10" s="16"/>
      <c r="AH10" s="16"/>
      <c r="AI10" s="16"/>
      <c r="AJ10" s="16"/>
    </row>
    <row r="11" ht="12.75" customHeight="1" hidden="1" spans="1:36" x14ac:dyDescent="0.25" outlineLevel="1" collapsed="1">
      <c r="A11" s="16"/>
      <c r="B11" s="16"/>
      <c r="C11" s="139" t="str">
        <f ca="1">IF(Company_Rev_Methodology="Segment","Segment",IF(Company_Rev_Methodology="Activity-Based","Activity-Based",IF(Company_Rev_Methodology="Backlog","Backlog",IF(Company_Rev_Methodology="Mixed",D11,"--"))))</f>
        <v>Segment</v>
      </c>
      <c r="D11" s="47" t="s">
        <v>245</v>
      </c>
      <c r="E11" s="16"/>
      <c r="F11" s="16"/>
      <c r="G11" s="16"/>
      <c r="H11" s="16"/>
      <c r="I11" s="16"/>
      <c r="J11" s="16"/>
      <c r="K11" s="16"/>
      <c r="L11" s="16"/>
      <c r="M11" s="16"/>
      <c r="N11" s="16"/>
      <c r="O11" s="16"/>
      <c r="P11" s="16"/>
      <c r="Q11" s="16"/>
      <c r="R11" s="16"/>
      <c r="S11" s="16"/>
      <c r="T11" s="16"/>
      <c r="U11" s="16"/>
      <c r="V11" s="16"/>
      <c r="W11" s="16"/>
      <c r="X11" s="16"/>
      <c r="Y11" s="16"/>
      <c r="Z11" s="16"/>
      <c r="AA11" s="16"/>
      <c r="AB11" s="16"/>
      <c r="AC11" s="16"/>
      <c r="AD11" s="16"/>
      <c r="AE11" s="16"/>
      <c r="AF11" s="16"/>
      <c r="AG11" s="16"/>
      <c r="AH11" s="16"/>
      <c r="AI11" s="16"/>
      <c r="AJ11" s="16"/>
    </row>
    <row r="12" ht="12.75" customHeight="1" hidden="1" spans="1:36" x14ac:dyDescent="0.25" outlineLevel="1" collapsed="1">
      <c r="A12" s="16"/>
      <c r="B12" s="16"/>
      <c r="C12" s="131" t="str">
        <f ca="1">C38&amp;" Methodology"</f>
        <v>Segment 3 Revenue Methodology</v>
      </c>
      <c r="D12" s="265"/>
      <c r="E12" s="16"/>
      <c r="F12" s="16"/>
      <c r="G12" s="16"/>
      <c r="H12" s="16"/>
      <c r="I12" s="16"/>
      <c r="J12" s="16"/>
      <c r="K12" s="16"/>
      <c r="L12" s="16"/>
      <c r="M12" s="16"/>
      <c r="N12" s="16"/>
      <c r="O12" s="16"/>
      <c r="P12" s="16"/>
      <c r="Q12" s="16"/>
      <c r="R12" s="16"/>
      <c r="S12" s="16"/>
      <c r="T12" s="16"/>
      <c r="U12" s="16"/>
      <c r="V12" s="16"/>
      <c r="W12" s="16"/>
      <c r="X12" s="16"/>
      <c r="Y12" s="16"/>
      <c r="Z12" s="16"/>
      <c r="AA12" s="16"/>
      <c r="AB12" s="16"/>
      <c r="AC12" s="16"/>
      <c r="AD12" s="16"/>
      <c r="AE12" s="16"/>
      <c r="AF12" s="16"/>
      <c r="AG12" s="16"/>
      <c r="AH12" s="16"/>
      <c r="AI12" s="16"/>
      <c r="AJ12" s="16"/>
    </row>
    <row r="13" ht="12.75" customHeight="1" hidden="1" spans="1:36" x14ac:dyDescent="0.25" outlineLevel="1" collapsed="1">
      <c r="A13" s="16"/>
      <c r="B13" s="16"/>
      <c r="C13" s="139" t="str">
        <f ca="1">IF(Company_Rev_Methodology="Segment","Segment",IF(Company_Rev_Methodology="Activity-Based","Activity-Based",IF(Company_Rev_Methodology="Backlog","Backlog",IF(Company_Rev_Methodology="Mixed",D13,"--"))))</f>
        <v>Segment</v>
      </c>
      <c r="D13" s="47" t="s">
        <v>243</v>
      </c>
      <c r="E13" s="16"/>
      <c r="F13" s="16"/>
      <c r="G13" s="16"/>
      <c r="H13" s="16"/>
      <c r="I13" s="16"/>
      <c r="J13" s="16"/>
      <c r="K13" s="16"/>
      <c r="L13" s="16"/>
      <c r="M13" s="16"/>
      <c r="N13" s="16"/>
      <c r="O13" s="16"/>
      <c r="P13" s="16"/>
      <c r="Q13" s="16"/>
      <c r="R13" s="16"/>
      <c r="S13" s="16"/>
      <c r="T13" s="16"/>
      <c r="U13" s="16"/>
      <c r="V13" s="16"/>
      <c r="W13" s="16"/>
      <c r="X13" s="16"/>
      <c r="Y13" s="16"/>
      <c r="Z13" s="16"/>
      <c r="AA13" s="16"/>
      <c r="AB13" s="16"/>
      <c r="AC13" s="16"/>
      <c r="AD13" s="16"/>
      <c r="AE13" s="16"/>
      <c r="AF13" s="16"/>
      <c r="AG13" s="16"/>
      <c r="AH13" s="16"/>
      <c r="AI13" s="16"/>
      <c r="AJ13" s="16"/>
    </row>
    <row r="14" ht="12.75" customHeight="1" hidden="1" spans="1:36" x14ac:dyDescent="0.25" outlineLevel="1" collapsed="1">
      <c r="A14" s="16"/>
      <c r="B14" s="16"/>
      <c r="C14" s="131" t="str">
        <f ca="1">C41&amp;" Methodology"</f>
        <v>Segment 4 Revenue Methodology</v>
      </c>
      <c r="D14" s="265"/>
      <c r="E14" s="16"/>
      <c r="F14" s="16"/>
      <c r="G14" s="16"/>
      <c r="H14" s="16"/>
      <c r="I14" s="16"/>
      <c r="J14" s="16"/>
      <c r="K14" s="16"/>
      <c r="L14" s="16"/>
      <c r="M14" s="16"/>
      <c r="N14" s="16"/>
      <c r="O14" s="16"/>
      <c r="P14" s="16"/>
      <c r="Q14" s="16"/>
      <c r="R14" s="16"/>
      <c r="S14" s="16"/>
      <c r="T14" s="16"/>
      <c r="U14" s="16"/>
      <c r="V14" s="16"/>
      <c r="W14" s="16"/>
      <c r="X14" s="16"/>
      <c r="Y14" s="16"/>
      <c r="Z14" s="16"/>
      <c r="AA14" s="16"/>
      <c r="AB14" s="16"/>
      <c r="AC14" s="16"/>
      <c r="AD14" s="16"/>
      <c r="AE14" s="16"/>
      <c r="AF14" s="16"/>
      <c r="AG14" s="16"/>
      <c r="AH14" s="16"/>
      <c r="AI14" s="16"/>
      <c r="AJ14" s="16"/>
    </row>
    <row r="15" ht="12.75" customHeight="1" hidden="1" spans="1:36" x14ac:dyDescent="0.25" outlineLevel="1" collapsed="1">
      <c r="A15" s="16"/>
      <c r="B15" s="16"/>
      <c r="C15" s="139" t="str">
        <f ca="1">IF(Company_Rev_Methodology="Segment","Segment",IF(Company_Rev_Methodology="Activity-Based","Activity-Based",IF(Company_Rev_Methodology="Backlog","Backlog",IF(Company_Rev_Methodology="Mixed",D15,"--"))))</f>
        <v>Segment</v>
      </c>
      <c r="D15" s="47" t="s">
        <v>243</v>
      </c>
      <c r="E15" s="16"/>
      <c r="F15" s="16"/>
      <c r="G15" s="16"/>
      <c r="H15" s="16"/>
      <c r="I15" s="16"/>
      <c r="J15" s="16"/>
      <c r="K15" s="16"/>
      <c r="L15" s="16"/>
      <c r="M15" s="16"/>
      <c r="N15" s="16"/>
      <c r="O15" s="16"/>
      <c r="P15" s="16"/>
      <c r="Q15" s="16"/>
      <c r="R15" s="16"/>
      <c r="S15" s="16"/>
      <c r="T15" s="16"/>
      <c r="U15" s="16"/>
      <c r="V15" s="16"/>
      <c r="W15" s="16"/>
      <c r="X15" s="16"/>
      <c r="Y15" s="16"/>
      <c r="Z15" s="16"/>
      <c r="AA15" s="16"/>
      <c r="AB15" s="16"/>
      <c r="AC15" s="16"/>
      <c r="AD15" s="16"/>
      <c r="AE15" s="16"/>
      <c r="AF15" s="16"/>
      <c r="AG15" s="16"/>
      <c r="AH15" s="16"/>
      <c r="AI15" s="16"/>
      <c r="AJ15" s="16"/>
    </row>
    <row r="16" ht="12.75" customHeight="1" hidden="1" spans="1:36" x14ac:dyDescent="0.25" outlineLevel="1" collapsed="1">
      <c r="A16" s="16"/>
      <c r="B16" s="16"/>
      <c r="C16" s="131" t="str">
        <f ca="1">C44&amp;" Methodology"</f>
        <v>Segment 5 Revenue Methodology</v>
      </c>
      <c r="D16" s="265"/>
      <c r="E16" s="16"/>
      <c r="F16" s="16"/>
      <c r="G16" s="16"/>
      <c r="H16" s="16"/>
      <c r="I16" s="16"/>
      <c r="J16" s="16"/>
      <c r="K16" s="16"/>
      <c r="L16" s="16"/>
      <c r="M16" s="16"/>
      <c r="N16" s="16"/>
      <c r="O16" s="16"/>
      <c r="P16" s="16"/>
      <c r="Q16" s="16"/>
      <c r="R16" s="16"/>
      <c r="S16" s="16"/>
      <c r="T16" s="16"/>
      <c r="U16" s="16"/>
      <c r="V16" s="16"/>
      <c r="W16" s="16"/>
      <c r="X16" s="16"/>
      <c r="Y16" s="16"/>
      <c r="Z16" s="16"/>
      <c r="AA16" s="16"/>
      <c r="AB16" s="16"/>
      <c r="AC16" s="16"/>
      <c r="AD16" s="16"/>
      <c r="AE16" s="16"/>
      <c r="AF16" s="16"/>
      <c r="AG16" s="16"/>
      <c r="AH16" s="16"/>
      <c r="AI16" s="16"/>
      <c r="AJ16" s="16"/>
    </row>
    <row r="17" ht="12.75" customHeight="1" hidden="1" spans="1:36" x14ac:dyDescent="0.25" outlineLevel="1" collapsed="1">
      <c r="A17" s="16"/>
      <c r="B17" s="16"/>
      <c r="C17" s="139" t="str">
        <f ca="1">IF(Company_Rev_Methodology="Segment","Segment",IF(Company_Rev_Methodology="Activity-Based","Activity-Based",IF(Company_Rev_Methodology="Backlog","Backlog",IF(Company_Rev_Methodology="Mixed",D17,"--"))))</f>
        <v>Segment</v>
      </c>
      <c r="D17" s="47" t="s">
        <v>243</v>
      </c>
      <c r="E17" s="16"/>
      <c r="F17" s="16"/>
      <c r="G17" s="16"/>
      <c r="H17" s="16"/>
      <c r="I17" s="16"/>
      <c r="J17" s="16"/>
      <c r="K17" s="16"/>
      <c r="L17" s="16"/>
      <c r="M17" s="16"/>
      <c r="N17" s="16"/>
      <c r="O17" s="16"/>
      <c r="P17" s="16"/>
      <c r="Q17" s="16"/>
      <c r="R17" s="16"/>
      <c r="S17" s="16"/>
      <c r="T17" s="16"/>
      <c r="U17" s="16"/>
      <c r="V17" s="16"/>
      <c r="W17" s="16"/>
      <c r="X17" s="16"/>
      <c r="Y17" s="16"/>
      <c r="Z17" s="16"/>
      <c r="AA17" s="16"/>
      <c r="AB17" s="16"/>
      <c r="AC17" s="16"/>
      <c r="AD17" s="16"/>
      <c r="AE17" s="16"/>
      <c r="AF17" s="16"/>
      <c r="AG17" s="16"/>
      <c r="AH17" s="16"/>
      <c r="AI17" s="16"/>
      <c r="AJ17" s="16"/>
    </row>
    <row r="18" ht="12.75" customHeight="1" hidden="1" spans="1:36" x14ac:dyDescent="0.25" outlineLevel="1" collapsed="1">
      <c r="A18" s="16"/>
      <c r="B18" s="16"/>
      <c r="C18" s="131" t="str">
        <f ca="1">C47&amp;" Methodology"</f>
        <v>Segment 6 Revenue Methodology</v>
      </c>
      <c r="D18" s="265"/>
      <c r="E18" s="16"/>
      <c r="F18" s="16"/>
      <c r="G18" s="16"/>
      <c r="H18" s="16"/>
      <c r="I18" s="16"/>
      <c r="J18" s="16"/>
      <c r="K18" s="16"/>
      <c r="L18" s="16"/>
      <c r="M18" s="16"/>
      <c r="N18" s="16"/>
      <c r="O18" s="16"/>
      <c r="P18" s="16"/>
      <c r="Q18" s="16"/>
      <c r="R18" s="16"/>
      <c r="S18" s="16"/>
      <c r="T18" s="16"/>
      <c r="U18" s="16"/>
      <c r="V18" s="16"/>
      <c r="W18" s="16"/>
      <c r="X18" s="16"/>
      <c r="Y18" s="16"/>
      <c r="Z18" s="16"/>
      <c r="AA18" s="16"/>
      <c r="AB18" s="16"/>
      <c r="AC18" s="16"/>
      <c r="AD18" s="16"/>
      <c r="AE18" s="16"/>
      <c r="AF18" s="16"/>
      <c r="AG18" s="16"/>
      <c r="AH18" s="16"/>
      <c r="AI18" s="16"/>
      <c r="AJ18" s="16"/>
    </row>
    <row r="19" ht="12.75" customHeight="1" hidden="1" spans="1:36" x14ac:dyDescent="0.25" outlineLevel="1" collapsed="1">
      <c r="A19" s="16"/>
      <c r="B19" s="16"/>
      <c r="C19" s="139" t="str">
        <f ca="1">IF(Company_Rev_Methodology="Segment","Segment",IF(Company_Rev_Methodology="Activity-Based","Activity-Based",IF(Company_Rev_Methodology="Backlog","Backlog",IF(Company_Rev_Methodology="Mixed",D19,"--"))))</f>
        <v>Segment</v>
      </c>
      <c r="D19" s="47" t="s">
        <v>243</v>
      </c>
      <c r="E19" s="16"/>
      <c r="F19" s="16"/>
      <c r="G19" s="16"/>
      <c r="H19" s="16"/>
      <c r="I19" s="16"/>
      <c r="J19" s="16"/>
      <c r="K19" s="16"/>
      <c r="L19" s="16"/>
      <c r="M19" s="16"/>
      <c r="N19" s="16"/>
      <c r="O19" s="16"/>
      <c r="P19" s="16"/>
      <c r="Q19" s="16"/>
      <c r="R19" s="16"/>
      <c r="S19" s="16"/>
      <c r="T19" s="16"/>
      <c r="U19" s="16"/>
      <c r="V19" s="16"/>
      <c r="W19" s="16"/>
      <c r="X19" s="16"/>
      <c r="Y19" s="16"/>
      <c r="Z19" s="16"/>
      <c r="AA19" s="16"/>
      <c r="AB19" s="16"/>
      <c r="AC19" s="16"/>
      <c r="AD19" s="16"/>
      <c r="AE19" s="16"/>
      <c r="AF19" s="16"/>
      <c r="AG19" s="16"/>
      <c r="AH19" s="16"/>
      <c r="AI19" s="16"/>
      <c r="AJ19" s="16"/>
    </row>
    <row r="20" ht="12.75" customHeight="1" spans="1:36" x14ac:dyDescent="0.25">
      <c r="A20" s="16"/>
      <c r="B20" s="16"/>
      <c r="C20" s="139"/>
      <c r="D20" s="47"/>
      <c r="E20" s="16"/>
      <c r="F20" s="16"/>
      <c r="G20" s="16"/>
      <c r="H20" s="16"/>
      <c r="I20" s="16"/>
      <c r="J20" s="16"/>
      <c r="K20" s="16"/>
      <c r="L20" s="16"/>
      <c r="M20" s="16"/>
      <c r="N20" s="16"/>
      <c r="O20" s="16"/>
      <c r="P20" s="16"/>
      <c r="Q20" s="16"/>
      <c r="R20" s="16"/>
      <c r="S20" s="16"/>
      <c r="T20" s="16"/>
      <c r="U20" s="16"/>
      <c r="V20" s="16"/>
      <c r="W20" s="16"/>
      <c r="X20" s="16"/>
      <c r="Y20" s="16"/>
      <c r="Z20" s="16"/>
      <c r="AA20" s="16"/>
      <c r="AB20" s="16"/>
      <c r="AC20" s="16"/>
      <c r="AD20" s="16"/>
      <c r="AE20" s="16"/>
      <c r="AF20" s="16"/>
      <c r="AG20" s="16"/>
      <c r="AH20" s="16"/>
      <c r="AI20" s="16"/>
      <c r="AJ20" s="16"/>
    </row>
    <row r="21" ht="12.75" customHeight="1" spans="1:36" x14ac:dyDescent="0.25">
      <c r="A21" s="16"/>
      <c r="B21" s="16"/>
      <c r="C21" s="266" t="s">
        <v>4</v>
      </c>
      <c r="D21" s="16"/>
      <c r="E21" s="16"/>
      <c r="F21" s="16"/>
      <c r="G21" s="16"/>
      <c r="H21" s="16"/>
      <c r="I21" s="16"/>
      <c r="J21" s="16"/>
      <c r="K21" s="16"/>
      <c r="L21" s="16"/>
      <c r="M21" s="16"/>
      <c r="N21" s="16"/>
      <c r="O21" s="16"/>
      <c r="P21" s="16"/>
      <c r="Q21" s="16"/>
      <c r="R21" s="16"/>
      <c r="S21" s="16"/>
      <c r="T21" s="16"/>
      <c r="U21" s="16"/>
      <c r="V21" s="16"/>
      <c r="W21" s="16"/>
      <c r="X21" s="16"/>
      <c r="Y21" s="16"/>
      <c r="Z21" s="16"/>
      <c r="AA21" s="16"/>
      <c r="AB21" s="16"/>
      <c r="AC21" s="16"/>
      <c r="AD21" s="16"/>
      <c r="AE21" s="16"/>
      <c r="AF21" s="16"/>
      <c r="AG21" s="16"/>
      <c r="AH21" s="16"/>
      <c r="AI21" s="16"/>
      <c r="AJ21" s="16"/>
    </row>
    <row r="22" ht="12.75" customHeight="1" spans="1:36" x14ac:dyDescent="0.25">
      <c r="A22" s="16"/>
      <c r="B22" s="16"/>
      <c r="C22" s="267" t="s">
        <v>6</v>
      </c>
      <c r="D22" s="16"/>
      <c r="E22" s="16"/>
      <c r="F22" s="16"/>
      <c r="G22" s="16"/>
      <c r="H22" s="16"/>
      <c r="I22" s="16"/>
      <c r="J22" s="16"/>
      <c r="K22" s="16"/>
      <c r="L22" s="16"/>
      <c r="M22" s="16"/>
      <c r="N22" s="16"/>
      <c r="O22" s="16"/>
      <c r="P22" s="16"/>
      <c r="Q22" s="16"/>
      <c r="R22" s="16"/>
      <c r="S22" s="16"/>
      <c r="T22" s="16"/>
      <c r="U22" s="16"/>
      <c r="V22" s="16"/>
      <c r="W22" s="16"/>
      <c r="X22" s="16"/>
      <c r="Y22" s="16"/>
      <c r="Z22" s="16"/>
      <c r="AA22" s="16"/>
      <c r="AB22" s="16"/>
      <c r="AC22" s="16"/>
      <c r="AD22" s="16"/>
      <c r="AE22" s="16"/>
      <c r="AF22" s="16"/>
      <c r="AG22" s="16"/>
      <c r="AH22" s="16"/>
      <c r="AI22" s="16"/>
      <c r="AJ22" s="16"/>
    </row>
    <row r="23" ht="12.75" customHeight="1" spans="1:36" x14ac:dyDescent="0.25">
      <c r="A23" s="16"/>
      <c r="B23" s="16"/>
      <c r="C23" s="16"/>
      <c r="D23" s="16"/>
      <c r="E23" s="16"/>
      <c r="F23" s="16"/>
      <c r="G23" s="16"/>
      <c r="H23" s="16"/>
      <c r="I23" s="16"/>
      <c r="J23" s="16"/>
      <c r="K23" s="16"/>
      <c r="L23" s="16"/>
      <c r="M23" s="16"/>
      <c r="N23" s="16"/>
      <c r="O23" s="16"/>
      <c r="P23" s="16"/>
      <c r="Q23" s="16"/>
      <c r="R23" s="16"/>
      <c r="S23" s="16"/>
      <c r="T23" s="16"/>
      <c r="U23" s="16"/>
      <c r="V23" s="16"/>
      <c r="W23" s="16"/>
      <c r="X23" s="16"/>
      <c r="Y23" s="16"/>
      <c r="Z23" s="16"/>
      <c r="AA23" s="16"/>
      <c r="AB23" s="16"/>
      <c r="AC23" s="16"/>
      <c r="AD23" s="16"/>
      <c r="AE23" s="16"/>
      <c r="AF23" s="16"/>
      <c r="AG23" s="16"/>
      <c r="AH23" s="16"/>
      <c r="AI23" s="16"/>
      <c r="AJ23" s="16"/>
    </row>
    <row r="24" ht="12.75" customHeight="1" spans="1:36" x14ac:dyDescent="0.25">
      <c r="A24" s="16"/>
      <c r="B24" s="16"/>
      <c r="C24" s="268" t="s">
        <v>246</v>
      </c>
      <c r="D24" s="16"/>
      <c r="E24" s="16"/>
      <c r="F24" s="16"/>
      <c r="G24" s="16"/>
      <c r="H24" s="16"/>
      <c r="I24" s="16"/>
      <c r="J24" s="16"/>
      <c r="K24" s="16"/>
      <c r="L24" s="16"/>
      <c r="M24" s="16"/>
      <c r="N24" s="16"/>
      <c r="O24" s="16"/>
      <c r="P24" s="16"/>
      <c r="Q24" s="16"/>
      <c r="R24" s="16"/>
      <c r="S24" s="16"/>
      <c r="T24" s="16"/>
      <c r="U24" s="16"/>
      <c r="V24" s="16"/>
      <c r="W24" s="16"/>
      <c r="X24" s="16"/>
      <c r="Y24" s="16"/>
      <c r="Z24" s="16"/>
      <c r="AA24" s="16"/>
      <c r="AB24" s="16"/>
      <c r="AC24" s="16"/>
      <c r="AD24" s="16"/>
      <c r="AE24" s="16"/>
      <c r="AF24" s="16"/>
      <c r="AG24" s="16"/>
      <c r="AH24" s="16"/>
      <c r="AI24" s="16"/>
      <c r="AJ24" s="16"/>
    </row>
    <row r="25" ht="12.75" customHeight="1" spans="1:36" x14ac:dyDescent="0.25">
      <c r="A25" s="16"/>
      <c r="B25" s="16"/>
      <c r="C25" s="267" t="s">
        <v>103</v>
      </c>
      <c r="D25" s="16"/>
      <c r="E25" s="16"/>
      <c r="F25" s="16"/>
      <c r="G25" s="16"/>
      <c r="H25" s="16"/>
      <c r="I25" s="16"/>
      <c r="J25" s="16"/>
      <c r="K25" s="16"/>
      <c r="L25" s="16"/>
      <c r="M25" s="16"/>
      <c r="N25" s="16"/>
      <c r="O25" s="16"/>
      <c r="P25" s="16"/>
      <c r="Q25" s="16"/>
      <c r="R25" s="16"/>
      <c r="S25" s="16"/>
      <c r="T25" s="16"/>
      <c r="U25" s="16"/>
      <c r="V25" s="16"/>
      <c r="W25" s="16"/>
      <c r="X25" s="16"/>
      <c r="Y25" s="16"/>
      <c r="Z25" s="16"/>
      <c r="AA25" s="16"/>
      <c r="AB25" s="16"/>
      <c r="AC25" s="16"/>
      <c r="AD25" s="16"/>
      <c r="AE25" s="16"/>
      <c r="AF25" s="16"/>
      <c r="AG25" s="16"/>
      <c r="AH25" s="16"/>
      <c r="AI25" s="16"/>
      <c r="AJ25" s="16"/>
    </row>
    <row r="26" ht="12.75" customHeight="1" spans="1:36" x14ac:dyDescent="0.25" outlineLevel="1" collapsed="1">
      <c r="A26" s="264"/>
      <c r="B26" s="16"/>
      <c r="C26" s="16"/>
      <c r="D26" s="16"/>
      <c r="E26" s="16"/>
      <c r="F26" s="16"/>
      <c r="G26" s="16"/>
      <c r="H26" s="16"/>
      <c r="I26" s="16"/>
      <c r="J26" s="47">
        <v>1</v>
      </c>
      <c r="K26" s="47"/>
      <c r="L26" s="47"/>
      <c r="M26" s="47"/>
      <c r="N26" s="47"/>
      <c r="O26" s="47">
        <v>2</v>
      </c>
      <c r="P26" s="47"/>
      <c r="Q26" s="47"/>
      <c r="R26" s="47"/>
      <c r="S26" s="47"/>
      <c r="T26" s="47">
        <v>3</v>
      </c>
      <c r="U26" s="47"/>
      <c r="V26" s="47"/>
      <c r="W26" s="47"/>
      <c r="X26" s="47"/>
      <c r="Y26" s="47">
        <v>4</v>
      </c>
      <c r="Z26" s="47"/>
      <c r="AA26" s="47"/>
      <c r="AB26" s="47"/>
      <c r="AC26" s="47"/>
      <c r="AD26" s="47">
        <v>5</v>
      </c>
      <c r="AE26" s="47">
        <v>6</v>
      </c>
      <c r="AF26" s="47">
        <v>7</v>
      </c>
      <c r="AG26" s="47">
        <v>8</v>
      </c>
      <c r="AH26" s="16"/>
      <c r="AI26" s="16"/>
      <c r="AJ26" s="16"/>
    </row>
    <row r="27" ht="12.75" customHeight="1" spans="1:36" x14ac:dyDescent="0.25">
      <c r="A27" s="264"/>
      <c r="B27" s="269"/>
      <c r="C27" s="270"/>
      <c r="D27" s="271"/>
      <c r="E27" s="271"/>
      <c r="F27" s="271"/>
      <c r="G27" s="271"/>
      <c r="H27" s="271"/>
      <c r="I27" s="271"/>
      <c r="J27" s="271"/>
      <c r="K27" s="271"/>
      <c r="L27" s="271"/>
      <c r="M27" s="271"/>
      <c r="N27" s="271"/>
      <c r="O27" s="271"/>
      <c r="P27" s="271"/>
      <c r="Q27" s="271"/>
      <c r="R27" s="271"/>
      <c r="S27" s="271"/>
      <c r="T27" s="271"/>
      <c r="U27" s="271"/>
      <c r="V27" s="271"/>
      <c r="W27" s="271"/>
      <c r="X27" s="271"/>
      <c r="Y27" s="271"/>
      <c r="Z27" s="271"/>
      <c r="AA27" s="271"/>
      <c r="AB27" s="271"/>
      <c r="AC27" s="271"/>
      <c r="AD27" s="271"/>
      <c r="AE27" s="271"/>
      <c r="AF27" s="271"/>
      <c r="AG27" s="272"/>
      <c r="AH27" s="269"/>
      <c r="AI27" s="273" t="s">
        <v>104</v>
      </c>
      <c r="AJ27" s="181"/>
    </row>
    <row r="28" ht="12.75" customHeight="1" spans="1:36" x14ac:dyDescent="0.25">
      <c r="A28" s="264" t="s">
        <v>1</v>
      </c>
      <c r="B28" s="16"/>
      <c r="C28" s="274" t="s">
        <v>34</v>
      </c>
      <c r="D28" s="275"/>
      <c r="E28" s="275"/>
      <c r="F28" s="276" t="str">
        <f ca="1">Model!F$25</f>
        <v>1Q23</v>
      </c>
      <c r="G28" s="201" t="str">
        <f ca="1">Model!G$25</f>
        <v>2Q23</v>
      </c>
      <c r="H28" s="201" t="str">
        <f ca="1">Model!H$25</f>
        <v>3Q23</v>
      </c>
      <c r="I28" s="201" t="str">
        <f ca="1">Model!I$25</f>
        <v>4Q23</v>
      </c>
      <c r="J28" s="201">
        <f ca="1">Model!J$25</f>
        <v>2023</v>
      </c>
      <c r="K28" s="201" t="str">
        <f ca="1">Model!K$25</f>
        <v>1Q24</v>
      </c>
      <c r="L28" s="201" t="str">
        <f ca="1">Model!L$25</f>
        <v>2Q24</v>
      </c>
      <c r="M28" s="201" t="str">
        <f ca="1">Model!M$25</f>
        <v>3Q24</v>
      </c>
      <c r="N28" s="201" t="str">
        <f ca="1">Model!N$25</f>
        <v>4Q24</v>
      </c>
      <c r="O28" s="201">
        <f ca="1">Model!O$25</f>
        <v>2024</v>
      </c>
      <c r="P28" s="201" t="str">
        <f ca="1">Model!P$25</f>
        <v>1Q25</v>
      </c>
      <c r="Q28" s="201" t="str">
        <f ca="1">Model!Q$25</f>
        <v>2Q25</v>
      </c>
      <c r="R28" s="201" t="str">
        <f ca="1">Model!R$25</f>
        <v>3Q25</v>
      </c>
      <c r="S28" s="201" t="str">
        <f ca="1">Model!S$25</f>
        <v>4Q25</v>
      </c>
      <c r="T28" s="201">
        <f ca="1">Model!T$25</f>
        <v>2025</v>
      </c>
      <c r="U28" s="201" t="str">
        <f ca="1">Model!U$25</f>
        <v>1Q26</v>
      </c>
      <c r="V28" s="201" t="str">
        <f ca="1">Model!V$25</f>
        <v>2Q26</v>
      </c>
      <c r="W28" s="201" t="str">
        <f ca="1">Model!W$25</f>
        <v>3Q26e</v>
      </c>
      <c r="X28" s="201" t="str">
        <f ca="1">Model!X$25</f>
        <v>4Q26e</v>
      </c>
      <c r="Y28" s="201" t="str">
        <f ca="1">Model!Y$25</f>
        <v>2026e</v>
      </c>
      <c r="Z28" s="201" t="str">
        <f ca="1">Model!Z$25</f>
        <v>1Q27e</v>
      </c>
      <c r="AA28" s="201" t="str">
        <f ca="1">Model!AA$25</f>
        <v>2Q27e</v>
      </c>
      <c r="AB28" s="201" t="str">
        <f ca="1">Model!AB$25</f>
        <v>3Q27e</v>
      </c>
      <c r="AC28" s="201" t="str">
        <f ca="1">Model!AC$25</f>
        <v>4Q27e</v>
      </c>
      <c r="AD28" s="201" t="str">
        <f ca="1">Model!AD$25</f>
        <v>2027e</v>
      </c>
      <c r="AE28" s="201" t="str">
        <f ca="1">Model!AE$25</f>
        <v>2028e</v>
      </c>
      <c r="AF28" s="201" t="str">
        <f ca="1">Model!AF$25</f>
        <v>2029e</v>
      </c>
      <c r="AG28" s="202" t="str">
        <f ca="1">Model!AG$25</f>
        <v>2030e</v>
      </c>
      <c r="AH28" s="277"/>
      <c r="AI28" s="278" t="s">
        <v>105</v>
      </c>
      <c r="AJ28" s="202" t="s">
        <v>106</v>
      </c>
    </row>
    <row r="29" ht="12.75" customHeight="1" spans="1:36" x14ac:dyDescent="0.25">
      <c r="A29" s="16"/>
      <c r="B29" s="16"/>
      <c r="C29" s="16"/>
      <c r="D29" s="16"/>
      <c r="E29" s="16"/>
      <c r="F29" s="279"/>
      <c r="G29" s="279"/>
      <c r="H29" s="279"/>
      <c r="I29" s="279"/>
      <c r="J29" s="280"/>
      <c r="K29" s="279"/>
      <c r="L29" s="279"/>
      <c r="M29" s="279"/>
      <c r="N29" s="279"/>
      <c r="O29" s="280"/>
      <c r="P29" s="279"/>
      <c r="Q29" s="279"/>
      <c r="R29" s="279"/>
      <c r="S29" s="279"/>
      <c r="T29" s="280"/>
      <c r="U29" s="279"/>
      <c r="V29" s="279"/>
      <c r="W29" s="279"/>
      <c r="X29" s="281"/>
      <c r="Y29" s="282"/>
      <c r="Z29" s="281"/>
      <c r="AA29" s="281"/>
      <c r="AB29" s="281"/>
      <c r="AC29" s="281"/>
      <c r="AD29" s="282"/>
      <c r="AE29" s="282"/>
      <c r="AF29" s="282"/>
      <c r="AG29" s="282"/>
      <c r="AH29" s="16"/>
      <c r="AI29" s="190"/>
      <c r="AJ29" s="283"/>
    </row>
    <row r="30" ht="12.75" customHeight="1" spans="1:36" x14ac:dyDescent="0.25">
      <c r="A30" s="16"/>
      <c r="B30" s="16"/>
      <c r="C30" s="16" t="s">
        <v>247</v>
      </c>
      <c r="D30" s="16"/>
      <c r="E30" s="16"/>
      <c r="F30" s="284">
        <f ca="1">'Segment Analysis'!F7</f>
        <v>17360</v>
      </c>
      <c r="G30" s="284">
        <f ca="1">'Segment Analysis'!G7</f>
        <v>20888</v>
      </c>
      <c r="H30" s="284">
        <f ca="1">'Segment Analysis'!H7</f>
        <v>17415</v>
      </c>
      <c r="I30" s="284">
        <f ca="1">'Segment Analysis'!I7</f>
        <v>15646</v>
      </c>
      <c r="J30" s="285">
        <f ca="1">'Segment Analysis'!J7</f>
        <v>71309</v>
      </c>
      <c r="K30" s="284">
        <f ca="1">'Segment Analysis'!K7</f>
        <v>17741</v>
      </c>
      <c r="L30" s="284">
        <f ca="1">'Segment Analysis'!L7</f>
        <v>20992</v>
      </c>
      <c r="M30" s="284">
        <f ca="1">'Segment Analysis'!M7</f>
        <v>17388</v>
      </c>
      <c r="N30" s="284">
        <f ca="1">'Segment Analysis'!N7</f>
        <v>16027</v>
      </c>
      <c r="O30" s="285">
        <f ca="1">'Segment Analysis'!O7</f>
        <v>72148</v>
      </c>
      <c r="P30" s="284">
        <f ca="1">'Segment Analysis'!P7</f>
        <v>19675</v>
      </c>
      <c r="Q30" s="284">
        <f ca="1">'Segment Analysis'!Q7</f>
        <v>27302</v>
      </c>
      <c r="R30" s="284">
        <f ca="1">'Segment Analysis'!R7</f>
        <v>22309</v>
      </c>
      <c r="S30" s="284">
        <f ca="1">'Segment Analysis'!S7</f>
        <v>20311</v>
      </c>
      <c r="T30" s="285">
        <f ca="1">'Segment Analysis'!T7</f>
        <v>89597</v>
      </c>
      <c r="U30" s="284">
        <f ca="1">'Segment Analysis'!U7</f>
        <v>24422</v>
      </c>
      <c r="V30" s="284">
        <f ca="1">'Segment Analysis'!V7</f>
        <v>27570</v>
      </c>
      <c r="W30" s="284">
        <f ca="1">'Segment Analysis'!W7</f>
        <v>22918</v>
      </c>
      <c r="X30" s="286">
        <f ca="1">SUM(X32,X35,X38,X41,X44,X47,)</f>
        <v>21772.1</v>
      </c>
      <c r="Y30" s="287">
        <f ca="1">SUM(U30:X30)</f>
        <v>96682.1</v>
      </c>
      <c r="Z30" s="286">
        <f t="shared" ref="Z30:AC30" si="0" ca="1">SUM(Z32,Z35,Z38,Z41,Z44,Z47,)</f>
        <v>25691.077999999998</v>
      </c>
      <c r="AA30" s="286">
        <f ca="1">SUM(AA32,AA35,AA38,AA41,AA44,AA47,)</f>
        <v>29287.82892</v>
      </c>
      <c r="AB30" s="286">
        <f ca="1">SUM(AB32,AB35,AB38,AB41,AB44,AB47,)</f>
        <v>25773.2894496</v>
      </c>
      <c r="AC30" s="286">
        <f ca="1">SUM(AC32,AC35,AC38,AC41,AC44,AC47,)</f>
        <v>24484.62497712</v>
      </c>
      <c r="AD30" s="287">
        <f ca="1">SUM(Z30:AC30)</f>
        <v>105236.82134671998</v>
      </c>
      <c r="AE30" s="287">
        <f t="shared" ref="AE30:AG30" si="1" ca="1">SUM(AE32,AE35,AE38,AE41,AE44,AE47,)</f>
        <v>107341.55777365438</v>
      </c>
      <c r="AF30" s="287">
        <f ca="1">SUM(AF32,AF35,AF38,AF41,AF44,AF47,)</f>
        <v>109488.38892912747</v>
      </c>
      <c r="AG30" s="287">
        <f ca="1">SUM(AG32,AG35,AG38,AG41,AG44,AG47,)</f>
        <v>111678.15670771002</v>
      </c>
      <c r="AH30" s="16"/>
      <c r="AI30" s="288">
        <f ca="1">IFERROR((T30/J30)^(1/3)-1,"--")</f>
        <v>0.07907022065064795</v>
      </c>
      <c r="AJ30" s="289">
        <f ca="1">IFERROR((AG30/T30)^(1/5)-1,"--")</f>
        <v>0.04504490866789568</v>
      </c>
    </row>
    <row r="31" ht="12.75" customHeight="1" spans="1:36" x14ac:dyDescent="0.25">
      <c r="A31" s="290"/>
      <c r="B31" s="291"/>
      <c r="C31" s="292" t="str">
        <f ca="1">IF($C$25="Quarterly","% Growth QoQ","% Growth YoY")</f>
        <v>% Growth QoQ</v>
      </c>
      <c r="D31" s="291"/>
      <c r="E31" s="291"/>
      <c r="F31" s="293"/>
      <c r="G31" s="294">
        <f ca="1">IF($C$25="Annual",'Segment Analysis'!G172,'Segment Analysis'!G192)</f>
        <v>0.2032258064516128</v>
      </c>
      <c r="H31" s="294">
        <f ca="1">IF($C$25="Annual",'Segment Analysis'!H172,'Segment Analysis'!H192)</f>
        <v>-0.16626771351972425</v>
      </c>
      <c r="I31" s="294">
        <f ca="1">IF($C$25="Annual",'Segment Analysis'!I172,'Segment Analysis'!I192)</f>
        <v>-0.10157909847832325</v>
      </c>
      <c r="J31" s="295"/>
      <c r="K31" s="294">
        <f ca="1">IF($C$25="Annual",'Segment Analysis'!K172,'Segment Analysis'!K192)</f>
        <v>0.13390003834845965</v>
      </c>
      <c r="L31" s="294">
        <f ca="1">IF($C$25="Annual",'Segment Analysis'!L172,'Segment Analysis'!L192)</f>
        <v>0.18324784397722782</v>
      </c>
      <c r="M31" s="294">
        <f ca="1">IF($C$25="Annual",'Segment Analysis'!M172,'Segment Analysis'!M192)</f>
        <v>-0.17168445121951215</v>
      </c>
      <c r="N31" s="294">
        <f ca="1">IF($C$25="Annual",'Segment Analysis'!N172,'Segment Analysis'!N192)</f>
        <v>-0.07827237175063262</v>
      </c>
      <c r="O31" s="295">
        <f ca="1">IF($C$25="Annual",'Segment Analysis'!O172,'Segment Analysis'!O192)</f>
        <v>1e-12</v>
      </c>
      <c r="P31" s="294">
        <f ca="1">IF($C$25="Annual",'Segment Analysis'!P172,'Segment Analysis'!P192)</f>
        <v>0.22761589817183503</v>
      </c>
      <c r="Q31" s="294">
        <f ca="1">IF($C$25="Annual",'Segment Analysis'!Q172,'Segment Analysis'!Q192)</f>
        <v>0.3876493011435833</v>
      </c>
      <c r="R31" s="294">
        <f ca="1">IF($C$25="Annual",'Segment Analysis'!R172,'Segment Analysis'!R192)</f>
        <v>-0.18288037506409782</v>
      </c>
      <c r="S31" s="294">
        <f ca="1">IF($C$25="Annual",'Segment Analysis'!S172,'Segment Analysis'!S192)</f>
        <v>-0.08956026715675292</v>
      </c>
      <c r="T31" s="295">
        <f ca="1">IF($C$25="Annual",'Segment Analysis'!T172,'Segment Analysis'!T192)</f>
        <v>1e-12</v>
      </c>
      <c r="U31" s="294">
        <f ca="1">IF($C$25="Annual",'Segment Analysis'!U172,'Segment Analysis'!U192)</f>
        <v>0.20240263896410804</v>
      </c>
      <c r="V31" s="294">
        <f ca="1">IF($C$25="Annual",'Segment Analysis'!V172,'Segment Analysis'!V192)</f>
        <v>0.12890017197608716</v>
      </c>
      <c r="W31" s="294">
        <f ca="1">IF($C$25="Annual",'Segment Analysis'!W172,'Segment Analysis'!W192)</f>
        <v>-0.16873413130214</v>
      </c>
      <c r="X31" s="296">
        <f ca="1">IFERROR(X30/W30-1,"--")</f>
        <v>-0.050000000000000044</v>
      </c>
      <c r="Y31" s="297">
        <f ca="1">IFERROR(Y30/T30-1,"--")</f>
        <v>0.07907742446733712</v>
      </c>
      <c r="Z31" s="296">
        <f ca="1">IFERROR(Z30/X30-1,"--")</f>
        <v>0.17999999999999994</v>
      </c>
      <c r="AA31" s="296">
        <f t="shared" ref="AA31:AC31" si="2" ca="1">IFERROR(AA30/Z30-1,"--")</f>
        <v>0.14000000000000012</v>
      </c>
      <c r="AB31" s="296">
        <f ca="1">IFERROR(AB30/AA30-1,"--")</f>
        <v>-0.12</v>
      </c>
      <c r="AC31" s="296">
        <f ca="1">IFERROR(AC30/AB30-1,"--")</f>
        <v>-0.050000000000000044</v>
      </c>
      <c r="AD31" s="297">
        <f ca="1">IFERROR(AD30/Y30-1,"--")</f>
        <v>0.08848299061273979</v>
      </c>
      <c r="AE31" s="297">
        <f t="shared" ref="AE31:AG31" si="3" ca="1">IFERROR(AE30/AD30-1,"--")</f>
        <v>0.020000000000000018</v>
      </c>
      <c r="AF31" s="297">
        <f ca="1">IFERROR(AF30/AE30-1,"--")</f>
        <v>0.020000000000000018</v>
      </c>
      <c r="AG31" s="297">
        <f ca="1">IFERROR(AG30/AF30-1,"--")</f>
        <v>0.020000000000000018</v>
      </c>
      <c r="AH31" s="291"/>
      <c r="AI31" s="298"/>
      <c r="AJ31" s="299"/>
    </row>
    <row r="32" ht="12.75" customHeight="1" spans="1:36" x14ac:dyDescent="0.25">
      <c r="A32" s="16"/>
      <c r="B32" s="16"/>
      <c r="C32" s="16" t="str">
        <f ca="1">'Segment Analysis'!C8</f>
        <v>Home Improvement Retail Revenue</v>
      </c>
      <c r="D32" s="16"/>
      <c r="E32" s="16"/>
      <c r="F32" s="284">
        <f ca="1">'Segment Analysis'!F8</f>
        <v>17360</v>
      </c>
      <c r="G32" s="284">
        <f ca="1">'Segment Analysis'!G8</f>
        <v>20888</v>
      </c>
      <c r="H32" s="284">
        <f ca="1">'Segment Analysis'!H8</f>
        <v>17415</v>
      </c>
      <c r="I32" s="284">
        <f ca="1">'Segment Analysis'!I8</f>
        <v>15646</v>
      </c>
      <c r="J32" s="285">
        <f ca="1">'Segment Analysis'!J8</f>
        <v>71309</v>
      </c>
      <c r="K32" s="284">
        <f ca="1">'Segment Analysis'!K8</f>
        <v>17741</v>
      </c>
      <c r="L32" s="284">
        <f ca="1">'Segment Analysis'!L8</f>
        <v>20992</v>
      </c>
      <c r="M32" s="284">
        <f ca="1">'Segment Analysis'!M8</f>
        <v>17388</v>
      </c>
      <c r="N32" s="284">
        <f ca="1">'Segment Analysis'!N8</f>
        <v>16027</v>
      </c>
      <c r="O32" s="285">
        <f ca="1">'Segment Analysis'!O8</f>
        <v>72148</v>
      </c>
      <c r="P32" s="284">
        <f ca="1">'Segment Analysis'!P8</f>
        <v>19675</v>
      </c>
      <c r="Q32" s="284">
        <f ca="1">'Segment Analysis'!Q8</f>
        <v>27302</v>
      </c>
      <c r="R32" s="284">
        <f ca="1">'Segment Analysis'!R8</f>
        <v>22309</v>
      </c>
      <c r="S32" s="284">
        <f ca="1">'Segment Analysis'!S8</f>
        <v>20311</v>
      </c>
      <c r="T32" s="285">
        <f ca="1">'Segment Analysis'!T8</f>
        <v>89597</v>
      </c>
      <c r="U32" s="284">
        <f ca="1">'Segment Analysis'!U8</f>
        <v>24422</v>
      </c>
      <c r="V32" s="284">
        <f ca="1">'Segment Analysis'!V8</f>
        <v>27570</v>
      </c>
      <c r="W32" s="284">
        <f ca="1">'Segment Analysis'!W8</f>
        <v>22918</v>
      </c>
      <c r="X32" s="286">
        <f ca="1">IF(Segment1_Rev_Methodology="Segment",X53,IF(Segment1_Rev_Methodology="Activity-Based",X91,IF(Segment1_Rev_Methodology="Backlog",X165,"--")))</f>
        <v>21772.1</v>
      </c>
      <c r="Y32" s="287">
        <f ca="1">SUM(U32:X32)</f>
        <v>96682.1</v>
      </c>
      <c r="Z32" s="286">
        <f ca="1">IF(Segment1_Rev_Methodology="Segment",Z53,IF(Segment1_Rev_Methodology="Activity-Based",Z91,IF(Segment1_Rev_Methodology="Backlog",Z165,"--")))</f>
        <v>25691.077999999998</v>
      </c>
      <c r="AA32" s="286">
        <f ca="1">IF(Segment1_Rev_Methodology="Segment",AA53,IF(Segment1_Rev_Methodology="Activity-Based",AA91,IF(Segment1_Rev_Methodology="Backlog",AA165,"--")))</f>
        <v>29287.82892</v>
      </c>
      <c r="AB32" s="286">
        <f ca="1">IF(Segment1_Rev_Methodology="Segment",AB53,IF(Segment1_Rev_Methodology="Activity-Based",AB91,IF(Segment1_Rev_Methodology="Backlog",AB165,"--")))</f>
        <v>25773.2894496</v>
      </c>
      <c r="AC32" s="286">
        <f ca="1">IF(Segment1_Rev_Methodology="Segment",AC53,IF(Segment1_Rev_Methodology="Activity-Based",AC91,IF(Segment1_Rev_Methodology="Backlog",AC165,"--")))</f>
        <v>24484.62497712</v>
      </c>
      <c r="AD32" s="287">
        <f ca="1">SUM(Z32:AC32)</f>
        <v>105236.82134671998</v>
      </c>
      <c r="AE32" s="287">
        <f ca="1">IF(Segment1_Rev_Methodology="Segment",AE53,IF(Segment1_Rev_Methodology="Activity-Based",AE91,IF(Segment1_Rev_Methodology="Backlog",AE165,"--")))</f>
        <v>107341.55777365438</v>
      </c>
      <c r="AF32" s="287">
        <f ca="1">IF(Segment1_Rev_Methodology="Segment",AF53,IF(Segment1_Rev_Methodology="Activity-Based",AF91,IF(Segment1_Rev_Methodology="Backlog",AF165,"--")))</f>
        <v>109488.38892912747</v>
      </c>
      <c r="AG32" s="287">
        <f ca="1">IF(Segment1_Rev_Methodology="Segment",AG53,IF(Segment1_Rev_Methodology="Activity-Based",AG91,IF(Segment1_Rev_Methodology="Backlog",AG165,"--")))</f>
        <v>111678.15670771002</v>
      </c>
      <c r="AH32" s="16"/>
      <c r="AI32" s="288">
        <f ca="1">IFERROR((T32/J32)^(1/3)-1,"--")</f>
        <v>0.07907022065064795</v>
      </c>
      <c r="AJ32" s="289">
        <f ca="1">IFERROR((AG32/T32)^(1/5)-1,"--")</f>
        <v>0.04504490866789568</v>
      </c>
    </row>
    <row r="33" ht="12.75" customHeight="1" spans="1:36" x14ac:dyDescent="0.25">
      <c r="A33" s="290"/>
      <c r="B33" s="291"/>
      <c r="C33" s="292" t="str">
        <f ca="1">IF($C$25="Quarterly","% Growth QoQ","% Growth YoY")</f>
        <v>% Growth QoQ</v>
      </c>
      <c r="D33" s="291"/>
      <c r="E33" s="291"/>
      <c r="F33" s="293"/>
      <c r="G33" s="294">
        <f ca="1">IF($C$25="Annual",'Segment Analysis'!G173,'Segment Analysis'!G193)</f>
        <v>0.2032258064516128</v>
      </c>
      <c r="H33" s="294">
        <f ca="1">IF($C$25="Annual",'Segment Analysis'!H173,'Segment Analysis'!H193)</f>
        <v>-0.16626771351972425</v>
      </c>
      <c r="I33" s="294">
        <f ca="1">IF($C$25="Annual",'Segment Analysis'!I173,'Segment Analysis'!I193)</f>
        <v>-0.10157909847832325</v>
      </c>
      <c r="J33" s="295"/>
      <c r="K33" s="294">
        <f ca="1">IF($C$25="Annual",'Segment Analysis'!K173,'Segment Analysis'!K193)</f>
        <v>0.13390003834845965</v>
      </c>
      <c r="L33" s="294">
        <f ca="1">IF($C$25="Annual",'Segment Analysis'!L173,'Segment Analysis'!L193)</f>
        <v>0.18324784397722782</v>
      </c>
      <c r="M33" s="294">
        <f ca="1">IF($C$25="Annual",'Segment Analysis'!M173,'Segment Analysis'!M193)</f>
        <v>-0.17168445121951215</v>
      </c>
      <c r="N33" s="294">
        <f ca="1">IF($C$25="Annual",'Segment Analysis'!N173,'Segment Analysis'!N193)</f>
        <v>-0.07827237175063262</v>
      </c>
      <c r="O33" s="295">
        <f ca="1">IF($C$25="Annual",'Segment Analysis'!O173,'Segment Analysis'!O193)</f>
        <v>1e-12</v>
      </c>
      <c r="P33" s="294">
        <f ca="1">IF($C$25="Annual",'Segment Analysis'!P173,'Segment Analysis'!P193)</f>
        <v>0.22761589817183503</v>
      </c>
      <c r="Q33" s="294">
        <f ca="1">IF($C$25="Annual",'Segment Analysis'!Q173,'Segment Analysis'!Q193)</f>
        <v>0.3876493011435833</v>
      </c>
      <c r="R33" s="294">
        <f ca="1">IF($C$25="Annual",'Segment Analysis'!R173,'Segment Analysis'!R193)</f>
        <v>-0.18288037506409782</v>
      </c>
      <c r="S33" s="294">
        <f ca="1">IF($C$25="Annual",'Segment Analysis'!S173,'Segment Analysis'!S193)</f>
        <v>-0.08956026715675292</v>
      </c>
      <c r="T33" s="295">
        <f ca="1">IF($C$25="Annual",'Segment Analysis'!T173,'Segment Analysis'!T193)</f>
        <v>1e-12</v>
      </c>
      <c r="U33" s="294">
        <f ca="1">IF($C$25="Annual",'Segment Analysis'!U173,'Segment Analysis'!U193)</f>
        <v>0.20240263896410804</v>
      </c>
      <c r="V33" s="294">
        <f ca="1">IF($C$25="Annual",'Segment Analysis'!V173,'Segment Analysis'!V193)</f>
        <v>0.12890017197608716</v>
      </c>
      <c r="W33" s="294">
        <f ca="1">IF($C$25="Annual",'Segment Analysis'!W173,'Segment Analysis'!W193)</f>
        <v>-0.16873413130214</v>
      </c>
      <c r="X33" s="296">
        <f ca="1">IFERROR(X32/W32-1,"--")</f>
        <v>-0.050000000000000044</v>
      </c>
      <c r="Y33" s="297">
        <f ca="1">IFERROR(Y32/T32-1,"--")</f>
        <v>0.07907742446733712</v>
      </c>
      <c r="Z33" s="296">
        <f ca="1">IFERROR(Z32/X32-1,"--")</f>
        <v>0.17999999999999994</v>
      </c>
      <c r="AA33" s="296">
        <f t="shared" ref="AA33:AC33" si="4" ca="1">IFERROR(AA32/Z32-1,"--")</f>
        <v>0.14000000000000012</v>
      </c>
      <c r="AB33" s="296">
        <f ca="1">IFERROR(AB32/AA32-1,"--")</f>
        <v>-0.12</v>
      </c>
      <c r="AC33" s="296">
        <f ca="1">IFERROR(AC32/AB32-1,"--")</f>
        <v>-0.050000000000000044</v>
      </c>
      <c r="AD33" s="297">
        <f ca="1">IFERROR(AD32/Y32-1,"--")</f>
        <v>0.08848299061273979</v>
      </c>
      <c r="AE33" s="297">
        <f t="shared" ref="AE33:AG33" si="5" ca="1">IFERROR(AE32/AD32-1,"--")</f>
        <v>0.020000000000000018</v>
      </c>
      <c r="AF33" s="297">
        <f ca="1">IFERROR(AF32/AE32-1,"--")</f>
        <v>0.020000000000000018</v>
      </c>
      <c r="AG33" s="297">
        <f ca="1">IFERROR(AG32/AF32-1,"--")</f>
        <v>0.020000000000000018</v>
      </c>
      <c r="AH33" s="291"/>
      <c r="AI33" s="298"/>
      <c r="AJ33" s="299"/>
    </row>
    <row r="34" ht="12.75" customHeight="1" spans="1:36" x14ac:dyDescent="0.25">
      <c r="A34" s="290"/>
      <c r="B34" s="291"/>
      <c r="C34" s="120" t="s">
        <v>248</v>
      </c>
      <c r="D34" s="291"/>
      <c r="E34" s="291"/>
      <c r="F34" s="294">
        <f ca="1">'Segment Analysis'!F16</f>
        <v>1</v>
      </c>
      <c r="G34" s="294">
        <f ca="1">'Segment Analysis'!G16</f>
        <v>1</v>
      </c>
      <c r="H34" s="294">
        <f ca="1">'Segment Analysis'!H16</f>
        <v>1</v>
      </c>
      <c r="I34" s="294">
        <f ca="1">'Segment Analysis'!I16</f>
        <v>1</v>
      </c>
      <c r="J34" s="295">
        <f ca="1">'Segment Analysis'!J16</f>
        <v>1</v>
      </c>
      <c r="K34" s="294">
        <f ca="1">'Segment Analysis'!K16</f>
        <v>1</v>
      </c>
      <c r="L34" s="294">
        <f ca="1">'Segment Analysis'!L16</f>
        <v>1</v>
      </c>
      <c r="M34" s="294">
        <f ca="1">'Segment Analysis'!M16</f>
        <v>1</v>
      </c>
      <c r="N34" s="294">
        <f ca="1">'Segment Analysis'!N16</f>
        <v>1</v>
      </c>
      <c r="O34" s="295">
        <f ca="1">'Segment Analysis'!O16</f>
        <v>1</v>
      </c>
      <c r="P34" s="294">
        <f ca="1">'Segment Analysis'!P16</f>
        <v>1</v>
      </c>
      <c r="Q34" s="294">
        <f ca="1">'Segment Analysis'!Q16</f>
        <v>1</v>
      </c>
      <c r="R34" s="294">
        <f ca="1">'Segment Analysis'!R16</f>
        <v>1</v>
      </c>
      <c r="S34" s="294">
        <f ca="1">'Segment Analysis'!S16</f>
        <v>1</v>
      </c>
      <c r="T34" s="295">
        <f ca="1">'Segment Analysis'!T16</f>
        <v>1</v>
      </c>
      <c r="U34" s="294">
        <f ca="1">'Segment Analysis'!U16</f>
        <v>1</v>
      </c>
      <c r="V34" s="294">
        <f ca="1">'Segment Analysis'!V16</f>
        <v>1</v>
      </c>
      <c r="W34" s="294">
        <f ca="1">'Segment Analysis'!W16</f>
        <v>1</v>
      </c>
      <c r="X34" s="296">
        <f t="shared" ref="X34:AG34" si="6" ca="1">X32/X$30</f>
        <v>1</v>
      </c>
      <c r="Y34" s="297">
        <f ca="1">Y32/Y$30</f>
        <v>1</v>
      </c>
      <c r="Z34" s="296">
        <f ca="1">Z32/Z$30</f>
        <v>1</v>
      </c>
      <c r="AA34" s="296">
        <f ca="1">AA32/AA$30</f>
        <v>1</v>
      </c>
      <c r="AB34" s="296">
        <f ca="1">AB32/AB$30</f>
        <v>1</v>
      </c>
      <c r="AC34" s="296">
        <f ca="1">AC32/AC$30</f>
        <v>1</v>
      </c>
      <c r="AD34" s="297">
        <f ca="1">AD32/AD$30</f>
        <v>1</v>
      </c>
      <c r="AE34" s="297">
        <f ca="1">AE32/AE$30</f>
        <v>1</v>
      </c>
      <c r="AF34" s="297">
        <f ca="1">AF32/AF$30</f>
        <v>1</v>
      </c>
      <c r="AG34" s="297">
        <f ca="1">AG32/AG$30</f>
        <v>1</v>
      </c>
      <c r="AH34" s="291"/>
      <c r="AI34" s="300"/>
      <c r="AJ34" s="301"/>
    </row>
    <row r="35" ht="12.75" customHeight="1" spans="1:36" x14ac:dyDescent="0.25" outlineLevel="1" collapsed="1">
      <c r="A35" s="16"/>
      <c r="B35" s="16"/>
      <c r="C35" s="16" t="str">
        <f ca="1">'Segment Analysis'!C9</f>
        <v>Segment 2 Revenue</v>
      </c>
      <c r="D35" s="16"/>
      <c r="E35" s="16"/>
      <c r="F35" s="284">
        <f ca="1">'Segment Analysis'!F9</f>
        <v>1e-12</v>
      </c>
      <c r="G35" s="284">
        <f ca="1">'Segment Analysis'!G9</f>
        <v>1e-12</v>
      </c>
      <c r="H35" s="284">
        <f ca="1">'Segment Analysis'!H9</f>
        <v>1e-12</v>
      </c>
      <c r="I35" s="284">
        <f ca="1">'Segment Analysis'!I9</f>
        <v>1e-12</v>
      </c>
      <c r="J35" s="285">
        <f ca="1">'Segment Analysis'!J9</f>
        <v>1e-12</v>
      </c>
      <c r="K35" s="284">
        <f ca="1">'Segment Analysis'!K9</f>
        <v>1e-12</v>
      </c>
      <c r="L35" s="284">
        <f ca="1">'Segment Analysis'!L9</f>
        <v>1e-12</v>
      </c>
      <c r="M35" s="284">
        <f ca="1">'Segment Analysis'!M9</f>
        <v>1e-12</v>
      </c>
      <c r="N35" s="284">
        <f ca="1">'Segment Analysis'!N9</f>
        <v>1e-12</v>
      </c>
      <c r="O35" s="285">
        <f ca="1">'Segment Analysis'!O9</f>
        <v>1e-12</v>
      </c>
      <c r="P35" s="284">
        <f ca="1">'Segment Analysis'!P9</f>
        <v>1e-12</v>
      </c>
      <c r="Q35" s="284">
        <f ca="1">'Segment Analysis'!Q9</f>
        <v>1e-12</v>
      </c>
      <c r="R35" s="284">
        <f ca="1">'Segment Analysis'!R9</f>
        <v>1e-12</v>
      </c>
      <c r="S35" s="284">
        <f ca="1">'Segment Analysis'!S9</f>
        <v>1e-12</v>
      </c>
      <c r="T35" s="285">
        <f ca="1">'Segment Analysis'!T9</f>
        <v>1e-12</v>
      </c>
      <c r="U35" s="284">
        <f ca="1">'Segment Analysis'!U9</f>
        <v>1e-12</v>
      </c>
      <c r="V35" s="284">
        <f ca="1">'Segment Analysis'!V9</f>
        <v>1e-12</v>
      </c>
      <c r="W35" s="284">
        <f ca="1">'Segment Analysis'!W9</f>
        <v>1e-12</v>
      </c>
      <c r="X35" s="286">
        <f ca="1">IF(Segment2_Rev_Methodology="Segment",X59,IF(Segment2_Rev_Methodology="Activity-Based",X103,IF(Segment2_Rev_Methodology="Backlog",X177,"--")))</f>
        <v>0</v>
      </c>
      <c r="Y35" s="287">
        <f ca="1">SUM(U35:X35)</f>
        <v>1e-12</v>
      </c>
      <c r="Z35" s="286">
        <f ca="1">IF(Segment2_Rev_Methodology="Segment",Z59,IF(Segment2_Rev_Methodology="Activity-Based",Z103,IF(Segment2_Rev_Methodology="Backlog",Z177,"--")))</f>
        <v>0</v>
      </c>
      <c r="AA35" s="286">
        <f ca="1">IF(Segment2_Rev_Methodology="Segment",AA59,IF(Segment2_Rev_Methodology="Activity-Based",AA103,IF(Segment2_Rev_Methodology="Backlog",AA177,"--")))</f>
        <v>0</v>
      </c>
      <c r="AB35" s="286">
        <f ca="1">IF(Segment2_Rev_Methodology="Segment",AB59,IF(Segment2_Rev_Methodology="Activity-Based",AB103,IF(Segment2_Rev_Methodology="Backlog",AB177,"--")))</f>
        <v>0</v>
      </c>
      <c r="AC35" s="286">
        <f ca="1">IF(Segment2_Rev_Methodology="Segment",AC59,IF(Segment2_Rev_Methodology="Activity-Based",AC103,IF(Segment2_Rev_Methodology="Backlog",AC177,"--")))</f>
        <v>0</v>
      </c>
      <c r="AD35" s="287">
        <f ca="1">SUM(Z35:AC35)</f>
        <v>1e-12</v>
      </c>
      <c r="AE35" s="287">
        <f ca="1">IF(Segment2_Rev_Methodology="Segment",AE59,IF(Segment2_Rev_Methodology="Activity-Based",AE103,IF(Segment2_Rev_Methodology="Backlog",AE177,"--")))</f>
        <v>0</v>
      </c>
      <c r="AF35" s="287">
        <f ca="1">IF(Segment2_Rev_Methodology="Segment",AF59,IF(Segment2_Rev_Methodology="Activity-Based",AF103,IF(Segment2_Rev_Methodology="Backlog",AF177,"--")))</f>
        <v>0</v>
      </c>
      <c r="AG35" s="287">
        <f ca="1">IF(Segment2_Rev_Methodology="Segment",AG59,IF(Segment2_Rev_Methodology="Activity-Based",AG103,IF(Segment2_Rev_Methodology="Backlog",AG177,"--")))</f>
        <v>0</v>
      </c>
      <c r="AH35" s="16"/>
      <c r="AI35" s="288" t="str">
        <f ca="1">IFERROR((T35/J35)^(1/3)-1,"--")</f>
        <v>--</v>
      </c>
      <c r="AJ35" s="289" t="str">
        <f ca="1">IFERROR((AG35/T35)^(1/5)-1,"--")</f>
        <v>--</v>
      </c>
    </row>
    <row r="36" ht="12.75" customHeight="1" spans="1:36" x14ac:dyDescent="0.25" outlineLevel="1" collapsed="1">
      <c r="A36" s="290"/>
      <c r="B36" s="291"/>
      <c r="C36" s="120" t="s">
        <v>249</v>
      </c>
      <c r="D36" s="291"/>
      <c r="E36" s="291"/>
      <c r="F36" s="293"/>
      <c r="G36" s="294" t="str">
        <f ca="1">IF($C$25="Annual",'Segment Analysis'!G174,'Segment Analysis'!G194)</f>
        <v>N/A</v>
      </c>
      <c r="H36" s="294" t="str">
        <f ca="1">IF($C$25="Annual",'Segment Analysis'!H174,'Segment Analysis'!H194)</f>
        <v>N/A</v>
      </c>
      <c r="I36" s="294" t="str">
        <f ca="1">IF($C$25="Annual",'Segment Analysis'!I174,'Segment Analysis'!I194)</f>
        <v>N/A</v>
      </c>
      <c r="J36" s="295"/>
      <c r="K36" s="294" t="str">
        <f ca="1">IF($C$25="Annual",'Segment Analysis'!K174,'Segment Analysis'!K194)</f>
        <v>N/A</v>
      </c>
      <c r="L36" s="294" t="str">
        <f ca="1">IF($C$25="Annual",'Segment Analysis'!L174,'Segment Analysis'!L194)</f>
        <v>N/A</v>
      </c>
      <c r="M36" s="294" t="str">
        <f ca="1">IF($C$25="Annual",'Segment Analysis'!M174,'Segment Analysis'!M194)</f>
        <v>N/A</v>
      </c>
      <c r="N36" s="294" t="str">
        <f ca="1">IF($C$25="Annual",'Segment Analysis'!N174,'Segment Analysis'!N194)</f>
        <v>N/A</v>
      </c>
      <c r="O36" s="295" t="str">
        <f ca="1">'Segment Analysis'!O174</f>
        <v>N/A</v>
      </c>
      <c r="P36" s="294" t="str">
        <f ca="1">IF($C$25="Annual",'Segment Analysis'!P174,'Segment Analysis'!P194)</f>
        <v>N/A</v>
      </c>
      <c r="Q36" s="294" t="str">
        <f ca="1">IF($C$25="Annual",'Segment Analysis'!Q174,'Segment Analysis'!Q194)</f>
        <v>N/A</v>
      </c>
      <c r="R36" s="294" t="str">
        <f ca="1">IF($C$25="Annual",'Segment Analysis'!R174,'Segment Analysis'!R194)</f>
        <v>N/A</v>
      </c>
      <c r="S36" s="294" t="str">
        <f ca="1">IF($C$25="Annual",'Segment Analysis'!S174,'Segment Analysis'!S194)</f>
        <v>N/A</v>
      </c>
      <c r="T36" s="295" t="str">
        <f ca="1">'Segment Analysis'!T174</f>
        <v>N/A</v>
      </c>
      <c r="U36" s="294" t="str">
        <f ca="1">IF($C$25="Annual",'Segment Analysis'!U174,'Segment Analysis'!U194)</f>
        <v>N/A</v>
      </c>
      <c r="V36" s="294" t="str">
        <f ca="1">IF($C$25="Annual",'Segment Analysis'!V174,'Segment Analysis'!V194)</f>
        <v>N/A</v>
      </c>
      <c r="W36" s="294" t="str">
        <f ca="1">IF($C$25="Annual",'Segment Analysis'!W174,'Segment Analysis'!W194)</f>
        <v>N/A</v>
      </c>
      <c r="X36" s="296" t="str">
        <f ca="1">IFERROR(X35/W35-1,"--")</f>
        <v>--</v>
      </c>
      <c r="Y36" s="297" t="str">
        <f ca="1">IFERROR(Y35/T35-1,"--")</f>
        <v>--</v>
      </c>
      <c r="Z36" s="296" t="str">
        <f ca="1">IFERROR(Z35/X35-1,"--")</f>
        <v>--</v>
      </c>
      <c r="AA36" s="296" t="str">
        <f t="shared" ref="AA36:AC36" si="7" ca="1">IFERROR(AA35/Z35-1,"--")</f>
        <v>--</v>
      </c>
      <c r="AB36" s="296" t="str">
        <f ca="1">IFERROR(AB35/AA35-1,"--")</f>
        <v>--</v>
      </c>
      <c r="AC36" s="296" t="str">
        <f ca="1">IFERROR(AC35/AB35-1,"--")</f>
        <v>--</v>
      </c>
      <c r="AD36" s="297" t="str">
        <f ca="1">IFERROR(AD35/Y35-1,"--")</f>
        <v>--</v>
      </c>
      <c r="AE36" s="297" t="str">
        <f t="shared" ref="AE36:AG36" si="8" ca="1">IFERROR(AE35/AD35-1,"--")</f>
        <v>--</v>
      </c>
      <c r="AF36" s="297" t="str">
        <f ca="1">IFERROR(AF35/AE35-1,"--")</f>
        <v>--</v>
      </c>
      <c r="AG36" s="297" t="str">
        <f ca="1">IFERROR(AG35/AF35-1,"--")</f>
        <v>--</v>
      </c>
      <c r="AH36" s="291"/>
      <c r="AI36" s="298"/>
      <c r="AJ36" s="299"/>
    </row>
    <row r="37" ht="12.75" customHeight="1" spans="1:36" x14ac:dyDescent="0.25" outlineLevel="1" collapsed="1">
      <c r="A37" s="290"/>
      <c r="B37" s="291"/>
      <c r="C37" s="120" t="s">
        <v>248</v>
      </c>
      <c r="D37" s="291"/>
      <c r="E37" s="291"/>
      <c r="F37" s="294">
        <f ca="1">'Segment Analysis'!F17</f>
        <v>1e-12</v>
      </c>
      <c r="G37" s="294">
        <f ca="1">'Segment Analysis'!G17</f>
        <v>1e-12</v>
      </c>
      <c r="H37" s="294">
        <f ca="1">'Segment Analysis'!H17</f>
        <v>1e-12</v>
      </c>
      <c r="I37" s="294">
        <f ca="1">'Segment Analysis'!I17</f>
        <v>1e-12</v>
      </c>
      <c r="J37" s="295">
        <f ca="1">'Segment Analysis'!J17</f>
        <v>1e-12</v>
      </c>
      <c r="K37" s="294">
        <f ca="1">'Segment Analysis'!K17</f>
        <v>1e-12</v>
      </c>
      <c r="L37" s="294">
        <f ca="1">'Segment Analysis'!L17</f>
        <v>1e-12</v>
      </c>
      <c r="M37" s="294">
        <f ca="1">'Segment Analysis'!M17</f>
        <v>1e-12</v>
      </c>
      <c r="N37" s="294">
        <f ca="1">'Segment Analysis'!N17</f>
        <v>1e-12</v>
      </c>
      <c r="O37" s="295">
        <f ca="1">'Segment Analysis'!O17</f>
        <v>1e-12</v>
      </c>
      <c r="P37" s="294">
        <f ca="1">'Segment Analysis'!P17</f>
        <v>1e-12</v>
      </c>
      <c r="Q37" s="294">
        <f ca="1">'Segment Analysis'!Q17</f>
        <v>1e-12</v>
      </c>
      <c r="R37" s="294">
        <f ca="1">'Segment Analysis'!R17</f>
        <v>1e-12</v>
      </c>
      <c r="S37" s="294">
        <f ca="1">'Segment Analysis'!S17</f>
        <v>1e-12</v>
      </c>
      <c r="T37" s="295">
        <f ca="1">'Segment Analysis'!T17</f>
        <v>1e-12</v>
      </c>
      <c r="U37" s="294">
        <f ca="1">'Segment Analysis'!U17</f>
        <v>1e-12</v>
      </c>
      <c r="V37" s="294">
        <f ca="1">'Segment Analysis'!V17</f>
        <v>1e-12</v>
      </c>
      <c r="W37" s="294">
        <f ca="1">'Segment Analysis'!W17</f>
        <v>1e-12</v>
      </c>
      <c r="X37" s="296">
        <f t="shared" ref="X37:AG37" si="9" ca="1">X35/X$30</f>
        <v>1e-12</v>
      </c>
      <c r="Y37" s="297">
        <f ca="1">Y35/Y$30</f>
        <v>1e-12</v>
      </c>
      <c r="Z37" s="296">
        <f ca="1">Z35/Z$30</f>
        <v>1e-12</v>
      </c>
      <c r="AA37" s="296">
        <f ca="1">AA35/AA$30</f>
        <v>1e-12</v>
      </c>
      <c r="AB37" s="296">
        <f ca="1">AB35/AB$30</f>
        <v>1e-12</v>
      </c>
      <c r="AC37" s="296">
        <f ca="1">AC35/AC$30</f>
        <v>1e-12</v>
      </c>
      <c r="AD37" s="297">
        <f ca="1">AD35/AD$30</f>
        <v>1e-12</v>
      </c>
      <c r="AE37" s="297">
        <f ca="1">AE35/AE$30</f>
        <v>1e-12</v>
      </c>
      <c r="AF37" s="297">
        <f ca="1">AF35/AF$30</f>
        <v>1e-12</v>
      </c>
      <c r="AG37" s="297">
        <f ca="1">AG35/AG$30</f>
        <v>1e-12</v>
      </c>
      <c r="AH37" s="291"/>
      <c r="AI37" s="298"/>
      <c r="AJ37" s="299"/>
    </row>
    <row r="38" ht="12.75" customHeight="1" spans="1:36" x14ac:dyDescent="0.25" outlineLevel="1" collapsed="1">
      <c r="A38" s="16"/>
      <c r="B38" s="16"/>
      <c r="C38" s="16" t="str">
        <f ca="1">'Segment Analysis'!C10</f>
        <v>Segment 3 Revenue</v>
      </c>
      <c r="D38" s="16"/>
      <c r="E38" s="16"/>
      <c r="F38" s="284">
        <f ca="1">'Segment Analysis'!F10</f>
        <v>1e-12</v>
      </c>
      <c r="G38" s="284">
        <f ca="1">'Segment Analysis'!G10</f>
        <v>1e-12</v>
      </c>
      <c r="H38" s="284">
        <f ca="1">'Segment Analysis'!H10</f>
        <v>1e-12</v>
      </c>
      <c r="I38" s="284">
        <f ca="1">'Segment Analysis'!I10</f>
        <v>1e-12</v>
      </c>
      <c r="J38" s="285">
        <f ca="1">'Segment Analysis'!J10</f>
        <v>1e-12</v>
      </c>
      <c r="K38" s="284">
        <f ca="1">'Segment Analysis'!K10</f>
        <v>1e-12</v>
      </c>
      <c r="L38" s="284">
        <f ca="1">'Segment Analysis'!L10</f>
        <v>1e-12</v>
      </c>
      <c r="M38" s="284">
        <f ca="1">'Segment Analysis'!M10</f>
        <v>1e-12</v>
      </c>
      <c r="N38" s="284">
        <f ca="1">'Segment Analysis'!N10</f>
        <v>1e-12</v>
      </c>
      <c r="O38" s="285">
        <f ca="1">'Segment Analysis'!O10</f>
        <v>1e-12</v>
      </c>
      <c r="P38" s="284">
        <f ca="1">'Segment Analysis'!P10</f>
        <v>1e-12</v>
      </c>
      <c r="Q38" s="284">
        <f ca="1">'Segment Analysis'!Q10</f>
        <v>1e-12</v>
      </c>
      <c r="R38" s="284">
        <f ca="1">'Segment Analysis'!R10</f>
        <v>1e-12</v>
      </c>
      <c r="S38" s="284">
        <f ca="1">'Segment Analysis'!S10</f>
        <v>1e-12</v>
      </c>
      <c r="T38" s="285">
        <f ca="1">'Segment Analysis'!T10</f>
        <v>1e-12</v>
      </c>
      <c r="U38" s="284">
        <f ca="1">'Segment Analysis'!U10</f>
        <v>1e-12</v>
      </c>
      <c r="V38" s="284">
        <f ca="1">'Segment Analysis'!V10</f>
        <v>1e-12</v>
      </c>
      <c r="W38" s="284">
        <f ca="1">'Segment Analysis'!W10</f>
        <v>1e-12</v>
      </c>
      <c r="X38" s="286">
        <f ca="1">IF(Segment3_Rev_Methodology="Segment",X65,IF(Segment3_Rev_Methodology="Activity-Based",X115,IF(Segment3_Rev_Methodology="Backlog",X189,"--")))</f>
        <v>0</v>
      </c>
      <c r="Y38" s="287">
        <f ca="1">SUM(U38:X38)</f>
        <v>1e-12</v>
      </c>
      <c r="Z38" s="286">
        <f ca="1">IF(Segment3_Rev_Methodology="Segment",Z65,IF(Segment3_Rev_Methodology="Activity-Based",Z115,IF(Segment3_Rev_Methodology="Backlog",Z189,"--")))</f>
        <v>0</v>
      </c>
      <c r="AA38" s="286">
        <f ca="1">IF(Segment3_Rev_Methodology="Segment",AA65,IF(Segment3_Rev_Methodology="Activity-Based",AA115,IF(Segment3_Rev_Methodology="Backlog",AA189,"--")))</f>
        <v>0</v>
      </c>
      <c r="AB38" s="286">
        <f ca="1">IF(Segment3_Rev_Methodology="Segment",AB65,IF(Segment3_Rev_Methodology="Activity-Based",AB115,IF(Segment3_Rev_Methodology="Backlog",AB189,"--")))</f>
        <v>0</v>
      </c>
      <c r="AC38" s="286">
        <f ca="1">IF(Segment3_Rev_Methodology="Segment",AC65,IF(Segment3_Rev_Methodology="Activity-Based",AC115,IF(Segment3_Rev_Methodology="Backlog",AC189,"--")))</f>
        <v>0</v>
      </c>
      <c r="AD38" s="287">
        <f ca="1">SUM(Z38:AC38)</f>
        <v>1e-12</v>
      </c>
      <c r="AE38" s="287">
        <f ca="1">IF(Segment3_Rev_Methodology="Segment",AE65,IF(Segment3_Rev_Methodology="Activity-Based",AE115,IF(Segment3_Rev_Methodology="Backlog",AE189,"--")))</f>
        <v>0</v>
      </c>
      <c r="AF38" s="287">
        <f ca="1">IF(Segment3_Rev_Methodology="Segment",AF65,IF(Segment3_Rev_Methodology="Activity-Based",AF115,IF(Segment3_Rev_Methodology="Backlog",AF189,"--")))</f>
        <v>0</v>
      </c>
      <c r="AG38" s="287">
        <f ca="1">IF(Segment3_Rev_Methodology="Segment",AG65,IF(Segment3_Rev_Methodology="Activity-Based",AG115,IF(Segment3_Rev_Methodology="Backlog",AG189,"--")))</f>
        <v>0</v>
      </c>
      <c r="AH38" s="16"/>
      <c r="AI38" s="288" t="str">
        <f ca="1">IFERROR((T38/J38)^(1/3)-1,"--")</f>
        <v>--</v>
      </c>
      <c r="AJ38" s="289" t="str">
        <f ca="1">IFERROR((AG38/T38)^(1/5)-1,"--")</f>
        <v>--</v>
      </c>
    </row>
    <row r="39" ht="12.75" customHeight="1" spans="1:36" x14ac:dyDescent="0.25" outlineLevel="1" collapsed="1">
      <c r="A39" s="290"/>
      <c r="B39" s="291"/>
      <c r="C39" s="120" t="s">
        <v>249</v>
      </c>
      <c r="D39" s="291"/>
      <c r="E39" s="291"/>
      <c r="F39" s="293"/>
      <c r="G39" s="294" t="str">
        <f ca="1">IF($C$25="Annual",'Segment Analysis'!G175,'Segment Analysis'!G195)</f>
        <v>N/A</v>
      </c>
      <c r="H39" s="294" t="str">
        <f ca="1">IF($C$25="Annual",'Segment Analysis'!H175,'Segment Analysis'!H195)</f>
        <v>N/A</v>
      </c>
      <c r="I39" s="294" t="str">
        <f ca="1">IF($C$25="Annual",'Segment Analysis'!I175,'Segment Analysis'!I195)</f>
        <v>N/A</v>
      </c>
      <c r="J39" s="295"/>
      <c r="K39" s="294" t="str">
        <f ca="1">IF($C$25="Annual",'Segment Analysis'!K175,'Segment Analysis'!K195)</f>
        <v>N/A</v>
      </c>
      <c r="L39" s="294" t="str">
        <f ca="1">IF($C$25="Annual",'Segment Analysis'!L175,'Segment Analysis'!L195)</f>
        <v>N/A</v>
      </c>
      <c r="M39" s="294" t="str">
        <f ca="1">IF($C$25="Annual",'Segment Analysis'!M175,'Segment Analysis'!M195)</f>
        <v>N/A</v>
      </c>
      <c r="N39" s="294" t="str">
        <f ca="1">IF($C$25="Annual",'Segment Analysis'!N175,'Segment Analysis'!N195)</f>
        <v>N/A</v>
      </c>
      <c r="O39" s="295">
        <f ca="1">IF($C$25="Annual",'Segment Analysis'!O175,'Segment Analysis'!O195)</f>
        <v>1e-12</v>
      </c>
      <c r="P39" s="294" t="str">
        <f ca="1">IF($C$25="Annual",'Segment Analysis'!P175,'Segment Analysis'!P195)</f>
        <v>N/A</v>
      </c>
      <c r="Q39" s="294" t="str">
        <f ca="1">IF($C$25="Annual",'Segment Analysis'!Q175,'Segment Analysis'!Q195)</f>
        <v>N/A</v>
      </c>
      <c r="R39" s="294" t="str">
        <f ca="1">IF($C$25="Annual",'Segment Analysis'!R175,'Segment Analysis'!R195)</f>
        <v>N/A</v>
      </c>
      <c r="S39" s="294" t="str">
        <f ca="1">IF($C$25="Annual",'Segment Analysis'!S175,'Segment Analysis'!S195)</f>
        <v>N/A</v>
      </c>
      <c r="T39" s="295">
        <f ca="1">IF($C$25="Annual",'Segment Analysis'!T175,'Segment Analysis'!T195)</f>
        <v>1e-12</v>
      </c>
      <c r="U39" s="294" t="str">
        <f ca="1">IF($C$25="Annual",'Segment Analysis'!U175,'Segment Analysis'!U195)</f>
        <v>N/A</v>
      </c>
      <c r="V39" s="294" t="str">
        <f ca="1">IF($C$25="Annual",'Segment Analysis'!V175,'Segment Analysis'!V195)</f>
        <v>N/A</v>
      </c>
      <c r="W39" s="294" t="str">
        <f ca="1">IF($C$25="Annual",'Segment Analysis'!W175,'Segment Analysis'!W195)</f>
        <v>N/A</v>
      </c>
      <c r="X39" s="296" t="str">
        <f ca="1">IFERROR(X38/W38-1,"--")</f>
        <v>--</v>
      </c>
      <c r="Y39" s="297" t="str">
        <f ca="1">IFERROR(Y38/T38-1,"--")</f>
        <v>--</v>
      </c>
      <c r="Z39" s="296" t="str">
        <f ca="1">IFERROR(Z38/X38-1,"--")</f>
        <v>--</v>
      </c>
      <c r="AA39" s="296" t="str">
        <f t="shared" ref="AA39:AC39" si="10" ca="1">IFERROR(AA38/Z38-1,"--")</f>
        <v>--</v>
      </c>
      <c r="AB39" s="296" t="str">
        <f ca="1">IFERROR(AB38/AA38-1,"--")</f>
        <v>--</v>
      </c>
      <c r="AC39" s="296" t="str">
        <f ca="1">IFERROR(AC38/AB38-1,"--")</f>
        <v>--</v>
      </c>
      <c r="AD39" s="297" t="str">
        <f ca="1">IFERROR(AD38/Y38-1,"--")</f>
        <v>--</v>
      </c>
      <c r="AE39" s="297" t="str">
        <f t="shared" ref="AE39:AG39" si="11" ca="1">IFERROR(AE38/AD38-1,"--")</f>
        <v>--</v>
      </c>
      <c r="AF39" s="297" t="str">
        <f ca="1">IFERROR(AF38/AE38-1,"--")</f>
        <v>--</v>
      </c>
      <c r="AG39" s="297" t="str">
        <f ca="1">IFERROR(AG38/AF38-1,"--")</f>
        <v>--</v>
      </c>
      <c r="AH39" s="291"/>
      <c r="AI39" s="298"/>
      <c r="AJ39" s="299"/>
    </row>
    <row r="40" ht="12.75" customHeight="1" spans="1:36" x14ac:dyDescent="0.25" outlineLevel="1" collapsed="1">
      <c r="A40" s="290"/>
      <c r="B40" s="291"/>
      <c r="C40" s="120" t="s">
        <v>248</v>
      </c>
      <c r="D40" s="291"/>
      <c r="E40" s="291"/>
      <c r="F40" s="294">
        <f ca="1">'Segment Analysis'!F18</f>
        <v>1e-12</v>
      </c>
      <c r="G40" s="294">
        <f ca="1">'Segment Analysis'!G18</f>
        <v>1e-12</v>
      </c>
      <c r="H40" s="294">
        <f ca="1">'Segment Analysis'!H18</f>
        <v>1e-12</v>
      </c>
      <c r="I40" s="294">
        <f ca="1">'Segment Analysis'!I18</f>
        <v>1e-12</v>
      </c>
      <c r="J40" s="295">
        <f ca="1">'Segment Analysis'!J18</f>
        <v>1e-12</v>
      </c>
      <c r="K40" s="294">
        <f ca="1">'Segment Analysis'!K18</f>
        <v>1e-12</v>
      </c>
      <c r="L40" s="294">
        <f ca="1">'Segment Analysis'!L18</f>
        <v>1e-12</v>
      </c>
      <c r="M40" s="294">
        <f ca="1">'Segment Analysis'!M18</f>
        <v>1e-12</v>
      </c>
      <c r="N40" s="294">
        <f ca="1">'Segment Analysis'!N18</f>
        <v>1e-12</v>
      </c>
      <c r="O40" s="295">
        <f ca="1">'Segment Analysis'!O18</f>
        <v>1e-12</v>
      </c>
      <c r="P40" s="294">
        <f ca="1">'Segment Analysis'!P18</f>
        <v>1e-12</v>
      </c>
      <c r="Q40" s="294">
        <f ca="1">'Segment Analysis'!Q18</f>
        <v>1e-12</v>
      </c>
      <c r="R40" s="294">
        <f ca="1">'Segment Analysis'!R18</f>
        <v>1e-12</v>
      </c>
      <c r="S40" s="294">
        <f ca="1">'Segment Analysis'!S18</f>
        <v>1e-12</v>
      </c>
      <c r="T40" s="295">
        <f ca="1">'Segment Analysis'!T18</f>
        <v>1e-12</v>
      </c>
      <c r="U40" s="294">
        <f ca="1">'Segment Analysis'!U18</f>
        <v>1e-12</v>
      </c>
      <c r="V40" s="294">
        <f ca="1">'Segment Analysis'!V18</f>
        <v>1e-12</v>
      </c>
      <c r="W40" s="294">
        <f ca="1">'Segment Analysis'!W18</f>
        <v>1e-12</v>
      </c>
      <c r="X40" s="296">
        <f t="shared" ref="X40:AG40" si="12" ca="1">X38/X$30</f>
        <v>1e-12</v>
      </c>
      <c r="Y40" s="297">
        <f ca="1">Y38/Y$30</f>
        <v>1e-12</v>
      </c>
      <c r="Z40" s="296">
        <f ca="1">Z38/Z$30</f>
        <v>1e-12</v>
      </c>
      <c r="AA40" s="296">
        <f ca="1">AA38/AA$30</f>
        <v>1e-12</v>
      </c>
      <c r="AB40" s="296">
        <f ca="1">AB38/AB$30</f>
        <v>1e-12</v>
      </c>
      <c r="AC40" s="296">
        <f ca="1">AC38/AC$30</f>
        <v>1e-12</v>
      </c>
      <c r="AD40" s="297">
        <f ca="1">AD38/AD$30</f>
        <v>1e-12</v>
      </c>
      <c r="AE40" s="297">
        <f ca="1">AE38/AE$30</f>
        <v>1e-12</v>
      </c>
      <c r="AF40" s="297">
        <f ca="1">AF38/AF$30</f>
        <v>1e-12</v>
      </c>
      <c r="AG40" s="297">
        <f ca="1">AG38/AG$30</f>
        <v>1e-12</v>
      </c>
      <c r="AH40" s="291"/>
      <c r="AI40" s="298"/>
      <c r="AJ40" s="299"/>
    </row>
    <row r="41" ht="12.75" customHeight="1" spans="1:36" x14ac:dyDescent="0.25" outlineLevel="1" collapsed="1">
      <c r="A41" s="16"/>
      <c r="B41" s="16"/>
      <c r="C41" s="16" t="str">
        <f ca="1">'Segment Analysis'!C11</f>
        <v>Segment 4 Revenue</v>
      </c>
      <c r="D41" s="16"/>
      <c r="E41" s="16"/>
      <c r="F41" s="284">
        <f ca="1">'Segment Analysis'!F11</f>
        <v>1e-12</v>
      </c>
      <c r="G41" s="284">
        <f ca="1">'Segment Analysis'!G11</f>
        <v>1e-12</v>
      </c>
      <c r="H41" s="284">
        <f ca="1">'Segment Analysis'!H11</f>
        <v>1e-12</v>
      </c>
      <c r="I41" s="284">
        <f ca="1">'Segment Analysis'!I11</f>
        <v>1e-12</v>
      </c>
      <c r="J41" s="285">
        <f ca="1">'Segment Analysis'!J11</f>
        <v>1e-12</v>
      </c>
      <c r="K41" s="284">
        <f ca="1">'Segment Analysis'!K11</f>
        <v>1e-12</v>
      </c>
      <c r="L41" s="284">
        <f ca="1">'Segment Analysis'!L11</f>
        <v>1e-12</v>
      </c>
      <c r="M41" s="284">
        <f ca="1">'Segment Analysis'!M11</f>
        <v>1e-12</v>
      </c>
      <c r="N41" s="284">
        <f ca="1">'Segment Analysis'!N11</f>
        <v>1e-12</v>
      </c>
      <c r="O41" s="285">
        <f ca="1">'Segment Analysis'!O11</f>
        <v>1e-12</v>
      </c>
      <c r="P41" s="284">
        <f ca="1">'Segment Analysis'!P11</f>
        <v>1e-12</v>
      </c>
      <c r="Q41" s="284">
        <f ca="1">'Segment Analysis'!Q11</f>
        <v>1e-12</v>
      </c>
      <c r="R41" s="284">
        <f ca="1">'Segment Analysis'!R11</f>
        <v>1e-12</v>
      </c>
      <c r="S41" s="284">
        <f ca="1">'Segment Analysis'!S11</f>
        <v>1e-12</v>
      </c>
      <c r="T41" s="285">
        <f ca="1">'Segment Analysis'!T11</f>
        <v>1e-12</v>
      </c>
      <c r="U41" s="284">
        <f ca="1">'Segment Analysis'!U11</f>
        <v>1e-12</v>
      </c>
      <c r="V41" s="284">
        <f ca="1">'Segment Analysis'!V11</f>
        <v>1e-12</v>
      </c>
      <c r="W41" s="284">
        <f ca="1">'Segment Analysis'!W11</f>
        <v>1e-12</v>
      </c>
      <c r="X41" s="286">
        <f ca="1">IF(Segment4_Rev_Methodology="Segment",X71,IF(Segment4_Rev_Methodology="Activity-Based",X127,IF(Segment4_Rev_Methodology="Backlog",X201,"--")))</f>
        <v>0</v>
      </c>
      <c r="Y41" s="287">
        <f ca="1">SUM(U41:X41)</f>
        <v>1e-12</v>
      </c>
      <c r="Z41" s="286">
        <f ca="1">IF(Segment4_Rev_Methodology="Segment",Z71,IF(Segment4_Rev_Methodology="Activity-Based",Z127,IF(Segment4_Rev_Methodology="Backlog",Z201,"--")))</f>
        <v>0</v>
      </c>
      <c r="AA41" s="286">
        <f ca="1">IF(Segment4_Rev_Methodology="Segment",AA71,IF(Segment4_Rev_Methodology="Activity-Based",AA127,IF(Segment4_Rev_Methodology="Backlog",AA201,"--")))</f>
        <v>0</v>
      </c>
      <c r="AB41" s="286">
        <f ca="1">IF(Segment4_Rev_Methodology="Segment",AB71,IF(Segment4_Rev_Methodology="Activity-Based",AB127,IF(Segment4_Rev_Methodology="Backlog",AB201,"--")))</f>
        <v>0</v>
      </c>
      <c r="AC41" s="286">
        <f ca="1">IF(Segment4_Rev_Methodology="Segment",AC71,IF(Segment4_Rev_Methodology="Activity-Based",AC127,IF(Segment4_Rev_Methodology="Backlog",AC201,"--")))</f>
        <v>0</v>
      </c>
      <c r="AD41" s="287">
        <f ca="1">SUM(Z41:AC41)</f>
        <v>1e-12</v>
      </c>
      <c r="AE41" s="287">
        <f ca="1">IF(Segment4_Rev_Methodology="Segment",AE71,IF(Segment4_Rev_Methodology="Activity-Based",AE127,IF(Segment4_Rev_Methodology="Backlog",AE201,"--")))</f>
        <v>0</v>
      </c>
      <c r="AF41" s="287">
        <f ca="1">IF(Segment4_Rev_Methodology="Segment",AF71,IF(Segment4_Rev_Methodology="Activity-Based",AF127,IF(Segment4_Rev_Methodology="Backlog",AF201,"--")))</f>
        <v>0</v>
      </c>
      <c r="AG41" s="287">
        <f ca="1">IF(Segment4_Rev_Methodology="Segment",AG71,IF(Segment4_Rev_Methodology="Activity-Based",AG127,IF(Segment4_Rev_Methodology="Backlog",AG201,"--")))</f>
        <v>0</v>
      </c>
      <c r="AH41" s="16"/>
      <c r="AI41" s="288" t="str">
        <f ca="1">IFERROR((T41/J41)^(1/3)-1,"--")</f>
        <v>--</v>
      </c>
      <c r="AJ41" s="289" t="str">
        <f ca="1">IFERROR((AG41/T41)^(1/5)-1,"--")</f>
        <v>--</v>
      </c>
    </row>
    <row r="42" ht="12.75" customHeight="1" spans="1:36" x14ac:dyDescent="0.25" outlineLevel="1" collapsed="1">
      <c r="A42" s="290"/>
      <c r="B42" s="291"/>
      <c r="C42" s="120" t="s">
        <v>249</v>
      </c>
      <c r="D42" s="291"/>
      <c r="E42" s="291"/>
      <c r="F42" s="293"/>
      <c r="G42" s="294" t="str">
        <f ca="1">IF($C$25="Annual",'Segment Analysis'!G176,'Segment Analysis'!G196)</f>
        <v>N/A</v>
      </c>
      <c r="H42" s="294" t="str">
        <f ca="1">IF($C$25="Annual",'Segment Analysis'!H176,'Segment Analysis'!H196)</f>
        <v>N/A</v>
      </c>
      <c r="I42" s="294" t="str">
        <f ca="1">IF($C$25="Annual",'Segment Analysis'!I176,'Segment Analysis'!I196)</f>
        <v>N/A</v>
      </c>
      <c r="J42" s="295"/>
      <c r="K42" s="294" t="str">
        <f ca="1">IF($C$25="Annual",'Segment Analysis'!K176,'Segment Analysis'!K196)</f>
        <v>N/A</v>
      </c>
      <c r="L42" s="294" t="str">
        <f ca="1">IF($C$25="Annual",'Segment Analysis'!L176,'Segment Analysis'!L196)</f>
        <v>N/A</v>
      </c>
      <c r="M42" s="294" t="str">
        <f ca="1">IF($C$25="Annual",'Segment Analysis'!M176,'Segment Analysis'!M196)</f>
        <v>N/A</v>
      </c>
      <c r="N42" s="294" t="str">
        <f ca="1">IF($C$25="Annual",'Segment Analysis'!N176,'Segment Analysis'!N196)</f>
        <v>N/A</v>
      </c>
      <c r="O42" s="295">
        <f ca="1">IF($C$25="Annual",'Segment Analysis'!O176,'Segment Analysis'!O196)</f>
        <v>1e-12</v>
      </c>
      <c r="P42" s="294" t="str">
        <f ca="1">IF($C$25="Annual",'Segment Analysis'!P176,'Segment Analysis'!P196)</f>
        <v>N/A</v>
      </c>
      <c r="Q42" s="294" t="str">
        <f ca="1">IF($C$25="Annual",'Segment Analysis'!Q176,'Segment Analysis'!Q196)</f>
        <v>N/A</v>
      </c>
      <c r="R42" s="294" t="str">
        <f ca="1">IF($C$25="Annual",'Segment Analysis'!R176,'Segment Analysis'!R196)</f>
        <v>N/A</v>
      </c>
      <c r="S42" s="294" t="str">
        <f ca="1">IF($C$25="Annual",'Segment Analysis'!S176,'Segment Analysis'!S196)</f>
        <v>N/A</v>
      </c>
      <c r="T42" s="295">
        <f ca="1">IF($C$25="Annual",'Segment Analysis'!T176,'Segment Analysis'!T196)</f>
        <v>1e-12</v>
      </c>
      <c r="U42" s="294" t="str">
        <f ca="1">IF($C$25="Annual",'Segment Analysis'!U176,'Segment Analysis'!U196)</f>
        <v>N/A</v>
      </c>
      <c r="V42" s="294" t="str">
        <f ca="1">IF($C$25="Annual",'Segment Analysis'!V176,'Segment Analysis'!V196)</f>
        <v>N/A</v>
      </c>
      <c r="W42" s="294" t="str">
        <f ca="1">IF($C$25="Annual",'Segment Analysis'!W176,'Segment Analysis'!W196)</f>
        <v>N/A</v>
      </c>
      <c r="X42" s="296" t="str">
        <f ca="1">IFERROR(X41/W41-1,"--")</f>
        <v>--</v>
      </c>
      <c r="Y42" s="297" t="str">
        <f ca="1">IFERROR(Y41/T41-1,"--")</f>
        <v>--</v>
      </c>
      <c r="Z42" s="296" t="str">
        <f ca="1">IFERROR(Z41/X41-1,"--")</f>
        <v>--</v>
      </c>
      <c r="AA42" s="296" t="str">
        <f t="shared" ref="AA42:AC42" si="13" ca="1">IFERROR(AA41/Z41-1,"--")</f>
        <v>--</v>
      </c>
      <c r="AB42" s="296" t="str">
        <f ca="1">IFERROR(AB41/AA41-1,"--")</f>
        <v>--</v>
      </c>
      <c r="AC42" s="296" t="str">
        <f ca="1">IFERROR(AC41/AB41-1,"--")</f>
        <v>--</v>
      </c>
      <c r="AD42" s="297" t="str">
        <f ca="1">IFERROR(AD41/Y41-1,"--")</f>
        <v>--</v>
      </c>
      <c r="AE42" s="297" t="str">
        <f t="shared" ref="AE42:AG42" si="14" ca="1">IFERROR(AE41/AD41-1,"--")</f>
        <v>--</v>
      </c>
      <c r="AF42" s="297" t="str">
        <f ca="1">IFERROR(AF41/AE41-1,"--")</f>
        <v>--</v>
      </c>
      <c r="AG42" s="297" t="str">
        <f ca="1">IFERROR(AG41/AF41-1,"--")</f>
        <v>--</v>
      </c>
      <c r="AH42" s="291"/>
      <c r="AI42" s="298"/>
      <c r="AJ42" s="299"/>
    </row>
    <row r="43" ht="12.75" customHeight="1" spans="1:36" x14ac:dyDescent="0.25" outlineLevel="1" collapsed="1">
      <c r="A43" s="290"/>
      <c r="B43" s="291"/>
      <c r="C43" s="120" t="s">
        <v>248</v>
      </c>
      <c r="D43" s="291"/>
      <c r="E43" s="291"/>
      <c r="F43" s="294">
        <f ca="1">'Segment Analysis'!F19</f>
        <v>1e-12</v>
      </c>
      <c r="G43" s="294">
        <f ca="1">'Segment Analysis'!G19</f>
        <v>1e-12</v>
      </c>
      <c r="H43" s="294">
        <f ca="1">'Segment Analysis'!H19</f>
        <v>1e-12</v>
      </c>
      <c r="I43" s="294">
        <f ca="1">'Segment Analysis'!I19</f>
        <v>1e-12</v>
      </c>
      <c r="J43" s="295">
        <f ca="1">'Segment Analysis'!J19</f>
        <v>1e-12</v>
      </c>
      <c r="K43" s="294">
        <f ca="1">'Segment Analysis'!K19</f>
        <v>1e-12</v>
      </c>
      <c r="L43" s="294">
        <f ca="1">'Segment Analysis'!L19</f>
        <v>1e-12</v>
      </c>
      <c r="M43" s="294">
        <f ca="1">'Segment Analysis'!M19</f>
        <v>1e-12</v>
      </c>
      <c r="N43" s="294">
        <f ca="1">'Segment Analysis'!N19</f>
        <v>1e-12</v>
      </c>
      <c r="O43" s="295">
        <f ca="1">'Segment Analysis'!O19</f>
        <v>1e-12</v>
      </c>
      <c r="P43" s="294">
        <f ca="1">'Segment Analysis'!P19</f>
        <v>1e-12</v>
      </c>
      <c r="Q43" s="294">
        <f ca="1">'Segment Analysis'!Q19</f>
        <v>1e-12</v>
      </c>
      <c r="R43" s="294">
        <f ca="1">'Segment Analysis'!R19</f>
        <v>1e-12</v>
      </c>
      <c r="S43" s="294">
        <f ca="1">'Segment Analysis'!S19</f>
        <v>1e-12</v>
      </c>
      <c r="T43" s="295">
        <f ca="1">'Segment Analysis'!T19</f>
        <v>1e-12</v>
      </c>
      <c r="U43" s="294">
        <f ca="1">'Segment Analysis'!U19</f>
        <v>1e-12</v>
      </c>
      <c r="V43" s="294">
        <f ca="1">'Segment Analysis'!V19</f>
        <v>1e-12</v>
      </c>
      <c r="W43" s="294">
        <f ca="1">'Segment Analysis'!W19</f>
        <v>1e-12</v>
      </c>
      <c r="X43" s="296">
        <f t="shared" ref="X43:AG43" si="15" ca="1">X41/X$30</f>
        <v>1e-12</v>
      </c>
      <c r="Y43" s="297">
        <f ca="1">Y41/Y$30</f>
        <v>1e-12</v>
      </c>
      <c r="Z43" s="296">
        <f ca="1">Z41/Z$30</f>
        <v>1e-12</v>
      </c>
      <c r="AA43" s="296">
        <f ca="1">AA41/AA$30</f>
        <v>1e-12</v>
      </c>
      <c r="AB43" s="296">
        <f ca="1">AB41/AB$30</f>
        <v>1e-12</v>
      </c>
      <c r="AC43" s="296">
        <f ca="1">AC41/AC$30</f>
        <v>1e-12</v>
      </c>
      <c r="AD43" s="297">
        <f ca="1">AD41/AD$30</f>
        <v>1e-12</v>
      </c>
      <c r="AE43" s="297">
        <f ca="1">AE41/AE$30</f>
        <v>1e-12</v>
      </c>
      <c r="AF43" s="297">
        <f ca="1">AF41/AF$30</f>
        <v>1e-12</v>
      </c>
      <c r="AG43" s="297">
        <f ca="1">AG41/AG$30</f>
        <v>1e-12</v>
      </c>
      <c r="AH43" s="291"/>
      <c r="AI43" s="298"/>
      <c r="AJ43" s="299"/>
    </row>
    <row r="44" ht="12.75" customHeight="1" spans="1:36" x14ac:dyDescent="0.25" outlineLevel="1" collapsed="1">
      <c r="A44" s="16"/>
      <c r="B44" s="16"/>
      <c r="C44" s="16" t="str">
        <f ca="1">'Segment Analysis'!C12</f>
        <v>Segment 5 Revenue</v>
      </c>
      <c r="D44" s="16"/>
      <c r="E44" s="16"/>
      <c r="F44" s="284">
        <f ca="1">'Segment Analysis'!F12</f>
        <v>1e-12</v>
      </c>
      <c r="G44" s="284">
        <f ca="1">'Segment Analysis'!G12</f>
        <v>1e-12</v>
      </c>
      <c r="H44" s="284">
        <f ca="1">'Segment Analysis'!H12</f>
        <v>1e-12</v>
      </c>
      <c r="I44" s="284">
        <f ca="1">'Segment Analysis'!I12</f>
        <v>1e-12</v>
      </c>
      <c r="J44" s="285">
        <f ca="1">'Segment Analysis'!J12</f>
        <v>1e-12</v>
      </c>
      <c r="K44" s="284">
        <f ca="1">'Segment Analysis'!K12</f>
        <v>1e-12</v>
      </c>
      <c r="L44" s="284">
        <f ca="1">'Segment Analysis'!L12</f>
        <v>1e-12</v>
      </c>
      <c r="M44" s="284">
        <f ca="1">'Segment Analysis'!M12</f>
        <v>1e-12</v>
      </c>
      <c r="N44" s="284">
        <f ca="1">'Segment Analysis'!N12</f>
        <v>1e-12</v>
      </c>
      <c r="O44" s="285">
        <f ca="1">'Segment Analysis'!O12</f>
        <v>1e-12</v>
      </c>
      <c r="P44" s="284">
        <f ca="1">'Segment Analysis'!P12</f>
        <v>1e-12</v>
      </c>
      <c r="Q44" s="284">
        <f ca="1">'Segment Analysis'!Q12</f>
        <v>1e-12</v>
      </c>
      <c r="R44" s="284">
        <f ca="1">'Segment Analysis'!R12</f>
        <v>1e-12</v>
      </c>
      <c r="S44" s="284">
        <f ca="1">'Segment Analysis'!S12</f>
        <v>1e-12</v>
      </c>
      <c r="T44" s="285">
        <f ca="1">'Segment Analysis'!T12</f>
        <v>1e-12</v>
      </c>
      <c r="U44" s="284">
        <f ca="1">'Segment Analysis'!U12</f>
        <v>1e-12</v>
      </c>
      <c r="V44" s="284">
        <f ca="1">'Segment Analysis'!V12</f>
        <v>1e-12</v>
      </c>
      <c r="W44" s="284">
        <f ca="1">'Segment Analysis'!W12</f>
        <v>1e-12</v>
      </c>
      <c r="X44" s="286">
        <f ca="1">IF(Segment5_Rev_Methodology="Segment",X77,IF(Segment5_Rev_Methodology="Activity-Based",X139,IF(Segment5_Rev_Methodology="Backlog",X213,"--")))</f>
        <v>0</v>
      </c>
      <c r="Y44" s="287">
        <f ca="1">SUM(U44:X44)</f>
        <v>1e-12</v>
      </c>
      <c r="Z44" s="286">
        <f ca="1">IF(Segment5_Rev_Methodology="Segment",Z77,IF(Segment5_Rev_Methodology="Activity-Based",Z139,IF(Segment5_Rev_Methodology="Backlog",Z213,"--")))</f>
        <v>0</v>
      </c>
      <c r="AA44" s="286">
        <f ca="1">IF(Segment5_Rev_Methodology="Segment",AA77,IF(Segment5_Rev_Methodology="Activity-Based",AA139,IF(Segment5_Rev_Methodology="Backlog",AA213,"--")))</f>
        <v>0</v>
      </c>
      <c r="AB44" s="286">
        <f ca="1">IF(Segment5_Rev_Methodology="Segment",AB77,IF(Segment5_Rev_Methodology="Activity-Based",AB139,IF(Segment5_Rev_Methodology="Backlog",AB213,"--")))</f>
        <v>0</v>
      </c>
      <c r="AC44" s="286">
        <f ca="1">IF(Segment5_Rev_Methodology="Segment",AC77,IF(Segment5_Rev_Methodology="Activity-Based",AC139,IF(Segment5_Rev_Methodology="Backlog",AC213,"--")))</f>
        <v>0</v>
      </c>
      <c r="AD44" s="287">
        <f ca="1">SUM(Z44:AC44)</f>
        <v>1e-12</v>
      </c>
      <c r="AE44" s="287">
        <f ca="1">IF(Segment5_Rev_Methodology="Segment",AE77,IF(Segment5_Rev_Methodology="Activity-Based",AE139,IF(Segment5_Rev_Methodology="Backlog",AE213,"--")))</f>
        <v>0</v>
      </c>
      <c r="AF44" s="287">
        <f ca="1">IF(Segment5_Rev_Methodology="Segment",AF77,IF(Segment5_Rev_Methodology="Activity-Based",AF139,IF(Segment5_Rev_Methodology="Backlog",AF213,"--")))</f>
        <v>0</v>
      </c>
      <c r="AG44" s="287">
        <f ca="1">IF(Segment5_Rev_Methodology="Segment",AG77,IF(Segment5_Rev_Methodology="Activity-Based",AG139,IF(Segment5_Rev_Methodology="Backlog",AG213,"--")))</f>
        <v>0</v>
      </c>
      <c r="AH44" s="16"/>
      <c r="AI44" s="288" t="str">
        <f ca="1">IFERROR((T44/J44)^(1/3)-1,"--")</f>
        <v>--</v>
      </c>
      <c r="AJ44" s="289" t="str">
        <f ca="1">IFERROR((AG44/T44)^(1/5)-1,"--")</f>
        <v>--</v>
      </c>
    </row>
    <row r="45" ht="12.75" customHeight="1" spans="1:36" x14ac:dyDescent="0.25" outlineLevel="1" collapsed="1">
      <c r="A45" s="290"/>
      <c r="B45" s="291"/>
      <c r="C45" s="120" t="s">
        <v>249</v>
      </c>
      <c r="D45" s="291"/>
      <c r="E45" s="291"/>
      <c r="F45" s="293"/>
      <c r="G45" s="294" t="str">
        <f ca="1">IF($C$25="Annual",'Segment Analysis'!G177,'Segment Analysis'!G197)</f>
        <v>N/A</v>
      </c>
      <c r="H45" s="294" t="str">
        <f ca="1">IF($C$25="Annual",'Segment Analysis'!H177,'Segment Analysis'!H197)</f>
        <v>N/A</v>
      </c>
      <c r="I45" s="294" t="str">
        <f ca="1">IF($C$25="Annual",'Segment Analysis'!I177,'Segment Analysis'!I197)</f>
        <v>N/A</v>
      </c>
      <c r="J45" s="295"/>
      <c r="K45" s="294" t="str">
        <f ca="1">IF($C$25="Annual",'Segment Analysis'!K177,'Segment Analysis'!K197)</f>
        <v>N/A</v>
      </c>
      <c r="L45" s="294" t="str">
        <f ca="1">IF($C$25="Annual",'Segment Analysis'!L177,'Segment Analysis'!L197)</f>
        <v>N/A</v>
      </c>
      <c r="M45" s="294" t="str">
        <f ca="1">IF($C$25="Annual",'Segment Analysis'!M177,'Segment Analysis'!M197)</f>
        <v>N/A</v>
      </c>
      <c r="N45" s="294" t="str">
        <f ca="1">IF($C$25="Annual",'Segment Analysis'!N177,'Segment Analysis'!N197)</f>
        <v>N/A</v>
      </c>
      <c r="O45" s="295">
        <f ca="1">IF($C$25="Annual",'Segment Analysis'!O177,'Segment Analysis'!O197)</f>
        <v>1e-12</v>
      </c>
      <c r="P45" s="294" t="str">
        <f ca="1">IF($C$25="Annual",'Segment Analysis'!P177,'Segment Analysis'!P197)</f>
        <v>N/A</v>
      </c>
      <c r="Q45" s="294" t="str">
        <f ca="1">IF($C$25="Annual",'Segment Analysis'!Q177,'Segment Analysis'!Q197)</f>
        <v>N/A</v>
      </c>
      <c r="R45" s="294" t="str">
        <f ca="1">IF($C$25="Annual",'Segment Analysis'!R177,'Segment Analysis'!R197)</f>
        <v>N/A</v>
      </c>
      <c r="S45" s="294" t="str">
        <f ca="1">IF($C$25="Annual",'Segment Analysis'!S177,'Segment Analysis'!S197)</f>
        <v>N/A</v>
      </c>
      <c r="T45" s="295">
        <f ca="1">IF($C$25="Annual",'Segment Analysis'!T177,'Segment Analysis'!T197)</f>
        <v>1e-12</v>
      </c>
      <c r="U45" s="294" t="str">
        <f ca="1">IF($C$25="Annual",'Segment Analysis'!U177,'Segment Analysis'!U197)</f>
        <v>N/A</v>
      </c>
      <c r="V45" s="294" t="str">
        <f ca="1">IF($C$25="Annual",'Segment Analysis'!V177,'Segment Analysis'!V197)</f>
        <v>N/A</v>
      </c>
      <c r="W45" s="294" t="str">
        <f ca="1">IF($C$25="Annual",'Segment Analysis'!W177,'Segment Analysis'!W197)</f>
        <v>N/A</v>
      </c>
      <c r="X45" s="296" t="str">
        <f ca="1">IFERROR(X44/W44-1,"--")</f>
        <v>--</v>
      </c>
      <c r="Y45" s="297" t="str">
        <f ca="1">IFERROR(Y44/T44-1,"--")</f>
        <v>--</v>
      </c>
      <c r="Z45" s="296" t="str">
        <f ca="1">IFERROR(Z44/X44-1,"--")</f>
        <v>--</v>
      </c>
      <c r="AA45" s="296" t="str">
        <f t="shared" ref="AA45:AC45" si="16" ca="1">IFERROR(AA44/Z44-1,"--")</f>
        <v>--</v>
      </c>
      <c r="AB45" s="296" t="str">
        <f ca="1">IFERROR(AB44/AA44-1,"--")</f>
        <v>--</v>
      </c>
      <c r="AC45" s="296" t="str">
        <f ca="1">IFERROR(AC44/AB44-1,"--")</f>
        <v>--</v>
      </c>
      <c r="AD45" s="297" t="str">
        <f ca="1">IFERROR(AD44/Y44-1,"--")</f>
        <v>--</v>
      </c>
      <c r="AE45" s="297" t="str">
        <f t="shared" ref="AE45:AG45" si="17" ca="1">IFERROR(AE44/AD44-1,"--")</f>
        <v>--</v>
      </c>
      <c r="AF45" s="297" t="str">
        <f ca="1">IFERROR(AF44/AE44-1,"--")</f>
        <v>--</v>
      </c>
      <c r="AG45" s="297" t="str">
        <f ca="1">IFERROR(AG44/AF44-1,"--")</f>
        <v>--</v>
      </c>
      <c r="AH45" s="291"/>
      <c r="AI45" s="298"/>
      <c r="AJ45" s="299"/>
    </row>
    <row r="46" ht="12.75" customHeight="1" spans="1:36" x14ac:dyDescent="0.25" outlineLevel="1" collapsed="1">
      <c r="A46" s="290"/>
      <c r="B46" s="291"/>
      <c r="C46" s="120" t="s">
        <v>248</v>
      </c>
      <c r="D46" s="291"/>
      <c r="E46" s="291"/>
      <c r="F46" s="294">
        <f ca="1">'Segment Analysis'!F20</f>
        <v>1e-12</v>
      </c>
      <c r="G46" s="294">
        <f ca="1">'Segment Analysis'!G20</f>
        <v>1e-12</v>
      </c>
      <c r="H46" s="294">
        <f ca="1">'Segment Analysis'!H20</f>
        <v>1e-12</v>
      </c>
      <c r="I46" s="294">
        <f ca="1">'Segment Analysis'!I20</f>
        <v>1e-12</v>
      </c>
      <c r="J46" s="295">
        <f ca="1">'Segment Analysis'!J20</f>
        <v>1e-12</v>
      </c>
      <c r="K46" s="294">
        <f ca="1">'Segment Analysis'!K20</f>
        <v>1e-12</v>
      </c>
      <c r="L46" s="294">
        <f ca="1">'Segment Analysis'!L20</f>
        <v>1e-12</v>
      </c>
      <c r="M46" s="294">
        <f ca="1">'Segment Analysis'!M20</f>
        <v>1e-12</v>
      </c>
      <c r="N46" s="294">
        <f ca="1">'Segment Analysis'!N20</f>
        <v>1e-12</v>
      </c>
      <c r="O46" s="295">
        <f ca="1">'Segment Analysis'!O20</f>
        <v>1e-12</v>
      </c>
      <c r="P46" s="294">
        <f ca="1">'Segment Analysis'!P20</f>
        <v>1e-12</v>
      </c>
      <c r="Q46" s="294">
        <f ca="1">'Segment Analysis'!Q20</f>
        <v>1e-12</v>
      </c>
      <c r="R46" s="294">
        <f ca="1">'Segment Analysis'!R20</f>
        <v>1e-12</v>
      </c>
      <c r="S46" s="294">
        <f ca="1">'Segment Analysis'!S20</f>
        <v>1e-12</v>
      </c>
      <c r="T46" s="295">
        <f ca="1">'Segment Analysis'!T20</f>
        <v>1e-12</v>
      </c>
      <c r="U46" s="294">
        <f ca="1">'Segment Analysis'!U20</f>
        <v>1e-12</v>
      </c>
      <c r="V46" s="294">
        <f ca="1">'Segment Analysis'!V20</f>
        <v>1e-12</v>
      </c>
      <c r="W46" s="294">
        <f ca="1">'Segment Analysis'!W20</f>
        <v>1e-12</v>
      </c>
      <c r="X46" s="296">
        <f t="shared" ref="X46:AG46" si="18" ca="1">X44/X$30</f>
        <v>1e-12</v>
      </c>
      <c r="Y46" s="297">
        <f ca="1">Y44/Y$30</f>
        <v>1e-12</v>
      </c>
      <c r="Z46" s="296">
        <f ca="1">Z44/Z$30</f>
        <v>1e-12</v>
      </c>
      <c r="AA46" s="296">
        <f ca="1">AA44/AA$30</f>
        <v>1e-12</v>
      </c>
      <c r="AB46" s="296">
        <f ca="1">AB44/AB$30</f>
        <v>1e-12</v>
      </c>
      <c r="AC46" s="296">
        <f ca="1">AC44/AC$30</f>
        <v>1e-12</v>
      </c>
      <c r="AD46" s="297">
        <f ca="1">AD44/AD$30</f>
        <v>1e-12</v>
      </c>
      <c r="AE46" s="297">
        <f ca="1">AE44/AE$30</f>
        <v>1e-12</v>
      </c>
      <c r="AF46" s="297">
        <f ca="1">AF44/AF$30</f>
        <v>1e-12</v>
      </c>
      <c r="AG46" s="297">
        <f ca="1">AG44/AG$30</f>
        <v>1e-12</v>
      </c>
      <c r="AH46" s="291"/>
      <c r="AI46" s="298"/>
      <c r="AJ46" s="299"/>
    </row>
    <row r="47" ht="12.75" customHeight="1" spans="1:36" x14ac:dyDescent="0.25" outlineLevel="1" collapsed="1">
      <c r="A47" s="16"/>
      <c r="B47" s="16"/>
      <c r="C47" s="16" t="str">
        <f ca="1">'Segment Analysis'!C13</f>
        <v>Segment 6 Revenue</v>
      </c>
      <c r="D47" s="16"/>
      <c r="E47" s="16"/>
      <c r="F47" s="284">
        <f ca="1">'Segment Analysis'!F13</f>
        <v>1e-12</v>
      </c>
      <c r="G47" s="284">
        <f ca="1">'Segment Analysis'!G13</f>
        <v>1e-12</v>
      </c>
      <c r="H47" s="284">
        <f ca="1">'Segment Analysis'!H13</f>
        <v>1e-12</v>
      </c>
      <c r="I47" s="284">
        <f ca="1">'Segment Analysis'!I13</f>
        <v>1e-12</v>
      </c>
      <c r="J47" s="285">
        <f ca="1">'Segment Analysis'!J13</f>
        <v>1e-12</v>
      </c>
      <c r="K47" s="284">
        <f ca="1">'Segment Analysis'!K13</f>
        <v>1e-12</v>
      </c>
      <c r="L47" s="284">
        <f ca="1">'Segment Analysis'!L13</f>
        <v>1e-12</v>
      </c>
      <c r="M47" s="284">
        <f ca="1">'Segment Analysis'!M13</f>
        <v>1e-12</v>
      </c>
      <c r="N47" s="284">
        <f ca="1">'Segment Analysis'!N13</f>
        <v>1e-12</v>
      </c>
      <c r="O47" s="285">
        <f ca="1">'Segment Analysis'!O13</f>
        <v>1e-12</v>
      </c>
      <c r="P47" s="284">
        <f ca="1">'Segment Analysis'!P13</f>
        <v>1e-12</v>
      </c>
      <c r="Q47" s="284">
        <f ca="1">'Segment Analysis'!Q13</f>
        <v>1e-12</v>
      </c>
      <c r="R47" s="284">
        <f ca="1">'Segment Analysis'!R13</f>
        <v>1e-12</v>
      </c>
      <c r="S47" s="284">
        <f ca="1">'Segment Analysis'!S13</f>
        <v>1e-12</v>
      </c>
      <c r="T47" s="285">
        <f ca="1">'Segment Analysis'!T13</f>
        <v>1e-12</v>
      </c>
      <c r="U47" s="284">
        <f ca="1">'Segment Analysis'!U13</f>
        <v>1e-12</v>
      </c>
      <c r="V47" s="284">
        <f ca="1">'Segment Analysis'!V13</f>
        <v>1e-12</v>
      </c>
      <c r="W47" s="284">
        <f ca="1">'Segment Analysis'!W13</f>
        <v>1e-12</v>
      </c>
      <c r="X47" s="286">
        <f ca="1">IF(Segment6_Rev_Methodology="Segment",X83,IF(Segment6_Rev_Methodology="Activity-Based",X151,IF(Segment6_Rev_Methodology="Backlog",X225,"--")))</f>
        <v>0</v>
      </c>
      <c r="Y47" s="287">
        <f ca="1">SUM(U47:X47)</f>
        <v>1e-12</v>
      </c>
      <c r="Z47" s="286">
        <f ca="1">IF(Segment6_Rev_Methodology="Segment",Z83,IF(Segment6_Rev_Methodology="Activity-Based",Z151,IF(Segment6_Rev_Methodology="Backlog",Z225,"--")))</f>
        <v>0</v>
      </c>
      <c r="AA47" s="286">
        <f ca="1">IF(Segment6_Rev_Methodology="Segment",AA83,IF(Segment6_Rev_Methodology="Activity-Based",AA151,IF(Segment6_Rev_Methodology="Backlog",AA225,"--")))</f>
        <v>0</v>
      </c>
      <c r="AB47" s="286">
        <f ca="1">IF(Segment6_Rev_Methodology="Segment",AB83,IF(Segment6_Rev_Methodology="Activity-Based",AB151,IF(Segment6_Rev_Methodology="Backlog",AB225,"--")))</f>
        <v>0</v>
      </c>
      <c r="AC47" s="286">
        <f ca="1">IF(Segment6_Rev_Methodology="Segment",AC83,IF(Segment6_Rev_Methodology="Activity-Based",AC151,IF(Segment6_Rev_Methodology="Backlog",AC225,"--")))</f>
        <v>0</v>
      </c>
      <c r="AD47" s="287">
        <f ca="1">SUM(Z47:AC47)</f>
        <v>1e-12</v>
      </c>
      <c r="AE47" s="287">
        <f ca="1">IF(Segment6_Rev_Methodology="Segment",AE83,IF(Segment6_Rev_Methodology="Activity-Based",AE151,IF(Segment6_Rev_Methodology="Backlog",AE225,"--")))</f>
        <v>0</v>
      </c>
      <c r="AF47" s="287">
        <f ca="1">IF(Segment6_Rev_Methodology="Segment",AF83,IF(Segment6_Rev_Methodology="Activity-Based",AF151,IF(Segment6_Rev_Methodology="Backlog",AF225,"--")))</f>
        <v>0</v>
      </c>
      <c r="AG47" s="287">
        <f ca="1">IF(Segment6_Rev_Methodology="Segment",AG83,IF(Segment6_Rev_Methodology="Activity-Based",AG151,IF(Segment6_Rev_Methodology="Backlog",AG225,"--")))</f>
        <v>0</v>
      </c>
      <c r="AH47" s="16"/>
      <c r="AI47" s="288" t="str">
        <f ca="1">IFERROR((T47/J47)^(1/3)-1,"--")</f>
        <v>--</v>
      </c>
      <c r="AJ47" s="289" t="str">
        <f ca="1">IFERROR((AG47/T47)^(1/5)-1,"--")</f>
        <v>--</v>
      </c>
    </row>
    <row r="48" ht="12.75" customHeight="1" spans="1:36" x14ac:dyDescent="0.25" outlineLevel="1" collapsed="1">
      <c r="A48" s="302"/>
      <c r="B48" s="303"/>
      <c r="C48" s="120" t="s">
        <v>249</v>
      </c>
      <c r="D48" s="303"/>
      <c r="E48" s="303"/>
      <c r="F48" s="304"/>
      <c r="G48" s="294" t="str">
        <f ca="1">IF($C$25="Annual",'Segment Analysis'!G198,'Segment Analysis'!G198)</f>
        <v>N/A</v>
      </c>
      <c r="H48" s="294" t="str">
        <f ca="1">IF($C$25="Annual",'Segment Analysis'!H198,'Segment Analysis'!H198)</f>
        <v>N/A</v>
      </c>
      <c r="I48" s="294" t="str">
        <f ca="1">IF($C$25="Annual",'Segment Analysis'!I198,'Segment Analysis'!I198)</f>
        <v>N/A</v>
      </c>
      <c r="J48" s="295"/>
      <c r="K48" s="294" t="str">
        <f ca="1">IF($C$25="Annual",'Segment Analysis'!K198,'Segment Analysis'!K198)</f>
        <v>N/A</v>
      </c>
      <c r="L48" s="294" t="str">
        <f ca="1">IF($C$25="Annual",'Segment Analysis'!L198,'Segment Analysis'!L198)</f>
        <v>N/A</v>
      </c>
      <c r="M48" s="294" t="str">
        <f ca="1">IF($C$25="Annual",'Segment Analysis'!M198,'Segment Analysis'!M198)</f>
        <v>N/A</v>
      </c>
      <c r="N48" s="294" t="str">
        <f ca="1">IF($C$25="Annual",'Segment Analysis'!N198,'Segment Analysis'!N198)</f>
        <v>N/A</v>
      </c>
      <c r="O48" s="295">
        <f ca="1">IF($C$25="Annual",'Segment Analysis'!O198,'Segment Analysis'!O198)</f>
        <v>1e-12</v>
      </c>
      <c r="P48" s="294" t="str">
        <f ca="1">IF($C$25="Annual",'Segment Analysis'!P198,'Segment Analysis'!P198)</f>
        <v>N/A</v>
      </c>
      <c r="Q48" s="294" t="str">
        <f ca="1">IF($C$25="Annual",'Segment Analysis'!Q198,'Segment Analysis'!Q198)</f>
        <v>N/A</v>
      </c>
      <c r="R48" s="294" t="str">
        <f ca="1">IF($C$25="Annual",'Segment Analysis'!R198,'Segment Analysis'!R198)</f>
        <v>N/A</v>
      </c>
      <c r="S48" s="294" t="str">
        <f ca="1">IF($C$25="Annual",'Segment Analysis'!S198,'Segment Analysis'!S198)</f>
        <v>N/A</v>
      </c>
      <c r="T48" s="295">
        <f ca="1">IF($C$25="Annual",'Segment Analysis'!T198,'Segment Analysis'!T198)</f>
        <v>1e-12</v>
      </c>
      <c r="U48" s="294" t="str">
        <f ca="1">IF($C$25="Annual",'Segment Analysis'!U198,'Segment Analysis'!U198)</f>
        <v>N/A</v>
      </c>
      <c r="V48" s="294" t="str">
        <f ca="1">IF($C$25="Annual",'Segment Analysis'!V198,'Segment Analysis'!V198)</f>
        <v>N/A</v>
      </c>
      <c r="W48" s="294" t="str">
        <f ca="1">IF($C$25="Annual",'Segment Analysis'!W198,'Segment Analysis'!W198)</f>
        <v>N/A</v>
      </c>
      <c r="X48" s="305" t="str">
        <f ca="1">IFERROR(X47/W47-1,"--")</f>
        <v>--</v>
      </c>
      <c r="Y48" s="306" t="str">
        <f ca="1">IFERROR(Y47/T47-1,"--")</f>
        <v>--</v>
      </c>
      <c r="Z48" s="305" t="str">
        <f ca="1">IFERROR(Z47/X47-1,"--")</f>
        <v>--</v>
      </c>
      <c r="AA48" s="305" t="str">
        <f t="shared" ref="AA48:AC48" si="19" ca="1">IFERROR(AA47/Z47-1,"--")</f>
        <v>--</v>
      </c>
      <c r="AB48" s="305" t="str">
        <f ca="1">IFERROR(AB47/AA47-1,"--")</f>
        <v>--</v>
      </c>
      <c r="AC48" s="305" t="str">
        <f ca="1">IFERROR(AC47/AB47-1,"--")</f>
        <v>--</v>
      </c>
      <c r="AD48" s="306" t="str">
        <f ca="1">IFERROR(AD47/Y47-1,"--")</f>
        <v>--</v>
      </c>
      <c r="AE48" s="306" t="str">
        <f t="shared" ref="AE48:AG48" si="20" ca="1">IFERROR(AE47/AD47-1,"--")</f>
        <v>--</v>
      </c>
      <c r="AF48" s="306" t="str">
        <f ca="1">IFERROR(AF47/AE47-1,"--")</f>
        <v>--</v>
      </c>
      <c r="AG48" s="306" t="str">
        <f ca="1">IFERROR(AG47/AF47-1,"--")</f>
        <v>--</v>
      </c>
      <c r="AH48" s="303"/>
      <c r="AI48" s="307"/>
      <c r="AJ48" s="308"/>
    </row>
    <row r="49" ht="12.75" customHeight="1" spans="1:36" x14ac:dyDescent="0.25" outlineLevel="1" collapsed="1">
      <c r="A49" s="302"/>
      <c r="B49" s="303"/>
      <c r="C49" s="120" t="s">
        <v>248</v>
      </c>
      <c r="D49" s="303"/>
      <c r="E49" s="303"/>
      <c r="F49" s="309">
        <f ca="1">'Segment Analysis'!F21</f>
        <v>1e-12</v>
      </c>
      <c r="G49" s="309">
        <f ca="1">'Segment Analysis'!G21</f>
        <v>1e-12</v>
      </c>
      <c r="H49" s="309">
        <f ca="1">'Segment Analysis'!H21</f>
        <v>1e-12</v>
      </c>
      <c r="I49" s="309">
        <f ca="1">'Segment Analysis'!I21</f>
        <v>1e-12</v>
      </c>
      <c r="J49" s="310">
        <f ca="1">'Segment Analysis'!J21</f>
        <v>1e-12</v>
      </c>
      <c r="K49" s="309">
        <f ca="1">'Segment Analysis'!K21</f>
        <v>1e-12</v>
      </c>
      <c r="L49" s="309">
        <f ca="1">'Segment Analysis'!L21</f>
        <v>1e-12</v>
      </c>
      <c r="M49" s="309">
        <f ca="1">'Segment Analysis'!M21</f>
        <v>1e-12</v>
      </c>
      <c r="N49" s="309">
        <f ca="1">'Segment Analysis'!N21</f>
        <v>1e-12</v>
      </c>
      <c r="O49" s="310">
        <f ca="1">'Segment Analysis'!O21</f>
        <v>1e-12</v>
      </c>
      <c r="P49" s="309">
        <f ca="1">'Segment Analysis'!P21</f>
        <v>1e-12</v>
      </c>
      <c r="Q49" s="309">
        <f ca="1">'Segment Analysis'!Q21</f>
        <v>1e-12</v>
      </c>
      <c r="R49" s="309">
        <f ca="1">'Segment Analysis'!R21</f>
        <v>1e-12</v>
      </c>
      <c r="S49" s="309">
        <f ca="1">'Segment Analysis'!S21</f>
        <v>1e-12</v>
      </c>
      <c r="T49" s="310">
        <f ca="1">'Segment Analysis'!T21</f>
        <v>1e-12</v>
      </c>
      <c r="U49" s="309">
        <f ca="1">'Segment Analysis'!U21</f>
        <v>1e-12</v>
      </c>
      <c r="V49" s="309">
        <f ca="1">'Segment Analysis'!V21</f>
        <v>1e-12</v>
      </c>
      <c r="W49" s="309">
        <f ca="1">'Segment Analysis'!W21</f>
        <v>1e-12</v>
      </c>
      <c r="X49" s="305">
        <f t="shared" ref="X49:AG49" si="21" ca="1">X47/X$30</f>
        <v>1e-12</v>
      </c>
      <c r="Y49" s="306">
        <f ca="1">Y47/Y$30</f>
        <v>1e-12</v>
      </c>
      <c r="Z49" s="305">
        <f ca="1">Z47/Z$30</f>
        <v>1e-12</v>
      </c>
      <c r="AA49" s="305">
        <f ca="1">AA47/AA$30</f>
        <v>1e-12</v>
      </c>
      <c r="AB49" s="305">
        <f ca="1">AB47/AB$30</f>
        <v>1e-12</v>
      </c>
      <c r="AC49" s="305">
        <f ca="1">AC47/AC$30</f>
        <v>1e-12</v>
      </c>
      <c r="AD49" s="306">
        <f ca="1">AD47/AD$30</f>
        <v>1e-12</v>
      </c>
      <c r="AE49" s="306">
        <f ca="1">AE47/AE$30</f>
        <v>1e-12</v>
      </c>
      <c r="AF49" s="306">
        <f ca="1">AF47/AF$30</f>
        <v>1e-12</v>
      </c>
      <c r="AG49" s="306">
        <f ca="1">AG47/AG$30</f>
        <v>1e-12</v>
      </c>
      <c r="AH49" s="303"/>
      <c r="AI49" s="311"/>
      <c r="AJ49" s="312"/>
    </row>
    <row r="50" ht="12.75" customHeight="1" spans="1:36" x14ac:dyDescent="0.25">
      <c r="A50" s="16"/>
      <c r="B50" s="16"/>
      <c r="C50" s="16"/>
      <c r="D50" s="16"/>
      <c r="E50" s="16"/>
      <c r="F50" s="279"/>
      <c r="G50" s="279"/>
      <c r="H50" s="279"/>
      <c r="I50" s="279"/>
      <c r="J50" s="280"/>
      <c r="K50" s="279"/>
      <c r="L50" s="279"/>
      <c r="M50" s="279"/>
      <c r="N50" s="279"/>
      <c r="O50" s="280"/>
      <c r="P50" s="279"/>
      <c r="Q50" s="279"/>
      <c r="R50" s="279"/>
      <c r="S50" s="279"/>
      <c r="T50" s="280"/>
      <c r="U50" s="279"/>
      <c r="V50" s="279"/>
      <c r="W50" s="279"/>
      <c r="X50" s="281"/>
      <c r="Y50" s="282"/>
      <c r="Z50" s="281"/>
      <c r="AA50" s="281"/>
      <c r="AB50" s="281"/>
      <c r="AC50" s="281"/>
      <c r="AD50" s="282"/>
      <c r="AE50" s="282"/>
      <c r="AF50" s="282"/>
      <c r="AG50" s="282"/>
      <c r="AH50" s="16"/>
      <c r="AI50" s="16"/>
      <c r="AJ50" s="16"/>
    </row>
    <row r="51" ht="12.75" customHeight="1" spans="1:36" x14ac:dyDescent="0.25">
      <c r="A51" s="264" t="s">
        <v>1</v>
      </c>
      <c r="B51" s="16"/>
      <c r="C51" s="62" t="s">
        <v>250</v>
      </c>
      <c r="D51" s="19"/>
      <c r="E51" s="19"/>
      <c r="F51" s="313" t="str">
        <f t="shared" ref="F51:AG51" si="22" ca="1">F$28</f>
        <v>1Q23</v>
      </c>
      <c r="G51" s="313" t="str">
        <f ca="1">G$28</f>
        <v>2Q23</v>
      </c>
      <c r="H51" s="313" t="str">
        <f ca="1">H$28</f>
        <v>3Q23</v>
      </c>
      <c r="I51" s="313" t="str">
        <f ca="1">I$28</f>
        <v>4Q23</v>
      </c>
      <c r="J51" s="313">
        <f ca="1">J$28</f>
        <v>2023</v>
      </c>
      <c r="K51" s="313" t="str">
        <f ca="1">K$28</f>
        <v>1Q24</v>
      </c>
      <c r="L51" s="313" t="str">
        <f ca="1">L$28</f>
        <v>2Q24</v>
      </c>
      <c r="M51" s="313" t="str">
        <f ca="1">M$28</f>
        <v>3Q24</v>
      </c>
      <c r="N51" s="313" t="str">
        <f ca="1">N$28</f>
        <v>4Q24</v>
      </c>
      <c r="O51" s="313">
        <f ca="1">O$28</f>
        <v>2024</v>
      </c>
      <c r="P51" s="313" t="str">
        <f ca="1">P$28</f>
        <v>1Q25</v>
      </c>
      <c r="Q51" s="313" t="str">
        <f ca="1">Q$28</f>
        <v>2Q25</v>
      </c>
      <c r="R51" s="313" t="str">
        <f ca="1">R$28</f>
        <v>3Q25</v>
      </c>
      <c r="S51" s="313" t="str">
        <f ca="1">S$28</f>
        <v>4Q25</v>
      </c>
      <c r="T51" s="313">
        <f ca="1">T$28</f>
        <v>2025</v>
      </c>
      <c r="U51" s="313" t="str">
        <f ca="1">U$28</f>
        <v>1Q26</v>
      </c>
      <c r="V51" s="313" t="str">
        <f ca="1">V$28</f>
        <v>2Q26</v>
      </c>
      <c r="W51" s="313" t="str">
        <f ca="1">W$28</f>
        <v>3Q26e</v>
      </c>
      <c r="X51" s="313" t="str">
        <f ca="1">X$28</f>
        <v>4Q26e</v>
      </c>
      <c r="Y51" s="313" t="str">
        <f ca="1">Y$28</f>
        <v>2026e</v>
      </c>
      <c r="Z51" s="313" t="str">
        <f ca="1">Z$28</f>
        <v>1Q27e</v>
      </c>
      <c r="AA51" s="313" t="str">
        <f ca="1">AA$28</f>
        <v>2Q27e</v>
      </c>
      <c r="AB51" s="313" t="str">
        <f ca="1">AB$28</f>
        <v>3Q27e</v>
      </c>
      <c r="AC51" s="313" t="str">
        <f ca="1">AC$28</f>
        <v>4Q27e</v>
      </c>
      <c r="AD51" s="313" t="str">
        <f ca="1">AD$28</f>
        <v>2027e</v>
      </c>
      <c r="AE51" s="313" t="str">
        <f ca="1">AE$28</f>
        <v>2028e</v>
      </c>
      <c r="AF51" s="313" t="str">
        <f ca="1">AF$28</f>
        <v>2029e</v>
      </c>
      <c r="AG51" s="314" t="str">
        <f ca="1">AG$28</f>
        <v>2030e</v>
      </c>
      <c r="AH51" s="277" t="s">
        <v>1</v>
      </c>
      <c r="AI51" s="16"/>
      <c r="AJ51" s="16"/>
    </row>
    <row r="52" ht="12.75" customHeight="1" spans="1:36" x14ac:dyDescent="0.25">
      <c r="A52" s="16"/>
      <c r="B52" s="16"/>
      <c r="C52" s="16"/>
      <c r="D52" s="16"/>
      <c r="E52" s="16"/>
      <c r="F52" s="315"/>
      <c r="G52" s="315"/>
      <c r="H52" s="315"/>
      <c r="I52" s="315"/>
      <c r="J52" s="16"/>
      <c r="K52" s="315"/>
      <c r="L52" s="315"/>
      <c r="M52" s="315"/>
      <c r="N52" s="315"/>
      <c r="O52" s="16"/>
      <c r="P52" s="315"/>
      <c r="Q52" s="315"/>
      <c r="R52" s="315"/>
      <c r="S52" s="315"/>
      <c r="T52" s="16"/>
      <c r="U52" s="315"/>
      <c r="V52" s="315"/>
      <c r="W52" s="315"/>
      <c r="X52" s="316"/>
      <c r="Y52" s="16"/>
      <c r="Z52" s="316"/>
      <c r="AA52" s="316"/>
      <c r="AB52" s="316"/>
      <c r="AC52" s="316"/>
      <c r="AD52" s="16"/>
      <c r="AE52" s="16"/>
      <c r="AF52" s="16"/>
      <c r="AG52" s="16"/>
      <c r="AH52" s="16"/>
      <c r="AI52" s="16"/>
      <c r="AJ52" s="16"/>
    </row>
    <row r="53" ht="12.75" customHeight="1" spans="1:36" x14ac:dyDescent="0.25">
      <c r="A53" s="16"/>
      <c r="B53" s="16"/>
      <c r="C53" s="139" t="str">
        <f ca="1">C32</f>
        <v>Home Improvement Retail Revenue</v>
      </c>
      <c r="D53" s="16"/>
      <c r="E53" s="16"/>
      <c r="F53" s="317">
        <f t="shared" ref="F53:W53" si="23" ca="1">F32</f>
        <v>17360</v>
      </c>
      <c r="G53" s="317">
        <f ca="1">G32</f>
        <v>20888</v>
      </c>
      <c r="H53" s="317">
        <f ca="1">H32</f>
        <v>17415</v>
      </c>
      <c r="I53" s="317">
        <f ca="1">I32</f>
        <v>15646</v>
      </c>
      <c r="J53" s="287">
        <f ca="1">J32</f>
        <v>71309</v>
      </c>
      <c r="K53" s="317">
        <f ca="1">K32</f>
        <v>17741</v>
      </c>
      <c r="L53" s="317">
        <f ca="1">L32</f>
        <v>20992</v>
      </c>
      <c r="M53" s="317">
        <f ca="1">M32</f>
        <v>17388</v>
      </c>
      <c r="N53" s="317">
        <f ca="1">N32</f>
        <v>16027</v>
      </c>
      <c r="O53" s="287">
        <f ca="1">O32</f>
        <v>72148</v>
      </c>
      <c r="P53" s="317">
        <f ca="1">P32</f>
        <v>19675</v>
      </c>
      <c r="Q53" s="317">
        <f ca="1">Q32</f>
        <v>27302</v>
      </c>
      <c r="R53" s="317">
        <f ca="1">R32</f>
        <v>22309</v>
      </c>
      <c r="S53" s="317">
        <f ca="1">S32</f>
        <v>20311</v>
      </c>
      <c r="T53" s="287">
        <f ca="1">T32</f>
        <v>89597</v>
      </c>
      <c r="U53" s="317">
        <f ca="1">U32</f>
        <v>24422</v>
      </c>
      <c r="V53" s="317">
        <f ca="1">V32</f>
        <v>27570</v>
      </c>
      <c r="W53" s="317">
        <f ca="1">W32</f>
        <v>22918</v>
      </c>
      <c r="X53" s="286">
        <f ca="1">IF($C$25="Quarterly",W53*(1+X54),S53*(1+X54))</f>
        <v>21772.1</v>
      </c>
      <c r="Y53" s="287">
        <f ca="1">SUM(U53:X53)</f>
        <v>96682.1</v>
      </c>
      <c r="Z53" s="286">
        <f ca="1">IF($C$25="Quarterly",X53*(1+Z54),U53*(1+Z54))</f>
        <v>25691.077999999998</v>
      </c>
      <c r="AA53" s="286">
        <f t="shared" ref="AA53:AC53" si="24" ca="1">IF($C$25="Quarterly",Z53*(1+AA54),V53*(1+AA54))</f>
        <v>29287.82892</v>
      </c>
      <c r="AB53" s="286">
        <f ca="1">IF($C$25="Quarterly",AA53*(1+AB54),W53*(1+AB54))</f>
        <v>25773.2894496</v>
      </c>
      <c r="AC53" s="286">
        <f ca="1">IF($C$25="Quarterly",AB53*(1+AC54),X53*(1+AC54))</f>
        <v>24484.62497712</v>
      </c>
      <c r="AD53" s="287">
        <f ca="1">SUM(Z53:AC53)</f>
        <v>105236.82134671998</v>
      </c>
      <c r="AE53" s="287">
        <f t="shared" ref="AE53:AG53" si="25" ca="1">AD53*(1+AE54)</f>
        <v>107341.55777365438</v>
      </c>
      <c r="AF53" s="287">
        <f ca="1">AE53*(1+AF54)</f>
        <v>109488.38892912747</v>
      </c>
      <c r="AG53" s="287">
        <f ca="1">AF53*(1+AG54)</f>
        <v>111678.15670771002</v>
      </c>
      <c r="AH53" s="16"/>
      <c r="AI53" s="16"/>
      <c r="AJ53" s="16"/>
    </row>
    <row r="54" ht="12.75" customHeight="1" spans="1:36" x14ac:dyDescent="0.25">
      <c r="A54" s="303"/>
      <c r="B54" s="303"/>
      <c r="C54" s="120" t="str">
        <f ca="1">IF($C$25="Quarterly","% Growth QoQ","% Growth YoY")</f>
        <v>% Growth QoQ</v>
      </c>
      <c r="D54" s="303"/>
      <c r="E54" s="303"/>
      <c r="F54" s="318"/>
      <c r="G54" s="318">
        <f t="shared" ref="G54:W54" si="26" ca="1">G33</f>
        <v>0.2032258064516128</v>
      </c>
      <c r="H54" s="318">
        <f ca="1">H33</f>
        <v>-0.16626771351972425</v>
      </c>
      <c r="I54" s="318">
        <f ca="1">I33</f>
        <v>-0.10157909847832325</v>
      </c>
      <c r="J54" s="306">
        <f ca="1">J33</f>
        <v>1e-12</v>
      </c>
      <c r="K54" s="318">
        <f ca="1">K33</f>
        <v>0.13390003834845965</v>
      </c>
      <c r="L54" s="318">
        <f ca="1">L33</f>
        <v>0.18324784397722782</v>
      </c>
      <c r="M54" s="318">
        <f ca="1">M33</f>
        <v>-0.17168445121951215</v>
      </c>
      <c r="N54" s="318">
        <f ca="1">N33</f>
        <v>-0.07827237175063262</v>
      </c>
      <c r="O54" s="306">
        <f ca="1">O33</f>
        <v>1e-12</v>
      </c>
      <c r="P54" s="318">
        <f ca="1">P33</f>
        <v>0.22761589817183503</v>
      </c>
      <c r="Q54" s="318">
        <f ca="1">Q33</f>
        <v>0.3876493011435833</v>
      </c>
      <c r="R54" s="318">
        <f ca="1">R33</f>
        <v>-0.18288037506409782</v>
      </c>
      <c r="S54" s="318">
        <f ca="1">S33</f>
        <v>-0.08956026715675292</v>
      </c>
      <c r="T54" s="306">
        <f ca="1">T33</f>
        <v>1e-12</v>
      </c>
      <c r="U54" s="318">
        <f ca="1">U33</f>
        <v>0.20240263896410804</v>
      </c>
      <c r="V54" s="318">
        <f ca="1">V33</f>
        <v>0.12890017197608716</v>
      </c>
      <c r="W54" s="318">
        <f ca="1">W33</f>
        <v>-0.16873413130214</v>
      </c>
      <c r="X54" s="305">
        <f ca="1">IF(Case_Scenario="Bull",X55,IF(Case_Scenario="Base",X56,IF(Case_Scenario="bear",X57,"N/A")))</f>
        <v>-0.05</v>
      </c>
      <c r="Y54" s="306"/>
      <c r="Z54" s="305">
        <f ca="1">IF(Case_Scenario="Bull",Z55,IF(Case_Scenario="Base",Z56,IF(Case_Scenario="bear",Z57,"N/A")))</f>
        <v>0.18</v>
      </c>
      <c r="AA54" s="305">
        <f ca="1">IF(Case_Scenario="Bull",AA55,IF(Case_Scenario="Base",AA56,IF(Case_Scenario="bear",AA57,"N/A")))</f>
        <v>0.14</v>
      </c>
      <c r="AB54" s="305">
        <f ca="1">IF(Case_Scenario="Bull",AB55,IF(Case_Scenario="Base",AB56,IF(Case_Scenario="bear",AB57,"N/A")))</f>
        <v>-0.12</v>
      </c>
      <c r="AC54" s="305">
        <f ca="1">IF(Case_Scenario="Bull",AC55,IF(Case_Scenario="Base",AC56,IF(Case_Scenario="bear",AC57,"N/A")))</f>
        <v>-0.05</v>
      </c>
      <c r="AD54" s="306"/>
      <c r="AE54" s="306">
        <f ca="1">IF(Case_Scenario="Bull",AE55,IF(Case_Scenario="Base",AE56,IF(Case_Scenario="bear",AE57,"N/A")))</f>
        <v>0.02</v>
      </c>
      <c r="AF54" s="306">
        <f ca="1">IF(Case_Scenario="Bull",AF55,IF(Case_Scenario="Base",AF56,IF(Case_Scenario="bear",AF57,"N/A")))</f>
        <v>0.02</v>
      </c>
      <c r="AG54" s="306">
        <f ca="1">IF(Case_Scenario="Bull",AG55,IF(Case_Scenario="Base",AG56,IF(Case_Scenario="bear",AG57,"N/A")))</f>
        <v>0.02</v>
      </c>
      <c r="AH54" s="303"/>
      <c r="AI54" s="303"/>
      <c r="AJ54" s="303"/>
    </row>
    <row r="55" ht="12.75" customHeight="1" spans="1:36" x14ac:dyDescent="0.25">
      <c r="A55" s="16"/>
      <c r="B55" s="16"/>
      <c r="C55" s="139" t="s">
        <v>251</v>
      </c>
      <c r="D55" s="16"/>
      <c r="E55" s="16"/>
      <c r="F55" s="319"/>
      <c r="G55" s="319"/>
      <c r="H55" s="319"/>
      <c r="I55" s="319"/>
      <c r="J55" s="168"/>
      <c r="K55" s="319"/>
      <c r="L55" s="319"/>
      <c r="M55" s="319"/>
      <c r="N55" s="319"/>
      <c r="O55" s="168"/>
      <c r="P55" s="319"/>
      <c r="Q55" s="319"/>
      <c r="R55" s="319"/>
      <c r="S55" s="319"/>
      <c r="T55" s="168"/>
      <c r="U55" s="319"/>
      <c r="V55" s="319"/>
      <c r="W55" s="319"/>
      <c r="X55" s="320">
        <v>-0.05</v>
      </c>
      <c r="Y55" s="321"/>
      <c r="Z55" s="320">
        <v>0.12</v>
      </c>
      <c r="AA55" s="320">
        <v>0.17</v>
      </c>
      <c r="AB55" s="320">
        <v>-0.1</v>
      </c>
      <c r="AC55" s="320">
        <v>-0.05</v>
      </c>
      <c r="AD55" s="321"/>
      <c r="AE55" s="321">
        <v>0.02</v>
      </c>
      <c r="AF55" s="321">
        <v>0.02</v>
      </c>
      <c r="AG55" s="321">
        <v>0.02</v>
      </c>
      <c r="AH55" s="16"/>
      <c r="AI55" s="16"/>
      <c r="AJ55" s="16"/>
    </row>
    <row r="56" ht="12.75" customHeight="1" spans="1:36" x14ac:dyDescent="0.25">
      <c r="A56" s="16"/>
      <c r="B56" s="16"/>
      <c r="C56" s="139" t="s">
        <v>252</v>
      </c>
      <c r="D56" s="16"/>
      <c r="E56" s="16"/>
      <c r="F56" s="319"/>
      <c r="G56" s="319"/>
      <c r="H56" s="319"/>
      <c r="I56" s="319"/>
      <c r="J56" s="168"/>
      <c r="K56" s="319"/>
      <c r="L56" s="319"/>
      <c r="M56" s="319"/>
      <c r="N56" s="319"/>
      <c r="O56" s="168"/>
      <c r="P56" s="319"/>
      <c r="Q56" s="319"/>
      <c r="R56" s="319"/>
      <c r="S56" s="319"/>
      <c r="T56" s="168"/>
      <c r="U56" s="319"/>
      <c r="V56" s="319"/>
      <c r="W56" s="319"/>
      <c r="X56" s="320">
        <v>-0.05</v>
      </c>
      <c r="Y56" s="321"/>
      <c r="Z56" s="320">
        <v>0.18</v>
      </c>
      <c r="AA56" s="320">
        <v>0.14</v>
      </c>
      <c r="AB56" s="320">
        <v>-0.12</v>
      </c>
      <c r="AC56" s="320">
        <v>-0.05</v>
      </c>
      <c r="AD56" s="321"/>
      <c r="AE56" s="321">
        <v>0.02</v>
      </c>
      <c r="AF56" s="321">
        <v>0.02</v>
      </c>
      <c r="AG56" s="321">
        <v>0.02</v>
      </c>
      <c r="AH56" s="16"/>
      <c r="AI56" s="16"/>
      <c r="AJ56" s="16"/>
    </row>
    <row r="57" ht="12.75" customHeight="1" spans="1:36" x14ac:dyDescent="0.25">
      <c r="A57" s="16"/>
      <c r="B57" s="16"/>
      <c r="C57" s="139" t="s">
        <v>253</v>
      </c>
      <c r="D57" s="16"/>
      <c r="E57" s="16"/>
      <c r="F57" s="319"/>
      <c r="G57" s="319"/>
      <c r="H57" s="319"/>
      <c r="I57" s="319"/>
      <c r="J57" s="168"/>
      <c r="K57" s="319"/>
      <c r="L57" s="319"/>
      <c r="M57" s="319"/>
      <c r="N57" s="319"/>
      <c r="O57" s="168"/>
      <c r="P57" s="319"/>
      <c r="Q57" s="319"/>
      <c r="R57" s="319"/>
      <c r="S57" s="319"/>
      <c r="T57" s="168"/>
      <c r="U57" s="319"/>
      <c r="V57" s="319"/>
      <c r="W57" s="319"/>
      <c r="X57" s="320">
        <v>-0.05</v>
      </c>
      <c r="Y57" s="321"/>
      <c r="Z57" s="320">
        <v>0.12</v>
      </c>
      <c r="AA57" s="320">
        <v>0.1</v>
      </c>
      <c r="AB57" s="320">
        <v>-0.05</v>
      </c>
      <c r="AC57" s="320">
        <v>-0.05</v>
      </c>
      <c r="AD57" s="321"/>
      <c r="AE57" s="321">
        <v>0.02</v>
      </c>
      <c r="AF57" s="321">
        <v>0.03</v>
      </c>
      <c r="AG57" s="321">
        <v>0.03</v>
      </c>
      <c r="AH57" s="16"/>
      <c r="AI57" s="16"/>
      <c r="AJ57" s="16"/>
    </row>
    <row r="58" ht="12.75" customHeight="1" spans="1:36" x14ac:dyDescent="0.25">
      <c r="A58" s="16"/>
      <c r="B58" s="16"/>
      <c r="C58" s="16"/>
      <c r="D58" s="16"/>
      <c r="E58" s="16"/>
      <c r="F58" s="319"/>
      <c r="G58" s="319"/>
      <c r="H58" s="319"/>
      <c r="I58" s="319"/>
      <c r="J58" s="168"/>
      <c r="K58" s="319"/>
      <c r="L58" s="319"/>
      <c r="M58" s="319"/>
      <c r="N58" s="319"/>
      <c r="O58" s="168"/>
      <c r="P58" s="319"/>
      <c r="Q58" s="319"/>
      <c r="R58" s="319"/>
      <c r="S58" s="319"/>
      <c r="T58" s="168"/>
      <c r="U58" s="319"/>
      <c r="V58" s="319"/>
      <c r="W58" s="319"/>
      <c r="X58" s="322"/>
      <c r="Y58" s="168"/>
      <c r="Z58" s="322"/>
      <c r="AA58" s="322"/>
      <c r="AB58" s="322"/>
      <c r="AC58" s="322"/>
      <c r="AD58" s="168"/>
      <c r="AE58" s="168"/>
      <c r="AF58" s="168"/>
      <c r="AG58" s="168"/>
      <c r="AH58" s="16"/>
      <c r="AI58" s="16"/>
      <c r="AJ58" s="16"/>
    </row>
    <row r="59" ht="12.75" customHeight="1" spans="1:36" x14ac:dyDescent="0.25">
      <c r="A59" s="264" t="s">
        <v>1</v>
      </c>
      <c r="B59" s="16"/>
      <c r="C59" s="139" t="str">
        <f ca="1">C35</f>
        <v>Segment 2 Revenue</v>
      </c>
      <c r="D59" s="16"/>
      <c r="E59" s="16"/>
      <c r="F59" s="317">
        <f t="shared" ref="F59:W59" si="27" ca="1">F35</f>
        <v>1e-12</v>
      </c>
      <c r="G59" s="317">
        <f ca="1">G35</f>
        <v>1e-12</v>
      </c>
      <c r="H59" s="317">
        <f ca="1">H35</f>
        <v>1e-12</v>
      </c>
      <c r="I59" s="317">
        <f ca="1">I35</f>
        <v>1e-12</v>
      </c>
      <c r="J59" s="287">
        <f ca="1">J35</f>
        <v>1e-12</v>
      </c>
      <c r="K59" s="317">
        <f ca="1">K35</f>
        <v>1e-12</v>
      </c>
      <c r="L59" s="317">
        <f ca="1">L35</f>
        <v>1e-12</v>
      </c>
      <c r="M59" s="317">
        <f ca="1">M35</f>
        <v>1e-12</v>
      </c>
      <c r="N59" s="317">
        <f ca="1">N35</f>
        <v>1e-12</v>
      </c>
      <c r="O59" s="287">
        <f ca="1">O35</f>
        <v>1e-12</v>
      </c>
      <c r="P59" s="317">
        <f ca="1">P35</f>
        <v>1e-12</v>
      </c>
      <c r="Q59" s="317">
        <f ca="1">Q35</f>
        <v>1e-12</v>
      </c>
      <c r="R59" s="317">
        <f ca="1">R35</f>
        <v>1e-12</v>
      </c>
      <c r="S59" s="317">
        <f ca="1">S35</f>
        <v>1e-12</v>
      </c>
      <c r="T59" s="287">
        <f ca="1">T35</f>
        <v>1e-12</v>
      </c>
      <c r="U59" s="317">
        <f ca="1">U35</f>
        <v>1e-12</v>
      </c>
      <c r="V59" s="317">
        <f ca="1">V35</f>
        <v>1e-12</v>
      </c>
      <c r="W59" s="317">
        <f ca="1">W35</f>
        <v>1e-12</v>
      </c>
      <c r="X59" s="286">
        <f ca="1">IF($C$25="Quarterly",W59*(1+X60),S59*(1+X60))</f>
        <v>1e-12</v>
      </c>
      <c r="Y59" s="287">
        <f ca="1">SUM(U59:X59)</f>
        <v>1e-12</v>
      </c>
      <c r="Z59" s="286">
        <f ca="1">IF($C$25="Quarterly",X59*(1+Z60),U59*(1+Z60))</f>
        <v>1e-12</v>
      </c>
      <c r="AA59" s="286">
        <f t="shared" ref="AA59:AC59" si="28" ca="1">IF($C$25="Quarterly",Z59*(1+AA60),V59*(1+AA60))</f>
        <v>1e-12</v>
      </c>
      <c r="AB59" s="286">
        <f ca="1">IF($C$25="Quarterly",AA59*(1+AB60),W59*(1+AB60))</f>
        <v>1e-12</v>
      </c>
      <c r="AC59" s="286">
        <f ca="1">IF($C$25="Quarterly",AB59*(1+AC60),X59*(1+AC60))</f>
        <v>1e-12</v>
      </c>
      <c r="AD59" s="287">
        <f ca="1">SUM(Z59:AC59)</f>
        <v>1e-12</v>
      </c>
      <c r="AE59" s="287">
        <f t="shared" ref="AE59:AG59" si="29" ca="1">AD59*(1+AE60)</f>
        <v>1e-12</v>
      </c>
      <c r="AF59" s="287">
        <f ca="1">AE59*(1+AF60)</f>
        <v>1e-12</v>
      </c>
      <c r="AG59" s="287">
        <f ca="1">AF59*(1+AG60)</f>
        <v>1e-12</v>
      </c>
      <c r="AH59" s="16"/>
      <c r="AI59" s="16"/>
      <c r="AJ59" s="16"/>
    </row>
    <row r="60" ht="12.75" customHeight="1" spans="1:36" x14ac:dyDescent="0.25">
      <c r="A60" s="16"/>
      <c r="B60" s="16"/>
      <c r="C60" s="120" t="str">
        <f ca="1">IF($C$25="Quarterly","% Growth QoQ","% Growth YoY")</f>
        <v>% Growth QoQ</v>
      </c>
      <c r="D60" s="16"/>
      <c r="E60" s="16"/>
      <c r="F60" s="319"/>
      <c r="G60" s="318" t="str">
        <f t="shared" ref="G60:W60" si="30" ca="1">G36</f>
        <v>N/A</v>
      </c>
      <c r="H60" s="318" t="str">
        <f ca="1">H36</f>
        <v>N/A</v>
      </c>
      <c r="I60" s="318" t="str">
        <f ca="1">I36</f>
        <v>N/A</v>
      </c>
      <c r="J60" s="306">
        <f ca="1">J36</f>
        <v>1e-12</v>
      </c>
      <c r="K60" s="318" t="str">
        <f ca="1">K36</f>
        <v>N/A</v>
      </c>
      <c r="L60" s="318" t="str">
        <f ca="1">L36</f>
        <v>N/A</v>
      </c>
      <c r="M60" s="318" t="str">
        <f ca="1">M36</f>
        <v>N/A</v>
      </c>
      <c r="N60" s="318" t="str">
        <f ca="1">N36</f>
        <v>N/A</v>
      </c>
      <c r="O60" s="306" t="str">
        <f ca="1">O36</f>
        <v>N/A</v>
      </c>
      <c r="P60" s="318" t="str">
        <f ca="1">P36</f>
        <v>N/A</v>
      </c>
      <c r="Q60" s="318" t="str">
        <f ca="1">Q36</f>
        <v>N/A</v>
      </c>
      <c r="R60" s="318" t="str">
        <f ca="1">R36</f>
        <v>N/A</v>
      </c>
      <c r="S60" s="318" t="str">
        <f ca="1">S36</f>
        <v>N/A</v>
      </c>
      <c r="T60" s="306" t="str">
        <f ca="1">T36</f>
        <v>N/A</v>
      </c>
      <c r="U60" s="318" t="str">
        <f ca="1">U36</f>
        <v>N/A</v>
      </c>
      <c r="V60" s="318" t="str">
        <f ca="1">V36</f>
        <v>N/A</v>
      </c>
      <c r="W60" s="318" t="str">
        <f ca="1">W36</f>
        <v>N/A</v>
      </c>
      <c r="X60" s="305">
        <f ca="1">IF(Case_Scenario="Bull",X61,IF(Case_Scenario="Base",X62,IF(Case_Scenario="bear",X63,"N/A")))</f>
        <v>0.05</v>
      </c>
      <c r="Y60" s="306"/>
      <c r="Z60" s="305">
        <f ca="1">IF(Case_Scenario="Bull",Z61,IF(Case_Scenario="Base",Z62,IF(Case_Scenario="bear",Z63,"N/A")))</f>
        <v>0.05</v>
      </c>
      <c r="AA60" s="305">
        <f ca="1">IF(Case_Scenario="Bull",AA61,IF(Case_Scenario="Base",AA62,IF(Case_Scenario="bear",AA63,"N/A")))</f>
        <v>0.05</v>
      </c>
      <c r="AB60" s="305">
        <f ca="1">IF(Case_Scenario="Bull",AB61,IF(Case_Scenario="Base",AB62,IF(Case_Scenario="bear",AB63,"N/A")))</f>
        <v>0.05</v>
      </c>
      <c r="AC60" s="305">
        <f ca="1">IF(Case_Scenario="Bull",AC61,IF(Case_Scenario="Base",AC62,IF(Case_Scenario="bear",AC63,"N/A")))</f>
        <v>0.05</v>
      </c>
      <c r="AD60" s="306"/>
      <c r="AE60" s="306">
        <f ca="1">IF(Case_Scenario="Bull",AE61,IF(Case_Scenario="Base",AE62,IF(Case_Scenario="bear",AE63,"N/A")))</f>
        <v>0.05</v>
      </c>
      <c r="AF60" s="306">
        <f ca="1">IF(Case_Scenario="Bull",AF61,IF(Case_Scenario="Base",AF62,IF(Case_Scenario="bear",AF63,"N/A")))</f>
        <v>0.05</v>
      </c>
      <c r="AG60" s="306">
        <f ca="1">IF(Case_Scenario="Bull",AG61,IF(Case_Scenario="Base",AG62,IF(Case_Scenario="bear",AG63,"N/A")))</f>
        <v>0.05</v>
      </c>
      <c r="AH60" s="16"/>
      <c r="AI60" s="16"/>
      <c r="AJ60" s="16"/>
    </row>
    <row r="61" ht="12.75" customHeight="1" spans="1:36" x14ac:dyDescent="0.25">
      <c r="A61" s="303"/>
      <c r="B61" s="303"/>
      <c r="C61" s="139" t="s">
        <v>251</v>
      </c>
      <c r="D61" s="303"/>
      <c r="E61" s="303"/>
      <c r="F61" s="323"/>
      <c r="G61" s="323"/>
      <c r="H61" s="323"/>
      <c r="I61" s="323"/>
      <c r="J61" s="324"/>
      <c r="K61" s="323"/>
      <c r="L61" s="323"/>
      <c r="M61" s="323"/>
      <c r="N61" s="323"/>
      <c r="O61" s="324"/>
      <c r="P61" s="323"/>
      <c r="Q61" s="323"/>
      <c r="R61" s="323"/>
      <c r="S61" s="323"/>
      <c r="T61" s="324"/>
      <c r="U61" s="323"/>
      <c r="V61" s="323"/>
      <c r="W61" s="323"/>
      <c r="X61" s="320">
        <v>0.1</v>
      </c>
      <c r="Y61" s="321"/>
      <c r="Z61" s="320">
        <v>0.1</v>
      </c>
      <c r="AA61" s="320">
        <v>0.1</v>
      </c>
      <c r="AB61" s="320">
        <v>0.1</v>
      </c>
      <c r="AC61" s="320">
        <v>0.1</v>
      </c>
      <c r="AD61" s="321"/>
      <c r="AE61" s="321">
        <v>0.1</v>
      </c>
      <c r="AF61" s="321">
        <v>0.1</v>
      </c>
      <c r="AG61" s="321">
        <v>0.1</v>
      </c>
      <c r="AH61" s="303"/>
      <c r="AI61" s="303"/>
      <c r="AJ61" s="303"/>
    </row>
    <row r="62" ht="12.75" customHeight="1" spans="1:36" x14ac:dyDescent="0.25">
      <c r="A62" s="303"/>
      <c r="B62" s="303"/>
      <c r="C62" s="139" t="s">
        <v>252</v>
      </c>
      <c r="D62" s="303"/>
      <c r="E62" s="303"/>
      <c r="F62" s="323"/>
      <c r="G62" s="323"/>
      <c r="H62" s="323"/>
      <c r="I62" s="323"/>
      <c r="J62" s="324"/>
      <c r="K62" s="323"/>
      <c r="L62" s="323"/>
      <c r="M62" s="323"/>
      <c r="N62" s="323"/>
      <c r="O62" s="324"/>
      <c r="P62" s="323"/>
      <c r="Q62" s="323"/>
      <c r="R62" s="323"/>
      <c r="S62" s="323"/>
      <c r="T62" s="324"/>
      <c r="U62" s="323"/>
      <c r="V62" s="323"/>
      <c r="W62" s="323"/>
      <c r="X62" s="320">
        <v>0.05</v>
      </c>
      <c r="Y62" s="321"/>
      <c r="Z62" s="320">
        <v>0.05</v>
      </c>
      <c r="AA62" s="320">
        <v>0.05</v>
      </c>
      <c r="AB62" s="320">
        <v>0.05</v>
      </c>
      <c r="AC62" s="320">
        <v>0.05</v>
      </c>
      <c r="AD62" s="321"/>
      <c r="AE62" s="321">
        <v>0.05</v>
      </c>
      <c r="AF62" s="321">
        <v>0.05</v>
      </c>
      <c r="AG62" s="321">
        <v>0.05</v>
      </c>
      <c r="AH62" s="303"/>
      <c r="AI62" s="303"/>
      <c r="AJ62" s="303"/>
    </row>
    <row r="63" ht="12.75" customHeight="1" spans="1:36" x14ac:dyDescent="0.25">
      <c r="A63" s="303"/>
      <c r="B63" s="303"/>
      <c r="C63" s="139" t="s">
        <v>253</v>
      </c>
      <c r="D63" s="303"/>
      <c r="E63" s="303"/>
      <c r="F63" s="323"/>
      <c r="G63" s="323"/>
      <c r="H63" s="323"/>
      <c r="I63" s="323"/>
      <c r="J63" s="324"/>
      <c r="K63" s="323"/>
      <c r="L63" s="323"/>
      <c r="M63" s="323"/>
      <c r="N63" s="323"/>
      <c r="O63" s="324"/>
      <c r="P63" s="323"/>
      <c r="Q63" s="323"/>
      <c r="R63" s="323"/>
      <c r="S63" s="323"/>
      <c r="T63" s="324"/>
      <c r="U63" s="323"/>
      <c r="V63" s="323"/>
      <c r="W63" s="323"/>
      <c r="X63" s="320">
        <v>0</v>
      </c>
      <c r="Y63" s="321"/>
      <c r="Z63" s="320">
        <v>0</v>
      </c>
      <c r="AA63" s="320">
        <v>0</v>
      </c>
      <c r="AB63" s="320">
        <v>0</v>
      </c>
      <c r="AC63" s="320">
        <v>0</v>
      </c>
      <c r="AD63" s="321"/>
      <c r="AE63" s="321">
        <v>0</v>
      </c>
      <c r="AF63" s="321">
        <v>0</v>
      </c>
      <c r="AG63" s="321">
        <v>0</v>
      </c>
      <c r="AH63" s="303"/>
      <c r="AI63" s="303"/>
      <c r="AJ63" s="303"/>
    </row>
    <row r="64" ht="12.75" customHeight="1" spans="1:36" x14ac:dyDescent="0.25">
      <c r="A64" s="16"/>
      <c r="B64" s="16"/>
      <c r="C64" s="16"/>
      <c r="D64" s="16"/>
      <c r="E64" s="16"/>
      <c r="F64" s="319"/>
      <c r="G64" s="319"/>
      <c r="H64" s="319"/>
      <c r="I64" s="319"/>
      <c r="J64" s="168"/>
      <c r="K64" s="319"/>
      <c r="L64" s="319"/>
      <c r="M64" s="319"/>
      <c r="N64" s="319"/>
      <c r="O64" s="168"/>
      <c r="P64" s="319"/>
      <c r="Q64" s="319"/>
      <c r="R64" s="319"/>
      <c r="S64" s="319"/>
      <c r="T64" s="168"/>
      <c r="U64" s="319"/>
      <c r="V64" s="319"/>
      <c r="W64" s="319"/>
      <c r="X64" s="322"/>
      <c r="Y64" s="168"/>
      <c r="Z64" s="322"/>
      <c r="AA64" s="322"/>
      <c r="AB64" s="322"/>
      <c r="AC64" s="322"/>
      <c r="AD64" s="168"/>
      <c r="AE64" s="168"/>
      <c r="AF64" s="168"/>
      <c r="AG64" s="168"/>
      <c r="AH64" s="16"/>
      <c r="AI64" s="16"/>
      <c r="AJ64" s="16"/>
    </row>
    <row r="65" ht="12.75" customHeight="1" spans="1:36" x14ac:dyDescent="0.25">
      <c r="A65" s="264" t="s">
        <v>1</v>
      </c>
      <c r="B65" s="16"/>
      <c r="C65" s="139" t="str">
        <f ca="1">C38</f>
        <v>Segment 3 Revenue</v>
      </c>
      <c r="D65" s="16"/>
      <c r="E65" s="16"/>
      <c r="F65" s="317">
        <f t="shared" ref="F65:W65" si="31" ca="1">F38</f>
        <v>1e-12</v>
      </c>
      <c r="G65" s="317">
        <f ca="1">G38</f>
        <v>1e-12</v>
      </c>
      <c r="H65" s="317">
        <f ca="1">H38</f>
        <v>1e-12</v>
      </c>
      <c r="I65" s="317">
        <f ca="1">I38</f>
        <v>1e-12</v>
      </c>
      <c r="J65" s="287">
        <f ca="1">J38</f>
        <v>1e-12</v>
      </c>
      <c r="K65" s="317">
        <f ca="1">K38</f>
        <v>1e-12</v>
      </c>
      <c r="L65" s="317">
        <f ca="1">L38</f>
        <v>1e-12</v>
      </c>
      <c r="M65" s="317">
        <f ca="1">M38</f>
        <v>1e-12</v>
      </c>
      <c r="N65" s="317">
        <f ca="1">N38</f>
        <v>1e-12</v>
      </c>
      <c r="O65" s="287">
        <f ca="1">O38</f>
        <v>1e-12</v>
      </c>
      <c r="P65" s="317">
        <f ca="1">P38</f>
        <v>1e-12</v>
      </c>
      <c r="Q65" s="317">
        <f ca="1">Q38</f>
        <v>1e-12</v>
      </c>
      <c r="R65" s="317">
        <f ca="1">R38</f>
        <v>1e-12</v>
      </c>
      <c r="S65" s="317">
        <f ca="1">S38</f>
        <v>1e-12</v>
      </c>
      <c r="T65" s="287">
        <f ca="1">T38</f>
        <v>1e-12</v>
      </c>
      <c r="U65" s="317">
        <f ca="1">U38</f>
        <v>1e-12</v>
      </c>
      <c r="V65" s="317">
        <f ca="1">V38</f>
        <v>1e-12</v>
      </c>
      <c r="W65" s="317">
        <f ca="1">W38</f>
        <v>1e-12</v>
      </c>
      <c r="X65" s="286">
        <f ca="1">IF($C$25="Quarterly",W65*(1+X66),S65*(1+X66))</f>
        <v>1e-12</v>
      </c>
      <c r="Y65" s="287">
        <f ca="1">SUM(U65:X65)</f>
        <v>1e-12</v>
      </c>
      <c r="Z65" s="286">
        <f ca="1">IF($C$25="Quarterly",X65*(1+Z66),U65*(1+Z66))</f>
        <v>1e-12</v>
      </c>
      <c r="AA65" s="286">
        <f t="shared" ref="AA65:AC65" si="32" ca="1">IF($C$25="Quarterly",Z65*(1+AA66),V65*(1+AA66))</f>
        <v>1e-12</v>
      </c>
      <c r="AB65" s="286">
        <f ca="1">IF($C$25="Quarterly",AA65*(1+AB66),W65*(1+AB66))</f>
        <v>1e-12</v>
      </c>
      <c r="AC65" s="286">
        <f ca="1">IF($C$25="Quarterly",AB65*(1+AC66),X65*(1+AC66))</f>
        <v>1e-12</v>
      </c>
      <c r="AD65" s="287">
        <f ca="1">SUM(Z65:AC65)</f>
        <v>1e-12</v>
      </c>
      <c r="AE65" s="287">
        <f t="shared" ref="AE65:AG65" si="33" ca="1">AD65*(1+AE66)</f>
        <v>1e-12</v>
      </c>
      <c r="AF65" s="287">
        <f ca="1">AE65*(1+AF66)</f>
        <v>1e-12</v>
      </c>
      <c r="AG65" s="287">
        <f ca="1">AF65*(1+AG66)</f>
        <v>1e-12</v>
      </c>
      <c r="AH65" s="16"/>
      <c r="AI65" s="16"/>
      <c r="AJ65" s="16"/>
    </row>
    <row r="66" ht="12.75" customHeight="1" spans="1:36" x14ac:dyDescent="0.25">
      <c r="A66" s="16"/>
      <c r="B66" s="16"/>
      <c r="C66" s="120" t="str">
        <f ca="1">IF($C$25="Quarterly","% Growth QoQ","% Growth YoY")</f>
        <v>% Growth QoQ</v>
      </c>
      <c r="D66" s="16"/>
      <c r="E66" s="16"/>
      <c r="F66" s="319"/>
      <c r="G66" s="318" t="str">
        <f t="shared" ref="G66:W66" si="34" ca="1">G39</f>
        <v>N/A</v>
      </c>
      <c r="H66" s="318" t="str">
        <f ca="1">H39</f>
        <v>N/A</v>
      </c>
      <c r="I66" s="318" t="str">
        <f ca="1">I39</f>
        <v>N/A</v>
      </c>
      <c r="J66" s="306">
        <f ca="1">J39</f>
        <v>1e-12</v>
      </c>
      <c r="K66" s="318" t="str">
        <f ca="1">K39</f>
        <v>N/A</v>
      </c>
      <c r="L66" s="318" t="str">
        <f ca="1">L39</f>
        <v>N/A</v>
      </c>
      <c r="M66" s="318" t="str">
        <f ca="1">M39</f>
        <v>N/A</v>
      </c>
      <c r="N66" s="318" t="str">
        <f ca="1">N39</f>
        <v>N/A</v>
      </c>
      <c r="O66" s="306">
        <f ca="1">O39</f>
        <v>1e-12</v>
      </c>
      <c r="P66" s="318" t="str">
        <f ca="1">P39</f>
        <v>N/A</v>
      </c>
      <c r="Q66" s="318" t="str">
        <f ca="1">Q39</f>
        <v>N/A</v>
      </c>
      <c r="R66" s="318" t="str">
        <f ca="1">R39</f>
        <v>N/A</v>
      </c>
      <c r="S66" s="318" t="str">
        <f ca="1">S39</f>
        <v>N/A</v>
      </c>
      <c r="T66" s="306">
        <f ca="1">T39</f>
        <v>1e-12</v>
      </c>
      <c r="U66" s="318" t="str">
        <f ca="1">U39</f>
        <v>N/A</v>
      </c>
      <c r="V66" s="318" t="str">
        <f ca="1">V39</f>
        <v>N/A</v>
      </c>
      <c r="W66" s="318" t="str">
        <f ca="1">W39</f>
        <v>N/A</v>
      </c>
      <c r="X66" s="305">
        <f ca="1">IF(Case_Scenario="Bull",X67,IF(Case_Scenario="Base",X68,IF(Case_Scenario="bear",X69,"N/A")))</f>
        <v>0.05</v>
      </c>
      <c r="Y66" s="306"/>
      <c r="Z66" s="305">
        <f ca="1">IF(Case_Scenario="Bull",Z67,IF(Case_Scenario="Base",Z68,IF(Case_Scenario="bear",Z69,"N/A")))</f>
        <v>0.05</v>
      </c>
      <c r="AA66" s="305">
        <f ca="1">IF(Case_Scenario="Bull",AA67,IF(Case_Scenario="Base",AA68,IF(Case_Scenario="bear",AA69,"N/A")))</f>
        <v>0.05</v>
      </c>
      <c r="AB66" s="305">
        <f ca="1">IF(Case_Scenario="Bull",AB67,IF(Case_Scenario="Base",AB68,IF(Case_Scenario="bear",AB69,"N/A")))</f>
        <v>0.05</v>
      </c>
      <c r="AC66" s="305">
        <f ca="1">IF(Case_Scenario="Bull",AC67,IF(Case_Scenario="Base",AC68,IF(Case_Scenario="bear",AC69,"N/A")))</f>
        <v>0.05</v>
      </c>
      <c r="AD66" s="306"/>
      <c r="AE66" s="306">
        <f ca="1">IF(Case_Scenario="Bull",AE67,IF(Case_Scenario="Base",AE68,IF(Case_Scenario="bear",AE69,"N/A")))</f>
        <v>0.05</v>
      </c>
      <c r="AF66" s="306">
        <f ca="1">IF(Case_Scenario="Bull",AF67,IF(Case_Scenario="Base",AF68,IF(Case_Scenario="bear",AF69,"N/A")))</f>
        <v>0.05</v>
      </c>
      <c r="AG66" s="306">
        <f ca="1">IF(Case_Scenario="Bull",AG67,IF(Case_Scenario="Base",AG68,IF(Case_Scenario="bear",AG69,"N/A")))</f>
        <v>0.05</v>
      </c>
      <c r="AH66" s="16"/>
      <c r="AI66" s="16"/>
      <c r="AJ66" s="16"/>
    </row>
    <row r="67" ht="12.75" customHeight="1" spans="1:36" x14ac:dyDescent="0.25">
      <c r="A67" s="16"/>
      <c r="B67" s="16"/>
      <c r="C67" s="139" t="s">
        <v>251</v>
      </c>
      <c r="D67" s="16"/>
      <c r="E67" s="16"/>
      <c r="F67" s="319"/>
      <c r="G67" s="319"/>
      <c r="H67" s="319"/>
      <c r="I67" s="319"/>
      <c r="J67" s="168"/>
      <c r="K67" s="319"/>
      <c r="L67" s="319"/>
      <c r="M67" s="319"/>
      <c r="N67" s="319"/>
      <c r="O67" s="168"/>
      <c r="P67" s="319"/>
      <c r="Q67" s="319"/>
      <c r="R67" s="319"/>
      <c r="S67" s="319"/>
      <c r="T67" s="168"/>
      <c r="U67" s="319"/>
      <c r="V67" s="319"/>
      <c r="W67" s="319"/>
      <c r="X67" s="320">
        <v>0.1</v>
      </c>
      <c r="Y67" s="321"/>
      <c r="Z67" s="320">
        <v>0.1</v>
      </c>
      <c r="AA67" s="320">
        <v>0.1</v>
      </c>
      <c r="AB67" s="320">
        <v>0.1</v>
      </c>
      <c r="AC67" s="320">
        <v>0.1</v>
      </c>
      <c r="AD67" s="321"/>
      <c r="AE67" s="321">
        <v>0.1</v>
      </c>
      <c r="AF67" s="321">
        <v>0.1</v>
      </c>
      <c r="AG67" s="321">
        <v>0.1</v>
      </c>
      <c r="AH67" s="16"/>
      <c r="AI67" s="16"/>
      <c r="AJ67" s="16"/>
    </row>
    <row r="68" ht="12.75" customHeight="1" spans="1:36" x14ac:dyDescent="0.25">
      <c r="A68" s="16"/>
      <c r="B68" s="16"/>
      <c r="C68" s="139" t="s">
        <v>252</v>
      </c>
      <c r="D68" s="16"/>
      <c r="E68" s="16"/>
      <c r="F68" s="319"/>
      <c r="G68" s="319"/>
      <c r="H68" s="319"/>
      <c r="I68" s="319"/>
      <c r="J68" s="168"/>
      <c r="K68" s="319"/>
      <c r="L68" s="319"/>
      <c r="M68" s="319"/>
      <c r="N68" s="319"/>
      <c r="O68" s="168"/>
      <c r="P68" s="319"/>
      <c r="Q68" s="319"/>
      <c r="R68" s="319"/>
      <c r="S68" s="319"/>
      <c r="T68" s="168"/>
      <c r="U68" s="319"/>
      <c r="V68" s="319"/>
      <c r="W68" s="319"/>
      <c r="X68" s="320">
        <v>0.05</v>
      </c>
      <c r="Y68" s="321"/>
      <c r="Z68" s="320">
        <v>0.05</v>
      </c>
      <c r="AA68" s="320">
        <v>0.05</v>
      </c>
      <c r="AB68" s="320">
        <v>0.05</v>
      </c>
      <c r="AC68" s="320">
        <v>0.05</v>
      </c>
      <c r="AD68" s="321"/>
      <c r="AE68" s="321">
        <v>0.05</v>
      </c>
      <c r="AF68" s="321">
        <v>0.05</v>
      </c>
      <c r="AG68" s="321">
        <v>0.05</v>
      </c>
      <c r="AH68" s="16"/>
      <c r="AI68" s="16"/>
      <c r="AJ68" s="16"/>
    </row>
    <row r="69" ht="12.75" customHeight="1" spans="1:36" x14ac:dyDescent="0.25">
      <c r="A69" s="16"/>
      <c r="B69" s="16"/>
      <c r="C69" s="139" t="s">
        <v>253</v>
      </c>
      <c r="D69" s="16"/>
      <c r="E69" s="16"/>
      <c r="F69" s="319"/>
      <c r="G69" s="319"/>
      <c r="H69" s="319"/>
      <c r="I69" s="319"/>
      <c r="J69" s="168"/>
      <c r="K69" s="319"/>
      <c r="L69" s="319"/>
      <c r="M69" s="319"/>
      <c r="N69" s="319"/>
      <c r="O69" s="168"/>
      <c r="P69" s="319"/>
      <c r="Q69" s="319"/>
      <c r="R69" s="319"/>
      <c r="S69" s="319"/>
      <c r="T69" s="168"/>
      <c r="U69" s="319"/>
      <c r="V69" s="319"/>
      <c r="W69" s="319"/>
      <c r="X69" s="320">
        <v>0</v>
      </c>
      <c r="Y69" s="321"/>
      <c r="Z69" s="320">
        <v>0</v>
      </c>
      <c r="AA69" s="320">
        <v>0</v>
      </c>
      <c r="AB69" s="320">
        <v>0</v>
      </c>
      <c r="AC69" s="320">
        <v>0</v>
      </c>
      <c r="AD69" s="321"/>
      <c r="AE69" s="321">
        <v>0</v>
      </c>
      <c r="AF69" s="321">
        <v>0</v>
      </c>
      <c r="AG69" s="321">
        <v>0</v>
      </c>
      <c r="AH69" s="16"/>
      <c r="AI69" s="16"/>
      <c r="AJ69" s="16"/>
    </row>
    <row r="70" ht="12.75" customHeight="1" spans="1:36" x14ac:dyDescent="0.25">
      <c r="A70" s="16"/>
      <c r="B70" s="16"/>
      <c r="C70" s="16"/>
      <c r="D70" s="16"/>
      <c r="E70" s="16"/>
      <c r="F70" s="319"/>
      <c r="G70" s="319"/>
      <c r="H70" s="319"/>
      <c r="I70" s="319"/>
      <c r="J70" s="168"/>
      <c r="K70" s="319"/>
      <c r="L70" s="319"/>
      <c r="M70" s="319"/>
      <c r="N70" s="319"/>
      <c r="O70" s="168"/>
      <c r="P70" s="319"/>
      <c r="Q70" s="319"/>
      <c r="R70" s="319"/>
      <c r="S70" s="319"/>
      <c r="T70" s="168"/>
      <c r="U70" s="319"/>
      <c r="V70" s="319"/>
      <c r="W70" s="319"/>
      <c r="X70" s="322"/>
      <c r="Y70" s="168"/>
      <c r="Z70" s="322"/>
      <c r="AA70" s="322"/>
      <c r="AB70" s="322"/>
      <c r="AC70" s="322"/>
      <c r="AD70" s="168"/>
      <c r="AE70" s="168"/>
      <c r="AF70" s="168"/>
      <c r="AG70" s="168"/>
      <c r="AH70" s="16"/>
      <c r="AI70" s="16"/>
      <c r="AJ70" s="16"/>
    </row>
    <row r="71" ht="12.75" customHeight="1" spans="1:36" x14ac:dyDescent="0.25">
      <c r="A71" s="264" t="s">
        <v>1</v>
      </c>
      <c r="B71" s="16"/>
      <c r="C71" s="139" t="str">
        <f ca="1">C41</f>
        <v>Segment 4 Revenue</v>
      </c>
      <c r="D71" s="16"/>
      <c r="E71" s="16"/>
      <c r="F71" s="317">
        <f t="shared" ref="F71:W71" si="35" ca="1">F41</f>
        <v>1e-12</v>
      </c>
      <c r="G71" s="317">
        <f ca="1">G41</f>
        <v>1e-12</v>
      </c>
      <c r="H71" s="317">
        <f ca="1">H41</f>
        <v>1e-12</v>
      </c>
      <c r="I71" s="317">
        <f ca="1">I41</f>
        <v>1e-12</v>
      </c>
      <c r="J71" s="287">
        <f ca="1">J41</f>
        <v>1e-12</v>
      </c>
      <c r="K71" s="317">
        <f ca="1">K41</f>
        <v>1e-12</v>
      </c>
      <c r="L71" s="317">
        <f ca="1">L41</f>
        <v>1e-12</v>
      </c>
      <c r="M71" s="317">
        <f ca="1">M41</f>
        <v>1e-12</v>
      </c>
      <c r="N71" s="317">
        <f ca="1">N41</f>
        <v>1e-12</v>
      </c>
      <c r="O71" s="287">
        <f ca="1">O41</f>
        <v>1e-12</v>
      </c>
      <c r="P71" s="317">
        <f ca="1">P41</f>
        <v>1e-12</v>
      </c>
      <c r="Q71" s="317">
        <f ca="1">Q41</f>
        <v>1e-12</v>
      </c>
      <c r="R71" s="317">
        <f ca="1">R41</f>
        <v>1e-12</v>
      </c>
      <c r="S71" s="317">
        <f ca="1">S41</f>
        <v>1e-12</v>
      </c>
      <c r="T71" s="287">
        <f ca="1">T41</f>
        <v>1e-12</v>
      </c>
      <c r="U71" s="317">
        <f ca="1">U41</f>
        <v>1e-12</v>
      </c>
      <c r="V71" s="317">
        <f ca="1">V41</f>
        <v>1e-12</v>
      </c>
      <c r="W71" s="317">
        <f ca="1">W41</f>
        <v>1e-12</v>
      </c>
      <c r="X71" s="286">
        <f ca="1">IF($C$25="Quarterly",W71*(1+X72),S71*(1+X72))</f>
        <v>1e-12</v>
      </c>
      <c r="Y71" s="287">
        <f ca="1">SUM(U71:X71)</f>
        <v>1e-12</v>
      </c>
      <c r="Z71" s="286">
        <f ca="1">IF($C$25="Quarterly",X71*(1+Z72),U71*(1+Z72))</f>
        <v>1e-12</v>
      </c>
      <c r="AA71" s="286">
        <f t="shared" ref="AA71:AC71" si="36" ca="1">IF($C$25="Quarterly",Z71*(1+AA72),V71*(1+AA72))</f>
        <v>1e-12</v>
      </c>
      <c r="AB71" s="286">
        <f ca="1">IF($C$25="Quarterly",AA71*(1+AB72),W71*(1+AB72))</f>
        <v>1e-12</v>
      </c>
      <c r="AC71" s="286">
        <f ca="1">IF($C$25="Quarterly",AB71*(1+AC72),X71*(1+AC72))</f>
        <v>1e-12</v>
      </c>
      <c r="AD71" s="287">
        <f ca="1">SUM(Z71:AC71)</f>
        <v>1e-12</v>
      </c>
      <c r="AE71" s="287">
        <f t="shared" ref="AE71:AG71" si="37" ca="1">AD71*(1+AE72)</f>
        <v>1e-12</v>
      </c>
      <c r="AF71" s="287">
        <f ca="1">AE71*(1+AF72)</f>
        <v>1e-12</v>
      </c>
      <c r="AG71" s="287">
        <f ca="1">AF71*(1+AG72)</f>
        <v>1e-12</v>
      </c>
      <c r="AH71" s="16"/>
      <c r="AI71" s="16"/>
      <c r="AJ71" s="16"/>
    </row>
    <row r="72" ht="12.75" customHeight="1" spans="1:36" x14ac:dyDescent="0.25">
      <c r="A72" s="16"/>
      <c r="B72" s="16"/>
      <c r="C72" s="120" t="str">
        <f ca="1">IF($C$25="Quarterly","% Growth QoQ","% Growth YoY")</f>
        <v>% Growth QoQ</v>
      </c>
      <c r="D72" s="16"/>
      <c r="E72" s="16"/>
      <c r="F72" s="319"/>
      <c r="G72" s="318" t="str">
        <f t="shared" ref="G72:W72" si="38" ca="1">G42</f>
        <v>N/A</v>
      </c>
      <c r="H72" s="318" t="str">
        <f ca="1">H42</f>
        <v>N/A</v>
      </c>
      <c r="I72" s="318" t="str">
        <f ca="1">I42</f>
        <v>N/A</v>
      </c>
      <c r="J72" s="306">
        <f ca="1">J42</f>
        <v>1e-12</v>
      </c>
      <c r="K72" s="318" t="str">
        <f ca="1">K42</f>
        <v>N/A</v>
      </c>
      <c r="L72" s="318" t="str">
        <f ca="1">L42</f>
        <v>N/A</v>
      </c>
      <c r="M72" s="318" t="str">
        <f ca="1">M42</f>
        <v>N/A</v>
      </c>
      <c r="N72" s="318" t="str">
        <f ca="1">N42</f>
        <v>N/A</v>
      </c>
      <c r="O72" s="306">
        <f ca="1">O42</f>
        <v>1e-12</v>
      </c>
      <c r="P72" s="318" t="str">
        <f ca="1">P42</f>
        <v>N/A</v>
      </c>
      <c r="Q72" s="318" t="str">
        <f ca="1">Q42</f>
        <v>N/A</v>
      </c>
      <c r="R72" s="318" t="str">
        <f ca="1">R42</f>
        <v>N/A</v>
      </c>
      <c r="S72" s="318" t="str">
        <f ca="1">S42</f>
        <v>N/A</v>
      </c>
      <c r="T72" s="306">
        <f ca="1">T42</f>
        <v>1e-12</v>
      </c>
      <c r="U72" s="318" t="str">
        <f ca="1">U42</f>
        <v>N/A</v>
      </c>
      <c r="V72" s="318" t="str">
        <f ca="1">V42</f>
        <v>N/A</v>
      </c>
      <c r="W72" s="318" t="str">
        <f ca="1">W42</f>
        <v>N/A</v>
      </c>
      <c r="X72" s="305">
        <f ca="1">IF(Case_Scenario="Bull",X73,IF(Case_Scenario="Base",X74,IF(Case_Scenario="bear",X75,"N/A")))</f>
        <v>0.05</v>
      </c>
      <c r="Y72" s="306"/>
      <c r="Z72" s="305">
        <f ca="1">IF(Case_Scenario="Bull",Z73,IF(Case_Scenario="Base",Z74,IF(Case_Scenario="bear",Z75,"N/A")))</f>
        <v>0.05</v>
      </c>
      <c r="AA72" s="305">
        <f ca="1">IF(Case_Scenario="Bull",AA73,IF(Case_Scenario="Base",AA74,IF(Case_Scenario="bear",AA75,"N/A")))</f>
        <v>0.05</v>
      </c>
      <c r="AB72" s="305">
        <f ca="1">IF(Case_Scenario="Bull",AB73,IF(Case_Scenario="Base",AB74,IF(Case_Scenario="bear",AB75,"N/A")))</f>
        <v>0.05</v>
      </c>
      <c r="AC72" s="305">
        <f ca="1">IF(Case_Scenario="Bull",AC73,IF(Case_Scenario="Base",AC74,IF(Case_Scenario="bear",AC75,"N/A")))</f>
        <v>0.05</v>
      </c>
      <c r="AD72" s="306"/>
      <c r="AE72" s="306">
        <f ca="1">IF(Case_Scenario="Bull",AE73,IF(Case_Scenario="Base",AE74,IF(Case_Scenario="bear",AE75,"N/A")))</f>
        <v>0.05</v>
      </c>
      <c r="AF72" s="306">
        <f ca="1">IF(Case_Scenario="Bull",AF73,IF(Case_Scenario="Base",AF74,IF(Case_Scenario="bear",AF75,"N/A")))</f>
        <v>0.05</v>
      </c>
      <c r="AG72" s="306">
        <f ca="1">IF(Case_Scenario="Bull",AG73,IF(Case_Scenario="Base",AG74,IF(Case_Scenario="bear",AG75,"N/A")))</f>
        <v>0.05</v>
      </c>
      <c r="AH72" s="16"/>
      <c r="AI72" s="16"/>
      <c r="AJ72" s="16"/>
    </row>
    <row r="73" ht="12.75" customHeight="1" spans="1:36" x14ac:dyDescent="0.25">
      <c r="A73" s="16"/>
      <c r="B73" s="16"/>
      <c r="C73" s="139" t="s">
        <v>251</v>
      </c>
      <c r="D73" s="16"/>
      <c r="E73" s="16"/>
      <c r="F73" s="319"/>
      <c r="G73" s="319"/>
      <c r="H73" s="319"/>
      <c r="I73" s="319"/>
      <c r="J73" s="168"/>
      <c r="K73" s="319"/>
      <c r="L73" s="319"/>
      <c r="M73" s="319"/>
      <c r="N73" s="319"/>
      <c r="O73" s="168"/>
      <c r="P73" s="319"/>
      <c r="Q73" s="319"/>
      <c r="R73" s="319"/>
      <c r="S73" s="319"/>
      <c r="T73" s="168"/>
      <c r="U73" s="319"/>
      <c r="V73" s="319"/>
      <c r="W73" s="319"/>
      <c r="X73" s="320">
        <v>0.1</v>
      </c>
      <c r="Y73" s="321"/>
      <c r="Z73" s="320">
        <v>0.1</v>
      </c>
      <c r="AA73" s="320">
        <v>0.1</v>
      </c>
      <c r="AB73" s="320">
        <v>0.1</v>
      </c>
      <c r="AC73" s="320">
        <v>0.1</v>
      </c>
      <c r="AD73" s="321"/>
      <c r="AE73" s="321">
        <v>0.1</v>
      </c>
      <c r="AF73" s="321">
        <v>0.1</v>
      </c>
      <c r="AG73" s="321">
        <v>0.1</v>
      </c>
      <c r="AH73" s="16"/>
      <c r="AI73" s="16"/>
      <c r="AJ73" s="16"/>
    </row>
    <row r="74" ht="12.75" customHeight="1" spans="1:36" x14ac:dyDescent="0.25">
      <c r="A74" s="16"/>
      <c r="B74" s="16"/>
      <c r="C74" s="139" t="s">
        <v>252</v>
      </c>
      <c r="D74" s="16"/>
      <c r="E74" s="16"/>
      <c r="F74" s="319"/>
      <c r="G74" s="319"/>
      <c r="H74" s="319"/>
      <c r="I74" s="319"/>
      <c r="J74" s="168"/>
      <c r="K74" s="319"/>
      <c r="L74" s="319"/>
      <c r="M74" s="319"/>
      <c r="N74" s="319"/>
      <c r="O74" s="168"/>
      <c r="P74" s="319"/>
      <c r="Q74" s="319"/>
      <c r="R74" s="319"/>
      <c r="S74" s="319"/>
      <c r="T74" s="168"/>
      <c r="U74" s="319"/>
      <c r="V74" s="319"/>
      <c r="W74" s="319"/>
      <c r="X74" s="320">
        <v>0.05</v>
      </c>
      <c r="Y74" s="321"/>
      <c r="Z74" s="320">
        <v>0.05</v>
      </c>
      <c r="AA74" s="320">
        <v>0.05</v>
      </c>
      <c r="AB74" s="320">
        <v>0.05</v>
      </c>
      <c r="AC74" s="320">
        <v>0.05</v>
      </c>
      <c r="AD74" s="321"/>
      <c r="AE74" s="321">
        <v>0.05</v>
      </c>
      <c r="AF74" s="321">
        <v>0.05</v>
      </c>
      <c r="AG74" s="321">
        <v>0.05</v>
      </c>
      <c r="AH74" s="16"/>
      <c r="AI74" s="16"/>
      <c r="AJ74" s="16"/>
    </row>
    <row r="75" ht="12.75" customHeight="1" spans="1:36" x14ac:dyDescent="0.25">
      <c r="A75" s="16"/>
      <c r="B75" s="16"/>
      <c r="C75" s="139" t="s">
        <v>253</v>
      </c>
      <c r="D75" s="16"/>
      <c r="E75" s="16"/>
      <c r="F75" s="319"/>
      <c r="G75" s="319"/>
      <c r="H75" s="319"/>
      <c r="I75" s="319"/>
      <c r="J75" s="168"/>
      <c r="K75" s="319"/>
      <c r="L75" s="319"/>
      <c r="M75" s="319"/>
      <c r="N75" s="319"/>
      <c r="O75" s="168"/>
      <c r="P75" s="319"/>
      <c r="Q75" s="319"/>
      <c r="R75" s="319"/>
      <c r="S75" s="319"/>
      <c r="T75" s="168"/>
      <c r="U75" s="319"/>
      <c r="V75" s="319"/>
      <c r="W75" s="319"/>
      <c r="X75" s="320">
        <v>0</v>
      </c>
      <c r="Y75" s="321"/>
      <c r="Z75" s="320">
        <v>0</v>
      </c>
      <c r="AA75" s="320">
        <v>0</v>
      </c>
      <c r="AB75" s="320">
        <v>0</v>
      </c>
      <c r="AC75" s="320">
        <v>0</v>
      </c>
      <c r="AD75" s="321"/>
      <c r="AE75" s="321">
        <v>0</v>
      </c>
      <c r="AF75" s="321">
        <v>0</v>
      </c>
      <c r="AG75" s="321">
        <v>0</v>
      </c>
      <c r="AH75" s="16"/>
      <c r="AI75" s="16"/>
      <c r="AJ75" s="16"/>
    </row>
    <row r="76" ht="12.75" customHeight="1" spans="1:36" x14ac:dyDescent="0.25">
      <c r="A76" s="16"/>
      <c r="B76" s="16"/>
      <c r="C76" s="16"/>
      <c r="D76" s="16"/>
      <c r="E76" s="16"/>
      <c r="F76" s="319"/>
      <c r="G76" s="319"/>
      <c r="H76" s="319"/>
      <c r="I76" s="319"/>
      <c r="J76" s="168"/>
      <c r="K76" s="319"/>
      <c r="L76" s="319"/>
      <c r="M76" s="319"/>
      <c r="N76" s="319"/>
      <c r="O76" s="168"/>
      <c r="P76" s="319"/>
      <c r="Q76" s="319"/>
      <c r="R76" s="319"/>
      <c r="S76" s="319"/>
      <c r="T76" s="168"/>
      <c r="U76" s="319"/>
      <c r="V76" s="319"/>
      <c r="W76" s="319"/>
      <c r="X76" s="322"/>
      <c r="Y76" s="168"/>
      <c r="Z76" s="322"/>
      <c r="AA76" s="322"/>
      <c r="AB76" s="322"/>
      <c r="AC76" s="322"/>
      <c r="AD76" s="168"/>
      <c r="AE76" s="168"/>
      <c r="AF76" s="168"/>
      <c r="AG76" s="168"/>
      <c r="AH76" s="16"/>
      <c r="AI76" s="16"/>
      <c r="AJ76" s="16"/>
    </row>
    <row r="77" ht="12.75" customHeight="1" spans="1:36" x14ac:dyDescent="0.25">
      <c r="A77" s="264" t="s">
        <v>1</v>
      </c>
      <c r="B77" s="16"/>
      <c r="C77" s="139" t="str">
        <f ca="1">C44</f>
        <v>Segment 5 Revenue</v>
      </c>
      <c r="D77" s="16"/>
      <c r="E77" s="16"/>
      <c r="F77" s="317">
        <f t="shared" ref="F77:W77" si="39" ca="1">F44</f>
        <v>1e-12</v>
      </c>
      <c r="G77" s="317">
        <f ca="1">G44</f>
        <v>1e-12</v>
      </c>
      <c r="H77" s="317">
        <f ca="1">H44</f>
        <v>1e-12</v>
      </c>
      <c r="I77" s="317">
        <f ca="1">I44</f>
        <v>1e-12</v>
      </c>
      <c r="J77" s="287">
        <f ca="1">J44</f>
        <v>1e-12</v>
      </c>
      <c r="K77" s="317">
        <f ca="1">K44</f>
        <v>1e-12</v>
      </c>
      <c r="L77" s="317">
        <f ca="1">L44</f>
        <v>1e-12</v>
      </c>
      <c r="M77" s="317">
        <f ca="1">M44</f>
        <v>1e-12</v>
      </c>
      <c r="N77" s="317">
        <f ca="1">N44</f>
        <v>1e-12</v>
      </c>
      <c r="O77" s="287">
        <f ca="1">O44</f>
        <v>1e-12</v>
      </c>
      <c r="P77" s="317">
        <f ca="1">P44</f>
        <v>1e-12</v>
      </c>
      <c r="Q77" s="317">
        <f ca="1">Q44</f>
        <v>1e-12</v>
      </c>
      <c r="R77" s="317">
        <f ca="1">R44</f>
        <v>1e-12</v>
      </c>
      <c r="S77" s="317">
        <f ca="1">S44</f>
        <v>1e-12</v>
      </c>
      <c r="T77" s="287">
        <f ca="1">T44</f>
        <v>1e-12</v>
      </c>
      <c r="U77" s="317">
        <f ca="1">U44</f>
        <v>1e-12</v>
      </c>
      <c r="V77" s="317">
        <f ca="1">V44</f>
        <v>1e-12</v>
      </c>
      <c r="W77" s="317">
        <f ca="1">W44</f>
        <v>1e-12</v>
      </c>
      <c r="X77" s="286">
        <f ca="1">IF($C$25="Quarterly",W77*(1+X78),S77*(1+X78))</f>
        <v>1e-12</v>
      </c>
      <c r="Y77" s="287">
        <f ca="1">SUM(U77:X77)</f>
        <v>1e-12</v>
      </c>
      <c r="Z77" s="286">
        <f ca="1">IF($C$25="Quarterly",X77*(1+Z78),U77*(1+Z78))</f>
        <v>1e-12</v>
      </c>
      <c r="AA77" s="286">
        <f t="shared" ref="AA77:AC77" si="40" ca="1">IF($C$25="Quarterly",Z77*(1+AA78),V77*(1+AA78))</f>
        <v>1e-12</v>
      </c>
      <c r="AB77" s="286">
        <f ca="1">IF($C$25="Quarterly",AA77*(1+AB78),W77*(1+AB78))</f>
        <v>1e-12</v>
      </c>
      <c r="AC77" s="286">
        <f ca="1">IF($C$25="Quarterly",AB77*(1+AC78),X77*(1+AC78))</f>
        <v>1e-12</v>
      </c>
      <c r="AD77" s="287">
        <f ca="1">SUM(Z77:AC77)</f>
        <v>1e-12</v>
      </c>
      <c r="AE77" s="287">
        <f t="shared" ref="AE77:AG77" si="41" ca="1">AD77*(1+AE78)</f>
        <v>1e-12</v>
      </c>
      <c r="AF77" s="287">
        <f ca="1">AE77*(1+AF78)</f>
        <v>1e-12</v>
      </c>
      <c r="AG77" s="287">
        <f ca="1">AF77*(1+AG78)</f>
        <v>1e-12</v>
      </c>
      <c r="AH77" s="16"/>
      <c r="AI77" s="16"/>
      <c r="AJ77" s="16"/>
    </row>
    <row r="78" ht="12.75" customHeight="1" spans="1:36" x14ac:dyDescent="0.25">
      <c r="A78" s="16"/>
      <c r="B78" s="16"/>
      <c r="C78" s="120" t="str">
        <f ca="1">IF($C$25="Quarterly","% Growth QoQ","% Growth YoY")</f>
        <v>% Growth QoQ</v>
      </c>
      <c r="D78" s="16"/>
      <c r="E78" s="16"/>
      <c r="F78" s="319"/>
      <c r="G78" s="318" t="str">
        <f t="shared" ref="G78:W78" si="42" ca="1">G45</f>
        <v>N/A</v>
      </c>
      <c r="H78" s="318" t="str">
        <f ca="1">H45</f>
        <v>N/A</v>
      </c>
      <c r="I78" s="318" t="str">
        <f ca="1">I45</f>
        <v>N/A</v>
      </c>
      <c r="J78" s="306">
        <f ca="1">J45</f>
        <v>1e-12</v>
      </c>
      <c r="K78" s="318" t="str">
        <f ca="1">K45</f>
        <v>N/A</v>
      </c>
      <c r="L78" s="318" t="str">
        <f ca="1">L45</f>
        <v>N/A</v>
      </c>
      <c r="M78" s="318" t="str">
        <f ca="1">M45</f>
        <v>N/A</v>
      </c>
      <c r="N78" s="318" t="str">
        <f ca="1">N45</f>
        <v>N/A</v>
      </c>
      <c r="O78" s="306">
        <f ca="1">O45</f>
        <v>1e-12</v>
      </c>
      <c r="P78" s="318" t="str">
        <f ca="1">P45</f>
        <v>N/A</v>
      </c>
      <c r="Q78" s="318" t="str">
        <f ca="1">Q45</f>
        <v>N/A</v>
      </c>
      <c r="R78" s="318" t="str">
        <f ca="1">R45</f>
        <v>N/A</v>
      </c>
      <c r="S78" s="318" t="str">
        <f ca="1">S45</f>
        <v>N/A</v>
      </c>
      <c r="T78" s="306">
        <f ca="1">T45</f>
        <v>1e-12</v>
      </c>
      <c r="U78" s="318" t="str">
        <f ca="1">U45</f>
        <v>N/A</v>
      </c>
      <c r="V78" s="318" t="str">
        <f ca="1">V45</f>
        <v>N/A</v>
      </c>
      <c r="W78" s="318" t="str">
        <f ca="1">W45</f>
        <v>N/A</v>
      </c>
      <c r="X78" s="305">
        <f ca="1">IF(Case_Scenario="Bull",X79,IF(Case_Scenario="Base",X80,IF(Case_Scenario="bear",X81,"N/A")))</f>
        <v>0.05</v>
      </c>
      <c r="Y78" s="306"/>
      <c r="Z78" s="305">
        <f ca="1">IF(Case_Scenario="Bull",Z79,IF(Case_Scenario="Base",Z80,IF(Case_Scenario="bear",Z81,"N/A")))</f>
        <v>0.05</v>
      </c>
      <c r="AA78" s="305">
        <f ca="1">IF(Case_Scenario="Bull",AA79,IF(Case_Scenario="Base",AA80,IF(Case_Scenario="bear",AA81,"N/A")))</f>
        <v>0.05</v>
      </c>
      <c r="AB78" s="305">
        <f ca="1">IF(Case_Scenario="Bull",AB79,IF(Case_Scenario="Base",AB80,IF(Case_Scenario="bear",AB81,"N/A")))</f>
        <v>0.05</v>
      </c>
      <c r="AC78" s="305">
        <f ca="1">IF(Case_Scenario="Bull",AC79,IF(Case_Scenario="Base",AC80,IF(Case_Scenario="bear",AC81,"N/A")))</f>
        <v>0.05</v>
      </c>
      <c r="AD78" s="306"/>
      <c r="AE78" s="306">
        <f ca="1">IF(Case_Scenario="Bull",AE79,IF(Case_Scenario="Base",AE80,IF(Case_Scenario="bear",AE81,"N/A")))</f>
        <v>0.05</v>
      </c>
      <c r="AF78" s="306">
        <f ca="1">IF(Case_Scenario="Bull",AF79,IF(Case_Scenario="Base",AF80,IF(Case_Scenario="bear",AF81,"N/A")))</f>
        <v>0.05</v>
      </c>
      <c r="AG78" s="306">
        <f ca="1">IF(Case_Scenario="Bull",AG79,IF(Case_Scenario="Base",AG80,IF(Case_Scenario="bear",AG81,"N/A")))</f>
        <v>0.05</v>
      </c>
      <c r="AH78" s="16"/>
      <c r="AI78" s="16"/>
      <c r="AJ78" s="16"/>
    </row>
    <row r="79" ht="12.75" customHeight="1" spans="1:36" x14ac:dyDescent="0.25">
      <c r="A79" s="16"/>
      <c r="B79" s="16"/>
      <c r="C79" s="139" t="s">
        <v>251</v>
      </c>
      <c r="D79" s="16"/>
      <c r="E79" s="16"/>
      <c r="F79" s="319"/>
      <c r="G79" s="319"/>
      <c r="H79" s="319"/>
      <c r="I79" s="319"/>
      <c r="J79" s="168"/>
      <c r="K79" s="319"/>
      <c r="L79" s="319"/>
      <c r="M79" s="319"/>
      <c r="N79" s="319"/>
      <c r="O79" s="168"/>
      <c r="P79" s="319"/>
      <c r="Q79" s="319"/>
      <c r="R79" s="319"/>
      <c r="S79" s="319"/>
      <c r="T79" s="168"/>
      <c r="U79" s="319"/>
      <c r="V79" s="319"/>
      <c r="W79" s="319"/>
      <c r="X79" s="320">
        <v>0.1</v>
      </c>
      <c r="Y79" s="321"/>
      <c r="Z79" s="320">
        <v>0.1</v>
      </c>
      <c r="AA79" s="320">
        <v>0.1</v>
      </c>
      <c r="AB79" s="320">
        <v>0.1</v>
      </c>
      <c r="AC79" s="320">
        <v>0.1</v>
      </c>
      <c r="AD79" s="321"/>
      <c r="AE79" s="321">
        <v>0.1</v>
      </c>
      <c r="AF79" s="321">
        <v>0.1</v>
      </c>
      <c r="AG79" s="321">
        <v>0.1</v>
      </c>
      <c r="AH79" s="16"/>
      <c r="AI79" s="16"/>
      <c r="AJ79" s="16"/>
    </row>
    <row r="80" ht="12.75" customHeight="1" spans="1:36" x14ac:dyDescent="0.25">
      <c r="A80" s="16"/>
      <c r="B80" s="16"/>
      <c r="C80" s="139" t="s">
        <v>252</v>
      </c>
      <c r="D80" s="16"/>
      <c r="E80" s="16"/>
      <c r="F80" s="319"/>
      <c r="G80" s="319"/>
      <c r="H80" s="319"/>
      <c r="I80" s="319"/>
      <c r="J80" s="168"/>
      <c r="K80" s="319"/>
      <c r="L80" s="319"/>
      <c r="M80" s="319"/>
      <c r="N80" s="319"/>
      <c r="O80" s="168"/>
      <c r="P80" s="319"/>
      <c r="Q80" s="319"/>
      <c r="R80" s="319"/>
      <c r="S80" s="319"/>
      <c r="T80" s="168"/>
      <c r="U80" s="319"/>
      <c r="V80" s="319"/>
      <c r="W80" s="319"/>
      <c r="X80" s="320">
        <v>0.05</v>
      </c>
      <c r="Y80" s="321"/>
      <c r="Z80" s="320">
        <v>0.05</v>
      </c>
      <c r="AA80" s="320">
        <v>0.05</v>
      </c>
      <c r="AB80" s="320">
        <v>0.05</v>
      </c>
      <c r="AC80" s="320">
        <v>0.05</v>
      </c>
      <c r="AD80" s="321"/>
      <c r="AE80" s="321">
        <v>0.05</v>
      </c>
      <c r="AF80" s="321">
        <v>0.05</v>
      </c>
      <c r="AG80" s="321">
        <v>0.05</v>
      </c>
      <c r="AH80" s="16"/>
      <c r="AI80" s="16"/>
      <c r="AJ80" s="16"/>
    </row>
    <row r="81" ht="12.75" customHeight="1" spans="1:36" x14ac:dyDescent="0.25">
      <c r="A81" s="16"/>
      <c r="B81" s="16"/>
      <c r="C81" s="139" t="s">
        <v>253</v>
      </c>
      <c r="D81" s="16"/>
      <c r="E81" s="16"/>
      <c r="F81" s="319"/>
      <c r="G81" s="319"/>
      <c r="H81" s="319"/>
      <c r="I81" s="319"/>
      <c r="J81" s="168"/>
      <c r="K81" s="319"/>
      <c r="L81" s="319"/>
      <c r="M81" s="319"/>
      <c r="N81" s="319"/>
      <c r="O81" s="168"/>
      <c r="P81" s="319"/>
      <c r="Q81" s="319"/>
      <c r="R81" s="319"/>
      <c r="S81" s="319"/>
      <c r="T81" s="168"/>
      <c r="U81" s="319"/>
      <c r="V81" s="319"/>
      <c r="W81" s="319"/>
      <c r="X81" s="320">
        <v>0</v>
      </c>
      <c r="Y81" s="321"/>
      <c r="Z81" s="320">
        <v>0</v>
      </c>
      <c r="AA81" s="320">
        <v>0</v>
      </c>
      <c r="AB81" s="320">
        <v>0</v>
      </c>
      <c r="AC81" s="320">
        <v>0</v>
      </c>
      <c r="AD81" s="321"/>
      <c r="AE81" s="321">
        <v>0</v>
      </c>
      <c r="AF81" s="321">
        <v>0</v>
      </c>
      <c r="AG81" s="321">
        <v>0</v>
      </c>
      <c r="AH81" s="16"/>
      <c r="AI81" s="16"/>
      <c r="AJ81" s="16"/>
    </row>
    <row r="82" ht="12.75" customHeight="1" spans="1:36" x14ac:dyDescent="0.25">
      <c r="A82" s="16"/>
      <c r="B82" s="16"/>
      <c r="C82" s="16"/>
      <c r="D82" s="16"/>
      <c r="E82" s="16"/>
      <c r="F82" s="319"/>
      <c r="G82" s="319"/>
      <c r="H82" s="319"/>
      <c r="I82" s="319"/>
      <c r="J82" s="168"/>
      <c r="K82" s="319"/>
      <c r="L82" s="319"/>
      <c r="M82" s="319"/>
      <c r="N82" s="319"/>
      <c r="O82" s="168"/>
      <c r="P82" s="319"/>
      <c r="Q82" s="319"/>
      <c r="R82" s="319"/>
      <c r="S82" s="319"/>
      <c r="T82" s="168"/>
      <c r="U82" s="319"/>
      <c r="V82" s="319"/>
      <c r="W82" s="319"/>
      <c r="X82" s="322"/>
      <c r="Y82" s="168"/>
      <c r="Z82" s="322"/>
      <c r="AA82" s="322"/>
      <c r="AB82" s="322"/>
      <c r="AC82" s="322"/>
      <c r="AD82" s="168"/>
      <c r="AE82" s="168"/>
      <c r="AF82" s="168"/>
      <c r="AG82" s="168"/>
      <c r="AH82" s="16"/>
      <c r="AI82" s="16"/>
      <c r="AJ82" s="16"/>
    </row>
    <row r="83" ht="12.75" customHeight="1" spans="1:36" x14ac:dyDescent="0.25">
      <c r="A83" s="264" t="s">
        <v>1</v>
      </c>
      <c r="B83" s="16"/>
      <c r="C83" s="139" t="str">
        <f ca="1">C47</f>
        <v>Segment 6 Revenue</v>
      </c>
      <c r="D83" s="16"/>
      <c r="E83" s="16"/>
      <c r="F83" s="317">
        <f t="shared" ref="F83:W83" si="43" ca="1">F47</f>
        <v>1e-12</v>
      </c>
      <c r="G83" s="317">
        <f ca="1">G47</f>
        <v>1e-12</v>
      </c>
      <c r="H83" s="317">
        <f ca="1">H47</f>
        <v>1e-12</v>
      </c>
      <c r="I83" s="317">
        <f ca="1">I47</f>
        <v>1e-12</v>
      </c>
      <c r="J83" s="287">
        <f ca="1">J47</f>
        <v>1e-12</v>
      </c>
      <c r="K83" s="317">
        <f ca="1">K47</f>
        <v>1e-12</v>
      </c>
      <c r="L83" s="317">
        <f ca="1">L47</f>
        <v>1e-12</v>
      </c>
      <c r="M83" s="317">
        <f ca="1">M47</f>
        <v>1e-12</v>
      </c>
      <c r="N83" s="317">
        <f ca="1">N47</f>
        <v>1e-12</v>
      </c>
      <c r="O83" s="287">
        <f ca="1">O47</f>
        <v>1e-12</v>
      </c>
      <c r="P83" s="317">
        <f ca="1">P47</f>
        <v>1e-12</v>
      </c>
      <c r="Q83" s="317">
        <f ca="1">Q47</f>
        <v>1e-12</v>
      </c>
      <c r="R83" s="317">
        <f ca="1">R47</f>
        <v>1e-12</v>
      </c>
      <c r="S83" s="317">
        <f ca="1">S47</f>
        <v>1e-12</v>
      </c>
      <c r="T83" s="287">
        <f ca="1">T47</f>
        <v>1e-12</v>
      </c>
      <c r="U83" s="317">
        <f ca="1">U47</f>
        <v>1e-12</v>
      </c>
      <c r="V83" s="317">
        <f ca="1">V47</f>
        <v>1e-12</v>
      </c>
      <c r="W83" s="317">
        <f ca="1">W47</f>
        <v>1e-12</v>
      </c>
      <c r="X83" s="286">
        <f ca="1">IF($C$25="Quarterly",W83*(1+X84),S83*(1+X84))</f>
        <v>1e-12</v>
      </c>
      <c r="Y83" s="287">
        <f ca="1">SUM(U83:X83)</f>
        <v>1e-12</v>
      </c>
      <c r="Z83" s="286">
        <f ca="1">IF($C$25="Quarterly",X83*(1+Z84),U83*(1+Z84))</f>
        <v>1e-12</v>
      </c>
      <c r="AA83" s="286">
        <f t="shared" ref="AA83:AC83" si="44" ca="1">IF($C$25="Quarterly",Z83*(1+AA84),V83*(1+AA84))</f>
        <v>1e-12</v>
      </c>
      <c r="AB83" s="286">
        <f ca="1">IF($C$25="Quarterly",AA83*(1+AB84),W83*(1+AB84))</f>
        <v>1e-12</v>
      </c>
      <c r="AC83" s="286">
        <f ca="1">IF($C$25="Quarterly",AB83*(1+AC84),X83*(1+AC84))</f>
        <v>1e-12</v>
      </c>
      <c r="AD83" s="287">
        <f ca="1">SUM(Z83:AC83)</f>
        <v>1e-12</v>
      </c>
      <c r="AE83" s="287">
        <f t="shared" ref="AE83:AG83" si="45" ca="1">AD83*(1+AE84)</f>
        <v>1e-12</v>
      </c>
      <c r="AF83" s="287">
        <f ca="1">AE83*(1+AF84)</f>
        <v>1e-12</v>
      </c>
      <c r="AG83" s="287">
        <f ca="1">AF83*(1+AG84)</f>
        <v>1e-12</v>
      </c>
      <c r="AH83" s="16"/>
      <c r="AI83" s="16"/>
      <c r="AJ83" s="16"/>
    </row>
    <row r="84" ht="12.75" customHeight="1" spans="1:36" x14ac:dyDescent="0.25">
      <c r="A84" s="16"/>
      <c r="B84" s="16"/>
      <c r="C84" s="120" t="str">
        <f ca="1">IF($C$25="Quarterly","% Growth QoQ","% Growth YoY")</f>
        <v>% Growth QoQ</v>
      </c>
      <c r="D84" s="16"/>
      <c r="E84" s="16"/>
      <c r="F84" s="319"/>
      <c r="G84" s="318" t="str">
        <f t="shared" ref="G84:W84" si="46" ca="1">G48</f>
        <v>N/A</v>
      </c>
      <c r="H84" s="318" t="str">
        <f ca="1">H48</f>
        <v>N/A</v>
      </c>
      <c r="I84" s="318" t="str">
        <f ca="1">I48</f>
        <v>N/A</v>
      </c>
      <c r="J84" s="306">
        <f ca="1">J48</f>
        <v>1e-12</v>
      </c>
      <c r="K84" s="318" t="str">
        <f ca="1">K48</f>
        <v>N/A</v>
      </c>
      <c r="L84" s="318" t="str">
        <f ca="1">L48</f>
        <v>N/A</v>
      </c>
      <c r="M84" s="318" t="str">
        <f ca="1">M48</f>
        <v>N/A</v>
      </c>
      <c r="N84" s="318" t="str">
        <f ca="1">N48</f>
        <v>N/A</v>
      </c>
      <c r="O84" s="306">
        <f ca="1">O48</f>
        <v>1e-12</v>
      </c>
      <c r="P84" s="318" t="str">
        <f ca="1">P48</f>
        <v>N/A</v>
      </c>
      <c r="Q84" s="318" t="str">
        <f ca="1">Q48</f>
        <v>N/A</v>
      </c>
      <c r="R84" s="318" t="str">
        <f ca="1">R48</f>
        <v>N/A</v>
      </c>
      <c r="S84" s="318" t="str">
        <f ca="1">S48</f>
        <v>N/A</v>
      </c>
      <c r="T84" s="306">
        <f ca="1">T48</f>
        <v>1e-12</v>
      </c>
      <c r="U84" s="318" t="str">
        <f ca="1">U48</f>
        <v>N/A</v>
      </c>
      <c r="V84" s="318" t="str">
        <f ca="1">V48</f>
        <v>N/A</v>
      </c>
      <c r="W84" s="318" t="str">
        <f ca="1">W48</f>
        <v>N/A</v>
      </c>
      <c r="X84" s="305">
        <f ca="1">IF(Case_Scenario="Bull",X85,IF(Case_Scenario="Base",X86,IF(Case_Scenario="bear",X87,"N/A")))</f>
        <v>0</v>
      </c>
      <c r="Y84" s="306"/>
      <c r="Z84" s="305">
        <f ca="1">IF(Case_Scenario="Bull",Z85,IF(Case_Scenario="Base",Z86,IF(Case_Scenario="bear",Z87,"N/A")))</f>
        <v>0</v>
      </c>
      <c r="AA84" s="305">
        <f ca="1">IF(Case_Scenario="Bull",AA85,IF(Case_Scenario="Base",AA86,IF(Case_Scenario="bear",AA87,"N/A")))</f>
        <v>0</v>
      </c>
      <c r="AB84" s="305">
        <f ca="1">IF(Case_Scenario="Bull",AB85,IF(Case_Scenario="Base",AB86,IF(Case_Scenario="bear",AB87,"N/A")))</f>
        <v>0</v>
      </c>
      <c r="AC84" s="305">
        <f ca="1">IF(Case_Scenario="Bull",AC85,IF(Case_Scenario="Base",AC86,IF(Case_Scenario="bear",AC87,"N/A")))</f>
        <v>0</v>
      </c>
      <c r="AD84" s="306"/>
      <c r="AE84" s="306">
        <f ca="1">IF(Case_Scenario="Bull",AE85,IF(Case_Scenario="Base",AE86,IF(Case_Scenario="bear",AE87,"N/A")))</f>
        <v>0</v>
      </c>
      <c r="AF84" s="306">
        <f ca="1">IF(Case_Scenario="Bull",AF85,IF(Case_Scenario="Base",AF86,IF(Case_Scenario="bear",AF87,"N/A")))</f>
        <v>0</v>
      </c>
      <c r="AG84" s="306">
        <f ca="1">IF(Case_Scenario="Bull",AG85,IF(Case_Scenario="Base",AG86,IF(Case_Scenario="bear",AG87,"N/A")))</f>
        <v>0</v>
      </c>
      <c r="AH84" s="16"/>
      <c r="AI84" s="16"/>
      <c r="AJ84" s="16"/>
    </row>
    <row r="85" ht="12.75" customHeight="1" spans="1:36" x14ac:dyDescent="0.25">
      <c r="A85" s="16"/>
      <c r="B85" s="16"/>
      <c r="C85" s="139" t="s">
        <v>251</v>
      </c>
      <c r="D85" s="16"/>
      <c r="E85" s="16"/>
      <c r="F85" s="319"/>
      <c r="G85" s="319"/>
      <c r="H85" s="319"/>
      <c r="I85" s="319"/>
      <c r="J85" s="168"/>
      <c r="K85" s="319"/>
      <c r="L85" s="319"/>
      <c r="M85" s="319"/>
      <c r="N85" s="319"/>
      <c r="O85" s="168"/>
      <c r="P85" s="319"/>
      <c r="Q85" s="319"/>
      <c r="R85" s="319"/>
      <c r="S85" s="319"/>
      <c r="T85" s="168"/>
      <c r="U85" s="319"/>
      <c r="V85" s="319"/>
      <c r="W85" s="319"/>
      <c r="X85" s="320">
        <f t="shared" ref="X85:X87" si="47" ca="1">W85</f>
        <v>1e-12</v>
      </c>
      <c r="Y85" s="321"/>
      <c r="Z85" s="320">
        <f t="shared" ref="Z85:Z87" si="48" ca="1">X85</f>
        <v>1e-12</v>
      </c>
      <c r="AA85" s="320">
        <f t="shared" ref="AA85:AC85" si="49" ca="1">Z85</f>
        <v>1e-12</v>
      </c>
      <c r="AB85" s="320">
        <f ca="1">AA85</f>
        <v>1e-12</v>
      </c>
      <c r="AC85" s="320">
        <f ca="1">AB85</f>
        <v>1e-12</v>
      </c>
      <c r="AD85" s="321"/>
      <c r="AE85" s="321">
        <f t="shared" ref="AE85:AE87" si="50" ca="1">AC85</f>
        <v>1e-12</v>
      </c>
      <c r="AF85" s="321">
        <f t="shared" ref="AF85:AG85" si="51" ca="1">AE85</f>
        <v>1e-12</v>
      </c>
      <c r="AG85" s="321">
        <f ca="1">AF85</f>
        <v>1e-12</v>
      </c>
      <c r="AH85" s="16"/>
      <c r="AI85" s="16"/>
      <c r="AJ85" s="16"/>
    </row>
    <row r="86" ht="12.75" customHeight="1" spans="1:36" x14ac:dyDescent="0.25">
      <c r="A86" s="16"/>
      <c r="B86" s="16"/>
      <c r="C86" s="139" t="s">
        <v>252</v>
      </c>
      <c r="D86" s="16"/>
      <c r="E86" s="16"/>
      <c r="F86" s="319"/>
      <c r="G86" s="319"/>
      <c r="H86" s="319"/>
      <c r="I86" s="319"/>
      <c r="J86" s="168"/>
      <c r="K86" s="319"/>
      <c r="L86" s="319"/>
      <c r="M86" s="319"/>
      <c r="N86" s="319"/>
      <c r="O86" s="168"/>
      <c r="P86" s="319"/>
      <c r="Q86" s="319"/>
      <c r="R86" s="319"/>
      <c r="S86" s="319"/>
      <c r="T86" s="168"/>
      <c r="U86" s="319"/>
      <c r="V86" s="319"/>
      <c r="W86" s="319"/>
      <c r="X86" s="320">
        <f ca="1">W86</f>
        <v>1e-12</v>
      </c>
      <c r="Y86" s="321"/>
      <c r="Z86" s="320">
        <f ca="1">X86</f>
        <v>1e-12</v>
      </c>
      <c r="AA86" s="320">
        <f t="shared" ref="AA86:AC86" si="52" ca="1">Z86</f>
        <v>1e-12</v>
      </c>
      <c r="AB86" s="320">
        <f ca="1">AA86</f>
        <v>1e-12</v>
      </c>
      <c r="AC86" s="320">
        <f ca="1">AB86</f>
        <v>1e-12</v>
      </c>
      <c r="AD86" s="321"/>
      <c r="AE86" s="321">
        <f ca="1">AC86</f>
        <v>1e-12</v>
      </c>
      <c r="AF86" s="321">
        <f t="shared" ref="AF86:AG86" si="53" ca="1">AE86</f>
        <v>1e-12</v>
      </c>
      <c r="AG86" s="321">
        <f ca="1">AF86</f>
        <v>1e-12</v>
      </c>
      <c r="AH86" s="16"/>
      <c r="AI86" s="16"/>
      <c r="AJ86" s="16"/>
    </row>
    <row r="87" ht="12.75" customHeight="1" spans="1:36" x14ac:dyDescent="0.25">
      <c r="A87" s="16"/>
      <c r="B87" s="16"/>
      <c r="C87" s="139" t="s">
        <v>253</v>
      </c>
      <c r="D87" s="16"/>
      <c r="E87" s="16"/>
      <c r="F87" s="319"/>
      <c r="G87" s="319"/>
      <c r="H87" s="319"/>
      <c r="I87" s="319"/>
      <c r="J87" s="168"/>
      <c r="K87" s="319"/>
      <c r="L87" s="319"/>
      <c r="M87" s="319"/>
      <c r="N87" s="319"/>
      <c r="O87" s="168"/>
      <c r="P87" s="319"/>
      <c r="Q87" s="319"/>
      <c r="R87" s="319"/>
      <c r="S87" s="319"/>
      <c r="T87" s="168"/>
      <c r="U87" s="319"/>
      <c r="V87" s="319"/>
      <c r="W87" s="319"/>
      <c r="X87" s="320">
        <f ca="1">W87</f>
        <v>1e-12</v>
      </c>
      <c r="Y87" s="321"/>
      <c r="Z87" s="320">
        <f ca="1">X87</f>
        <v>1e-12</v>
      </c>
      <c r="AA87" s="320">
        <f t="shared" ref="AA87:AC87" si="54" ca="1">Z87</f>
        <v>1e-12</v>
      </c>
      <c r="AB87" s="320">
        <f ca="1">AA87</f>
        <v>1e-12</v>
      </c>
      <c r="AC87" s="320">
        <f ca="1">AB87</f>
        <v>1e-12</v>
      </c>
      <c r="AD87" s="321"/>
      <c r="AE87" s="321">
        <f ca="1">AC87</f>
        <v>1e-12</v>
      </c>
      <c r="AF87" s="321">
        <f t="shared" ref="AF87:AG87" si="55" ca="1">AE87</f>
        <v>1e-12</v>
      </c>
      <c r="AG87" s="321">
        <f ca="1">AF87</f>
        <v>1e-12</v>
      </c>
      <c r="AH87" s="16"/>
      <c r="AI87" s="16"/>
      <c r="AJ87" s="16"/>
    </row>
    <row r="88" ht="12.75" customHeight="1" spans="1:36" x14ac:dyDescent="0.25">
      <c r="A88" s="16"/>
      <c r="B88" s="16"/>
      <c r="C88" s="16"/>
      <c r="D88" s="16"/>
      <c r="E88" s="16"/>
      <c r="F88" s="319"/>
      <c r="G88" s="319"/>
      <c r="H88" s="319"/>
      <c r="I88" s="319"/>
      <c r="J88" s="168"/>
      <c r="K88" s="319"/>
      <c r="L88" s="319"/>
      <c r="M88" s="319"/>
      <c r="N88" s="319"/>
      <c r="O88" s="168"/>
      <c r="P88" s="319"/>
      <c r="Q88" s="319"/>
      <c r="R88" s="319"/>
      <c r="S88" s="319"/>
      <c r="T88" s="168"/>
      <c r="U88" s="319"/>
      <c r="V88" s="319"/>
      <c r="W88" s="319"/>
      <c r="X88" s="322"/>
      <c r="Y88" s="168"/>
      <c r="Z88" s="322"/>
      <c r="AA88" s="322"/>
      <c r="AB88" s="322"/>
      <c r="AC88" s="322"/>
      <c r="AD88" s="168"/>
      <c r="AE88" s="168"/>
      <c r="AF88" s="168"/>
      <c r="AG88" s="168"/>
      <c r="AH88" s="16"/>
      <c r="AI88" s="16"/>
      <c r="AJ88" s="16"/>
    </row>
    <row r="89" ht="12.75" customHeight="1" spans="1:36" x14ac:dyDescent="0.25">
      <c r="A89" s="264" t="s">
        <v>1</v>
      </c>
      <c r="B89" s="16"/>
      <c r="C89" s="62" t="s">
        <v>254</v>
      </c>
      <c r="D89" s="19"/>
      <c r="E89" s="19"/>
      <c r="F89" s="313" t="str">
        <f t="shared" ref="F89:AG89" si="56" ca="1">F$28</f>
        <v>1Q23</v>
      </c>
      <c r="G89" s="313" t="str">
        <f ca="1">G$28</f>
        <v>2Q23</v>
      </c>
      <c r="H89" s="313" t="str">
        <f ca="1">H$28</f>
        <v>3Q23</v>
      </c>
      <c r="I89" s="313" t="str">
        <f ca="1">I$28</f>
        <v>4Q23</v>
      </c>
      <c r="J89" s="313">
        <f ca="1">J$28</f>
        <v>2023</v>
      </c>
      <c r="K89" s="313" t="str">
        <f ca="1">K$28</f>
        <v>1Q24</v>
      </c>
      <c r="L89" s="313" t="str">
        <f ca="1">L$28</f>
        <v>2Q24</v>
      </c>
      <c r="M89" s="313" t="str">
        <f ca="1">M$28</f>
        <v>3Q24</v>
      </c>
      <c r="N89" s="313" t="str">
        <f ca="1">N$28</f>
        <v>4Q24</v>
      </c>
      <c r="O89" s="313">
        <f ca="1">O$28</f>
        <v>2024</v>
      </c>
      <c r="P89" s="313" t="str">
        <f ca="1">P$28</f>
        <v>1Q25</v>
      </c>
      <c r="Q89" s="313" t="str">
        <f ca="1">Q$28</f>
        <v>2Q25</v>
      </c>
      <c r="R89" s="313" t="str">
        <f ca="1">R$28</f>
        <v>3Q25</v>
      </c>
      <c r="S89" s="313" t="str">
        <f ca="1">S$28</f>
        <v>4Q25</v>
      </c>
      <c r="T89" s="313">
        <f ca="1">T$28</f>
        <v>2025</v>
      </c>
      <c r="U89" s="313" t="str">
        <f ca="1">U$28</f>
        <v>1Q26</v>
      </c>
      <c r="V89" s="313" t="str">
        <f ca="1">V$28</f>
        <v>2Q26</v>
      </c>
      <c r="W89" s="313" t="str">
        <f ca="1">W$28</f>
        <v>3Q26e</v>
      </c>
      <c r="X89" s="313" t="str">
        <f ca="1">X$28</f>
        <v>4Q26e</v>
      </c>
      <c r="Y89" s="313" t="str">
        <f ca="1">Y$28</f>
        <v>2026e</v>
      </c>
      <c r="Z89" s="313" t="str">
        <f ca="1">Z$28</f>
        <v>1Q27e</v>
      </c>
      <c r="AA89" s="313" t="str">
        <f ca="1">AA$28</f>
        <v>2Q27e</v>
      </c>
      <c r="AB89" s="313" t="str">
        <f ca="1">AB$28</f>
        <v>3Q27e</v>
      </c>
      <c r="AC89" s="313" t="str">
        <f ca="1">AC$28</f>
        <v>4Q27e</v>
      </c>
      <c r="AD89" s="313" t="str">
        <f ca="1">AD$28</f>
        <v>2027e</v>
      </c>
      <c r="AE89" s="313" t="str">
        <f ca="1">AE$28</f>
        <v>2028e</v>
      </c>
      <c r="AF89" s="313" t="str">
        <f ca="1">AF$28</f>
        <v>2029e</v>
      </c>
      <c r="AG89" s="314" t="str">
        <f ca="1">AG$28</f>
        <v>2030e</v>
      </c>
      <c r="AH89" s="277" t="s">
        <v>1</v>
      </c>
      <c r="AI89" s="16"/>
      <c r="AJ89" s="16"/>
    </row>
    <row r="90" ht="12.75" customHeight="1" spans="1:36" x14ac:dyDescent="0.25">
      <c r="A90" s="16"/>
      <c r="B90" s="16"/>
      <c r="C90" s="16"/>
      <c r="D90" s="16"/>
      <c r="E90" s="16"/>
      <c r="F90" s="315"/>
      <c r="G90" s="315"/>
      <c r="H90" s="315"/>
      <c r="I90" s="315"/>
      <c r="J90" s="16"/>
      <c r="K90" s="315"/>
      <c r="L90" s="315"/>
      <c r="M90" s="315"/>
      <c r="N90" s="315"/>
      <c r="O90" s="16"/>
      <c r="P90" s="315"/>
      <c r="Q90" s="315"/>
      <c r="R90" s="315"/>
      <c r="S90" s="315"/>
      <c r="T90" s="16"/>
      <c r="U90" s="315"/>
      <c r="V90" s="315"/>
      <c r="W90" s="315"/>
      <c r="X90" s="316"/>
      <c r="Y90" s="16"/>
      <c r="Z90" s="316"/>
      <c r="AA90" s="316"/>
      <c r="AB90" s="316"/>
      <c r="AC90" s="316"/>
      <c r="AD90" s="16"/>
      <c r="AE90" s="16"/>
      <c r="AF90" s="16"/>
      <c r="AG90" s="16"/>
      <c r="AH90" s="16"/>
      <c r="AI90" s="16"/>
      <c r="AJ90" s="16"/>
    </row>
    <row r="91" ht="12.75" customHeight="1" hidden="1" spans="1:36" x14ac:dyDescent="0.25" outlineLevel="1" collapsed="1">
      <c r="A91" s="264"/>
      <c r="B91" s="16"/>
      <c r="C91" s="139" t="str">
        <f ca="1">C32</f>
        <v>Home Improvement Retail Revenue</v>
      </c>
      <c r="D91" s="16"/>
      <c r="E91" s="168"/>
      <c r="F91" s="317">
        <f t="shared" ref="F91:W91" si="57" ca="1">F32</f>
        <v>17360</v>
      </c>
      <c r="G91" s="317">
        <f ca="1">G32</f>
        <v>20888</v>
      </c>
      <c r="H91" s="317">
        <f ca="1">H32</f>
        <v>17415</v>
      </c>
      <c r="I91" s="317">
        <f ca="1">I32</f>
        <v>15646</v>
      </c>
      <c r="J91" s="287">
        <f ca="1">J32</f>
        <v>71309</v>
      </c>
      <c r="K91" s="317">
        <f ca="1">K32</f>
        <v>17741</v>
      </c>
      <c r="L91" s="317">
        <f ca="1">L32</f>
        <v>20992</v>
      </c>
      <c r="M91" s="317">
        <f ca="1">M32</f>
        <v>17388</v>
      </c>
      <c r="N91" s="317">
        <f ca="1">N32</f>
        <v>16027</v>
      </c>
      <c r="O91" s="287">
        <f ca="1">O32</f>
        <v>72148</v>
      </c>
      <c r="P91" s="317">
        <f ca="1">P32</f>
        <v>19675</v>
      </c>
      <c r="Q91" s="317">
        <f ca="1">Q32</f>
        <v>27302</v>
      </c>
      <c r="R91" s="317">
        <f ca="1">R32</f>
        <v>22309</v>
      </c>
      <c r="S91" s="317">
        <f ca="1">S32</f>
        <v>20311</v>
      </c>
      <c r="T91" s="287">
        <f ca="1">T32</f>
        <v>89597</v>
      </c>
      <c r="U91" s="317">
        <f ca="1">U32</f>
        <v>24422</v>
      </c>
      <c r="V91" s="317">
        <f ca="1">V32</f>
        <v>27570</v>
      </c>
      <c r="W91" s="317">
        <f ca="1">W32</f>
        <v>22918</v>
      </c>
      <c r="X91" s="286">
        <f ca="1">X92*X97</f>
        <v>25267.095</v>
      </c>
      <c r="Y91" s="287">
        <f t="shared" ref="Y91:Y92" si="58" ca="1">SUM(U91:X91)</f>
        <v>100177.095</v>
      </c>
      <c r="Z91" s="286">
        <f t="shared" ref="Z91:AC91" si="59" ca="1">Z92*Z97</f>
        <v>27856.972237500006</v>
      </c>
      <c r="AA91" s="286">
        <f ca="1">AA92*AA97</f>
        <v>30712.311891843754</v>
      </c>
      <c r="AB91" s="286">
        <f ca="1">AB92*AB97</f>
        <v>33860.323860757744</v>
      </c>
      <c r="AC91" s="286">
        <f ca="1">AC92*AC97</f>
        <v>37331.00705648542</v>
      </c>
      <c r="AD91" s="287">
        <f t="shared" ref="AD91:AD92" si="60" ca="1">SUM(Z91:AC91)</f>
        <v>129760.61504658693</v>
      </c>
      <c r="AE91" s="287">
        <f t="shared" ref="AE91:AG91" si="61" ca="1">AE92*AE97</f>
        <v>143061.0780888621</v>
      </c>
      <c r="AF91" s="287">
        <f ca="1">AF92*AF97</f>
        <v>157724.83859297048</v>
      </c>
      <c r="AG91" s="287">
        <f ca="1">AG92*AG97</f>
        <v>173891.63454874995</v>
      </c>
      <c r="AH91" s="16"/>
      <c r="AI91" s="16"/>
      <c r="AJ91" s="16"/>
    </row>
    <row r="92" ht="12.75" customHeight="1" hidden="1" spans="1:36" x14ac:dyDescent="0.25" outlineLevel="1" collapsed="1">
      <c r="A92" s="16"/>
      <c r="B92" s="16"/>
      <c r="C92" s="139" t="s">
        <v>255</v>
      </c>
      <c r="D92" s="16"/>
      <c r="E92" s="168"/>
      <c r="F92" s="325">
        <v>220</v>
      </c>
      <c r="G92" s="325">
        <v>220</v>
      </c>
      <c r="H92" s="325">
        <v>220</v>
      </c>
      <c r="I92" s="325">
        <v>220</v>
      </c>
      <c r="J92" s="326">
        <f ca="1">SUM(F92:I92)</f>
        <v>880</v>
      </c>
      <c r="K92" s="325">
        <v>220</v>
      </c>
      <c r="L92" s="325">
        <v>220</v>
      </c>
      <c r="M92" s="325">
        <v>220</v>
      </c>
      <c r="N92" s="325">
        <v>220</v>
      </c>
      <c r="O92" s="326">
        <f ca="1">SUM(K92:N92)</f>
        <v>880</v>
      </c>
      <c r="P92" s="325">
        <v>220</v>
      </c>
      <c r="Q92" s="325">
        <v>220</v>
      </c>
      <c r="R92" s="325">
        <v>220</v>
      </c>
      <c r="S92" s="325">
        <v>220</v>
      </c>
      <c r="T92" s="326">
        <f ca="1">SUM(P92:S92)</f>
        <v>880</v>
      </c>
      <c r="U92" s="325">
        <v>220</v>
      </c>
      <c r="V92" s="325">
        <v>220</v>
      </c>
      <c r="W92" s="325">
        <v>220</v>
      </c>
      <c r="X92" s="327">
        <f ca="1">W92*(1+X93)</f>
        <v>231</v>
      </c>
      <c r="Y92" s="326">
        <f ca="1">SUM(U92:X92)</f>
        <v>891</v>
      </c>
      <c r="Z92" s="327">
        <f ca="1">X92*(1+Z93)</f>
        <v>242.55</v>
      </c>
      <c r="AA92" s="327">
        <f t="shared" ref="AA92:AC92" si="62" ca="1">Z92*(1+AA93)</f>
        <v>254.6775</v>
      </c>
      <c r="AB92" s="327">
        <f ca="1">AA92*(1+AB93)</f>
        <v>267.411375</v>
      </c>
      <c r="AC92" s="327">
        <f ca="1">AB92*(1+AC93)</f>
        <v>280.78194375000004</v>
      </c>
      <c r="AD92" s="326">
        <f ca="1">SUM(Z92:AC92)</f>
        <v>1045.42081875</v>
      </c>
      <c r="AE92" s="326">
        <f t="shared" ref="AE92:AG92" si="63" ca="1">AD92*(1+AE93)</f>
        <v>1097.6918596875</v>
      </c>
      <c r="AF92" s="326">
        <f ca="1">AE92*(1+AF93)</f>
        <v>1152.5764526718751</v>
      </c>
      <c r="AG92" s="326">
        <f ca="1">AF92*(1+AG93)</f>
        <v>1210.2052753054688</v>
      </c>
      <c r="AH92" s="16"/>
      <c r="AI92" s="16"/>
      <c r="AJ92" s="16"/>
    </row>
    <row r="93" ht="12.75" customHeight="1" hidden="1" spans="1:36" x14ac:dyDescent="0.25" outlineLevel="1" collapsed="1">
      <c r="A93" s="16"/>
      <c r="B93" s="16"/>
      <c r="C93" s="120" t="s">
        <v>256</v>
      </c>
      <c r="D93" s="16"/>
      <c r="E93" s="168"/>
      <c r="F93" s="319"/>
      <c r="G93" s="318">
        <f t="shared" ref="G93:I93" si="64" ca="1">IFERROR(G92/F92-1,"--")</f>
        <v>0</v>
      </c>
      <c r="H93" s="318">
        <f ca="1">IFERROR(H92/G92-1,"--")</f>
      </c>
      <c r="I93" s="318">
        <f ca="1">IFERROR(I92/H92-1,"--")</f>
      </c>
      <c r="J93" s="168"/>
      <c r="K93" s="318">
        <f ca="1">IFERROR(K92/I92-1,"--")</f>
        <v>0</v>
      </c>
      <c r="L93" s="318">
        <f t="shared" ref="L93:N93" si="65" ca="1">IFERROR(L92/K92-1,"--")</f>
        <v>0</v>
      </c>
      <c r="M93" s="318">
        <f ca="1">IFERROR(M92/L92-1,"--")</f>
      </c>
      <c r="N93" s="318">
        <f ca="1">IFERROR(N92/M92-1,"--")</f>
      </c>
      <c r="O93" s="306">
        <f ca="1">IFERROR(O92/J92-1,"--")</f>
        <v>0</v>
      </c>
      <c r="P93" s="318">
        <f ca="1">IFERROR(P92/N92-1,"--")</f>
        <v>0</v>
      </c>
      <c r="Q93" s="318">
        <f t="shared" ref="Q93:S93" si="66" ca="1">IFERROR(Q92/P92-1,"--")</f>
        <v>0</v>
      </c>
      <c r="R93" s="318">
        <f ca="1">IFERROR(R92/Q92-1,"--")</f>
      </c>
      <c r="S93" s="318">
        <f ca="1">IFERROR(S92/R92-1,"--")</f>
      </c>
      <c r="T93" s="306">
        <f ca="1">IFERROR(T92/O92-1,"--")</f>
        <v>0</v>
      </c>
      <c r="U93" s="318">
        <f ca="1">IFERROR(U92/S92-1,"--")</f>
        <v>0</v>
      </c>
      <c r="V93" s="318">
        <f t="shared" ref="V93:W93" si="67" ca="1">IFERROR(V92/U92-1,"--")</f>
        <v>0</v>
      </c>
      <c r="W93" s="318">
        <f ca="1">IFERROR(W92/V92-1,"--")</f>
      </c>
      <c r="X93" s="305">
        <f ca="1">IF(Case_Scenario="Bull",X94,IF(Case_Scenario="Base",X95,IF(Case_Scenario="bear",X96,"N/A")))</f>
        <v>0.05</v>
      </c>
      <c r="Y93" s="306"/>
      <c r="Z93" s="305">
        <f ca="1">IF(Case_Scenario="Bull",Z94,IF(Case_Scenario="Base",Z95,IF(Case_Scenario="bear",Z96,"N/A")))</f>
        <v>0.05</v>
      </c>
      <c r="AA93" s="305">
        <f ca="1">IF(Case_Scenario="Bull",AA94,IF(Case_Scenario="Base",AA95,IF(Case_Scenario="bear",AA96,"N/A")))</f>
        <v>0.05</v>
      </c>
      <c r="AB93" s="305">
        <f ca="1">IF(Case_Scenario="Bull",AB94,IF(Case_Scenario="Base",AB95,IF(Case_Scenario="bear",AB96,"N/A")))</f>
        <v>0.05</v>
      </c>
      <c r="AC93" s="305">
        <f ca="1">IF(Case_Scenario="Bull",AC94,IF(Case_Scenario="Base",AC95,IF(Case_Scenario="bear",AC96,"N/A")))</f>
        <v>0.05</v>
      </c>
      <c r="AD93" s="306"/>
      <c r="AE93" s="306">
        <f ca="1">IF(Case_Scenario="Bull",AE94,IF(Case_Scenario="Base",AE95,IF(Case_Scenario="bear",AE96,"N/A")))</f>
        <v>0.05</v>
      </c>
      <c r="AF93" s="306">
        <f ca="1">IF(Case_Scenario="Bull",AF94,IF(Case_Scenario="Base",AF95,IF(Case_Scenario="bear",AF96,"N/A")))</f>
        <v>0.05</v>
      </c>
      <c r="AG93" s="306">
        <f ca="1">IF(Case_Scenario="Bull",AG94,IF(Case_Scenario="Base",AG95,IF(Case_Scenario="bear",AG96,"N/A")))</f>
        <v>0.05</v>
      </c>
      <c r="AH93" s="16"/>
      <c r="AI93" s="16"/>
      <c r="AJ93" s="16"/>
    </row>
    <row r="94" ht="12.75" customHeight="1" hidden="1" spans="1:36" x14ac:dyDescent="0.25" outlineLevel="1" collapsed="1">
      <c r="A94" s="16"/>
      <c r="B94" s="16"/>
      <c r="C94" s="139" t="s">
        <v>251</v>
      </c>
      <c r="D94" s="16"/>
      <c r="E94" s="168"/>
      <c r="F94" s="319"/>
      <c r="G94" s="319"/>
      <c r="H94" s="319"/>
      <c r="I94" s="319"/>
      <c r="J94" s="168"/>
      <c r="K94" s="319"/>
      <c r="L94" s="319"/>
      <c r="M94" s="319"/>
      <c r="N94" s="319"/>
      <c r="O94" s="168"/>
      <c r="P94" s="319"/>
      <c r="Q94" s="319"/>
      <c r="R94" s="319"/>
      <c r="S94" s="319"/>
      <c r="T94" s="168"/>
      <c r="U94" s="319"/>
      <c r="V94" s="319"/>
      <c r="W94" s="319"/>
      <c r="X94" s="320">
        <v>0.1</v>
      </c>
      <c r="Y94" s="321"/>
      <c r="Z94" s="320">
        <v>0.1</v>
      </c>
      <c r="AA94" s="320">
        <v>0.1</v>
      </c>
      <c r="AB94" s="320">
        <v>0.1</v>
      </c>
      <c r="AC94" s="320">
        <v>0.1</v>
      </c>
      <c r="AD94" s="321"/>
      <c r="AE94" s="321">
        <v>0.1</v>
      </c>
      <c r="AF94" s="321">
        <v>0.1</v>
      </c>
      <c r="AG94" s="321">
        <v>0.1</v>
      </c>
      <c r="AH94" s="16"/>
      <c r="AI94" s="16"/>
      <c r="AJ94" s="16"/>
    </row>
    <row r="95" ht="12.75" customHeight="1" hidden="1" spans="1:36" x14ac:dyDescent="0.25" outlineLevel="1" collapsed="1">
      <c r="A95" s="16"/>
      <c r="B95" s="16"/>
      <c r="C95" s="139" t="s">
        <v>252</v>
      </c>
      <c r="D95" s="16"/>
      <c r="E95" s="168"/>
      <c r="F95" s="319"/>
      <c r="G95" s="319"/>
      <c r="H95" s="319"/>
      <c r="I95" s="319"/>
      <c r="J95" s="168"/>
      <c r="K95" s="319"/>
      <c r="L95" s="319"/>
      <c r="M95" s="319"/>
      <c r="N95" s="319"/>
      <c r="O95" s="168"/>
      <c r="P95" s="319"/>
      <c r="Q95" s="319"/>
      <c r="R95" s="319"/>
      <c r="S95" s="319"/>
      <c r="T95" s="168"/>
      <c r="U95" s="319"/>
      <c r="V95" s="319"/>
      <c r="W95" s="319"/>
      <c r="X95" s="320">
        <v>0.05</v>
      </c>
      <c r="Y95" s="321"/>
      <c r="Z95" s="320">
        <v>0.05</v>
      </c>
      <c r="AA95" s="320">
        <v>0.05</v>
      </c>
      <c r="AB95" s="320">
        <v>0.05</v>
      </c>
      <c r="AC95" s="320">
        <v>0.05</v>
      </c>
      <c r="AD95" s="321"/>
      <c r="AE95" s="321">
        <v>0.05</v>
      </c>
      <c r="AF95" s="321">
        <v>0.05</v>
      </c>
      <c r="AG95" s="321">
        <v>0.05</v>
      </c>
      <c r="AH95" s="16"/>
      <c r="AI95" s="16"/>
      <c r="AJ95" s="16"/>
    </row>
    <row r="96" ht="12.75" customHeight="1" hidden="1" spans="1:36" x14ac:dyDescent="0.25" outlineLevel="1" collapsed="1">
      <c r="A96" s="16"/>
      <c r="B96" s="16"/>
      <c r="C96" s="139" t="s">
        <v>253</v>
      </c>
      <c r="D96" s="16"/>
      <c r="E96" s="168"/>
      <c r="F96" s="319"/>
      <c r="G96" s="319"/>
      <c r="H96" s="319"/>
      <c r="I96" s="319"/>
      <c r="J96" s="168"/>
      <c r="K96" s="319"/>
      <c r="L96" s="319"/>
      <c r="M96" s="319"/>
      <c r="N96" s="319"/>
      <c r="O96" s="168"/>
      <c r="P96" s="319"/>
      <c r="Q96" s="319"/>
      <c r="R96" s="319"/>
      <c r="S96" s="319"/>
      <c r="T96" s="168"/>
      <c r="U96" s="319"/>
      <c r="V96" s="319"/>
      <c r="W96" s="319"/>
      <c r="X96" s="320">
        <v>0</v>
      </c>
      <c r="Y96" s="321"/>
      <c r="Z96" s="320">
        <v>0</v>
      </c>
      <c r="AA96" s="320">
        <v>0</v>
      </c>
      <c r="AB96" s="320">
        <v>0</v>
      </c>
      <c r="AC96" s="320">
        <v>0</v>
      </c>
      <c r="AD96" s="321"/>
      <c r="AE96" s="321">
        <v>0</v>
      </c>
      <c r="AF96" s="321">
        <v>0</v>
      </c>
      <c r="AG96" s="321">
        <v>0</v>
      </c>
      <c r="AH96" s="16"/>
      <c r="AI96" s="16"/>
      <c r="AJ96" s="16"/>
    </row>
    <row r="97" ht="12.75" customHeight="1" hidden="1" spans="1:36" x14ac:dyDescent="0.25" outlineLevel="1" collapsed="1">
      <c r="A97" s="16"/>
      <c r="B97" s="16"/>
      <c r="C97" s="139" t="s">
        <v>166</v>
      </c>
      <c r="D97" s="16"/>
      <c r="E97" s="168"/>
      <c r="F97" s="317">
        <f t="shared" ref="F97:W97" si="68" ca="1">IFERROR(F91/F92,"--")</f>
        <v>78.9090909090909</v>
      </c>
      <c r="G97" s="317">
        <f ca="1">IFERROR(G91/G92,"--")</f>
        <v>94.94545454545455</v>
      </c>
      <c r="H97" s="317">
        <f ca="1">IFERROR(H91/H92,"--")</f>
        <v>79.1590909090909</v>
      </c>
      <c r="I97" s="317">
        <f ca="1">IFERROR(I91/I92,"--")</f>
        <v>71.11818181818182</v>
      </c>
      <c r="J97" s="287">
        <f ca="1">IFERROR(J91/J92,"--")</f>
        <v>81.03295454545454</v>
      </c>
      <c r="K97" s="317">
        <f ca="1">IFERROR(K91/K92,"--")</f>
        <v>80.64090909090909</v>
      </c>
      <c r="L97" s="317">
        <f ca="1">IFERROR(L91/L92,"--")</f>
        <v>95.41818181818182</v>
      </c>
      <c r="M97" s="317">
        <f ca="1">IFERROR(M91/M92,"--")</f>
        <v>79.03636363636363</v>
      </c>
      <c r="N97" s="317">
        <f ca="1">IFERROR(N91/N92,"--")</f>
        <v>72.85</v>
      </c>
      <c r="O97" s="287">
        <f ca="1">IFERROR(O91/O92,"--")</f>
        <v>81.98636363636363</v>
      </c>
      <c r="P97" s="317">
        <f ca="1">IFERROR(P91/P92,"--")</f>
        <v>89.43181818181819</v>
      </c>
      <c r="Q97" s="317">
        <f ca="1">IFERROR(Q91/Q92,"--")</f>
        <v>124.1</v>
      </c>
      <c r="R97" s="317">
        <f ca="1">IFERROR(R91/R92,"--")</f>
        <v>101.40454545454546</v>
      </c>
      <c r="S97" s="317">
        <f ca="1">IFERROR(S91/S92,"--")</f>
        <v>92.32272727272728</v>
      </c>
      <c r="T97" s="287">
        <f ca="1">IFERROR(T91/T92,"--")</f>
        <v>101.81477272727273</v>
      </c>
      <c r="U97" s="317">
        <f ca="1">IFERROR(U91/U92,"--")</f>
        <v>111.00909090909092</v>
      </c>
      <c r="V97" s="317">
        <f ca="1">IFERROR(V91/V92,"--")</f>
        <v>125.31818181818181</v>
      </c>
      <c r="W97" s="317">
        <f ca="1">IFERROR(W91/W92,"--")</f>
        <v>104.17272727272727</v>
      </c>
      <c r="X97" s="286">
        <f ca="1">W97*(1+X98)</f>
        <v>109.38136363636364</v>
      </c>
      <c r="Y97" s="287">
        <f ca="1">Y91/Y92</f>
        <v>112.43220538720539</v>
      </c>
      <c r="Z97" s="286">
        <f ca="1">X97*(1+Z98)</f>
        <v>114.85043181818183</v>
      </c>
      <c r="AA97" s="286">
        <f t="shared" ref="AA97:AC97" si="69" ca="1">Z97*(1+AA98)</f>
        <v>120.59295340909092</v>
      </c>
      <c r="AB97" s="286">
        <f ca="1">AA97*(1+AB98)</f>
        <v>126.62260107954548</v>
      </c>
      <c r="AC97" s="286">
        <f ca="1">AB97*(1+AC98)</f>
        <v>132.95373113352275</v>
      </c>
      <c r="AD97" s="287">
        <f ca="1">AD91/AD92</f>
        <v>124.12285341872231</v>
      </c>
      <c r="AE97" s="287">
        <f t="shared" ref="AE97:AG97" si="70" ca="1">AD97*(1+AE98)</f>
        <v>130.32899608965843</v>
      </c>
      <c r="AF97" s="287">
        <f ca="1">AE97*(1+AF98)</f>
        <v>136.84544589414136</v>
      </c>
      <c r="AG97" s="287">
        <f ca="1">AF97*(1+AG98)</f>
        <v>143.68771818884844</v>
      </c>
      <c r="AH97" s="16"/>
      <c r="AI97" s="16"/>
      <c r="AJ97" s="16"/>
    </row>
    <row r="98" ht="12.75" customHeight="1" hidden="1" spans="1:36" x14ac:dyDescent="0.25" outlineLevel="1" collapsed="1">
      <c r="A98" s="16"/>
      <c r="B98" s="16"/>
      <c r="C98" s="120" t="s">
        <v>257</v>
      </c>
      <c r="D98" s="16"/>
      <c r="E98" s="168"/>
      <c r="F98" s="319"/>
      <c r="G98" s="318">
        <f t="shared" ref="G98:I98" si="71" ca="1">IFERROR(G97/F97-1,"--")</f>
        <v>0.20322580645161303</v>
      </c>
      <c r="H98" s="318">
        <f ca="1">IFERROR(H97/G97-1,"--")</f>
        <v>-0.16626771351972436</v>
      </c>
      <c r="I98" s="318">
        <f ca="1">IFERROR(I97/H97-1,"--")</f>
        <v>-0.10157909847832314</v>
      </c>
      <c r="J98" s="168"/>
      <c r="K98" s="318">
        <f ca="1">IFERROR(K97/I97-1,"--")</f>
        <v>0.13390003834845965</v>
      </c>
      <c r="L98" s="318">
        <f t="shared" ref="L98:N98" si="72" ca="1">IFERROR(L97/K97-1,"--")</f>
        <v>0.18324784397722804</v>
      </c>
      <c r="M98" s="318">
        <f ca="1">IFERROR(M97/L97-1,"--")</f>
        <v>-0.17168445121951226</v>
      </c>
      <c r="N98" s="318">
        <f ca="1">IFERROR(N97/M97-1,"--")</f>
        <v>-0.07827237175063262</v>
      </c>
      <c r="O98" s="306">
        <f ca="1">IFERROR(O97/J97-1,"--")</f>
        <v>0.01176569577472697</v>
      </c>
      <c r="P98" s="318">
        <f ca="1">IFERROR(P97/N97-1,"--")</f>
        <v>0.22761589817183525</v>
      </c>
      <c r="Q98" s="318">
        <f t="shared" ref="Q98:S98" si="73" ca="1">IFERROR(Q97/P97-1,"--")</f>
        <v>0.3876493011435831</v>
      </c>
      <c r="R98" s="318">
        <f ca="1">IFERROR(R97/Q97-1,"--")</f>
        <v>-0.18288037506409782</v>
      </c>
      <c r="S98" s="318">
        <f ca="1">IFERROR(S97/R97-1,"--")</f>
        <v>-0.0895602671567528</v>
      </c>
      <c r="T98" s="306">
        <f ca="1">IFERROR(T97/O97-1,"--")</f>
        <v>0.2418500859344681</v>
      </c>
      <c r="U98" s="318">
        <f ca="1">IFERROR(U97/S97-1,"--")</f>
        <v>0.20240263896410804</v>
      </c>
      <c r="V98" s="318">
        <f t="shared" ref="V98:W98" si="74" ca="1">IFERROR(V97/U97-1,"--")</f>
        <v>0.12890017197608694</v>
      </c>
      <c r="W98" s="318">
        <f ca="1">IFERROR(W97/V97-1,"--")</f>
        <v>-0.16873413130214</v>
      </c>
      <c r="X98" s="305">
        <f ca="1">IF(Case_Scenario="Bull",X99,IF(Case_Scenario="Base",X100,IF(Case_Scenario="bear",X101,"N/A")))</f>
        <v>0.05</v>
      </c>
      <c r="Y98" s="306"/>
      <c r="Z98" s="305">
        <f ca="1">IF(Case_Scenario="Bull",Z99,IF(Case_Scenario="Base",Z100,IF(Case_Scenario="bear",Z101,"N/A")))</f>
        <v>0.05</v>
      </c>
      <c r="AA98" s="305">
        <f ca="1">IF(Case_Scenario="Bull",AA99,IF(Case_Scenario="Base",AA100,IF(Case_Scenario="bear",AA101,"N/A")))</f>
        <v>0.05</v>
      </c>
      <c r="AB98" s="305">
        <f ca="1">IF(Case_Scenario="Bull",AB99,IF(Case_Scenario="Base",AB100,IF(Case_Scenario="bear",AB101,"N/A")))</f>
        <v>0.05</v>
      </c>
      <c r="AC98" s="305">
        <f ca="1">IF(Case_Scenario="Bull",AC99,IF(Case_Scenario="Base",AC100,IF(Case_Scenario="bear",AC101,"N/A")))</f>
        <v>0.05</v>
      </c>
      <c r="AD98" s="306"/>
      <c r="AE98" s="306">
        <f ca="1">IF(Case_Scenario="Bull",AE99,IF(Case_Scenario="Base",AE100,IF(Case_Scenario="bear",AE101,"N/A")))</f>
        <v>0.05</v>
      </c>
      <c r="AF98" s="306">
        <f ca="1">IF(Case_Scenario="Bull",AF99,IF(Case_Scenario="Base",AF100,IF(Case_Scenario="bear",AF101,"N/A")))</f>
        <v>0.05</v>
      </c>
      <c r="AG98" s="306">
        <f ca="1">IF(Case_Scenario="Bull",AG99,IF(Case_Scenario="Base",AG100,IF(Case_Scenario="bear",AG101,"N/A")))</f>
        <v>0.05</v>
      </c>
      <c r="AH98" s="16"/>
      <c r="AI98" s="16"/>
      <c r="AJ98" s="16"/>
    </row>
    <row r="99" ht="12.75" customHeight="1" hidden="1" spans="1:36" x14ac:dyDescent="0.25" outlineLevel="1" collapsed="1">
      <c r="A99" s="16"/>
      <c r="B99" s="16"/>
      <c r="C99" s="139" t="s">
        <v>251</v>
      </c>
      <c r="D99" s="16"/>
      <c r="E99" s="168"/>
      <c r="F99" s="319"/>
      <c r="G99" s="319"/>
      <c r="H99" s="319"/>
      <c r="I99" s="319"/>
      <c r="J99" s="168"/>
      <c r="K99" s="319"/>
      <c r="L99" s="319"/>
      <c r="M99" s="319"/>
      <c r="N99" s="319"/>
      <c r="O99" s="168"/>
      <c r="P99" s="319"/>
      <c r="Q99" s="319"/>
      <c r="R99" s="319"/>
      <c r="S99" s="319"/>
      <c r="T99" s="168"/>
      <c r="U99" s="319"/>
      <c r="V99" s="319"/>
      <c r="W99" s="319"/>
      <c r="X99" s="320">
        <v>0.1</v>
      </c>
      <c r="Y99" s="321"/>
      <c r="Z99" s="320">
        <v>0.1</v>
      </c>
      <c r="AA99" s="320">
        <v>0.1</v>
      </c>
      <c r="AB99" s="320">
        <v>0.1</v>
      </c>
      <c r="AC99" s="320">
        <v>0.1</v>
      </c>
      <c r="AD99" s="321"/>
      <c r="AE99" s="321">
        <v>0.1</v>
      </c>
      <c r="AF99" s="321">
        <v>0.1</v>
      </c>
      <c r="AG99" s="321">
        <v>0.1</v>
      </c>
      <c r="AH99" s="16"/>
      <c r="AI99" s="16"/>
      <c r="AJ99" s="16"/>
    </row>
    <row r="100" ht="12.75" customHeight="1" hidden="1" spans="1:36" x14ac:dyDescent="0.25" outlineLevel="1" collapsed="1">
      <c r="A100" s="16"/>
      <c r="B100" s="16"/>
      <c r="C100" s="139" t="s">
        <v>252</v>
      </c>
      <c r="D100" s="16"/>
      <c r="E100" s="168"/>
      <c r="F100" s="319"/>
      <c r="G100" s="319"/>
      <c r="H100" s="319"/>
      <c r="I100" s="319"/>
      <c r="J100" s="168"/>
      <c r="K100" s="319"/>
      <c r="L100" s="319"/>
      <c r="M100" s="319"/>
      <c r="N100" s="319"/>
      <c r="O100" s="168"/>
      <c r="P100" s="319"/>
      <c r="Q100" s="319"/>
      <c r="R100" s="319"/>
      <c r="S100" s="319"/>
      <c r="T100" s="168"/>
      <c r="U100" s="319"/>
      <c r="V100" s="319"/>
      <c r="W100" s="319"/>
      <c r="X100" s="320">
        <v>0.05</v>
      </c>
      <c r="Y100" s="321"/>
      <c r="Z100" s="320">
        <v>0.05</v>
      </c>
      <c r="AA100" s="320">
        <v>0.05</v>
      </c>
      <c r="AB100" s="320">
        <v>0.05</v>
      </c>
      <c r="AC100" s="320">
        <v>0.05</v>
      </c>
      <c r="AD100" s="321"/>
      <c r="AE100" s="321">
        <v>0.05</v>
      </c>
      <c r="AF100" s="321">
        <v>0.05</v>
      </c>
      <c r="AG100" s="321">
        <v>0.05</v>
      </c>
      <c r="AH100" s="16"/>
      <c r="AI100" s="16"/>
      <c r="AJ100" s="16"/>
    </row>
    <row r="101" ht="12.75" customHeight="1" hidden="1" spans="1:36" x14ac:dyDescent="0.25" outlineLevel="1" collapsed="1">
      <c r="A101" s="16"/>
      <c r="B101" s="16"/>
      <c r="C101" s="139" t="s">
        <v>253</v>
      </c>
      <c r="D101" s="16"/>
      <c r="E101" s="168"/>
      <c r="F101" s="319"/>
      <c r="G101" s="319"/>
      <c r="H101" s="319"/>
      <c r="I101" s="319"/>
      <c r="J101" s="168"/>
      <c r="K101" s="319"/>
      <c r="L101" s="319"/>
      <c r="M101" s="319"/>
      <c r="N101" s="319"/>
      <c r="O101" s="168"/>
      <c r="P101" s="319"/>
      <c r="Q101" s="319"/>
      <c r="R101" s="319"/>
      <c r="S101" s="319"/>
      <c r="T101" s="168"/>
      <c r="U101" s="319"/>
      <c r="V101" s="319"/>
      <c r="W101" s="319"/>
      <c r="X101" s="320">
        <v>0</v>
      </c>
      <c r="Y101" s="321"/>
      <c r="Z101" s="320">
        <v>0</v>
      </c>
      <c r="AA101" s="320">
        <v>0</v>
      </c>
      <c r="AB101" s="320">
        <v>0</v>
      </c>
      <c r="AC101" s="320">
        <v>0</v>
      </c>
      <c r="AD101" s="321"/>
      <c r="AE101" s="321">
        <v>0</v>
      </c>
      <c r="AF101" s="321">
        <v>0</v>
      </c>
      <c r="AG101" s="321">
        <v>0</v>
      </c>
      <c r="AH101" s="16"/>
      <c r="AI101" s="16"/>
      <c r="AJ101" s="16"/>
    </row>
    <row r="102" ht="12.75" customHeight="1" hidden="1" spans="1:36" x14ac:dyDescent="0.25" outlineLevel="1" collapsed="1">
      <c r="A102" s="16"/>
      <c r="B102" s="16"/>
      <c r="C102" s="16"/>
      <c r="D102" s="16"/>
      <c r="E102" s="168"/>
      <c r="F102" s="319"/>
      <c r="G102" s="319"/>
      <c r="H102" s="319"/>
      <c r="I102" s="319"/>
      <c r="J102" s="168"/>
      <c r="K102" s="319"/>
      <c r="L102" s="319"/>
      <c r="M102" s="319"/>
      <c r="N102" s="319"/>
      <c r="O102" s="168"/>
      <c r="P102" s="319"/>
      <c r="Q102" s="319"/>
      <c r="R102" s="319"/>
      <c r="S102" s="319"/>
      <c r="T102" s="168"/>
      <c r="U102" s="319"/>
      <c r="V102" s="319"/>
      <c r="W102" s="319"/>
      <c r="X102" s="322"/>
      <c r="Y102" s="168"/>
      <c r="Z102" s="322"/>
      <c r="AA102" s="322"/>
      <c r="AB102" s="322"/>
      <c r="AC102" s="322"/>
      <c r="AD102" s="168"/>
      <c r="AE102" s="168"/>
      <c r="AF102" s="168"/>
      <c r="AG102" s="168"/>
      <c r="AH102" s="16"/>
      <c r="AI102" s="16"/>
      <c r="AJ102" s="16"/>
    </row>
    <row r="103" ht="12.75" customHeight="1" hidden="1" spans="1:36" x14ac:dyDescent="0.25" outlineLevel="1" collapsed="1">
      <c r="A103" s="264" t="s">
        <v>1</v>
      </c>
      <c r="B103" s="16"/>
      <c r="C103" s="139" t="str">
        <f ca="1">C35</f>
        <v>Segment 2 Revenue</v>
      </c>
      <c r="D103" s="16"/>
      <c r="E103" s="168"/>
      <c r="F103" s="317">
        <f t="shared" ref="F103:W103" si="75" ca="1">F35</f>
        <v>1e-12</v>
      </c>
      <c r="G103" s="317">
        <f ca="1">G35</f>
        <v>1e-12</v>
      </c>
      <c r="H103" s="317">
        <f ca="1">H35</f>
        <v>1e-12</v>
      </c>
      <c r="I103" s="317">
        <f ca="1">I35</f>
        <v>1e-12</v>
      </c>
      <c r="J103" s="287">
        <f ca="1">J35</f>
        <v>1e-12</v>
      </c>
      <c r="K103" s="317">
        <f ca="1">K35</f>
        <v>1e-12</v>
      </c>
      <c r="L103" s="317">
        <f ca="1">L35</f>
        <v>1e-12</v>
      </c>
      <c r="M103" s="317">
        <f ca="1">M35</f>
        <v>1e-12</v>
      </c>
      <c r="N103" s="317">
        <f ca="1">N35</f>
        <v>1e-12</v>
      </c>
      <c r="O103" s="287">
        <f ca="1">O35</f>
        <v>1e-12</v>
      </c>
      <c r="P103" s="317">
        <f ca="1">P35</f>
        <v>1e-12</v>
      </c>
      <c r="Q103" s="317">
        <f ca="1">Q35</f>
        <v>1e-12</v>
      </c>
      <c r="R103" s="317">
        <f ca="1">R35</f>
        <v>1e-12</v>
      </c>
      <c r="S103" s="317">
        <f ca="1">S35</f>
        <v>1e-12</v>
      </c>
      <c r="T103" s="287">
        <f ca="1">T35</f>
        <v>1e-12</v>
      </c>
      <c r="U103" s="317">
        <f ca="1">U35</f>
        <v>1e-12</v>
      </c>
      <c r="V103" s="317">
        <f ca="1">V35</f>
        <v>1e-12</v>
      </c>
      <c r="W103" s="317">
        <f ca="1">W35</f>
        <v>1e-12</v>
      </c>
      <c r="X103" s="286">
        <f ca="1">X104*X109</f>
        <v>1e-12</v>
      </c>
      <c r="Y103" s="287">
        <f t="shared" ref="Y103:Y104" si="76" ca="1">SUM(U103:X103)</f>
        <v>1e-12</v>
      </c>
      <c r="Z103" s="286">
        <f t="shared" ref="Z103:AC103" si="77" ca="1">Z104*Z109</f>
        <v>1e-12</v>
      </c>
      <c r="AA103" s="286">
        <f ca="1">AA104*AA109</f>
        <v>1e-12</v>
      </c>
      <c r="AB103" s="286">
        <f ca="1">AB104*AB109</f>
        <v>1e-12</v>
      </c>
      <c r="AC103" s="286">
        <f ca="1">AC104*AC109</f>
        <v>1e-12</v>
      </c>
      <c r="AD103" s="287">
        <f t="shared" ref="AD103:AD104" si="78" ca="1">SUM(Z103:AC103)</f>
        <v>1e-12</v>
      </c>
      <c r="AE103" s="287">
        <f t="shared" ref="AE103:AG103" si="79" ca="1">AE104*AE109</f>
        <v>1e-12</v>
      </c>
      <c r="AF103" s="287">
        <f ca="1">AF104*AF109</f>
        <v>1e-12</v>
      </c>
      <c r="AG103" s="287">
        <f ca="1">AG104*AG109</f>
        <v>1e-12</v>
      </c>
      <c r="AH103" s="16"/>
      <c r="AI103" s="16"/>
      <c r="AJ103" s="16"/>
    </row>
    <row r="104" ht="12.75" customHeight="1" hidden="1" spans="1:36" x14ac:dyDescent="0.25" outlineLevel="1" collapsed="1">
      <c r="A104" s="16"/>
      <c r="B104" s="16"/>
      <c r="C104" s="139" t="s">
        <v>255</v>
      </c>
      <c r="D104" s="16"/>
      <c r="E104" s="168"/>
      <c r="F104" s="325">
        <v>220</v>
      </c>
      <c r="G104" s="325">
        <v>220</v>
      </c>
      <c r="H104" s="325">
        <v>220</v>
      </c>
      <c r="I104" s="325">
        <v>220</v>
      </c>
      <c r="J104" s="326">
        <f ca="1">SUM(F104:I104)</f>
        <v>880</v>
      </c>
      <c r="K104" s="325">
        <v>220</v>
      </c>
      <c r="L104" s="325">
        <v>220</v>
      </c>
      <c r="M104" s="325">
        <v>220</v>
      </c>
      <c r="N104" s="325">
        <v>220</v>
      </c>
      <c r="O104" s="326">
        <f ca="1">SUM(K104:N104)</f>
        <v>880</v>
      </c>
      <c r="P104" s="325">
        <v>220</v>
      </c>
      <c r="Q104" s="325">
        <v>220</v>
      </c>
      <c r="R104" s="325">
        <v>220</v>
      </c>
      <c r="S104" s="325">
        <v>220</v>
      </c>
      <c r="T104" s="326">
        <f ca="1">SUM(P104:S104)</f>
        <v>880</v>
      </c>
      <c r="U104" s="325">
        <v>220</v>
      </c>
      <c r="V104" s="325">
        <v>220</v>
      </c>
      <c r="W104" s="325">
        <v>220</v>
      </c>
      <c r="X104" s="327">
        <f ca="1">W104*(1+X105)</f>
        <v>231</v>
      </c>
      <c r="Y104" s="326">
        <f ca="1">SUM(U104:X104)</f>
        <v>891</v>
      </c>
      <c r="Z104" s="327">
        <f ca="1">X104*(1+Z105)</f>
        <v>242.55</v>
      </c>
      <c r="AA104" s="327">
        <f t="shared" ref="AA104:AC104" si="80" ca="1">Z104*(1+AA105)</f>
        <v>254.6775</v>
      </c>
      <c r="AB104" s="327">
        <f ca="1">AA104*(1+AB105)</f>
        <v>267.411375</v>
      </c>
      <c r="AC104" s="327">
        <f ca="1">AB104*(1+AC105)</f>
        <v>280.78194375000004</v>
      </c>
      <c r="AD104" s="326">
        <f ca="1">SUM(Z104:AC104)</f>
        <v>1045.42081875</v>
      </c>
      <c r="AE104" s="326">
        <f t="shared" ref="AE104:AG104" si="81" ca="1">AD104*(1+AE105)</f>
        <v>1097.6918596875</v>
      </c>
      <c r="AF104" s="326">
        <f ca="1">AE104*(1+AF105)</f>
        <v>1152.5764526718751</v>
      </c>
      <c r="AG104" s="326">
        <f ca="1">AF104*(1+AG105)</f>
        <v>1210.2052753054688</v>
      </c>
      <c r="AH104" s="16"/>
      <c r="AI104" s="16"/>
      <c r="AJ104" s="16"/>
    </row>
    <row r="105" ht="12.75" customHeight="1" hidden="1" spans="1:36" x14ac:dyDescent="0.25" outlineLevel="1" collapsed="1">
      <c r="A105" s="16"/>
      <c r="B105" s="16"/>
      <c r="C105" s="120" t="s">
        <v>256</v>
      </c>
      <c r="D105" s="16"/>
      <c r="E105" s="168"/>
      <c r="F105" s="319"/>
      <c r="G105" s="318">
        <f t="shared" ref="G105:I105" si="82" ca="1">IFERROR(G104/F104-1,"--")</f>
        <v>0</v>
      </c>
      <c r="H105" s="318">
        <f ca="1">IFERROR(H104/G104-1,"--")</f>
      </c>
      <c r="I105" s="318">
        <f ca="1">IFERROR(I104/H104-1,"--")</f>
      </c>
      <c r="J105" s="168"/>
      <c r="K105" s="318">
        <f ca="1">IFERROR(K104/I104-1,"--")</f>
        <v>0</v>
      </c>
      <c r="L105" s="318">
        <f t="shared" ref="L105:N105" si="83" ca="1">IFERROR(L104/K104-1,"--")</f>
        <v>0</v>
      </c>
      <c r="M105" s="318">
        <f ca="1">IFERROR(M104/L104-1,"--")</f>
      </c>
      <c r="N105" s="318">
        <f ca="1">IFERROR(N104/M104-1,"--")</f>
      </c>
      <c r="O105" s="306">
        <f ca="1">IFERROR(O104/J104-1,"--")</f>
        <v>0</v>
      </c>
      <c r="P105" s="318">
        <f ca="1">IFERROR(P104/N104-1,"--")</f>
        <v>0</v>
      </c>
      <c r="Q105" s="318">
        <f t="shared" ref="Q105:S105" si="84" ca="1">IFERROR(Q104/P104-1,"--")</f>
        <v>0</v>
      </c>
      <c r="R105" s="318">
        <f ca="1">IFERROR(R104/Q104-1,"--")</f>
      </c>
      <c r="S105" s="318">
        <f ca="1">IFERROR(S104/R104-1,"--")</f>
      </c>
      <c r="T105" s="306">
        <f ca="1">IFERROR(T104/O104-1,"--")</f>
        <v>0</v>
      </c>
      <c r="U105" s="318">
        <f ca="1">IFERROR(U104/S104-1,"--")</f>
        <v>0</v>
      </c>
      <c r="V105" s="318">
        <f t="shared" ref="V105:W105" si="85" ca="1">IFERROR(V104/U104-1,"--")</f>
        <v>0</v>
      </c>
      <c r="W105" s="318">
        <f ca="1">IFERROR(W104/V104-1,"--")</f>
      </c>
      <c r="X105" s="305">
        <f ca="1">IF(Case_Scenario="Bull",X106,IF(Case_Scenario="Base",X107,IF(Case_Scenario="bear",X108,"N/A")))</f>
        <v>0.05</v>
      </c>
      <c r="Y105" s="306"/>
      <c r="Z105" s="305">
        <f ca="1">IF(Case_Scenario="Bull",Z106,IF(Case_Scenario="Base",Z107,IF(Case_Scenario="bear",Z108,"N/A")))</f>
        <v>0.05</v>
      </c>
      <c r="AA105" s="305">
        <f ca="1">IF(Case_Scenario="Bull",AA106,IF(Case_Scenario="Base",AA107,IF(Case_Scenario="bear",AA108,"N/A")))</f>
        <v>0.05</v>
      </c>
      <c r="AB105" s="305">
        <f ca="1">IF(Case_Scenario="Bull",AB106,IF(Case_Scenario="Base",AB107,IF(Case_Scenario="bear",AB108,"N/A")))</f>
        <v>0.05</v>
      </c>
      <c r="AC105" s="305">
        <f ca="1">IF(Case_Scenario="Bull",AC106,IF(Case_Scenario="Base",AC107,IF(Case_Scenario="bear",AC108,"N/A")))</f>
        <v>0.05</v>
      </c>
      <c r="AD105" s="306"/>
      <c r="AE105" s="306">
        <f ca="1">IF(Case_Scenario="Bull",AE106,IF(Case_Scenario="Base",AE107,IF(Case_Scenario="bear",AE108,"N/A")))</f>
        <v>0.05</v>
      </c>
      <c r="AF105" s="306">
        <f ca="1">IF(Case_Scenario="Bull",AF106,IF(Case_Scenario="Base",AF107,IF(Case_Scenario="bear",AF108,"N/A")))</f>
        <v>0.05</v>
      </c>
      <c r="AG105" s="306">
        <f ca="1">IF(Case_Scenario="Bull",AG106,IF(Case_Scenario="Base",AG107,IF(Case_Scenario="bear",AG108,"N/A")))</f>
        <v>0.05</v>
      </c>
      <c r="AH105" s="16"/>
      <c r="AI105" s="16"/>
      <c r="AJ105" s="16"/>
    </row>
    <row r="106" ht="12.75" customHeight="1" hidden="1" spans="1:36" x14ac:dyDescent="0.25" outlineLevel="1" collapsed="1">
      <c r="A106" s="16"/>
      <c r="B106" s="16"/>
      <c r="C106" s="139" t="s">
        <v>251</v>
      </c>
      <c r="D106" s="16"/>
      <c r="E106" s="168"/>
      <c r="F106" s="319"/>
      <c r="G106" s="319"/>
      <c r="H106" s="319"/>
      <c r="I106" s="319"/>
      <c r="J106" s="168"/>
      <c r="K106" s="319"/>
      <c r="L106" s="319"/>
      <c r="M106" s="319"/>
      <c r="N106" s="319"/>
      <c r="O106" s="168"/>
      <c r="P106" s="319"/>
      <c r="Q106" s="319"/>
      <c r="R106" s="319"/>
      <c r="S106" s="319"/>
      <c r="T106" s="168"/>
      <c r="U106" s="319"/>
      <c r="V106" s="319"/>
      <c r="W106" s="319"/>
      <c r="X106" s="320">
        <v>0.1</v>
      </c>
      <c r="Y106" s="321"/>
      <c r="Z106" s="320">
        <v>0.1</v>
      </c>
      <c r="AA106" s="320">
        <v>0.1</v>
      </c>
      <c r="AB106" s="320">
        <v>0.1</v>
      </c>
      <c r="AC106" s="320">
        <v>0.1</v>
      </c>
      <c r="AD106" s="321"/>
      <c r="AE106" s="321">
        <v>0.1</v>
      </c>
      <c r="AF106" s="321">
        <v>0.1</v>
      </c>
      <c r="AG106" s="321">
        <v>0.1</v>
      </c>
      <c r="AH106" s="16"/>
      <c r="AI106" s="16"/>
      <c r="AJ106" s="16"/>
    </row>
    <row r="107" ht="12.75" customHeight="1" hidden="1" spans="1:36" x14ac:dyDescent="0.25" outlineLevel="1" collapsed="1">
      <c r="A107" s="16"/>
      <c r="B107" s="16"/>
      <c r="C107" s="139" t="s">
        <v>252</v>
      </c>
      <c r="D107" s="16"/>
      <c r="E107" s="168"/>
      <c r="F107" s="319"/>
      <c r="G107" s="319"/>
      <c r="H107" s="319"/>
      <c r="I107" s="319"/>
      <c r="J107" s="168"/>
      <c r="K107" s="319"/>
      <c r="L107" s="319"/>
      <c r="M107" s="319"/>
      <c r="N107" s="319"/>
      <c r="O107" s="168"/>
      <c r="P107" s="319"/>
      <c r="Q107" s="319"/>
      <c r="R107" s="319"/>
      <c r="S107" s="319"/>
      <c r="T107" s="168"/>
      <c r="U107" s="319"/>
      <c r="V107" s="319"/>
      <c r="W107" s="319"/>
      <c r="X107" s="320">
        <v>0.05</v>
      </c>
      <c r="Y107" s="321"/>
      <c r="Z107" s="320">
        <v>0.05</v>
      </c>
      <c r="AA107" s="320">
        <v>0.05</v>
      </c>
      <c r="AB107" s="320">
        <v>0.05</v>
      </c>
      <c r="AC107" s="320">
        <v>0.05</v>
      </c>
      <c r="AD107" s="321"/>
      <c r="AE107" s="321">
        <v>0.05</v>
      </c>
      <c r="AF107" s="321">
        <v>0.05</v>
      </c>
      <c r="AG107" s="321">
        <v>0.05</v>
      </c>
      <c r="AH107" s="16"/>
      <c r="AI107" s="16"/>
      <c r="AJ107" s="16"/>
    </row>
    <row r="108" ht="12.75" customHeight="1" hidden="1" spans="1:36" x14ac:dyDescent="0.25" outlineLevel="1" collapsed="1">
      <c r="A108" s="16"/>
      <c r="B108" s="16"/>
      <c r="C108" s="139" t="s">
        <v>253</v>
      </c>
      <c r="D108" s="16"/>
      <c r="E108" s="168"/>
      <c r="F108" s="319"/>
      <c r="G108" s="319"/>
      <c r="H108" s="319"/>
      <c r="I108" s="319"/>
      <c r="J108" s="168"/>
      <c r="K108" s="319"/>
      <c r="L108" s="319"/>
      <c r="M108" s="319"/>
      <c r="N108" s="319"/>
      <c r="O108" s="168"/>
      <c r="P108" s="319"/>
      <c r="Q108" s="319"/>
      <c r="R108" s="319"/>
      <c r="S108" s="319"/>
      <c r="T108" s="168"/>
      <c r="U108" s="319"/>
      <c r="V108" s="319"/>
      <c r="W108" s="319"/>
      <c r="X108" s="320">
        <v>0</v>
      </c>
      <c r="Y108" s="321"/>
      <c r="Z108" s="320">
        <v>0</v>
      </c>
      <c r="AA108" s="320">
        <v>0</v>
      </c>
      <c r="AB108" s="320">
        <v>0</v>
      </c>
      <c r="AC108" s="320">
        <v>0</v>
      </c>
      <c r="AD108" s="321"/>
      <c r="AE108" s="321">
        <v>0</v>
      </c>
      <c r="AF108" s="321">
        <v>0</v>
      </c>
      <c r="AG108" s="321">
        <v>0</v>
      </c>
      <c r="AH108" s="16"/>
      <c r="AI108" s="16"/>
      <c r="AJ108" s="16"/>
    </row>
    <row r="109" ht="12.75" customHeight="1" hidden="1" spans="1:36" x14ac:dyDescent="0.25" outlineLevel="1" collapsed="1">
      <c r="A109" s="16"/>
      <c r="B109" s="16"/>
      <c r="C109" s="139" t="s">
        <v>166</v>
      </c>
      <c r="D109" s="16"/>
      <c r="E109" s="168"/>
      <c r="F109" s="317">
        <f t="shared" ref="F109:W109" si="86" ca="1">IFERROR(F103/F104,"--")</f>
        <v>0</v>
      </c>
      <c r="G109" s="317">
        <f ca="1">IFERROR(G103/G104,"--")</f>
      </c>
      <c r="H109" s="317">
        <f ca="1">IFERROR(H103/H104,"--")</f>
      </c>
      <c r="I109" s="317">
        <f ca="1">IFERROR(I103/I104,"--")</f>
      </c>
      <c r="J109" s="287">
        <f ca="1">IFERROR(J103/J104,"--")</f>
      </c>
      <c r="K109" s="317">
        <f ca="1">IFERROR(K103/K104,"--")</f>
      </c>
      <c r="L109" s="317">
        <f ca="1">IFERROR(L103/L104,"--")</f>
      </c>
      <c r="M109" s="317">
        <f ca="1">IFERROR(M103/M104,"--")</f>
      </c>
      <c r="N109" s="317">
        <f ca="1">IFERROR(N103/N104,"--")</f>
      </c>
      <c r="O109" s="287">
        <f ca="1">IFERROR(O103/O104,"--")</f>
      </c>
      <c r="P109" s="317">
        <f ca="1">IFERROR(P103/P104,"--")</f>
      </c>
      <c r="Q109" s="317">
        <f ca="1">IFERROR(Q103/Q104,"--")</f>
      </c>
      <c r="R109" s="317">
        <f ca="1">IFERROR(R103/R104,"--")</f>
      </c>
      <c r="S109" s="317">
        <f ca="1">IFERROR(S103/S104,"--")</f>
      </c>
      <c r="T109" s="287">
        <f ca="1">IFERROR(T103/T104,"--")</f>
      </c>
      <c r="U109" s="317">
        <f ca="1">IFERROR(U103/U104,"--")</f>
      </c>
      <c r="V109" s="317">
        <f ca="1">IFERROR(V103/V104,"--")</f>
      </c>
      <c r="W109" s="317">
        <f ca="1">IFERROR(W103/W104,"--")</f>
      </c>
      <c r="X109" s="286">
        <f ca="1">W109*(1+X110)</f>
        <v>1e-12</v>
      </c>
      <c r="Y109" s="287">
        <f ca="1">Y103/Y104</f>
        <v>1e-12</v>
      </c>
      <c r="Z109" s="286">
        <f ca="1">X109*(1+Z110)</f>
        <v>1e-12</v>
      </c>
      <c r="AA109" s="286">
        <f t="shared" ref="AA109:AC109" si="87" ca="1">Z109*(1+AA110)</f>
        <v>1e-12</v>
      </c>
      <c r="AB109" s="286">
        <f ca="1">AA109*(1+AB110)</f>
        <v>1e-12</v>
      </c>
      <c r="AC109" s="286">
        <f ca="1">AB109*(1+AC110)</f>
        <v>1e-12</v>
      </c>
      <c r="AD109" s="287">
        <f ca="1">AD103/AD104</f>
        <v>1e-12</v>
      </c>
      <c r="AE109" s="287">
        <f t="shared" ref="AE109:AG109" si="88" ca="1">AD109*(1+AE110)</f>
        <v>1e-12</v>
      </c>
      <c r="AF109" s="287">
        <f ca="1">AE109*(1+AF110)</f>
        <v>1e-12</v>
      </c>
      <c r="AG109" s="287">
        <f ca="1">AF109*(1+AG110)</f>
        <v>1e-12</v>
      </c>
      <c r="AH109" s="16"/>
      <c r="AI109" s="16"/>
      <c r="AJ109" s="16"/>
    </row>
    <row r="110" ht="12.75" customHeight="1" hidden="1" spans="1:36" x14ac:dyDescent="0.25" outlineLevel="1" collapsed="1">
      <c r="A110" s="16"/>
      <c r="B110" s="16"/>
      <c r="C110" s="120" t="s">
        <v>257</v>
      </c>
      <c r="D110" s="16"/>
      <c r="E110" s="168"/>
      <c r="F110" s="319"/>
      <c r="G110" s="318" t="str">
        <f t="shared" ref="G110:I110" si="89" ca="1">IFERROR(G109/F109-1,"--")</f>
        <v>--</v>
      </c>
      <c r="H110" s="318" t="str">
        <f ca="1">IFERROR(H109/G109-1,"--")</f>
        <v>--</v>
      </c>
      <c r="I110" s="318" t="str">
        <f ca="1">IFERROR(I109/H109-1,"--")</f>
        <v>--</v>
      </c>
      <c r="J110" s="168"/>
      <c r="K110" s="318" t="str">
        <f ca="1">IFERROR(K109/I109-1,"--")</f>
        <v>--</v>
      </c>
      <c r="L110" s="318" t="str">
        <f t="shared" ref="L110:N110" si="90" ca="1">IFERROR(L109/K109-1,"--")</f>
        <v>--</v>
      </c>
      <c r="M110" s="318" t="str">
        <f ca="1">IFERROR(M109/L109-1,"--")</f>
        <v>--</v>
      </c>
      <c r="N110" s="318" t="str">
        <f ca="1">IFERROR(N109/M109-1,"--")</f>
        <v>--</v>
      </c>
      <c r="O110" s="306" t="str">
        <f ca="1">IFERROR(O109/J109-1,"--")</f>
        <v>--</v>
      </c>
      <c r="P110" s="318" t="str">
        <f ca="1">IFERROR(P109/N109-1,"--")</f>
        <v>--</v>
      </c>
      <c r="Q110" s="318" t="str">
        <f t="shared" ref="Q110:S110" si="91" ca="1">IFERROR(Q109/P109-1,"--")</f>
        <v>--</v>
      </c>
      <c r="R110" s="318" t="str">
        <f ca="1">IFERROR(R109/Q109-1,"--")</f>
        <v>--</v>
      </c>
      <c r="S110" s="318" t="str">
        <f ca="1">IFERROR(S109/R109-1,"--")</f>
        <v>--</v>
      </c>
      <c r="T110" s="306" t="str">
        <f ca="1">IFERROR(T109/O109-1,"--")</f>
        <v>--</v>
      </c>
      <c r="U110" s="318" t="str">
        <f ca="1">IFERROR(U109/S109-1,"--")</f>
        <v>--</v>
      </c>
      <c r="V110" s="318" t="str">
        <f t="shared" ref="V110:W110" si="92" ca="1">IFERROR(V109/U109-1,"--")</f>
        <v>--</v>
      </c>
      <c r="W110" s="318" t="str">
        <f ca="1">IFERROR(W109/V109-1,"--")</f>
        <v>--</v>
      </c>
      <c r="X110" s="305">
        <f ca="1">IF(Case_Scenario="Bull",X111,IF(Case_Scenario="Base",X112,IF(Case_Scenario="bear",X113,"N/A")))</f>
        <v>0.05</v>
      </c>
      <c r="Y110" s="306"/>
      <c r="Z110" s="305">
        <f ca="1">IF(Case_Scenario="Bull",Z111,IF(Case_Scenario="Base",Z112,IF(Case_Scenario="bear",Z113,"N/A")))</f>
        <v>0.05</v>
      </c>
      <c r="AA110" s="305">
        <f ca="1">IF(Case_Scenario="Bull",AA111,IF(Case_Scenario="Base",AA112,IF(Case_Scenario="bear",AA113,"N/A")))</f>
        <v>0.05</v>
      </c>
      <c r="AB110" s="305">
        <f ca="1">IF(Case_Scenario="Bull",AB111,IF(Case_Scenario="Base",AB112,IF(Case_Scenario="bear",AB113,"N/A")))</f>
        <v>0.05</v>
      </c>
      <c r="AC110" s="305">
        <f ca="1">IF(Case_Scenario="Bull",AC111,IF(Case_Scenario="Base",AC112,IF(Case_Scenario="bear",AC113,"N/A")))</f>
        <v>0.05</v>
      </c>
      <c r="AD110" s="306"/>
      <c r="AE110" s="306">
        <f ca="1">IF(Case_Scenario="Bull",AE111,IF(Case_Scenario="Base",AE112,IF(Case_Scenario="bear",AE113,"N/A")))</f>
        <v>0.05</v>
      </c>
      <c r="AF110" s="306">
        <f ca="1">IF(Case_Scenario="Bull",AF111,IF(Case_Scenario="Base",AF112,IF(Case_Scenario="bear",AF113,"N/A")))</f>
        <v>0.05</v>
      </c>
      <c r="AG110" s="306">
        <f ca="1">IF(Case_Scenario="Bull",AG111,IF(Case_Scenario="Base",AG112,IF(Case_Scenario="bear",AG113,"N/A")))</f>
        <v>0.05</v>
      </c>
      <c r="AH110" s="16"/>
      <c r="AI110" s="16"/>
      <c r="AJ110" s="16"/>
    </row>
    <row r="111" ht="12.75" customHeight="1" hidden="1" spans="1:36" x14ac:dyDescent="0.25" outlineLevel="1" collapsed="1">
      <c r="A111" s="16"/>
      <c r="B111" s="16"/>
      <c r="C111" s="139" t="s">
        <v>251</v>
      </c>
      <c r="D111" s="16"/>
      <c r="E111" s="168"/>
      <c r="F111" s="319"/>
      <c r="G111" s="319"/>
      <c r="H111" s="319"/>
      <c r="I111" s="319"/>
      <c r="J111" s="168"/>
      <c r="K111" s="319"/>
      <c r="L111" s="319"/>
      <c r="M111" s="319"/>
      <c r="N111" s="319"/>
      <c r="O111" s="168"/>
      <c r="P111" s="319"/>
      <c r="Q111" s="319"/>
      <c r="R111" s="319"/>
      <c r="S111" s="319"/>
      <c r="T111" s="168"/>
      <c r="U111" s="319"/>
      <c r="V111" s="319"/>
      <c r="W111" s="319"/>
      <c r="X111" s="320">
        <v>0.1</v>
      </c>
      <c r="Y111" s="321"/>
      <c r="Z111" s="320">
        <v>0.1</v>
      </c>
      <c r="AA111" s="320">
        <v>0.1</v>
      </c>
      <c r="AB111" s="320">
        <v>0.1</v>
      </c>
      <c r="AC111" s="320">
        <v>0.1</v>
      </c>
      <c r="AD111" s="321"/>
      <c r="AE111" s="321">
        <v>0.1</v>
      </c>
      <c r="AF111" s="321">
        <v>0.1</v>
      </c>
      <c r="AG111" s="321">
        <v>0.1</v>
      </c>
      <c r="AH111" s="16"/>
      <c r="AI111" s="16"/>
      <c r="AJ111" s="16"/>
    </row>
    <row r="112" ht="12.75" customHeight="1" hidden="1" spans="1:36" x14ac:dyDescent="0.25" outlineLevel="1" collapsed="1">
      <c r="A112" s="16"/>
      <c r="B112" s="16"/>
      <c r="C112" s="139" t="s">
        <v>252</v>
      </c>
      <c r="D112" s="16"/>
      <c r="E112" s="168"/>
      <c r="F112" s="319"/>
      <c r="G112" s="319"/>
      <c r="H112" s="319"/>
      <c r="I112" s="319"/>
      <c r="J112" s="168"/>
      <c r="K112" s="319"/>
      <c r="L112" s="319"/>
      <c r="M112" s="319"/>
      <c r="N112" s="319"/>
      <c r="O112" s="168"/>
      <c r="P112" s="319"/>
      <c r="Q112" s="319"/>
      <c r="R112" s="319"/>
      <c r="S112" s="319"/>
      <c r="T112" s="168"/>
      <c r="U112" s="319"/>
      <c r="V112" s="319"/>
      <c r="W112" s="319"/>
      <c r="X112" s="320">
        <v>0.05</v>
      </c>
      <c r="Y112" s="321"/>
      <c r="Z112" s="320">
        <v>0.05</v>
      </c>
      <c r="AA112" s="320">
        <v>0.05</v>
      </c>
      <c r="AB112" s="320">
        <v>0.05</v>
      </c>
      <c r="AC112" s="320">
        <v>0.05</v>
      </c>
      <c r="AD112" s="321"/>
      <c r="AE112" s="321">
        <v>0.05</v>
      </c>
      <c r="AF112" s="321">
        <v>0.05</v>
      </c>
      <c r="AG112" s="321">
        <v>0.05</v>
      </c>
      <c r="AH112" s="16"/>
      <c r="AI112" s="16"/>
      <c r="AJ112" s="16"/>
    </row>
    <row r="113" ht="12.75" customHeight="1" hidden="1" spans="1:36" x14ac:dyDescent="0.25" outlineLevel="1" collapsed="1">
      <c r="A113" s="16"/>
      <c r="B113" s="16"/>
      <c r="C113" s="139" t="s">
        <v>253</v>
      </c>
      <c r="D113" s="16"/>
      <c r="E113" s="168"/>
      <c r="F113" s="319"/>
      <c r="G113" s="319"/>
      <c r="H113" s="319"/>
      <c r="I113" s="319"/>
      <c r="J113" s="168"/>
      <c r="K113" s="319"/>
      <c r="L113" s="319"/>
      <c r="M113" s="319"/>
      <c r="N113" s="319"/>
      <c r="O113" s="168"/>
      <c r="P113" s="319"/>
      <c r="Q113" s="319"/>
      <c r="R113" s="319"/>
      <c r="S113" s="319"/>
      <c r="T113" s="168"/>
      <c r="U113" s="319"/>
      <c r="V113" s="319"/>
      <c r="W113" s="319"/>
      <c r="X113" s="320">
        <v>0</v>
      </c>
      <c r="Y113" s="321"/>
      <c r="Z113" s="320">
        <v>0</v>
      </c>
      <c r="AA113" s="320">
        <v>0</v>
      </c>
      <c r="AB113" s="320">
        <v>0</v>
      </c>
      <c r="AC113" s="320">
        <v>0</v>
      </c>
      <c r="AD113" s="321"/>
      <c r="AE113" s="321">
        <v>0</v>
      </c>
      <c r="AF113" s="321">
        <v>0</v>
      </c>
      <c r="AG113" s="321">
        <v>0</v>
      </c>
      <c r="AH113" s="16"/>
      <c r="AI113" s="16"/>
      <c r="AJ113" s="16"/>
    </row>
    <row r="114" ht="12.75" customHeight="1" hidden="1" spans="1:36" x14ac:dyDescent="0.25" outlineLevel="1" collapsed="1">
      <c r="A114" s="16"/>
      <c r="B114" s="16"/>
      <c r="C114" s="16"/>
      <c r="D114" s="16"/>
      <c r="E114" s="168"/>
      <c r="F114" s="319"/>
      <c r="G114" s="319"/>
      <c r="H114" s="319"/>
      <c r="I114" s="319"/>
      <c r="J114" s="168"/>
      <c r="K114" s="319"/>
      <c r="L114" s="319"/>
      <c r="M114" s="319"/>
      <c r="N114" s="319"/>
      <c r="O114" s="168"/>
      <c r="P114" s="319"/>
      <c r="Q114" s="319"/>
      <c r="R114" s="319"/>
      <c r="S114" s="319"/>
      <c r="T114" s="168"/>
      <c r="U114" s="319"/>
      <c r="V114" s="319"/>
      <c r="W114" s="319"/>
      <c r="X114" s="322"/>
      <c r="Y114" s="168"/>
      <c r="Z114" s="322"/>
      <c r="AA114" s="322"/>
      <c r="AB114" s="322"/>
      <c r="AC114" s="322"/>
      <c r="AD114" s="168"/>
      <c r="AE114" s="168"/>
      <c r="AF114" s="168"/>
      <c r="AG114" s="168"/>
      <c r="AH114" s="16"/>
      <c r="AI114" s="16"/>
      <c r="AJ114" s="16"/>
    </row>
    <row r="115" ht="12.75" customHeight="1" hidden="1" spans="1:36" x14ac:dyDescent="0.25" outlineLevel="1" collapsed="1">
      <c r="A115" s="264" t="s">
        <v>1</v>
      </c>
      <c r="B115" s="16"/>
      <c r="C115" s="139" t="str">
        <f ca="1">C38</f>
        <v>Segment 3 Revenue</v>
      </c>
      <c r="D115" s="16"/>
      <c r="E115" s="168"/>
      <c r="F115" s="317">
        <f t="shared" ref="F115:W115" si="93" ca="1">F38</f>
        <v>1e-12</v>
      </c>
      <c r="G115" s="317">
        <f ca="1">G38</f>
        <v>1e-12</v>
      </c>
      <c r="H115" s="317">
        <f ca="1">H38</f>
        <v>1e-12</v>
      </c>
      <c r="I115" s="317">
        <f ca="1">I38</f>
        <v>1e-12</v>
      </c>
      <c r="J115" s="287">
        <f ca="1">J38</f>
        <v>1e-12</v>
      </c>
      <c r="K115" s="317">
        <f ca="1">K38</f>
        <v>1e-12</v>
      </c>
      <c r="L115" s="317">
        <f ca="1">L38</f>
        <v>1e-12</v>
      </c>
      <c r="M115" s="317">
        <f ca="1">M38</f>
        <v>1e-12</v>
      </c>
      <c r="N115" s="317">
        <f ca="1">N38</f>
        <v>1e-12</v>
      </c>
      <c r="O115" s="287">
        <f ca="1">O38</f>
        <v>1e-12</v>
      </c>
      <c r="P115" s="317">
        <f ca="1">P38</f>
        <v>1e-12</v>
      </c>
      <c r="Q115" s="317">
        <f ca="1">Q38</f>
        <v>1e-12</v>
      </c>
      <c r="R115" s="317">
        <f ca="1">R38</f>
        <v>1e-12</v>
      </c>
      <c r="S115" s="317">
        <f ca="1">S38</f>
        <v>1e-12</v>
      </c>
      <c r="T115" s="287">
        <f ca="1">T38</f>
        <v>1e-12</v>
      </c>
      <c r="U115" s="317">
        <f ca="1">U38</f>
        <v>1e-12</v>
      </c>
      <c r="V115" s="317">
        <f ca="1">V38</f>
        <v>1e-12</v>
      </c>
      <c r="W115" s="317">
        <f ca="1">W38</f>
        <v>1e-12</v>
      </c>
      <c r="X115" s="286">
        <f ca="1">X116*X121</f>
        <v>1e-12</v>
      </c>
      <c r="Y115" s="287">
        <f t="shared" ref="Y115:Y116" si="94" ca="1">SUM(U115:X115)</f>
        <v>1e-12</v>
      </c>
      <c r="Z115" s="286">
        <f t="shared" ref="Z115:AC115" si="95" ca="1">Z116*Z121</f>
        <v>1e-12</v>
      </c>
      <c r="AA115" s="286">
        <f ca="1">AA116*AA121</f>
        <v>1e-12</v>
      </c>
      <c r="AB115" s="286">
        <f ca="1">AB116*AB121</f>
        <v>1e-12</v>
      </c>
      <c r="AC115" s="286">
        <f ca="1">AC116*AC121</f>
        <v>1e-12</v>
      </c>
      <c r="AD115" s="287">
        <f t="shared" ref="AD115:AD116" si="96" ca="1">SUM(Z115:AC115)</f>
        <v>1e-12</v>
      </c>
      <c r="AE115" s="287">
        <f t="shared" ref="AE115:AG115" si="97" ca="1">AE116*AE121</f>
        <v>1e-12</v>
      </c>
      <c r="AF115" s="287">
        <f ca="1">AF116*AF121</f>
        <v>1e-12</v>
      </c>
      <c r="AG115" s="287">
        <f ca="1">AG116*AG121</f>
        <v>1e-12</v>
      </c>
      <c r="AH115" s="16"/>
      <c r="AI115" s="16"/>
      <c r="AJ115" s="16"/>
    </row>
    <row r="116" ht="12.75" customHeight="1" hidden="1" spans="1:36" x14ac:dyDescent="0.25" outlineLevel="1" collapsed="1">
      <c r="A116" s="16"/>
      <c r="B116" s="16"/>
      <c r="C116" s="139" t="s">
        <v>255</v>
      </c>
      <c r="D116" s="16"/>
      <c r="E116" s="168"/>
      <c r="F116" s="325">
        <v>220</v>
      </c>
      <c r="G116" s="325">
        <v>220</v>
      </c>
      <c r="H116" s="325">
        <v>220</v>
      </c>
      <c r="I116" s="325">
        <v>220</v>
      </c>
      <c r="J116" s="326">
        <f ca="1">SUM(F116:I116)</f>
        <v>880</v>
      </c>
      <c r="K116" s="325">
        <v>220</v>
      </c>
      <c r="L116" s="325">
        <v>220</v>
      </c>
      <c r="M116" s="325">
        <v>220</v>
      </c>
      <c r="N116" s="325">
        <v>220</v>
      </c>
      <c r="O116" s="326">
        <f ca="1">SUM(K116:N116)</f>
        <v>880</v>
      </c>
      <c r="P116" s="325">
        <v>220</v>
      </c>
      <c r="Q116" s="325">
        <v>220</v>
      </c>
      <c r="R116" s="325">
        <v>220</v>
      </c>
      <c r="S116" s="325">
        <v>220</v>
      </c>
      <c r="T116" s="326">
        <f ca="1">SUM(P116:S116)</f>
        <v>880</v>
      </c>
      <c r="U116" s="325">
        <v>220</v>
      </c>
      <c r="V116" s="325">
        <v>220</v>
      </c>
      <c r="W116" s="325">
        <v>220</v>
      </c>
      <c r="X116" s="327">
        <f ca="1">W116*(1+X117)</f>
        <v>231</v>
      </c>
      <c r="Y116" s="326">
        <f ca="1">SUM(U116:X116)</f>
        <v>891</v>
      </c>
      <c r="Z116" s="327">
        <f ca="1">X116*(1+Z117)</f>
        <v>242.55</v>
      </c>
      <c r="AA116" s="327">
        <f t="shared" ref="AA116:AC116" si="98" ca="1">Z116*(1+AA117)</f>
        <v>254.6775</v>
      </c>
      <c r="AB116" s="327">
        <f ca="1">AA116*(1+AB117)</f>
        <v>267.411375</v>
      </c>
      <c r="AC116" s="327">
        <f ca="1">AB116*(1+AC117)</f>
        <v>280.78194375000004</v>
      </c>
      <c r="AD116" s="326">
        <f ca="1">SUM(Z116:AC116)</f>
        <v>1045.42081875</v>
      </c>
      <c r="AE116" s="326">
        <f t="shared" ref="AE116:AG116" si="99" ca="1">AD116*(1+AE117)</f>
        <v>1097.6918596875</v>
      </c>
      <c r="AF116" s="326">
        <f ca="1">AE116*(1+AF117)</f>
        <v>1152.5764526718751</v>
      </c>
      <c r="AG116" s="326">
        <f ca="1">AF116*(1+AG117)</f>
        <v>1210.2052753054688</v>
      </c>
      <c r="AH116" s="16"/>
      <c r="AI116" s="16"/>
      <c r="AJ116" s="16"/>
    </row>
    <row r="117" ht="12.75" customHeight="1" hidden="1" spans="1:36" x14ac:dyDescent="0.25" outlineLevel="1" collapsed="1">
      <c r="A117" s="16"/>
      <c r="B117" s="16"/>
      <c r="C117" s="120" t="s">
        <v>256</v>
      </c>
      <c r="D117" s="16"/>
      <c r="E117" s="168"/>
      <c r="F117" s="319"/>
      <c r="G117" s="318">
        <f t="shared" ref="G117:I117" si="100" ca="1">IFERROR(G116/F116-1,"--")</f>
        <v>0</v>
      </c>
      <c r="H117" s="318">
        <f ca="1">IFERROR(H116/G116-1,"--")</f>
      </c>
      <c r="I117" s="318">
        <f ca="1">IFERROR(I116/H116-1,"--")</f>
      </c>
      <c r="J117" s="168"/>
      <c r="K117" s="318">
        <f ca="1">IFERROR(K116/I116-1,"--")</f>
        <v>0</v>
      </c>
      <c r="L117" s="318">
        <f t="shared" ref="L117:N117" si="101" ca="1">IFERROR(L116/K116-1,"--")</f>
        <v>0</v>
      </c>
      <c r="M117" s="318">
        <f ca="1">IFERROR(M116/L116-1,"--")</f>
      </c>
      <c r="N117" s="318">
        <f ca="1">IFERROR(N116/M116-1,"--")</f>
      </c>
      <c r="O117" s="306">
        <f ca="1">IFERROR(O116/J116-1,"--")</f>
        <v>0</v>
      </c>
      <c r="P117" s="318">
        <f ca="1">IFERROR(P116/N116-1,"--")</f>
        <v>0</v>
      </c>
      <c r="Q117" s="318">
        <f t="shared" ref="Q117:S117" si="102" ca="1">IFERROR(Q116/P116-1,"--")</f>
        <v>0</v>
      </c>
      <c r="R117" s="318">
        <f ca="1">IFERROR(R116/Q116-1,"--")</f>
      </c>
      <c r="S117" s="318">
        <f ca="1">IFERROR(S116/R116-1,"--")</f>
      </c>
      <c r="T117" s="306">
        <f ca="1">IFERROR(T116/O116-1,"--")</f>
        <v>0</v>
      </c>
      <c r="U117" s="318">
        <f ca="1">IFERROR(U116/S116-1,"--")</f>
        <v>0</v>
      </c>
      <c r="V117" s="318">
        <f t="shared" ref="V117:W117" si="103" ca="1">IFERROR(V116/U116-1,"--")</f>
        <v>0</v>
      </c>
      <c r="W117" s="318">
        <f ca="1">IFERROR(W116/V116-1,"--")</f>
      </c>
      <c r="X117" s="305">
        <f ca="1">IF(Case_Scenario="Bull",X118,IF(Case_Scenario="Base",X119,IF(Case_Scenario="bear",X120,"N/A")))</f>
        <v>0.05</v>
      </c>
      <c r="Y117" s="306"/>
      <c r="Z117" s="305">
        <f ca="1">IF(Case_Scenario="Bull",Z118,IF(Case_Scenario="Base",Z119,IF(Case_Scenario="bear",Z120,"N/A")))</f>
        <v>0.05</v>
      </c>
      <c r="AA117" s="305">
        <f ca="1">IF(Case_Scenario="Bull",AA118,IF(Case_Scenario="Base",AA119,IF(Case_Scenario="bear",AA120,"N/A")))</f>
        <v>0.05</v>
      </c>
      <c r="AB117" s="305">
        <f ca="1">IF(Case_Scenario="Bull",AB118,IF(Case_Scenario="Base",AB119,IF(Case_Scenario="bear",AB120,"N/A")))</f>
        <v>0.05</v>
      </c>
      <c r="AC117" s="305">
        <f ca="1">IF(Case_Scenario="Bull",AC118,IF(Case_Scenario="Base",AC119,IF(Case_Scenario="bear",AC120,"N/A")))</f>
        <v>0.05</v>
      </c>
      <c r="AD117" s="306"/>
      <c r="AE117" s="306">
        <f ca="1">IF(Case_Scenario="Bull",AE118,IF(Case_Scenario="Base",AE119,IF(Case_Scenario="bear",AE120,"N/A")))</f>
        <v>0.05</v>
      </c>
      <c r="AF117" s="306">
        <f ca="1">IF(Case_Scenario="Bull",AF118,IF(Case_Scenario="Base",AF119,IF(Case_Scenario="bear",AF120,"N/A")))</f>
        <v>0.05</v>
      </c>
      <c r="AG117" s="306">
        <f ca="1">IF(Case_Scenario="Bull",AG118,IF(Case_Scenario="Base",AG119,IF(Case_Scenario="bear",AG120,"N/A")))</f>
        <v>0.05</v>
      </c>
      <c r="AH117" s="16"/>
      <c r="AI117" s="16"/>
      <c r="AJ117" s="16"/>
    </row>
    <row r="118" ht="12.75" customHeight="1" hidden="1" spans="1:36" x14ac:dyDescent="0.25" outlineLevel="1" collapsed="1">
      <c r="A118" s="16"/>
      <c r="B118" s="16"/>
      <c r="C118" s="139" t="s">
        <v>251</v>
      </c>
      <c r="D118" s="16"/>
      <c r="E118" s="168"/>
      <c r="F118" s="319"/>
      <c r="G118" s="319"/>
      <c r="H118" s="319"/>
      <c r="I118" s="319"/>
      <c r="J118" s="168"/>
      <c r="K118" s="319"/>
      <c r="L118" s="319"/>
      <c r="M118" s="319"/>
      <c r="N118" s="319"/>
      <c r="O118" s="168"/>
      <c r="P118" s="319"/>
      <c r="Q118" s="319"/>
      <c r="R118" s="319"/>
      <c r="S118" s="319"/>
      <c r="T118" s="168"/>
      <c r="U118" s="319"/>
      <c r="V118" s="319"/>
      <c r="W118" s="319"/>
      <c r="X118" s="320">
        <v>0.1</v>
      </c>
      <c r="Y118" s="321"/>
      <c r="Z118" s="320">
        <v>0.1</v>
      </c>
      <c r="AA118" s="320">
        <v>0.1</v>
      </c>
      <c r="AB118" s="320">
        <v>0.1</v>
      </c>
      <c r="AC118" s="320">
        <v>0.1</v>
      </c>
      <c r="AD118" s="321"/>
      <c r="AE118" s="321">
        <v>0.1</v>
      </c>
      <c r="AF118" s="321">
        <v>0.1</v>
      </c>
      <c r="AG118" s="321">
        <v>0.1</v>
      </c>
      <c r="AH118" s="16"/>
      <c r="AI118" s="16"/>
      <c r="AJ118" s="16"/>
    </row>
    <row r="119" ht="12.75" customHeight="1" hidden="1" spans="1:36" x14ac:dyDescent="0.25" outlineLevel="1" collapsed="1">
      <c r="A119" s="16"/>
      <c r="B119" s="16"/>
      <c r="C119" s="139" t="s">
        <v>252</v>
      </c>
      <c r="D119" s="16"/>
      <c r="E119" s="168"/>
      <c r="F119" s="319"/>
      <c r="G119" s="319"/>
      <c r="H119" s="319"/>
      <c r="I119" s="319"/>
      <c r="J119" s="168"/>
      <c r="K119" s="319"/>
      <c r="L119" s="319"/>
      <c r="M119" s="319"/>
      <c r="N119" s="319"/>
      <c r="O119" s="168"/>
      <c r="P119" s="319"/>
      <c r="Q119" s="319"/>
      <c r="R119" s="319"/>
      <c r="S119" s="319"/>
      <c r="T119" s="168"/>
      <c r="U119" s="319"/>
      <c r="V119" s="319"/>
      <c r="W119" s="319"/>
      <c r="X119" s="320">
        <v>0.05</v>
      </c>
      <c r="Y119" s="321"/>
      <c r="Z119" s="320">
        <v>0.05</v>
      </c>
      <c r="AA119" s="320">
        <v>0.05</v>
      </c>
      <c r="AB119" s="320">
        <v>0.05</v>
      </c>
      <c r="AC119" s="320">
        <v>0.05</v>
      </c>
      <c r="AD119" s="321"/>
      <c r="AE119" s="321">
        <v>0.05</v>
      </c>
      <c r="AF119" s="321">
        <v>0.05</v>
      </c>
      <c r="AG119" s="321">
        <v>0.05</v>
      </c>
      <c r="AH119" s="16"/>
      <c r="AI119" s="16"/>
      <c r="AJ119" s="16"/>
    </row>
    <row r="120" ht="12.75" customHeight="1" hidden="1" spans="1:36" x14ac:dyDescent="0.25" outlineLevel="1" collapsed="1">
      <c r="A120" s="16"/>
      <c r="B120" s="16"/>
      <c r="C120" s="139" t="s">
        <v>253</v>
      </c>
      <c r="D120" s="16"/>
      <c r="E120" s="168"/>
      <c r="F120" s="319"/>
      <c r="G120" s="319"/>
      <c r="H120" s="319"/>
      <c r="I120" s="319"/>
      <c r="J120" s="168"/>
      <c r="K120" s="319"/>
      <c r="L120" s="319"/>
      <c r="M120" s="319"/>
      <c r="N120" s="319"/>
      <c r="O120" s="168"/>
      <c r="P120" s="319"/>
      <c r="Q120" s="319"/>
      <c r="R120" s="319"/>
      <c r="S120" s="319"/>
      <c r="T120" s="168"/>
      <c r="U120" s="319"/>
      <c r="V120" s="319"/>
      <c r="W120" s="319"/>
      <c r="X120" s="320">
        <v>0</v>
      </c>
      <c r="Y120" s="321"/>
      <c r="Z120" s="320">
        <v>0</v>
      </c>
      <c r="AA120" s="320">
        <v>0</v>
      </c>
      <c r="AB120" s="320">
        <v>0</v>
      </c>
      <c r="AC120" s="320">
        <v>0</v>
      </c>
      <c r="AD120" s="321"/>
      <c r="AE120" s="321">
        <v>0</v>
      </c>
      <c r="AF120" s="321">
        <v>0</v>
      </c>
      <c r="AG120" s="321">
        <v>0</v>
      </c>
      <c r="AH120" s="16"/>
      <c r="AI120" s="16"/>
      <c r="AJ120" s="16"/>
    </row>
    <row r="121" ht="12.75" customHeight="1" hidden="1" spans="1:36" x14ac:dyDescent="0.25" outlineLevel="1" collapsed="1">
      <c r="A121" s="16"/>
      <c r="B121" s="16"/>
      <c r="C121" s="139" t="s">
        <v>166</v>
      </c>
      <c r="D121" s="16"/>
      <c r="E121" s="168"/>
      <c r="F121" s="317">
        <f t="shared" ref="F121:W121" si="104" ca="1">IFERROR(F115/F116,"--")</f>
        <v>0</v>
      </c>
      <c r="G121" s="317">
        <f ca="1">IFERROR(G115/G116,"--")</f>
      </c>
      <c r="H121" s="317">
        <f ca="1">IFERROR(H115/H116,"--")</f>
      </c>
      <c r="I121" s="317">
        <f ca="1">IFERROR(I115/I116,"--")</f>
      </c>
      <c r="J121" s="287">
        <f ca="1">IFERROR(J115/J116,"--")</f>
      </c>
      <c r="K121" s="317">
        <f ca="1">IFERROR(K115/K116,"--")</f>
      </c>
      <c r="L121" s="317">
        <f ca="1">IFERROR(L115/L116,"--")</f>
      </c>
      <c r="M121" s="317">
        <f ca="1">IFERROR(M115/M116,"--")</f>
      </c>
      <c r="N121" s="317">
        <f ca="1">IFERROR(N115/N116,"--")</f>
      </c>
      <c r="O121" s="287">
        <f ca="1">IFERROR(O115/O116,"--")</f>
      </c>
      <c r="P121" s="317">
        <f ca="1">IFERROR(P115/P116,"--")</f>
      </c>
      <c r="Q121" s="317">
        <f ca="1">IFERROR(Q115/Q116,"--")</f>
      </c>
      <c r="R121" s="317">
        <f ca="1">IFERROR(R115/R116,"--")</f>
      </c>
      <c r="S121" s="317">
        <f ca="1">IFERROR(S115/S116,"--")</f>
      </c>
      <c r="T121" s="287">
        <f ca="1">IFERROR(T115/T116,"--")</f>
      </c>
      <c r="U121" s="317">
        <f ca="1">IFERROR(U115/U116,"--")</f>
      </c>
      <c r="V121" s="317">
        <f ca="1">IFERROR(V115/V116,"--")</f>
      </c>
      <c r="W121" s="317">
        <f ca="1">IFERROR(W115/W116,"--")</f>
      </c>
      <c r="X121" s="286">
        <f ca="1">W121*(1+X122)</f>
        <v>1e-12</v>
      </c>
      <c r="Y121" s="287">
        <f ca="1">Y115/Y116</f>
        <v>1e-12</v>
      </c>
      <c r="Z121" s="286">
        <f ca="1">X121*(1+Z122)</f>
        <v>1e-12</v>
      </c>
      <c r="AA121" s="286">
        <f t="shared" ref="AA121:AC121" si="105" ca="1">Z121*(1+AA122)</f>
        <v>1e-12</v>
      </c>
      <c r="AB121" s="286">
        <f ca="1">AA121*(1+AB122)</f>
        <v>1e-12</v>
      </c>
      <c r="AC121" s="286">
        <f ca="1">AB121*(1+AC122)</f>
        <v>1e-12</v>
      </c>
      <c r="AD121" s="287">
        <f ca="1">AD115/AD116</f>
        <v>1e-12</v>
      </c>
      <c r="AE121" s="287">
        <f t="shared" ref="AE121:AG121" si="106" ca="1">AD121*(1+AE122)</f>
        <v>1e-12</v>
      </c>
      <c r="AF121" s="287">
        <f ca="1">AE121*(1+AF122)</f>
        <v>1e-12</v>
      </c>
      <c r="AG121" s="287">
        <f ca="1">AF121*(1+AG122)</f>
        <v>1e-12</v>
      </c>
      <c r="AH121" s="16"/>
      <c r="AI121" s="16"/>
      <c r="AJ121" s="16"/>
    </row>
    <row r="122" ht="12.75" customHeight="1" hidden="1" spans="1:36" x14ac:dyDescent="0.25" outlineLevel="1" collapsed="1">
      <c r="A122" s="16"/>
      <c r="B122" s="16"/>
      <c r="C122" s="120" t="s">
        <v>257</v>
      </c>
      <c r="D122" s="16"/>
      <c r="E122" s="168"/>
      <c r="F122" s="319"/>
      <c r="G122" s="318" t="str">
        <f t="shared" ref="G122:I122" si="107" ca="1">IFERROR(G121/F121-1,"--")</f>
        <v>--</v>
      </c>
      <c r="H122" s="318" t="str">
        <f ca="1">IFERROR(H121/G121-1,"--")</f>
        <v>--</v>
      </c>
      <c r="I122" s="318" t="str">
        <f ca="1">IFERROR(I121/H121-1,"--")</f>
        <v>--</v>
      </c>
      <c r="J122" s="168"/>
      <c r="K122" s="318" t="str">
        <f ca="1">IFERROR(K121/I121-1,"--")</f>
        <v>--</v>
      </c>
      <c r="L122" s="318" t="str">
        <f t="shared" ref="L122:N122" si="108" ca="1">IFERROR(L121/K121-1,"--")</f>
        <v>--</v>
      </c>
      <c r="M122" s="318" t="str">
        <f ca="1">IFERROR(M121/L121-1,"--")</f>
        <v>--</v>
      </c>
      <c r="N122" s="318" t="str">
        <f ca="1">IFERROR(N121/M121-1,"--")</f>
        <v>--</v>
      </c>
      <c r="O122" s="306" t="str">
        <f ca="1">IFERROR(O121/J121-1,"--")</f>
        <v>--</v>
      </c>
      <c r="P122" s="318" t="str">
        <f ca="1">IFERROR(P121/N121-1,"--")</f>
        <v>--</v>
      </c>
      <c r="Q122" s="318" t="str">
        <f t="shared" ref="Q122:S122" si="109" ca="1">IFERROR(Q121/P121-1,"--")</f>
        <v>--</v>
      </c>
      <c r="R122" s="318" t="str">
        <f ca="1">IFERROR(R121/Q121-1,"--")</f>
        <v>--</v>
      </c>
      <c r="S122" s="318" t="str">
        <f ca="1">IFERROR(S121/R121-1,"--")</f>
        <v>--</v>
      </c>
      <c r="T122" s="306" t="str">
        <f ca="1">IFERROR(T121/O121-1,"--")</f>
        <v>--</v>
      </c>
      <c r="U122" s="318" t="str">
        <f ca="1">IFERROR(U121/S121-1,"--")</f>
        <v>--</v>
      </c>
      <c r="V122" s="318" t="str">
        <f t="shared" ref="V122:W122" si="110" ca="1">IFERROR(V121/U121-1,"--")</f>
        <v>--</v>
      </c>
      <c r="W122" s="318" t="str">
        <f ca="1">IFERROR(W121/V121-1,"--")</f>
        <v>--</v>
      </c>
      <c r="X122" s="305">
        <f ca="1">IF(Case_Scenario="Bull",X123,IF(Case_Scenario="Base",X124,IF(Case_Scenario="bear",X125,"N/A")))</f>
        <v>0.05</v>
      </c>
      <c r="Y122" s="306"/>
      <c r="Z122" s="305">
        <f ca="1">IF(Case_Scenario="Bull",Z123,IF(Case_Scenario="Base",Z124,IF(Case_Scenario="bear",Z125,"N/A")))</f>
        <v>0.05</v>
      </c>
      <c r="AA122" s="305">
        <f ca="1">IF(Case_Scenario="Bull",AA123,IF(Case_Scenario="Base",AA124,IF(Case_Scenario="bear",AA125,"N/A")))</f>
        <v>0.05</v>
      </c>
      <c r="AB122" s="305">
        <f ca="1">IF(Case_Scenario="Bull",AB123,IF(Case_Scenario="Base",AB124,IF(Case_Scenario="bear",AB125,"N/A")))</f>
        <v>0.05</v>
      </c>
      <c r="AC122" s="305">
        <f ca="1">IF(Case_Scenario="Bull",AC123,IF(Case_Scenario="Base",AC124,IF(Case_Scenario="bear",AC125,"N/A")))</f>
        <v>0.05</v>
      </c>
      <c r="AD122" s="306"/>
      <c r="AE122" s="306">
        <f ca="1">IF(Case_Scenario="Bull",AE123,IF(Case_Scenario="Base",AE124,IF(Case_Scenario="bear",AE125,"N/A")))</f>
        <v>0.05</v>
      </c>
      <c r="AF122" s="306">
        <f ca="1">IF(Case_Scenario="Bull",AF123,IF(Case_Scenario="Base",AF124,IF(Case_Scenario="bear",AF125,"N/A")))</f>
        <v>0.05</v>
      </c>
      <c r="AG122" s="306">
        <f ca="1">IF(Case_Scenario="Bull",AG123,IF(Case_Scenario="Base",AG124,IF(Case_Scenario="bear",AG125,"N/A")))</f>
        <v>0.05</v>
      </c>
      <c r="AH122" s="16"/>
      <c r="AI122" s="16"/>
      <c r="AJ122" s="16"/>
    </row>
    <row r="123" ht="12.75" customHeight="1" hidden="1" spans="1:36" x14ac:dyDescent="0.25" outlineLevel="1" collapsed="1">
      <c r="A123" s="16"/>
      <c r="B123" s="16"/>
      <c r="C123" s="139" t="s">
        <v>251</v>
      </c>
      <c r="D123" s="16"/>
      <c r="E123" s="168"/>
      <c r="F123" s="319"/>
      <c r="G123" s="319"/>
      <c r="H123" s="319"/>
      <c r="I123" s="319"/>
      <c r="J123" s="168"/>
      <c r="K123" s="319"/>
      <c r="L123" s="319"/>
      <c r="M123" s="319"/>
      <c r="N123" s="319"/>
      <c r="O123" s="168"/>
      <c r="P123" s="319"/>
      <c r="Q123" s="319"/>
      <c r="R123" s="319"/>
      <c r="S123" s="319"/>
      <c r="T123" s="168"/>
      <c r="U123" s="319"/>
      <c r="V123" s="319"/>
      <c r="W123" s="319"/>
      <c r="X123" s="320">
        <v>0.1</v>
      </c>
      <c r="Y123" s="321"/>
      <c r="Z123" s="320">
        <v>0.1</v>
      </c>
      <c r="AA123" s="320">
        <v>0.1</v>
      </c>
      <c r="AB123" s="320">
        <v>0.1</v>
      </c>
      <c r="AC123" s="320">
        <v>0.1</v>
      </c>
      <c r="AD123" s="321"/>
      <c r="AE123" s="321">
        <v>0.1</v>
      </c>
      <c r="AF123" s="321">
        <v>0.1</v>
      </c>
      <c r="AG123" s="321">
        <v>0.1</v>
      </c>
      <c r="AH123" s="16"/>
      <c r="AI123" s="16"/>
      <c r="AJ123" s="16"/>
    </row>
    <row r="124" ht="12.75" customHeight="1" hidden="1" spans="1:36" x14ac:dyDescent="0.25" outlineLevel="1" collapsed="1">
      <c r="A124" s="16"/>
      <c r="B124" s="16"/>
      <c r="C124" s="139" t="s">
        <v>252</v>
      </c>
      <c r="D124" s="16"/>
      <c r="E124" s="168"/>
      <c r="F124" s="319"/>
      <c r="G124" s="319"/>
      <c r="H124" s="319"/>
      <c r="I124" s="319"/>
      <c r="J124" s="168"/>
      <c r="K124" s="319"/>
      <c r="L124" s="319"/>
      <c r="M124" s="319"/>
      <c r="N124" s="319"/>
      <c r="O124" s="168"/>
      <c r="P124" s="319"/>
      <c r="Q124" s="319"/>
      <c r="R124" s="319"/>
      <c r="S124" s="319"/>
      <c r="T124" s="168"/>
      <c r="U124" s="319"/>
      <c r="V124" s="319"/>
      <c r="W124" s="319"/>
      <c r="X124" s="320">
        <v>0.05</v>
      </c>
      <c r="Y124" s="321"/>
      <c r="Z124" s="320">
        <v>0.05</v>
      </c>
      <c r="AA124" s="320">
        <v>0.05</v>
      </c>
      <c r="AB124" s="320">
        <v>0.05</v>
      </c>
      <c r="AC124" s="320">
        <v>0.05</v>
      </c>
      <c r="AD124" s="321"/>
      <c r="AE124" s="321">
        <v>0.05</v>
      </c>
      <c r="AF124" s="321">
        <v>0.05</v>
      </c>
      <c r="AG124" s="321">
        <v>0.05</v>
      </c>
      <c r="AH124" s="16"/>
      <c r="AI124" s="16"/>
      <c r="AJ124" s="16"/>
    </row>
    <row r="125" ht="12.75" customHeight="1" hidden="1" spans="1:36" x14ac:dyDescent="0.25" outlineLevel="1" collapsed="1">
      <c r="A125" s="16"/>
      <c r="B125" s="16"/>
      <c r="C125" s="139" t="s">
        <v>253</v>
      </c>
      <c r="D125" s="16"/>
      <c r="E125" s="168"/>
      <c r="F125" s="319"/>
      <c r="G125" s="319"/>
      <c r="H125" s="319"/>
      <c r="I125" s="319"/>
      <c r="J125" s="168"/>
      <c r="K125" s="319"/>
      <c r="L125" s="319"/>
      <c r="M125" s="319"/>
      <c r="N125" s="319"/>
      <c r="O125" s="168"/>
      <c r="P125" s="319"/>
      <c r="Q125" s="319"/>
      <c r="R125" s="319"/>
      <c r="S125" s="319"/>
      <c r="T125" s="168"/>
      <c r="U125" s="319"/>
      <c r="V125" s="319"/>
      <c r="W125" s="319"/>
      <c r="X125" s="320">
        <v>0</v>
      </c>
      <c r="Y125" s="321"/>
      <c r="Z125" s="320">
        <v>0</v>
      </c>
      <c r="AA125" s="320">
        <v>0</v>
      </c>
      <c r="AB125" s="320">
        <v>0</v>
      </c>
      <c r="AC125" s="320">
        <v>0</v>
      </c>
      <c r="AD125" s="321"/>
      <c r="AE125" s="321">
        <v>0</v>
      </c>
      <c r="AF125" s="321">
        <v>0</v>
      </c>
      <c r="AG125" s="321">
        <v>0</v>
      </c>
      <c r="AH125" s="16"/>
      <c r="AI125" s="16"/>
      <c r="AJ125" s="16"/>
    </row>
    <row r="126" ht="12.75" customHeight="1" hidden="1" spans="1:36" x14ac:dyDescent="0.25" outlineLevel="1" collapsed="1">
      <c r="A126" s="16"/>
      <c r="B126" s="16"/>
      <c r="C126" s="139"/>
      <c r="D126" s="16"/>
      <c r="E126" s="168"/>
      <c r="F126" s="319"/>
      <c r="G126" s="319"/>
      <c r="H126" s="319"/>
      <c r="I126" s="319"/>
      <c r="J126" s="168"/>
      <c r="K126" s="319"/>
      <c r="L126" s="319"/>
      <c r="M126" s="319"/>
      <c r="N126" s="319"/>
      <c r="O126" s="168"/>
      <c r="P126" s="319"/>
      <c r="Q126" s="319"/>
      <c r="R126" s="319"/>
      <c r="S126" s="319"/>
      <c r="T126" s="168"/>
      <c r="U126" s="319"/>
      <c r="V126" s="319"/>
      <c r="W126" s="319"/>
      <c r="X126" s="322"/>
      <c r="Y126" s="168"/>
      <c r="Z126" s="322"/>
      <c r="AA126" s="322"/>
      <c r="AB126" s="322"/>
      <c r="AC126" s="322"/>
      <c r="AD126" s="168"/>
      <c r="AE126" s="168"/>
      <c r="AF126" s="168"/>
      <c r="AG126" s="168"/>
      <c r="AH126" s="16"/>
      <c r="AI126" s="16"/>
      <c r="AJ126" s="16"/>
    </row>
    <row r="127" ht="12.75" customHeight="1" hidden="1" spans="1:36" x14ac:dyDescent="0.25" outlineLevel="1" collapsed="1">
      <c r="A127" s="264" t="s">
        <v>1</v>
      </c>
      <c r="B127" s="16"/>
      <c r="C127" s="139" t="str">
        <f ca="1">C41</f>
        <v>Segment 4 Revenue</v>
      </c>
      <c r="D127" s="16"/>
      <c r="E127" s="168"/>
      <c r="F127" s="317">
        <f t="shared" ref="F127:W127" si="111" ca="1">F41</f>
        <v>1e-12</v>
      </c>
      <c r="G127" s="317">
        <f ca="1">G41</f>
        <v>1e-12</v>
      </c>
      <c r="H127" s="317">
        <f ca="1">H41</f>
        <v>1e-12</v>
      </c>
      <c r="I127" s="317">
        <f ca="1">I41</f>
        <v>1e-12</v>
      </c>
      <c r="J127" s="287">
        <f ca="1">J41</f>
        <v>1e-12</v>
      </c>
      <c r="K127" s="317">
        <f ca="1">K41</f>
        <v>1e-12</v>
      </c>
      <c r="L127" s="317">
        <f ca="1">L41</f>
        <v>1e-12</v>
      </c>
      <c r="M127" s="317">
        <f ca="1">M41</f>
        <v>1e-12</v>
      </c>
      <c r="N127" s="317">
        <f ca="1">N41</f>
        <v>1e-12</v>
      </c>
      <c r="O127" s="287">
        <f ca="1">O41</f>
        <v>1e-12</v>
      </c>
      <c r="P127" s="317">
        <f ca="1">P41</f>
        <v>1e-12</v>
      </c>
      <c r="Q127" s="317">
        <f ca="1">Q41</f>
        <v>1e-12</v>
      </c>
      <c r="R127" s="317">
        <f ca="1">R41</f>
        <v>1e-12</v>
      </c>
      <c r="S127" s="317">
        <f ca="1">S41</f>
        <v>1e-12</v>
      </c>
      <c r="T127" s="287">
        <f ca="1">T41</f>
        <v>1e-12</v>
      </c>
      <c r="U127" s="317">
        <f ca="1">U41</f>
        <v>1e-12</v>
      </c>
      <c r="V127" s="317">
        <f ca="1">V41</f>
        <v>1e-12</v>
      </c>
      <c r="W127" s="317">
        <f ca="1">W41</f>
        <v>1e-12</v>
      </c>
      <c r="X127" s="286">
        <f ca="1">X128*X133</f>
        <v>1e-12</v>
      </c>
      <c r="Y127" s="287">
        <f t="shared" ref="Y127:Y128" si="112" ca="1">SUM(U127:X127)</f>
        <v>1e-12</v>
      </c>
      <c r="Z127" s="286">
        <f t="shared" ref="Z127:AC127" si="113" ca="1">Z128*Z133</f>
        <v>1e-12</v>
      </c>
      <c r="AA127" s="286">
        <f ca="1">AA128*AA133</f>
        <v>1e-12</v>
      </c>
      <c r="AB127" s="286">
        <f ca="1">AB128*AB133</f>
        <v>1e-12</v>
      </c>
      <c r="AC127" s="286">
        <f ca="1">AC128*AC133</f>
        <v>1e-12</v>
      </c>
      <c r="AD127" s="287">
        <f t="shared" ref="AD127:AD128" si="114" ca="1">SUM(Z127:AC127)</f>
        <v>1e-12</v>
      </c>
      <c r="AE127" s="287">
        <f t="shared" ref="AE127:AG127" si="115" ca="1">AE128*AE133</f>
        <v>1e-12</v>
      </c>
      <c r="AF127" s="287">
        <f ca="1">AF128*AF133</f>
        <v>1e-12</v>
      </c>
      <c r="AG127" s="287">
        <f ca="1">AG128*AG133</f>
        <v>1e-12</v>
      </c>
      <c r="AH127" s="16"/>
      <c r="AI127" s="16"/>
      <c r="AJ127" s="16"/>
    </row>
    <row r="128" ht="12.75" customHeight="1" hidden="1" spans="1:36" x14ac:dyDescent="0.25" outlineLevel="1" collapsed="1">
      <c r="A128" s="16"/>
      <c r="B128" s="16"/>
      <c r="C128" s="139" t="s">
        <v>255</v>
      </c>
      <c r="D128" s="16"/>
      <c r="E128" s="168"/>
      <c r="F128" s="325">
        <v>220</v>
      </c>
      <c r="G128" s="325">
        <v>220</v>
      </c>
      <c r="H128" s="325">
        <v>220</v>
      </c>
      <c r="I128" s="325">
        <v>220</v>
      </c>
      <c r="J128" s="326">
        <f ca="1">SUM(F128:I128)</f>
        <v>880</v>
      </c>
      <c r="K128" s="325">
        <v>220</v>
      </c>
      <c r="L128" s="325">
        <v>220</v>
      </c>
      <c r="M128" s="325">
        <v>220</v>
      </c>
      <c r="N128" s="325">
        <v>220</v>
      </c>
      <c r="O128" s="326">
        <f ca="1">SUM(K128:N128)</f>
        <v>880</v>
      </c>
      <c r="P128" s="325">
        <v>220</v>
      </c>
      <c r="Q128" s="325">
        <v>220</v>
      </c>
      <c r="R128" s="325">
        <v>220</v>
      </c>
      <c r="S128" s="325">
        <v>220</v>
      </c>
      <c r="T128" s="326">
        <f ca="1">SUM(P128:S128)</f>
        <v>880</v>
      </c>
      <c r="U128" s="325">
        <v>220</v>
      </c>
      <c r="V128" s="325">
        <v>220</v>
      </c>
      <c r="W128" s="325">
        <v>220</v>
      </c>
      <c r="X128" s="327">
        <f ca="1">W128*(1+X129)</f>
        <v>231</v>
      </c>
      <c r="Y128" s="326">
        <f ca="1">SUM(U128:X128)</f>
        <v>891</v>
      </c>
      <c r="Z128" s="327">
        <f ca="1">X128*(1+Z129)</f>
        <v>242.55</v>
      </c>
      <c r="AA128" s="327">
        <f t="shared" ref="AA128:AC128" si="116" ca="1">Z128*(1+AA129)</f>
        <v>254.6775</v>
      </c>
      <c r="AB128" s="327">
        <f ca="1">AA128*(1+AB129)</f>
        <v>267.411375</v>
      </c>
      <c r="AC128" s="327">
        <f ca="1">AB128*(1+AC129)</f>
        <v>280.78194375000004</v>
      </c>
      <c r="AD128" s="326">
        <f ca="1">SUM(Z128:AC128)</f>
        <v>1045.42081875</v>
      </c>
      <c r="AE128" s="326">
        <f t="shared" ref="AE128:AG128" si="117" ca="1">AD128*(1+AE129)</f>
        <v>1097.6918596875</v>
      </c>
      <c r="AF128" s="326">
        <f ca="1">AE128*(1+AF129)</f>
        <v>1152.5764526718751</v>
      </c>
      <c r="AG128" s="326">
        <f ca="1">AF128*(1+AG129)</f>
        <v>1210.2052753054688</v>
      </c>
      <c r="AH128" s="16"/>
      <c r="AI128" s="16"/>
      <c r="AJ128" s="16"/>
    </row>
    <row r="129" ht="12.75" customHeight="1" hidden="1" spans="1:36" x14ac:dyDescent="0.25" outlineLevel="1" collapsed="1">
      <c r="A129" s="16"/>
      <c r="B129" s="16"/>
      <c r="C129" s="120" t="s">
        <v>256</v>
      </c>
      <c r="D129" s="16"/>
      <c r="E129" s="168"/>
      <c r="F129" s="319"/>
      <c r="G129" s="318">
        <f t="shared" ref="G129:I129" si="118" ca="1">IFERROR(G128/F128-1,"--")</f>
        <v>0</v>
      </c>
      <c r="H129" s="318">
        <f ca="1">IFERROR(H128/G128-1,"--")</f>
      </c>
      <c r="I129" s="318">
        <f ca="1">IFERROR(I128/H128-1,"--")</f>
      </c>
      <c r="J129" s="168"/>
      <c r="K129" s="318">
        <f ca="1">IFERROR(K128/I128-1,"--")</f>
        <v>0</v>
      </c>
      <c r="L129" s="318">
        <f t="shared" ref="L129:N129" si="119" ca="1">IFERROR(L128/K128-1,"--")</f>
        <v>0</v>
      </c>
      <c r="M129" s="318">
        <f ca="1">IFERROR(M128/L128-1,"--")</f>
      </c>
      <c r="N129" s="318">
        <f ca="1">IFERROR(N128/M128-1,"--")</f>
      </c>
      <c r="O129" s="306">
        <f ca="1">IFERROR(O128/J128-1,"--")</f>
        <v>0</v>
      </c>
      <c r="P129" s="318">
        <f ca="1">IFERROR(P128/N128-1,"--")</f>
        <v>0</v>
      </c>
      <c r="Q129" s="318">
        <f t="shared" ref="Q129:S129" si="120" ca="1">IFERROR(Q128/P128-1,"--")</f>
        <v>0</v>
      </c>
      <c r="R129" s="318">
        <f ca="1">IFERROR(R128/Q128-1,"--")</f>
      </c>
      <c r="S129" s="318">
        <f ca="1">IFERROR(S128/R128-1,"--")</f>
      </c>
      <c r="T129" s="306">
        <f ca="1">IFERROR(T128/O128-1,"--")</f>
        <v>0</v>
      </c>
      <c r="U129" s="318">
        <f ca="1">IFERROR(U128/S128-1,"--")</f>
        <v>0</v>
      </c>
      <c r="V129" s="318">
        <f t="shared" ref="V129:W129" si="121" ca="1">IFERROR(V128/U128-1,"--")</f>
        <v>0</v>
      </c>
      <c r="W129" s="318">
        <f ca="1">IFERROR(W128/V128-1,"--")</f>
      </c>
      <c r="X129" s="305">
        <f ca="1">IF(Case_Scenario="Bull",X130,IF(Case_Scenario="Base",X131,IF(Case_Scenario="bear",X132,"N/A")))</f>
        <v>0.05</v>
      </c>
      <c r="Y129" s="306"/>
      <c r="Z129" s="305">
        <f ca="1">IF(Case_Scenario="Bull",Z130,IF(Case_Scenario="Base",Z131,IF(Case_Scenario="bear",Z132,"N/A")))</f>
        <v>0.05</v>
      </c>
      <c r="AA129" s="305">
        <f ca="1">IF(Case_Scenario="Bull",AA130,IF(Case_Scenario="Base",AA131,IF(Case_Scenario="bear",AA132,"N/A")))</f>
        <v>0.05</v>
      </c>
      <c r="AB129" s="305">
        <f ca="1">IF(Case_Scenario="Bull",AB130,IF(Case_Scenario="Base",AB131,IF(Case_Scenario="bear",AB132,"N/A")))</f>
        <v>0.05</v>
      </c>
      <c r="AC129" s="305">
        <f ca="1">IF(Case_Scenario="Bull",AC130,IF(Case_Scenario="Base",AC131,IF(Case_Scenario="bear",AC132,"N/A")))</f>
        <v>0.05</v>
      </c>
      <c r="AD129" s="306"/>
      <c r="AE129" s="306">
        <f ca="1">IF(Case_Scenario="Bull",AE130,IF(Case_Scenario="Base",AE131,IF(Case_Scenario="bear",AE132,"N/A")))</f>
        <v>0.05</v>
      </c>
      <c r="AF129" s="306">
        <f ca="1">IF(Case_Scenario="Bull",AF130,IF(Case_Scenario="Base",AF131,IF(Case_Scenario="bear",AF132,"N/A")))</f>
        <v>0.05</v>
      </c>
      <c r="AG129" s="306">
        <f ca="1">IF(Case_Scenario="Bull",AG130,IF(Case_Scenario="Base",AG131,IF(Case_Scenario="bear",AG132,"N/A")))</f>
        <v>0.05</v>
      </c>
      <c r="AH129" s="16"/>
      <c r="AI129" s="16"/>
      <c r="AJ129" s="16"/>
    </row>
    <row r="130" ht="12.75" customHeight="1" hidden="1" spans="1:36" x14ac:dyDescent="0.25" outlineLevel="1" collapsed="1">
      <c r="A130" s="16"/>
      <c r="B130" s="16"/>
      <c r="C130" s="139" t="s">
        <v>251</v>
      </c>
      <c r="D130" s="16"/>
      <c r="E130" s="168"/>
      <c r="F130" s="319"/>
      <c r="G130" s="319"/>
      <c r="H130" s="319"/>
      <c r="I130" s="319"/>
      <c r="J130" s="168"/>
      <c r="K130" s="319"/>
      <c r="L130" s="319"/>
      <c r="M130" s="319"/>
      <c r="N130" s="319"/>
      <c r="O130" s="168"/>
      <c r="P130" s="319"/>
      <c r="Q130" s="319"/>
      <c r="R130" s="319"/>
      <c r="S130" s="319"/>
      <c r="T130" s="168"/>
      <c r="U130" s="319"/>
      <c r="V130" s="319"/>
      <c r="W130" s="319"/>
      <c r="X130" s="320">
        <v>0.1</v>
      </c>
      <c r="Y130" s="321"/>
      <c r="Z130" s="320">
        <v>0.1</v>
      </c>
      <c r="AA130" s="320">
        <v>0.1</v>
      </c>
      <c r="AB130" s="320">
        <v>0.1</v>
      </c>
      <c r="AC130" s="320">
        <v>0.1</v>
      </c>
      <c r="AD130" s="321"/>
      <c r="AE130" s="321">
        <v>0.1</v>
      </c>
      <c r="AF130" s="321">
        <v>0.1</v>
      </c>
      <c r="AG130" s="321">
        <v>0.1</v>
      </c>
      <c r="AH130" s="16"/>
      <c r="AI130" s="16"/>
      <c r="AJ130" s="16"/>
    </row>
    <row r="131" ht="12.75" customHeight="1" hidden="1" spans="1:36" x14ac:dyDescent="0.25" outlineLevel="1" collapsed="1">
      <c r="A131" s="16"/>
      <c r="B131" s="16"/>
      <c r="C131" s="139" t="s">
        <v>252</v>
      </c>
      <c r="D131" s="16"/>
      <c r="E131" s="168"/>
      <c r="F131" s="319"/>
      <c r="G131" s="319"/>
      <c r="H131" s="319"/>
      <c r="I131" s="319"/>
      <c r="J131" s="168"/>
      <c r="K131" s="319"/>
      <c r="L131" s="319"/>
      <c r="M131" s="319"/>
      <c r="N131" s="319"/>
      <c r="O131" s="168"/>
      <c r="P131" s="319"/>
      <c r="Q131" s="319"/>
      <c r="R131" s="319"/>
      <c r="S131" s="319"/>
      <c r="T131" s="168"/>
      <c r="U131" s="319"/>
      <c r="V131" s="319"/>
      <c r="W131" s="319"/>
      <c r="X131" s="320">
        <v>0.05</v>
      </c>
      <c r="Y131" s="321"/>
      <c r="Z131" s="320">
        <v>0.05</v>
      </c>
      <c r="AA131" s="320">
        <v>0.05</v>
      </c>
      <c r="AB131" s="320">
        <v>0.05</v>
      </c>
      <c r="AC131" s="320">
        <v>0.05</v>
      </c>
      <c r="AD131" s="321"/>
      <c r="AE131" s="321">
        <v>0.05</v>
      </c>
      <c r="AF131" s="321">
        <v>0.05</v>
      </c>
      <c r="AG131" s="321">
        <v>0.05</v>
      </c>
      <c r="AH131" s="16"/>
      <c r="AI131" s="16"/>
      <c r="AJ131" s="16"/>
    </row>
    <row r="132" ht="12.75" customHeight="1" hidden="1" spans="1:36" x14ac:dyDescent="0.25" outlineLevel="1" collapsed="1">
      <c r="A132" s="16"/>
      <c r="B132" s="16"/>
      <c r="C132" s="139" t="s">
        <v>253</v>
      </c>
      <c r="D132" s="16"/>
      <c r="E132" s="168"/>
      <c r="F132" s="319"/>
      <c r="G132" s="319"/>
      <c r="H132" s="319"/>
      <c r="I132" s="319"/>
      <c r="J132" s="168"/>
      <c r="K132" s="319"/>
      <c r="L132" s="319"/>
      <c r="M132" s="319"/>
      <c r="N132" s="319"/>
      <c r="O132" s="168"/>
      <c r="P132" s="319"/>
      <c r="Q132" s="319"/>
      <c r="R132" s="319"/>
      <c r="S132" s="319"/>
      <c r="T132" s="168"/>
      <c r="U132" s="319"/>
      <c r="V132" s="319"/>
      <c r="W132" s="319"/>
      <c r="X132" s="320">
        <v>0</v>
      </c>
      <c r="Y132" s="321"/>
      <c r="Z132" s="320">
        <v>0</v>
      </c>
      <c r="AA132" s="320">
        <v>0</v>
      </c>
      <c r="AB132" s="320">
        <v>0</v>
      </c>
      <c r="AC132" s="320">
        <v>0</v>
      </c>
      <c r="AD132" s="321"/>
      <c r="AE132" s="321">
        <v>0</v>
      </c>
      <c r="AF132" s="321">
        <v>0</v>
      </c>
      <c r="AG132" s="321">
        <v>0</v>
      </c>
      <c r="AH132" s="16"/>
      <c r="AI132" s="16"/>
      <c r="AJ132" s="16"/>
    </row>
    <row r="133" ht="12.75" customHeight="1" hidden="1" spans="1:36" x14ac:dyDescent="0.25" outlineLevel="1" collapsed="1">
      <c r="A133" s="16"/>
      <c r="B133" s="16"/>
      <c r="C133" s="139" t="s">
        <v>166</v>
      </c>
      <c r="D133" s="16"/>
      <c r="E133" s="168"/>
      <c r="F133" s="317">
        <f t="shared" ref="F133:W133" si="122" ca="1">IFERROR(F127/F128,"--")</f>
        <v>0</v>
      </c>
      <c r="G133" s="317">
        <f ca="1">IFERROR(G127/G128,"--")</f>
      </c>
      <c r="H133" s="317">
        <f ca="1">IFERROR(H127/H128,"--")</f>
      </c>
      <c r="I133" s="317">
        <f ca="1">IFERROR(I127/I128,"--")</f>
      </c>
      <c r="J133" s="287">
        <f ca="1">IFERROR(J127/J128,"--")</f>
      </c>
      <c r="K133" s="317">
        <f ca="1">IFERROR(K127/K128,"--")</f>
      </c>
      <c r="L133" s="317">
        <f ca="1">IFERROR(L127/L128,"--")</f>
      </c>
      <c r="M133" s="317">
        <f ca="1">IFERROR(M127/M128,"--")</f>
      </c>
      <c r="N133" s="317">
        <f ca="1">IFERROR(N127/N128,"--")</f>
      </c>
      <c r="O133" s="287">
        <f ca="1">IFERROR(O127/O128,"--")</f>
      </c>
      <c r="P133" s="317">
        <f ca="1">IFERROR(P127/P128,"--")</f>
      </c>
      <c r="Q133" s="317">
        <f ca="1">IFERROR(Q127/Q128,"--")</f>
      </c>
      <c r="R133" s="317">
        <f ca="1">IFERROR(R127/R128,"--")</f>
      </c>
      <c r="S133" s="317">
        <f ca="1">IFERROR(S127/S128,"--")</f>
      </c>
      <c r="T133" s="287">
        <f ca="1">IFERROR(T127/T128,"--")</f>
      </c>
      <c r="U133" s="317">
        <f ca="1">IFERROR(U127/U128,"--")</f>
      </c>
      <c r="V133" s="317">
        <f ca="1">IFERROR(V127/V128,"--")</f>
      </c>
      <c r="W133" s="317">
        <f ca="1">IFERROR(W127/W128,"--")</f>
      </c>
      <c r="X133" s="286">
        <f ca="1">W133*(1+X134)</f>
        <v>1e-12</v>
      </c>
      <c r="Y133" s="287">
        <f ca="1">Y127/Y128</f>
        <v>1e-12</v>
      </c>
      <c r="Z133" s="286">
        <f ca="1">X133*(1+Z134)</f>
        <v>1e-12</v>
      </c>
      <c r="AA133" s="286">
        <f t="shared" ref="AA133:AC133" si="123" ca="1">Z133*(1+AA134)</f>
        <v>1e-12</v>
      </c>
      <c r="AB133" s="286">
        <f ca="1">AA133*(1+AB134)</f>
        <v>1e-12</v>
      </c>
      <c r="AC133" s="286">
        <f ca="1">AB133*(1+AC134)</f>
        <v>1e-12</v>
      </c>
      <c r="AD133" s="287">
        <f ca="1">AD127/AD128</f>
        <v>1e-12</v>
      </c>
      <c r="AE133" s="287">
        <f t="shared" ref="AE133:AG133" si="124" ca="1">AD133*(1+AE134)</f>
        <v>1e-12</v>
      </c>
      <c r="AF133" s="287">
        <f ca="1">AE133*(1+AF134)</f>
        <v>1e-12</v>
      </c>
      <c r="AG133" s="287">
        <f ca="1">AF133*(1+AG134)</f>
        <v>1e-12</v>
      </c>
      <c r="AH133" s="16"/>
      <c r="AI133" s="16"/>
      <c r="AJ133" s="16"/>
    </row>
    <row r="134" ht="12.75" customHeight="1" hidden="1" spans="1:36" x14ac:dyDescent="0.25" outlineLevel="1" collapsed="1">
      <c r="A134" s="16"/>
      <c r="B134" s="16"/>
      <c r="C134" s="120" t="s">
        <v>257</v>
      </c>
      <c r="D134" s="16"/>
      <c r="E134" s="168"/>
      <c r="F134" s="319"/>
      <c r="G134" s="318" t="str">
        <f t="shared" ref="G134:I134" si="125" ca="1">IFERROR(G133/F133-1,"--")</f>
        <v>--</v>
      </c>
      <c r="H134" s="318" t="str">
        <f ca="1">IFERROR(H133/G133-1,"--")</f>
        <v>--</v>
      </c>
      <c r="I134" s="318" t="str">
        <f ca="1">IFERROR(I133/H133-1,"--")</f>
        <v>--</v>
      </c>
      <c r="J134" s="168"/>
      <c r="K134" s="318" t="str">
        <f ca="1">IFERROR(K133/I133-1,"--")</f>
        <v>--</v>
      </c>
      <c r="L134" s="318" t="str">
        <f t="shared" ref="L134:N134" si="126" ca="1">IFERROR(L133/K133-1,"--")</f>
        <v>--</v>
      </c>
      <c r="M134" s="318" t="str">
        <f ca="1">IFERROR(M133/L133-1,"--")</f>
        <v>--</v>
      </c>
      <c r="N134" s="318" t="str">
        <f ca="1">IFERROR(N133/M133-1,"--")</f>
        <v>--</v>
      </c>
      <c r="O134" s="306" t="str">
        <f ca="1">IFERROR(O133/J133-1,"--")</f>
        <v>--</v>
      </c>
      <c r="P134" s="318" t="str">
        <f ca="1">IFERROR(P133/N133-1,"--")</f>
        <v>--</v>
      </c>
      <c r="Q134" s="318" t="str">
        <f t="shared" ref="Q134:S134" si="127" ca="1">IFERROR(Q133/P133-1,"--")</f>
        <v>--</v>
      </c>
      <c r="R134" s="318" t="str">
        <f ca="1">IFERROR(R133/Q133-1,"--")</f>
        <v>--</v>
      </c>
      <c r="S134" s="318" t="str">
        <f ca="1">IFERROR(S133/R133-1,"--")</f>
        <v>--</v>
      </c>
      <c r="T134" s="306" t="str">
        <f ca="1">IFERROR(T133/O133-1,"--")</f>
        <v>--</v>
      </c>
      <c r="U134" s="318" t="str">
        <f ca="1">IFERROR(U133/S133-1,"--")</f>
        <v>--</v>
      </c>
      <c r="V134" s="318" t="str">
        <f t="shared" ref="V134:W134" si="128" ca="1">IFERROR(V133/U133-1,"--")</f>
        <v>--</v>
      </c>
      <c r="W134" s="318" t="str">
        <f ca="1">IFERROR(W133/V133-1,"--")</f>
        <v>--</v>
      </c>
      <c r="X134" s="305">
        <f ca="1">IF(Case_Scenario="Bull",X135,IF(Case_Scenario="Base",X136,IF(Case_Scenario="bear",X137,"N/A")))</f>
        <v>0.05</v>
      </c>
      <c r="Y134" s="306"/>
      <c r="Z134" s="305">
        <f ca="1">IF(Case_Scenario="Bull",Z135,IF(Case_Scenario="Base",Z136,IF(Case_Scenario="bear",Z137,"N/A")))</f>
        <v>0.05</v>
      </c>
      <c r="AA134" s="305">
        <f ca="1">IF(Case_Scenario="Bull",AA135,IF(Case_Scenario="Base",AA136,IF(Case_Scenario="bear",AA137,"N/A")))</f>
        <v>0.05</v>
      </c>
      <c r="AB134" s="305">
        <f ca="1">IF(Case_Scenario="Bull",AB135,IF(Case_Scenario="Base",AB136,IF(Case_Scenario="bear",AB137,"N/A")))</f>
        <v>0.05</v>
      </c>
      <c r="AC134" s="305">
        <f ca="1">IF(Case_Scenario="Bull",AC135,IF(Case_Scenario="Base",AC136,IF(Case_Scenario="bear",AC137,"N/A")))</f>
        <v>0.05</v>
      </c>
      <c r="AD134" s="306"/>
      <c r="AE134" s="306">
        <f ca="1">IF(Case_Scenario="Bull",AE135,IF(Case_Scenario="Base",AE136,IF(Case_Scenario="bear",AE137,"N/A")))</f>
        <v>0.05</v>
      </c>
      <c r="AF134" s="306">
        <f ca="1">IF(Case_Scenario="Bull",AF135,IF(Case_Scenario="Base",AF136,IF(Case_Scenario="bear",AF137,"N/A")))</f>
        <v>0.05</v>
      </c>
      <c r="AG134" s="306">
        <f ca="1">IF(Case_Scenario="Bull",AG135,IF(Case_Scenario="Base",AG136,IF(Case_Scenario="bear",AG137,"N/A")))</f>
        <v>0.05</v>
      </c>
      <c r="AH134" s="16"/>
      <c r="AI134" s="16"/>
      <c r="AJ134" s="16"/>
    </row>
    <row r="135" ht="12.75" customHeight="1" hidden="1" spans="1:36" x14ac:dyDescent="0.25" outlineLevel="1" collapsed="1">
      <c r="A135" s="16"/>
      <c r="B135" s="16"/>
      <c r="C135" s="139" t="s">
        <v>251</v>
      </c>
      <c r="D135" s="16"/>
      <c r="E135" s="168"/>
      <c r="F135" s="319"/>
      <c r="G135" s="319"/>
      <c r="H135" s="319"/>
      <c r="I135" s="319"/>
      <c r="J135" s="168"/>
      <c r="K135" s="319"/>
      <c r="L135" s="319"/>
      <c r="M135" s="319"/>
      <c r="N135" s="319"/>
      <c r="O135" s="168"/>
      <c r="P135" s="319"/>
      <c r="Q135" s="319"/>
      <c r="R135" s="319"/>
      <c r="S135" s="319"/>
      <c r="T135" s="168"/>
      <c r="U135" s="319"/>
      <c r="V135" s="319"/>
      <c r="W135" s="319"/>
      <c r="X135" s="320">
        <v>0.1</v>
      </c>
      <c r="Y135" s="321"/>
      <c r="Z135" s="320">
        <v>0.1</v>
      </c>
      <c r="AA135" s="320">
        <v>0.1</v>
      </c>
      <c r="AB135" s="320">
        <v>0.1</v>
      </c>
      <c r="AC135" s="320">
        <v>0.1</v>
      </c>
      <c r="AD135" s="321"/>
      <c r="AE135" s="321">
        <v>0.1</v>
      </c>
      <c r="AF135" s="321">
        <v>0.1</v>
      </c>
      <c r="AG135" s="321">
        <v>0.1</v>
      </c>
      <c r="AH135" s="16"/>
      <c r="AI135" s="16"/>
      <c r="AJ135" s="16"/>
    </row>
    <row r="136" ht="12.75" customHeight="1" hidden="1" spans="1:36" x14ac:dyDescent="0.25" outlineLevel="1" collapsed="1">
      <c r="A136" s="16"/>
      <c r="B136" s="16"/>
      <c r="C136" s="139" t="s">
        <v>252</v>
      </c>
      <c r="D136" s="16"/>
      <c r="E136" s="168"/>
      <c r="F136" s="319"/>
      <c r="G136" s="319"/>
      <c r="H136" s="319"/>
      <c r="I136" s="319"/>
      <c r="J136" s="168"/>
      <c r="K136" s="319"/>
      <c r="L136" s="319"/>
      <c r="M136" s="319"/>
      <c r="N136" s="319"/>
      <c r="O136" s="168"/>
      <c r="P136" s="319"/>
      <c r="Q136" s="319"/>
      <c r="R136" s="319"/>
      <c r="S136" s="319"/>
      <c r="T136" s="168"/>
      <c r="U136" s="319"/>
      <c r="V136" s="319"/>
      <c r="W136" s="319"/>
      <c r="X136" s="320">
        <v>0.05</v>
      </c>
      <c r="Y136" s="321"/>
      <c r="Z136" s="320">
        <v>0.05</v>
      </c>
      <c r="AA136" s="320">
        <v>0.05</v>
      </c>
      <c r="AB136" s="320">
        <v>0.05</v>
      </c>
      <c r="AC136" s="320">
        <v>0.05</v>
      </c>
      <c r="AD136" s="321"/>
      <c r="AE136" s="321">
        <v>0.05</v>
      </c>
      <c r="AF136" s="321">
        <v>0.05</v>
      </c>
      <c r="AG136" s="321">
        <v>0.05</v>
      </c>
      <c r="AH136" s="16"/>
      <c r="AI136" s="16"/>
      <c r="AJ136" s="16"/>
    </row>
    <row r="137" ht="12.75" customHeight="1" hidden="1" spans="1:36" x14ac:dyDescent="0.25" outlineLevel="1" collapsed="1">
      <c r="A137" s="16"/>
      <c r="B137" s="16"/>
      <c r="C137" s="139" t="s">
        <v>253</v>
      </c>
      <c r="D137" s="16"/>
      <c r="E137" s="168"/>
      <c r="F137" s="319"/>
      <c r="G137" s="319"/>
      <c r="H137" s="319"/>
      <c r="I137" s="319"/>
      <c r="J137" s="168"/>
      <c r="K137" s="319"/>
      <c r="L137" s="319"/>
      <c r="M137" s="319"/>
      <c r="N137" s="319"/>
      <c r="O137" s="168"/>
      <c r="P137" s="319"/>
      <c r="Q137" s="319"/>
      <c r="R137" s="319"/>
      <c r="S137" s="319"/>
      <c r="T137" s="168"/>
      <c r="U137" s="319"/>
      <c r="V137" s="319"/>
      <c r="W137" s="319"/>
      <c r="X137" s="320">
        <v>0</v>
      </c>
      <c r="Y137" s="321"/>
      <c r="Z137" s="320">
        <v>0</v>
      </c>
      <c r="AA137" s="320">
        <v>0</v>
      </c>
      <c r="AB137" s="320">
        <v>0</v>
      </c>
      <c r="AC137" s="320">
        <v>0</v>
      </c>
      <c r="AD137" s="321"/>
      <c r="AE137" s="321">
        <v>0</v>
      </c>
      <c r="AF137" s="321">
        <v>0</v>
      </c>
      <c r="AG137" s="321">
        <v>0</v>
      </c>
      <c r="AH137" s="16"/>
      <c r="AI137" s="16"/>
      <c r="AJ137" s="16"/>
    </row>
    <row r="138" ht="12.75" customHeight="1" hidden="1" spans="1:36" x14ac:dyDescent="0.25" outlineLevel="1" collapsed="1">
      <c r="A138" s="16"/>
      <c r="B138" s="16"/>
      <c r="C138" s="16"/>
      <c r="D138" s="16"/>
      <c r="E138" s="168"/>
      <c r="F138" s="319"/>
      <c r="G138" s="319"/>
      <c r="H138" s="319"/>
      <c r="I138" s="319"/>
      <c r="J138" s="168"/>
      <c r="K138" s="319"/>
      <c r="L138" s="319"/>
      <c r="M138" s="319"/>
      <c r="N138" s="319"/>
      <c r="O138" s="168"/>
      <c r="P138" s="319"/>
      <c r="Q138" s="319"/>
      <c r="R138" s="319"/>
      <c r="S138" s="319"/>
      <c r="T138" s="168"/>
      <c r="U138" s="319"/>
      <c r="V138" s="319"/>
      <c r="W138" s="319"/>
      <c r="X138" s="322"/>
      <c r="Y138" s="168"/>
      <c r="Z138" s="322"/>
      <c r="AA138" s="322"/>
      <c r="AB138" s="322"/>
      <c r="AC138" s="322"/>
      <c r="AD138" s="168"/>
      <c r="AE138" s="168"/>
      <c r="AF138" s="168"/>
      <c r="AG138" s="168"/>
      <c r="AH138" s="16"/>
      <c r="AI138" s="16"/>
      <c r="AJ138" s="16"/>
    </row>
    <row r="139" ht="12.75" customHeight="1" hidden="1" spans="1:36" x14ac:dyDescent="0.25" outlineLevel="1" collapsed="1">
      <c r="A139" s="264" t="s">
        <v>1</v>
      </c>
      <c r="B139" s="16"/>
      <c r="C139" s="139" t="str">
        <f ca="1">C44</f>
        <v>Segment 5 Revenue</v>
      </c>
      <c r="D139" s="16"/>
      <c r="E139" s="168"/>
      <c r="F139" s="317">
        <f t="shared" ref="F139:W139" si="129" ca="1">F44</f>
        <v>1e-12</v>
      </c>
      <c r="G139" s="317">
        <f ca="1">G44</f>
        <v>1e-12</v>
      </c>
      <c r="H139" s="317">
        <f ca="1">H44</f>
        <v>1e-12</v>
      </c>
      <c r="I139" s="317">
        <f ca="1">I44</f>
        <v>1e-12</v>
      </c>
      <c r="J139" s="287">
        <f ca="1">J44</f>
        <v>1e-12</v>
      </c>
      <c r="K139" s="317">
        <f ca="1">K44</f>
        <v>1e-12</v>
      </c>
      <c r="L139" s="317">
        <f ca="1">L44</f>
        <v>1e-12</v>
      </c>
      <c r="M139" s="317">
        <f ca="1">M44</f>
        <v>1e-12</v>
      </c>
      <c r="N139" s="317">
        <f ca="1">N44</f>
        <v>1e-12</v>
      </c>
      <c r="O139" s="287">
        <f ca="1">O44</f>
        <v>1e-12</v>
      </c>
      <c r="P139" s="317">
        <f ca="1">P44</f>
        <v>1e-12</v>
      </c>
      <c r="Q139" s="317">
        <f ca="1">Q44</f>
        <v>1e-12</v>
      </c>
      <c r="R139" s="317">
        <f ca="1">R44</f>
        <v>1e-12</v>
      </c>
      <c r="S139" s="317">
        <f ca="1">S44</f>
        <v>1e-12</v>
      </c>
      <c r="T139" s="287">
        <f ca="1">T44</f>
        <v>1e-12</v>
      </c>
      <c r="U139" s="317">
        <f ca="1">U44</f>
        <v>1e-12</v>
      </c>
      <c r="V139" s="317">
        <f ca="1">V44</f>
        <v>1e-12</v>
      </c>
      <c r="W139" s="317">
        <f ca="1">W44</f>
        <v>1e-12</v>
      </c>
      <c r="X139" s="286">
        <f ca="1">X140*X145</f>
        <v>1e-12</v>
      </c>
      <c r="Y139" s="287">
        <f t="shared" ref="Y139:Y140" si="130" ca="1">SUM(U139:X139)</f>
        <v>1e-12</v>
      </c>
      <c r="Z139" s="286">
        <f t="shared" ref="Z139:AC139" si="131" ca="1">Z140*Z145</f>
        <v>1e-12</v>
      </c>
      <c r="AA139" s="286">
        <f ca="1">AA140*AA145</f>
        <v>1e-12</v>
      </c>
      <c r="AB139" s="286">
        <f ca="1">AB140*AB145</f>
        <v>1e-12</v>
      </c>
      <c r="AC139" s="286">
        <f ca="1">AC140*AC145</f>
        <v>1e-12</v>
      </c>
      <c r="AD139" s="287">
        <f t="shared" ref="AD139:AD140" si="132" ca="1">SUM(Z139:AC139)</f>
        <v>1e-12</v>
      </c>
      <c r="AE139" s="287">
        <f t="shared" ref="AE139:AG139" si="133" ca="1">AE140*AE145</f>
        <v>1e-12</v>
      </c>
      <c r="AF139" s="287">
        <f ca="1">AF140*AF145</f>
        <v>1e-12</v>
      </c>
      <c r="AG139" s="287">
        <f ca="1">AG140*AG145</f>
        <v>1e-12</v>
      </c>
      <c r="AH139" s="16"/>
      <c r="AI139" s="16"/>
      <c r="AJ139" s="16"/>
    </row>
    <row r="140" ht="12.75" customHeight="1" hidden="1" spans="1:36" x14ac:dyDescent="0.25" outlineLevel="1" collapsed="1">
      <c r="A140" s="16"/>
      <c r="B140" s="16"/>
      <c r="C140" s="139" t="s">
        <v>255</v>
      </c>
      <c r="D140" s="16"/>
      <c r="E140" s="168"/>
      <c r="F140" s="325">
        <v>220</v>
      </c>
      <c r="G140" s="325">
        <v>220</v>
      </c>
      <c r="H140" s="325">
        <v>220</v>
      </c>
      <c r="I140" s="325">
        <v>220</v>
      </c>
      <c r="J140" s="326">
        <f ca="1">SUM(F140:I140)</f>
        <v>880</v>
      </c>
      <c r="K140" s="325">
        <v>220</v>
      </c>
      <c r="L140" s="325">
        <v>220</v>
      </c>
      <c r="M140" s="325">
        <v>220</v>
      </c>
      <c r="N140" s="325">
        <v>220</v>
      </c>
      <c r="O140" s="326">
        <f ca="1">SUM(K140:N140)</f>
        <v>880</v>
      </c>
      <c r="P140" s="325">
        <v>220</v>
      </c>
      <c r="Q140" s="325">
        <v>220</v>
      </c>
      <c r="R140" s="325">
        <v>220</v>
      </c>
      <c r="S140" s="325">
        <v>220</v>
      </c>
      <c r="T140" s="326">
        <f ca="1">SUM(P140:S140)</f>
        <v>880</v>
      </c>
      <c r="U140" s="325">
        <v>220</v>
      </c>
      <c r="V140" s="325">
        <v>220</v>
      </c>
      <c r="W140" s="325">
        <v>220</v>
      </c>
      <c r="X140" s="327">
        <f ca="1">W140*(1+X141)</f>
        <v>231</v>
      </c>
      <c r="Y140" s="326">
        <f ca="1">SUM(U140:X140)</f>
        <v>891</v>
      </c>
      <c r="Z140" s="327">
        <f ca="1">X140*(1+Z141)</f>
        <v>242.55</v>
      </c>
      <c r="AA140" s="327">
        <f t="shared" ref="AA140:AC140" si="134" ca="1">Z140*(1+AA141)</f>
        <v>254.6775</v>
      </c>
      <c r="AB140" s="327">
        <f ca="1">AA140*(1+AB141)</f>
        <v>267.411375</v>
      </c>
      <c r="AC140" s="327">
        <f ca="1">AB140*(1+AC141)</f>
        <v>280.78194375000004</v>
      </c>
      <c r="AD140" s="326">
        <f ca="1">SUM(Z140:AC140)</f>
        <v>1045.42081875</v>
      </c>
      <c r="AE140" s="326">
        <f t="shared" ref="AE140:AG140" si="135" ca="1">AD140*(1+AE141)</f>
        <v>1097.6918596875</v>
      </c>
      <c r="AF140" s="326">
        <f ca="1">AE140*(1+AF141)</f>
        <v>1152.5764526718751</v>
      </c>
      <c r="AG140" s="326">
        <f ca="1">AF140*(1+AG141)</f>
        <v>1210.2052753054688</v>
      </c>
      <c r="AH140" s="16"/>
      <c r="AI140" s="16"/>
      <c r="AJ140" s="16"/>
    </row>
    <row r="141" ht="12.75" customHeight="1" hidden="1" spans="1:36" x14ac:dyDescent="0.25" outlineLevel="1" collapsed="1">
      <c r="A141" s="16"/>
      <c r="B141" s="16"/>
      <c r="C141" s="120" t="s">
        <v>256</v>
      </c>
      <c r="D141" s="16"/>
      <c r="E141" s="168"/>
      <c r="F141" s="319"/>
      <c r="G141" s="318">
        <f t="shared" ref="G141:I141" si="136" ca="1">IFERROR(G140/F140-1,"--")</f>
        <v>0</v>
      </c>
      <c r="H141" s="318">
        <f ca="1">IFERROR(H140/G140-1,"--")</f>
      </c>
      <c r="I141" s="318">
        <f ca="1">IFERROR(I140/H140-1,"--")</f>
      </c>
      <c r="J141" s="168"/>
      <c r="K141" s="318">
        <f ca="1">IFERROR(K140/I140-1,"--")</f>
        <v>0</v>
      </c>
      <c r="L141" s="318">
        <f t="shared" ref="L141:N141" si="137" ca="1">IFERROR(L140/K140-1,"--")</f>
        <v>0</v>
      </c>
      <c r="M141" s="318">
        <f ca="1">IFERROR(M140/L140-1,"--")</f>
      </c>
      <c r="N141" s="318">
        <f ca="1">IFERROR(N140/M140-1,"--")</f>
      </c>
      <c r="O141" s="306">
        <f ca="1">IFERROR(O140/J140-1,"--")</f>
        <v>0</v>
      </c>
      <c r="P141" s="318">
        <f ca="1">IFERROR(P140/N140-1,"--")</f>
        <v>0</v>
      </c>
      <c r="Q141" s="318">
        <f t="shared" ref="Q141:S141" si="138" ca="1">IFERROR(Q140/P140-1,"--")</f>
        <v>0</v>
      </c>
      <c r="R141" s="318">
        <f ca="1">IFERROR(R140/Q140-1,"--")</f>
      </c>
      <c r="S141" s="318">
        <f ca="1">IFERROR(S140/R140-1,"--")</f>
      </c>
      <c r="T141" s="306">
        <f ca="1">IFERROR(T140/O140-1,"--")</f>
        <v>0</v>
      </c>
      <c r="U141" s="318">
        <f ca="1">IFERROR(U140/S140-1,"--")</f>
        <v>0</v>
      </c>
      <c r="V141" s="318">
        <f t="shared" ref="V141:W141" si="139" ca="1">IFERROR(V140/U140-1,"--")</f>
        <v>0</v>
      </c>
      <c r="W141" s="318">
        <f ca="1">IFERROR(W140/V140-1,"--")</f>
      </c>
      <c r="X141" s="305">
        <f ca="1">IF(Case_Scenario="Bull",X142,IF(Case_Scenario="Base",X143,IF(Case_Scenario="bear",X144,"N/A")))</f>
        <v>0.05</v>
      </c>
      <c r="Y141" s="306"/>
      <c r="Z141" s="305">
        <f ca="1">IF(Case_Scenario="Bull",Z142,IF(Case_Scenario="Base",Z143,IF(Case_Scenario="bear",Z144,"N/A")))</f>
        <v>0.05</v>
      </c>
      <c r="AA141" s="305">
        <f ca="1">IF(Case_Scenario="Bull",AA142,IF(Case_Scenario="Base",AA143,IF(Case_Scenario="bear",AA144,"N/A")))</f>
        <v>0.05</v>
      </c>
      <c r="AB141" s="305">
        <f ca="1">IF(Case_Scenario="Bull",AB142,IF(Case_Scenario="Base",AB143,IF(Case_Scenario="bear",AB144,"N/A")))</f>
        <v>0.05</v>
      </c>
      <c r="AC141" s="305">
        <f ca="1">IF(Case_Scenario="Bull",AC142,IF(Case_Scenario="Base",AC143,IF(Case_Scenario="bear",AC144,"N/A")))</f>
        <v>0.05</v>
      </c>
      <c r="AD141" s="306"/>
      <c r="AE141" s="306">
        <f ca="1">IF(Case_Scenario="Bull",AE142,IF(Case_Scenario="Base",AE143,IF(Case_Scenario="bear",AE144,"N/A")))</f>
        <v>0.05</v>
      </c>
      <c r="AF141" s="306">
        <f ca="1">IF(Case_Scenario="Bull",AF142,IF(Case_Scenario="Base",AF143,IF(Case_Scenario="bear",AF144,"N/A")))</f>
        <v>0.05</v>
      </c>
      <c r="AG141" s="306">
        <f ca="1">IF(Case_Scenario="Bull",AG142,IF(Case_Scenario="Base",AG143,IF(Case_Scenario="bear",AG144,"N/A")))</f>
        <v>0.05</v>
      </c>
      <c r="AH141" s="16"/>
      <c r="AI141" s="16"/>
      <c r="AJ141" s="16"/>
    </row>
    <row r="142" ht="12.75" customHeight="1" hidden="1" spans="1:36" x14ac:dyDescent="0.25" outlineLevel="1" collapsed="1">
      <c r="A142" s="16"/>
      <c r="B142" s="16"/>
      <c r="C142" s="139" t="s">
        <v>251</v>
      </c>
      <c r="D142" s="16"/>
      <c r="E142" s="168"/>
      <c r="F142" s="319"/>
      <c r="G142" s="319"/>
      <c r="H142" s="319"/>
      <c r="I142" s="319"/>
      <c r="J142" s="168"/>
      <c r="K142" s="319"/>
      <c r="L142" s="319"/>
      <c r="M142" s="319"/>
      <c r="N142" s="319"/>
      <c r="O142" s="168"/>
      <c r="P142" s="319"/>
      <c r="Q142" s="319"/>
      <c r="R142" s="319"/>
      <c r="S142" s="319"/>
      <c r="T142" s="168"/>
      <c r="U142" s="319"/>
      <c r="V142" s="319"/>
      <c r="W142" s="319"/>
      <c r="X142" s="320">
        <v>0.1</v>
      </c>
      <c r="Y142" s="321"/>
      <c r="Z142" s="320">
        <v>0.1</v>
      </c>
      <c r="AA142" s="320">
        <v>0.1</v>
      </c>
      <c r="AB142" s="320">
        <v>0.1</v>
      </c>
      <c r="AC142" s="320">
        <v>0.1</v>
      </c>
      <c r="AD142" s="321"/>
      <c r="AE142" s="321">
        <v>0.1</v>
      </c>
      <c r="AF142" s="321">
        <v>0.1</v>
      </c>
      <c r="AG142" s="321">
        <v>0.1</v>
      </c>
      <c r="AH142" s="16"/>
      <c r="AI142" s="16"/>
      <c r="AJ142" s="16"/>
    </row>
    <row r="143" ht="12.75" customHeight="1" hidden="1" spans="1:36" x14ac:dyDescent="0.25" outlineLevel="1" collapsed="1">
      <c r="A143" s="16"/>
      <c r="B143" s="16"/>
      <c r="C143" s="139" t="s">
        <v>252</v>
      </c>
      <c r="D143" s="16"/>
      <c r="E143" s="168"/>
      <c r="F143" s="319"/>
      <c r="G143" s="319"/>
      <c r="H143" s="319"/>
      <c r="I143" s="319"/>
      <c r="J143" s="168"/>
      <c r="K143" s="319"/>
      <c r="L143" s="319"/>
      <c r="M143" s="319"/>
      <c r="N143" s="319"/>
      <c r="O143" s="168"/>
      <c r="P143" s="319"/>
      <c r="Q143" s="319"/>
      <c r="R143" s="319"/>
      <c r="S143" s="319"/>
      <c r="T143" s="168"/>
      <c r="U143" s="319"/>
      <c r="V143" s="319"/>
      <c r="W143" s="319"/>
      <c r="X143" s="320">
        <v>0.05</v>
      </c>
      <c r="Y143" s="321"/>
      <c r="Z143" s="320">
        <v>0.05</v>
      </c>
      <c r="AA143" s="320">
        <v>0.05</v>
      </c>
      <c r="AB143" s="320">
        <v>0.05</v>
      </c>
      <c r="AC143" s="320">
        <v>0.05</v>
      </c>
      <c r="AD143" s="321"/>
      <c r="AE143" s="321">
        <v>0.05</v>
      </c>
      <c r="AF143" s="321">
        <v>0.05</v>
      </c>
      <c r="AG143" s="321">
        <v>0.05</v>
      </c>
      <c r="AH143" s="16"/>
      <c r="AI143" s="16"/>
      <c r="AJ143" s="16"/>
    </row>
    <row r="144" ht="12.75" customHeight="1" hidden="1" spans="1:36" x14ac:dyDescent="0.25" outlineLevel="1" collapsed="1">
      <c r="A144" s="16"/>
      <c r="B144" s="16"/>
      <c r="C144" s="139" t="s">
        <v>253</v>
      </c>
      <c r="D144" s="16"/>
      <c r="E144" s="168"/>
      <c r="F144" s="319"/>
      <c r="G144" s="319"/>
      <c r="H144" s="319"/>
      <c r="I144" s="319"/>
      <c r="J144" s="168"/>
      <c r="K144" s="319"/>
      <c r="L144" s="319"/>
      <c r="M144" s="319"/>
      <c r="N144" s="319"/>
      <c r="O144" s="168"/>
      <c r="P144" s="319"/>
      <c r="Q144" s="319"/>
      <c r="R144" s="319"/>
      <c r="S144" s="319"/>
      <c r="T144" s="168"/>
      <c r="U144" s="319"/>
      <c r="V144" s="319"/>
      <c r="W144" s="319"/>
      <c r="X144" s="320">
        <v>0</v>
      </c>
      <c r="Y144" s="321"/>
      <c r="Z144" s="320">
        <v>0</v>
      </c>
      <c r="AA144" s="320">
        <v>0</v>
      </c>
      <c r="AB144" s="320">
        <v>0</v>
      </c>
      <c r="AC144" s="320">
        <v>0</v>
      </c>
      <c r="AD144" s="321"/>
      <c r="AE144" s="321">
        <v>0</v>
      </c>
      <c r="AF144" s="321">
        <v>0</v>
      </c>
      <c r="AG144" s="321">
        <v>0</v>
      </c>
      <c r="AH144" s="16"/>
      <c r="AI144" s="16"/>
      <c r="AJ144" s="16"/>
    </row>
    <row r="145" ht="12.75" customHeight="1" hidden="1" spans="1:36" x14ac:dyDescent="0.25" outlineLevel="1" collapsed="1">
      <c r="A145" s="16"/>
      <c r="B145" s="16"/>
      <c r="C145" s="139" t="s">
        <v>166</v>
      </c>
      <c r="D145" s="16"/>
      <c r="E145" s="168"/>
      <c r="F145" s="317">
        <f t="shared" ref="F145:W145" si="140" ca="1">IFERROR(F139/F140,"--")</f>
        <v>0</v>
      </c>
      <c r="G145" s="317">
        <f ca="1">IFERROR(G139/G140,"--")</f>
      </c>
      <c r="H145" s="317">
        <f ca="1">IFERROR(H139/H140,"--")</f>
      </c>
      <c r="I145" s="317">
        <f ca="1">IFERROR(I139/I140,"--")</f>
      </c>
      <c r="J145" s="287">
        <f ca="1">IFERROR(J139/J140,"--")</f>
      </c>
      <c r="K145" s="317">
        <f ca="1">IFERROR(K139/K140,"--")</f>
      </c>
      <c r="L145" s="317">
        <f ca="1">IFERROR(L139/L140,"--")</f>
      </c>
      <c r="M145" s="317">
        <f ca="1">IFERROR(M139/M140,"--")</f>
      </c>
      <c r="N145" s="317">
        <f ca="1">IFERROR(N139/N140,"--")</f>
      </c>
      <c r="O145" s="287">
        <f ca="1">IFERROR(O139/O140,"--")</f>
      </c>
      <c r="P145" s="317">
        <f ca="1">IFERROR(P139/P140,"--")</f>
      </c>
      <c r="Q145" s="317">
        <f ca="1">IFERROR(Q139/Q140,"--")</f>
      </c>
      <c r="R145" s="317">
        <f ca="1">IFERROR(R139/R140,"--")</f>
      </c>
      <c r="S145" s="317">
        <f ca="1">IFERROR(S139/S140,"--")</f>
      </c>
      <c r="T145" s="287">
        <f ca="1">IFERROR(T139/T140,"--")</f>
      </c>
      <c r="U145" s="317">
        <f ca="1">IFERROR(U139/U140,"--")</f>
      </c>
      <c r="V145" s="317">
        <f ca="1">IFERROR(V139/V140,"--")</f>
      </c>
      <c r="W145" s="317">
        <f ca="1">IFERROR(W139/W140,"--")</f>
      </c>
      <c r="X145" s="286">
        <f ca="1">W145*(1+X146)</f>
        <v>1e-12</v>
      </c>
      <c r="Y145" s="287">
        <f ca="1">Y139/Y140</f>
        <v>1e-12</v>
      </c>
      <c r="Z145" s="286">
        <f ca="1">X145*(1+Z146)</f>
        <v>1e-12</v>
      </c>
      <c r="AA145" s="286">
        <f t="shared" ref="AA145:AC145" si="141" ca="1">Z145*(1+AA146)</f>
        <v>1e-12</v>
      </c>
      <c r="AB145" s="286">
        <f ca="1">AA145*(1+AB146)</f>
        <v>1e-12</v>
      </c>
      <c r="AC145" s="286">
        <f ca="1">AB145*(1+AC146)</f>
        <v>1e-12</v>
      </c>
      <c r="AD145" s="287">
        <f ca="1">AD139/AD140</f>
        <v>1e-12</v>
      </c>
      <c r="AE145" s="287">
        <f t="shared" ref="AE145:AG145" si="142" ca="1">AD145*(1+AE146)</f>
        <v>1e-12</v>
      </c>
      <c r="AF145" s="287">
        <f ca="1">AE145*(1+AF146)</f>
        <v>1e-12</v>
      </c>
      <c r="AG145" s="287">
        <f ca="1">AF145*(1+AG146)</f>
        <v>1e-12</v>
      </c>
      <c r="AH145" s="16"/>
      <c r="AI145" s="16"/>
      <c r="AJ145" s="16"/>
    </row>
    <row r="146" ht="12.75" customHeight="1" hidden="1" spans="1:36" x14ac:dyDescent="0.25" outlineLevel="1" collapsed="1">
      <c r="A146" s="16"/>
      <c r="B146" s="16"/>
      <c r="C146" s="120" t="s">
        <v>257</v>
      </c>
      <c r="D146" s="16"/>
      <c r="E146" s="168"/>
      <c r="F146" s="319"/>
      <c r="G146" s="318" t="str">
        <f t="shared" ref="G146:I146" si="143" ca="1">IFERROR(G145/F145-1,"--")</f>
        <v>--</v>
      </c>
      <c r="H146" s="318" t="str">
        <f ca="1">IFERROR(H145/G145-1,"--")</f>
        <v>--</v>
      </c>
      <c r="I146" s="318" t="str">
        <f ca="1">IFERROR(I145/H145-1,"--")</f>
        <v>--</v>
      </c>
      <c r="J146" s="168"/>
      <c r="K146" s="318" t="str">
        <f ca="1">IFERROR(K145/I145-1,"--")</f>
        <v>--</v>
      </c>
      <c r="L146" s="318" t="str">
        <f t="shared" ref="L146:N146" si="144" ca="1">IFERROR(L145/K145-1,"--")</f>
        <v>--</v>
      </c>
      <c r="M146" s="318" t="str">
        <f ca="1">IFERROR(M145/L145-1,"--")</f>
        <v>--</v>
      </c>
      <c r="N146" s="318" t="str">
        <f ca="1">IFERROR(N145/M145-1,"--")</f>
        <v>--</v>
      </c>
      <c r="O146" s="306" t="str">
        <f ca="1">IFERROR(O145/J145-1,"--")</f>
        <v>--</v>
      </c>
      <c r="P146" s="318" t="str">
        <f ca="1">IFERROR(P145/N145-1,"--")</f>
        <v>--</v>
      </c>
      <c r="Q146" s="318" t="str">
        <f t="shared" ref="Q146:S146" si="145" ca="1">IFERROR(Q145/P145-1,"--")</f>
        <v>--</v>
      </c>
      <c r="R146" s="318" t="str">
        <f ca="1">IFERROR(R145/Q145-1,"--")</f>
        <v>--</v>
      </c>
      <c r="S146" s="318" t="str">
        <f ca="1">IFERROR(S145/R145-1,"--")</f>
        <v>--</v>
      </c>
      <c r="T146" s="306" t="str">
        <f ca="1">IFERROR(T145/O145-1,"--")</f>
        <v>--</v>
      </c>
      <c r="U146" s="318" t="str">
        <f ca="1">IFERROR(U145/S145-1,"--")</f>
        <v>--</v>
      </c>
      <c r="V146" s="318" t="str">
        <f t="shared" ref="V146:W146" si="146" ca="1">IFERROR(V145/U145-1,"--")</f>
        <v>--</v>
      </c>
      <c r="W146" s="318" t="str">
        <f ca="1">IFERROR(W145/V145-1,"--")</f>
        <v>--</v>
      </c>
      <c r="X146" s="305">
        <f ca="1">IF(Case_Scenario="Bull",X147,IF(Case_Scenario="Base",X148,IF(Case_Scenario="bear",X149,"N/A")))</f>
        <v>0.05</v>
      </c>
      <c r="Y146" s="306"/>
      <c r="Z146" s="305">
        <f ca="1">IF(Case_Scenario="Bull",Z147,IF(Case_Scenario="Base",Z148,IF(Case_Scenario="bear",Z149,"N/A")))</f>
        <v>0.05</v>
      </c>
      <c r="AA146" s="305">
        <f ca="1">IF(Case_Scenario="Bull",AA147,IF(Case_Scenario="Base",AA148,IF(Case_Scenario="bear",AA149,"N/A")))</f>
        <v>0.05</v>
      </c>
      <c r="AB146" s="305">
        <f ca="1">IF(Case_Scenario="Bull",AB147,IF(Case_Scenario="Base",AB148,IF(Case_Scenario="bear",AB149,"N/A")))</f>
        <v>0.05</v>
      </c>
      <c r="AC146" s="305">
        <f ca="1">IF(Case_Scenario="Bull",AC147,IF(Case_Scenario="Base",AC148,IF(Case_Scenario="bear",AC149,"N/A")))</f>
        <v>0.05</v>
      </c>
      <c r="AD146" s="306"/>
      <c r="AE146" s="306">
        <f ca="1">IF(Case_Scenario="Bull",AE147,IF(Case_Scenario="Base",AE148,IF(Case_Scenario="bear",AE149,"N/A")))</f>
        <v>0.05</v>
      </c>
      <c r="AF146" s="306">
        <f ca="1">IF(Case_Scenario="Bull",AF147,IF(Case_Scenario="Base",AF148,IF(Case_Scenario="bear",AF149,"N/A")))</f>
        <v>0.05</v>
      </c>
      <c r="AG146" s="306">
        <f ca="1">IF(Case_Scenario="Bull",AG147,IF(Case_Scenario="Base",AG148,IF(Case_Scenario="bear",AG149,"N/A")))</f>
        <v>0.05</v>
      </c>
      <c r="AH146" s="16"/>
      <c r="AI146" s="16"/>
      <c r="AJ146" s="16"/>
    </row>
    <row r="147" ht="12.75" customHeight="1" hidden="1" spans="1:36" x14ac:dyDescent="0.25" outlineLevel="1" collapsed="1">
      <c r="A147" s="16"/>
      <c r="B147" s="16"/>
      <c r="C147" s="139" t="s">
        <v>251</v>
      </c>
      <c r="D147" s="16"/>
      <c r="E147" s="168"/>
      <c r="F147" s="319"/>
      <c r="G147" s="319"/>
      <c r="H147" s="319"/>
      <c r="I147" s="319"/>
      <c r="J147" s="168"/>
      <c r="K147" s="319"/>
      <c r="L147" s="319"/>
      <c r="M147" s="319"/>
      <c r="N147" s="319"/>
      <c r="O147" s="168"/>
      <c r="P147" s="319"/>
      <c r="Q147" s="319"/>
      <c r="R147" s="319"/>
      <c r="S147" s="319"/>
      <c r="T147" s="168"/>
      <c r="U147" s="319"/>
      <c r="V147" s="319"/>
      <c r="W147" s="319"/>
      <c r="X147" s="320">
        <v>0.1</v>
      </c>
      <c r="Y147" s="321"/>
      <c r="Z147" s="320">
        <v>0.1</v>
      </c>
      <c r="AA147" s="320">
        <v>0.1</v>
      </c>
      <c r="AB147" s="320">
        <v>0.1</v>
      </c>
      <c r="AC147" s="320">
        <v>0.1</v>
      </c>
      <c r="AD147" s="321"/>
      <c r="AE147" s="321">
        <v>0.1</v>
      </c>
      <c r="AF147" s="321">
        <v>0.1</v>
      </c>
      <c r="AG147" s="321">
        <v>0.1</v>
      </c>
      <c r="AH147" s="16"/>
      <c r="AI147" s="16"/>
      <c r="AJ147" s="16"/>
    </row>
    <row r="148" ht="12.75" customHeight="1" hidden="1" spans="1:36" x14ac:dyDescent="0.25" outlineLevel="1" collapsed="1">
      <c r="A148" s="16"/>
      <c r="B148" s="16"/>
      <c r="C148" s="139" t="s">
        <v>252</v>
      </c>
      <c r="D148" s="16"/>
      <c r="E148" s="168"/>
      <c r="F148" s="319"/>
      <c r="G148" s="319"/>
      <c r="H148" s="319"/>
      <c r="I148" s="319"/>
      <c r="J148" s="168"/>
      <c r="K148" s="319"/>
      <c r="L148" s="319"/>
      <c r="M148" s="319"/>
      <c r="N148" s="319"/>
      <c r="O148" s="168"/>
      <c r="P148" s="319"/>
      <c r="Q148" s="319"/>
      <c r="R148" s="319"/>
      <c r="S148" s="319"/>
      <c r="T148" s="168"/>
      <c r="U148" s="319"/>
      <c r="V148" s="319"/>
      <c r="W148" s="319"/>
      <c r="X148" s="320">
        <v>0.05</v>
      </c>
      <c r="Y148" s="321"/>
      <c r="Z148" s="320">
        <v>0.05</v>
      </c>
      <c r="AA148" s="320">
        <v>0.05</v>
      </c>
      <c r="AB148" s="320">
        <v>0.05</v>
      </c>
      <c r="AC148" s="320">
        <v>0.05</v>
      </c>
      <c r="AD148" s="321"/>
      <c r="AE148" s="321">
        <v>0.05</v>
      </c>
      <c r="AF148" s="321">
        <v>0.05</v>
      </c>
      <c r="AG148" s="321">
        <v>0.05</v>
      </c>
      <c r="AH148" s="16"/>
      <c r="AI148" s="16"/>
      <c r="AJ148" s="16"/>
    </row>
    <row r="149" ht="12.75" customHeight="1" hidden="1" spans="1:36" x14ac:dyDescent="0.25" outlineLevel="1" collapsed="1">
      <c r="A149" s="16"/>
      <c r="B149" s="16"/>
      <c r="C149" s="139" t="s">
        <v>253</v>
      </c>
      <c r="D149" s="16"/>
      <c r="E149" s="168"/>
      <c r="F149" s="319"/>
      <c r="G149" s="319"/>
      <c r="H149" s="319"/>
      <c r="I149" s="319"/>
      <c r="J149" s="168"/>
      <c r="K149" s="319"/>
      <c r="L149" s="319"/>
      <c r="M149" s="319"/>
      <c r="N149" s="319"/>
      <c r="O149" s="168"/>
      <c r="P149" s="319"/>
      <c r="Q149" s="319"/>
      <c r="R149" s="319"/>
      <c r="S149" s="319"/>
      <c r="T149" s="168"/>
      <c r="U149" s="319"/>
      <c r="V149" s="319"/>
      <c r="W149" s="319"/>
      <c r="X149" s="320">
        <v>0</v>
      </c>
      <c r="Y149" s="321"/>
      <c r="Z149" s="320">
        <v>0</v>
      </c>
      <c r="AA149" s="320">
        <v>0</v>
      </c>
      <c r="AB149" s="320">
        <v>0</v>
      </c>
      <c r="AC149" s="320">
        <v>0</v>
      </c>
      <c r="AD149" s="321"/>
      <c r="AE149" s="321">
        <v>0</v>
      </c>
      <c r="AF149" s="321">
        <v>0</v>
      </c>
      <c r="AG149" s="321">
        <v>0</v>
      </c>
      <c r="AH149" s="16"/>
      <c r="AI149" s="16"/>
      <c r="AJ149" s="16"/>
    </row>
    <row r="150" ht="12.75" customHeight="1" hidden="1" spans="1:36" x14ac:dyDescent="0.25" outlineLevel="1" collapsed="1">
      <c r="A150" s="16"/>
      <c r="B150" s="16"/>
      <c r="C150" s="16"/>
      <c r="D150" s="16"/>
      <c r="E150" s="168"/>
      <c r="F150" s="319"/>
      <c r="G150" s="319"/>
      <c r="H150" s="319"/>
      <c r="I150" s="319"/>
      <c r="J150" s="168"/>
      <c r="K150" s="319"/>
      <c r="L150" s="319"/>
      <c r="M150" s="319"/>
      <c r="N150" s="319"/>
      <c r="O150" s="168"/>
      <c r="P150" s="319"/>
      <c r="Q150" s="319"/>
      <c r="R150" s="319"/>
      <c r="S150" s="319"/>
      <c r="T150" s="168"/>
      <c r="U150" s="319"/>
      <c r="V150" s="319"/>
      <c r="W150" s="319"/>
      <c r="X150" s="322"/>
      <c r="Y150" s="168"/>
      <c r="Z150" s="322"/>
      <c r="AA150" s="322"/>
      <c r="AB150" s="322"/>
      <c r="AC150" s="322"/>
      <c r="AD150" s="168"/>
      <c r="AE150" s="168"/>
      <c r="AF150" s="168"/>
      <c r="AG150" s="168"/>
      <c r="AH150" s="16"/>
      <c r="AI150" s="16"/>
      <c r="AJ150" s="16"/>
    </row>
    <row r="151" ht="12.75" customHeight="1" hidden="1" spans="1:36" x14ac:dyDescent="0.25" outlineLevel="1" collapsed="1">
      <c r="A151" s="264" t="s">
        <v>1</v>
      </c>
      <c r="B151" s="16"/>
      <c r="C151" s="139" t="str">
        <f ca="1">C47</f>
        <v>Segment 6 Revenue</v>
      </c>
      <c r="D151" s="16"/>
      <c r="E151" s="168"/>
      <c r="F151" s="317">
        <f t="shared" ref="F151:W151" si="147" ca="1">F47</f>
        <v>1e-12</v>
      </c>
      <c r="G151" s="317">
        <f ca="1">G47</f>
        <v>1e-12</v>
      </c>
      <c r="H151" s="317">
        <f ca="1">H47</f>
        <v>1e-12</v>
      </c>
      <c r="I151" s="317">
        <f ca="1">I47</f>
        <v>1e-12</v>
      </c>
      <c r="J151" s="287">
        <f ca="1">J47</f>
        <v>1e-12</v>
      </c>
      <c r="K151" s="317">
        <f ca="1">K47</f>
        <v>1e-12</v>
      </c>
      <c r="L151" s="317">
        <f ca="1">L47</f>
        <v>1e-12</v>
      </c>
      <c r="M151" s="317">
        <f ca="1">M47</f>
        <v>1e-12</v>
      </c>
      <c r="N151" s="317">
        <f ca="1">N47</f>
        <v>1e-12</v>
      </c>
      <c r="O151" s="287">
        <f ca="1">O47</f>
        <v>1e-12</v>
      </c>
      <c r="P151" s="317">
        <f ca="1">P47</f>
        <v>1e-12</v>
      </c>
      <c r="Q151" s="317">
        <f ca="1">Q47</f>
        <v>1e-12</v>
      </c>
      <c r="R151" s="317">
        <f ca="1">R47</f>
        <v>1e-12</v>
      </c>
      <c r="S151" s="317">
        <f ca="1">S47</f>
        <v>1e-12</v>
      </c>
      <c r="T151" s="287">
        <f ca="1">T47</f>
        <v>1e-12</v>
      </c>
      <c r="U151" s="317">
        <f ca="1">U47</f>
        <v>1e-12</v>
      </c>
      <c r="V151" s="317">
        <f ca="1">V47</f>
        <v>1e-12</v>
      </c>
      <c r="W151" s="317">
        <f ca="1">W47</f>
        <v>1e-12</v>
      </c>
      <c r="X151" s="286">
        <f ca="1">X152*X157</f>
        <v>1e-12</v>
      </c>
      <c r="Y151" s="287">
        <f t="shared" ref="Y151:Y152" si="148" ca="1">SUM(U151:X151)</f>
        <v>1e-12</v>
      </c>
      <c r="Z151" s="286">
        <f t="shared" ref="Z151:AC151" si="149" ca="1">Z152*Z157</f>
        <v>1e-12</v>
      </c>
      <c r="AA151" s="286">
        <f ca="1">AA152*AA157</f>
        <v>1e-12</v>
      </c>
      <c r="AB151" s="286">
        <f ca="1">AB152*AB157</f>
        <v>1e-12</v>
      </c>
      <c r="AC151" s="286">
        <f ca="1">AC152*AC157</f>
        <v>1e-12</v>
      </c>
      <c r="AD151" s="287">
        <f t="shared" ref="AD151:AD152" si="150" ca="1">SUM(Z151:AC151)</f>
        <v>1e-12</v>
      </c>
      <c r="AE151" s="287">
        <f t="shared" ref="AE151:AG151" si="151" ca="1">AE152*AE157</f>
        <v>1e-12</v>
      </c>
      <c r="AF151" s="287">
        <f ca="1">AF152*AF157</f>
        <v>1e-12</v>
      </c>
      <c r="AG151" s="287">
        <f ca="1">AG152*AG157</f>
        <v>1e-12</v>
      </c>
      <c r="AH151" s="16"/>
      <c r="AI151" s="16"/>
      <c r="AJ151" s="16"/>
    </row>
    <row r="152" ht="12.75" customHeight="1" hidden="1" spans="1:36" x14ac:dyDescent="0.25" outlineLevel="1" collapsed="1">
      <c r="A152" s="16"/>
      <c r="B152" s="16"/>
      <c r="C152" s="139" t="s">
        <v>255</v>
      </c>
      <c r="D152" s="16"/>
      <c r="E152" s="168"/>
      <c r="F152" s="325">
        <v>0</v>
      </c>
      <c r="G152" s="325">
        <v>0</v>
      </c>
      <c r="H152" s="325">
        <v>0</v>
      </c>
      <c r="I152" s="325">
        <v>0</v>
      </c>
      <c r="J152" s="326">
        <v>0</v>
      </c>
      <c r="K152" s="325">
        <v>0</v>
      </c>
      <c r="L152" s="325">
        <v>0</v>
      </c>
      <c r="M152" s="325">
        <v>0</v>
      </c>
      <c r="N152" s="325">
        <v>0</v>
      </c>
      <c r="O152" s="326">
        <v>0</v>
      </c>
      <c r="P152" s="325">
        <v>0</v>
      </c>
      <c r="Q152" s="325">
        <v>0</v>
      </c>
      <c r="R152" s="325">
        <v>0</v>
      </c>
      <c r="S152" s="325">
        <v>0</v>
      </c>
      <c r="T152" s="326">
        <v>0</v>
      </c>
      <c r="U152" s="325">
        <v>0</v>
      </c>
      <c r="V152" s="325">
        <v>0</v>
      </c>
      <c r="W152" s="325">
        <v>0</v>
      </c>
      <c r="X152" s="327">
        <f ca="1">W152*(1+X153)</f>
        <v>1e-12</v>
      </c>
      <c r="Y152" s="326">
        <f ca="1">SUM(U152:X152)</f>
        <v>1e-12</v>
      </c>
      <c r="Z152" s="327">
        <f ca="1">X152*(1+Z153)</f>
        <v>1e-12</v>
      </c>
      <c r="AA152" s="327">
        <f t="shared" ref="AA152:AC152" si="152" ca="1">Z152*(1+AA153)</f>
        <v>1e-12</v>
      </c>
      <c r="AB152" s="327">
        <f ca="1">AA152*(1+AB153)</f>
        <v>1e-12</v>
      </c>
      <c r="AC152" s="327">
        <f ca="1">AB152*(1+AC153)</f>
        <v>1e-12</v>
      </c>
      <c r="AD152" s="326">
        <f ca="1">SUM(Z152:AC152)</f>
        <v>1e-12</v>
      </c>
      <c r="AE152" s="326">
        <f t="shared" ref="AE152:AG152" si="153" ca="1">AD152*(1+AE153)</f>
        <v>1e-12</v>
      </c>
      <c r="AF152" s="326">
        <f ca="1">AE152*(1+AF153)</f>
        <v>1e-12</v>
      </c>
      <c r="AG152" s="326">
        <f ca="1">AF152*(1+AG153)</f>
        <v>1e-12</v>
      </c>
      <c r="AH152" s="16"/>
      <c r="AI152" s="16"/>
      <c r="AJ152" s="16"/>
    </row>
    <row r="153" ht="12.75" customHeight="1" hidden="1" spans="1:36" x14ac:dyDescent="0.25" outlineLevel="1" collapsed="1">
      <c r="A153" s="16"/>
      <c r="B153" s="16"/>
      <c r="C153" s="120" t="s">
        <v>256</v>
      </c>
      <c r="D153" s="16"/>
      <c r="E153" s="168"/>
      <c r="F153" s="319"/>
      <c r="G153" s="318" t="str">
        <f t="shared" ref="G153:I153" si="154" ca="1">IFERROR(G152/F152-1,"--")</f>
        <v>--</v>
      </c>
      <c r="H153" s="318" t="str">
        <f ca="1">IFERROR(H152/G152-1,"--")</f>
        <v>--</v>
      </c>
      <c r="I153" s="318" t="str">
        <f ca="1">IFERROR(I152/H152-1,"--")</f>
        <v>--</v>
      </c>
      <c r="J153" s="168"/>
      <c r="K153" s="318" t="str">
        <f ca="1">IFERROR(K152/I152-1,"--")</f>
        <v>--</v>
      </c>
      <c r="L153" s="318" t="str">
        <f t="shared" ref="L153:N153" si="155" ca="1">IFERROR(L152/K152-1,"--")</f>
        <v>--</v>
      </c>
      <c r="M153" s="318" t="str">
        <f ca="1">IFERROR(M152/L152-1,"--")</f>
        <v>--</v>
      </c>
      <c r="N153" s="318" t="str">
        <f ca="1">IFERROR(N152/M152-1,"--")</f>
        <v>--</v>
      </c>
      <c r="O153" s="306" t="str">
        <f ca="1">IFERROR(O152/J152-1,"--")</f>
        <v>--</v>
      </c>
      <c r="P153" s="318" t="str">
        <f ca="1">IFERROR(P152/N152-1,"--")</f>
        <v>--</v>
      </c>
      <c r="Q153" s="318" t="str">
        <f t="shared" ref="Q153:S153" si="156" ca="1">IFERROR(Q152/P152-1,"--")</f>
        <v>--</v>
      </c>
      <c r="R153" s="318" t="str">
        <f ca="1">IFERROR(R152/Q152-1,"--")</f>
        <v>--</v>
      </c>
      <c r="S153" s="318" t="str">
        <f ca="1">IFERROR(S152/R152-1,"--")</f>
        <v>--</v>
      </c>
      <c r="T153" s="306" t="str">
        <f ca="1">IFERROR(T152/O152-1,"--")</f>
        <v>--</v>
      </c>
      <c r="U153" s="318" t="str">
        <f ca="1">IFERROR(U152/S152-1,"--")</f>
        <v>--</v>
      </c>
      <c r="V153" s="318" t="str">
        <f t="shared" ref="V153:W153" si="157" ca="1">IFERROR(V152/U152-1,"--")</f>
        <v>--</v>
      </c>
      <c r="W153" s="318" t="str">
        <f ca="1">IFERROR(W152/V152-1,"--")</f>
        <v>--</v>
      </c>
      <c r="X153" s="305">
        <f ca="1">IF(Case_Scenario="Bull",X154,IF(Case_Scenario="Base",X155,IF(Case_Scenario="bear",X156,"N/A")))</f>
        <v>0.05</v>
      </c>
      <c r="Y153" s="306"/>
      <c r="Z153" s="305">
        <f ca="1">IF(Case_Scenario="Bull",Z154,IF(Case_Scenario="Base",Z155,IF(Case_Scenario="bear",Z156,"N/A")))</f>
        <v>0.05</v>
      </c>
      <c r="AA153" s="305">
        <f ca="1">IF(Case_Scenario="Bull",AA154,IF(Case_Scenario="Base",AA155,IF(Case_Scenario="bear",AA156,"N/A")))</f>
        <v>0.05</v>
      </c>
      <c r="AB153" s="305">
        <f ca="1">IF(Case_Scenario="Bull",AB154,IF(Case_Scenario="Base",AB155,IF(Case_Scenario="bear",AB156,"N/A")))</f>
        <v>0.05</v>
      </c>
      <c r="AC153" s="305">
        <f ca="1">IF(Case_Scenario="Bull",AC154,IF(Case_Scenario="Base",AC155,IF(Case_Scenario="bear",AC156,"N/A")))</f>
        <v>0.05</v>
      </c>
      <c r="AD153" s="306"/>
      <c r="AE153" s="306">
        <f ca="1">IF(Case_Scenario="Bull",AE154,IF(Case_Scenario="Base",AE155,IF(Case_Scenario="bear",AE156,"N/A")))</f>
        <v>0.05</v>
      </c>
      <c r="AF153" s="306">
        <f ca="1">IF(Case_Scenario="Bull",AF154,IF(Case_Scenario="Base",AF155,IF(Case_Scenario="bear",AF156,"N/A")))</f>
        <v>0.05</v>
      </c>
      <c r="AG153" s="306">
        <f ca="1">IF(Case_Scenario="Bull",AG154,IF(Case_Scenario="Base",AG155,IF(Case_Scenario="bear",AG156,"N/A")))</f>
        <v>0.05</v>
      </c>
      <c r="AH153" s="16"/>
      <c r="AI153" s="16"/>
      <c r="AJ153" s="16"/>
    </row>
    <row r="154" ht="12.75" customHeight="1" hidden="1" spans="1:36" x14ac:dyDescent="0.25" outlineLevel="1" collapsed="1">
      <c r="A154" s="16"/>
      <c r="B154" s="16"/>
      <c r="C154" s="139" t="s">
        <v>251</v>
      </c>
      <c r="D154" s="16"/>
      <c r="E154" s="168"/>
      <c r="F154" s="319"/>
      <c r="G154" s="319"/>
      <c r="H154" s="319"/>
      <c r="I154" s="319"/>
      <c r="J154" s="168"/>
      <c r="K154" s="319"/>
      <c r="L154" s="319"/>
      <c r="M154" s="319"/>
      <c r="N154" s="319"/>
      <c r="O154" s="168"/>
      <c r="P154" s="319"/>
      <c r="Q154" s="319"/>
      <c r="R154" s="319"/>
      <c r="S154" s="319"/>
      <c r="T154" s="168"/>
      <c r="U154" s="319"/>
      <c r="V154" s="319"/>
      <c r="W154" s="319"/>
      <c r="X154" s="320">
        <v>0.1</v>
      </c>
      <c r="Y154" s="321"/>
      <c r="Z154" s="320">
        <v>0.1</v>
      </c>
      <c r="AA154" s="320">
        <v>0.1</v>
      </c>
      <c r="AB154" s="320">
        <v>0.1</v>
      </c>
      <c r="AC154" s="320">
        <v>0.1</v>
      </c>
      <c r="AD154" s="321"/>
      <c r="AE154" s="321">
        <v>0.1</v>
      </c>
      <c r="AF154" s="321">
        <v>0.1</v>
      </c>
      <c r="AG154" s="321">
        <v>0.1</v>
      </c>
      <c r="AH154" s="16"/>
      <c r="AI154" s="16"/>
      <c r="AJ154" s="16"/>
    </row>
    <row r="155" ht="12.75" customHeight="1" hidden="1" spans="1:36" x14ac:dyDescent="0.25" outlineLevel="1" collapsed="1">
      <c r="A155" s="16"/>
      <c r="B155" s="16"/>
      <c r="C155" s="139" t="s">
        <v>252</v>
      </c>
      <c r="D155" s="16"/>
      <c r="E155" s="168"/>
      <c r="F155" s="319"/>
      <c r="G155" s="319"/>
      <c r="H155" s="319"/>
      <c r="I155" s="319"/>
      <c r="J155" s="168"/>
      <c r="K155" s="319"/>
      <c r="L155" s="319"/>
      <c r="M155" s="319"/>
      <c r="N155" s="319"/>
      <c r="O155" s="168"/>
      <c r="P155" s="319"/>
      <c r="Q155" s="319"/>
      <c r="R155" s="319"/>
      <c r="S155" s="319"/>
      <c r="T155" s="168"/>
      <c r="U155" s="319"/>
      <c r="V155" s="319"/>
      <c r="W155" s="319"/>
      <c r="X155" s="320">
        <v>0.05</v>
      </c>
      <c r="Y155" s="321"/>
      <c r="Z155" s="320">
        <v>0.05</v>
      </c>
      <c r="AA155" s="320">
        <v>0.05</v>
      </c>
      <c r="AB155" s="320">
        <v>0.05</v>
      </c>
      <c r="AC155" s="320">
        <v>0.05</v>
      </c>
      <c r="AD155" s="321"/>
      <c r="AE155" s="321">
        <v>0.05</v>
      </c>
      <c r="AF155" s="321">
        <v>0.05</v>
      </c>
      <c r="AG155" s="321">
        <v>0.05</v>
      </c>
      <c r="AH155" s="16"/>
      <c r="AI155" s="16"/>
      <c r="AJ155" s="16"/>
    </row>
    <row r="156" ht="12.75" customHeight="1" hidden="1" spans="1:36" x14ac:dyDescent="0.25" outlineLevel="1" collapsed="1">
      <c r="A156" s="16"/>
      <c r="B156" s="16"/>
      <c r="C156" s="139" t="s">
        <v>253</v>
      </c>
      <c r="D156" s="16"/>
      <c r="E156" s="168"/>
      <c r="F156" s="319"/>
      <c r="G156" s="319"/>
      <c r="H156" s="319"/>
      <c r="I156" s="319"/>
      <c r="J156" s="168"/>
      <c r="K156" s="319"/>
      <c r="L156" s="319"/>
      <c r="M156" s="319"/>
      <c r="N156" s="319"/>
      <c r="O156" s="168"/>
      <c r="P156" s="319"/>
      <c r="Q156" s="319"/>
      <c r="R156" s="319"/>
      <c r="S156" s="319"/>
      <c r="T156" s="168"/>
      <c r="U156" s="319"/>
      <c r="V156" s="319"/>
      <c r="W156" s="319"/>
      <c r="X156" s="320">
        <v>0</v>
      </c>
      <c r="Y156" s="321"/>
      <c r="Z156" s="320">
        <v>0</v>
      </c>
      <c r="AA156" s="320">
        <v>0</v>
      </c>
      <c r="AB156" s="320">
        <v>0</v>
      </c>
      <c r="AC156" s="320">
        <v>0</v>
      </c>
      <c r="AD156" s="321"/>
      <c r="AE156" s="321">
        <v>0</v>
      </c>
      <c r="AF156" s="321">
        <v>0</v>
      </c>
      <c r="AG156" s="321">
        <v>0</v>
      </c>
      <c r="AH156" s="16"/>
      <c r="AI156" s="16"/>
      <c r="AJ156" s="16"/>
    </row>
    <row r="157" ht="12.75" customHeight="1" hidden="1" spans="1:36" x14ac:dyDescent="0.25" outlineLevel="1" collapsed="1">
      <c r="A157" s="16"/>
      <c r="B157" s="16"/>
      <c r="C157" s="139" t="s">
        <v>166</v>
      </c>
      <c r="D157" s="16"/>
      <c r="E157" s="168"/>
      <c r="F157" s="317">
        <v>0</v>
      </c>
      <c r="G157" s="317">
        <v>0</v>
      </c>
      <c r="H157" s="317">
        <v>0</v>
      </c>
      <c r="I157" s="317">
        <v>0</v>
      </c>
      <c r="J157" s="287">
        <v>0</v>
      </c>
      <c r="K157" s="317">
        <v>0</v>
      </c>
      <c r="L157" s="317">
        <v>0</v>
      </c>
      <c r="M157" s="317">
        <v>0</v>
      </c>
      <c r="N157" s="317">
        <v>0</v>
      </c>
      <c r="O157" s="287">
        <v>0</v>
      </c>
      <c r="P157" s="317">
        <v>0</v>
      </c>
      <c r="Q157" s="317">
        <v>0</v>
      </c>
      <c r="R157" s="317">
        <v>0</v>
      </c>
      <c r="S157" s="317">
        <v>0</v>
      </c>
      <c r="T157" s="287">
        <v>0</v>
      </c>
      <c r="U157" s="317">
        <v>0</v>
      </c>
      <c r="V157" s="317">
        <v>0</v>
      </c>
      <c r="W157" s="317">
        <v>0</v>
      </c>
      <c r="X157" s="286">
        <f ca="1">W157*(1+X158)</f>
        <v>1e-12</v>
      </c>
      <c r="Y157" s="287">
        <v>0</v>
      </c>
      <c r="Z157" s="286">
        <f ca="1">X157*(1+Z158)</f>
        <v>1e-12</v>
      </c>
      <c r="AA157" s="286">
        <f t="shared" ref="AA157:AC157" si="158" ca="1">Z157*(1+AA158)</f>
        <v>1e-12</v>
      </c>
      <c r="AB157" s="286">
        <f ca="1">AA157*(1+AB158)</f>
        <v>1e-12</v>
      </c>
      <c r="AC157" s="286">
        <f ca="1">AB157*(1+AC158)</f>
        <v>1e-12</v>
      </c>
      <c r="AD157" s="287">
        <v>0</v>
      </c>
      <c r="AE157" s="287">
        <f t="shared" ref="AE157:AG157" si="159" ca="1">AD157*(1+AE158)</f>
        <v>1e-12</v>
      </c>
      <c r="AF157" s="287">
        <f ca="1">AE157*(1+AF158)</f>
        <v>1e-12</v>
      </c>
      <c r="AG157" s="287">
        <f ca="1">AF157*(1+AG158)</f>
        <v>1e-12</v>
      </c>
      <c r="AH157" s="16"/>
      <c r="AI157" s="16"/>
      <c r="AJ157" s="16"/>
    </row>
    <row r="158" ht="12.75" customHeight="1" hidden="1" spans="1:36" x14ac:dyDescent="0.25" outlineLevel="1" collapsed="1">
      <c r="A158" s="16"/>
      <c r="B158" s="16"/>
      <c r="C158" s="120" t="s">
        <v>257</v>
      </c>
      <c r="D158" s="16"/>
      <c r="E158" s="168"/>
      <c r="F158" s="319"/>
      <c r="G158" s="318" t="str">
        <f t="shared" ref="G158:I158" si="160" ca="1">IFERROR(G157/F157-1,"--")</f>
        <v>--</v>
      </c>
      <c r="H158" s="318" t="str">
        <f ca="1">IFERROR(H157/G157-1,"--")</f>
        <v>--</v>
      </c>
      <c r="I158" s="318" t="str">
        <f ca="1">IFERROR(I157/H157-1,"--")</f>
        <v>--</v>
      </c>
      <c r="J158" s="168"/>
      <c r="K158" s="318" t="str">
        <f ca="1">IFERROR(K157/I157-1,"--")</f>
        <v>--</v>
      </c>
      <c r="L158" s="318" t="str">
        <f t="shared" ref="L158:N158" si="161" ca="1">IFERROR(L157/K157-1,"--")</f>
        <v>--</v>
      </c>
      <c r="M158" s="318" t="str">
        <f ca="1">IFERROR(M157/L157-1,"--")</f>
        <v>--</v>
      </c>
      <c r="N158" s="318" t="str">
        <f ca="1">IFERROR(N157/M157-1,"--")</f>
        <v>--</v>
      </c>
      <c r="O158" s="306" t="str">
        <f ca="1">IFERROR(O157/J157-1,"--")</f>
        <v>--</v>
      </c>
      <c r="P158" s="318" t="str">
        <f ca="1">IFERROR(P157/N157-1,"--")</f>
        <v>--</v>
      </c>
      <c r="Q158" s="318" t="str">
        <f t="shared" ref="Q158:S158" si="162" ca="1">IFERROR(Q157/P157-1,"--")</f>
        <v>--</v>
      </c>
      <c r="R158" s="318" t="str">
        <f ca="1">IFERROR(R157/Q157-1,"--")</f>
        <v>--</v>
      </c>
      <c r="S158" s="318" t="str">
        <f ca="1">IFERROR(S157/R157-1,"--")</f>
        <v>--</v>
      </c>
      <c r="T158" s="306" t="str">
        <f ca="1">IFERROR(T157/O157-1,"--")</f>
        <v>--</v>
      </c>
      <c r="U158" s="318" t="str">
        <f ca="1">IFERROR(U157/S157-1,"--")</f>
        <v>--</v>
      </c>
      <c r="V158" s="318" t="str">
        <f t="shared" ref="V158:W158" si="163" ca="1">IFERROR(V157/U157-1,"--")</f>
        <v>--</v>
      </c>
      <c r="W158" s="318" t="str">
        <f ca="1">IFERROR(W157/V157-1,"--")</f>
        <v>--</v>
      </c>
      <c r="X158" s="305">
        <f ca="1">IF(Case_Scenario="Bull",X159,IF(Case_Scenario="Base",X160,IF(Case_Scenario="bear",X161,"N/A")))</f>
        <v>0</v>
      </c>
      <c r="Y158" s="326"/>
      <c r="Z158" s="305">
        <f ca="1">IF(Case_Scenario="Bull",Z159,IF(Case_Scenario="Base",Z160,IF(Case_Scenario="bear",Z161,"N/A")))</f>
        <v>0</v>
      </c>
      <c r="AA158" s="305">
        <f ca="1">IF(Case_Scenario="Bull",AA159,IF(Case_Scenario="Base",AA160,IF(Case_Scenario="bear",AA161,"N/A")))</f>
        <v>0</v>
      </c>
      <c r="AB158" s="305">
        <f ca="1">IF(Case_Scenario="Bull",AB159,IF(Case_Scenario="Base",AB160,IF(Case_Scenario="bear",AB161,"N/A")))</f>
        <v>0</v>
      </c>
      <c r="AC158" s="305">
        <f ca="1">IF(Case_Scenario="Bull",AC159,IF(Case_Scenario="Base",AC160,IF(Case_Scenario="bear",AC161,"N/A")))</f>
        <v>0</v>
      </c>
      <c r="AD158" s="306"/>
      <c r="AE158" s="306">
        <f ca="1">IF(Case_Scenario="Bull",AE159,IF(Case_Scenario="Base",AE160,IF(Case_Scenario="bear",AE161,"N/A")))</f>
        <v>0</v>
      </c>
      <c r="AF158" s="306">
        <f ca="1">IF(Case_Scenario="Bull",AF159,IF(Case_Scenario="Base",AF160,IF(Case_Scenario="bear",AF161,"N/A")))</f>
        <v>0</v>
      </c>
      <c r="AG158" s="306">
        <f ca="1">IF(Case_Scenario="Bull",AG159,IF(Case_Scenario="Base",AG160,IF(Case_Scenario="bear",AG161,"N/A")))</f>
        <v>0</v>
      </c>
      <c r="AH158" s="16"/>
      <c r="AI158" s="16"/>
      <c r="AJ158" s="16"/>
    </row>
    <row r="159" ht="12.75" customHeight="1" hidden="1" spans="1:36" x14ac:dyDescent="0.25" outlineLevel="1" collapsed="1">
      <c r="A159" s="16"/>
      <c r="B159" s="16"/>
      <c r="C159" s="139" t="s">
        <v>251</v>
      </c>
      <c r="D159" s="16"/>
      <c r="E159" s="168"/>
      <c r="F159" s="319"/>
      <c r="G159" s="319"/>
      <c r="H159" s="319"/>
      <c r="I159" s="319"/>
      <c r="J159" s="168"/>
      <c r="K159" s="319"/>
      <c r="L159" s="319"/>
      <c r="M159" s="319"/>
      <c r="N159" s="319"/>
      <c r="O159" s="168"/>
      <c r="P159" s="319"/>
      <c r="Q159" s="319"/>
      <c r="R159" s="319"/>
      <c r="S159" s="319"/>
      <c r="T159" s="168"/>
      <c r="U159" s="319"/>
      <c r="V159" s="319"/>
      <c r="W159" s="319"/>
      <c r="X159" s="320">
        <v>0</v>
      </c>
      <c r="Y159" s="321"/>
      <c r="Z159" s="320">
        <v>0</v>
      </c>
      <c r="AA159" s="320">
        <v>0</v>
      </c>
      <c r="AB159" s="320">
        <v>0</v>
      </c>
      <c r="AC159" s="320">
        <v>0</v>
      </c>
      <c r="AD159" s="321"/>
      <c r="AE159" s="321">
        <v>0</v>
      </c>
      <c r="AF159" s="321">
        <v>0</v>
      </c>
      <c r="AG159" s="321">
        <v>0</v>
      </c>
      <c r="AH159" s="16"/>
      <c r="AI159" s="16"/>
      <c r="AJ159" s="16"/>
    </row>
    <row r="160" ht="12.75" customHeight="1" hidden="1" spans="1:36" x14ac:dyDescent="0.25" outlineLevel="1" collapsed="1">
      <c r="A160" s="16"/>
      <c r="B160" s="16"/>
      <c r="C160" s="139" t="s">
        <v>252</v>
      </c>
      <c r="D160" s="16"/>
      <c r="E160" s="168"/>
      <c r="F160" s="319"/>
      <c r="G160" s="319"/>
      <c r="H160" s="319"/>
      <c r="I160" s="319"/>
      <c r="J160" s="168"/>
      <c r="K160" s="319"/>
      <c r="L160" s="319"/>
      <c r="M160" s="319"/>
      <c r="N160" s="319"/>
      <c r="O160" s="168"/>
      <c r="P160" s="319"/>
      <c r="Q160" s="319"/>
      <c r="R160" s="319"/>
      <c r="S160" s="319"/>
      <c r="T160" s="168"/>
      <c r="U160" s="319"/>
      <c r="V160" s="319"/>
      <c r="W160" s="319"/>
      <c r="X160" s="320">
        <v>0</v>
      </c>
      <c r="Y160" s="321"/>
      <c r="Z160" s="320">
        <v>0</v>
      </c>
      <c r="AA160" s="320">
        <v>0</v>
      </c>
      <c r="AB160" s="320">
        <v>0</v>
      </c>
      <c r="AC160" s="320">
        <v>0</v>
      </c>
      <c r="AD160" s="321"/>
      <c r="AE160" s="321">
        <v>0</v>
      </c>
      <c r="AF160" s="321">
        <v>0</v>
      </c>
      <c r="AG160" s="321">
        <v>0</v>
      </c>
      <c r="AH160" s="16"/>
      <c r="AI160" s="16"/>
      <c r="AJ160" s="16"/>
    </row>
    <row r="161" ht="12.75" customHeight="1" hidden="1" spans="1:36" x14ac:dyDescent="0.25" outlineLevel="1" collapsed="1">
      <c r="A161" s="16"/>
      <c r="B161" s="16"/>
      <c r="C161" s="139" t="s">
        <v>253</v>
      </c>
      <c r="D161" s="16"/>
      <c r="E161" s="168"/>
      <c r="F161" s="319"/>
      <c r="G161" s="319"/>
      <c r="H161" s="319"/>
      <c r="I161" s="319"/>
      <c r="J161" s="168"/>
      <c r="K161" s="319"/>
      <c r="L161" s="319"/>
      <c r="M161" s="319"/>
      <c r="N161" s="319"/>
      <c r="O161" s="168"/>
      <c r="P161" s="319"/>
      <c r="Q161" s="319"/>
      <c r="R161" s="319"/>
      <c r="S161" s="319"/>
      <c r="T161" s="168"/>
      <c r="U161" s="319"/>
      <c r="V161" s="319"/>
      <c r="W161" s="319"/>
      <c r="X161" s="320">
        <v>0</v>
      </c>
      <c r="Y161" s="321"/>
      <c r="Z161" s="320">
        <v>0</v>
      </c>
      <c r="AA161" s="320">
        <v>0</v>
      </c>
      <c r="AB161" s="320">
        <v>0</v>
      </c>
      <c r="AC161" s="320">
        <v>0</v>
      </c>
      <c r="AD161" s="321"/>
      <c r="AE161" s="321">
        <v>0</v>
      </c>
      <c r="AF161" s="321">
        <v>0</v>
      </c>
      <c r="AG161" s="321">
        <v>0</v>
      </c>
      <c r="AH161" s="16"/>
      <c r="AI161" s="16"/>
      <c r="AJ161" s="16"/>
    </row>
    <row r="162" ht="12.75" customHeight="1" spans="1:36" x14ac:dyDescent="0.25">
      <c r="A162" s="16"/>
      <c r="B162" s="16"/>
      <c r="C162" s="16"/>
      <c r="D162" s="16"/>
      <c r="E162" s="16"/>
      <c r="F162" s="315"/>
      <c r="G162" s="315"/>
      <c r="H162" s="315"/>
      <c r="I162" s="315"/>
      <c r="J162" s="16"/>
      <c r="K162" s="315"/>
      <c r="L162" s="315"/>
      <c r="M162" s="315"/>
      <c r="N162" s="315"/>
      <c r="O162" s="16"/>
      <c r="P162" s="315"/>
      <c r="Q162" s="315"/>
      <c r="R162" s="315"/>
      <c r="S162" s="315"/>
      <c r="T162" s="16"/>
      <c r="U162" s="315"/>
      <c r="V162" s="315"/>
      <c r="W162" s="315"/>
      <c r="X162" s="316"/>
      <c r="Y162" s="16"/>
      <c r="Z162" s="316"/>
      <c r="AA162" s="316"/>
      <c r="AB162" s="316"/>
      <c r="AC162" s="316"/>
      <c r="AD162" s="16"/>
      <c r="AE162" s="16"/>
      <c r="AF162" s="16"/>
      <c r="AG162" s="16"/>
      <c r="AH162" s="16"/>
      <c r="AI162" s="16"/>
      <c r="AJ162" s="16"/>
    </row>
    <row r="163" ht="12.75" customHeight="1" spans="1:36" x14ac:dyDescent="0.25">
      <c r="A163" s="264" t="s">
        <v>1</v>
      </c>
      <c r="B163" s="16"/>
      <c r="C163" s="62" t="s">
        <v>258</v>
      </c>
      <c r="D163" s="19"/>
      <c r="E163" s="19"/>
      <c r="F163" s="313" t="str">
        <f t="shared" ref="F163:AG163" si="164" ca="1">F$28</f>
        <v>1Q23</v>
      </c>
      <c r="G163" s="313" t="str">
        <f ca="1">G$28</f>
        <v>2Q23</v>
      </c>
      <c r="H163" s="313" t="str">
        <f ca="1">H$28</f>
        <v>3Q23</v>
      </c>
      <c r="I163" s="313" t="str">
        <f ca="1">I$28</f>
        <v>4Q23</v>
      </c>
      <c r="J163" s="313">
        <f ca="1">J$28</f>
        <v>2023</v>
      </c>
      <c r="K163" s="313" t="str">
        <f ca="1">K$28</f>
        <v>1Q24</v>
      </c>
      <c r="L163" s="313" t="str">
        <f ca="1">L$28</f>
        <v>2Q24</v>
      </c>
      <c r="M163" s="313" t="str">
        <f ca="1">M$28</f>
        <v>3Q24</v>
      </c>
      <c r="N163" s="313" t="str">
        <f ca="1">N$28</f>
        <v>4Q24</v>
      </c>
      <c r="O163" s="313">
        <f ca="1">O$28</f>
        <v>2024</v>
      </c>
      <c r="P163" s="313" t="str">
        <f ca="1">P$28</f>
        <v>1Q25</v>
      </c>
      <c r="Q163" s="313" t="str">
        <f ca="1">Q$28</f>
        <v>2Q25</v>
      </c>
      <c r="R163" s="313" t="str">
        <f ca="1">R$28</f>
        <v>3Q25</v>
      </c>
      <c r="S163" s="313" t="str">
        <f ca="1">S$28</f>
        <v>4Q25</v>
      </c>
      <c r="T163" s="313">
        <f ca="1">T$28</f>
        <v>2025</v>
      </c>
      <c r="U163" s="313" t="str">
        <f ca="1">U$28</f>
        <v>1Q26</v>
      </c>
      <c r="V163" s="313" t="str">
        <f ca="1">V$28</f>
        <v>2Q26</v>
      </c>
      <c r="W163" s="313" t="str">
        <f ca="1">W$28</f>
        <v>3Q26e</v>
      </c>
      <c r="X163" s="313" t="str">
        <f ca="1">X$28</f>
        <v>4Q26e</v>
      </c>
      <c r="Y163" s="313" t="str">
        <f ca="1">Y$28</f>
        <v>2026e</v>
      </c>
      <c r="Z163" s="313" t="str">
        <f ca="1">Z$28</f>
        <v>1Q27e</v>
      </c>
      <c r="AA163" s="313" t="str">
        <f ca="1">AA$28</f>
        <v>2Q27e</v>
      </c>
      <c r="AB163" s="313" t="str">
        <f ca="1">AB$28</f>
        <v>3Q27e</v>
      </c>
      <c r="AC163" s="313" t="str">
        <f ca="1">AC$28</f>
        <v>4Q27e</v>
      </c>
      <c r="AD163" s="313" t="str">
        <f ca="1">AD$28</f>
        <v>2027e</v>
      </c>
      <c r="AE163" s="313" t="str">
        <f ca="1">AE$28</f>
        <v>2028e</v>
      </c>
      <c r="AF163" s="313" t="str">
        <f ca="1">AF$28</f>
        <v>2029e</v>
      </c>
      <c r="AG163" s="314" t="str">
        <f ca="1">AG$28</f>
        <v>2030e</v>
      </c>
      <c r="AH163" s="277" t="s">
        <v>1</v>
      </c>
      <c r="AI163" s="16"/>
      <c r="AJ163" s="16"/>
    </row>
    <row r="164" ht="12.75" customHeight="1" spans="1:36" x14ac:dyDescent="0.25">
      <c r="A164" s="16"/>
      <c r="B164" s="16"/>
      <c r="C164" s="16"/>
      <c r="D164" s="16"/>
      <c r="E164" s="16"/>
      <c r="F164" s="328"/>
      <c r="G164" s="328"/>
      <c r="H164" s="328"/>
      <c r="I164" s="328"/>
      <c r="J164" s="329"/>
      <c r="K164" s="328"/>
      <c r="L164" s="328"/>
      <c r="M164" s="328"/>
      <c r="N164" s="328"/>
      <c r="O164" s="329"/>
      <c r="P164" s="328"/>
      <c r="Q164" s="328"/>
      <c r="R164" s="328"/>
      <c r="S164" s="328"/>
      <c r="T164" s="329"/>
      <c r="U164" s="328"/>
      <c r="V164" s="328"/>
      <c r="W164" s="328"/>
      <c r="X164" s="330"/>
      <c r="Y164" s="329"/>
      <c r="Z164" s="330"/>
      <c r="AA164" s="330"/>
      <c r="AB164" s="330"/>
      <c r="AC164" s="330"/>
      <c r="AD164" s="329"/>
      <c r="AE164" s="329"/>
      <c r="AF164" s="329"/>
      <c r="AG164" s="329"/>
      <c r="AH164" s="16"/>
      <c r="AI164" s="16"/>
      <c r="AJ164" s="16"/>
    </row>
    <row r="165" ht="12.75" customHeight="1" hidden="1" spans="1:36" x14ac:dyDescent="0.25" outlineLevel="1" collapsed="1">
      <c r="A165" s="16"/>
      <c r="B165" s="16"/>
      <c r="C165" s="139" t="str">
        <f ca="1">C32</f>
        <v>Home Improvement Retail Revenue</v>
      </c>
      <c r="D165" s="16"/>
      <c r="E165" s="16"/>
      <c r="F165" s="317">
        <f t="shared" ref="F165:W165" si="165" ca="1">F32</f>
        <v>17360</v>
      </c>
      <c r="G165" s="317">
        <f ca="1">G32</f>
        <v>20888</v>
      </c>
      <c r="H165" s="317">
        <f ca="1">H32</f>
        <v>17415</v>
      </c>
      <c r="I165" s="317">
        <f ca="1">I32</f>
        <v>15646</v>
      </c>
      <c r="J165" s="287">
        <f ca="1">J32</f>
        <v>71309</v>
      </c>
      <c r="K165" s="317">
        <f ca="1">K32</f>
        <v>17741</v>
      </c>
      <c r="L165" s="317">
        <f ca="1">L32</f>
        <v>20992</v>
      </c>
      <c r="M165" s="317">
        <f ca="1">M32</f>
        <v>17388</v>
      </c>
      <c r="N165" s="317">
        <f ca="1">N32</f>
        <v>16027</v>
      </c>
      <c r="O165" s="287">
        <f ca="1">O32</f>
        <v>72148</v>
      </c>
      <c r="P165" s="317">
        <f ca="1">P32</f>
        <v>19675</v>
      </c>
      <c r="Q165" s="317">
        <f ca="1">Q32</f>
        <v>27302</v>
      </c>
      <c r="R165" s="317">
        <f ca="1">R32</f>
        <v>22309</v>
      </c>
      <c r="S165" s="317">
        <f ca="1">S32</f>
        <v>20311</v>
      </c>
      <c r="T165" s="287">
        <f ca="1">T32</f>
        <v>89597</v>
      </c>
      <c r="U165" s="317">
        <f ca="1">U32</f>
        <v>24422</v>
      </c>
      <c r="V165" s="317">
        <f ca="1">V32</f>
        <v>27570</v>
      </c>
      <c r="W165" s="317">
        <f ca="1">W32</f>
        <v>22918</v>
      </c>
      <c r="X165" s="286">
        <f ca="1">X167/X172</f>
        <v>40415.200000000004</v>
      </c>
      <c r="Y165" s="287">
        <f ca="1">SUM(U165:X165)</f>
        <v>115325.20000000001</v>
      </c>
      <c r="Z165" s="286">
        <f t="shared" ref="Z165:AC165" si="166" ca="1">Z167/Z172</f>
        <v>42435.96</v>
      </c>
      <c r="AA165" s="286">
        <f ca="1">AA167/AA172</f>
        <v>44557.758</v>
      </c>
      <c r="AB165" s="286">
        <f ca="1">AB167/AB172</f>
        <v>46785.6459</v>
      </c>
      <c r="AC165" s="286">
        <f ca="1">AC167/AC172</f>
        <v>49124.92819500001</v>
      </c>
      <c r="AD165" s="287">
        <f ca="1">SUM(Z165:AC165)</f>
        <v>182904.292095</v>
      </c>
      <c r="AE165" s="287">
        <f t="shared" ref="AE165:AG165" si="167" ca="1">AE167/AE172</f>
        <v>192049.50669975</v>
      </c>
      <c r="AF165" s="287">
        <f ca="1">AF167/AF172</f>
        <v>201651.9820347375</v>
      </c>
      <c r="AG165" s="287">
        <f ca="1">AG167/AG172</f>
        <v>211734.5811364744</v>
      </c>
      <c r="AH165" s="16"/>
      <c r="AI165" s="16"/>
      <c r="AJ165" s="16"/>
    </row>
    <row r="166" ht="12.75" customHeight="1" hidden="1" spans="1:36" x14ac:dyDescent="0.25" outlineLevel="1" collapsed="1">
      <c r="A166" s="16"/>
      <c r="B166" s="16"/>
      <c r="C166" s="139" t="s">
        <v>244</v>
      </c>
      <c r="D166" s="16"/>
      <c r="E166" s="16"/>
      <c r="F166" s="331">
        <f ca="1">47179+9134</f>
        <v>56313</v>
      </c>
      <c r="G166" s="331">
        <f ca="1">46414+8942</f>
        <v>55356</v>
      </c>
      <c r="H166" s="331">
        <f ca="1">40127+12896</f>
        <v>53023</v>
      </c>
      <c r="I166" s="331">
        <f ca="1">42079+15055</f>
        <v>57134</v>
      </c>
      <c r="J166" s="326">
        <f ca="1">I166</f>
        <v>57134</v>
      </c>
      <c r="K166" s="331">
        <f ca="1">46463+16145</f>
        <v>62608</v>
      </c>
      <c r="L166" s="331">
        <f ca="1">44155+14185</f>
        <v>58340</v>
      </c>
      <c r="M166" s="331">
        <v>45852</v>
      </c>
      <c r="N166" s="331">
        <v>49577</v>
      </c>
      <c r="O166" s="326">
        <f ca="1">J166+O167-O165</f>
        <v>49577</v>
      </c>
      <c r="P166" s="331">
        <v>50404</v>
      </c>
      <c r="Q166" s="331">
        <v>51925</v>
      </c>
      <c r="R166" s="331">
        <v>57875</v>
      </c>
      <c r="S166" s="331">
        <v>57166</v>
      </c>
      <c r="T166" s="326">
        <f ca="1">O166+T167-T165</f>
        <v>57166</v>
      </c>
      <c r="U166" s="325">
        <v>50404</v>
      </c>
      <c r="V166" s="325">
        <v>51925</v>
      </c>
      <c r="W166" s="331">
        <v>57875</v>
      </c>
      <c r="X166" s="327">
        <f ca="1">W166+X167-X165</f>
        <v>47771.19999999999</v>
      </c>
      <c r="Y166" s="326">
        <f ca="1">T166+Y167-Y165</f>
        <v>47771.19999999998</v>
      </c>
      <c r="Z166" s="327">
        <f ca="1">X166+Z167-Z165</f>
        <v>37162.209999999985</v>
      </c>
      <c r="AA166" s="327">
        <f t="shared" ref="AA166:AC166" si="168" ca="1">Z166+AA167-AA165</f>
        <v>26022.770499999984</v>
      </c>
      <c r="AB166" s="327">
        <f ca="1">AA166+AB167-AB165</f>
        <v>14326.359024999983</v>
      </c>
      <c r="AC166" s="327">
        <f ca="1">AB166+AC167-AC165</f>
        <v>2045.1269762499796</v>
      </c>
      <c r="AD166" s="326">
        <f ca="1">Y166+AD167-AD165</f>
        <v>2045.1269762499724</v>
      </c>
      <c r="AE166" s="326">
        <f t="shared" ref="AE166:AG166" si="169" ca="1">AD166+AE167-AE165</f>
        <v>-45967.24969868752</v>
      </c>
      <c r="AF166" s="326">
        <f ca="1">AE166+AF167-AF165</f>
        <v>-96380.24520737189</v>
      </c>
      <c r="AG166" s="326">
        <f ca="1">AF166+AG167-AG165</f>
        <v>-149313.89049149049</v>
      </c>
      <c r="AH166" s="16"/>
      <c r="AI166" s="16"/>
      <c r="AJ166" s="16"/>
    </row>
    <row r="167" ht="12.75" customHeight="1" hidden="1" spans="1:36" x14ac:dyDescent="0.25" outlineLevel="1" collapsed="1">
      <c r="A167" s="16"/>
      <c r="B167" s="16"/>
      <c r="C167" s="139" t="s">
        <v>259</v>
      </c>
      <c r="D167" s="16"/>
      <c r="E167" s="16"/>
      <c r="F167" s="331">
        <f ca="1">F166+F165-(45187+12488)</f>
        <v>15998</v>
      </c>
      <c r="G167" s="331">
        <f t="shared" ref="G167:I167" si="170" ca="1">G166+G165-F166</f>
        <v>19931</v>
      </c>
      <c r="H167" s="331">
        <f ca="1">H166+H165-G166</f>
        <v>15082</v>
      </c>
      <c r="I167" s="331">
        <f ca="1">I166+I165-H166</f>
        <v>19757</v>
      </c>
      <c r="J167" s="326">
        <f ca="1">SUM(F167:I167)</f>
        <v>70768</v>
      </c>
      <c r="K167" s="331">
        <f t="shared" ref="K167:N167" si="171" ca="1">K166+K165-J166</f>
        <v>23215</v>
      </c>
      <c r="L167" s="331">
        <f ca="1">L166+L165-K166</f>
        <v>16724</v>
      </c>
      <c r="M167" s="331">
        <f ca="1">M166+M165-L166</f>
        <v>4900</v>
      </c>
      <c r="N167" s="331">
        <f ca="1">N166+N165-M166</f>
        <v>19752</v>
      </c>
      <c r="O167" s="326">
        <f ca="1">SUM(K167:N167)</f>
        <v>64591</v>
      </c>
      <c r="P167" s="331">
        <f t="shared" ref="P167:S167" si="172" ca="1">P166+P165-O166</f>
        <v>20502</v>
      </c>
      <c r="Q167" s="331">
        <f ca="1">Q166+Q165-P166</f>
        <v>28823</v>
      </c>
      <c r="R167" s="331">
        <f ca="1">R166+R165-Q166</f>
        <v>28259</v>
      </c>
      <c r="S167" s="331">
        <f ca="1">S166+S165-R166</f>
        <v>19602</v>
      </c>
      <c r="T167" s="326">
        <f ca="1">SUM(P167:S167)</f>
        <v>97186</v>
      </c>
      <c r="U167" s="325">
        <f t="shared" ref="U167:W167" si="173" ca="1">U166+U165-T166</f>
        <v>17660</v>
      </c>
      <c r="V167" s="325">
        <f ca="1">V166+V165-U166</f>
        <v>29091</v>
      </c>
      <c r="W167" s="331">
        <f ca="1">W166+W165-V166</f>
        <v>28868</v>
      </c>
      <c r="X167" s="327">
        <f ca="1">W167*(1+X168)</f>
        <v>30311.4</v>
      </c>
      <c r="Y167" s="326">
        <f ca="1">SUM(U167:X167)</f>
        <v>105930.4</v>
      </c>
      <c r="Z167" s="327">
        <f ca="1">X167*(1+Z168)</f>
        <v>31826.97</v>
      </c>
      <c r="AA167" s="327">
        <f t="shared" ref="AA167:AC167" si="174" ca="1">Z167*(1+AA168)</f>
        <v>33418.3185</v>
      </c>
      <c r="AB167" s="327">
        <f ca="1">AA167*(1+AB168)</f>
        <v>35089.234425</v>
      </c>
      <c r="AC167" s="327">
        <f ca="1">AB167*(1+AC168)</f>
        <v>36843.696146250004</v>
      </c>
      <c r="AD167" s="326">
        <f ca="1">SUM(Z167:AC167)</f>
        <v>137178.21907125</v>
      </c>
      <c r="AE167" s="326">
        <f t="shared" ref="AE167:AG167" si="175" ca="1">AD167*(1+AE168)</f>
        <v>144037.1300248125</v>
      </c>
      <c r="AF167" s="326">
        <f ca="1">AE167*(1+AF168)</f>
        <v>151238.98652605314</v>
      </c>
      <c r="AG167" s="326">
        <f ca="1">AF167*(1+AG168)</f>
        <v>158800.9358523558</v>
      </c>
      <c r="AH167" s="16"/>
      <c r="AI167" s="16"/>
      <c r="AJ167" s="16"/>
    </row>
    <row r="168" ht="12.75" customHeight="1" hidden="1" spans="1:36" x14ac:dyDescent="0.25" outlineLevel="1" collapsed="1">
      <c r="A168" s="16"/>
      <c r="B168" s="16"/>
      <c r="C168" s="120" t="s">
        <v>260</v>
      </c>
      <c r="D168" s="16"/>
      <c r="E168" s="16"/>
      <c r="F168" s="319"/>
      <c r="G168" s="318">
        <f t="shared" ref="G168:I168" si="176" ca="1">IFERROR(G167/F167-1,"--")</f>
        <v>0.24584323040380052</v>
      </c>
      <c r="H168" s="318">
        <f ca="1">IFERROR(H167/G167-1,"--")</f>
        <v>-0.24328934825146753</v>
      </c>
      <c r="I168" s="318">
        <f ca="1">IFERROR(I167/H167-1,"--")</f>
        <v>0.3099721522344516</v>
      </c>
      <c r="J168" s="168"/>
      <c r="K168" s="318">
        <f ca="1">IFERROR(K167/I167-1,"--")</f>
        <v>0.17502657286025203</v>
      </c>
      <c r="L168" s="318">
        <f t="shared" ref="L168:N168" si="177" ca="1">IFERROR(L167/K167-1,"--")</f>
        <v>-0.27960370450139993</v>
      </c>
      <c r="M168" s="318">
        <f ca="1">IFERROR(M167/L167-1,"--")</f>
        <v>-0.7070078928486008</v>
      </c>
      <c r="N168" s="318">
        <f ca="1">IFERROR(N167/M167-1,"--")</f>
        <v>3.0310204081632657</v>
      </c>
      <c r="O168" s="306">
        <f ca="1">IFERROR(O167/J167-1,"--")</f>
        <v>-0.0872852136558897</v>
      </c>
      <c r="P168" s="318">
        <f ca="1">IFERROR(P167/N167-1,"--")</f>
        <v>0.037970838396111706</v>
      </c>
      <c r="Q168" s="318">
        <f t="shared" ref="Q168:S168" si="178" ca="1">IFERROR(Q167/P167-1,"--")</f>
        <v>0.4058628426494977</v>
      </c>
      <c r="R168" s="318">
        <f ca="1">IFERROR(R167/Q167-1,"--")</f>
        <v>-0.019567706345626767</v>
      </c>
      <c r="S168" s="318">
        <f ca="1">IFERROR(S167/R167-1,"--")</f>
        <v>-0.3063448812767614</v>
      </c>
      <c r="T168" s="306">
        <f ca="1">IFERROR(T167/O167-1,"--")</f>
        <v>0.5046368689136258</v>
      </c>
      <c r="U168" s="318">
        <f ca="1">IFERROR(U167/S167-1,"--")</f>
        <v>-0.09907152331394753</v>
      </c>
      <c r="V168" s="318">
        <f t="shared" ref="V168:W168" si="179" ca="1">IFERROR(V167/U167-1,"--")</f>
        <v>0.6472819932049829</v>
      </c>
      <c r="W168" s="318">
        <f ca="1">IFERROR(W167/V167-1,"--")</f>
        <v>-0.007665601044996695</v>
      </c>
      <c r="X168" s="305">
        <f ca="1">IF(Case_Scenario="Bull",X169,IF(Case_Scenario="Base",X170,IF(Case_Scenario="bear",X171,"N/A")))</f>
        <v>0.05</v>
      </c>
      <c r="Y168" s="306"/>
      <c r="Z168" s="305">
        <f ca="1">IF(Case_Scenario="Bull",Z169,IF(Case_Scenario="Base",Z170,IF(Case_Scenario="bear",Z171,"N/A")))</f>
        <v>0.05</v>
      </c>
      <c r="AA168" s="305">
        <f ca="1">IF(Case_Scenario="Bull",AA169,IF(Case_Scenario="Base",AA170,IF(Case_Scenario="bear",AA171,"N/A")))</f>
        <v>0.05</v>
      </c>
      <c r="AB168" s="305">
        <f ca="1">IF(Case_Scenario="Bull",AB169,IF(Case_Scenario="Base",AB170,IF(Case_Scenario="bear",AB171,"N/A")))</f>
        <v>0.05</v>
      </c>
      <c r="AC168" s="305">
        <f ca="1">IF(Case_Scenario="Bull",AC169,IF(Case_Scenario="Base",AC170,IF(Case_Scenario="bear",AC171,"N/A")))</f>
        <v>0.05</v>
      </c>
      <c r="AD168" s="306"/>
      <c r="AE168" s="306">
        <f ca="1">IF(Case_Scenario="Bull",AE169,IF(Case_Scenario="Base",AE170,IF(Case_Scenario="bear",AE171,"N/A")))</f>
        <v>0.05</v>
      </c>
      <c r="AF168" s="306">
        <f ca="1">IF(Case_Scenario="Bull",AF169,IF(Case_Scenario="Base",AF170,IF(Case_Scenario="bear",AF171,"N/A")))</f>
        <v>0.05</v>
      </c>
      <c r="AG168" s="306">
        <f ca="1">IF(Case_Scenario="Bull",AG169,IF(Case_Scenario="Base",AG170,IF(Case_Scenario="bear",AG171,"N/A")))</f>
        <v>0.05</v>
      </c>
      <c r="AH168" s="16"/>
      <c r="AI168" s="16"/>
      <c r="AJ168" s="16"/>
    </row>
    <row r="169" ht="12.75" customHeight="1" hidden="1" spans="1:36" x14ac:dyDescent="0.25" outlineLevel="1" collapsed="1">
      <c r="A169" s="16"/>
      <c r="B169" s="16"/>
      <c r="C169" s="139" t="s">
        <v>251</v>
      </c>
      <c r="D169" s="16"/>
      <c r="E169" s="16"/>
      <c r="F169" s="319"/>
      <c r="G169" s="319"/>
      <c r="H169" s="319"/>
      <c r="I169" s="319"/>
      <c r="J169" s="168"/>
      <c r="K169" s="319"/>
      <c r="L169" s="319"/>
      <c r="M169" s="319"/>
      <c r="N169" s="319"/>
      <c r="O169" s="168"/>
      <c r="P169" s="319"/>
      <c r="Q169" s="319"/>
      <c r="R169" s="319"/>
      <c r="S169" s="319"/>
      <c r="T169" s="168"/>
      <c r="U169" s="319"/>
      <c r="V169" s="319"/>
      <c r="W169" s="319"/>
      <c r="X169" s="320">
        <v>0.1</v>
      </c>
      <c r="Y169" s="321"/>
      <c r="Z169" s="320">
        <v>0.1</v>
      </c>
      <c r="AA169" s="320">
        <v>0.1</v>
      </c>
      <c r="AB169" s="320">
        <v>0.1</v>
      </c>
      <c r="AC169" s="320">
        <v>0.1</v>
      </c>
      <c r="AD169" s="321"/>
      <c r="AE169" s="321">
        <v>0.1</v>
      </c>
      <c r="AF169" s="321">
        <v>0.1</v>
      </c>
      <c r="AG169" s="321">
        <v>0.1</v>
      </c>
      <c r="AH169" s="16"/>
      <c r="AI169" s="16"/>
      <c r="AJ169" s="16"/>
    </row>
    <row r="170" ht="12.75" customHeight="1" hidden="1" spans="1:36" x14ac:dyDescent="0.25" outlineLevel="1" collapsed="1">
      <c r="A170" s="16"/>
      <c r="B170" s="16"/>
      <c r="C170" s="139" t="s">
        <v>252</v>
      </c>
      <c r="D170" s="16"/>
      <c r="E170" s="16"/>
      <c r="F170" s="319"/>
      <c r="G170" s="319"/>
      <c r="H170" s="319"/>
      <c r="I170" s="319"/>
      <c r="J170" s="168"/>
      <c r="K170" s="319"/>
      <c r="L170" s="319"/>
      <c r="M170" s="319"/>
      <c r="N170" s="319"/>
      <c r="O170" s="168"/>
      <c r="P170" s="319"/>
      <c r="Q170" s="319"/>
      <c r="R170" s="319"/>
      <c r="S170" s="319"/>
      <c r="T170" s="168"/>
      <c r="U170" s="319"/>
      <c r="V170" s="319"/>
      <c r="W170" s="319"/>
      <c r="X170" s="320">
        <v>0.05</v>
      </c>
      <c r="Y170" s="321"/>
      <c r="Z170" s="320">
        <v>0.05</v>
      </c>
      <c r="AA170" s="320">
        <v>0.05</v>
      </c>
      <c r="AB170" s="320">
        <v>0.05</v>
      </c>
      <c r="AC170" s="320">
        <v>0.05</v>
      </c>
      <c r="AD170" s="321"/>
      <c r="AE170" s="321">
        <v>0.05</v>
      </c>
      <c r="AF170" s="321">
        <v>0.05</v>
      </c>
      <c r="AG170" s="321">
        <v>0.05</v>
      </c>
      <c r="AH170" s="16"/>
      <c r="AI170" s="16"/>
      <c r="AJ170" s="16"/>
    </row>
    <row r="171" ht="12.75" customHeight="1" hidden="1" spans="1:36" x14ac:dyDescent="0.25" outlineLevel="1" collapsed="1">
      <c r="A171" s="16"/>
      <c r="B171" s="16"/>
      <c r="C171" s="139" t="s">
        <v>253</v>
      </c>
      <c r="D171" s="16"/>
      <c r="E171" s="16"/>
      <c r="F171" s="319"/>
      <c r="G171" s="319"/>
      <c r="H171" s="319"/>
      <c r="I171" s="319"/>
      <c r="J171" s="168"/>
      <c r="K171" s="319"/>
      <c r="L171" s="319"/>
      <c r="M171" s="319"/>
      <c r="N171" s="319"/>
      <c r="O171" s="168"/>
      <c r="P171" s="319"/>
      <c r="Q171" s="319"/>
      <c r="R171" s="319"/>
      <c r="S171" s="319"/>
      <c r="T171" s="168"/>
      <c r="U171" s="319"/>
      <c r="V171" s="319"/>
      <c r="W171" s="319"/>
      <c r="X171" s="320">
        <v>0</v>
      </c>
      <c r="Y171" s="321"/>
      <c r="Z171" s="320">
        <v>0</v>
      </c>
      <c r="AA171" s="320">
        <v>0</v>
      </c>
      <c r="AB171" s="320">
        <v>0</v>
      </c>
      <c r="AC171" s="320">
        <v>0</v>
      </c>
      <c r="AD171" s="321"/>
      <c r="AE171" s="321">
        <v>0</v>
      </c>
      <c r="AF171" s="321">
        <v>0</v>
      </c>
      <c r="AG171" s="321">
        <v>0</v>
      </c>
      <c r="AH171" s="16"/>
      <c r="AI171" s="16"/>
      <c r="AJ171" s="16"/>
    </row>
    <row r="172" ht="12.75" customHeight="1" hidden="1" spans="1:36" x14ac:dyDescent="0.25" outlineLevel="1" collapsed="1">
      <c r="A172" s="16"/>
      <c r="B172" s="16"/>
      <c r="C172" s="139" t="s">
        <v>261</v>
      </c>
      <c r="D172" s="16"/>
      <c r="E172" s="16"/>
      <c r="F172" s="332">
        <f t="shared" ref="F172:W172" si="180" ca="1">F167/F165</f>
        <v>0.9215437788018433</v>
      </c>
      <c r="G172" s="332">
        <f ca="1">G167/G165</f>
        <v>0.9541842206051321</v>
      </c>
      <c r="H172" s="332">
        <f ca="1">H167/H165</f>
        <v>0.8660350272753373</v>
      </c>
      <c r="I172" s="332">
        <f ca="1">I167/I165</f>
        <v>1.2627508628403425</v>
      </c>
      <c r="J172" s="333">
        <f ca="1">J167/J165</f>
        <v>0.9924132998639723</v>
      </c>
      <c r="K172" s="332">
        <f ca="1">K167/K165</f>
        <v>1.3085508144974918</v>
      </c>
      <c r="L172" s="332">
        <f ca="1">L167/L165</f>
        <v>0.7966844512195121</v>
      </c>
      <c r="M172" s="332">
        <f ca="1">M167/M165</f>
        <v>0.28180354267310787</v>
      </c>
      <c r="N172" s="332">
        <f ca="1">N167/N165</f>
        <v>1.2324202907593436</v>
      </c>
      <c r="O172" s="333">
        <f ca="1">O167/O165</f>
        <v>0.8952569717802296</v>
      </c>
      <c r="P172" s="332">
        <f ca="1">P167/P165</f>
        <v>1.042033036848793</v>
      </c>
      <c r="Q172" s="332">
        <f ca="1">Q167/Q165</f>
        <v>1.0557102043806315</v>
      </c>
      <c r="R172" s="332">
        <f ca="1">R167/R165</f>
        <v>1.2667085032946344</v>
      </c>
      <c r="S172" s="332">
        <f ca="1">S167/S165</f>
        <v>0.9650928068534291</v>
      </c>
      <c r="T172" s="333">
        <f ca="1">T167/T165</f>
        <v>1.0847014967018984</v>
      </c>
      <c r="U172" s="332">
        <f ca="1">U167/U165</f>
        <v>0.7231184997133732</v>
      </c>
      <c r="V172" s="332">
        <f ca="1">V167/V165</f>
        <v>1.0551686615886833</v>
      </c>
      <c r="W172" s="332">
        <f ca="1">W167/W165</f>
        <v>1.2596212583995112</v>
      </c>
      <c r="X172" s="334">
        <f ca="1">IF(Case_Scenario="Bull",X173,IF(Case_Scenario="Base",X174,IF(Case_Scenario="bear",X175,"N/A")))</f>
        <v>0.75</v>
      </c>
      <c r="Y172" s="333">
        <f ca="1">AVERAGE(U172:X172)</f>
        <v>0.9469771049253919</v>
      </c>
      <c r="Z172" s="334">
        <f ca="1">IF(Case_Scenario="Bull",Z173,IF(Case_Scenario="Base",Z174,IF(Case_Scenario="bear",Z175,"N/A")))</f>
        <v>0.75</v>
      </c>
      <c r="AA172" s="334">
        <f ca="1">IF(Case_Scenario="Bull",AA173,IF(Case_Scenario="Base",AA174,IF(Case_Scenario="bear",AA175,"N/A")))</f>
        <v>0.75</v>
      </c>
      <c r="AB172" s="334">
        <f ca="1">IF(Case_Scenario="Bull",AB173,IF(Case_Scenario="Base",AB174,IF(Case_Scenario="bear",AB175,"N/A")))</f>
        <v>0.75</v>
      </c>
      <c r="AC172" s="334">
        <f ca="1">IF(Case_Scenario="Bull",AC173,IF(Case_Scenario="Base",AC174,IF(Case_Scenario="bear",AC175,"N/A")))</f>
        <v>0.75</v>
      </c>
      <c r="AD172" s="333">
        <f ca="1">AVERAGE(Z172:AC172)</f>
        <v>0.75</v>
      </c>
      <c r="AE172" s="333">
        <f ca="1">IF(Case_Scenario="Bull",AE173,IF(Case_Scenario="Base",AE174,IF(Case_Scenario="bear",AE175,"N/A")))</f>
        <v>0.75</v>
      </c>
      <c r="AF172" s="333">
        <f ca="1">IF(Case_Scenario="Bull",AF173,IF(Case_Scenario="Base",AF174,IF(Case_Scenario="bear",AF175,"N/A")))</f>
        <v>0.75</v>
      </c>
      <c r="AG172" s="333">
        <f ca="1">IF(Case_Scenario="Bull",AG173,IF(Case_Scenario="Base",AG174,IF(Case_Scenario="bear",AG175,"N/A")))</f>
        <v>0.75</v>
      </c>
      <c r="AH172" s="16"/>
      <c r="AI172" s="16"/>
      <c r="AJ172" s="16"/>
    </row>
    <row r="173" ht="12.75" customHeight="1" hidden="1" spans="1:36" x14ac:dyDescent="0.25" outlineLevel="1" collapsed="1">
      <c r="A173" s="16"/>
      <c r="B173" s="16"/>
      <c r="C173" s="139" t="s">
        <v>251</v>
      </c>
      <c r="D173" s="16"/>
      <c r="E173" s="16"/>
      <c r="F173" s="332"/>
      <c r="G173" s="335"/>
      <c r="H173" s="335"/>
      <c r="I173" s="335"/>
      <c r="J173" s="333"/>
      <c r="K173" s="335"/>
      <c r="L173" s="335"/>
      <c r="M173" s="335"/>
      <c r="N173" s="335"/>
      <c r="O173" s="336"/>
      <c r="P173" s="335"/>
      <c r="Q173" s="335"/>
      <c r="R173" s="335"/>
      <c r="S173" s="335"/>
      <c r="T173" s="336"/>
      <c r="U173" s="335"/>
      <c r="V173" s="335"/>
      <c r="W173" s="335"/>
      <c r="X173" s="337">
        <v>0.5</v>
      </c>
      <c r="Y173" s="338"/>
      <c r="Z173" s="337">
        <v>0.5</v>
      </c>
      <c r="AA173" s="337">
        <v>0.5</v>
      </c>
      <c r="AB173" s="337">
        <v>0.5</v>
      </c>
      <c r="AC173" s="337">
        <v>0.5</v>
      </c>
      <c r="AD173" s="338"/>
      <c r="AE173" s="338">
        <v>0.5</v>
      </c>
      <c r="AF173" s="338">
        <v>0.5</v>
      </c>
      <c r="AG173" s="338">
        <v>0.5</v>
      </c>
      <c r="AH173" s="16"/>
      <c r="AI173" s="16"/>
      <c r="AJ173" s="16"/>
    </row>
    <row r="174" ht="12.75" customHeight="1" hidden="1" spans="1:36" x14ac:dyDescent="0.25" outlineLevel="1" collapsed="1">
      <c r="A174" s="16"/>
      <c r="B174" s="16"/>
      <c r="C174" s="139" t="s">
        <v>252</v>
      </c>
      <c r="D174" s="16"/>
      <c r="E174" s="16"/>
      <c r="F174" s="332"/>
      <c r="G174" s="332"/>
      <c r="H174" s="332"/>
      <c r="I174" s="332"/>
      <c r="J174" s="333"/>
      <c r="K174" s="332"/>
      <c r="L174" s="332"/>
      <c r="M174" s="332"/>
      <c r="N174" s="332"/>
      <c r="O174" s="333"/>
      <c r="P174" s="332"/>
      <c r="Q174" s="332"/>
      <c r="R174" s="332"/>
      <c r="S174" s="332"/>
      <c r="T174" s="333"/>
      <c r="U174" s="332"/>
      <c r="V174" s="332"/>
      <c r="W174" s="332"/>
      <c r="X174" s="337">
        <v>0.75</v>
      </c>
      <c r="Y174" s="338"/>
      <c r="Z174" s="337">
        <v>0.75</v>
      </c>
      <c r="AA174" s="337">
        <v>0.75</v>
      </c>
      <c r="AB174" s="337">
        <v>0.75</v>
      </c>
      <c r="AC174" s="337">
        <v>0.75</v>
      </c>
      <c r="AD174" s="338"/>
      <c r="AE174" s="338">
        <v>0.75</v>
      </c>
      <c r="AF174" s="338">
        <v>0.75</v>
      </c>
      <c r="AG174" s="338">
        <v>0.75</v>
      </c>
      <c r="AH174" s="16"/>
      <c r="AI174" s="16"/>
      <c r="AJ174" s="16"/>
    </row>
    <row r="175" ht="12.75" customHeight="1" hidden="1" spans="1:36" x14ac:dyDescent="0.25" outlineLevel="1" collapsed="1">
      <c r="A175" s="16"/>
      <c r="B175" s="16"/>
      <c r="C175" s="139" t="s">
        <v>253</v>
      </c>
      <c r="D175" s="16"/>
      <c r="E175" s="16"/>
      <c r="F175" s="332"/>
      <c r="G175" s="332"/>
      <c r="H175" s="332"/>
      <c r="I175" s="332"/>
      <c r="J175" s="333"/>
      <c r="K175" s="332"/>
      <c r="L175" s="332"/>
      <c r="M175" s="332"/>
      <c r="N175" s="332"/>
      <c r="O175" s="333"/>
      <c r="P175" s="332"/>
      <c r="Q175" s="332"/>
      <c r="R175" s="332"/>
      <c r="S175" s="332"/>
      <c r="T175" s="333"/>
      <c r="U175" s="332"/>
      <c r="V175" s="332"/>
      <c r="W175" s="332"/>
      <c r="X175" s="337">
        <v>1</v>
      </c>
      <c r="Y175" s="338"/>
      <c r="Z175" s="337">
        <v>1</v>
      </c>
      <c r="AA175" s="337">
        <v>1</v>
      </c>
      <c r="AB175" s="337">
        <v>1</v>
      </c>
      <c r="AC175" s="337">
        <v>1</v>
      </c>
      <c r="AD175" s="338"/>
      <c r="AE175" s="338">
        <v>1</v>
      </c>
      <c r="AF175" s="338">
        <v>1</v>
      </c>
      <c r="AG175" s="338">
        <v>1</v>
      </c>
      <c r="AH175" s="16"/>
      <c r="AI175" s="16"/>
      <c r="AJ175" s="16"/>
    </row>
    <row r="176" ht="12.75" customHeight="1" hidden="1" spans="1:36" x14ac:dyDescent="0.25" outlineLevel="1" collapsed="1">
      <c r="A176" s="16"/>
      <c r="B176" s="16"/>
      <c r="C176" s="16"/>
      <c r="D176" s="16"/>
      <c r="E176" s="16"/>
      <c r="F176" s="319"/>
      <c r="G176" s="319"/>
      <c r="H176" s="319"/>
      <c r="I176" s="319"/>
      <c r="J176" s="168"/>
      <c r="K176" s="319"/>
      <c r="L176" s="319"/>
      <c r="M176" s="319"/>
      <c r="N176" s="319"/>
      <c r="O176" s="168"/>
      <c r="P176" s="319"/>
      <c r="Q176" s="319"/>
      <c r="R176" s="319"/>
      <c r="S176" s="319"/>
      <c r="T176" s="168"/>
      <c r="U176" s="319"/>
      <c r="V176" s="319"/>
      <c r="W176" s="319"/>
      <c r="X176" s="320"/>
      <c r="Y176" s="321"/>
      <c r="Z176" s="320"/>
      <c r="AA176" s="320"/>
      <c r="AB176" s="320"/>
      <c r="AC176" s="320"/>
      <c r="AD176" s="321"/>
      <c r="AE176" s="321"/>
      <c r="AF176" s="321"/>
      <c r="AG176" s="321"/>
      <c r="AH176" s="16"/>
      <c r="AI176" s="16"/>
      <c r="AJ176" s="16"/>
    </row>
    <row r="177" ht="12.75" customHeight="1" hidden="1" spans="1:36" x14ac:dyDescent="0.25" outlineLevel="1" collapsed="1">
      <c r="A177" s="264" t="s">
        <v>1</v>
      </c>
      <c r="B177" s="16"/>
      <c r="C177" s="139" t="str">
        <f ca="1">C35</f>
        <v>Segment 2 Revenue</v>
      </c>
      <c r="D177" s="16"/>
      <c r="E177" s="16"/>
      <c r="F177" s="317">
        <f t="shared" ref="F177:W177" si="181" ca="1">F35</f>
        <v>1e-12</v>
      </c>
      <c r="G177" s="317">
        <f ca="1">G35</f>
        <v>1e-12</v>
      </c>
      <c r="H177" s="317">
        <f ca="1">H35</f>
        <v>1e-12</v>
      </c>
      <c r="I177" s="317">
        <f ca="1">I35</f>
        <v>1e-12</v>
      </c>
      <c r="J177" s="287">
        <f ca="1">J35</f>
        <v>1e-12</v>
      </c>
      <c r="K177" s="317">
        <f ca="1">K35</f>
        <v>1e-12</v>
      </c>
      <c r="L177" s="317">
        <f ca="1">L35</f>
        <v>1e-12</v>
      </c>
      <c r="M177" s="317">
        <f ca="1">M35</f>
        <v>1e-12</v>
      </c>
      <c r="N177" s="317">
        <f ca="1">N35</f>
        <v>1e-12</v>
      </c>
      <c r="O177" s="287">
        <f ca="1">O35</f>
        <v>1e-12</v>
      </c>
      <c r="P177" s="317">
        <f ca="1">P35</f>
        <v>1e-12</v>
      </c>
      <c r="Q177" s="317">
        <f ca="1">Q35</f>
        <v>1e-12</v>
      </c>
      <c r="R177" s="317">
        <f ca="1">R35</f>
        <v>1e-12</v>
      </c>
      <c r="S177" s="317">
        <f ca="1">S35</f>
        <v>1e-12</v>
      </c>
      <c r="T177" s="287">
        <f ca="1">T35</f>
        <v>1e-12</v>
      </c>
      <c r="U177" s="317">
        <f ca="1">U35</f>
        <v>1e-12</v>
      </c>
      <c r="V177" s="317">
        <f ca="1">V35</f>
        <v>1e-12</v>
      </c>
      <c r="W177" s="317">
        <f ca="1">W35</f>
        <v>1e-12</v>
      </c>
      <c r="X177" s="286">
        <f ca="1">X179/X184</f>
        <v>-2233.5600000000004</v>
      </c>
      <c r="Y177" s="287">
        <f ca="1">SUM(U177:X177)</f>
        <v>-2233.5600000000004</v>
      </c>
      <c r="Z177" s="286">
        <f t="shared" ref="Z177:AC177" si="182" ca="1">Z179/Z184</f>
        <v>-2345.2380000000003</v>
      </c>
      <c r="AA177" s="286">
        <f ca="1">AA179/AA184</f>
        <v>-2462.4999000000007</v>
      </c>
      <c r="AB177" s="286">
        <f ca="1">AB179/AB184</f>
        <v>-2585.624895000001</v>
      </c>
      <c r="AC177" s="286">
        <f ca="1">AC179/AC184</f>
        <v>-2714.906139750001</v>
      </c>
      <c r="AD177" s="287">
        <f ca="1">SUM(Z177:AC177)</f>
        <v>-10108.268934750002</v>
      </c>
      <c r="AE177" s="287">
        <f t="shared" ref="AE177:AG177" si="183" ca="1">AE179/AE184</f>
        <v>-10613.682381487506</v>
      </c>
      <c r="AF177" s="287">
        <f ca="1">AF179/AF184</f>
        <v>-11144.36650056188</v>
      </c>
      <c r="AG177" s="287">
        <f ca="1">AG179/AG184</f>
        <v>-11701.584825589975</v>
      </c>
      <c r="AH177" s="16"/>
      <c r="AI177" s="16"/>
      <c r="AJ177" s="16"/>
    </row>
    <row r="178" ht="12.75" customHeight="1" hidden="1" spans="1:36" x14ac:dyDescent="0.25" outlineLevel="1" collapsed="1">
      <c r="A178" s="16"/>
      <c r="B178" s="16"/>
      <c r="C178" s="139" t="s">
        <v>244</v>
      </c>
      <c r="D178" s="16"/>
      <c r="E178" s="16"/>
      <c r="F178" s="325">
        <f ca="1">422982+632</f>
        <v>423614</v>
      </c>
      <c r="G178" s="325">
        <f ca="1">416576+282</f>
        <v>416858</v>
      </c>
      <c r="H178" s="325">
        <f ca="1">408756+219</f>
        <v>408975</v>
      </c>
      <c r="I178" s="325">
        <f ca="1">416198+160</f>
        <v>416358</v>
      </c>
      <c r="J178" s="326">
        <f ca="1">431408+216+J179-J177</f>
        <v>416358</v>
      </c>
      <c r="K178" s="325">
        <f ca="1">415086+1810</f>
        <v>416896</v>
      </c>
      <c r="L178" s="325">
        <f ca="1">423446+376</f>
        <v>423822</v>
      </c>
      <c r="M178" s="325">
        <v>412185</v>
      </c>
      <c r="N178" s="325">
        <v>421345</v>
      </c>
      <c r="O178" s="326">
        <f ca="1">J178+O179-O177</f>
        <v>421345</v>
      </c>
      <c r="P178" s="325">
        <v>415377</v>
      </c>
      <c r="Q178" s="325">
        <v>415723</v>
      </c>
      <c r="R178" s="325">
        <v>413064</v>
      </c>
      <c r="S178" s="325">
        <v>412307</v>
      </c>
      <c r="T178" s="326">
        <f ca="1">O178+T179-T177</f>
        <v>412307</v>
      </c>
      <c r="U178" s="325">
        <v>415377</v>
      </c>
      <c r="V178" s="325">
        <v>415723</v>
      </c>
      <c r="W178" s="325">
        <v>413064</v>
      </c>
      <c r="X178" s="327">
        <f ca="1">W178+X179-X177</f>
        <v>412505.61</v>
      </c>
      <c r="Y178" s="326">
        <f ca="1">T178+Y179-Y177</f>
        <v>412505.61</v>
      </c>
      <c r="Z178" s="327">
        <f ca="1">X178+Z179-Z177</f>
        <v>411919.3005</v>
      </c>
      <c r="AA178" s="327">
        <f t="shared" ref="AA178:AC178" si="184" ca="1">Z178+AA179-AA177</f>
        <v>411303.675525</v>
      </c>
      <c r="AB178" s="327">
        <f ca="1">AA178+AB179-AB177</f>
        <v>410657.26930125005</v>
      </c>
      <c r="AC178" s="327">
        <f ca="1">AB178+AC179-AC177</f>
        <v>409978.54276631254</v>
      </c>
      <c r="AD178" s="326">
        <f ca="1">Y178+AD179-AD177</f>
        <v>409978.5427663125</v>
      </c>
      <c r="AE178" s="326">
        <f t="shared" ref="AE178:AG178" si="185" ca="1">AD178+AE179-AE177</f>
        <v>407325.1221709406</v>
      </c>
      <c r="AF178" s="326">
        <f ca="1">AE178+AF179-AF177</f>
        <v>404539.03054580017</v>
      </c>
      <c r="AG178" s="326">
        <f ca="1">AF178+AG179-AG177</f>
        <v>401613.63433940266</v>
      </c>
      <c r="AH178" s="16"/>
      <c r="AI178" s="16"/>
      <c r="AJ178" s="16"/>
    </row>
    <row r="179" ht="12.75" customHeight="1" hidden="1" spans="1:36" x14ac:dyDescent="0.25" outlineLevel="1" collapsed="1">
      <c r="A179" s="16"/>
      <c r="B179" s="16"/>
      <c r="C179" s="139" t="s">
        <v>259</v>
      </c>
      <c r="D179" s="16"/>
      <c r="E179" s="16"/>
      <c r="F179" s="325">
        <f ca="1">F178+F177-(431408+216)</f>
        <v>-8010</v>
      </c>
      <c r="G179" s="325">
        <f t="shared" ref="G179:I179" si="186" ca="1">G178+G177-F178</f>
        <v>-6756</v>
      </c>
      <c r="H179" s="325">
        <f ca="1">H178+H177-G178</f>
        <v>-7883</v>
      </c>
      <c r="I179" s="325">
        <f ca="1">I178+I177-H178</f>
        <v>7383</v>
      </c>
      <c r="J179" s="326">
        <f ca="1">SUM(F179:I179)</f>
        <v>-15266</v>
      </c>
      <c r="K179" s="325">
        <f t="shared" ref="K179:N179" si="187" ca="1">K178+K177-J178</f>
        <v>538</v>
      </c>
      <c r="L179" s="325">
        <f ca="1">L178+L177-K178</f>
        <v>6926</v>
      </c>
      <c r="M179" s="325">
        <f ca="1">M178+M177-L178</f>
        <v>-11637</v>
      </c>
      <c r="N179" s="325">
        <f ca="1">N178+N177-M178</f>
        <v>9160</v>
      </c>
      <c r="O179" s="326">
        <f ca="1">SUM(K179:N179)</f>
        <v>4987</v>
      </c>
      <c r="P179" s="325">
        <f t="shared" ref="P179:S179" si="188" ca="1">P178+P177-O178</f>
        <v>-5968</v>
      </c>
      <c r="Q179" s="325">
        <f ca="1">Q178+Q177-P178</f>
        <v>346</v>
      </c>
      <c r="R179" s="325">
        <f ca="1">R178+R177-Q178</f>
        <v>-2659</v>
      </c>
      <c r="S179" s="325">
        <f ca="1">S178+S177-R178</f>
        <v>-757</v>
      </c>
      <c r="T179" s="326">
        <f ca="1">SUM(P179:S179)</f>
        <v>-9038</v>
      </c>
      <c r="U179" s="325">
        <f t="shared" ref="U179:W179" si="189" ca="1">U178+U177-T178</f>
        <v>3070</v>
      </c>
      <c r="V179" s="325">
        <f ca="1">V178+V177-U178</f>
        <v>346</v>
      </c>
      <c r="W179" s="325">
        <f ca="1">W178+W177-V178</f>
        <v>-2659</v>
      </c>
      <c r="X179" s="327">
        <f ca="1">W179*(1+X180)</f>
        <v>-2791.9500000000003</v>
      </c>
      <c r="Y179" s="326">
        <f ca="1">SUM(U179:X179)</f>
        <v>-2034.9500000000003</v>
      </c>
      <c r="Z179" s="327">
        <f ca="1">X179*(1+Z180)</f>
        <v>-2931.5475000000006</v>
      </c>
      <c r="AA179" s="327">
        <f t="shared" ref="AA179:AC179" si="190" ca="1">Z179*(1+AA180)</f>
        <v>-3078.124875000001</v>
      </c>
      <c r="AB179" s="327">
        <f ca="1">AA179*(1+AB180)</f>
        <v>-3232.031118750001</v>
      </c>
      <c r="AC179" s="327">
        <f ca="1">AB179*(1+AC180)</f>
        <v>-3393.632674687501</v>
      </c>
      <c r="AD179" s="326">
        <f ca="1">SUM(Z179:AC179)</f>
        <v>-12635.336168437505</v>
      </c>
      <c r="AE179" s="326">
        <f t="shared" ref="AE179:AG179" si="191" ca="1">AD179*(1+AE180)</f>
        <v>-13267.102976859382</v>
      </c>
      <c r="AF179" s="326">
        <f ca="1">AE179*(1+AF180)</f>
        <v>-13930.458125702351</v>
      </c>
      <c r="AG179" s="326">
        <f ca="1">AF179*(1+AG180)</f>
        <v>-14626.981031987469</v>
      </c>
      <c r="AH179" s="16"/>
      <c r="AI179" s="16"/>
      <c r="AJ179" s="16"/>
    </row>
    <row r="180" ht="12.75" customHeight="1" hidden="1" spans="1:36" x14ac:dyDescent="0.25" outlineLevel="1" collapsed="1">
      <c r="A180" s="16"/>
      <c r="B180" s="16"/>
      <c r="C180" s="120" t="s">
        <v>260</v>
      </c>
      <c r="D180" s="16"/>
      <c r="E180" s="16"/>
      <c r="F180" s="319"/>
      <c r="G180" s="318">
        <f t="shared" ref="G180:I180" si="192" ca="1">IFERROR(G179/F179-1,"--")</f>
        <v>-0.15655430711610485</v>
      </c>
      <c r="H180" s="318">
        <f ca="1">IFERROR(H179/G179-1,"--")</f>
        <v>0.16681468324452342</v>
      </c>
      <c r="I180" s="318">
        <f ca="1">IFERROR(I179/H179-1,"--")</f>
        <v>-1.9365723709247749</v>
      </c>
      <c r="J180" s="168"/>
      <c r="K180" s="318">
        <f ca="1">IFERROR(K179/I179-1,"--")</f>
        <v>-0.9271298929974265</v>
      </c>
      <c r="L180" s="318">
        <f t="shared" ref="L180:N180" si="193" ca="1">IFERROR(L179/K179-1,"--")</f>
        <v>11.87360594795539</v>
      </c>
      <c r="M180" s="318">
        <f ca="1">IFERROR(M179/L179-1,"--")</f>
        <v>-2.680190586196939</v>
      </c>
      <c r="N180" s="318">
        <f ca="1">IFERROR(N179/M179-1,"--")</f>
        <v>-1.7871444530377245</v>
      </c>
      <c r="O180" s="306">
        <f ca="1">IFERROR(O179/J179-1,"--")</f>
        <v>-1.3266736538713482</v>
      </c>
      <c r="P180" s="318">
        <f ca="1">IFERROR(P179/N179-1,"--")</f>
        <v>-1.6515283842794761</v>
      </c>
      <c r="Q180" s="318">
        <f t="shared" ref="Q180:S180" si="194" ca="1">IFERROR(Q179/P179-1,"--")</f>
        <v>-1.0579758713136729</v>
      </c>
      <c r="R180" s="318">
        <f ca="1">IFERROR(R179/Q179-1,"--")</f>
        <v>-8.684971098265896</v>
      </c>
      <c r="S180" s="318">
        <f ca="1">IFERROR(S179/R179-1,"--")</f>
        <v>-0.7153065062053403</v>
      </c>
      <c r="T180" s="306">
        <f ca="1">IFERROR(T179/O179-1,"--")</f>
        <v>-2.8123120112291957</v>
      </c>
      <c r="U180" s="318">
        <f ca="1">IFERROR(U179/S179-1,"--")</f>
        <v>-5.0554821664465</v>
      </c>
      <c r="V180" s="318">
        <f t="shared" ref="V180:W180" si="195" ca="1">IFERROR(V179/U179-1,"--")</f>
        <v>-0.8872964169381108</v>
      </c>
      <c r="W180" s="318">
        <f ca="1">IFERROR(W179/V179-1,"--")</f>
        <v>-8.684971098265896</v>
      </c>
      <c r="X180" s="305">
        <f ca="1">IF(Case_Scenario="Bull",X181,IF(Case_Scenario="Base",X182,IF(Case_Scenario="bear",X183,"N/A")))</f>
        <v>0.05</v>
      </c>
      <c r="Y180" s="306"/>
      <c r="Z180" s="305">
        <f ca="1">IF(Case_Scenario="Bull",Z181,IF(Case_Scenario="Base",Z182,IF(Case_Scenario="bear",Z183,"N/A")))</f>
        <v>0.05</v>
      </c>
      <c r="AA180" s="305">
        <f ca="1">IF(Case_Scenario="Bull",AA181,IF(Case_Scenario="Base",AA182,IF(Case_Scenario="bear",AA183,"N/A")))</f>
        <v>0.05</v>
      </c>
      <c r="AB180" s="305">
        <f ca="1">IF(Case_Scenario="Bull",AB181,IF(Case_Scenario="Base",AB182,IF(Case_Scenario="bear",AB183,"N/A")))</f>
        <v>0.05</v>
      </c>
      <c r="AC180" s="305">
        <f ca="1">IF(Case_Scenario="Bull",AC181,IF(Case_Scenario="Base",AC182,IF(Case_Scenario="bear",AC183,"N/A")))</f>
        <v>0.05</v>
      </c>
      <c r="AD180" s="306"/>
      <c r="AE180" s="306">
        <f ca="1">IF(Case_Scenario="Bull",AE181,IF(Case_Scenario="Base",AE182,IF(Case_Scenario="bear",AE183,"N/A")))</f>
        <v>0.05</v>
      </c>
      <c r="AF180" s="306">
        <f ca="1">IF(Case_Scenario="Bull",AF181,IF(Case_Scenario="Base",AF182,IF(Case_Scenario="bear",AF183,"N/A")))</f>
        <v>0.05</v>
      </c>
      <c r="AG180" s="306">
        <f ca="1">IF(Case_Scenario="Bull",AG181,IF(Case_Scenario="Base",AG182,IF(Case_Scenario="bear",AG183,"N/A")))</f>
        <v>0.05</v>
      </c>
      <c r="AH180" s="16"/>
      <c r="AI180" s="16"/>
      <c r="AJ180" s="16"/>
    </row>
    <row r="181" ht="12.75" customHeight="1" hidden="1" spans="1:36" x14ac:dyDescent="0.25" outlineLevel="1" collapsed="1">
      <c r="A181" s="16"/>
      <c r="B181" s="16"/>
      <c r="C181" s="139" t="s">
        <v>251</v>
      </c>
      <c r="D181" s="16"/>
      <c r="E181" s="16"/>
      <c r="F181" s="319"/>
      <c r="G181" s="319"/>
      <c r="H181" s="319"/>
      <c r="I181" s="319"/>
      <c r="J181" s="168"/>
      <c r="K181" s="319"/>
      <c r="L181" s="319"/>
      <c r="M181" s="319"/>
      <c r="N181" s="319"/>
      <c r="O181" s="168"/>
      <c r="P181" s="319"/>
      <c r="Q181" s="319"/>
      <c r="R181" s="319"/>
      <c r="S181" s="319"/>
      <c r="T181" s="168"/>
      <c r="U181" s="319"/>
      <c r="V181" s="319"/>
      <c r="W181" s="319"/>
      <c r="X181" s="320">
        <v>0.1</v>
      </c>
      <c r="Y181" s="321"/>
      <c r="Z181" s="320">
        <v>0.1</v>
      </c>
      <c r="AA181" s="320">
        <v>0.1</v>
      </c>
      <c r="AB181" s="320">
        <v>0.1</v>
      </c>
      <c r="AC181" s="320">
        <v>0.1</v>
      </c>
      <c r="AD181" s="321"/>
      <c r="AE181" s="321">
        <v>0.1</v>
      </c>
      <c r="AF181" s="321">
        <v>0.1</v>
      </c>
      <c r="AG181" s="321">
        <v>0.1</v>
      </c>
      <c r="AH181" s="16"/>
      <c r="AI181" s="16"/>
      <c r="AJ181" s="16"/>
    </row>
    <row r="182" ht="12.75" customHeight="1" hidden="1" spans="1:36" x14ac:dyDescent="0.25" outlineLevel="1" collapsed="1">
      <c r="A182" s="16"/>
      <c r="B182" s="16"/>
      <c r="C182" s="139" t="s">
        <v>252</v>
      </c>
      <c r="D182" s="16"/>
      <c r="E182" s="16"/>
      <c r="F182" s="319"/>
      <c r="G182" s="319"/>
      <c r="H182" s="319"/>
      <c r="I182" s="319"/>
      <c r="J182" s="168"/>
      <c r="K182" s="319"/>
      <c r="L182" s="319"/>
      <c r="M182" s="319"/>
      <c r="N182" s="319"/>
      <c r="O182" s="168"/>
      <c r="P182" s="319"/>
      <c r="Q182" s="319"/>
      <c r="R182" s="319"/>
      <c r="S182" s="319"/>
      <c r="T182" s="168"/>
      <c r="U182" s="319"/>
      <c r="V182" s="319"/>
      <c r="W182" s="319"/>
      <c r="X182" s="320">
        <v>0.05</v>
      </c>
      <c r="Y182" s="321"/>
      <c r="Z182" s="320">
        <v>0.05</v>
      </c>
      <c r="AA182" s="320">
        <v>0.05</v>
      </c>
      <c r="AB182" s="320">
        <v>0.05</v>
      </c>
      <c r="AC182" s="320">
        <v>0.05</v>
      </c>
      <c r="AD182" s="321"/>
      <c r="AE182" s="321">
        <v>0.05</v>
      </c>
      <c r="AF182" s="321">
        <v>0.05</v>
      </c>
      <c r="AG182" s="321">
        <v>0.05</v>
      </c>
      <c r="AH182" s="16"/>
      <c r="AI182" s="16"/>
      <c r="AJ182" s="16"/>
    </row>
    <row r="183" ht="12.75" customHeight="1" hidden="1" spans="1:36" x14ac:dyDescent="0.25" outlineLevel="1" collapsed="1">
      <c r="A183" s="16"/>
      <c r="B183" s="16"/>
      <c r="C183" s="139" t="s">
        <v>253</v>
      </c>
      <c r="D183" s="16"/>
      <c r="E183" s="16"/>
      <c r="F183" s="319"/>
      <c r="G183" s="319"/>
      <c r="H183" s="319"/>
      <c r="I183" s="319"/>
      <c r="J183" s="168"/>
      <c r="K183" s="319"/>
      <c r="L183" s="319"/>
      <c r="M183" s="319"/>
      <c r="N183" s="319"/>
      <c r="O183" s="168"/>
      <c r="P183" s="319"/>
      <c r="Q183" s="319"/>
      <c r="R183" s="319"/>
      <c r="S183" s="319"/>
      <c r="T183" s="168"/>
      <c r="U183" s="319"/>
      <c r="V183" s="319"/>
      <c r="W183" s="319"/>
      <c r="X183" s="320">
        <v>0</v>
      </c>
      <c r="Y183" s="321"/>
      <c r="Z183" s="320">
        <v>0</v>
      </c>
      <c r="AA183" s="320">
        <v>0</v>
      </c>
      <c r="AB183" s="320">
        <v>0</v>
      </c>
      <c r="AC183" s="320">
        <v>0</v>
      </c>
      <c r="AD183" s="321"/>
      <c r="AE183" s="321">
        <v>0</v>
      </c>
      <c r="AF183" s="321">
        <v>0</v>
      </c>
      <c r="AG183" s="321">
        <v>0</v>
      </c>
      <c r="AH183" s="16"/>
      <c r="AI183" s="16"/>
      <c r="AJ183" s="16"/>
    </row>
    <row r="184" ht="12.75" customHeight="1" hidden="1" spans="1:36" x14ac:dyDescent="0.25" outlineLevel="1" collapsed="1">
      <c r="A184" s="16"/>
      <c r="B184" s="16"/>
      <c r="C184" s="139" t="s">
        <v>261</v>
      </c>
      <c r="D184" s="16"/>
      <c r="E184" s="16"/>
      <c r="F184" s="339">
        <f ca="1">F179/F177</f>
      </c>
      <c r="G184" s="339">
        <f ca="1">G179/G177</f>
      </c>
      <c r="H184" s="339">
        <f ca="1">H179/H177</f>
      </c>
      <c r="I184" s="339">
        <f ca="1">I179/I177</f>
      </c>
      <c r="J184" s="340">
        <f ca="1">J179/J177</f>
      </c>
      <c r="K184" s="339">
        <f ca="1">K179/K177</f>
      </c>
      <c r="L184" s="339">
        <f ca="1">L179/L177</f>
      </c>
      <c r="M184" s="339">
        <f ca="1">M179/M177</f>
      </c>
      <c r="N184" s="339">
        <f ca="1">N179/N177</f>
      </c>
      <c r="O184" s="340">
        <f ca="1">O179/O177</f>
      </c>
      <c r="P184" s="339">
        <f ca="1">P179/P177</f>
      </c>
      <c r="Q184" s="339">
        <f ca="1">Q179/Q177</f>
      </c>
      <c r="R184" s="339">
        <f ca="1">R179/R177</f>
      </c>
      <c r="S184" s="339">
        <f ca="1">S179/S177</f>
      </c>
      <c r="T184" s="340">
        <f ca="1">T179/T177</f>
      </c>
      <c r="U184" s="339">
        <f ca="1">U179/U177</f>
      </c>
      <c r="V184" s="339">
        <f ca="1">V179/V177</f>
      </c>
      <c r="W184" s="339">
        <f ca="1">W179/W177</f>
      </c>
      <c r="X184" s="334">
        <f ca="1">IF(Case_Scenario="Bull",X185,IF(Case_Scenario="Base",X186,IF(Case_Scenario="bear",X187,"N/A")))</f>
        <v>1.25</v>
      </c>
      <c r="Y184" s="333">
        <f ca="1">AVERAGE(U184:X184)</f>
      </c>
      <c r="Z184" s="334">
        <f ca="1">IF(Case_Scenario="Bull",Z185,IF(Case_Scenario="Base",Z186,IF(Case_Scenario="bear",Z187,"N/A")))</f>
        <v>1.25</v>
      </c>
      <c r="AA184" s="334">
        <f ca="1">IF(Case_Scenario="Bull",AA185,IF(Case_Scenario="Base",AA186,IF(Case_Scenario="bear",AA187,"N/A")))</f>
        <v>1.25</v>
      </c>
      <c r="AB184" s="334">
        <f ca="1">IF(Case_Scenario="Bull",AB185,IF(Case_Scenario="Base",AB186,IF(Case_Scenario="bear",AB187,"N/A")))</f>
        <v>1.25</v>
      </c>
      <c r="AC184" s="334">
        <f ca="1">IF(Case_Scenario="Bull",AC185,IF(Case_Scenario="Base",AC186,IF(Case_Scenario="bear",AC187,"N/A")))</f>
        <v>1.25</v>
      </c>
      <c r="AD184" s="333">
        <f ca="1">AVERAGE(Z184:AC184)</f>
        <v>1.25</v>
      </c>
      <c r="AE184" s="333">
        <f ca="1">IF(Case_Scenario="Bull",AE185,IF(Case_Scenario="Base",AE186,IF(Case_Scenario="bear",AE187,"N/A")))</f>
        <v>1.25</v>
      </c>
      <c r="AF184" s="333">
        <f ca="1">IF(Case_Scenario="Bull",AF185,IF(Case_Scenario="Base",AF186,IF(Case_Scenario="bear",AF187,"N/A")))</f>
        <v>1.25</v>
      </c>
      <c r="AG184" s="333">
        <f ca="1">IF(Case_Scenario="Bull",AG185,IF(Case_Scenario="Base",AG186,IF(Case_Scenario="bear",AG187,"N/A")))</f>
        <v>1.25</v>
      </c>
      <c r="AH184" s="16"/>
      <c r="AI184" s="16"/>
      <c r="AJ184" s="16"/>
    </row>
    <row r="185" ht="12.75" customHeight="1" hidden="1" spans="1:36" x14ac:dyDescent="0.25" outlineLevel="1" collapsed="1">
      <c r="A185" s="16"/>
      <c r="B185" s="16"/>
      <c r="C185" s="139" t="s">
        <v>251</v>
      </c>
      <c r="D185" s="16"/>
      <c r="E185" s="16"/>
      <c r="F185" s="319"/>
      <c r="G185" s="318"/>
      <c r="H185" s="318"/>
      <c r="I185" s="318"/>
      <c r="J185" s="168"/>
      <c r="K185" s="318"/>
      <c r="L185" s="318"/>
      <c r="M185" s="318"/>
      <c r="N185" s="318"/>
      <c r="O185" s="306"/>
      <c r="P185" s="318"/>
      <c r="Q185" s="318"/>
      <c r="R185" s="318"/>
      <c r="S185" s="318"/>
      <c r="T185" s="306"/>
      <c r="U185" s="318"/>
      <c r="V185" s="318"/>
      <c r="W185" s="318"/>
      <c r="X185" s="337">
        <v>1</v>
      </c>
      <c r="Y185" s="338"/>
      <c r="Z185" s="337">
        <v>1</v>
      </c>
      <c r="AA185" s="337">
        <v>1</v>
      </c>
      <c r="AB185" s="337">
        <v>1</v>
      </c>
      <c r="AC185" s="337">
        <v>1</v>
      </c>
      <c r="AD185" s="338"/>
      <c r="AE185" s="338">
        <v>1</v>
      </c>
      <c r="AF185" s="338">
        <v>1</v>
      </c>
      <c r="AG185" s="338">
        <v>1</v>
      </c>
      <c r="AH185" s="16"/>
      <c r="AI185" s="16"/>
      <c r="AJ185" s="16"/>
    </row>
    <row r="186" ht="12.75" customHeight="1" hidden="1" spans="1:36" x14ac:dyDescent="0.25" outlineLevel="1" collapsed="1">
      <c r="A186" s="16"/>
      <c r="B186" s="16"/>
      <c r="C186" s="139" t="s">
        <v>252</v>
      </c>
      <c r="D186" s="16"/>
      <c r="E186" s="16"/>
      <c r="F186" s="319"/>
      <c r="G186" s="319"/>
      <c r="H186" s="319"/>
      <c r="I186" s="319"/>
      <c r="J186" s="168"/>
      <c r="K186" s="319"/>
      <c r="L186" s="319"/>
      <c r="M186" s="319"/>
      <c r="N186" s="319"/>
      <c r="O186" s="168"/>
      <c r="P186" s="319"/>
      <c r="Q186" s="319"/>
      <c r="R186" s="319"/>
      <c r="S186" s="319"/>
      <c r="T186" s="168"/>
      <c r="U186" s="319"/>
      <c r="V186" s="319"/>
      <c r="W186" s="319"/>
      <c r="X186" s="337">
        <v>1.25</v>
      </c>
      <c r="Y186" s="338"/>
      <c r="Z186" s="337">
        <v>1.25</v>
      </c>
      <c r="AA186" s="337">
        <v>1.25</v>
      </c>
      <c r="AB186" s="337">
        <v>1.25</v>
      </c>
      <c r="AC186" s="337">
        <v>1.25</v>
      </c>
      <c r="AD186" s="338"/>
      <c r="AE186" s="338">
        <v>1.25</v>
      </c>
      <c r="AF186" s="338">
        <v>1.25</v>
      </c>
      <c r="AG186" s="338">
        <v>1.25</v>
      </c>
      <c r="AH186" s="16"/>
      <c r="AI186" s="16"/>
      <c r="AJ186" s="16"/>
    </row>
    <row r="187" ht="12.75" customHeight="1" hidden="1" spans="1:36" x14ac:dyDescent="0.25" outlineLevel="1" collapsed="1">
      <c r="A187" s="16"/>
      <c r="B187" s="16"/>
      <c r="C187" s="139" t="s">
        <v>253</v>
      </c>
      <c r="D187" s="16"/>
      <c r="E187" s="16"/>
      <c r="F187" s="319"/>
      <c r="G187" s="319"/>
      <c r="H187" s="319"/>
      <c r="I187" s="319"/>
      <c r="J187" s="168"/>
      <c r="K187" s="319"/>
      <c r="L187" s="319"/>
      <c r="M187" s="319"/>
      <c r="N187" s="319"/>
      <c r="O187" s="168"/>
      <c r="P187" s="319"/>
      <c r="Q187" s="319"/>
      <c r="R187" s="319"/>
      <c r="S187" s="319"/>
      <c r="T187" s="168"/>
      <c r="U187" s="319"/>
      <c r="V187" s="319"/>
      <c r="W187" s="319"/>
      <c r="X187" s="337">
        <v>1.5</v>
      </c>
      <c r="Y187" s="338"/>
      <c r="Z187" s="337">
        <v>1.5</v>
      </c>
      <c r="AA187" s="337">
        <v>1.5</v>
      </c>
      <c r="AB187" s="337">
        <v>1.5</v>
      </c>
      <c r="AC187" s="337">
        <v>1.5</v>
      </c>
      <c r="AD187" s="338"/>
      <c r="AE187" s="338">
        <v>1.5</v>
      </c>
      <c r="AF187" s="338">
        <v>1.5</v>
      </c>
      <c r="AG187" s="338">
        <v>1.5</v>
      </c>
      <c r="AH187" s="16"/>
      <c r="AI187" s="16"/>
      <c r="AJ187" s="16"/>
    </row>
    <row r="188" ht="12.75" customHeight="1" hidden="1" spans="1:36" x14ac:dyDescent="0.25" outlineLevel="1" collapsed="1">
      <c r="A188" s="16"/>
      <c r="B188" s="16"/>
      <c r="C188" s="16"/>
      <c r="D188" s="16"/>
      <c r="E188" s="16"/>
      <c r="F188" s="319"/>
      <c r="G188" s="319"/>
      <c r="H188" s="319"/>
      <c r="I188" s="319"/>
      <c r="J188" s="168"/>
      <c r="K188" s="319"/>
      <c r="L188" s="319"/>
      <c r="M188" s="319"/>
      <c r="N188" s="319"/>
      <c r="O188" s="168"/>
      <c r="P188" s="319"/>
      <c r="Q188" s="319"/>
      <c r="R188" s="319"/>
      <c r="S188" s="319"/>
      <c r="T188" s="168"/>
      <c r="U188" s="319"/>
      <c r="V188" s="319"/>
      <c r="W188" s="319"/>
      <c r="X188" s="320"/>
      <c r="Y188" s="321"/>
      <c r="Z188" s="320"/>
      <c r="AA188" s="320"/>
      <c r="AB188" s="320"/>
      <c r="AC188" s="320"/>
      <c r="AD188" s="321"/>
      <c r="AE188" s="321"/>
      <c r="AF188" s="321"/>
      <c r="AG188" s="321"/>
      <c r="AH188" s="16"/>
      <c r="AI188" s="16"/>
      <c r="AJ188" s="16"/>
    </row>
    <row r="189" ht="12.75" customHeight="1" hidden="1" spans="1:36" x14ac:dyDescent="0.25" outlineLevel="1" collapsed="1">
      <c r="A189" s="264" t="s">
        <v>1</v>
      </c>
      <c r="B189" s="16"/>
      <c r="C189" s="139" t="str">
        <f ca="1">C38</f>
        <v>Segment 3 Revenue</v>
      </c>
      <c r="D189" s="16"/>
      <c r="E189" s="16"/>
      <c r="F189" s="317">
        <f t="shared" ref="F189:W189" si="196" ca="1">F55</f>
        <v>1e-12</v>
      </c>
      <c r="G189" s="317">
        <f ca="1">G55</f>
        <v>1e-12</v>
      </c>
      <c r="H189" s="317">
        <f ca="1">H55</f>
        <v>1e-12</v>
      </c>
      <c r="I189" s="317">
        <f ca="1">I55</f>
        <v>1e-12</v>
      </c>
      <c r="J189" s="287">
        <f ca="1">J55</f>
        <v>1e-12</v>
      </c>
      <c r="K189" s="317">
        <f ca="1">K55</f>
        <v>1e-12</v>
      </c>
      <c r="L189" s="317">
        <f ca="1">L55</f>
        <v>1e-12</v>
      </c>
      <c r="M189" s="317">
        <f ca="1">M55</f>
        <v>1e-12</v>
      </c>
      <c r="N189" s="317">
        <f ca="1">N55</f>
        <v>1e-12</v>
      </c>
      <c r="O189" s="287">
        <f ca="1">O55</f>
        <v>1e-12</v>
      </c>
      <c r="P189" s="317">
        <f ca="1">P55</f>
        <v>1e-12</v>
      </c>
      <c r="Q189" s="317">
        <f ca="1">Q55</f>
        <v>1e-12</v>
      </c>
      <c r="R189" s="317">
        <f ca="1">R55</f>
        <v>1e-12</v>
      </c>
      <c r="S189" s="317">
        <f ca="1">S55</f>
        <v>1e-12</v>
      </c>
      <c r="T189" s="287">
        <f ca="1">T55</f>
        <v>1e-12</v>
      </c>
      <c r="U189" s="317">
        <f ca="1">U55</f>
        <v>1e-12</v>
      </c>
      <c r="V189" s="317">
        <f ca="1">V55</f>
        <v>1e-12</v>
      </c>
      <c r="W189" s="317">
        <f ca="1">W55</f>
        <v>1e-12</v>
      </c>
      <c r="X189" s="286">
        <f ca="1">X191/X196</f>
        <v>1e-12</v>
      </c>
      <c r="Y189" s="287">
        <f ca="1">SUM(U189:X189)</f>
        <v>1e-12</v>
      </c>
      <c r="Z189" s="286">
        <f t="shared" ref="Z189:AC189" si="197" ca="1">Z191/Z196</f>
        <v>1e-12</v>
      </c>
      <c r="AA189" s="286">
        <f ca="1">AA191/AA196</f>
        <v>1e-12</v>
      </c>
      <c r="AB189" s="286">
        <f ca="1">AB191/AB196</f>
        <v>1e-12</v>
      </c>
      <c r="AC189" s="286">
        <f ca="1">AC191/AC196</f>
        <v>1e-12</v>
      </c>
      <c r="AD189" s="287">
        <f ca="1">SUM(Z189:AC189)</f>
        <v>1e-12</v>
      </c>
      <c r="AE189" s="287">
        <f t="shared" ref="AE189:AG189" si="198" ca="1">AE191/AE196</f>
        <v>1e-12</v>
      </c>
      <c r="AF189" s="287">
        <f ca="1">AF191/AF196</f>
        <v>1e-12</v>
      </c>
      <c r="AG189" s="287">
        <f ca="1">AG191/AG196</f>
        <v>1e-12</v>
      </c>
      <c r="AH189" s="16"/>
      <c r="AI189" s="16"/>
      <c r="AJ189" s="16"/>
    </row>
    <row r="190" ht="12.75" customHeight="1" hidden="1" spans="1:36" x14ac:dyDescent="0.25" outlineLevel="1" collapsed="1">
      <c r="A190" s="16"/>
      <c r="B190" s="16"/>
      <c r="C190" s="139" t="s">
        <v>244</v>
      </c>
      <c r="D190" s="16"/>
      <c r="E190" s="16"/>
      <c r="F190" s="325">
        <v>0</v>
      </c>
      <c r="G190" s="325">
        <v>0</v>
      </c>
      <c r="H190" s="325">
        <v>0</v>
      </c>
      <c r="I190" s="325">
        <v>0</v>
      </c>
      <c r="J190" s="326">
        <v>0</v>
      </c>
      <c r="K190" s="325">
        <v>0</v>
      </c>
      <c r="L190" s="325">
        <v>0</v>
      </c>
      <c r="M190" s="325">
        <v>0</v>
      </c>
      <c r="N190" s="325">
        <v>0</v>
      </c>
      <c r="O190" s="326">
        <v>0</v>
      </c>
      <c r="P190" s="325">
        <v>0</v>
      </c>
      <c r="Q190" s="325">
        <v>0</v>
      </c>
      <c r="R190" s="325">
        <v>0</v>
      </c>
      <c r="S190" s="325">
        <v>0</v>
      </c>
      <c r="T190" s="326">
        <v>0</v>
      </c>
      <c r="U190" s="325">
        <v>0</v>
      </c>
      <c r="V190" s="325">
        <v>0</v>
      </c>
      <c r="W190" s="325">
        <v>0</v>
      </c>
      <c r="X190" s="327">
        <f ca="1">W190+X191-X189</f>
        <v>1e-12</v>
      </c>
      <c r="Y190" s="326">
        <f ca="1">T190+Y191-Y189</f>
        <v>1e-12</v>
      </c>
      <c r="Z190" s="327">
        <f ca="1">X190+Z191-Z189</f>
        <v>1e-12</v>
      </c>
      <c r="AA190" s="327">
        <f t="shared" ref="AA190:AC190" si="199" ca="1">Z190+AA191-AA189</f>
        <v>1e-12</v>
      </c>
      <c r="AB190" s="327">
        <f ca="1">AA190+AB191-AB189</f>
        <v>1e-12</v>
      </c>
      <c r="AC190" s="327">
        <f ca="1">AB190+AC191-AC189</f>
        <v>1e-12</v>
      </c>
      <c r="AD190" s="326">
        <f ca="1">Y190+AD191-AD189</f>
        <v>1e-12</v>
      </c>
      <c r="AE190" s="326">
        <f t="shared" ref="AE190:AG190" si="200" ca="1">AD190+AE191-AE189</f>
        <v>1e-12</v>
      </c>
      <c r="AF190" s="326">
        <f ca="1">AE190+AF191-AF189</f>
        <v>1e-12</v>
      </c>
      <c r="AG190" s="326">
        <f ca="1">AF190+AG191-AG189</f>
        <v>1e-12</v>
      </c>
      <c r="AH190" s="16"/>
      <c r="AI190" s="16"/>
      <c r="AJ190" s="16"/>
    </row>
    <row r="191" ht="12.75" customHeight="1" hidden="1" spans="1:36" x14ac:dyDescent="0.25" outlineLevel="1" collapsed="1">
      <c r="A191" s="16"/>
      <c r="B191" s="16"/>
      <c r="C191" s="139" t="s">
        <v>259</v>
      </c>
      <c r="D191" s="16"/>
      <c r="E191" s="16"/>
      <c r="F191" s="325">
        <f ca="1">F190+F189-(0)</f>
        <v>1e-12</v>
      </c>
      <c r="G191" s="325">
        <f t="shared" ref="G191:I191" si="201" ca="1">G190+G189-F190</f>
        <v>1e-12</v>
      </c>
      <c r="H191" s="325">
        <f ca="1">H190+H189-G190</f>
        <v>1e-12</v>
      </c>
      <c r="I191" s="325">
        <f ca="1">I190+I189-H190</f>
        <v>1e-12</v>
      </c>
      <c r="J191" s="326">
        <f ca="1">SUM(F191:I191)</f>
        <v>1e-12</v>
      </c>
      <c r="K191" s="325">
        <f t="shared" ref="K191:N191" si="202" ca="1">K190+K189-J190</f>
        <v>1e-12</v>
      </c>
      <c r="L191" s="325">
        <f ca="1">L190+L189-K190</f>
        <v>1e-12</v>
      </c>
      <c r="M191" s="325">
        <f ca="1">M190+M189-L190</f>
        <v>1e-12</v>
      </c>
      <c r="N191" s="325">
        <f ca="1">N190+N189-M190</f>
        <v>1e-12</v>
      </c>
      <c r="O191" s="326">
        <f ca="1">SUM(K191:N191)</f>
        <v>1e-12</v>
      </c>
      <c r="P191" s="325">
        <f t="shared" ref="P191:S191" si="203" ca="1">P190+P189-O190</f>
        <v>1e-12</v>
      </c>
      <c r="Q191" s="325">
        <f ca="1">Q190+Q189-P190</f>
        <v>1e-12</v>
      </c>
      <c r="R191" s="325">
        <f ca="1">R190+R189-Q190</f>
        <v>1e-12</v>
      </c>
      <c r="S191" s="325">
        <f ca="1">S190+S189-R190</f>
        <v>1e-12</v>
      </c>
      <c r="T191" s="326">
        <f ca="1">SUM(P191:S191)</f>
        <v>1e-12</v>
      </c>
      <c r="U191" s="325">
        <f t="shared" ref="U191:W191" si="204" ca="1">U190+U189-T190</f>
        <v>1e-12</v>
      </c>
      <c r="V191" s="325">
        <f ca="1">V190+V189-U190</f>
        <v>1e-12</v>
      </c>
      <c r="W191" s="325">
        <f ca="1">W190+W189-V190</f>
        <v>1e-12</v>
      </c>
      <c r="X191" s="327">
        <f ca="1">W191*(1+X192)</f>
        <v>1e-12</v>
      </c>
      <c r="Y191" s="326">
        <f ca="1">SUM(U191:X191)</f>
        <v>1e-12</v>
      </c>
      <c r="Z191" s="327">
        <f ca="1">X191*(1+Z192)</f>
        <v>1e-12</v>
      </c>
      <c r="AA191" s="327">
        <f t="shared" ref="AA191:AC191" si="205" ca="1">Z191*(1+AA192)</f>
        <v>1e-12</v>
      </c>
      <c r="AB191" s="327">
        <f ca="1">AA191*(1+AB192)</f>
        <v>1e-12</v>
      </c>
      <c r="AC191" s="327">
        <f ca="1">AB191*(1+AC192)</f>
        <v>1e-12</v>
      </c>
      <c r="AD191" s="326">
        <f ca="1">SUM(Z191:AC191)</f>
        <v>1e-12</v>
      </c>
      <c r="AE191" s="326">
        <f t="shared" ref="AE191:AG191" si="206" ca="1">AD191*(1+AE192)</f>
        <v>1e-12</v>
      </c>
      <c r="AF191" s="326">
        <f ca="1">AE191*(1+AF192)</f>
        <v>1e-12</v>
      </c>
      <c r="AG191" s="326">
        <f ca="1">AF191*(1+AG192)</f>
        <v>1e-12</v>
      </c>
      <c r="AH191" s="16"/>
      <c r="AI191" s="16"/>
      <c r="AJ191" s="16"/>
    </row>
    <row r="192" ht="12.75" customHeight="1" hidden="1" spans="1:36" x14ac:dyDescent="0.25" outlineLevel="1" collapsed="1">
      <c r="A192" s="16"/>
      <c r="B192" s="16"/>
      <c r="C192" s="120" t="s">
        <v>260</v>
      </c>
      <c r="D192" s="16"/>
      <c r="E192" s="16"/>
      <c r="F192" s="319"/>
      <c r="G192" s="318" t="str">
        <f t="shared" ref="G192:I192" si="207" ca="1">IFERROR(G191/F191-1,"--")</f>
        <v>--</v>
      </c>
      <c r="H192" s="318" t="str">
        <f ca="1">IFERROR(H191/G191-1,"--")</f>
        <v>--</v>
      </c>
      <c r="I192" s="318" t="str">
        <f ca="1">IFERROR(I191/H191-1,"--")</f>
        <v>--</v>
      </c>
      <c r="J192" s="168"/>
      <c r="K192" s="318" t="str">
        <f ca="1">IFERROR(K191/I191-1,"--")</f>
        <v>--</v>
      </c>
      <c r="L192" s="318" t="str">
        <f t="shared" ref="L192:N192" si="208" ca="1">IFERROR(L191/K191-1,"--")</f>
        <v>--</v>
      </c>
      <c r="M192" s="318" t="str">
        <f ca="1">IFERROR(M191/L191-1,"--")</f>
        <v>--</v>
      </c>
      <c r="N192" s="318" t="str">
        <f ca="1">IFERROR(N191/M191-1,"--")</f>
        <v>--</v>
      </c>
      <c r="O192" s="306" t="str">
        <f ca="1">IFERROR(O191/J191-1,"--")</f>
        <v>--</v>
      </c>
      <c r="P192" s="318" t="str">
        <f ca="1">IFERROR(P191/N191-1,"--")</f>
        <v>--</v>
      </c>
      <c r="Q192" s="318" t="str">
        <f t="shared" ref="Q192:S192" si="209" ca="1">IFERROR(Q191/P191-1,"--")</f>
        <v>--</v>
      </c>
      <c r="R192" s="318" t="str">
        <f ca="1">IFERROR(R191/Q191-1,"--")</f>
        <v>--</v>
      </c>
      <c r="S192" s="318" t="str">
        <f ca="1">IFERROR(S191/R191-1,"--")</f>
        <v>--</v>
      </c>
      <c r="T192" s="306" t="str">
        <f ca="1">IFERROR(T191/O191-1,"--")</f>
        <v>--</v>
      </c>
      <c r="U192" s="318" t="str">
        <f ca="1">IFERROR(U191/S191-1,"--")</f>
        <v>--</v>
      </c>
      <c r="V192" s="318" t="str">
        <f t="shared" ref="V192:W192" si="210" ca="1">IFERROR(V191/U191-1,"--")</f>
        <v>--</v>
      </c>
      <c r="W192" s="318" t="str">
        <f ca="1">IFERROR(W191/V191-1,"--")</f>
        <v>--</v>
      </c>
      <c r="X192" s="305">
        <f ca="1">IF(Case_Scenario="Bull",X193,IF(Case_Scenario="Base",X194,IF(Case_Scenario="bear",X195,"N/A")))</f>
        <v>0.05</v>
      </c>
      <c r="Y192" s="306"/>
      <c r="Z192" s="305">
        <f ca="1">IF(Case_Scenario="Bull",Z193,IF(Case_Scenario="Base",Z194,IF(Case_Scenario="bear",Z195,"N/A")))</f>
        <v>0.05</v>
      </c>
      <c r="AA192" s="305">
        <f ca="1">IF(Case_Scenario="Bull",AA193,IF(Case_Scenario="Base",AA194,IF(Case_Scenario="bear",AA195,"N/A")))</f>
        <v>0.05</v>
      </c>
      <c r="AB192" s="305">
        <f ca="1">IF(Case_Scenario="Bull",AB193,IF(Case_Scenario="Base",AB194,IF(Case_Scenario="bear",AB195,"N/A")))</f>
        <v>0.05</v>
      </c>
      <c r="AC192" s="305">
        <f ca="1">IF(Case_Scenario="Bull",AC193,IF(Case_Scenario="Base",AC194,IF(Case_Scenario="bear",AC195,"N/A")))</f>
        <v>0.05</v>
      </c>
      <c r="AD192" s="306"/>
      <c r="AE192" s="306">
        <f ca="1">IF(Case_Scenario="Bull",AE193,IF(Case_Scenario="Base",AE194,IF(Case_Scenario="bear",AE195,"N/A")))</f>
        <v>0.05</v>
      </c>
      <c r="AF192" s="306">
        <f ca="1">IF(Case_Scenario="Bull",AF193,IF(Case_Scenario="Base",AF194,IF(Case_Scenario="bear",AF195,"N/A")))</f>
        <v>0.05</v>
      </c>
      <c r="AG192" s="306">
        <f ca="1">IF(Case_Scenario="Bull",AG193,IF(Case_Scenario="Base",AG194,IF(Case_Scenario="bear",AG195,"N/A")))</f>
        <v>0.05</v>
      </c>
      <c r="AH192" s="16"/>
      <c r="AI192" s="16"/>
      <c r="AJ192" s="16"/>
    </row>
    <row r="193" ht="12.75" customHeight="1" hidden="1" spans="1:36" x14ac:dyDescent="0.25" outlineLevel="1" collapsed="1">
      <c r="A193" s="16"/>
      <c r="B193" s="16"/>
      <c r="C193" s="139" t="s">
        <v>251</v>
      </c>
      <c r="D193" s="16"/>
      <c r="E193" s="16"/>
      <c r="F193" s="319"/>
      <c r="G193" s="319"/>
      <c r="H193" s="319"/>
      <c r="I193" s="319"/>
      <c r="J193" s="168"/>
      <c r="K193" s="319"/>
      <c r="L193" s="319"/>
      <c r="M193" s="319"/>
      <c r="N193" s="319"/>
      <c r="O193" s="168"/>
      <c r="P193" s="319"/>
      <c r="Q193" s="319"/>
      <c r="R193" s="319"/>
      <c r="S193" s="319"/>
      <c r="T193" s="168"/>
      <c r="U193" s="319"/>
      <c r="V193" s="319"/>
      <c r="W193" s="319"/>
      <c r="X193" s="320">
        <v>0.1</v>
      </c>
      <c r="Y193" s="321"/>
      <c r="Z193" s="320">
        <v>0.1</v>
      </c>
      <c r="AA193" s="320">
        <v>0.1</v>
      </c>
      <c r="AB193" s="320">
        <v>0.1</v>
      </c>
      <c r="AC193" s="320">
        <v>0.1</v>
      </c>
      <c r="AD193" s="321"/>
      <c r="AE193" s="321">
        <v>0.1</v>
      </c>
      <c r="AF193" s="321">
        <v>0.1</v>
      </c>
      <c r="AG193" s="321">
        <v>0.1</v>
      </c>
      <c r="AH193" s="16"/>
      <c r="AI193" s="16"/>
      <c r="AJ193" s="16"/>
    </row>
    <row r="194" ht="12.75" customHeight="1" hidden="1" spans="1:36" x14ac:dyDescent="0.25" outlineLevel="1" collapsed="1">
      <c r="A194" s="16"/>
      <c r="B194" s="16"/>
      <c r="C194" s="139" t="s">
        <v>252</v>
      </c>
      <c r="D194" s="16"/>
      <c r="E194" s="16"/>
      <c r="F194" s="319"/>
      <c r="G194" s="319"/>
      <c r="H194" s="319"/>
      <c r="I194" s="319"/>
      <c r="J194" s="168"/>
      <c r="K194" s="319"/>
      <c r="L194" s="319"/>
      <c r="M194" s="319"/>
      <c r="N194" s="319"/>
      <c r="O194" s="168"/>
      <c r="P194" s="319"/>
      <c r="Q194" s="319"/>
      <c r="R194" s="319"/>
      <c r="S194" s="319"/>
      <c r="T194" s="168"/>
      <c r="U194" s="319"/>
      <c r="V194" s="319"/>
      <c r="W194" s="319"/>
      <c r="X194" s="320">
        <v>0.05</v>
      </c>
      <c r="Y194" s="321"/>
      <c r="Z194" s="320">
        <v>0.05</v>
      </c>
      <c r="AA194" s="320">
        <v>0.05</v>
      </c>
      <c r="AB194" s="320">
        <v>0.05</v>
      </c>
      <c r="AC194" s="320">
        <v>0.05</v>
      </c>
      <c r="AD194" s="321"/>
      <c r="AE194" s="321">
        <v>0.05</v>
      </c>
      <c r="AF194" s="321">
        <v>0.05</v>
      </c>
      <c r="AG194" s="321">
        <v>0.05</v>
      </c>
      <c r="AH194" s="16"/>
      <c r="AI194" s="16"/>
      <c r="AJ194" s="16"/>
    </row>
    <row r="195" ht="12.75" customHeight="1" hidden="1" spans="1:36" x14ac:dyDescent="0.25" outlineLevel="1" collapsed="1">
      <c r="A195" s="16"/>
      <c r="B195" s="16"/>
      <c r="C195" s="139" t="s">
        <v>253</v>
      </c>
      <c r="D195" s="16"/>
      <c r="E195" s="16"/>
      <c r="F195" s="319"/>
      <c r="G195" s="319"/>
      <c r="H195" s="319"/>
      <c r="I195" s="319"/>
      <c r="J195" s="168"/>
      <c r="K195" s="319"/>
      <c r="L195" s="319"/>
      <c r="M195" s="319"/>
      <c r="N195" s="319"/>
      <c r="O195" s="168"/>
      <c r="P195" s="319"/>
      <c r="Q195" s="319"/>
      <c r="R195" s="319"/>
      <c r="S195" s="319"/>
      <c r="T195" s="168"/>
      <c r="U195" s="319"/>
      <c r="V195" s="319"/>
      <c r="W195" s="319"/>
      <c r="X195" s="320">
        <v>0</v>
      </c>
      <c r="Y195" s="321"/>
      <c r="Z195" s="320">
        <v>0</v>
      </c>
      <c r="AA195" s="320">
        <v>0</v>
      </c>
      <c r="AB195" s="320">
        <v>0</v>
      </c>
      <c r="AC195" s="320">
        <v>0</v>
      </c>
      <c r="AD195" s="321"/>
      <c r="AE195" s="321">
        <v>0</v>
      </c>
      <c r="AF195" s="321">
        <v>0</v>
      </c>
      <c r="AG195" s="321">
        <v>0</v>
      </c>
      <c r="AH195" s="16"/>
      <c r="AI195" s="16"/>
      <c r="AJ195" s="16"/>
    </row>
    <row r="196" ht="12.75" customHeight="1" hidden="1" spans="1:36" x14ac:dyDescent="0.25" outlineLevel="1" collapsed="1">
      <c r="A196" s="16"/>
      <c r="B196" s="16"/>
      <c r="C196" s="139" t="s">
        <v>261</v>
      </c>
      <c r="D196" s="16"/>
      <c r="E196" s="16"/>
      <c r="F196" s="339">
        <f ca="1">F191/F189</f>
      </c>
      <c r="G196" s="339">
        <f ca="1">G191/G189</f>
      </c>
      <c r="H196" s="339">
        <f ca="1">H191/H189</f>
      </c>
      <c r="I196" s="339">
        <f ca="1">I191/I189</f>
      </c>
      <c r="J196" s="340">
        <f ca="1">J191/J189</f>
      </c>
      <c r="K196" s="339">
        <f ca="1">K191/K189</f>
      </c>
      <c r="L196" s="339">
        <f ca="1">L191/L189</f>
      </c>
      <c r="M196" s="339">
        <f ca="1">M191/M189</f>
      </c>
      <c r="N196" s="339">
        <f ca="1">N191/N189</f>
      </c>
      <c r="O196" s="340">
        <f ca="1">O191/O189</f>
      </c>
      <c r="P196" s="339">
        <f ca="1">P191/P189</f>
      </c>
      <c r="Q196" s="339">
        <f ca="1">Q191/Q189</f>
      </c>
      <c r="R196" s="339">
        <f ca="1">R191/R189</f>
      </c>
      <c r="S196" s="339">
        <f ca="1">S191/S189</f>
      </c>
      <c r="T196" s="340">
        <f ca="1">T191/T189</f>
      </c>
      <c r="U196" s="339">
        <f ca="1">U191/U189</f>
      </c>
      <c r="V196" s="339">
        <f ca="1">V191/V189</f>
      </c>
      <c r="W196" s="339">
        <f ca="1">W191/W189</f>
      </c>
      <c r="X196" s="334">
        <f ca="1">IF(Case_Scenario="Bull",X197,IF(Case_Scenario="Base",X198,IF(Case_Scenario="bear",X199,"N/A")))</f>
        <v>1.25</v>
      </c>
      <c r="Y196" s="333">
        <f ca="1">AVERAGE(U196:X196)</f>
      </c>
      <c r="Z196" s="334">
        <f ca="1">IF(Case_Scenario="Bull",Z197,IF(Case_Scenario="Base",Z198,IF(Case_Scenario="bear",Z199,"N/A")))</f>
        <v>1.25</v>
      </c>
      <c r="AA196" s="334">
        <f ca="1">IF(Case_Scenario="Bull",AA197,IF(Case_Scenario="Base",AA198,IF(Case_Scenario="bear",AA199,"N/A")))</f>
        <v>1.25</v>
      </c>
      <c r="AB196" s="334">
        <f ca="1">IF(Case_Scenario="Bull",AB197,IF(Case_Scenario="Base",AB198,IF(Case_Scenario="bear",AB199,"N/A")))</f>
        <v>1.25</v>
      </c>
      <c r="AC196" s="334">
        <f ca="1">IF(Case_Scenario="Bull",AC197,IF(Case_Scenario="Base",AC198,IF(Case_Scenario="bear",AC199,"N/A")))</f>
        <v>1.25</v>
      </c>
      <c r="AD196" s="333">
        <f ca="1">AVERAGE(Z196:AC196)</f>
        <v>1.25</v>
      </c>
      <c r="AE196" s="333">
        <f ca="1">IF(Case_Scenario="Bull",AE197,IF(Case_Scenario="Base",AE198,IF(Case_Scenario="bear",AE199,"N/A")))</f>
        <v>1.25</v>
      </c>
      <c r="AF196" s="333">
        <f ca="1">IF(Case_Scenario="Bull",AF197,IF(Case_Scenario="Base",AF198,IF(Case_Scenario="bear",AF199,"N/A")))</f>
        <v>1.25</v>
      </c>
      <c r="AG196" s="333">
        <f ca="1">IF(Case_Scenario="Bull",AG197,IF(Case_Scenario="Base",AG198,IF(Case_Scenario="bear",AG199,"N/A")))</f>
        <v>1.25</v>
      </c>
      <c r="AH196" s="16"/>
      <c r="AI196" s="16"/>
      <c r="AJ196" s="16"/>
    </row>
    <row r="197" ht="12.75" customHeight="1" hidden="1" spans="1:36" x14ac:dyDescent="0.25" outlineLevel="1" collapsed="1">
      <c r="A197" s="16"/>
      <c r="B197" s="16"/>
      <c r="C197" s="139" t="s">
        <v>251</v>
      </c>
      <c r="D197" s="16"/>
      <c r="E197" s="16"/>
      <c r="F197" s="319"/>
      <c r="G197" s="318"/>
      <c r="H197" s="318"/>
      <c r="I197" s="318"/>
      <c r="J197" s="168"/>
      <c r="K197" s="318"/>
      <c r="L197" s="318"/>
      <c r="M197" s="318"/>
      <c r="N197" s="318"/>
      <c r="O197" s="306"/>
      <c r="P197" s="318"/>
      <c r="Q197" s="318"/>
      <c r="R197" s="318"/>
      <c r="S197" s="318"/>
      <c r="T197" s="306"/>
      <c r="U197" s="318"/>
      <c r="V197" s="318"/>
      <c r="W197" s="318"/>
      <c r="X197" s="337">
        <v>1</v>
      </c>
      <c r="Y197" s="338"/>
      <c r="Z197" s="337">
        <v>1</v>
      </c>
      <c r="AA197" s="337">
        <v>1</v>
      </c>
      <c r="AB197" s="337">
        <v>1</v>
      </c>
      <c r="AC197" s="337">
        <v>1</v>
      </c>
      <c r="AD197" s="338"/>
      <c r="AE197" s="338">
        <v>1</v>
      </c>
      <c r="AF197" s="338">
        <v>1</v>
      </c>
      <c r="AG197" s="338">
        <v>1</v>
      </c>
      <c r="AH197" s="16"/>
      <c r="AI197" s="16"/>
      <c r="AJ197" s="16"/>
    </row>
    <row r="198" ht="12.75" customHeight="1" hidden="1" spans="1:36" x14ac:dyDescent="0.25" outlineLevel="1" collapsed="1">
      <c r="A198" s="16"/>
      <c r="B198" s="16"/>
      <c r="C198" s="139" t="s">
        <v>252</v>
      </c>
      <c r="D198" s="16"/>
      <c r="E198" s="16"/>
      <c r="F198" s="319"/>
      <c r="G198" s="319"/>
      <c r="H198" s="319"/>
      <c r="I198" s="319"/>
      <c r="J198" s="168"/>
      <c r="K198" s="319"/>
      <c r="L198" s="319"/>
      <c r="M198" s="319"/>
      <c r="N198" s="319"/>
      <c r="O198" s="168"/>
      <c r="P198" s="319"/>
      <c r="Q198" s="319"/>
      <c r="R198" s="319"/>
      <c r="S198" s="319"/>
      <c r="T198" s="168"/>
      <c r="U198" s="319"/>
      <c r="V198" s="319"/>
      <c r="W198" s="319"/>
      <c r="X198" s="337">
        <v>1.25</v>
      </c>
      <c r="Y198" s="338"/>
      <c r="Z198" s="337">
        <v>1.25</v>
      </c>
      <c r="AA198" s="337">
        <v>1.25</v>
      </c>
      <c r="AB198" s="337">
        <v>1.25</v>
      </c>
      <c r="AC198" s="337">
        <v>1.25</v>
      </c>
      <c r="AD198" s="338"/>
      <c r="AE198" s="338">
        <v>1.25</v>
      </c>
      <c r="AF198" s="338">
        <v>1.25</v>
      </c>
      <c r="AG198" s="338">
        <v>1.25</v>
      </c>
      <c r="AH198" s="16"/>
      <c r="AI198" s="16"/>
      <c r="AJ198" s="16"/>
    </row>
    <row r="199" ht="12.75" customHeight="1" hidden="1" spans="1:36" x14ac:dyDescent="0.25" outlineLevel="1" collapsed="1">
      <c r="A199" s="16"/>
      <c r="B199" s="16"/>
      <c r="C199" s="139" t="s">
        <v>253</v>
      </c>
      <c r="D199" s="16"/>
      <c r="E199" s="16"/>
      <c r="F199" s="319"/>
      <c r="G199" s="319"/>
      <c r="H199" s="319"/>
      <c r="I199" s="319"/>
      <c r="J199" s="168"/>
      <c r="K199" s="319"/>
      <c r="L199" s="319"/>
      <c r="M199" s="319"/>
      <c r="N199" s="319"/>
      <c r="O199" s="168"/>
      <c r="P199" s="319"/>
      <c r="Q199" s="319"/>
      <c r="R199" s="319"/>
      <c r="S199" s="319"/>
      <c r="T199" s="168"/>
      <c r="U199" s="319"/>
      <c r="V199" s="319"/>
      <c r="W199" s="319"/>
      <c r="X199" s="337">
        <v>1.5</v>
      </c>
      <c r="Y199" s="338"/>
      <c r="Z199" s="337">
        <v>1.5</v>
      </c>
      <c r="AA199" s="337">
        <v>1.5</v>
      </c>
      <c r="AB199" s="337">
        <v>1.5</v>
      </c>
      <c r="AC199" s="337">
        <v>1.5</v>
      </c>
      <c r="AD199" s="338"/>
      <c r="AE199" s="338">
        <v>1.5</v>
      </c>
      <c r="AF199" s="338">
        <v>1.5</v>
      </c>
      <c r="AG199" s="338">
        <v>1.5</v>
      </c>
      <c r="AH199" s="16"/>
      <c r="AI199" s="16"/>
      <c r="AJ199" s="16"/>
    </row>
    <row r="200" ht="12.75" customHeight="1" hidden="1" spans="1:36" x14ac:dyDescent="0.25" outlineLevel="1" collapsed="1">
      <c r="A200" s="16"/>
      <c r="B200" s="16"/>
      <c r="C200" s="16"/>
      <c r="D200" s="16"/>
      <c r="E200" s="16"/>
      <c r="F200" s="319"/>
      <c r="G200" s="319"/>
      <c r="H200" s="319"/>
      <c r="I200" s="319"/>
      <c r="J200" s="168"/>
      <c r="K200" s="319"/>
      <c r="L200" s="319"/>
      <c r="M200" s="319"/>
      <c r="N200" s="319"/>
      <c r="O200" s="168"/>
      <c r="P200" s="319"/>
      <c r="Q200" s="319"/>
      <c r="R200" s="319"/>
      <c r="S200" s="319"/>
      <c r="T200" s="168"/>
      <c r="U200" s="319"/>
      <c r="V200" s="319"/>
      <c r="W200" s="319"/>
      <c r="X200" s="320"/>
      <c r="Y200" s="321"/>
      <c r="Z200" s="320"/>
      <c r="AA200" s="320"/>
      <c r="AB200" s="320"/>
      <c r="AC200" s="320"/>
      <c r="AD200" s="321"/>
      <c r="AE200" s="321"/>
      <c r="AF200" s="321"/>
      <c r="AG200" s="321"/>
      <c r="AH200" s="16"/>
      <c r="AI200" s="16"/>
      <c r="AJ200" s="16"/>
    </row>
    <row r="201" ht="12.75" customHeight="1" hidden="1" spans="1:36" x14ac:dyDescent="0.25" outlineLevel="1" collapsed="1">
      <c r="A201" s="264" t="s">
        <v>1</v>
      </c>
      <c r="B201" s="16"/>
      <c r="C201" s="139" t="str">
        <f ca="1">C41</f>
        <v>Segment 4 Revenue</v>
      </c>
      <c r="D201" s="16"/>
      <c r="E201" s="16"/>
      <c r="F201" s="317">
        <f t="shared" ref="F201:W201" si="211" ca="1">F67</f>
        <v>1e-12</v>
      </c>
      <c r="G201" s="317">
        <f ca="1">G67</f>
        <v>1e-12</v>
      </c>
      <c r="H201" s="317">
        <f ca="1">H67</f>
        <v>1e-12</v>
      </c>
      <c r="I201" s="317">
        <f ca="1">I67</f>
        <v>1e-12</v>
      </c>
      <c r="J201" s="287">
        <f ca="1">J67</f>
        <v>1e-12</v>
      </c>
      <c r="K201" s="317">
        <f ca="1">K67</f>
        <v>1e-12</v>
      </c>
      <c r="L201" s="317">
        <f ca="1">L67</f>
        <v>1e-12</v>
      </c>
      <c r="M201" s="317">
        <f ca="1">M67</f>
        <v>1e-12</v>
      </c>
      <c r="N201" s="317">
        <f ca="1">N67</f>
        <v>1e-12</v>
      </c>
      <c r="O201" s="287">
        <f ca="1">O67</f>
        <v>1e-12</v>
      </c>
      <c r="P201" s="317">
        <f ca="1">P67</f>
        <v>1e-12</v>
      </c>
      <c r="Q201" s="317">
        <f ca="1">Q67</f>
        <v>1e-12</v>
      </c>
      <c r="R201" s="317">
        <f ca="1">R67</f>
        <v>1e-12</v>
      </c>
      <c r="S201" s="317">
        <f ca="1">S67</f>
        <v>1e-12</v>
      </c>
      <c r="T201" s="287">
        <f ca="1">T67</f>
        <v>1e-12</v>
      </c>
      <c r="U201" s="317">
        <f ca="1">U67</f>
        <v>1e-12</v>
      </c>
      <c r="V201" s="317">
        <f ca="1">V67</f>
        <v>1e-12</v>
      </c>
      <c r="W201" s="317">
        <f ca="1">W67</f>
        <v>1e-12</v>
      </c>
      <c r="X201" s="286">
        <f ca="1">X203/X208</f>
        <v>1e-12</v>
      </c>
      <c r="Y201" s="287">
        <f ca="1">SUM(U201:X201)</f>
        <v>1e-12</v>
      </c>
      <c r="Z201" s="286">
        <f t="shared" ref="Z201:AC201" si="212" ca="1">Z203/Z208</f>
        <v>1e-12</v>
      </c>
      <c r="AA201" s="286">
        <f ca="1">AA203/AA208</f>
        <v>1e-12</v>
      </c>
      <c r="AB201" s="286">
        <f ca="1">AB203/AB208</f>
        <v>1e-12</v>
      </c>
      <c r="AC201" s="286">
        <f ca="1">AC203/AC208</f>
        <v>1e-12</v>
      </c>
      <c r="AD201" s="287">
        <f ca="1">SUM(Z201:AC201)</f>
        <v>1e-12</v>
      </c>
      <c r="AE201" s="287">
        <f t="shared" ref="AE201:AG201" si="213" ca="1">AE203/AE208</f>
        <v>1e-12</v>
      </c>
      <c r="AF201" s="287">
        <f ca="1">AF203/AF208</f>
        <v>1e-12</v>
      </c>
      <c r="AG201" s="287">
        <f ca="1">AG203/AG208</f>
        <v>1e-12</v>
      </c>
      <c r="AH201" s="16"/>
      <c r="AI201" s="16"/>
      <c r="AJ201" s="16"/>
    </row>
    <row r="202" ht="12.75" customHeight="1" hidden="1" spans="1:36" x14ac:dyDescent="0.25" outlineLevel="1" collapsed="1">
      <c r="A202" s="16"/>
      <c r="B202" s="16"/>
      <c r="C202" s="139" t="s">
        <v>244</v>
      </c>
      <c r="D202" s="16"/>
      <c r="E202" s="16"/>
      <c r="F202" s="325">
        <v>0</v>
      </c>
      <c r="G202" s="325">
        <v>0</v>
      </c>
      <c r="H202" s="325">
        <v>0</v>
      </c>
      <c r="I202" s="325">
        <v>0</v>
      </c>
      <c r="J202" s="326">
        <v>0</v>
      </c>
      <c r="K202" s="325">
        <v>0</v>
      </c>
      <c r="L202" s="325">
        <v>0</v>
      </c>
      <c r="M202" s="325">
        <v>0</v>
      </c>
      <c r="N202" s="325">
        <v>0</v>
      </c>
      <c r="O202" s="326">
        <v>0</v>
      </c>
      <c r="P202" s="325">
        <v>0</v>
      </c>
      <c r="Q202" s="325">
        <v>0</v>
      </c>
      <c r="R202" s="325">
        <v>0</v>
      </c>
      <c r="S202" s="325">
        <v>0</v>
      </c>
      <c r="T202" s="326">
        <v>0</v>
      </c>
      <c r="U202" s="325">
        <v>0</v>
      </c>
      <c r="V202" s="325">
        <v>0</v>
      </c>
      <c r="W202" s="325">
        <v>0</v>
      </c>
      <c r="X202" s="327">
        <f ca="1">W202+X203-X201</f>
        <v>1e-12</v>
      </c>
      <c r="Y202" s="326">
        <f ca="1">T202+Y203-Y201</f>
        <v>1e-12</v>
      </c>
      <c r="Z202" s="327">
        <f ca="1">X202+Z203-Z201</f>
        <v>1e-12</v>
      </c>
      <c r="AA202" s="327">
        <f t="shared" ref="AA202:AC202" si="214" ca="1">Z202+AA203-AA201</f>
        <v>1e-12</v>
      </c>
      <c r="AB202" s="327">
        <f ca="1">AA202+AB203-AB201</f>
        <v>1e-12</v>
      </c>
      <c r="AC202" s="327">
        <f ca="1">AB202+AC203-AC201</f>
        <v>1e-12</v>
      </c>
      <c r="AD202" s="326">
        <f ca="1">Y202+AD203-AD201</f>
        <v>1e-12</v>
      </c>
      <c r="AE202" s="326">
        <f t="shared" ref="AE202:AG202" si="215" ca="1">AD202+AE203-AE201</f>
        <v>1e-12</v>
      </c>
      <c r="AF202" s="326">
        <f ca="1">AE202+AF203-AF201</f>
        <v>1e-12</v>
      </c>
      <c r="AG202" s="326">
        <f ca="1">AF202+AG203-AG201</f>
        <v>1e-12</v>
      </c>
      <c r="AH202" s="16"/>
      <c r="AI202" s="16"/>
      <c r="AJ202" s="16"/>
    </row>
    <row r="203" ht="12.75" customHeight="1" hidden="1" spans="1:36" x14ac:dyDescent="0.25" outlineLevel="1" collapsed="1">
      <c r="A203" s="16"/>
      <c r="B203" s="16"/>
      <c r="C203" s="139" t="s">
        <v>259</v>
      </c>
      <c r="D203" s="16"/>
      <c r="E203" s="16"/>
      <c r="F203" s="325">
        <f ca="1">F202+F201-(0)</f>
        <v>1e-12</v>
      </c>
      <c r="G203" s="325">
        <f t="shared" ref="G203:I203" si="216" ca="1">G202+G201-F202</f>
        <v>1e-12</v>
      </c>
      <c r="H203" s="325">
        <f ca="1">H202+H201-G202</f>
        <v>1e-12</v>
      </c>
      <c r="I203" s="325">
        <f ca="1">I202+I201-H202</f>
        <v>1e-12</v>
      </c>
      <c r="J203" s="326">
        <f ca="1">SUM(F203:I203)</f>
        <v>1e-12</v>
      </c>
      <c r="K203" s="325">
        <f t="shared" ref="K203:N203" si="217" ca="1">K202+K201-J202</f>
        <v>1e-12</v>
      </c>
      <c r="L203" s="325">
        <f ca="1">L202+L201-K202</f>
        <v>1e-12</v>
      </c>
      <c r="M203" s="325">
        <f ca="1">M202+M201-L202</f>
        <v>1e-12</v>
      </c>
      <c r="N203" s="325">
        <f ca="1">N202+N201-M202</f>
        <v>1e-12</v>
      </c>
      <c r="O203" s="326">
        <f ca="1">SUM(K203:N203)</f>
        <v>1e-12</v>
      </c>
      <c r="P203" s="325">
        <f t="shared" ref="P203:S203" si="218" ca="1">P202+P201-O202</f>
        <v>1e-12</v>
      </c>
      <c r="Q203" s="325">
        <f ca="1">Q202+Q201-P202</f>
        <v>1e-12</v>
      </c>
      <c r="R203" s="325">
        <f ca="1">R202+R201-Q202</f>
        <v>1e-12</v>
      </c>
      <c r="S203" s="325">
        <f ca="1">S202+S201-R202</f>
        <v>1e-12</v>
      </c>
      <c r="T203" s="326">
        <f ca="1">SUM(P203:S203)</f>
        <v>1e-12</v>
      </c>
      <c r="U203" s="325">
        <f t="shared" ref="U203:W203" si="219" ca="1">U202+U201-T202</f>
        <v>1e-12</v>
      </c>
      <c r="V203" s="325">
        <f ca="1">V202+V201-U202</f>
        <v>1e-12</v>
      </c>
      <c r="W203" s="325">
        <f ca="1">W202+W201-V202</f>
        <v>1e-12</v>
      </c>
      <c r="X203" s="327">
        <f ca="1">W203*(1+X204)</f>
        <v>1e-12</v>
      </c>
      <c r="Y203" s="326">
        <f ca="1">SUM(U203:X203)</f>
        <v>1e-12</v>
      </c>
      <c r="Z203" s="327">
        <f ca="1">X203*(1+Z204)</f>
        <v>1e-12</v>
      </c>
      <c r="AA203" s="327">
        <f t="shared" ref="AA203:AC203" si="220" ca="1">Z203*(1+AA204)</f>
        <v>1e-12</v>
      </c>
      <c r="AB203" s="327">
        <f ca="1">AA203*(1+AB204)</f>
        <v>1e-12</v>
      </c>
      <c r="AC203" s="327">
        <f ca="1">AB203*(1+AC204)</f>
        <v>1e-12</v>
      </c>
      <c r="AD203" s="326">
        <f ca="1">SUM(Z203:AC203)</f>
        <v>1e-12</v>
      </c>
      <c r="AE203" s="326">
        <f t="shared" ref="AE203:AG203" si="221" ca="1">AD203*(1+AE204)</f>
        <v>1e-12</v>
      </c>
      <c r="AF203" s="326">
        <f ca="1">AE203*(1+AF204)</f>
        <v>1e-12</v>
      </c>
      <c r="AG203" s="326">
        <f ca="1">AF203*(1+AG204)</f>
        <v>1e-12</v>
      </c>
      <c r="AH203" s="16"/>
      <c r="AI203" s="16"/>
      <c r="AJ203" s="16"/>
    </row>
    <row r="204" ht="12.75" customHeight="1" hidden="1" spans="1:36" x14ac:dyDescent="0.25" outlineLevel="1" collapsed="1">
      <c r="A204" s="16"/>
      <c r="B204" s="16"/>
      <c r="C204" s="120" t="s">
        <v>260</v>
      </c>
      <c r="D204" s="16"/>
      <c r="E204" s="16"/>
      <c r="F204" s="319"/>
      <c r="G204" s="318" t="str">
        <f t="shared" ref="G204:I204" si="222" ca="1">IFERROR(G203/F203-1,"--")</f>
        <v>--</v>
      </c>
      <c r="H204" s="318" t="str">
        <f ca="1">IFERROR(H203/G203-1,"--")</f>
        <v>--</v>
      </c>
      <c r="I204" s="318" t="str">
        <f ca="1">IFERROR(I203/H203-1,"--")</f>
        <v>--</v>
      </c>
      <c r="J204" s="168"/>
      <c r="K204" s="318" t="str">
        <f ca="1">IFERROR(K203/I203-1,"--")</f>
        <v>--</v>
      </c>
      <c r="L204" s="318" t="str">
        <f t="shared" ref="L204:N204" si="223" ca="1">IFERROR(L203/K203-1,"--")</f>
        <v>--</v>
      </c>
      <c r="M204" s="318" t="str">
        <f ca="1">IFERROR(M203/L203-1,"--")</f>
        <v>--</v>
      </c>
      <c r="N204" s="318" t="str">
        <f ca="1">IFERROR(N203/M203-1,"--")</f>
        <v>--</v>
      </c>
      <c r="O204" s="306" t="str">
        <f ca="1">IFERROR(O203/J203-1,"--")</f>
        <v>--</v>
      </c>
      <c r="P204" s="318" t="str">
        <f ca="1">IFERROR(P203/N203-1,"--")</f>
        <v>--</v>
      </c>
      <c r="Q204" s="318" t="str">
        <f t="shared" ref="Q204:S204" si="224" ca="1">IFERROR(Q203/P203-1,"--")</f>
        <v>--</v>
      </c>
      <c r="R204" s="318" t="str">
        <f ca="1">IFERROR(R203/Q203-1,"--")</f>
        <v>--</v>
      </c>
      <c r="S204" s="318" t="str">
        <f ca="1">IFERROR(S203/R203-1,"--")</f>
        <v>--</v>
      </c>
      <c r="T204" s="306" t="str">
        <f ca="1">IFERROR(T203/O203-1,"--")</f>
        <v>--</v>
      </c>
      <c r="U204" s="318" t="str">
        <f ca="1">IFERROR(U203/S203-1,"--")</f>
        <v>--</v>
      </c>
      <c r="V204" s="318" t="str">
        <f t="shared" ref="V204:W204" si="225" ca="1">IFERROR(V203/U203-1,"--")</f>
        <v>--</v>
      </c>
      <c r="W204" s="318" t="str">
        <f ca="1">IFERROR(W203/V203-1,"--")</f>
        <v>--</v>
      </c>
      <c r="X204" s="305">
        <f ca="1">IF(Case_Scenario="Bull",X205,IF(Case_Scenario="Base",X206,IF(Case_Scenario="bear",X207,"N/A")))</f>
        <v>0.05</v>
      </c>
      <c r="Y204" s="306"/>
      <c r="Z204" s="305">
        <f ca="1">IF(Case_Scenario="Bull",Z205,IF(Case_Scenario="Base",Z206,IF(Case_Scenario="bear",Z207,"N/A")))</f>
        <v>0.05</v>
      </c>
      <c r="AA204" s="305">
        <f ca="1">IF(Case_Scenario="Bull",AA205,IF(Case_Scenario="Base",AA206,IF(Case_Scenario="bear",AA207,"N/A")))</f>
        <v>0.05</v>
      </c>
      <c r="AB204" s="305">
        <f ca="1">IF(Case_Scenario="Bull",AB205,IF(Case_Scenario="Base",AB206,IF(Case_Scenario="bear",AB207,"N/A")))</f>
        <v>0.05</v>
      </c>
      <c r="AC204" s="305">
        <f ca="1">IF(Case_Scenario="Bull",AC205,IF(Case_Scenario="Base",AC206,IF(Case_Scenario="bear",AC207,"N/A")))</f>
        <v>0.05</v>
      </c>
      <c r="AD204" s="306"/>
      <c r="AE204" s="306">
        <f ca="1">IF(Case_Scenario="Bull",AE205,IF(Case_Scenario="Base",AE206,IF(Case_Scenario="bear",AE207,"N/A")))</f>
        <v>0.05</v>
      </c>
      <c r="AF204" s="306">
        <f ca="1">IF(Case_Scenario="Bull",AF205,IF(Case_Scenario="Base",AF206,IF(Case_Scenario="bear",AF207,"N/A")))</f>
        <v>0.05</v>
      </c>
      <c r="AG204" s="306">
        <f ca="1">IF(Case_Scenario="Bull",AG205,IF(Case_Scenario="Base",AG206,IF(Case_Scenario="bear",AG207,"N/A")))</f>
        <v>0.05</v>
      </c>
      <c r="AH204" s="16"/>
      <c r="AI204" s="16"/>
      <c r="AJ204" s="16"/>
    </row>
    <row r="205" ht="12.75" customHeight="1" hidden="1" spans="1:36" x14ac:dyDescent="0.25" outlineLevel="1" collapsed="1">
      <c r="A205" s="16"/>
      <c r="B205" s="16"/>
      <c r="C205" s="139" t="s">
        <v>251</v>
      </c>
      <c r="D205" s="16"/>
      <c r="E205" s="16"/>
      <c r="F205" s="319"/>
      <c r="G205" s="319"/>
      <c r="H205" s="319"/>
      <c r="I205" s="319"/>
      <c r="J205" s="168"/>
      <c r="K205" s="319"/>
      <c r="L205" s="319"/>
      <c r="M205" s="319"/>
      <c r="N205" s="319"/>
      <c r="O205" s="168"/>
      <c r="P205" s="319"/>
      <c r="Q205" s="319"/>
      <c r="R205" s="319"/>
      <c r="S205" s="319"/>
      <c r="T205" s="168"/>
      <c r="U205" s="319"/>
      <c r="V205" s="319"/>
      <c r="W205" s="319"/>
      <c r="X205" s="320">
        <v>0.1</v>
      </c>
      <c r="Y205" s="321"/>
      <c r="Z205" s="320">
        <v>0.1</v>
      </c>
      <c r="AA205" s="320">
        <v>0.1</v>
      </c>
      <c r="AB205" s="320">
        <v>0.1</v>
      </c>
      <c r="AC205" s="320">
        <v>0.1</v>
      </c>
      <c r="AD205" s="321"/>
      <c r="AE205" s="321">
        <v>0.1</v>
      </c>
      <c r="AF205" s="321">
        <v>0.1</v>
      </c>
      <c r="AG205" s="321">
        <v>0.1</v>
      </c>
      <c r="AH205" s="16"/>
      <c r="AI205" s="16"/>
      <c r="AJ205" s="16"/>
    </row>
    <row r="206" ht="12.75" customHeight="1" hidden="1" spans="1:36" x14ac:dyDescent="0.25" outlineLevel="1" collapsed="1">
      <c r="A206" s="16"/>
      <c r="B206" s="16"/>
      <c r="C206" s="139" t="s">
        <v>252</v>
      </c>
      <c r="D206" s="16"/>
      <c r="E206" s="16"/>
      <c r="F206" s="319"/>
      <c r="G206" s="319"/>
      <c r="H206" s="319"/>
      <c r="I206" s="319"/>
      <c r="J206" s="168"/>
      <c r="K206" s="319"/>
      <c r="L206" s="319"/>
      <c r="M206" s="319"/>
      <c r="N206" s="319"/>
      <c r="O206" s="168"/>
      <c r="P206" s="319"/>
      <c r="Q206" s="319"/>
      <c r="R206" s="319"/>
      <c r="S206" s="319"/>
      <c r="T206" s="168"/>
      <c r="U206" s="319"/>
      <c r="V206" s="319"/>
      <c r="W206" s="319"/>
      <c r="X206" s="320">
        <v>0.05</v>
      </c>
      <c r="Y206" s="321"/>
      <c r="Z206" s="320">
        <v>0.05</v>
      </c>
      <c r="AA206" s="320">
        <v>0.05</v>
      </c>
      <c r="AB206" s="320">
        <v>0.05</v>
      </c>
      <c r="AC206" s="320">
        <v>0.05</v>
      </c>
      <c r="AD206" s="321"/>
      <c r="AE206" s="321">
        <v>0.05</v>
      </c>
      <c r="AF206" s="321">
        <v>0.05</v>
      </c>
      <c r="AG206" s="321">
        <v>0.05</v>
      </c>
      <c r="AH206" s="16"/>
      <c r="AI206" s="16"/>
      <c r="AJ206" s="16"/>
    </row>
    <row r="207" ht="12.75" customHeight="1" hidden="1" spans="1:36" x14ac:dyDescent="0.25" outlineLevel="1" collapsed="1">
      <c r="A207" s="16"/>
      <c r="B207" s="16"/>
      <c r="C207" s="139" t="s">
        <v>253</v>
      </c>
      <c r="D207" s="16"/>
      <c r="E207" s="16"/>
      <c r="F207" s="319"/>
      <c r="G207" s="319"/>
      <c r="H207" s="319"/>
      <c r="I207" s="319"/>
      <c r="J207" s="168"/>
      <c r="K207" s="319"/>
      <c r="L207" s="319"/>
      <c r="M207" s="319"/>
      <c r="N207" s="319"/>
      <c r="O207" s="168"/>
      <c r="P207" s="319"/>
      <c r="Q207" s="319"/>
      <c r="R207" s="319"/>
      <c r="S207" s="319"/>
      <c r="T207" s="168"/>
      <c r="U207" s="319"/>
      <c r="V207" s="319"/>
      <c r="W207" s="319"/>
      <c r="X207" s="320">
        <v>0</v>
      </c>
      <c r="Y207" s="321"/>
      <c r="Z207" s="320">
        <v>0</v>
      </c>
      <c r="AA207" s="320">
        <v>0</v>
      </c>
      <c r="AB207" s="320">
        <v>0</v>
      </c>
      <c r="AC207" s="320">
        <v>0</v>
      </c>
      <c r="AD207" s="321"/>
      <c r="AE207" s="321">
        <v>0</v>
      </c>
      <c r="AF207" s="321">
        <v>0</v>
      </c>
      <c r="AG207" s="321">
        <v>0</v>
      </c>
      <c r="AH207" s="16"/>
      <c r="AI207" s="16"/>
      <c r="AJ207" s="16"/>
    </row>
    <row r="208" ht="12.75" customHeight="1" hidden="1" spans="1:36" x14ac:dyDescent="0.25" outlineLevel="1" collapsed="1">
      <c r="A208" s="16"/>
      <c r="B208" s="16"/>
      <c r="C208" s="139" t="s">
        <v>261</v>
      </c>
      <c r="D208" s="16"/>
      <c r="E208" s="16"/>
      <c r="F208" s="339">
        <f ca="1">F203/F201</f>
      </c>
      <c r="G208" s="339">
        <f ca="1">G203/G201</f>
      </c>
      <c r="H208" s="339">
        <f ca="1">H203/H201</f>
      </c>
      <c r="I208" s="339">
        <f ca="1">I203/I201</f>
      </c>
      <c r="J208" s="340">
        <f ca="1">J203/J201</f>
      </c>
      <c r="K208" s="339">
        <f ca="1">K203/K201</f>
      </c>
      <c r="L208" s="339">
        <f ca="1">L203/L201</f>
      </c>
      <c r="M208" s="339">
        <f ca="1">M203/M201</f>
      </c>
      <c r="N208" s="339">
        <f ca="1">N203/N201</f>
      </c>
      <c r="O208" s="340">
        <f ca="1">O203/O201</f>
      </c>
      <c r="P208" s="339">
        <f ca="1">P203/P201</f>
      </c>
      <c r="Q208" s="339">
        <f ca="1">Q203/Q201</f>
      </c>
      <c r="R208" s="339">
        <f ca="1">R203/R201</f>
      </c>
      <c r="S208" s="339">
        <f ca="1">S203/S201</f>
      </c>
      <c r="T208" s="340">
        <f ca="1">T203/T201</f>
      </c>
      <c r="U208" s="339">
        <f ca="1">U203/U201</f>
      </c>
      <c r="V208" s="339">
        <f ca="1">V203/V201</f>
      </c>
      <c r="W208" s="339">
        <f ca="1">W203/W201</f>
      </c>
      <c r="X208" s="334">
        <f ca="1">IF(Case_Scenario="Bull",X209,IF(Case_Scenario="Base",X210,IF(Case_Scenario="bear",X211,"N/A")))</f>
        <v>1.25</v>
      </c>
      <c r="Y208" s="333">
        <f ca="1">AVERAGE(U208:X208)</f>
      </c>
      <c r="Z208" s="334">
        <f ca="1">IF(Case_Scenario="Bull",Z209,IF(Case_Scenario="Base",Z210,IF(Case_Scenario="bear",Z211,"N/A")))</f>
        <v>1.25</v>
      </c>
      <c r="AA208" s="334">
        <f ca="1">IF(Case_Scenario="Bull",AA209,IF(Case_Scenario="Base",AA210,IF(Case_Scenario="bear",AA211,"N/A")))</f>
        <v>1.25</v>
      </c>
      <c r="AB208" s="334">
        <f ca="1">IF(Case_Scenario="Bull",AB209,IF(Case_Scenario="Base",AB210,IF(Case_Scenario="bear",AB211,"N/A")))</f>
        <v>1.25</v>
      </c>
      <c r="AC208" s="334">
        <f ca="1">IF(Case_Scenario="Bull",AC209,IF(Case_Scenario="Base",AC210,IF(Case_Scenario="bear",AC211,"N/A")))</f>
        <v>1.25</v>
      </c>
      <c r="AD208" s="333">
        <f ca="1">AVERAGE(Z208:AC208)</f>
        <v>1.25</v>
      </c>
      <c r="AE208" s="333">
        <f ca="1">IF(Case_Scenario="Bull",AE209,IF(Case_Scenario="Base",AE210,IF(Case_Scenario="bear",AE211,"N/A")))</f>
        <v>1.25</v>
      </c>
      <c r="AF208" s="333">
        <f ca="1">IF(Case_Scenario="Bull",AF209,IF(Case_Scenario="Base",AF210,IF(Case_Scenario="bear",AF211,"N/A")))</f>
        <v>1.25</v>
      </c>
      <c r="AG208" s="333">
        <f ca="1">IF(Case_Scenario="Bull",AG209,IF(Case_Scenario="Base",AG210,IF(Case_Scenario="bear",AG211,"N/A")))</f>
        <v>1.25</v>
      </c>
      <c r="AH208" s="16"/>
      <c r="AI208" s="16"/>
      <c r="AJ208" s="16"/>
    </row>
    <row r="209" ht="12.75" customHeight="1" hidden="1" spans="1:36" x14ac:dyDescent="0.25" outlineLevel="1" collapsed="1">
      <c r="A209" s="16"/>
      <c r="B209" s="16"/>
      <c r="C209" s="139" t="s">
        <v>251</v>
      </c>
      <c r="D209" s="16"/>
      <c r="E209" s="16"/>
      <c r="F209" s="319"/>
      <c r="G209" s="318"/>
      <c r="H209" s="318"/>
      <c r="I209" s="318"/>
      <c r="J209" s="168"/>
      <c r="K209" s="318"/>
      <c r="L209" s="318"/>
      <c r="M209" s="318"/>
      <c r="N209" s="318"/>
      <c r="O209" s="306"/>
      <c r="P209" s="318"/>
      <c r="Q209" s="318"/>
      <c r="R209" s="318"/>
      <c r="S209" s="318"/>
      <c r="T209" s="306"/>
      <c r="U209" s="318"/>
      <c r="V209" s="318"/>
      <c r="W209" s="318"/>
      <c r="X209" s="337">
        <v>1</v>
      </c>
      <c r="Y209" s="338"/>
      <c r="Z209" s="337">
        <v>1</v>
      </c>
      <c r="AA209" s="337">
        <v>1</v>
      </c>
      <c r="AB209" s="337">
        <v>1</v>
      </c>
      <c r="AC209" s="337">
        <v>1</v>
      </c>
      <c r="AD209" s="338"/>
      <c r="AE209" s="338">
        <v>1</v>
      </c>
      <c r="AF209" s="338">
        <v>1</v>
      </c>
      <c r="AG209" s="338">
        <v>1</v>
      </c>
      <c r="AH209" s="16"/>
      <c r="AI209" s="16"/>
      <c r="AJ209" s="16"/>
    </row>
    <row r="210" ht="12.75" customHeight="1" hidden="1" spans="1:36" x14ac:dyDescent="0.25" outlineLevel="1" collapsed="1">
      <c r="A210" s="16"/>
      <c r="B210" s="16"/>
      <c r="C210" s="139" t="s">
        <v>252</v>
      </c>
      <c r="D210" s="16"/>
      <c r="E210" s="16"/>
      <c r="F210" s="319"/>
      <c r="G210" s="319"/>
      <c r="H210" s="319"/>
      <c r="I210" s="319"/>
      <c r="J210" s="168"/>
      <c r="K210" s="319"/>
      <c r="L210" s="319"/>
      <c r="M210" s="319"/>
      <c r="N210" s="319"/>
      <c r="O210" s="168"/>
      <c r="P210" s="319"/>
      <c r="Q210" s="319"/>
      <c r="R210" s="319"/>
      <c r="S210" s="319"/>
      <c r="T210" s="168"/>
      <c r="U210" s="319"/>
      <c r="V210" s="319"/>
      <c r="W210" s="319"/>
      <c r="X210" s="337">
        <v>1.25</v>
      </c>
      <c r="Y210" s="338"/>
      <c r="Z210" s="337">
        <v>1.25</v>
      </c>
      <c r="AA210" s="337">
        <v>1.25</v>
      </c>
      <c r="AB210" s="337">
        <v>1.25</v>
      </c>
      <c r="AC210" s="337">
        <v>1.25</v>
      </c>
      <c r="AD210" s="338"/>
      <c r="AE210" s="338">
        <v>1.25</v>
      </c>
      <c r="AF210" s="338">
        <v>1.25</v>
      </c>
      <c r="AG210" s="338">
        <v>1.25</v>
      </c>
      <c r="AH210" s="16"/>
      <c r="AI210" s="16"/>
      <c r="AJ210" s="16"/>
    </row>
    <row r="211" ht="12.75" customHeight="1" hidden="1" spans="1:36" x14ac:dyDescent="0.25" outlineLevel="1" collapsed="1">
      <c r="A211" s="16"/>
      <c r="B211" s="16"/>
      <c r="C211" s="139" t="s">
        <v>253</v>
      </c>
      <c r="D211" s="16"/>
      <c r="E211" s="16"/>
      <c r="F211" s="319"/>
      <c r="G211" s="319"/>
      <c r="H211" s="319"/>
      <c r="I211" s="319"/>
      <c r="J211" s="168"/>
      <c r="K211" s="319"/>
      <c r="L211" s="319"/>
      <c r="M211" s="319"/>
      <c r="N211" s="319"/>
      <c r="O211" s="168"/>
      <c r="P211" s="319"/>
      <c r="Q211" s="319"/>
      <c r="R211" s="319"/>
      <c r="S211" s="319"/>
      <c r="T211" s="168"/>
      <c r="U211" s="319"/>
      <c r="V211" s="319"/>
      <c r="W211" s="319"/>
      <c r="X211" s="337">
        <v>1.5</v>
      </c>
      <c r="Y211" s="338"/>
      <c r="Z211" s="337">
        <v>1.5</v>
      </c>
      <c r="AA211" s="337">
        <v>1.5</v>
      </c>
      <c r="AB211" s="337">
        <v>1.5</v>
      </c>
      <c r="AC211" s="337">
        <v>1.5</v>
      </c>
      <c r="AD211" s="338"/>
      <c r="AE211" s="338">
        <v>1.5</v>
      </c>
      <c r="AF211" s="338">
        <v>1.5</v>
      </c>
      <c r="AG211" s="338">
        <v>1.5</v>
      </c>
      <c r="AH211" s="16"/>
      <c r="AI211" s="16"/>
      <c r="AJ211" s="16"/>
    </row>
    <row r="212" ht="12.75" customHeight="1" hidden="1" spans="1:36" x14ac:dyDescent="0.25" outlineLevel="1" collapsed="1">
      <c r="A212" s="16"/>
      <c r="B212" s="16"/>
      <c r="C212" s="16"/>
      <c r="D212" s="16"/>
      <c r="E212" s="16"/>
      <c r="F212" s="319"/>
      <c r="G212" s="319"/>
      <c r="H212" s="319"/>
      <c r="I212" s="319"/>
      <c r="J212" s="168"/>
      <c r="K212" s="319"/>
      <c r="L212" s="319"/>
      <c r="M212" s="319"/>
      <c r="N212" s="319"/>
      <c r="O212" s="168"/>
      <c r="P212" s="319"/>
      <c r="Q212" s="319"/>
      <c r="R212" s="319"/>
      <c r="S212" s="319"/>
      <c r="T212" s="168"/>
      <c r="U212" s="319"/>
      <c r="V212" s="319"/>
      <c r="W212" s="319"/>
      <c r="X212" s="320"/>
      <c r="Y212" s="321"/>
      <c r="Z212" s="320"/>
      <c r="AA212" s="320"/>
      <c r="AB212" s="320"/>
      <c r="AC212" s="320"/>
      <c r="AD212" s="321"/>
      <c r="AE212" s="321"/>
      <c r="AF212" s="321"/>
      <c r="AG212" s="321"/>
      <c r="AH212" s="16"/>
      <c r="AI212" s="16"/>
      <c r="AJ212" s="16"/>
    </row>
    <row r="213" ht="12.75" customHeight="1" hidden="1" spans="1:36" x14ac:dyDescent="0.25" outlineLevel="1" collapsed="1">
      <c r="A213" s="264" t="s">
        <v>1</v>
      </c>
      <c r="B213" s="16"/>
      <c r="C213" s="139" t="str">
        <f ca="1">C44</f>
        <v>Segment 5 Revenue</v>
      </c>
      <c r="D213" s="16"/>
      <c r="E213" s="16"/>
      <c r="F213" s="317">
        <f t="shared" ref="F213:W213" si="226" ca="1">F44</f>
        <v>1e-12</v>
      </c>
      <c r="G213" s="317">
        <f ca="1">G44</f>
        <v>1e-12</v>
      </c>
      <c r="H213" s="317">
        <f ca="1">H44</f>
        <v>1e-12</v>
      </c>
      <c r="I213" s="317">
        <f ca="1">I44</f>
        <v>1e-12</v>
      </c>
      <c r="J213" s="287">
        <f ca="1">J44</f>
        <v>1e-12</v>
      </c>
      <c r="K213" s="317">
        <f ca="1">K44</f>
        <v>1e-12</v>
      </c>
      <c r="L213" s="317">
        <f ca="1">L44</f>
        <v>1e-12</v>
      </c>
      <c r="M213" s="317">
        <f ca="1">M44</f>
        <v>1e-12</v>
      </c>
      <c r="N213" s="317">
        <f ca="1">N44</f>
        <v>1e-12</v>
      </c>
      <c r="O213" s="287">
        <f ca="1">O44</f>
        <v>1e-12</v>
      </c>
      <c r="P213" s="317">
        <f ca="1">P44</f>
        <v>1e-12</v>
      </c>
      <c r="Q213" s="317">
        <f ca="1">Q44</f>
        <v>1e-12</v>
      </c>
      <c r="R213" s="317">
        <f ca="1">R44</f>
        <v>1e-12</v>
      </c>
      <c r="S213" s="317">
        <f ca="1">S44</f>
        <v>1e-12</v>
      </c>
      <c r="T213" s="287">
        <f ca="1">T44</f>
        <v>1e-12</v>
      </c>
      <c r="U213" s="317">
        <f ca="1">U44</f>
        <v>1e-12</v>
      </c>
      <c r="V213" s="317">
        <f ca="1">V44</f>
        <v>1e-12</v>
      </c>
      <c r="W213" s="317">
        <f ca="1">W44</f>
        <v>1e-12</v>
      </c>
      <c r="X213" s="286">
        <f ca="1">X215/X220</f>
        <v>-124.32000000000001</v>
      </c>
      <c r="Y213" s="287">
        <f ca="1">SUM(U213:X213)</f>
        <v>-124.32000000000001</v>
      </c>
      <c r="Z213" s="286">
        <f t="shared" ref="Z213:AC213" si="227" ca="1">Z215/Z220</f>
        <v>-130.536</v>
      </c>
      <c r="AA213" s="286">
        <f ca="1">AA215/AA220</f>
        <v>-137.0628</v>
      </c>
      <c r="AB213" s="286">
        <f ca="1">AB215/AB220</f>
        <v>-143.91594000000003</v>
      </c>
      <c r="AC213" s="286">
        <f ca="1">AC215/AC220</f>
        <v>-151.11173700000003</v>
      </c>
      <c r="AD213" s="287">
        <f ca="1">SUM(Z213:AC213)</f>
        <v>-562.626477</v>
      </c>
      <c r="AE213" s="287">
        <f t="shared" ref="AE213:AG213" si="228" ca="1">AE215/AE220</f>
        <v>-590.7578008500002</v>
      </c>
      <c r="AF213" s="287">
        <f ca="1">AF215/AF220</f>
        <v>-620.2956908925001</v>
      </c>
      <c r="AG213" s="287">
        <f ca="1">AG215/AG220</f>
        <v>-651.3104754371252</v>
      </c>
      <c r="AH213" s="16"/>
      <c r="AI213" s="16"/>
      <c r="AJ213" s="16"/>
    </row>
    <row r="214" ht="12.75" customHeight="1" hidden="1" spans="1:36" x14ac:dyDescent="0.25" outlineLevel="1" collapsed="1">
      <c r="A214" s="16"/>
      <c r="B214" s="16"/>
      <c r="C214" s="139" t="s">
        <v>244</v>
      </c>
      <c r="D214" s="16"/>
      <c r="E214" s="16"/>
      <c r="F214" s="325">
        <v>0</v>
      </c>
      <c r="G214" s="325">
        <v>0</v>
      </c>
      <c r="H214" s="325">
        <v>0</v>
      </c>
      <c r="I214" s="325">
        <v>0</v>
      </c>
      <c r="J214" s="326">
        <f ca="1">0+J215-J213</f>
        <v>1e-12</v>
      </c>
      <c r="K214" s="325">
        <v>0</v>
      </c>
      <c r="L214" s="325">
        <v>0</v>
      </c>
      <c r="M214" s="325">
        <v>16251</v>
      </c>
      <c r="N214" s="325">
        <v>17223</v>
      </c>
      <c r="O214" s="326">
        <f ca="1">15631+O215-O213</f>
        <v>17223</v>
      </c>
      <c r="P214" s="325">
        <v>20464</v>
      </c>
      <c r="Q214" s="325">
        <v>20388</v>
      </c>
      <c r="R214" s="325">
        <v>20240</v>
      </c>
      <c r="S214" s="325">
        <v>21008</v>
      </c>
      <c r="T214" s="326">
        <f ca="1">O214+T215-T213</f>
        <v>21008</v>
      </c>
      <c r="U214" s="325">
        <v>20464</v>
      </c>
      <c r="V214" s="325">
        <v>20388</v>
      </c>
      <c r="W214" s="325">
        <v>20240</v>
      </c>
      <c r="X214" s="327">
        <f ca="1">W214+X215-X213</f>
        <v>20208.92</v>
      </c>
      <c r="Y214" s="326">
        <f ca="1">T214+Y215-Y213</f>
        <v>20208.92</v>
      </c>
      <c r="Z214" s="327">
        <f ca="1">X214+Z215-Z213</f>
        <v>20176.286</v>
      </c>
      <c r="AA214" s="327">
        <f t="shared" ref="AA214:AC214" si="229" ca="1">Z214+AA215-AA213</f>
        <v>20142.0203</v>
      </c>
      <c r="AB214" s="327">
        <f ca="1">AA214+AB215-AB213</f>
        <v>20106.041315</v>
      </c>
      <c r="AC214" s="327">
        <f ca="1">AB214+AC215-AC213</f>
        <v>20068.26338075</v>
      </c>
      <c r="AD214" s="326">
        <f ca="1">Y214+AD215-AD213</f>
        <v>20068.26338075</v>
      </c>
      <c r="AE214" s="326">
        <f t="shared" ref="AE214:AG214" si="230" ca="1">AD214+AE215-AE213</f>
        <v>19920.573930537495</v>
      </c>
      <c r="AF214" s="326">
        <f ca="1">AE214+AF215-AF213</f>
        <v>19765.50000781437</v>
      </c>
      <c r="AG214" s="326">
        <f ca="1">AF214+AG215-AG213</f>
        <v>19602.672388955092</v>
      </c>
      <c r="AH214" s="16"/>
      <c r="AI214" s="16"/>
      <c r="AJ214" s="16"/>
    </row>
    <row r="215" ht="12.75" customHeight="1" hidden="1" spans="1:36" x14ac:dyDescent="0.25" outlineLevel="1" collapsed="1">
      <c r="A215" s="16"/>
      <c r="B215" s="16"/>
      <c r="C215" s="139" t="s">
        <v>259</v>
      </c>
      <c r="D215" s="16"/>
      <c r="E215" s="16"/>
      <c r="F215" s="325">
        <f ca="1">F214+F213-(0)</f>
        <v>1e-12</v>
      </c>
      <c r="G215" s="325">
        <f t="shared" ref="G215:I215" si="231" ca="1">G214+G213-F214</f>
        <v>1e-12</v>
      </c>
      <c r="H215" s="325">
        <f ca="1">H214+H213-G214</f>
        <v>1e-12</v>
      </c>
      <c r="I215" s="325">
        <f ca="1">I214+I213-H214</f>
        <v>1e-12</v>
      </c>
      <c r="J215" s="326">
        <f ca="1">SUM(F215:I215)</f>
        <v>1e-12</v>
      </c>
      <c r="K215" s="325">
        <f t="shared" ref="K215:L215" si="232" ca="1">K214+K213-J214</f>
        <v>1e-12</v>
      </c>
      <c r="L215" s="325">
        <f ca="1">L214+L213-K214</f>
        <v>1e-12</v>
      </c>
      <c r="M215" s="325">
        <f ca="1">M214+M213-15631</f>
        <v>620</v>
      </c>
      <c r="N215" s="325">
        <f ca="1">N214+N213-M214</f>
        <v>972</v>
      </c>
      <c r="O215" s="326">
        <f ca="1">SUM(M215:N215)</f>
        <v>1592</v>
      </c>
      <c r="P215" s="325">
        <f t="shared" ref="P215:S215" si="233" ca="1">P214+P213-O214</f>
        <v>3241</v>
      </c>
      <c r="Q215" s="325">
        <f ca="1">Q214+Q213-P214</f>
        <v>-76</v>
      </c>
      <c r="R215" s="325">
        <f ca="1">R214+R213-Q214</f>
        <v>-148</v>
      </c>
      <c r="S215" s="325">
        <f ca="1">S214+S213-R214</f>
        <v>768</v>
      </c>
      <c r="T215" s="326">
        <f ca="1">SUM(P215:S215)</f>
        <v>3785</v>
      </c>
      <c r="U215" s="325">
        <f t="shared" ref="U215:W215" si="234" ca="1">U214+U213-T214</f>
        <v>-544</v>
      </c>
      <c r="V215" s="325">
        <f ca="1">V214+V213-U214</f>
        <v>-76</v>
      </c>
      <c r="W215" s="325">
        <f ca="1">W214+W213-V214</f>
        <v>-148</v>
      </c>
      <c r="X215" s="327">
        <f ca="1">W215*(1+X216)</f>
        <v>-155.4</v>
      </c>
      <c r="Y215" s="326">
        <f ca="1">SUM(U215:X215)</f>
        <v>-923.4</v>
      </c>
      <c r="Z215" s="327">
        <f ca="1">X215*(1+Z216)</f>
        <v>-163.17000000000002</v>
      </c>
      <c r="AA215" s="327">
        <f t="shared" ref="AA215:AC215" si="235" ca="1">Z215*(1+AA216)</f>
        <v>-171.32850000000002</v>
      </c>
      <c r="AB215" s="327">
        <f ca="1">AA215*(1+AB216)</f>
        <v>-179.89492500000003</v>
      </c>
      <c r="AC215" s="327">
        <f ca="1">AB215*(1+AC216)</f>
        <v>-188.88967125000005</v>
      </c>
      <c r="AD215" s="326">
        <f ca="1">SUM(Z215:AC215)</f>
        <v>-703.2830962500002</v>
      </c>
      <c r="AE215" s="326">
        <f t="shared" ref="AE215:AG215" si="236" ca="1">AD215*(1+AE216)</f>
        <v>-738.4472510625002</v>
      </c>
      <c r="AF215" s="326">
        <f ca="1">AE215*(1+AF216)</f>
        <v>-775.3696136156252</v>
      </c>
      <c r="AG215" s="326">
        <f ca="1">AF215*(1+AG216)</f>
        <v>-814.1380942964065</v>
      </c>
      <c r="AH215" s="16"/>
      <c r="AI215" s="16"/>
      <c r="AJ215" s="16"/>
    </row>
    <row r="216" ht="12.75" customHeight="1" hidden="1" spans="1:36" x14ac:dyDescent="0.25" outlineLevel="1" collapsed="1">
      <c r="A216" s="16"/>
      <c r="B216" s="16"/>
      <c r="C216" s="120" t="s">
        <v>260</v>
      </c>
      <c r="D216" s="16"/>
      <c r="E216" s="16"/>
      <c r="F216" s="319"/>
      <c r="G216" s="318" t="str">
        <f t="shared" ref="G216:I216" si="237" ca="1">IFERROR(G215/F215-1,"--")</f>
        <v>--</v>
      </c>
      <c r="H216" s="318" t="str">
        <f ca="1">IFERROR(H215/G215-1,"--")</f>
        <v>--</v>
      </c>
      <c r="I216" s="318" t="str">
        <f ca="1">IFERROR(I215/H215-1,"--")</f>
        <v>--</v>
      </c>
      <c r="J216" s="168"/>
      <c r="K216" s="318" t="str">
        <f ca="1">IFERROR(K215/I215-1,"--")</f>
        <v>--</v>
      </c>
      <c r="L216" s="318" t="str">
        <f t="shared" ref="L216:N216" si="238" ca="1">IFERROR(L215/K215-1,"--")</f>
        <v>--</v>
      </c>
      <c r="M216" s="318" t="str">
        <f ca="1">IFERROR(M215/L215-1,"--")</f>
        <v>--</v>
      </c>
      <c r="N216" s="318">
        <f ca="1">IFERROR(N215/M215-1,"--")</f>
        <v>0.5677419354838709</v>
      </c>
      <c r="O216" s="306" t="str">
        <f ca="1">IFERROR(O215/J215-1,"--")</f>
        <v>--</v>
      </c>
      <c r="P216" s="318">
        <f ca="1">IFERROR(P215/N215-1,"--")</f>
        <v>2.3343621399176953</v>
      </c>
      <c r="Q216" s="318">
        <f t="shared" ref="Q216:S216" si="239" ca="1">IFERROR(Q215/P215-1,"--")</f>
        <v>-1.02344955260722</v>
      </c>
      <c r="R216" s="318">
        <f ca="1">IFERROR(R215/Q215-1,"--")</f>
        <v>0.9473684210526316</v>
      </c>
      <c r="S216" s="318">
        <f ca="1">IFERROR(S215/R215-1,"--")</f>
        <v>-6.1891891891891895</v>
      </c>
      <c r="T216" s="306">
        <f ca="1">IFERROR(T215/O215-1,"--")</f>
        <v>1.3775125628140703</v>
      </c>
      <c r="U216" s="318">
        <f ca="1">IFERROR(U215/S215-1,"--")</f>
        <v>-1.7083333333333335</v>
      </c>
      <c r="V216" s="318">
        <f t="shared" ref="V216:W216" si="240" ca="1">IFERROR(V215/U215-1,"--")</f>
        <v>-0.8602941176470589</v>
      </c>
      <c r="W216" s="318">
        <f ca="1">IFERROR(W215/V215-1,"--")</f>
        <v>0.9473684210526316</v>
      </c>
      <c r="X216" s="305">
        <f ca="1">IF(Case_Scenario="Bull",X217,IF(Case_Scenario="Base",X218,IF(Case_Scenario="bear",X219,"N/A")))</f>
        <v>0.05</v>
      </c>
      <c r="Y216" s="306"/>
      <c r="Z216" s="305">
        <f ca="1">IF(Case_Scenario="Bull",Z217,IF(Case_Scenario="Base",Z218,IF(Case_Scenario="bear",Z219,"N/A")))</f>
        <v>0.05</v>
      </c>
      <c r="AA216" s="305">
        <f ca="1">IF(Case_Scenario="Bull",AA217,IF(Case_Scenario="Base",AA218,IF(Case_Scenario="bear",AA219,"N/A")))</f>
        <v>0.05</v>
      </c>
      <c r="AB216" s="305">
        <f ca="1">IF(Case_Scenario="Bull",AB217,IF(Case_Scenario="Base",AB218,IF(Case_Scenario="bear",AB219,"N/A")))</f>
        <v>0.05</v>
      </c>
      <c r="AC216" s="305">
        <f ca="1">IF(Case_Scenario="Bull",AC217,IF(Case_Scenario="Base",AC218,IF(Case_Scenario="bear",AC219,"N/A")))</f>
        <v>0.05</v>
      </c>
      <c r="AD216" s="306"/>
      <c r="AE216" s="306">
        <f ca="1">IF(Case_Scenario="Bull",AE217,IF(Case_Scenario="Base",AE218,IF(Case_Scenario="bear",AE219,"N/A")))</f>
        <v>0.05</v>
      </c>
      <c r="AF216" s="306">
        <f ca="1">IF(Case_Scenario="Bull",AF217,IF(Case_Scenario="Base",AF218,IF(Case_Scenario="bear",AF219,"N/A")))</f>
        <v>0.05</v>
      </c>
      <c r="AG216" s="306">
        <f ca="1">IF(Case_Scenario="Bull",AG217,IF(Case_Scenario="Base",AG218,IF(Case_Scenario="bear",AG219,"N/A")))</f>
        <v>0.05</v>
      </c>
      <c r="AH216" s="16"/>
      <c r="AI216" s="16"/>
      <c r="AJ216" s="16"/>
    </row>
    <row r="217" ht="12.75" customHeight="1" hidden="1" spans="1:36" x14ac:dyDescent="0.25" outlineLevel="1" collapsed="1">
      <c r="A217" s="16"/>
      <c r="B217" s="16"/>
      <c r="C217" s="139" t="s">
        <v>251</v>
      </c>
      <c r="D217" s="16"/>
      <c r="E217" s="16"/>
      <c r="F217" s="319"/>
      <c r="G217" s="319"/>
      <c r="H217" s="319"/>
      <c r="I217" s="319"/>
      <c r="J217" s="168"/>
      <c r="K217" s="319"/>
      <c r="L217" s="319"/>
      <c r="M217" s="319"/>
      <c r="N217" s="319"/>
      <c r="O217" s="168"/>
      <c r="P217" s="319"/>
      <c r="Q217" s="319"/>
      <c r="R217" s="319"/>
      <c r="S217" s="319"/>
      <c r="T217" s="168"/>
      <c r="U217" s="319"/>
      <c r="V217" s="319"/>
      <c r="W217" s="319"/>
      <c r="X217" s="320">
        <v>0.1</v>
      </c>
      <c r="Y217" s="321"/>
      <c r="Z217" s="320">
        <v>0.1</v>
      </c>
      <c r="AA217" s="320">
        <v>0.1</v>
      </c>
      <c r="AB217" s="320">
        <v>0.1</v>
      </c>
      <c r="AC217" s="320">
        <v>0.1</v>
      </c>
      <c r="AD217" s="321"/>
      <c r="AE217" s="321">
        <v>0.1</v>
      </c>
      <c r="AF217" s="321">
        <v>0.1</v>
      </c>
      <c r="AG217" s="321">
        <v>0.1</v>
      </c>
      <c r="AH217" s="16"/>
      <c r="AI217" s="16"/>
      <c r="AJ217" s="16"/>
    </row>
    <row r="218" ht="12.75" customHeight="1" hidden="1" spans="1:36" x14ac:dyDescent="0.25" outlineLevel="1" collapsed="1">
      <c r="A218" s="16"/>
      <c r="B218" s="16"/>
      <c r="C218" s="139" t="s">
        <v>252</v>
      </c>
      <c r="D218" s="16"/>
      <c r="E218" s="16"/>
      <c r="F218" s="319"/>
      <c r="G218" s="319"/>
      <c r="H218" s="319"/>
      <c r="I218" s="319"/>
      <c r="J218" s="168"/>
      <c r="K218" s="319"/>
      <c r="L218" s="319"/>
      <c r="M218" s="319"/>
      <c r="N218" s="319"/>
      <c r="O218" s="168"/>
      <c r="P218" s="319"/>
      <c r="Q218" s="319"/>
      <c r="R218" s="319"/>
      <c r="S218" s="319"/>
      <c r="T218" s="168"/>
      <c r="U218" s="319"/>
      <c r="V218" s="319"/>
      <c r="W218" s="319"/>
      <c r="X218" s="320">
        <v>0.05</v>
      </c>
      <c r="Y218" s="321"/>
      <c r="Z218" s="320">
        <v>0.05</v>
      </c>
      <c r="AA218" s="320">
        <v>0.05</v>
      </c>
      <c r="AB218" s="320">
        <v>0.05</v>
      </c>
      <c r="AC218" s="320">
        <v>0.05</v>
      </c>
      <c r="AD218" s="321"/>
      <c r="AE218" s="321">
        <v>0.05</v>
      </c>
      <c r="AF218" s="321">
        <v>0.05</v>
      </c>
      <c r="AG218" s="321">
        <v>0.05</v>
      </c>
      <c r="AH218" s="16"/>
      <c r="AI218" s="16"/>
      <c r="AJ218" s="16"/>
    </row>
    <row r="219" ht="12.75" customHeight="1" hidden="1" spans="1:36" x14ac:dyDescent="0.25" outlineLevel="1" collapsed="1">
      <c r="A219" s="16"/>
      <c r="B219" s="16"/>
      <c r="C219" s="139" t="s">
        <v>253</v>
      </c>
      <c r="D219" s="16"/>
      <c r="E219" s="16"/>
      <c r="F219" s="319"/>
      <c r="G219" s="319"/>
      <c r="H219" s="319"/>
      <c r="I219" s="319"/>
      <c r="J219" s="168"/>
      <c r="K219" s="319"/>
      <c r="L219" s="319"/>
      <c r="M219" s="319"/>
      <c r="N219" s="319"/>
      <c r="O219" s="168"/>
      <c r="P219" s="319"/>
      <c r="Q219" s="319"/>
      <c r="R219" s="319"/>
      <c r="S219" s="319"/>
      <c r="T219" s="168"/>
      <c r="U219" s="319"/>
      <c r="V219" s="319"/>
      <c r="W219" s="319"/>
      <c r="X219" s="320">
        <v>0</v>
      </c>
      <c r="Y219" s="321"/>
      <c r="Z219" s="320">
        <v>0</v>
      </c>
      <c r="AA219" s="320">
        <v>0</v>
      </c>
      <c r="AB219" s="320">
        <v>0</v>
      </c>
      <c r="AC219" s="320">
        <v>0</v>
      </c>
      <c r="AD219" s="321"/>
      <c r="AE219" s="321">
        <v>0</v>
      </c>
      <c r="AF219" s="321">
        <v>0</v>
      </c>
      <c r="AG219" s="321">
        <v>0</v>
      </c>
      <c r="AH219" s="16"/>
      <c r="AI219" s="16"/>
      <c r="AJ219" s="16"/>
    </row>
    <row r="220" ht="12.75" customHeight="1" hidden="1" spans="1:36" x14ac:dyDescent="0.25" outlineLevel="1" collapsed="1">
      <c r="A220" s="16"/>
      <c r="B220" s="16"/>
      <c r="C220" s="139" t="s">
        <v>261</v>
      </c>
      <c r="D220" s="16"/>
      <c r="E220" s="16"/>
      <c r="F220" s="339">
        <f ca="1">F215/F213</f>
      </c>
      <c r="G220" s="339">
        <f ca="1">G215/G213</f>
      </c>
      <c r="H220" s="339">
        <f ca="1">H215/H213</f>
      </c>
      <c r="I220" s="339">
        <f ca="1">I215/I213</f>
      </c>
      <c r="J220" s="340">
        <f ca="1">J215/J213</f>
      </c>
      <c r="K220" s="339">
        <f ca="1">K215/K213</f>
      </c>
      <c r="L220" s="339">
        <f ca="1">L215/L213</f>
      </c>
      <c r="M220" s="339">
        <f ca="1">M215/M213</f>
      </c>
      <c r="N220" s="339">
        <f ca="1">N215/N213</f>
      </c>
      <c r="O220" s="340">
        <f ca="1">O215/O213</f>
      </c>
      <c r="P220" s="339">
        <f ca="1">P215/P213</f>
      </c>
      <c r="Q220" s="339">
        <f ca="1">Q215/Q213</f>
      </c>
      <c r="R220" s="339">
        <f ca="1">R215/R213</f>
      </c>
      <c r="S220" s="339">
        <f ca="1">S215/S213</f>
      </c>
      <c r="T220" s="340">
        <f ca="1">T215/T213</f>
      </c>
      <c r="U220" s="339">
        <f ca="1">U215/U213</f>
      </c>
      <c r="V220" s="339">
        <f ca="1">V215/V213</f>
      </c>
      <c r="W220" s="339">
        <f ca="1">W215/W213</f>
      </c>
      <c r="X220" s="334">
        <f ca="1">IF(Case_Scenario="Bull",X221,IF(Case_Scenario="Base",X222,IF(Case_Scenario="bear",X223,"N/A")))</f>
        <v>1.25</v>
      </c>
      <c r="Y220" s="333">
        <f ca="1">AVERAGE(U220:X220)</f>
      </c>
      <c r="Z220" s="334">
        <f ca="1">IF(Case_Scenario="Bull",Z221,IF(Case_Scenario="Base",Z222,IF(Case_Scenario="bear",Z223,"N/A")))</f>
        <v>1.25</v>
      </c>
      <c r="AA220" s="334">
        <f ca="1">IF(Case_Scenario="Bull",AA221,IF(Case_Scenario="Base",AA222,IF(Case_Scenario="bear",AA223,"N/A")))</f>
        <v>1.25</v>
      </c>
      <c r="AB220" s="334">
        <f ca="1">IF(Case_Scenario="Bull",AB221,IF(Case_Scenario="Base",AB222,IF(Case_Scenario="bear",AB223,"N/A")))</f>
        <v>1.25</v>
      </c>
      <c r="AC220" s="334">
        <f ca="1">IF(Case_Scenario="Bull",AC221,IF(Case_Scenario="Base",AC222,IF(Case_Scenario="bear",AC223,"N/A")))</f>
        <v>1.25</v>
      </c>
      <c r="AD220" s="333">
        <f ca="1">AVERAGE(Z220:AC220)</f>
        <v>1.25</v>
      </c>
      <c r="AE220" s="333">
        <f ca="1">IF(Case_Scenario="Bull",AE221,IF(Case_Scenario="Base",AE222,IF(Case_Scenario="bear",AE223,"N/A")))</f>
        <v>1.25</v>
      </c>
      <c r="AF220" s="333">
        <f ca="1">IF(Case_Scenario="Bull",AF221,IF(Case_Scenario="Base",AF222,IF(Case_Scenario="bear",AF223,"N/A")))</f>
        <v>1.25</v>
      </c>
      <c r="AG220" s="333">
        <f ca="1">IF(Case_Scenario="Bull",AG221,IF(Case_Scenario="Base",AG222,IF(Case_Scenario="bear",AG223,"N/A")))</f>
        <v>1.25</v>
      </c>
      <c r="AH220" s="16"/>
      <c r="AI220" s="16"/>
      <c r="AJ220" s="16"/>
    </row>
    <row r="221" ht="12.75" customHeight="1" hidden="1" spans="1:36" x14ac:dyDescent="0.25" outlineLevel="1" collapsed="1">
      <c r="A221" s="16"/>
      <c r="B221" s="16"/>
      <c r="C221" s="139" t="s">
        <v>251</v>
      </c>
      <c r="D221" s="16"/>
      <c r="E221" s="16"/>
      <c r="F221" s="319"/>
      <c r="G221" s="318"/>
      <c r="H221" s="318"/>
      <c r="I221" s="318"/>
      <c r="J221" s="168"/>
      <c r="K221" s="318"/>
      <c r="L221" s="318"/>
      <c r="M221" s="318"/>
      <c r="N221" s="318"/>
      <c r="O221" s="306"/>
      <c r="P221" s="318"/>
      <c r="Q221" s="318"/>
      <c r="R221" s="318"/>
      <c r="S221" s="318"/>
      <c r="T221" s="306"/>
      <c r="U221" s="318"/>
      <c r="V221" s="318"/>
      <c r="W221" s="318"/>
      <c r="X221" s="337">
        <v>1</v>
      </c>
      <c r="Y221" s="338"/>
      <c r="Z221" s="337">
        <v>1</v>
      </c>
      <c r="AA221" s="337">
        <v>1</v>
      </c>
      <c r="AB221" s="337">
        <v>1</v>
      </c>
      <c r="AC221" s="337">
        <v>1</v>
      </c>
      <c r="AD221" s="338"/>
      <c r="AE221" s="338">
        <v>1</v>
      </c>
      <c r="AF221" s="338">
        <v>1</v>
      </c>
      <c r="AG221" s="338">
        <v>1</v>
      </c>
      <c r="AH221" s="16"/>
      <c r="AI221" s="16"/>
      <c r="AJ221" s="16"/>
    </row>
    <row r="222" ht="12.75" customHeight="1" hidden="1" spans="1:36" x14ac:dyDescent="0.25" outlineLevel="1" collapsed="1">
      <c r="A222" s="16"/>
      <c r="B222" s="16"/>
      <c r="C222" s="139" t="s">
        <v>252</v>
      </c>
      <c r="D222" s="16"/>
      <c r="E222" s="16"/>
      <c r="F222" s="319"/>
      <c r="G222" s="319"/>
      <c r="H222" s="319"/>
      <c r="I222" s="319"/>
      <c r="J222" s="168"/>
      <c r="K222" s="319"/>
      <c r="L222" s="319"/>
      <c r="M222" s="319"/>
      <c r="N222" s="319"/>
      <c r="O222" s="168"/>
      <c r="P222" s="319"/>
      <c r="Q222" s="319"/>
      <c r="R222" s="319"/>
      <c r="S222" s="319"/>
      <c r="T222" s="168"/>
      <c r="U222" s="319"/>
      <c r="V222" s="319"/>
      <c r="W222" s="319"/>
      <c r="X222" s="337">
        <v>1.25</v>
      </c>
      <c r="Y222" s="338"/>
      <c r="Z222" s="337">
        <v>1.25</v>
      </c>
      <c r="AA222" s="337">
        <v>1.25</v>
      </c>
      <c r="AB222" s="337">
        <v>1.25</v>
      </c>
      <c r="AC222" s="337">
        <v>1.25</v>
      </c>
      <c r="AD222" s="338"/>
      <c r="AE222" s="338">
        <v>1.25</v>
      </c>
      <c r="AF222" s="338">
        <v>1.25</v>
      </c>
      <c r="AG222" s="338">
        <v>1.25</v>
      </c>
      <c r="AH222" s="16"/>
      <c r="AI222" s="16"/>
      <c r="AJ222" s="16"/>
    </row>
    <row r="223" ht="12.75" customHeight="1" hidden="1" spans="1:36" x14ac:dyDescent="0.25" outlineLevel="1" collapsed="1">
      <c r="A223" s="16"/>
      <c r="B223" s="16"/>
      <c r="C223" s="139" t="s">
        <v>253</v>
      </c>
      <c r="D223" s="16"/>
      <c r="E223" s="16"/>
      <c r="F223" s="319"/>
      <c r="G223" s="319"/>
      <c r="H223" s="319"/>
      <c r="I223" s="319"/>
      <c r="J223" s="168"/>
      <c r="K223" s="319"/>
      <c r="L223" s="319"/>
      <c r="M223" s="319"/>
      <c r="N223" s="319"/>
      <c r="O223" s="168"/>
      <c r="P223" s="319"/>
      <c r="Q223" s="319"/>
      <c r="R223" s="319"/>
      <c r="S223" s="319"/>
      <c r="T223" s="168"/>
      <c r="U223" s="319"/>
      <c r="V223" s="319"/>
      <c r="W223" s="319"/>
      <c r="X223" s="337">
        <v>1.5</v>
      </c>
      <c r="Y223" s="338"/>
      <c r="Z223" s="337">
        <v>1.5</v>
      </c>
      <c r="AA223" s="337">
        <v>1.5</v>
      </c>
      <c r="AB223" s="337">
        <v>1.5</v>
      </c>
      <c r="AC223" s="337">
        <v>1.5</v>
      </c>
      <c r="AD223" s="338"/>
      <c r="AE223" s="338">
        <v>1.5</v>
      </c>
      <c r="AF223" s="338">
        <v>1.5</v>
      </c>
      <c r="AG223" s="338">
        <v>1.5</v>
      </c>
      <c r="AH223" s="16"/>
      <c r="AI223" s="16"/>
      <c r="AJ223" s="16"/>
    </row>
    <row r="224" ht="12.75" customHeight="1" hidden="1" spans="1:36" x14ac:dyDescent="0.25" outlineLevel="1" collapsed="1">
      <c r="A224" s="16"/>
      <c r="B224" s="16"/>
      <c r="C224" s="16"/>
      <c r="D224" s="16"/>
      <c r="E224" s="16"/>
      <c r="F224" s="319"/>
      <c r="G224" s="319"/>
      <c r="H224" s="319"/>
      <c r="I224" s="319"/>
      <c r="J224" s="168"/>
      <c r="K224" s="319"/>
      <c r="L224" s="319"/>
      <c r="M224" s="319"/>
      <c r="N224" s="319"/>
      <c r="O224" s="168"/>
      <c r="P224" s="319"/>
      <c r="Q224" s="319"/>
      <c r="R224" s="319"/>
      <c r="S224" s="319"/>
      <c r="T224" s="168"/>
      <c r="U224" s="319"/>
      <c r="V224" s="319"/>
      <c r="W224" s="319"/>
      <c r="X224" s="320"/>
      <c r="Y224" s="321"/>
      <c r="Z224" s="320"/>
      <c r="AA224" s="320"/>
      <c r="AB224" s="320"/>
      <c r="AC224" s="320"/>
      <c r="AD224" s="321"/>
      <c r="AE224" s="321"/>
      <c r="AF224" s="321"/>
      <c r="AG224" s="321"/>
      <c r="AH224" s="16"/>
      <c r="AI224" s="16"/>
      <c r="AJ224" s="16"/>
    </row>
    <row r="225" ht="12.75" customHeight="1" hidden="1" spans="1:36" x14ac:dyDescent="0.25" outlineLevel="1" collapsed="1">
      <c r="A225" s="264" t="s">
        <v>1</v>
      </c>
      <c r="B225" s="16"/>
      <c r="C225" s="139" t="str">
        <f ca="1">C47</f>
        <v>Segment 6 Revenue</v>
      </c>
      <c r="D225" s="16"/>
      <c r="E225" s="16"/>
      <c r="F225" s="317">
        <f t="shared" ref="F225:W225" si="241" ca="1">F47</f>
        <v>1e-12</v>
      </c>
      <c r="G225" s="317">
        <f ca="1">G47</f>
        <v>1e-12</v>
      </c>
      <c r="H225" s="317">
        <f ca="1">H47</f>
        <v>1e-12</v>
      </c>
      <c r="I225" s="317">
        <f ca="1">I47</f>
        <v>1e-12</v>
      </c>
      <c r="J225" s="287">
        <f ca="1">J47</f>
        <v>1e-12</v>
      </c>
      <c r="K225" s="317">
        <f ca="1">K47</f>
        <v>1e-12</v>
      </c>
      <c r="L225" s="317">
        <f ca="1">L47</f>
        <v>1e-12</v>
      </c>
      <c r="M225" s="317">
        <f ca="1">M47</f>
        <v>1e-12</v>
      </c>
      <c r="N225" s="317">
        <f ca="1">N47</f>
        <v>1e-12</v>
      </c>
      <c r="O225" s="287">
        <f ca="1">O47</f>
        <v>1e-12</v>
      </c>
      <c r="P225" s="317">
        <f ca="1">P47</f>
        <v>1e-12</v>
      </c>
      <c r="Q225" s="317">
        <f ca="1">Q47</f>
        <v>1e-12</v>
      </c>
      <c r="R225" s="317">
        <f ca="1">R47</f>
        <v>1e-12</v>
      </c>
      <c r="S225" s="317">
        <f ca="1">S47</f>
        <v>1e-12</v>
      </c>
      <c r="T225" s="287">
        <f ca="1">T47</f>
        <v>1e-12</v>
      </c>
      <c r="U225" s="317">
        <f ca="1">U47</f>
        <v>1e-12</v>
      </c>
      <c r="V225" s="317">
        <f ca="1">V47</f>
        <v>1e-12</v>
      </c>
      <c r="W225" s="317">
        <f ca="1">W47</f>
        <v>1e-12</v>
      </c>
      <c r="X225" s="286">
        <f ca="1">X227/X232</f>
        <v>1e-12</v>
      </c>
      <c r="Y225" s="287">
        <f ca="1">SUM(U225:X225)</f>
        <v>1e-12</v>
      </c>
      <c r="Z225" s="286">
        <f t="shared" ref="Z225:AC225" si="242" ca="1">Z227/Z232</f>
        <v>1e-12</v>
      </c>
      <c r="AA225" s="286">
        <f ca="1">AA227/AA232</f>
        <v>1e-12</v>
      </c>
      <c r="AB225" s="286">
        <f ca="1">AB227/AB232</f>
        <v>1e-12</v>
      </c>
      <c r="AC225" s="286">
        <f ca="1">AC227/AC232</f>
        <v>1e-12</v>
      </c>
      <c r="AD225" s="287">
        <f ca="1">SUM(Z225:AC225)</f>
        <v>1e-12</v>
      </c>
      <c r="AE225" s="287">
        <f t="shared" ref="AE225:AG225" si="243" ca="1">AE227/AE232</f>
        <v>1e-12</v>
      </c>
      <c r="AF225" s="287">
        <f ca="1">AF227/AF232</f>
        <v>1e-12</v>
      </c>
      <c r="AG225" s="287">
        <f ca="1">AG227/AG232</f>
        <v>1e-12</v>
      </c>
      <c r="AH225" s="16"/>
      <c r="AI225" s="16"/>
      <c r="AJ225" s="16"/>
    </row>
    <row r="226" ht="12.75" customHeight="1" hidden="1" spans="1:36" x14ac:dyDescent="0.25" outlineLevel="1" collapsed="1">
      <c r="A226" s="16"/>
      <c r="B226" s="16"/>
      <c r="C226" s="139" t="s">
        <v>244</v>
      </c>
      <c r="D226" s="16"/>
      <c r="E226" s="16"/>
      <c r="F226" s="325">
        <v>0</v>
      </c>
      <c r="G226" s="325">
        <v>0</v>
      </c>
      <c r="H226" s="325">
        <v>0</v>
      </c>
      <c r="I226" s="325">
        <v>0</v>
      </c>
      <c r="J226" s="326">
        <v>0</v>
      </c>
      <c r="K226" s="325">
        <v>0</v>
      </c>
      <c r="L226" s="325">
        <v>0</v>
      </c>
      <c r="M226" s="325">
        <v>0</v>
      </c>
      <c r="N226" s="325">
        <v>0</v>
      </c>
      <c r="O226" s="326">
        <v>0</v>
      </c>
      <c r="P226" s="325">
        <v>0</v>
      </c>
      <c r="Q226" s="325">
        <v>0</v>
      </c>
      <c r="R226" s="325">
        <v>0</v>
      </c>
      <c r="S226" s="325">
        <v>0</v>
      </c>
      <c r="T226" s="326">
        <v>0</v>
      </c>
      <c r="U226" s="325">
        <v>0</v>
      </c>
      <c r="V226" s="325">
        <v>0</v>
      </c>
      <c r="W226" s="325">
        <v>0</v>
      </c>
      <c r="X226" s="327">
        <f ca="1">W226+X227-X225</f>
        <v>1e-12</v>
      </c>
      <c r="Y226" s="326">
        <f ca="1">T226+Y227-Y225</f>
        <v>1e-12</v>
      </c>
      <c r="Z226" s="327">
        <f ca="1">X226+Z227-Z225</f>
        <v>1e-12</v>
      </c>
      <c r="AA226" s="327">
        <f t="shared" ref="AA226:AC226" si="244" ca="1">Z226+AA227-AA225</f>
        <v>1e-12</v>
      </c>
      <c r="AB226" s="327">
        <f ca="1">AA226+AB227-AB225</f>
        <v>1e-12</v>
      </c>
      <c r="AC226" s="327">
        <f ca="1">AB226+AC227-AC225</f>
        <v>1e-12</v>
      </c>
      <c r="AD226" s="326">
        <f ca="1">Y226+AD227-AD225</f>
        <v>1e-12</v>
      </c>
      <c r="AE226" s="326">
        <f t="shared" ref="AE226:AG226" si="245" ca="1">AD226+AE227-AE225</f>
        <v>1e-12</v>
      </c>
      <c r="AF226" s="326">
        <f ca="1">AE226+AF227-AF225</f>
        <v>1e-12</v>
      </c>
      <c r="AG226" s="326">
        <f ca="1">AF226+AG227-AG225</f>
        <v>1e-12</v>
      </c>
      <c r="AH226" s="16"/>
      <c r="AI226" s="16"/>
      <c r="AJ226" s="16"/>
    </row>
    <row r="227" ht="12.75" customHeight="1" hidden="1" spans="1:36" x14ac:dyDescent="0.25" outlineLevel="1" collapsed="1">
      <c r="A227" s="16"/>
      <c r="B227" s="16"/>
      <c r="C227" s="139" t="s">
        <v>259</v>
      </c>
      <c r="D227" s="16"/>
      <c r="E227" s="16"/>
      <c r="F227" s="325">
        <f ca="1">F226+F225-(0)</f>
        <v>1e-12</v>
      </c>
      <c r="G227" s="325">
        <f t="shared" ref="G227:I227" si="246" ca="1">G226+G225-F226</f>
        <v>1e-12</v>
      </c>
      <c r="H227" s="325">
        <f ca="1">H226+H225-G226</f>
        <v>1e-12</v>
      </c>
      <c r="I227" s="325">
        <f ca="1">I226+I225-H226</f>
        <v>1e-12</v>
      </c>
      <c r="J227" s="326">
        <f ca="1">SUM(F227:I227)</f>
        <v>1e-12</v>
      </c>
      <c r="K227" s="325">
        <f t="shared" ref="K227:N227" si="247" ca="1">K226+K225-J226</f>
        <v>1e-12</v>
      </c>
      <c r="L227" s="325">
        <f ca="1">L226+L225-K226</f>
        <v>1e-12</v>
      </c>
      <c r="M227" s="325">
        <f ca="1">M226+M225-L226</f>
        <v>1e-12</v>
      </c>
      <c r="N227" s="325">
        <f ca="1">N226+N225-M226</f>
        <v>1e-12</v>
      </c>
      <c r="O227" s="326">
        <f ca="1">SUM(K227:N227)</f>
        <v>1e-12</v>
      </c>
      <c r="P227" s="325">
        <f t="shared" ref="P227:S227" si="248" ca="1">P226+P225-O226</f>
        <v>1e-12</v>
      </c>
      <c r="Q227" s="325">
        <f ca="1">Q226+Q225-P226</f>
        <v>1e-12</v>
      </c>
      <c r="R227" s="325">
        <f ca="1">R226+R225-Q226</f>
        <v>1e-12</v>
      </c>
      <c r="S227" s="325">
        <f ca="1">S226+S225-R226</f>
        <v>1e-12</v>
      </c>
      <c r="T227" s="326">
        <f ca="1">SUM(P227:S227)</f>
        <v>1e-12</v>
      </c>
      <c r="U227" s="325">
        <f t="shared" ref="U227:W227" si="249" ca="1">U226+U225-T226</f>
        <v>1e-12</v>
      </c>
      <c r="V227" s="325">
        <f ca="1">V226+V225-U226</f>
        <v>1e-12</v>
      </c>
      <c r="W227" s="325">
        <f ca="1">W226+W225-V226</f>
        <v>1e-12</v>
      </c>
      <c r="X227" s="327">
        <f ca="1">W227*(1+X228)</f>
        <v>1e-12</v>
      </c>
      <c r="Y227" s="326">
        <f ca="1">SUM(U227:X227)</f>
        <v>1e-12</v>
      </c>
      <c r="Z227" s="327">
        <f ca="1">X227*(1+Z228)</f>
        <v>1e-12</v>
      </c>
      <c r="AA227" s="327">
        <f t="shared" ref="AA227:AC227" si="250" ca="1">Z227*(1+AA228)</f>
        <v>1e-12</v>
      </c>
      <c r="AB227" s="327">
        <f ca="1">AA227*(1+AB228)</f>
        <v>1e-12</v>
      </c>
      <c r="AC227" s="327">
        <f ca="1">AB227*(1+AC228)</f>
        <v>1e-12</v>
      </c>
      <c r="AD227" s="326">
        <f ca="1">SUM(Z227:AC227)</f>
        <v>1e-12</v>
      </c>
      <c r="AE227" s="326">
        <f t="shared" ref="AE227:AG227" si="251" ca="1">AD227*(1+AE228)</f>
        <v>1e-12</v>
      </c>
      <c r="AF227" s="326">
        <f ca="1">AE227*(1+AF228)</f>
        <v>1e-12</v>
      </c>
      <c r="AG227" s="326">
        <f ca="1">AF227*(1+AG228)</f>
        <v>1e-12</v>
      </c>
      <c r="AH227" s="16"/>
      <c r="AI227" s="16"/>
      <c r="AJ227" s="16"/>
    </row>
    <row r="228" ht="12.75" customHeight="1" hidden="1" spans="1:36" x14ac:dyDescent="0.25" outlineLevel="1" collapsed="1">
      <c r="A228" s="16"/>
      <c r="B228" s="16"/>
      <c r="C228" s="120" t="s">
        <v>260</v>
      </c>
      <c r="D228" s="16"/>
      <c r="E228" s="16"/>
      <c r="F228" s="319"/>
      <c r="G228" s="318" t="str">
        <f t="shared" ref="G228:I228" si="252" ca="1">IFERROR(G227/F227-1,"--")</f>
        <v>--</v>
      </c>
      <c r="H228" s="318" t="str">
        <f ca="1">IFERROR(H227/G227-1,"--")</f>
        <v>--</v>
      </c>
      <c r="I228" s="318" t="str">
        <f ca="1">IFERROR(I227/H227-1,"--")</f>
        <v>--</v>
      </c>
      <c r="J228" s="168"/>
      <c r="K228" s="318" t="str">
        <f ca="1">IFERROR(K227/I227-1,"--")</f>
        <v>--</v>
      </c>
      <c r="L228" s="318" t="str">
        <f t="shared" ref="L228:N228" si="253" ca="1">IFERROR(L227/K227-1,"--")</f>
        <v>--</v>
      </c>
      <c r="M228" s="318" t="str">
        <f ca="1">IFERROR(M227/L227-1,"--")</f>
        <v>--</v>
      </c>
      <c r="N228" s="318" t="str">
        <f ca="1">IFERROR(N227/M227-1,"--")</f>
        <v>--</v>
      </c>
      <c r="O228" s="306" t="str">
        <f ca="1">IFERROR(O227/J227-1,"--")</f>
        <v>--</v>
      </c>
      <c r="P228" s="318" t="str">
        <f ca="1">IFERROR(P227/N227-1,"--")</f>
        <v>--</v>
      </c>
      <c r="Q228" s="318" t="str">
        <f t="shared" ref="Q228:S228" si="254" ca="1">IFERROR(Q227/P227-1,"--")</f>
        <v>--</v>
      </c>
      <c r="R228" s="318" t="str">
        <f ca="1">IFERROR(R227/Q227-1,"--")</f>
        <v>--</v>
      </c>
      <c r="S228" s="318" t="str">
        <f ca="1">IFERROR(S227/R227-1,"--")</f>
        <v>--</v>
      </c>
      <c r="T228" s="306" t="str">
        <f ca="1">IFERROR(T227/O227-1,"--")</f>
        <v>--</v>
      </c>
      <c r="U228" s="318" t="str">
        <f ca="1">IFERROR(U227/S227-1,"--")</f>
        <v>--</v>
      </c>
      <c r="V228" s="318" t="str">
        <f t="shared" ref="V228:W228" si="255" ca="1">IFERROR(V227/U227-1,"--")</f>
        <v>--</v>
      </c>
      <c r="W228" s="318" t="str">
        <f ca="1">IFERROR(W227/V227-1,"--")</f>
        <v>--</v>
      </c>
      <c r="X228" s="305">
        <f ca="1">IF(Case_Scenario="Bull",X229,IF(Case_Scenario="Base",X230,IF(Case_Scenario="bear",X231,"N/A")))</f>
        <v>0.05</v>
      </c>
      <c r="Y228" s="306"/>
      <c r="Z228" s="305">
        <f ca="1">IF(Case_Scenario="Bull",Z229,IF(Case_Scenario="Base",Z230,IF(Case_Scenario="bear",Z231,"N/A")))</f>
        <v>0.05</v>
      </c>
      <c r="AA228" s="305">
        <f ca="1">IF(Case_Scenario="Bull",AA229,IF(Case_Scenario="Base",AA230,IF(Case_Scenario="bear",AA231,"N/A")))</f>
        <v>0.05</v>
      </c>
      <c r="AB228" s="305">
        <f ca="1">IF(Case_Scenario="Bull",AB229,IF(Case_Scenario="Base",AB230,IF(Case_Scenario="bear",AB231,"N/A")))</f>
        <v>0.05</v>
      </c>
      <c r="AC228" s="305">
        <f ca="1">IF(Case_Scenario="Bull",AC229,IF(Case_Scenario="Base",AC230,IF(Case_Scenario="bear",AC231,"N/A")))</f>
        <v>0.05</v>
      </c>
      <c r="AD228" s="306"/>
      <c r="AE228" s="306">
        <f ca="1">IF(Case_Scenario="Bull",AE229,IF(Case_Scenario="Base",AE230,IF(Case_Scenario="bear",AE231,"N/A")))</f>
        <v>0.05</v>
      </c>
      <c r="AF228" s="306">
        <f ca="1">IF(Case_Scenario="Bull",AF229,IF(Case_Scenario="Base",AF230,IF(Case_Scenario="bear",AF231,"N/A")))</f>
        <v>0.05</v>
      </c>
      <c r="AG228" s="306">
        <f ca="1">IF(Case_Scenario="Bull",AG229,IF(Case_Scenario="Base",AG230,IF(Case_Scenario="bear",AG231,"N/A")))</f>
        <v>0.05</v>
      </c>
      <c r="AH228" s="16"/>
      <c r="AI228" s="16"/>
      <c r="AJ228" s="16"/>
    </row>
    <row r="229" ht="12.75" customHeight="1" hidden="1" spans="1:36" x14ac:dyDescent="0.25" outlineLevel="1" collapsed="1">
      <c r="A229" s="16"/>
      <c r="B229" s="16"/>
      <c r="C229" s="139" t="s">
        <v>251</v>
      </c>
      <c r="D229" s="16"/>
      <c r="E229" s="16"/>
      <c r="F229" s="319"/>
      <c r="G229" s="319"/>
      <c r="H229" s="319"/>
      <c r="I229" s="319"/>
      <c r="J229" s="168"/>
      <c r="K229" s="319"/>
      <c r="L229" s="319"/>
      <c r="M229" s="319"/>
      <c r="N229" s="319"/>
      <c r="O229" s="168"/>
      <c r="P229" s="319"/>
      <c r="Q229" s="319"/>
      <c r="R229" s="319"/>
      <c r="S229" s="319"/>
      <c r="T229" s="168"/>
      <c r="U229" s="319"/>
      <c r="V229" s="319"/>
      <c r="W229" s="319"/>
      <c r="X229" s="320">
        <v>0.1</v>
      </c>
      <c r="Y229" s="321"/>
      <c r="Z229" s="320">
        <v>0.1</v>
      </c>
      <c r="AA229" s="320">
        <v>0.1</v>
      </c>
      <c r="AB229" s="320">
        <v>0.1</v>
      </c>
      <c r="AC229" s="320">
        <v>0.1</v>
      </c>
      <c r="AD229" s="321"/>
      <c r="AE229" s="321">
        <v>0.1</v>
      </c>
      <c r="AF229" s="321">
        <v>0.1</v>
      </c>
      <c r="AG229" s="321">
        <v>0.1</v>
      </c>
      <c r="AH229" s="16"/>
      <c r="AI229" s="16"/>
      <c r="AJ229" s="16"/>
    </row>
    <row r="230" ht="12.75" customHeight="1" hidden="1" spans="1:36" x14ac:dyDescent="0.25" outlineLevel="1" collapsed="1">
      <c r="A230" s="16"/>
      <c r="B230" s="16"/>
      <c r="C230" s="139" t="s">
        <v>252</v>
      </c>
      <c r="D230" s="16"/>
      <c r="E230" s="16"/>
      <c r="F230" s="319"/>
      <c r="G230" s="319"/>
      <c r="H230" s="319"/>
      <c r="I230" s="319"/>
      <c r="J230" s="168"/>
      <c r="K230" s="319"/>
      <c r="L230" s="319"/>
      <c r="M230" s="319"/>
      <c r="N230" s="319"/>
      <c r="O230" s="168"/>
      <c r="P230" s="319"/>
      <c r="Q230" s="319"/>
      <c r="R230" s="319"/>
      <c r="S230" s="319"/>
      <c r="T230" s="168"/>
      <c r="U230" s="319"/>
      <c r="V230" s="319"/>
      <c r="W230" s="319"/>
      <c r="X230" s="320">
        <v>0.05</v>
      </c>
      <c r="Y230" s="321"/>
      <c r="Z230" s="320">
        <v>0.05</v>
      </c>
      <c r="AA230" s="320">
        <v>0.05</v>
      </c>
      <c r="AB230" s="320">
        <v>0.05</v>
      </c>
      <c r="AC230" s="320">
        <v>0.05</v>
      </c>
      <c r="AD230" s="321"/>
      <c r="AE230" s="321">
        <v>0.05</v>
      </c>
      <c r="AF230" s="321">
        <v>0.05</v>
      </c>
      <c r="AG230" s="321">
        <v>0.05</v>
      </c>
      <c r="AH230" s="16"/>
      <c r="AI230" s="16"/>
      <c r="AJ230" s="16"/>
    </row>
    <row r="231" ht="12.75" customHeight="1" hidden="1" spans="1:36" x14ac:dyDescent="0.25" outlineLevel="1" collapsed="1">
      <c r="A231" s="16"/>
      <c r="B231" s="16"/>
      <c r="C231" s="139" t="s">
        <v>253</v>
      </c>
      <c r="D231" s="16"/>
      <c r="E231" s="16"/>
      <c r="F231" s="319"/>
      <c r="G231" s="319"/>
      <c r="H231" s="319"/>
      <c r="I231" s="319"/>
      <c r="J231" s="168"/>
      <c r="K231" s="319"/>
      <c r="L231" s="319"/>
      <c r="M231" s="319"/>
      <c r="N231" s="319"/>
      <c r="O231" s="168"/>
      <c r="P231" s="319"/>
      <c r="Q231" s="319"/>
      <c r="R231" s="319"/>
      <c r="S231" s="319"/>
      <c r="T231" s="168"/>
      <c r="U231" s="319"/>
      <c r="V231" s="319"/>
      <c r="W231" s="319"/>
      <c r="X231" s="320">
        <v>0</v>
      </c>
      <c r="Y231" s="321"/>
      <c r="Z231" s="320">
        <v>0</v>
      </c>
      <c r="AA231" s="320">
        <v>0</v>
      </c>
      <c r="AB231" s="320">
        <v>0</v>
      </c>
      <c r="AC231" s="320">
        <v>0</v>
      </c>
      <c r="AD231" s="321"/>
      <c r="AE231" s="321">
        <v>0</v>
      </c>
      <c r="AF231" s="321">
        <v>0</v>
      </c>
      <c r="AG231" s="321">
        <v>0</v>
      </c>
      <c r="AH231" s="16"/>
      <c r="AI231" s="16"/>
      <c r="AJ231" s="16"/>
    </row>
    <row r="232" ht="12.75" customHeight="1" hidden="1" spans="1:36" x14ac:dyDescent="0.25" outlineLevel="1" collapsed="1">
      <c r="A232" s="16"/>
      <c r="B232" s="16"/>
      <c r="C232" s="139" t="s">
        <v>261</v>
      </c>
      <c r="D232" s="16"/>
      <c r="E232" s="16"/>
      <c r="F232" s="339">
        <f ca="1">F227/F225</f>
      </c>
      <c r="G232" s="339">
        <f ca="1">G227/G225</f>
      </c>
      <c r="H232" s="339">
        <f ca="1">H227/H225</f>
      </c>
      <c r="I232" s="339">
        <f ca="1">I227/I225</f>
      </c>
      <c r="J232" s="340">
        <f ca="1">J227/J225</f>
      </c>
      <c r="K232" s="339">
        <f ca="1">K227/K225</f>
      </c>
      <c r="L232" s="339">
        <f ca="1">L227/L225</f>
      </c>
      <c r="M232" s="339">
        <f ca="1">M227/M225</f>
      </c>
      <c r="N232" s="339">
        <f ca="1">N227/N225</f>
      </c>
      <c r="O232" s="340">
        <f ca="1">O227/O225</f>
      </c>
      <c r="P232" s="339">
        <f ca="1">P227/P225</f>
      </c>
      <c r="Q232" s="339">
        <f ca="1">Q227/Q225</f>
      </c>
      <c r="R232" s="339">
        <f ca="1">R227/R225</f>
      </c>
      <c r="S232" s="339">
        <f ca="1">S227/S225</f>
      </c>
      <c r="T232" s="340">
        <f ca="1">T227/T225</f>
      </c>
      <c r="U232" s="339">
        <f ca="1">U227/U225</f>
      </c>
      <c r="V232" s="339">
        <f ca="1">V227/V225</f>
      </c>
      <c r="W232" s="339">
        <f ca="1">W227/W225</f>
      </c>
      <c r="X232" s="334">
        <f ca="1">IF(Case_Scenario="Bull",X233,IF(Case_Scenario="Base",X234,IF(Case_Scenario="bear",X235,"N/A")))</f>
        <v>1.25</v>
      </c>
      <c r="Y232" s="333">
        <f ca="1">AVERAGE(U232:X232)</f>
      </c>
      <c r="Z232" s="334">
        <f ca="1">IF(Case_Scenario="Bull",Z233,IF(Case_Scenario="Base",Z234,IF(Case_Scenario="bear",Z235,"N/A")))</f>
        <v>1.25</v>
      </c>
      <c r="AA232" s="334">
        <f ca="1">IF(Case_Scenario="Bull",AA233,IF(Case_Scenario="Base",AA234,IF(Case_Scenario="bear",AA235,"N/A")))</f>
        <v>1.25</v>
      </c>
      <c r="AB232" s="334">
        <f ca="1">IF(Case_Scenario="Bull",AB233,IF(Case_Scenario="Base",AB234,IF(Case_Scenario="bear",AB235,"N/A")))</f>
        <v>1.25</v>
      </c>
      <c r="AC232" s="334">
        <f ca="1">IF(Case_Scenario="Bull",AC233,IF(Case_Scenario="Base",AC234,IF(Case_Scenario="bear",AC235,"N/A")))</f>
        <v>1.25</v>
      </c>
      <c r="AD232" s="333">
        <f ca="1">AVERAGE(Z232:AC232)</f>
        <v>1.25</v>
      </c>
      <c r="AE232" s="333">
        <f ca="1">IF(Case_Scenario="Bull",AE233,IF(Case_Scenario="Base",AE234,IF(Case_Scenario="bear",AE235,"N/A")))</f>
        <v>1.25</v>
      </c>
      <c r="AF232" s="333">
        <f ca="1">IF(Case_Scenario="Bull",AF233,IF(Case_Scenario="Base",AF234,IF(Case_Scenario="bear",AF235,"N/A")))</f>
        <v>1.25</v>
      </c>
      <c r="AG232" s="333">
        <f ca="1">IF(Case_Scenario="Bull",AG233,IF(Case_Scenario="Base",AG234,IF(Case_Scenario="bear",AG235,"N/A")))</f>
        <v>1.25</v>
      </c>
      <c r="AH232" s="16"/>
      <c r="AI232" s="16"/>
      <c r="AJ232" s="16"/>
    </row>
    <row r="233" ht="12.75" customHeight="1" hidden="1" spans="1:36" x14ac:dyDescent="0.25" outlineLevel="1" collapsed="1">
      <c r="A233" s="16"/>
      <c r="B233" s="16"/>
      <c r="C233" s="139" t="s">
        <v>251</v>
      </c>
      <c r="D233" s="16"/>
      <c r="E233" s="16"/>
      <c r="F233" s="319"/>
      <c r="G233" s="318"/>
      <c r="H233" s="318"/>
      <c r="I233" s="318"/>
      <c r="J233" s="168"/>
      <c r="K233" s="318"/>
      <c r="L233" s="318"/>
      <c r="M233" s="318"/>
      <c r="N233" s="318"/>
      <c r="O233" s="306"/>
      <c r="P233" s="318"/>
      <c r="Q233" s="318"/>
      <c r="R233" s="318"/>
      <c r="S233" s="318"/>
      <c r="T233" s="306"/>
      <c r="U233" s="318"/>
      <c r="V233" s="318"/>
      <c r="W233" s="318"/>
      <c r="X233" s="337">
        <v>1</v>
      </c>
      <c r="Y233" s="338"/>
      <c r="Z233" s="337">
        <v>1</v>
      </c>
      <c r="AA233" s="337">
        <v>1</v>
      </c>
      <c r="AB233" s="337">
        <v>1</v>
      </c>
      <c r="AC233" s="337">
        <v>1</v>
      </c>
      <c r="AD233" s="338"/>
      <c r="AE233" s="338">
        <v>1</v>
      </c>
      <c r="AF233" s="338">
        <v>1</v>
      </c>
      <c r="AG233" s="338">
        <v>1</v>
      </c>
      <c r="AH233" s="16"/>
      <c r="AI233" s="16"/>
      <c r="AJ233" s="16"/>
    </row>
    <row r="234" ht="12.75" customHeight="1" hidden="1" spans="1:36" x14ac:dyDescent="0.25" outlineLevel="1" collapsed="1">
      <c r="A234" s="16"/>
      <c r="B234" s="16"/>
      <c r="C234" s="139" t="s">
        <v>252</v>
      </c>
      <c r="D234" s="16"/>
      <c r="E234" s="16"/>
      <c r="F234" s="319"/>
      <c r="G234" s="319"/>
      <c r="H234" s="319"/>
      <c r="I234" s="319"/>
      <c r="J234" s="168"/>
      <c r="K234" s="319"/>
      <c r="L234" s="319"/>
      <c r="M234" s="319"/>
      <c r="N234" s="319"/>
      <c r="O234" s="168"/>
      <c r="P234" s="319"/>
      <c r="Q234" s="319"/>
      <c r="R234" s="319"/>
      <c r="S234" s="319"/>
      <c r="T234" s="168"/>
      <c r="U234" s="319"/>
      <c r="V234" s="319"/>
      <c r="W234" s="319"/>
      <c r="X234" s="337">
        <v>1.25</v>
      </c>
      <c r="Y234" s="338"/>
      <c r="Z234" s="337">
        <v>1.25</v>
      </c>
      <c r="AA234" s="337">
        <v>1.25</v>
      </c>
      <c r="AB234" s="337">
        <v>1.25</v>
      </c>
      <c r="AC234" s="337">
        <v>1.25</v>
      </c>
      <c r="AD234" s="338"/>
      <c r="AE234" s="338">
        <v>1.25</v>
      </c>
      <c r="AF234" s="338">
        <v>1.25</v>
      </c>
      <c r="AG234" s="338">
        <v>1.25</v>
      </c>
      <c r="AH234" s="16"/>
      <c r="AI234" s="16"/>
      <c r="AJ234" s="16"/>
    </row>
    <row r="235" ht="12.75" customHeight="1" hidden="1" spans="1:36" x14ac:dyDescent="0.25" outlineLevel="1" collapsed="1">
      <c r="A235" s="16"/>
      <c r="B235" s="16"/>
      <c r="C235" s="139" t="s">
        <v>253</v>
      </c>
      <c r="D235" s="16"/>
      <c r="E235" s="16"/>
      <c r="F235" s="319"/>
      <c r="G235" s="319"/>
      <c r="H235" s="319"/>
      <c r="I235" s="319"/>
      <c r="J235" s="168"/>
      <c r="K235" s="319"/>
      <c r="L235" s="319"/>
      <c r="M235" s="319"/>
      <c r="N235" s="319"/>
      <c r="O235" s="168"/>
      <c r="P235" s="319"/>
      <c r="Q235" s="319"/>
      <c r="R235" s="319"/>
      <c r="S235" s="319"/>
      <c r="T235" s="168"/>
      <c r="U235" s="319"/>
      <c r="V235" s="319"/>
      <c r="W235" s="319"/>
      <c r="X235" s="337">
        <v>1.5</v>
      </c>
      <c r="Y235" s="338"/>
      <c r="Z235" s="337">
        <v>1.5</v>
      </c>
      <c r="AA235" s="337">
        <v>1.5</v>
      </c>
      <c r="AB235" s="337">
        <v>1.5</v>
      </c>
      <c r="AC235" s="337">
        <v>1.5</v>
      </c>
      <c r="AD235" s="338"/>
      <c r="AE235" s="338">
        <v>1.5</v>
      </c>
      <c r="AF235" s="338">
        <v>1.5</v>
      </c>
      <c r="AG235" s="338">
        <v>1.5</v>
      </c>
      <c r="AH235" s="16"/>
      <c r="AI235" s="16"/>
      <c r="AJ235" s="16"/>
    </row>
    <row r="236" ht="12.75" customHeight="1" spans="1:36" x14ac:dyDescent="0.25">
      <c r="A236" s="16"/>
      <c r="B236" s="16"/>
      <c r="C236" s="16"/>
      <c r="D236" s="16"/>
      <c r="E236" s="16"/>
      <c r="F236" s="315"/>
      <c r="G236" s="315"/>
      <c r="H236" s="315"/>
      <c r="I236" s="315"/>
      <c r="J236" s="16"/>
      <c r="K236" s="315"/>
      <c r="L236" s="315"/>
      <c r="M236" s="315"/>
      <c r="N236" s="315"/>
      <c r="O236" s="16"/>
      <c r="P236" s="315"/>
      <c r="Q236" s="315"/>
      <c r="R236" s="315"/>
      <c r="S236" s="315"/>
      <c r="T236" s="16"/>
      <c r="U236" s="315"/>
      <c r="V236" s="315"/>
      <c r="W236" s="315"/>
      <c r="X236" s="341"/>
      <c r="Y236" s="342"/>
      <c r="Z236" s="341"/>
      <c r="AA236" s="341"/>
      <c r="AB236" s="341"/>
      <c r="AC236" s="341"/>
      <c r="AD236" s="342"/>
      <c r="AE236" s="342"/>
      <c r="AF236" s="342"/>
      <c r="AG236" s="342"/>
      <c r="AH236" s="16"/>
      <c r="AI236" s="16"/>
      <c r="AJ236" s="16"/>
    </row>
    <row r="237" ht="12.75" customHeight="1" spans="1:36" x14ac:dyDescent="0.25">
      <c r="A237" s="264" t="s">
        <v>1</v>
      </c>
      <c r="B237" s="264" t="s">
        <v>1</v>
      </c>
      <c r="C237" s="62" t="s">
        <v>262</v>
      </c>
      <c r="D237" s="19"/>
      <c r="E237" s="19"/>
      <c r="F237" s="313"/>
      <c r="G237" s="313"/>
      <c r="H237" s="313"/>
      <c r="I237" s="313"/>
      <c r="J237" s="313"/>
      <c r="K237" s="313"/>
      <c r="L237" s="313"/>
      <c r="M237" s="313"/>
      <c r="N237" s="313"/>
      <c r="O237" s="313"/>
      <c r="P237" s="313"/>
      <c r="Q237" s="313"/>
      <c r="R237" s="313"/>
      <c r="S237" s="313"/>
      <c r="T237" s="313"/>
      <c r="U237" s="313"/>
      <c r="V237" s="313"/>
      <c r="W237" s="313"/>
      <c r="X237" s="313"/>
      <c r="Y237" s="313"/>
      <c r="Z237" s="313"/>
      <c r="AA237" s="313"/>
      <c r="AB237" s="313"/>
      <c r="AC237" s="313"/>
      <c r="AD237" s="313"/>
      <c r="AE237" s="313"/>
      <c r="AF237" s="313"/>
      <c r="AG237" s="314"/>
      <c r="AH237" s="277" t="s">
        <v>1</v>
      </c>
      <c r="AI237" s="16"/>
      <c r="AJ237" s="16"/>
    </row>
    <row r="238" ht="12.75" customHeight="1" spans="1:36" x14ac:dyDescent="0.25">
      <c r="A238" s="16"/>
      <c r="B238" s="16"/>
      <c r="C238" s="139"/>
      <c r="D238" s="16"/>
      <c r="E238" s="16"/>
      <c r="F238" s="16"/>
      <c r="G238" s="16"/>
      <c r="H238" s="16"/>
      <c r="I238" s="16"/>
      <c r="J238" s="16"/>
      <c r="K238" s="16"/>
      <c r="L238" s="16"/>
      <c r="M238" s="16"/>
      <c r="N238" s="16"/>
      <c r="O238" s="16"/>
      <c r="P238" s="16"/>
      <c r="Q238" s="16"/>
      <c r="R238" s="16"/>
      <c r="S238" s="16"/>
      <c r="T238" s="16"/>
      <c r="U238" s="16"/>
      <c r="V238" s="16"/>
      <c r="W238" s="16"/>
      <c r="X238" s="16"/>
      <c r="Y238" s="16"/>
      <c r="Z238" s="16"/>
      <c r="AA238" s="16"/>
      <c r="AB238" s="16"/>
      <c r="AC238" s="16"/>
      <c r="AD238" s="16"/>
      <c r="AE238" s="16"/>
      <c r="AF238" s="16"/>
      <c r="AG238" s="16"/>
      <c r="AH238" s="16"/>
      <c r="AI238" s="16"/>
      <c r="AJ238" s="16"/>
    </row>
    <row r="239" ht="12.75" customHeight="1" spans="1:36" x14ac:dyDescent="0.25">
      <c r="A239" s="16"/>
      <c r="B239" s="16"/>
      <c r="C239" s="120"/>
      <c r="D239" s="16"/>
      <c r="E239" s="16"/>
      <c r="F239" s="16"/>
      <c r="G239" s="16"/>
      <c r="H239" s="16"/>
      <c r="I239" s="16"/>
      <c r="J239" s="16"/>
      <c r="K239" s="16"/>
      <c r="L239" s="16"/>
      <c r="M239" s="16"/>
      <c r="N239" s="16"/>
      <c r="O239" s="16"/>
      <c r="P239" s="16"/>
      <c r="Q239" s="16"/>
      <c r="R239" s="16"/>
      <c r="S239" s="16"/>
      <c r="T239" s="16"/>
      <c r="U239" s="16"/>
      <c r="V239" s="16"/>
      <c r="W239" s="16"/>
      <c r="X239" s="16"/>
      <c r="Y239" s="16"/>
      <c r="Z239" s="16"/>
      <c r="AA239" s="16"/>
      <c r="AB239" s="16"/>
      <c r="AC239" s="16"/>
      <c r="AD239" s="16"/>
      <c r="AE239" s="16"/>
      <c r="AF239" s="16"/>
      <c r="AG239" s="16"/>
      <c r="AH239" s="16"/>
      <c r="AI239" s="16"/>
      <c r="AJ239" s="16"/>
    </row>
    <row r="240" ht="12.75" customHeight="1" spans="1:36" x14ac:dyDescent="0.25">
      <c r="A240" s="264" t="s">
        <v>1</v>
      </c>
      <c r="B240" s="264" t="s">
        <v>1</v>
      </c>
      <c r="C240" s="139"/>
      <c r="D240" s="16"/>
      <c r="E240" s="16"/>
      <c r="F240" s="16"/>
      <c r="G240" s="16"/>
      <c r="H240" s="16"/>
      <c r="I240" s="16"/>
      <c r="J240" s="16"/>
      <c r="K240" s="16"/>
      <c r="L240" s="16"/>
      <c r="M240" s="16"/>
      <c r="N240" s="16"/>
      <c r="O240" s="16"/>
      <c r="P240" s="16"/>
      <c r="Q240" s="16"/>
      <c r="R240" s="16"/>
      <c r="S240" s="16"/>
      <c r="T240" s="16"/>
      <c r="U240" s="16"/>
      <c r="V240" s="16"/>
      <c r="W240" s="16"/>
      <c r="X240" s="16"/>
      <c r="Y240" s="16"/>
      <c r="Z240" s="16"/>
      <c r="AA240" s="16"/>
      <c r="AB240" s="16"/>
      <c r="AC240" s="16"/>
      <c r="AD240" s="16"/>
      <c r="AE240" s="16"/>
      <c r="AF240" s="16"/>
      <c r="AG240" s="16"/>
      <c r="AH240" s="16"/>
      <c r="AI240" s="16"/>
      <c r="AJ240" s="16"/>
    </row>
    <row r="241" ht="12.75" customHeight="1" spans="1:36" x14ac:dyDescent="0.25">
      <c r="A241" s="16"/>
      <c r="B241" s="16"/>
      <c r="C241" s="139"/>
      <c r="D241" s="16"/>
      <c r="E241" s="16"/>
      <c r="F241" s="16"/>
      <c r="G241" s="16"/>
      <c r="H241" s="16"/>
      <c r="I241" s="16"/>
      <c r="J241" s="16"/>
      <c r="K241" s="16"/>
      <c r="L241" s="16"/>
      <c r="M241" s="16"/>
      <c r="N241" s="16"/>
      <c r="O241" s="16"/>
      <c r="P241" s="16"/>
      <c r="Q241" s="16"/>
      <c r="R241" s="16"/>
      <c r="S241" s="16"/>
      <c r="T241" s="16"/>
      <c r="U241" s="16"/>
      <c r="V241" s="16"/>
      <c r="W241" s="16"/>
      <c r="X241" s="16"/>
      <c r="Y241" s="16"/>
      <c r="Z241" s="16"/>
      <c r="AA241" s="16"/>
      <c r="AB241" s="16"/>
      <c r="AC241" s="16"/>
      <c r="AD241" s="16"/>
      <c r="AE241" s="16"/>
      <c r="AF241" s="16"/>
      <c r="AG241" s="16"/>
      <c r="AH241" s="16"/>
      <c r="AI241" s="16"/>
      <c r="AJ241" s="16"/>
    </row>
    <row r="242" ht="12.75" customHeight="1" spans="1:36" x14ac:dyDescent="0.25">
      <c r="A242" s="16"/>
      <c r="B242" s="16"/>
      <c r="C242" s="139"/>
      <c r="D242" s="16"/>
      <c r="E242" s="16"/>
      <c r="F242" s="16"/>
      <c r="G242" s="16"/>
      <c r="H242" s="16"/>
      <c r="I242" s="16"/>
      <c r="J242" s="16"/>
      <c r="K242" s="16"/>
      <c r="L242" s="16"/>
      <c r="M242" s="16"/>
      <c r="N242" s="16"/>
      <c r="O242" s="16"/>
      <c r="P242" s="16"/>
      <c r="Q242" s="16"/>
      <c r="R242" s="16"/>
      <c r="S242" s="16"/>
      <c r="T242" s="16"/>
      <c r="U242" s="16"/>
      <c r="V242" s="16"/>
      <c r="W242" s="16"/>
      <c r="X242" s="16"/>
      <c r="Y242" s="16"/>
      <c r="Z242" s="16"/>
      <c r="AA242" s="16"/>
      <c r="AB242" s="16"/>
      <c r="AC242" s="16"/>
      <c r="AD242" s="16"/>
      <c r="AE242" s="16"/>
      <c r="AF242" s="16"/>
      <c r="AG242" s="16"/>
      <c r="AH242" s="16"/>
      <c r="AI242" s="16"/>
      <c r="AJ242" s="16"/>
    </row>
    <row r="243" ht="12.75" customHeight="1" spans="1:36" x14ac:dyDescent="0.25">
      <c r="A243" s="16"/>
      <c r="B243" s="16"/>
      <c r="C243" s="139"/>
      <c r="D243" s="16"/>
      <c r="E243" s="16"/>
      <c r="F243" s="16"/>
      <c r="G243" s="16"/>
      <c r="H243" s="16"/>
      <c r="I243" s="16"/>
      <c r="J243" s="16"/>
      <c r="K243" s="16"/>
      <c r="L243" s="16"/>
      <c r="M243" s="16"/>
      <c r="N243" s="16"/>
      <c r="O243" s="16"/>
      <c r="P243" s="16"/>
      <c r="Q243" s="16"/>
      <c r="R243" s="16"/>
      <c r="S243" s="16"/>
      <c r="T243" s="16"/>
      <c r="U243" s="16"/>
      <c r="V243" s="16"/>
      <c r="W243" s="16"/>
      <c r="X243" s="16"/>
      <c r="Y243" s="16"/>
      <c r="Z243" s="16"/>
      <c r="AA243" s="16"/>
      <c r="AB243" s="16"/>
      <c r="AC243" s="16"/>
      <c r="AD243" s="16"/>
      <c r="AE243" s="16"/>
      <c r="AF243" s="16"/>
      <c r="AG243" s="16"/>
      <c r="AH243" s="16"/>
      <c r="AI243" s="16"/>
      <c r="AJ243" s="16"/>
    </row>
    <row r="244" ht="12.75" customHeight="1" spans="1:36" x14ac:dyDescent="0.25">
      <c r="A244" s="16"/>
      <c r="B244" s="16"/>
      <c r="C244" s="139"/>
      <c r="D244" s="16"/>
      <c r="E244" s="16"/>
      <c r="F244" s="16"/>
      <c r="G244" s="16"/>
      <c r="H244" s="16"/>
      <c r="I244" s="16"/>
      <c r="J244" s="16"/>
      <c r="K244" s="16"/>
      <c r="L244" s="16"/>
      <c r="M244" s="16"/>
      <c r="N244" s="16"/>
      <c r="O244" s="16"/>
      <c r="P244" s="16"/>
      <c r="Q244" s="16"/>
      <c r="R244" s="16"/>
      <c r="S244" s="16"/>
      <c r="T244" s="16"/>
      <c r="U244" s="16"/>
      <c r="V244" s="16"/>
      <c r="W244" s="16"/>
      <c r="X244" s="16"/>
      <c r="Y244" s="16"/>
      <c r="Z244" s="16"/>
      <c r="AA244" s="16"/>
      <c r="AB244" s="16"/>
      <c r="AC244" s="16"/>
      <c r="AD244" s="16"/>
      <c r="AE244" s="16"/>
      <c r="AF244" s="16"/>
      <c r="AG244" s="16"/>
      <c r="AH244" s="16"/>
      <c r="AI244" s="16"/>
      <c r="AJ244" s="16"/>
    </row>
    <row r="245" ht="12.75" customHeight="1" spans="1:36" x14ac:dyDescent="0.25">
      <c r="A245" s="16"/>
      <c r="B245" s="16"/>
      <c r="C245" s="139"/>
      <c r="D245" s="16"/>
      <c r="E245" s="16"/>
      <c r="F245" s="16"/>
      <c r="G245" s="16"/>
      <c r="H245" s="16"/>
      <c r="I245" s="16"/>
      <c r="J245" s="16"/>
      <c r="K245" s="16"/>
      <c r="L245" s="16"/>
      <c r="M245" s="16"/>
      <c r="N245" s="16"/>
      <c r="O245" s="16"/>
      <c r="P245" s="16"/>
      <c r="Q245" s="16"/>
      <c r="R245" s="16"/>
      <c r="S245" s="16"/>
      <c r="T245" s="16"/>
      <c r="U245" s="16"/>
      <c r="V245" s="16"/>
      <c r="W245" s="16"/>
      <c r="X245" s="16"/>
      <c r="Y245" s="16"/>
      <c r="Z245" s="16"/>
      <c r="AA245" s="16"/>
      <c r="AB245" s="16"/>
      <c r="AC245" s="16"/>
      <c r="AD245" s="16"/>
      <c r="AE245" s="16"/>
      <c r="AF245" s="16"/>
      <c r="AG245" s="16"/>
      <c r="AH245" s="16"/>
      <c r="AI245" s="16"/>
      <c r="AJ245" s="16"/>
    </row>
    <row r="246" ht="12.75" customHeight="1" spans="1:36" x14ac:dyDescent="0.25">
      <c r="A246" s="16"/>
      <c r="B246" s="16"/>
      <c r="C246" s="139"/>
      <c r="D246" s="16"/>
      <c r="E246" s="16"/>
      <c r="F246" s="16"/>
      <c r="G246" s="16"/>
      <c r="H246" s="16"/>
      <c r="I246" s="16"/>
      <c r="J246" s="16"/>
      <c r="K246" s="16"/>
      <c r="L246" s="16"/>
      <c r="M246" s="16"/>
      <c r="N246" s="16"/>
      <c r="O246" s="16"/>
      <c r="P246" s="16"/>
      <c r="Q246" s="16"/>
      <c r="R246" s="16"/>
      <c r="S246" s="16"/>
      <c r="T246" s="16"/>
      <c r="U246" s="16"/>
      <c r="V246" s="16"/>
      <c r="W246" s="16"/>
      <c r="X246" s="16"/>
      <c r="Y246" s="16"/>
      <c r="Z246" s="16"/>
      <c r="AA246" s="16"/>
      <c r="AB246" s="16"/>
      <c r="AC246" s="16"/>
      <c r="AD246" s="16"/>
      <c r="AE246" s="16"/>
      <c r="AF246" s="16"/>
      <c r="AG246" s="16"/>
      <c r="AH246" s="16"/>
      <c r="AI246" s="16"/>
      <c r="AJ246" s="16"/>
    </row>
    <row r="247" ht="12.75" customHeight="1" spans="1:36" x14ac:dyDescent="0.25">
      <c r="A247" s="16"/>
      <c r="B247" s="16"/>
      <c r="C247" s="16"/>
      <c r="D247" s="16"/>
      <c r="E247" s="16"/>
      <c r="F247" s="16"/>
      <c r="G247" s="16"/>
      <c r="H247" s="16"/>
      <c r="I247" s="16"/>
      <c r="J247" s="16"/>
      <c r="K247" s="16"/>
      <c r="L247" s="16"/>
      <c r="M247" s="16"/>
      <c r="N247" s="16"/>
      <c r="O247" s="16"/>
      <c r="P247" s="16"/>
      <c r="Q247" s="16"/>
      <c r="R247" s="16"/>
      <c r="S247" s="16"/>
      <c r="T247" s="16"/>
      <c r="U247" s="16"/>
      <c r="V247" s="16"/>
      <c r="W247" s="16"/>
      <c r="X247" s="16"/>
      <c r="Y247" s="16"/>
      <c r="Z247" s="16"/>
      <c r="AA247" s="16"/>
      <c r="AB247" s="16"/>
      <c r="AC247" s="16"/>
      <c r="AD247" s="16"/>
      <c r="AE247" s="16"/>
      <c r="AF247" s="16"/>
      <c r="AG247" s="16"/>
      <c r="AH247" s="16"/>
      <c r="AI247" s="16"/>
      <c r="AJ247" s="16"/>
    </row>
    <row r="248" ht="12.75" customHeight="1" spans="1:36" x14ac:dyDescent="0.25">
      <c r="A248" s="16"/>
      <c r="B248" s="16"/>
      <c r="C248" s="16"/>
      <c r="D248" s="16"/>
      <c r="E248" s="16"/>
      <c r="F248" s="16"/>
      <c r="G248" s="16"/>
      <c r="H248" s="16"/>
      <c r="I248" s="16"/>
      <c r="J248" s="16"/>
      <c r="K248" s="16"/>
      <c r="L248" s="16"/>
      <c r="M248" s="16"/>
      <c r="N248" s="16"/>
      <c r="O248" s="16"/>
      <c r="P248" s="16"/>
      <c r="Q248" s="16"/>
      <c r="R248" s="16"/>
      <c r="S248" s="16"/>
      <c r="T248" s="16"/>
      <c r="U248" s="16"/>
      <c r="V248" s="16"/>
      <c r="W248" s="16"/>
      <c r="X248" s="16"/>
      <c r="Y248" s="16"/>
      <c r="Z248" s="16"/>
      <c r="AA248" s="16"/>
      <c r="AB248" s="16"/>
      <c r="AC248" s="16"/>
      <c r="AD248" s="16"/>
      <c r="AE248" s="16"/>
      <c r="AF248" s="16"/>
      <c r="AG248" s="16"/>
      <c r="AH248" s="16"/>
      <c r="AI248" s="16"/>
      <c r="AJ248" s="16"/>
    </row>
    <row r="249" ht="12.75" customHeight="1" spans="1:36" x14ac:dyDescent="0.25">
      <c r="A249" s="16"/>
      <c r="B249" s="16"/>
      <c r="C249" s="16"/>
      <c r="D249" s="16"/>
      <c r="E249" s="16"/>
      <c r="F249" s="16"/>
      <c r="G249" s="16"/>
      <c r="H249" s="16"/>
      <c r="I249" s="16"/>
      <c r="J249" s="16"/>
      <c r="K249" s="16"/>
      <c r="L249" s="16"/>
      <c r="M249" s="16"/>
      <c r="N249" s="16"/>
      <c r="O249" s="16"/>
      <c r="P249" s="16"/>
      <c r="Q249" s="16"/>
      <c r="R249" s="16"/>
      <c r="S249" s="16"/>
      <c r="T249" s="16"/>
      <c r="U249" s="16"/>
      <c r="V249" s="16"/>
      <c r="W249" s="16"/>
      <c r="X249" s="16"/>
      <c r="Y249" s="16"/>
      <c r="Z249" s="16"/>
      <c r="AA249" s="16"/>
      <c r="AB249" s="16"/>
      <c r="AC249" s="16"/>
      <c r="AD249" s="16"/>
      <c r="AE249" s="16"/>
      <c r="AF249" s="16"/>
      <c r="AG249" s="16"/>
      <c r="AH249" s="16"/>
      <c r="AI249" s="16"/>
      <c r="AJ249" s="16"/>
    </row>
    <row r="250" ht="12.75" customHeight="1" spans="1:36" x14ac:dyDescent="0.25">
      <c r="A250" s="16"/>
      <c r="B250" s="16"/>
      <c r="C250" s="16"/>
      <c r="D250" s="16"/>
      <c r="E250" s="16"/>
      <c r="F250" s="16"/>
      <c r="G250" s="16"/>
      <c r="H250" s="16"/>
      <c r="I250" s="16"/>
      <c r="J250" s="16"/>
      <c r="K250" s="16"/>
      <c r="L250" s="16"/>
      <c r="M250" s="16"/>
      <c r="N250" s="16"/>
      <c r="O250" s="16"/>
      <c r="P250" s="16"/>
      <c r="Q250" s="16"/>
      <c r="R250" s="16"/>
      <c r="S250" s="16"/>
      <c r="T250" s="16"/>
      <c r="U250" s="16"/>
      <c r="V250" s="16"/>
      <c r="W250" s="16"/>
      <c r="X250" s="16"/>
      <c r="Y250" s="16"/>
      <c r="Z250" s="16"/>
      <c r="AA250" s="16"/>
      <c r="AB250" s="16"/>
      <c r="AC250" s="16"/>
      <c r="AD250" s="16"/>
      <c r="AE250" s="16"/>
      <c r="AF250" s="16"/>
      <c r="AG250" s="16"/>
      <c r="AH250" s="16"/>
      <c r="AI250" s="16"/>
      <c r="AJ250" s="16"/>
    </row>
    <row r="251" ht="12.75" customHeight="1" spans="1:36" x14ac:dyDescent="0.25">
      <c r="A251" s="16"/>
      <c r="B251" s="16"/>
      <c r="C251" s="16"/>
      <c r="D251" s="16"/>
      <c r="E251" s="16"/>
      <c r="F251" s="16"/>
      <c r="G251" s="16"/>
      <c r="H251" s="16"/>
      <c r="I251" s="16"/>
      <c r="J251" s="16"/>
      <c r="K251" s="16"/>
      <c r="L251" s="16"/>
      <c r="M251" s="16"/>
      <c r="N251" s="16"/>
      <c r="O251" s="16"/>
      <c r="P251" s="16"/>
      <c r="Q251" s="16"/>
      <c r="R251" s="16"/>
      <c r="S251" s="16"/>
      <c r="T251" s="16"/>
      <c r="U251" s="16"/>
      <c r="V251" s="16"/>
      <c r="W251" s="16"/>
      <c r="X251" s="16"/>
      <c r="Y251" s="16"/>
      <c r="Z251" s="16"/>
      <c r="AA251" s="16"/>
      <c r="AB251" s="16"/>
      <c r="AC251" s="16"/>
      <c r="AD251" s="16"/>
      <c r="AE251" s="16"/>
      <c r="AF251" s="16"/>
      <c r="AG251" s="16"/>
      <c r="AH251" s="16"/>
      <c r="AI251" s="16"/>
      <c r="AJ251" s="16"/>
    </row>
    <row r="252" ht="12.75" customHeight="1" spans="1:36" x14ac:dyDescent="0.25">
      <c r="A252" s="16"/>
      <c r="B252" s="16"/>
      <c r="C252" s="16"/>
      <c r="D252" s="16"/>
      <c r="E252" s="16"/>
      <c r="F252" s="16"/>
      <c r="G252" s="16"/>
      <c r="H252" s="16"/>
      <c r="I252" s="16"/>
      <c r="J252" s="16"/>
      <c r="K252" s="16"/>
      <c r="L252" s="16"/>
      <c r="M252" s="16"/>
      <c r="N252" s="16"/>
      <c r="O252" s="16"/>
      <c r="P252" s="16"/>
      <c r="Q252" s="16"/>
      <c r="R252" s="16"/>
      <c r="S252" s="16"/>
      <c r="T252" s="16"/>
      <c r="U252" s="16"/>
      <c r="V252" s="16"/>
      <c r="W252" s="16"/>
      <c r="X252" s="16"/>
      <c r="Y252" s="16"/>
      <c r="Z252" s="16"/>
      <c r="AA252" s="16"/>
      <c r="AB252" s="16"/>
      <c r="AC252" s="16"/>
      <c r="AD252" s="16"/>
      <c r="AE252" s="16"/>
      <c r="AF252" s="16"/>
      <c r="AG252" s="16"/>
      <c r="AH252" s="16"/>
      <c r="AI252" s="16"/>
      <c r="AJ252" s="16"/>
    </row>
    <row r="253" ht="12.75" customHeight="1" spans="1:36" x14ac:dyDescent="0.25">
      <c r="A253" s="16"/>
      <c r="B253" s="16"/>
      <c r="C253" s="16"/>
      <c r="D253" s="16"/>
      <c r="E253" s="16"/>
      <c r="F253" s="16"/>
      <c r="G253" s="16"/>
      <c r="H253" s="16"/>
      <c r="I253" s="16"/>
      <c r="J253" s="16"/>
      <c r="K253" s="16"/>
      <c r="L253" s="16"/>
      <c r="M253" s="16"/>
      <c r="N253" s="16"/>
      <c r="O253" s="16"/>
      <c r="P253" s="16"/>
      <c r="Q253" s="16"/>
      <c r="R253" s="16"/>
      <c r="S253" s="16"/>
      <c r="T253" s="16"/>
      <c r="U253" s="16"/>
      <c r="V253" s="16"/>
      <c r="W253" s="16"/>
      <c r="X253" s="16"/>
      <c r="Y253" s="16"/>
      <c r="Z253" s="16"/>
      <c r="AA253" s="16"/>
      <c r="AB253" s="16"/>
      <c r="AC253" s="16"/>
      <c r="AD253" s="16"/>
      <c r="AE253" s="16"/>
      <c r="AF253" s="16"/>
      <c r="AG253" s="16"/>
      <c r="AH253" s="16"/>
      <c r="AI253" s="16"/>
      <c r="AJ253" s="16"/>
    </row>
    <row r="254" ht="12.75" customHeight="1" spans="1:36" x14ac:dyDescent="0.25">
      <c r="A254" s="16"/>
      <c r="B254" s="16"/>
      <c r="C254" s="16"/>
      <c r="D254" s="16"/>
      <c r="E254" s="16"/>
      <c r="F254" s="16"/>
      <c r="G254" s="16"/>
      <c r="H254" s="16"/>
      <c r="I254" s="16"/>
      <c r="J254" s="16"/>
      <c r="K254" s="16"/>
      <c r="L254" s="16"/>
      <c r="M254" s="16"/>
      <c r="N254" s="16"/>
      <c r="O254" s="16"/>
      <c r="P254" s="16"/>
      <c r="Q254" s="16"/>
      <c r="R254" s="16"/>
      <c r="S254" s="16"/>
      <c r="T254" s="16"/>
      <c r="U254" s="16"/>
      <c r="V254" s="16"/>
      <c r="W254" s="16"/>
      <c r="X254" s="16"/>
      <c r="Y254" s="16"/>
      <c r="Z254" s="16"/>
      <c r="AA254" s="16"/>
      <c r="AB254" s="16"/>
      <c r="AC254" s="16"/>
      <c r="AD254" s="16"/>
      <c r="AE254" s="16"/>
      <c r="AF254" s="16"/>
      <c r="AG254" s="16"/>
      <c r="AH254" s="16"/>
      <c r="AI254" s="16"/>
      <c r="AJ254" s="16"/>
    </row>
    <row r="255" ht="12.75" customHeight="1" spans="1:36" x14ac:dyDescent="0.25">
      <c r="A255" s="16"/>
      <c r="B255" s="16"/>
      <c r="C255" s="16"/>
      <c r="D255" s="16"/>
      <c r="E255" s="16"/>
      <c r="F255" s="16"/>
      <c r="G255" s="16"/>
      <c r="H255" s="16"/>
      <c r="I255" s="16"/>
      <c r="J255" s="16"/>
      <c r="K255" s="16"/>
      <c r="L255" s="16"/>
      <c r="M255" s="16"/>
      <c r="N255" s="16"/>
      <c r="O255" s="16"/>
      <c r="P255" s="16"/>
      <c r="Q255" s="16"/>
      <c r="R255" s="16"/>
      <c r="S255" s="16"/>
      <c r="T255" s="16"/>
      <c r="U255" s="16"/>
      <c r="V255" s="16"/>
      <c r="W255" s="16"/>
      <c r="X255" s="16"/>
      <c r="Y255" s="16"/>
      <c r="Z255" s="16"/>
      <c r="AA255" s="16"/>
      <c r="AB255" s="16"/>
      <c r="AC255" s="16"/>
      <c r="AD255" s="16"/>
      <c r="AE255" s="16"/>
      <c r="AF255" s="16"/>
      <c r="AG255" s="16"/>
      <c r="AH255" s="16"/>
      <c r="AI255" s="16"/>
      <c r="AJ255" s="16"/>
    </row>
    <row r="256" ht="12.75" customHeight="1" spans="1:36" x14ac:dyDescent="0.25">
      <c r="A256" s="16"/>
      <c r="B256" s="16"/>
      <c r="C256" s="16"/>
      <c r="D256" s="16"/>
      <c r="E256" s="16"/>
      <c r="F256" s="16"/>
      <c r="G256" s="16"/>
      <c r="H256" s="16"/>
      <c r="I256" s="16"/>
      <c r="J256" s="16"/>
      <c r="K256" s="16"/>
      <c r="L256" s="16"/>
      <c r="M256" s="16"/>
      <c r="N256" s="16"/>
      <c r="O256" s="16"/>
      <c r="P256" s="16"/>
      <c r="Q256" s="16"/>
      <c r="R256" s="16"/>
      <c r="S256" s="16"/>
      <c r="T256" s="16"/>
      <c r="U256" s="16"/>
      <c r="V256" s="16"/>
      <c r="W256" s="16"/>
      <c r="X256" s="16"/>
      <c r="Y256" s="16"/>
      <c r="Z256" s="16"/>
      <c r="AA256" s="16"/>
      <c r="AB256" s="16"/>
      <c r="AC256" s="16"/>
      <c r="AD256" s="16"/>
      <c r="AE256" s="16"/>
      <c r="AF256" s="16"/>
      <c r="AG256" s="16"/>
      <c r="AH256" s="16"/>
      <c r="AI256" s="16"/>
      <c r="AJ256" s="16"/>
    </row>
    <row r="257" ht="12.75" customHeight="1" spans="1:36" x14ac:dyDescent="0.25">
      <c r="A257" s="16"/>
      <c r="B257" s="16"/>
      <c r="C257" s="16"/>
      <c r="D257" s="16"/>
      <c r="E257" s="16"/>
      <c r="F257" s="16"/>
      <c r="G257" s="16"/>
      <c r="H257" s="16"/>
      <c r="I257" s="16"/>
      <c r="J257" s="16"/>
      <c r="K257" s="16"/>
      <c r="L257" s="16"/>
      <c r="M257" s="16"/>
      <c r="N257" s="16"/>
      <c r="O257" s="16"/>
      <c r="P257" s="16"/>
      <c r="Q257" s="16"/>
      <c r="R257" s="16"/>
      <c r="S257" s="16"/>
      <c r="T257" s="16"/>
      <c r="U257" s="16"/>
      <c r="V257" s="16"/>
      <c r="W257" s="16"/>
      <c r="X257" s="16"/>
      <c r="Y257" s="16"/>
      <c r="Z257" s="16"/>
      <c r="AA257" s="16"/>
      <c r="AB257" s="16"/>
      <c r="AC257" s="16"/>
      <c r="AD257" s="16"/>
      <c r="AE257" s="16"/>
      <c r="AF257" s="16"/>
      <c r="AG257" s="16"/>
      <c r="AH257" s="16"/>
      <c r="AI257" s="16"/>
      <c r="AJ257" s="16"/>
    </row>
    <row r="258" ht="12.75" customHeight="1" spans="1:36" x14ac:dyDescent="0.25">
      <c r="A258" s="16"/>
      <c r="B258" s="16"/>
      <c r="C258" s="16"/>
      <c r="D258" s="16"/>
      <c r="E258" s="16"/>
      <c r="F258" s="16"/>
      <c r="G258" s="16"/>
      <c r="H258" s="16"/>
      <c r="I258" s="16"/>
      <c r="J258" s="16"/>
      <c r="K258" s="16"/>
      <c r="L258" s="16"/>
      <c r="M258" s="16"/>
      <c r="N258" s="16"/>
      <c r="O258" s="16"/>
      <c r="P258" s="16"/>
      <c r="Q258" s="16"/>
      <c r="R258" s="16"/>
      <c r="S258" s="16"/>
      <c r="T258" s="16"/>
      <c r="U258" s="16"/>
      <c r="V258" s="16"/>
      <c r="W258" s="16"/>
      <c r="X258" s="16"/>
      <c r="Y258" s="16"/>
      <c r="Z258" s="16"/>
      <c r="AA258" s="16"/>
      <c r="AB258" s="16"/>
      <c r="AC258" s="16"/>
      <c r="AD258" s="16"/>
      <c r="AE258" s="16"/>
      <c r="AF258" s="16"/>
      <c r="AG258" s="16"/>
      <c r="AH258" s="16"/>
      <c r="AI258" s="16"/>
      <c r="AJ258" s="16"/>
    </row>
    <row r="259" ht="12.75" customHeight="1" spans="1:36" x14ac:dyDescent="0.25">
      <c r="A259" s="16"/>
      <c r="B259" s="16"/>
      <c r="C259" s="16"/>
      <c r="D259" s="16"/>
      <c r="E259" s="16"/>
      <c r="F259" s="16"/>
      <c r="G259" s="16"/>
      <c r="H259" s="16"/>
      <c r="I259" s="16"/>
      <c r="J259" s="16"/>
      <c r="K259" s="16"/>
      <c r="L259" s="16"/>
      <c r="M259" s="16"/>
      <c r="N259" s="16"/>
      <c r="O259" s="16"/>
      <c r="P259" s="16"/>
      <c r="Q259" s="16"/>
      <c r="R259" s="16"/>
      <c r="S259" s="16"/>
      <c r="T259" s="16"/>
      <c r="U259" s="16"/>
      <c r="V259" s="16"/>
      <c r="W259" s="16"/>
      <c r="X259" s="16"/>
      <c r="Y259" s="16"/>
      <c r="Z259" s="16"/>
      <c r="AA259" s="16"/>
      <c r="AB259" s="16"/>
      <c r="AC259" s="16"/>
      <c r="AD259" s="16"/>
      <c r="AE259" s="16"/>
      <c r="AF259" s="16"/>
      <c r="AG259" s="16"/>
      <c r="AH259" s="16"/>
      <c r="AI259" s="16"/>
      <c r="AJ259" s="16"/>
    </row>
    <row r="260" ht="12.75" customHeight="1" spans="1:36" x14ac:dyDescent="0.25">
      <c r="A260" s="16"/>
      <c r="B260" s="16"/>
      <c r="C260" s="16"/>
      <c r="D260" s="16"/>
      <c r="E260" s="16"/>
      <c r="F260" s="16"/>
      <c r="G260" s="16"/>
      <c r="H260" s="16"/>
      <c r="I260" s="16"/>
      <c r="J260" s="16"/>
      <c r="K260" s="16"/>
      <c r="L260" s="16"/>
      <c r="M260" s="16"/>
      <c r="N260" s="16"/>
      <c r="O260" s="16"/>
      <c r="P260" s="16"/>
      <c r="Q260" s="16"/>
      <c r="R260" s="16"/>
      <c r="S260" s="16"/>
      <c r="T260" s="16"/>
      <c r="U260" s="16"/>
      <c r="V260" s="16"/>
      <c r="W260" s="16"/>
      <c r="X260" s="16"/>
      <c r="Y260" s="16"/>
      <c r="Z260" s="16"/>
      <c r="AA260" s="16"/>
      <c r="AB260" s="16"/>
      <c r="AC260" s="16"/>
      <c r="AD260" s="16"/>
      <c r="AE260" s="16"/>
      <c r="AF260" s="16"/>
      <c r="AG260" s="16"/>
      <c r="AH260" s="16"/>
      <c r="AI260" s="16"/>
      <c r="AJ260" s="16"/>
    </row>
    <row r="261" ht="12.75" customHeight="1" spans="1:36" x14ac:dyDescent="0.25">
      <c r="A261" s="16"/>
      <c r="B261" s="16"/>
      <c r="C261" s="16"/>
      <c r="D261" s="16"/>
      <c r="E261" s="16"/>
      <c r="F261" s="16"/>
      <c r="G261" s="16"/>
      <c r="H261" s="16"/>
      <c r="I261" s="16"/>
      <c r="J261" s="16"/>
      <c r="K261" s="16"/>
      <c r="L261" s="16"/>
      <c r="M261" s="16"/>
      <c r="N261" s="16"/>
      <c r="O261" s="16"/>
      <c r="P261" s="16"/>
      <c r="Q261" s="16"/>
      <c r="R261" s="16"/>
      <c r="S261" s="16"/>
      <c r="T261" s="16"/>
      <c r="U261" s="16"/>
      <c r="V261" s="16"/>
      <c r="W261" s="16"/>
      <c r="X261" s="16"/>
      <c r="Y261" s="16"/>
      <c r="Z261" s="16"/>
      <c r="AA261" s="16"/>
      <c r="AB261" s="16"/>
      <c r="AC261" s="16"/>
      <c r="AD261" s="16"/>
      <c r="AE261" s="16"/>
      <c r="AF261" s="16"/>
      <c r="AG261" s="16"/>
      <c r="AH261" s="16"/>
      <c r="AI261" s="16"/>
      <c r="AJ261" s="16"/>
    </row>
    <row r="262" ht="12.75" customHeight="1" spans="1:36" x14ac:dyDescent="0.25">
      <c r="A262" s="16"/>
      <c r="B262" s="16"/>
      <c r="C262" s="16"/>
      <c r="D262" s="16"/>
      <c r="E262" s="16"/>
      <c r="F262" s="16"/>
      <c r="G262" s="16"/>
      <c r="H262" s="16"/>
      <c r="I262" s="16"/>
      <c r="J262" s="16"/>
      <c r="K262" s="16"/>
      <c r="L262" s="16"/>
      <c r="M262" s="16"/>
      <c r="N262" s="16"/>
      <c r="O262" s="16"/>
      <c r="P262" s="16"/>
      <c r="Q262" s="16"/>
      <c r="R262" s="16"/>
      <c r="S262" s="16"/>
      <c r="T262" s="16"/>
      <c r="U262" s="16"/>
      <c r="V262" s="16"/>
      <c r="W262" s="16"/>
      <c r="X262" s="16"/>
      <c r="Y262" s="16"/>
      <c r="Z262" s="16"/>
      <c r="AA262" s="16"/>
      <c r="AB262" s="16"/>
      <c r="AC262" s="16"/>
      <c r="AD262" s="16"/>
      <c r="AE262" s="16"/>
      <c r="AF262" s="16"/>
      <c r="AG262" s="16"/>
      <c r="AH262" s="16"/>
      <c r="AI262" s="16"/>
      <c r="AJ262" s="16"/>
    </row>
    <row r="263" ht="12.75" customHeight="1" spans="1:36" x14ac:dyDescent="0.25">
      <c r="A263" s="16"/>
      <c r="B263" s="16"/>
      <c r="C263" s="16"/>
      <c r="D263" s="16"/>
      <c r="E263" s="16"/>
      <c r="F263" s="16"/>
      <c r="G263" s="16"/>
      <c r="H263" s="16"/>
      <c r="I263" s="16"/>
      <c r="J263" s="16"/>
      <c r="K263" s="16"/>
      <c r="L263" s="16"/>
      <c r="M263" s="16"/>
      <c r="N263" s="16"/>
      <c r="O263" s="16"/>
      <c r="P263" s="16"/>
      <c r="Q263" s="16"/>
      <c r="R263" s="16"/>
      <c r="S263" s="16"/>
      <c r="T263" s="16"/>
      <c r="U263" s="16"/>
      <c r="V263" s="16"/>
      <c r="W263" s="16"/>
      <c r="X263" s="16"/>
      <c r="Y263" s="16"/>
      <c r="Z263" s="16"/>
      <c r="AA263" s="16"/>
      <c r="AB263" s="16"/>
      <c r="AC263" s="16"/>
      <c r="AD263" s="16"/>
      <c r="AE263" s="16"/>
      <c r="AF263" s="16"/>
      <c r="AG263" s="16"/>
      <c r="AH263" s="16"/>
      <c r="AI263" s="16"/>
      <c r="AJ263" s="16"/>
    </row>
    <row r="264" ht="12.75" customHeight="1" spans="1:36" x14ac:dyDescent="0.25">
      <c r="A264" s="16"/>
      <c r="B264" s="16"/>
      <c r="C264" s="16"/>
      <c r="D264" s="16"/>
      <c r="E264" s="16"/>
      <c r="F264" s="16"/>
      <c r="G264" s="16"/>
      <c r="H264" s="16"/>
      <c r="I264" s="16"/>
      <c r="J264" s="16"/>
      <c r="K264" s="16"/>
      <c r="L264" s="16"/>
      <c r="M264" s="16"/>
      <c r="N264" s="16"/>
      <c r="O264" s="16"/>
      <c r="P264" s="16"/>
      <c r="Q264" s="16"/>
      <c r="R264" s="16"/>
      <c r="S264" s="16"/>
      <c r="T264" s="16"/>
      <c r="U264" s="16"/>
      <c r="V264" s="16"/>
      <c r="W264" s="16"/>
      <c r="X264" s="16"/>
      <c r="Y264" s="16"/>
      <c r="Z264" s="16"/>
      <c r="AA264" s="16"/>
      <c r="AB264" s="16"/>
      <c r="AC264" s="16"/>
      <c r="AD264" s="16"/>
      <c r="AE264" s="16"/>
      <c r="AF264" s="16"/>
      <c r="AG264" s="16"/>
      <c r="AH264" s="16"/>
      <c r="AI264" s="16"/>
      <c r="AJ264" s="16"/>
    </row>
    <row r="265" ht="12.75" customHeight="1" spans="1:36" x14ac:dyDescent="0.25">
      <c r="A265" s="16"/>
      <c r="B265" s="16"/>
      <c r="C265" s="16"/>
      <c r="D265" s="16"/>
      <c r="E265" s="16"/>
      <c r="F265" s="16"/>
      <c r="G265" s="16"/>
      <c r="H265" s="16"/>
      <c r="I265" s="16"/>
      <c r="J265" s="16"/>
      <c r="K265" s="16"/>
      <c r="L265" s="16"/>
      <c r="M265" s="16"/>
      <c r="N265" s="16"/>
      <c r="O265" s="16"/>
      <c r="P265" s="16"/>
      <c r="Q265" s="16"/>
      <c r="R265" s="16"/>
      <c r="S265" s="16"/>
      <c r="T265" s="16"/>
      <c r="U265" s="16"/>
      <c r="V265" s="16"/>
      <c r="W265" s="16"/>
      <c r="X265" s="16"/>
      <c r="Y265" s="16"/>
      <c r="Z265" s="16"/>
      <c r="AA265" s="16"/>
      <c r="AB265" s="16"/>
      <c r="AC265" s="16"/>
      <c r="AD265" s="16"/>
      <c r="AE265" s="16"/>
      <c r="AF265" s="16"/>
      <c r="AG265" s="16"/>
      <c r="AH265" s="16"/>
      <c r="AI265" s="16"/>
      <c r="AJ265" s="16"/>
    </row>
    <row r="266" ht="12.75" customHeight="1" spans="1:36" x14ac:dyDescent="0.25">
      <c r="A266" s="16"/>
      <c r="B266" s="16"/>
      <c r="C266" s="16"/>
      <c r="D266" s="16"/>
      <c r="E266" s="16"/>
      <c r="F266" s="16"/>
      <c r="G266" s="16"/>
      <c r="H266" s="16"/>
      <c r="I266" s="16"/>
      <c r="J266" s="16"/>
      <c r="K266" s="16"/>
      <c r="L266" s="16"/>
      <c r="M266" s="16"/>
      <c r="N266" s="16"/>
      <c r="O266" s="16"/>
      <c r="P266" s="16"/>
      <c r="Q266" s="16"/>
      <c r="R266" s="16"/>
      <c r="S266" s="16"/>
      <c r="T266" s="16"/>
      <c r="U266" s="16"/>
      <c r="V266" s="16"/>
      <c r="W266" s="16"/>
      <c r="X266" s="16"/>
      <c r="Y266" s="16"/>
      <c r="Z266" s="16"/>
      <c r="AA266" s="16"/>
      <c r="AB266" s="16"/>
      <c r="AC266" s="16"/>
      <c r="AD266" s="16"/>
      <c r="AE266" s="16"/>
      <c r="AF266" s="16"/>
      <c r="AG266" s="16"/>
      <c r="AH266" s="16"/>
      <c r="AI266" s="16"/>
      <c r="AJ266" s="16"/>
    </row>
    <row r="267" ht="12.75" customHeight="1" spans="1:36" x14ac:dyDescent="0.25">
      <c r="A267" s="16"/>
      <c r="B267" s="16"/>
      <c r="C267" s="16"/>
      <c r="D267" s="16"/>
      <c r="E267" s="16"/>
      <c r="F267" s="16"/>
      <c r="G267" s="16"/>
      <c r="H267" s="16"/>
      <c r="I267" s="16"/>
      <c r="J267" s="16"/>
      <c r="K267" s="16"/>
      <c r="L267" s="16"/>
      <c r="M267" s="16"/>
      <c r="N267" s="16"/>
      <c r="O267" s="16"/>
      <c r="P267" s="16"/>
      <c r="Q267" s="16"/>
      <c r="R267" s="16"/>
      <c r="S267" s="16"/>
      <c r="T267" s="16"/>
      <c r="U267" s="16"/>
      <c r="V267" s="16"/>
      <c r="W267" s="16"/>
      <c r="X267" s="16"/>
      <c r="Y267" s="16"/>
      <c r="Z267" s="16"/>
      <c r="AA267" s="16"/>
      <c r="AB267" s="16"/>
      <c r="AC267" s="16"/>
      <c r="AD267" s="16"/>
      <c r="AE267" s="16"/>
      <c r="AF267" s="16"/>
      <c r="AG267" s="16"/>
      <c r="AH267" s="16"/>
      <c r="AI267" s="16"/>
      <c r="AJ267" s="16"/>
    </row>
    <row r="268" ht="12.75" customHeight="1" spans="1:36" x14ac:dyDescent="0.25">
      <c r="A268" s="16"/>
      <c r="B268" s="16"/>
      <c r="C268" s="16"/>
      <c r="D268" s="16"/>
      <c r="E268" s="16"/>
      <c r="F268" s="16"/>
      <c r="G268" s="16"/>
      <c r="H268" s="16"/>
      <c r="I268" s="16"/>
      <c r="J268" s="16"/>
      <c r="K268" s="16"/>
      <c r="L268" s="16"/>
      <c r="M268" s="16"/>
      <c r="N268" s="16"/>
      <c r="O268" s="16"/>
      <c r="P268" s="16"/>
      <c r="Q268" s="16"/>
      <c r="R268" s="16"/>
      <c r="S268" s="16"/>
      <c r="T268" s="16"/>
      <c r="U268" s="16"/>
      <c r="V268" s="16"/>
      <c r="W268" s="16"/>
      <c r="X268" s="16"/>
      <c r="Y268" s="16"/>
      <c r="Z268" s="16"/>
      <c r="AA268" s="16"/>
      <c r="AB268" s="16"/>
      <c r="AC268" s="16"/>
      <c r="AD268" s="16"/>
      <c r="AE268" s="16"/>
      <c r="AF268" s="16"/>
      <c r="AG268" s="16"/>
      <c r="AH268" s="16"/>
      <c r="AI268" s="16"/>
      <c r="AJ268" s="16"/>
    </row>
    <row r="269" ht="12.75" customHeight="1" spans="1:36" x14ac:dyDescent="0.25">
      <c r="A269" s="16"/>
      <c r="B269" s="16"/>
      <c r="C269" s="16"/>
      <c r="D269" s="16"/>
      <c r="E269" s="16"/>
      <c r="F269" s="16"/>
      <c r="G269" s="16"/>
      <c r="H269" s="16"/>
      <c r="I269" s="16"/>
      <c r="J269" s="16"/>
      <c r="K269" s="16"/>
      <c r="L269" s="16"/>
      <c r="M269" s="16"/>
      <c r="N269" s="16"/>
      <c r="O269" s="16"/>
      <c r="P269" s="16"/>
      <c r="Q269" s="16"/>
      <c r="R269" s="16"/>
      <c r="S269" s="16"/>
      <c r="T269" s="16"/>
      <c r="U269" s="16"/>
      <c r="V269" s="16"/>
      <c r="W269" s="16"/>
      <c r="X269" s="16"/>
      <c r="Y269" s="16"/>
      <c r="Z269" s="16"/>
      <c r="AA269" s="16"/>
      <c r="AB269" s="16"/>
      <c r="AC269" s="16"/>
      <c r="AD269" s="16"/>
      <c r="AE269" s="16"/>
      <c r="AF269" s="16"/>
      <c r="AG269" s="16"/>
      <c r="AH269" s="16"/>
      <c r="AI269" s="16"/>
      <c r="AJ269" s="16"/>
    </row>
    <row r="270" ht="12.75" customHeight="1" spans="1:36" x14ac:dyDescent="0.25">
      <c r="A270" s="16"/>
      <c r="B270" s="16"/>
      <c r="C270" s="16"/>
      <c r="D270" s="16"/>
      <c r="E270" s="16"/>
      <c r="F270" s="16"/>
      <c r="G270" s="16"/>
      <c r="H270" s="16"/>
      <c r="I270" s="16"/>
      <c r="J270" s="16"/>
      <c r="K270" s="16"/>
      <c r="L270" s="16"/>
      <c r="M270" s="16"/>
      <c r="N270" s="16"/>
      <c r="O270" s="16"/>
      <c r="P270" s="16"/>
      <c r="Q270" s="16"/>
      <c r="R270" s="16"/>
      <c r="S270" s="16"/>
      <c r="T270" s="16"/>
      <c r="U270" s="16"/>
      <c r="V270" s="16"/>
      <c r="W270" s="16"/>
      <c r="X270" s="16"/>
      <c r="Y270" s="16"/>
      <c r="Z270" s="16"/>
      <c r="AA270" s="16"/>
      <c r="AB270" s="16"/>
      <c r="AC270" s="16"/>
      <c r="AD270" s="16"/>
      <c r="AE270" s="16"/>
      <c r="AF270" s="16"/>
      <c r="AG270" s="16"/>
      <c r="AH270" s="16"/>
      <c r="AI270" s="16"/>
      <c r="AJ270" s="16"/>
    </row>
    <row r="271" ht="12.75" customHeight="1" spans="1:36" x14ac:dyDescent="0.25">
      <c r="A271" s="16"/>
      <c r="B271" s="16"/>
      <c r="C271" s="16"/>
      <c r="D271" s="16"/>
      <c r="E271" s="16"/>
      <c r="F271" s="16"/>
      <c r="G271" s="16"/>
      <c r="H271" s="16"/>
      <c r="I271" s="16"/>
      <c r="J271" s="16"/>
      <c r="K271" s="16"/>
      <c r="L271" s="16"/>
      <c r="M271" s="16"/>
      <c r="N271" s="16"/>
      <c r="O271" s="16"/>
      <c r="P271" s="16"/>
      <c r="Q271" s="16"/>
      <c r="R271" s="16"/>
      <c r="S271" s="16"/>
      <c r="T271" s="16"/>
      <c r="U271" s="16"/>
      <c r="V271" s="16"/>
      <c r="W271" s="16"/>
      <c r="X271" s="16"/>
      <c r="Y271" s="16"/>
      <c r="Z271" s="16"/>
      <c r="AA271" s="16"/>
      <c r="AB271" s="16"/>
      <c r="AC271" s="16"/>
      <c r="AD271" s="16"/>
      <c r="AE271" s="16"/>
      <c r="AF271" s="16"/>
      <c r="AG271" s="16"/>
      <c r="AH271" s="16"/>
      <c r="AI271" s="16"/>
      <c r="AJ271" s="16"/>
    </row>
    <row r="272" ht="12.75" customHeight="1" spans="1:36" x14ac:dyDescent="0.25">
      <c r="A272" s="16"/>
      <c r="B272" s="16"/>
      <c r="C272" s="16"/>
      <c r="D272" s="16"/>
      <c r="E272" s="16"/>
      <c r="F272" s="16"/>
      <c r="G272" s="16"/>
      <c r="H272" s="16"/>
      <c r="I272" s="16"/>
      <c r="J272" s="16"/>
      <c r="K272" s="16"/>
      <c r="L272" s="16"/>
      <c r="M272" s="16"/>
      <c r="N272" s="16"/>
      <c r="O272" s="16"/>
      <c r="P272" s="16"/>
      <c r="Q272" s="16"/>
      <c r="R272" s="16"/>
      <c r="S272" s="16"/>
      <c r="T272" s="16"/>
      <c r="U272" s="16"/>
      <c r="V272" s="16"/>
      <c r="W272" s="16"/>
      <c r="X272" s="16"/>
      <c r="Y272" s="16"/>
      <c r="Z272" s="16"/>
      <c r="AA272" s="16"/>
      <c r="AB272" s="16"/>
      <c r="AC272" s="16"/>
      <c r="AD272" s="16"/>
      <c r="AE272" s="16"/>
      <c r="AF272" s="16"/>
      <c r="AG272" s="16"/>
      <c r="AH272" s="16"/>
      <c r="AI272" s="16"/>
      <c r="AJ272" s="16"/>
    </row>
    <row r="273" ht="12.75" customHeight="1" spans="1:36" x14ac:dyDescent="0.25">
      <c r="A273" s="16"/>
      <c r="B273" s="16"/>
      <c r="C273" s="16"/>
      <c r="D273" s="16"/>
      <c r="E273" s="16"/>
      <c r="F273" s="16"/>
      <c r="G273" s="16"/>
      <c r="H273" s="16"/>
      <c r="I273" s="16"/>
      <c r="J273" s="16"/>
      <c r="K273" s="16"/>
      <c r="L273" s="16"/>
      <c r="M273" s="16"/>
      <c r="N273" s="16"/>
      <c r="O273" s="16"/>
      <c r="P273" s="16"/>
      <c r="Q273" s="16"/>
      <c r="R273" s="16"/>
      <c r="S273" s="16"/>
      <c r="T273" s="16"/>
      <c r="U273" s="16"/>
      <c r="V273" s="16"/>
      <c r="W273" s="16"/>
      <c r="X273" s="16"/>
      <c r="Y273" s="16"/>
      <c r="Z273" s="16"/>
      <c r="AA273" s="16"/>
      <c r="AB273" s="16"/>
      <c r="AC273" s="16"/>
      <c r="AD273" s="16"/>
      <c r="AE273" s="16"/>
      <c r="AF273" s="16"/>
      <c r="AG273" s="16"/>
      <c r="AH273" s="16"/>
      <c r="AI273" s="16"/>
      <c r="AJ273" s="16"/>
    </row>
    <row r="274" ht="12.75" customHeight="1" spans="1:36" x14ac:dyDescent="0.25">
      <c r="A274" s="16"/>
      <c r="B274" s="16"/>
      <c r="C274" s="16"/>
      <c r="D274" s="16"/>
      <c r="E274" s="16"/>
      <c r="F274" s="16"/>
      <c r="G274" s="16"/>
      <c r="H274" s="16"/>
      <c r="I274" s="16"/>
      <c r="J274" s="16"/>
      <c r="K274" s="16"/>
      <c r="L274" s="16"/>
      <c r="M274" s="16"/>
      <c r="N274" s="16"/>
      <c r="O274" s="16"/>
      <c r="P274" s="16"/>
      <c r="Q274" s="16"/>
      <c r="R274" s="16"/>
      <c r="S274" s="16"/>
      <c r="T274" s="16"/>
      <c r="U274" s="16"/>
      <c r="V274" s="16"/>
      <c r="W274" s="16"/>
      <c r="X274" s="16"/>
      <c r="Y274" s="16"/>
      <c r="Z274" s="16"/>
      <c r="AA274" s="16"/>
      <c r="AB274" s="16"/>
      <c r="AC274" s="16"/>
      <c r="AD274" s="16"/>
      <c r="AE274" s="16"/>
      <c r="AF274" s="16"/>
      <c r="AG274" s="16"/>
      <c r="AH274" s="16"/>
      <c r="AI274" s="16"/>
      <c r="AJ274" s="16"/>
    </row>
    <row r="275" ht="12.75" customHeight="1" spans="1:36" x14ac:dyDescent="0.25">
      <c r="A275" s="16"/>
      <c r="B275" s="16"/>
      <c r="C275" s="16"/>
      <c r="D275" s="16"/>
      <c r="E275" s="16"/>
      <c r="F275" s="16"/>
      <c r="G275" s="16"/>
      <c r="H275" s="16"/>
      <c r="I275" s="16"/>
      <c r="J275" s="16"/>
      <c r="K275" s="16"/>
      <c r="L275" s="16"/>
      <c r="M275" s="16"/>
      <c r="N275" s="16"/>
      <c r="O275" s="16"/>
      <c r="P275" s="16"/>
      <c r="Q275" s="16"/>
      <c r="R275" s="16"/>
      <c r="S275" s="16"/>
      <c r="T275" s="16"/>
      <c r="U275" s="16"/>
      <c r="V275" s="16"/>
      <c r="W275" s="16"/>
      <c r="X275" s="16"/>
      <c r="Y275" s="16"/>
      <c r="Z275" s="16"/>
      <c r="AA275" s="16"/>
      <c r="AB275" s="16"/>
      <c r="AC275" s="16"/>
      <c r="AD275" s="16"/>
      <c r="AE275" s="16"/>
      <c r="AF275" s="16"/>
      <c r="AG275" s="16"/>
      <c r="AH275" s="16"/>
      <c r="AI275" s="16"/>
      <c r="AJ275" s="16"/>
    </row>
    <row r="276" ht="12.75" customHeight="1" spans="1:36" x14ac:dyDescent="0.25">
      <c r="A276" s="16"/>
      <c r="B276" s="16"/>
      <c r="C276" s="16"/>
      <c r="D276" s="16"/>
      <c r="E276" s="16"/>
      <c r="F276" s="16"/>
      <c r="G276" s="16"/>
      <c r="H276" s="16"/>
      <c r="I276" s="16"/>
      <c r="J276" s="16"/>
      <c r="K276" s="16"/>
      <c r="L276" s="16"/>
      <c r="M276" s="16"/>
      <c r="N276" s="16"/>
      <c r="O276" s="16"/>
      <c r="P276" s="16"/>
      <c r="Q276" s="16"/>
      <c r="R276" s="16"/>
      <c r="S276" s="16"/>
      <c r="T276" s="16"/>
      <c r="U276" s="16"/>
      <c r="V276" s="16"/>
      <c r="W276" s="16"/>
      <c r="X276" s="16"/>
      <c r="Y276" s="16"/>
      <c r="Z276" s="16"/>
      <c r="AA276" s="16"/>
      <c r="AB276" s="16"/>
      <c r="AC276" s="16"/>
      <c r="AD276" s="16"/>
      <c r="AE276" s="16"/>
      <c r="AF276" s="16"/>
      <c r="AG276" s="16"/>
      <c r="AH276" s="16"/>
      <c r="AI276" s="16"/>
      <c r="AJ276" s="16"/>
    </row>
    <row r="277" ht="12.75" customHeight="1" spans="1:36" x14ac:dyDescent="0.25">
      <c r="A277" s="16"/>
      <c r="B277" s="16"/>
      <c r="C277" s="16"/>
      <c r="D277" s="16"/>
      <c r="E277" s="16"/>
      <c r="F277" s="16"/>
      <c r="G277" s="16"/>
      <c r="H277" s="16"/>
      <c r="I277" s="16"/>
      <c r="J277" s="16"/>
      <c r="K277" s="16"/>
      <c r="L277" s="16"/>
      <c r="M277" s="16"/>
      <c r="N277" s="16"/>
      <c r="O277" s="16"/>
      <c r="P277" s="16"/>
      <c r="Q277" s="16"/>
      <c r="R277" s="16"/>
      <c r="S277" s="16"/>
      <c r="T277" s="16"/>
      <c r="U277" s="16"/>
      <c r="V277" s="16"/>
      <c r="W277" s="16"/>
      <c r="X277" s="16"/>
      <c r="Y277" s="16"/>
      <c r="Z277" s="16"/>
      <c r="AA277" s="16"/>
      <c r="AB277" s="16"/>
      <c r="AC277" s="16"/>
      <c r="AD277" s="16"/>
      <c r="AE277" s="16"/>
      <c r="AF277" s="16"/>
      <c r="AG277" s="16"/>
      <c r="AH277" s="16"/>
      <c r="AI277" s="16"/>
      <c r="AJ277" s="16"/>
    </row>
    <row r="278" ht="12.75" customHeight="1" spans="1:36" x14ac:dyDescent="0.25">
      <c r="A278" s="16"/>
      <c r="B278" s="16"/>
      <c r="C278" s="16"/>
      <c r="D278" s="16"/>
      <c r="E278" s="16"/>
      <c r="F278" s="16"/>
      <c r="G278" s="16"/>
      <c r="H278" s="16"/>
      <c r="I278" s="16"/>
      <c r="J278" s="16"/>
      <c r="K278" s="16"/>
      <c r="L278" s="16"/>
      <c r="M278" s="16"/>
      <c r="N278" s="16"/>
      <c r="O278" s="16"/>
      <c r="P278" s="16"/>
      <c r="Q278" s="16"/>
      <c r="R278" s="16"/>
      <c r="S278" s="16"/>
      <c r="T278" s="16"/>
      <c r="U278" s="16"/>
      <c r="V278" s="16"/>
      <c r="W278" s="16"/>
      <c r="X278" s="16"/>
      <c r="Y278" s="16"/>
      <c r="Z278" s="16"/>
      <c r="AA278" s="16"/>
      <c r="AB278" s="16"/>
      <c r="AC278" s="16"/>
      <c r="AD278" s="16"/>
      <c r="AE278" s="16"/>
      <c r="AF278" s="16"/>
      <c r="AG278" s="16"/>
      <c r="AH278" s="16"/>
      <c r="AI278" s="16"/>
      <c r="AJ278" s="16"/>
    </row>
    <row r="279" ht="12.75" customHeight="1" spans="1:36" x14ac:dyDescent="0.25">
      <c r="A279" s="16"/>
      <c r="B279" s="16"/>
      <c r="C279" s="16"/>
      <c r="D279" s="16"/>
      <c r="E279" s="16"/>
      <c r="F279" s="16"/>
      <c r="G279" s="16"/>
      <c r="H279" s="16"/>
      <c r="I279" s="16"/>
      <c r="J279" s="16"/>
      <c r="K279" s="16"/>
      <c r="L279" s="16"/>
      <c r="M279" s="16"/>
      <c r="N279" s="16"/>
      <c r="O279" s="16"/>
      <c r="P279" s="16"/>
      <c r="Q279" s="16"/>
      <c r="R279" s="16"/>
      <c r="S279" s="16"/>
      <c r="T279" s="16"/>
      <c r="U279" s="16"/>
      <c r="V279" s="16"/>
      <c r="W279" s="16"/>
      <c r="X279" s="16"/>
      <c r="Y279" s="16"/>
      <c r="Z279" s="16"/>
      <c r="AA279" s="16"/>
      <c r="AB279" s="16"/>
      <c r="AC279" s="16"/>
      <c r="AD279" s="16"/>
      <c r="AE279" s="16"/>
      <c r="AF279" s="16"/>
      <c r="AG279" s="16"/>
      <c r="AH279" s="16"/>
      <c r="AI279" s="16"/>
      <c r="AJ279" s="16"/>
    </row>
    <row r="280" ht="12.75" customHeight="1" spans="1:36" x14ac:dyDescent="0.25">
      <c r="A280" s="16"/>
      <c r="B280" s="16"/>
      <c r="C280" s="16"/>
      <c r="D280" s="16"/>
      <c r="E280" s="16"/>
      <c r="F280" s="16"/>
      <c r="G280" s="16"/>
      <c r="H280" s="16"/>
      <c r="I280" s="16"/>
      <c r="J280" s="16"/>
      <c r="K280" s="16"/>
      <c r="L280" s="16"/>
      <c r="M280" s="16"/>
      <c r="N280" s="16"/>
      <c r="O280" s="16"/>
      <c r="P280" s="16"/>
      <c r="Q280" s="16"/>
      <c r="R280" s="16"/>
      <c r="S280" s="16"/>
      <c r="T280" s="16"/>
      <c r="U280" s="16"/>
      <c r="V280" s="16"/>
      <c r="W280" s="16"/>
      <c r="X280" s="16"/>
      <c r="Y280" s="16"/>
      <c r="Z280" s="16"/>
      <c r="AA280" s="16"/>
      <c r="AB280" s="16"/>
      <c r="AC280" s="16"/>
      <c r="AD280" s="16"/>
      <c r="AE280" s="16"/>
      <c r="AF280" s="16"/>
      <c r="AG280" s="16"/>
      <c r="AH280" s="16"/>
      <c r="AI280" s="16"/>
      <c r="AJ280" s="16"/>
    </row>
    <row r="281" ht="12.75" customHeight="1" spans="1:36" x14ac:dyDescent="0.25">
      <c r="A281" s="16"/>
      <c r="B281" s="16"/>
      <c r="C281" s="16"/>
      <c r="D281" s="16"/>
      <c r="E281" s="16"/>
      <c r="F281" s="16"/>
      <c r="G281" s="16"/>
      <c r="H281" s="16"/>
      <c r="I281" s="16"/>
      <c r="J281" s="16"/>
      <c r="K281" s="16"/>
      <c r="L281" s="16"/>
      <c r="M281" s="16"/>
      <c r="N281" s="16"/>
      <c r="O281" s="16"/>
      <c r="P281" s="16"/>
      <c r="Q281" s="16"/>
      <c r="R281" s="16"/>
      <c r="S281" s="16"/>
      <c r="T281" s="16"/>
      <c r="U281" s="16"/>
      <c r="V281" s="16"/>
      <c r="W281" s="16"/>
      <c r="X281" s="16"/>
      <c r="Y281" s="16"/>
      <c r="Z281" s="16"/>
      <c r="AA281" s="16"/>
      <c r="AB281" s="16"/>
      <c r="AC281" s="16"/>
      <c r="AD281" s="16"/>
      <c r="AE281" s="16"/>
      <c r="AF281" s="16"/>
      <c r="AG281" s="16"/>
      <c r="AH281" s="16"/>
      <c r="AI281" s="16"/>
      <c r="AJ281" s="16"/>
    </row>
    <row r="282" ht="12.75" customHeight="1" spans="1:36" x14ac:dyDescent="0.25">
      <c r="A282" s="16"/>
      <c r="B282" s="16"/>
      <c r="C282" s="16"/>
      <c r="D282" s="16"/>
      <c r="E282" s="16"/>
      <c r="F282" s="16"/>
      <c r="G282" s="16"/>
      <c r="H282" s="16"/>
      <c r="I282" s="16"/>
      <c r="J282" s="16"/>
      <c r="K282" s="16"/>
      <c r="L282" s="16"/>
      <c r="M282" s="16"/>
      <c r="N282" s="16"/>
      <c r="O282" s="16"/>
      <c r="P282" s="16"/>
      <c r="Q282" s="16"/>
      <c r="R282" s="16"/>
      <c r="S282" s="16"/>
      <c r="T282" s="16"/>
      <c r="U282" s="16"/>
      <c r="V282" s="16"/>
      <c r="W282" s="16"/>
      <c r="X282" s="16"/>
      <c r="Y282" s="16"/>
      <c r="Z282" s="16"/>
      <c r="AA282" s="16"/>
      <c r="AB282" s="16"/>
      <c r="AC282" s="16"/>
      <c r="AD282" s="16"/>
      <c r="AE282" s="16"/>
      <c r="AF282" s="16"/>
      <c r="AG282" s="16"/>
      <c r="AH282" s="16"/>
      <c r="AI282" s="16"/>
      <c r="AJ282" s="16"/>
    </row>
    <row r="283" ht="12.75" customHeight="1" spans="1:36" x14ac:dyDescent="0.25">
      <c r="A283" s="16"/>
      <c r="B283" s="16"/>
      <c r="C283" s="16"/>
      <c r="D283" s="16"/>
      <c r="E283" s="16"/>
      <c r="F283" s="16"/>
      <c r="G283" s="16"/>
      <c r="H283" s="16"/>
      <c r="I283" s="16"/>
      <c r="J283" s="16"/>
      <c r="K283" s="16"/>
      <c r="L283" s="16"/>
      <c r="M283" s="16"/>
      <c r="N283" s="16"/>
      <c r="O283" s="16"/>
      <c r="P283" s="16"/>
      <c r="Q283" s="16"/>
      <c r="R283" s="16"/>
      <c r="S283" s="16"/>
      <c r="T283" s="16"/>
      <c r="U283" s="16"/>
      <c r="V283" s="16"/>
      <c r="W283" s="16"/>
      <c r="X283" s="16"/>
      <c r="Y283" s="16"/>
      <c r="Z283" s="16"/>
      <c r="AA283" s="16"/>
      <c r="AB283" s="16"/>
      <c r="AC283" s="16"/>
      <c r="AD283" s="16"/>
      <c r="AE283" s="16"/>
      <c r="AF283" s="16"/>
      <c r="AG283" s="16"/>
      <c r="AH283" s="16"/>
      <c r="AI283" s="16"/>
      <c r="AJ283" s="16"/>
    </row>
    <row r="284" ht="12.75" customHeight="1" spans="1:36" x14ac:dyDescent="0.25">
      <c r="A284" s="16"/>
      <c r="B284" s="16"/>
      <c r="C284" s="16"/>
      <c r="D284" s="16"/>
      <c r="E284" s="16"/>
      <c r="F284" s="16"/>
      <c r="G284" s="16"/>
      <c r="H284" s="16"/>
      <c r="I284" s="16"/>
      <c r="J284" s="16"/>
      <c r="K284" s="16"/>
      <c r="L284" s="16"/>
      <c r="M284" s="16"/>
      <c r="N284" s="16"/>
      <c r="O284" s="16"/>
      <c r="P284" s="16"/>
      <c r="Q284" s="16"/>
      <c r="R284" s="16"/>
      <c r="S284" s="16"/>
      <c r="T284" s="16"/>
      <c r="U284" s="16"/>
      <c r="V284" s="16"/>
      <c r="W284" s="16"/>
      <c r="X284" s="16"/>
      <c r="Y284" s="16"/>
      <c r="Z284" s="16"/>
      <c r="AA284" s="16"/>
      <c r="AB284" s="16"/>
      <c r="AC284" s="16"/>
      <c r="AD284" s="16"/>
      <c r="AE284" s="16"/>
      <c r="AF284" s="16"/>
      <c r="AG284" s="16"/>
      <c r="AH284" s="16"/>
      <c r="AI284" s="16"/>
      <c r="AJ284" s="16"/>
    </row>
    <row r="285" ht="12.75" customHeight="1" spans="1:36" x14ac:dyDescent="0.25">
      <c r="A285" s="16"/>
      <c r="B285" s="16"/>
      <c r="C285" s="16"/>
      <c r="D285" s="16"/>
      <c r="E285" s="16"/>
      <c r="F285" s="16"/>
      <c r="G285" s="16"/>
      <c r="H285" s="16"/>
      <c r="I285" s="16"/>
      <c r="J285" s="16"/>
      <c r="K285" s="16"/>
      <c r="L285" s="16"/>
      <c r="M285" s="16"/>
      <c r="N285" s="16"/>
      <c r="O285" s="16"/>
      <c r="P285" s="16"/>
      <c r="Q285" s="16"/>
      <c r="R285" s="16"/>
      <c r="S285" s="16"/>
      <c r="T285" s="16"/>
      <c r="U285" s="16"/>
      <c r="V285" s="16"/>
      <c r="W285" s="16"/>
      <c r="X285" s="16"/>
      <c r="Y285" s="16"/>
      <c r="Z285" s="16"/>
      <c r="AA285" s="16"/>
      <c r="AB285" s="16"/>
      <c r="AC285" s="16"/>
      <c r="AD285" s="16"/>
      <c r="AE285" s="16"/>
      <c r="AF285" s="16"/>
      <c r="AG285" s="16"/>
      <c r="AH285" s="16"/>
      <c r="AI285" s="16"/>
      <c r="AJ285" s="16"/>
    </row>
    <row r="286" ht="12.75" customHeight="1" spans="1:36" x14ac:dyDescent="0.25">
      <c r="A286" s="16"/>
      <c r="B286" s="16"/>
      <c r="C286" s="16"/>
      <c r="D286" s="16"/>
      <c r="E286" s="16"/>
      <c r="F286" s="16"/>
      <c r="G286" s="16"/>
      <c r="H286" s="16"/>
      <c r="I286" s="16"/>
      <c r="J286" s="16"/>
      <c r="K286" s="16"/>
      <c r="L286" s="16"/>
      <c r="M286" s="16"/>
      <c r="N286" s="16"/>
      <c r="O286" s="16"/>
      <c r="P286" s="16"/>
      <c r="Q286" s="16"/>
      <c r="R286" s="16"/>
      <c r="S286" s="16"/>
      <c r="T286" s="16"/>
      <c r="U286" s="16"/>
      <c r="V286" s="16"/>
      <c r="W286" s="16"/>
      <c r="X286" s="16"/>
      <c r="Y286" s="16"/>
      <c r="Z286" s="16"/>
      <c r="AA286" s="16"/>
      <c r="AB286" s="16"/>
      <c r="AC286" s="16"/>
      <c r="AD286" s="16"/>
      <c r="AE286" s="16"/>
      <c r="AF286" s="16"/>
      <c r="AG286" s="16"/>
      <c r="AH286" s="16"/>
      <c r="AI286" s="16"/>
      <c r="AJ286" s="16"/>
    </row>
    <row r="287" ht="12.75" customHeight="1" spans="1:36" x14ac:dyDescent="0.25">
      <c r="A287" s="16"/>
      <c r="B287" s="16"/>
      <c r="C287" s="16"/>
      <c r="D287" s="16"/>
      <c r="E287" s="16"/>
      <c r="F287" s="16"/>
      <c r="G287" s="16"/>
      <c r="H287" s="16"/>
      <c r="I287" s="16"/>
      <c r="J287" s="16"/>
      <c r="K287" s="16"/>
      <c r="L287" s="16"/>
      <c r="M287" s="16"/>
      <c r="N287" s="16"/>
      <c r="O287" s="16"/>
      <c r="P287" s="16"/>
      <c r="Q287" s="16"/>
      <c r="R287" s="16"/>
      <c r="S287" s="16"/>
      <c r="T287" s="16"/>
      <c r="U287" s="16"/>
      <c r="V287" s="16"/>
      <c r="W287" s="16"/>
      <c r="X287" s="16"/>
      <c r="Y287" s="16"/>
      <c r="Z287" s="16"/>
      <c r="AA287" s="16"/>
      <c r="AB287" s="16"/>
      <c r="AC287" s="16"/>
      <c r="AD287" s="16"/>
      <c r="AE287" s="16"/>
      <c r="AF287" s="16"/>
      <c r="AG287" s="16"/>
      <c r="AH287" s="16"/>
      <c r="AI287" s="16"/>
      <c r="AJ287" s="16"/>
    </row>
    <row r="288" ht="12.75" customHeight="1" spans="1:36" x14ac:dyDescent="0.25">
      <c r="A288" s="16"/>
      <c r="B288" s="16"/>
      <c r="C288" s="16"/>
      <c r="D288" s="16"/>
      <c r="E288" s="16"/>
      <c r="F288" s="16"/>
      <c r="G288" s="16"/>
      <c r="H288" s="16"/>
      <c r="I288" s="16"/>
      <c r="J288" s="16"/>
      <c r="K288" s="16"/>
      <c r="L288" s="16"/>
      <c r="M288" s="16"/>
      <c r="N288" s="16"/>
      <c r="O288" s="16"/>
      <c r="P288" s="16"/>
      <c r="Q288" s="16"/>
      <c r="R288" s="16"/>
      <c r="S288" s="16"/>
      <c r="T288" s="16"/>
      <c r="U288" s="16"/>
      <c r="V288" s="16"/>
      <c r="W288" s="16"/>
      <c r="X288" s="16"/>
      <c r="Y288" s="16"/>
      <c r="Z288" s="16"/>
      <c r="AA288" s="16"/>
      <c r="AB288" s="16"/>
      <c r="AC288" s="16"/>
      <c r="AD288" s="16"/>
      <c r="AE288" s="16"/>
      <c r="AF288" s="16"/>
      <c r="AG288" s="16"/>
      <c r="AH288" s="16"/>
      <c r="AI288" s="16"/>
      <c r="AJ288" s="16"/>
    </row>
    <row r="289" ht="12.75" customHeight="1" spans="1:36" x14ac:dyDescent="0.25">
      <c r="A289" s="16"/>
      <c r="B289" s="16"/>
      <c r="C289" s="16"/>
      <c r="D289" s="16"/>
      <c r="E289" s="16"/>
      <c r="F289" s="16"/>
      <c r="G289" s="16"/>
      <c r="H289" s="16"/>
      <c r="I289" s="16"/>
      <c r="J289" s="16"/>
      <c r="K289" s="16"/>
      <c r="L289" s="16"/>
      <c r="M289" s="16"/>
      <c r="N289" s="16"/>
      <c r="O289" s="16"/>
      <c r="P289" s="16"/>
      <c r="Q289" s="16"/>
      <c r="R289" s="16"/>
      <c r="S289" s="16"/>
      <c r="T289" s="16"/>
      <c r="U289" s="16"/>
      <c r="V289" s="16"/>
      <c r="W289" s="16"/>
      <c r="X289" s="16"/>
      <c r="Y289" s="16"/>
      <c r="Z289" s="16"/>
      <c r="AA289" s="16"/>
      <c r="AB289" s="16"/>
      <c r="AC289" s="16"/>
      <c r="AD289" s="16"/>
      <c r="AE289" s="16"/>
      <c r="AF289" s="16"/>
      <c r="AG289" s="16"/>
      <c r="AH289" s="16"/>
      <c r="AI289" s="16"/>
      <c r="AJ289" s="16"/>
    </row>
    <row r="290" ht="12.75" customHeight="1" spans="1:36" x14ac:dyDescent="0.25">
      <c r="A290" s="16"/>
      <c r="B290" s="16"/>
      <c r="C290" s="16"/>
      <c r="D290" s="16"/>
      <c r="E290" s="16"/>
      <c r="F290" s="16"/>
      <c r="G290" s="16"/>
      <c r="H290" s="16"/>
      <c r="I290" s="16"/>
      <c r="J290" s="16"/>
      <c r="K290" s="16"/>
      <c r="L290" s="16"/>
      <c r="M290" s="16"/>
      <c r="N290" s="16"/>
      <c r="O290" s="16"/>
      <c r="P290" s="16"/>
      <c r="Q290" s="16"/>
      <c r="R290" s="16"/>
      <c r="S290" s="16"/>
      <c r="T290" s="16"/>
      <c r="U290" s="16"/>
      <c r="V290" s="16"/>
      <c r="W290" s="16"/>
      <c r="X290" s="16"/>
      <c r="Y290" s="16"/>
      <c r="Z290" s="16"/>
      <c r="AA290" s="16"/>
      <c r="AB290" s="16"/>
      <c r="AC290" s="16"/>
      <c r="AD290" s="16"/>
      <c r="AE290" s="16"/>
      <c r="AF290" s="16"/>
      <c r="AG290" s="16"/>
      <c r="AH290" s="16"/>
      <c r="AI290" s="16"/>
      <c r="AJ290" s="16"/>
    </row>
    <row r="291" ht="12.75" customHeight="1" spans="1:36" x14ac:dyDescent="0.25">
      <c r="A291" s="16"/>
      <c r="B291" s="16"/>
      <c r="C291" s="16"/>
      <c r="D291" s="16"/>
      <c r="E291" s="16"/>
      <c r="F291" s="16"/>
      <c r="G291" s="16"/>
      <c r="H291" s="16"/>
      <c r="I291" s="16"/>
      <c r="J291" s="16"/>
      <c r="K291" s="16"/>
      <c r="L291" s="16"/>
      <c r="M291" s="16"/>
      <c r="N291" s="16"/>
      <c r="O291" s="16"/>
      <c r="P291" s="16"/>
      <c r="Q291" s="16"/>
      <c r="R291" s="16"/>
      <c r="S291" s="16"/>
      <c r="T291" s="16"/>
      <c r="U291" s="16"/>
      <c r="V291" s="16"/>
      <c r="W291" s="16"/>
      <c r="X291" s="16"/>
      <c r="Y291" s="16"/>
      <c r="Z291" s="16"/>
      <c r="AA291" s="16"/>
      <c r="AB291" s="16"/>
      <c r="AC291" s="16"/>
      <c r="AD291" s="16"/>
      <c r="AE291" s="16"/>
      <c r="AF291" s="16"/>
      <c r="AG291" s="16"/>
      <c r="AH291" s="16"/>
      <c r="AI291" s="16"/>
      <c r="AJ291" s="16"/>
    </row>
    <row r="292" ht="12.75" customHeight="1" spans="1:36" x14ac:dyDescent="0.25">
      <c r="A292" s="16"/>
      <c r="B292" s="16"/>
      <c r="C292" s="16"/>
      <c r="D292" s="16"/>
      <c r="E292" s="16"/>
      <c r="F292" s="16"/>
      <c r="G292" s="16"/>
      <c r="H292" s="16"/>
      <c r="I292" s="16"/>
      <c r="J292" s="16"/>
      <c r="K292" s="16"/>
      <c r="L292" s="16"/>
      <c r="M292" s="16"/>
      <c r="N292" s="16"/>
      <c r="O292" s="16"/>
      <c r="P292" s="16"/>
      <c r="Q292" s="16"/>
      <c r="R292" s="16"/>
      <c r="S292" s="16"/>
      <c r="T292" s="16"/>
      <c r="U292" s="16"/>
      <c r="V292" s="16"/>
      <c r="W292" s="16"/>
      <c r="X292" s="16"/>
      <c r="Y292" s="16"/>
      <c r="Z292" s="16"/>
      <c r="AA292" s="16"/>
      <c r="AB292" s="16"/>
      <c r="AC292" s="16"/>
      <c r="AD292" s="16"/>
      <c r="AE292" s="16"/>
      <c r="AF292" s="16"/>
      <c r="AG292" s="16"/>
      <c r="AH292" s="16"/>
      <c r="AI292" s="16"/>
      <c r="AJ292" s="16"/>
    </row>
    <row r="293" ht="12.75" customHeight="1" spans="1:36" x14ac:dyDescent="0.25">
      <c r="A293" s="16"/>
      <c r="B293" s="16"/>
      <c r="C293" s="16"/>
      <c r="D293" s="16"/>
      <c r="E293" s="16"/>
      <c r="F293" s="16"/>
      <c r="G293" s="16"/>
      <c r="H293" s="16"/>
      <c r="I293" s="16"/>
      <c r="J293" s="16"/>
      <c r="K293" s="16"/>
      <c r="L293" s="16"/>
      <c r="M293" s="16"/>
      <c r="N293" s="16"/>
      <c r="O293" s="16"/>
      <c r="P293" s="16"/>
      <c r="Q293" s="16"/>
      <c r="R293" s="16"/>
      <c r="S293" s="16"/>
      <c r="T293" s="16"/>
      <c r="U293" s="16"/>
      <c r="V293" s="16"/>
      <c r="W293" s="16"/>
      <c r="X293" s="16"/>
      <c r="Y293" s="16"/>
      <c r="Z293" s="16"/>
      <c r="AA293" s="16"/>
      <c r="AB293" s="16"/>
      <c r="AC293" s="16"/>
      <c r="AD293" s="16"/>
      <c r="AE293" s="16"/>
      <c r="AF293" s="16"/>
      <c r="AG293" s="16"/>
      <c r="AH293" s="16"/>
      <c r="AI293" s="16"/>
      <c r="AJ293" s="16"/>
    </row>
    <row r="294" ht="12.75" customHeight="1" spans="1:36" x14ac:dyDescent="0.25">
      <c r="A294" s="16"/>
      <c r="B294" s="16"/>
      <c r="C294" s="16"/>
      <c r="D294" s="16"/>
      <c r="E294" s="16"/>
      <c r="F294" s="16"/>
      <c r="G294" s="16"/>
      <c r="H294" s="16"/>
      <c r="I294" s="16"/>
      <c r="J294" s="16"/>
      <c r="K294" s="16"/>
      <c r="L294" s="16"/>
      <c r="M294" s="16"/>
      <c r="N294" s="16"/>
      <c r="O294" s="16"/>
      <c r="P294" s="16"/>
      <c r="Q294" s="16"/>
      <c r="R294" s="16"/>
      <c r="S294" s="16"/>
      <c r="T294" s="16"/>
      <c r="U294" s="16"/>
      <c r="V294" s="16"/>
      <c r="W294" s="16"/>
      <c r="X294" s="16"/>
      <c r="Y294" s="16"/>
      <c r="Z294" s="16"/>
      <c r="AA294" s="16"/>
      <c r="AB294" s="16"/>
      <c r="AC294" s="16"/>
      <c r="AD294" s="16"/>
      <c r="AE294" s="16"/>
      <c r="AF294" s="16"/>
      <c r="AG294" s="16"/>
      <c r="AH294" s="16"/>
      <c r="AI294" s="16"/>
      <c r="AJ294" s="16"/>
    </row>
    <row r="295" ht="12.75" customHeight="1" spans="1:36" x14ac:dyDescent="0.25">
      <c r="A295" s="16"/>
      <c r="B295" s="16"/>
      <c r="C295" s="16"/>
      <c r="D295" s="16"/>
      <c r="E295" s="16"/>
      <c r="F295" s="16"/>
      <c r="G295" s="16"/>
      <c r="H295" s="16"/>
      <c r="I295" s="16"/>
      <c r="J295" s="16"/>
      <c r="K295" s="16"/>
      <c r="L295" s="16"/>
      <c r="M295" s="16"/>
      <c r="N295" s="16"/>
      <c r="O295" s="16"/>
      <c r="P295" s="16"/>
      <c r="Q295" s="16"/>
      <c r="R295" s="16"/>
      <c r="S295" s="16"/>
      <c r="T295" s="16"/>
      <c r="U295" s="16"/>
      <c r="V295" s="16"/>
      <c r="W295" s="16"/>
      <c r="X295" s="16"/>
      <c r="Y295" s="16"/>
      <c r="Z295" s="16"/>
      <c r="AA295" s="16"/>
      <c r="AB295" s="16"/>
      <c r="AC295" s="16"/>
      <c r="AD295" s="16"/>
      <c r="AE295" s="16"/>
      <c r="AF295" s="16"/>
      <c r="AG295" s="16"/>
      <c r="AH295" s="16"/>
      <c r="AI295" s="16"/>
      <c r="AJ295" s="16"/>
    </row>
    <row r="296" ht="12.75" customHeight="1" spans="1:36" x14ac:dyDescent="0.25">
      <c r="A296" s="16"/>
      <c r="B296" s="16"/>
      <c r="C296" s="16"/>
      <c r="D296" s="16"/>
      <c r="E296" s="16"/>
      <c r="F296" s="16"/>
      <c r="G296" s="16"/>
      <c r="H296" s="16"/>
      <c r="I296" s="16"/>
      <c r="J296" s="16"/>
      <c r="K296" s="16"/>
      <c r="L296" s="16"/>
      <c r="M296" s="16"/>
      <c r="N296" s="16"/>
      <c r="O296" s="16"/>
      <c r="P296" s="16"/>
      <c r="Q296" s="16"/>
      <c r="R296" s="16"/>
      <c r="S296" s="16"/>
      <c r="T296" s="16"/>
      <c r="U296" s="16"/>
      <c r="V296" s="16"/>
      <c r="W296" s="16"/>
      <c r="X296" s="16"/>
      <c r="Y296" s="16"/>
      <c r="Z296" s="16"/>
      <c r="AA296" s="16"/>
      <c r="AB296" s="16"/>
      <c r="AC296" s="16"/>
      <c r="AD296" s="16"/>
      <c r="AE296" s="16"/>
      <c r="AF296" s="16"/>
      <c r="AG296" s="16"/>
      <c r="AH296" s="16"/>
      <c r="AI296" s="16"/>
      <c r="AJ296" s="16"/>
    </row>
    <row r="297" ht="12.75" customHeight="1" spans="1:36" x14ac:dyDescent="0.25">
      <c r="A297" s="16"/>
      <c r="B297" s="16"/>
      <c r="C297" s="16"/>
      <c r="D297" s="16"/>
      <c r="E297" s="16"/>
      <c r="F297" s="16"/>
      <c r="G297" s="16"/>
      <c r="H297" s="16"/>
      <c r="I297" s="16"/>
      <c r="J297" s="16"/>
      <c r="K297" s="16"/>
      <c r="L297" s="16"/>
      <c r="M297" s="16"/>
      <c r="N297" s="16"/>
      <c r="O297" s="16"/>
      <c r="P297" s="16"/>
      <c r="Q297" s="16"/>
      <c r="R297" s="16"/>
      <c r="S297" s="16"/>
      <c r="T297" s="16"/>
      <c r="U297" s="16"/>
      <c r="V297" s="16"/>
      <c r="W297" s="16"/>
      <c r="X297" s="16"/>
      <c r="Y297" s="16"/>
      <c r="Z297" s="16"/>
      <c r="AA297" s="16"/>
      <c r="AB297" s="16"/>
      <c r="AC297" s="16"/>
      <c r="AD297" s="16"/>
      <c r="AE297" s="16"/>
      <c r="AF297" s="16"/>
      <c r="AG297" s="16"/>
      <c r="AH297" s="16"/>
      <c r="AI297" s="16"/>
      <c r="AJ297" s="16"/>
    </row>
    <row r="298" ht="12.75" customHeight="1" spans="1:36" x14ac:dyDescent="0.25">
      <c r="A298" s="16"/>
      <c r="B298" s="16"/>
      <c r="C298" s="16"/>
      <c r="D298" s="16"/>
      <c r="E298" s="16"/>
      <c r="F298" s="16"/>
      <c r="G298" s="16"/>
      <c r="H298" s="16"/>
      <c r="I298" s="16"/>
      <c r="J298" s="16"/>
      <c r="K298" s="16"/>
      <c r="L298" s="16"/>
      <c r="M298" s="16"/>
      <c r="N298" s="16"/>
      <c r="O298" s="16"/>
      <c r="P298" s="16"/>
      <c r="Q298" s="16"/>
      <c r="R298" s="16"/>
      <c r="S298" s="16"/>
      <c r="T298" s="16"/>
      <c r="U298" s="16"/>
      <c r="V298" s="16"/>
      <c r="W298" s="16"/>
      <c r="X298" s="16"/>
      <c r="Y298" s="16"/>
      <c r="Z298" s="16"/>
      <c r="AA298" s="16"/>
      <c r="AB298" s="16"/>
      <c r="AC298" s="16"/>
      <c r="AD298" s="16"/>
      <c r="AE298" s="16"/>
      <c r="AF298" s="16"/>
      <c r="AG298" s="16"/>
      <c r="AH298" s="16"/>
      <c r="AI298" s="16"/>
      <c r="AJ298" s="16"/>
    </row>
    <row r="299" ht="12.75" customHeight="1" spans="1:36" x14ac:dyDescent="0.25">
      <c r="A299" s="16"/>
      <c r="B299" s="16"/>
      <c r="C299" s="16"/>
      <c r="D299" s="16"/>
      <c r="E299" s="16"/>
      <c r="F299" s="16"/>
      <c r="G299" s="16"/>
      <c r="H299" s="16"/>
      <c r="I299" s="16"/>
      <c r="J299" s="16"/>
      <c r="K299" s="16"/>
      <c r="L299" s="16"/>
      <c r="M299" s="16"/>
      <c r="N299" s="16"/>
      <c r="O299" s="16"/>
      <c r="P299" s="16"/>
      <c r="Q299" s="16"/>
      <c r="R299" s="16"/>
      <c r="S299" s="16"/>
      <c r="T299" s="16"/>
      <c r="U299" s="16"/>
      <c r="V299" s="16"/>
      <c r="W299" s="16"/>
      <c r="X299" s="16"/>
      <c r="Y299" s="16"/>
      <c r="Z299" s="16"/>
      <c r="AA299" s="16"/>
      <c r="AB299" s="16"/>
      <c r="AC299" s="16"/>
      <c r="AD299" s="16"/>
      <c r="AE299" s="16"/>
      <c r="AF299" s="16"/>
      <c r="AG299" s="16"/>
      <c r="AH299" s="16"/>
      <c r="AI299" s="16"/>
      <c r="AJ299" s="16"/>
    </row>
    <row r="300" ht="12.75" customHeight="1" spans="1:36" x14ac:dyDescent="0.25">
      <c r="A300" s="16"/>
      <c r="B300" s="16"/>
      <c r="C300" s="16"/>
      <c r="D300" s="16"/>
      <c r="E300" s="16"/>
      <c r="F300" s="16"/>
      <c r="G300" s="16"/>
      <c r="H300" s="16"/>
      <c r="I300" s="16"/>
      <c r="J300" s="16"/>
      <c r="K300" s="16"/>
      <c r="L300" s="16"/>
      <c r="M300" s="16"/>
      <c r="N300" s="16"/>
      <c r="O300" s="16"/>
      <c r="P300" s="16"/>
      <c r="Q300" s="16"/>
      <c r="R300" s="16"/>
      <c r="S300" s="16"/>
      <c r="T300" s="16"/>
      <c r="U300" s="16"/>
      <c r="V300" s="16"/>
      <c r="W300" s="16"/>
      <c r="X300" s="16"/>
      <c r="Y300" s="16"/>
      <c r="Z300" s="16"/>
      <c r="AA300" s="16"/>
      <c r="AB300" s="16"/>
      <c r="AC300" s="16"/>
      <c r="AD300" s="16"/>
      <c r="AE300" s="16"/>
      <c r="AF300" s="16"/>
      <c r="AG300" s="16"/>
      <c r="AH300" s="16"/>
      <c r="AI300" s="16"/>
      <c r="AJ300" s="16"/>
    </row>
    <row r="301" ht="12.75" customHeight="1" spans="1:36" x14ac:dyDescent="0.25">
      <c r="A301" s="16"/>
      <c r="B301" s="16"/>
      <c r="C301" s="16"/>
      <c r="D301" s="16"/>
      <c r="E301" s="16"/>
      <c r="F301" s="16"/>
      <c r="G301" s="16"/>
      <c r="H301" s="16"/>
      <c r="I301" s="16"/>
      <c r="J301" s="16"/>
      <c r="K301" s="16"/>
      <c r="L301" s="16"/>
      <c r="M301" s="16"/>
      <c r="N301" s="16"/>
      <c r="O301" s="16"/>
      <c r="P301" s="16"/>
      <c r="Q301" s="16"/>
      <c r="R301" s="16"/>
      <c r="S301" s="16"/>
      <c r="T301" s="16"/>
      <c r="U301" s="16"/>
      <c r="V301" s="16"/>
      <c r="W301" s="16"/>
      <c r="X301" s="16"/>
      <c r="Y301" s="16"/>
      <c r="Z301" s="16"/>
      <c r="AA301" s="16"/>
      <c r="AB301" s="16"/>
      <c r="AC301" s="16"/>
      <c r="AD301" s="16"/>
      <c r="AE301" s="16"/>
      <c r="AF301" s="16"/>
      <c r="AG301" s="16"/>
      <c r="AH301" s="16"/>
      <c r="AI301" s="16"/>
      <c r="AJ301" s="16"/>
    </row>
    <row r="302" ht="12.75" customHeight="1" spans="1:36" x14ac:dyDescent="0.25">
      <c r="A302" s="16"/>
      <c r="B302" s="16"/>
      <c r="C302" s="16"/>
      <c r="D302" s="16"/>
      <c r="E302" s="16"/>
      <c r="F302" s="16"/>
      <c r="G302" s="16"/>
      <c r="H302" s="16"/>
      <c r="I302" s="16"/>
      <c r="J302" s="16"/>
      <c r="K302" s="16"/>
      <c r="L302" s="16"/>
      <c r="M302" s="16"/>
      <c r="N302" s="16"/>
      <c r="O302" s="16"/>
      <c r="P302" s="16"/>
      <c r="Q302" s="16"/>
      <c r="R302" s="16"/>
      <c r="S302" s="16"/>
      <c r="T302" s="16"/>
      <c r="U302" s="16"/>
      <c r="V302" s="16"/>
      <c r="W302" s="16"/>
      <c r="X302" s="16"/>
      <c r="Y302" s="16"/>
      <c r="Z302" s="16"/>
      <c r="AA302" s="16"/>
      <c r="AB302" s="16"/>
      <c r="AC302" s="16"/>
      <c r="AD302" s="16"/>
      <c r="AE302" s="16"/>
      <c r="AF302" s="16"/>
      <c r="AG302" s="16"/>
      <c r="AH302" s="16"/>
      <c r="AI302" s="16"/>
      <c r="AJ302" s="16"/>
    </row>
    <row r="303" ht="12.75" customHeight="1" spans="1:36" x14ac:dyDescent="0.25">
      <c r="A303" s="16"/>
      <c r="B303" s="16"/>
      <c r="C303" s="16"/>
      <c r="D303" s="16"/>
      <c r="E303" s="16"/>
      <c r="F303" s="16"/>
      <c r="G303" s="16"/>
      <c r="H303" s="16"/>
      <c r="I303" s="16"/>
      <c r="J303" s="16"/>
      <c r="K303" s="16"/>
      <c r="L303" s="16"/>
      <c r="M303" s="16"/>
      <c r="N303" s="16"/>
      <c r="O303" s="16"/>
      <c r="P303" s="16"/>
      <c r="Q303" s="16"/>
      <c r="R303" s="16"/>
      <c r="S303" s="16"/>
      <c r="T303" s="16"/>
      <c r="U303" s="16"/>
      <c r="V303" s="16"/>
      <c r="W303" s="16"/>
      <c r="X303" s="16"/>
      <c r="Y303" s="16"/>
      <c r="Z303" s="16"/>
      <c r="AA303" s="16"/>
      <c r="AB303" s="16"/>
      <c r="AC303" s="16"/>
      <c r="AD303" s="16"/>
      <c r="AE303" s="16"/>
      <c r="AF303" s="16"/>
      <c r="AG303" s="16"/>
      <c r="AH303" s="16"/>
      <c r="AI303" s="16"/>
      <c r="AJ303" s="16"/>
    </row>
    <row r="304" ht="12.75" customHeight="1" spans="1:36" x14ac:dyDescent="0.25">
      <c r="A304" s="16"/>
      <c r="B304" s="16"/>
      <c r="C304" s="16"/>
      <c r="D304" s="16"/>
      <c r="E304" s="16"/>
      <c r="F304" s="16"/>
      <c r="G304" s="16"/>
      <c r="H304" s="16"/>
      <c r="I304" s="16"/>
      <c r="J304" s="16"/>
      <c r="K304" s="16"/>
      <c r="L304" s="16"/>
      <c r="M304" s="16"/>
      <c r="N304" s="16"/>
      <c r="O304" s="16"/>
      <c r="P304" s="16"/>
      <c r="Q304" s="16"/>
      <c r="R304" s="16"/>
      <c r="S304" s="16"/>
      <c r="T304" s="16"/>
      <c r="U304" s="16"/>
      <c r="V304" s="16"/>
      <c r="W304" s="16"/>
      <c r="X304" s="16"/>
      <c r="Y304" s="16"/>
      <c r="Z304" s="16"/>
      <c r="AA304" s="16"/>
      <c r="AB304" s="16"/>
      <c r="AC304" s="16"/>
      <c r="AD304" s="16"/>
      <c r="AE304" s="16"/>
      <c r="AF304" s="16"/>
      <c r="AG304" s="16"/>
      <c r="AH304" s="16"/>
      <c r="AI304" s="16"/>
      <c r="AJ304" s="16"/>
    </row>
    <row r="305" ht="12.75" customHeight="1" spans="1:36" x14ac:dyDescent="0.25">
      <c r="A305" s="16"/>
      <c r="B305" s="16"/>
      <c r="C305" s="16"/>
      <c r="D305" s="16"/>
      <c r="E305" s="16"/>
      <c r="F305" s="16"/>
      <c r="G305" s="16"/>
      <c r="H305" s="16"/>
      <c r="I305" s="16"/>
      <c r="J305" s="16"/>
      <c r="K305" s="16"/>
      <c r="L305" s="16"/>
      <c r="M305" s="16"/>
      <c r="N305" s="16"/>
      <c r="O305" s="16"/>
      <c r="P305" s="16"/>
      <c r="Q305" s="16"/>
      <c r="R305" s="16"/>
      <c r="S305" s="16"/>
      <c r="T305" s="16"/>
      <c r="U305" s="16"/>
      <c r="V305" s="16"/>
      <c r="W305" s="16"/>
      <c r="X305" s="16"/>
      <c r="Y305" s="16"/>
      <c r="Z305" s="16"/>
      <c r="AA305" s="16"/>
      <c r="AB305" s="16"/>
      <c r="AC305" s="16"/>
      <c r="AD305" s="16"/>
      <c r="AE305" s="16"/>
      <c r="AF305" s="16"/>
      <c r="AG305" s="16"/>
      <c r="AH305" s="16"/>
      <c r="AI305" s="16"/>
      <c r="AJ305" s="16"/>
    </row>
    <row r="306" ht="12.75" customHeight="1" spans="1:36" x14ac:dyDescent="0.25">
      <c r="A306" s="16"/>
      <c r="B306" s="16"/>
      <c r="C306" s="16"/>
      <c r="D306" s="16"/>
      <c r="E306" s="16"/>
      <c r="F306" s="16"/>
      <c r="G306" s="16"/>
      <c r="H306" s="16"/>
      <c r="I306" s="16"/>
      <c r="J306" s="16"/>
      <c r="K306" s="16"/>
      <c r="L306" s="16"/>
      <c r="M306" s="16"/>
      <c r="N306" s="16"/>
      <c r="O306" s="16"/>
      <c r="P306" s="16"/>
      <c r="Q306" s="16"/>
      <c r="R306" s="16"/>
      <c r="S306" s="16"/>
      <c r="T306" s="16"/>
      <c r="U306" s="16"/>
      <c r="V306" s="16"/>
      <c r="W306" s="16"/>
      <c r="X306" s="16"/>
      <c r="Y306" s="16"/>
      <c r="Z306" s="16"/>
      <c r="AA306" s="16"/>
      <c r="AB306" s="16"/>
      <c r="AC306" s="16"/>
      <c r="AD306" s="16"/>
      <c r="AE306" s="16"/>
      <c r="AF306" s="16"/>
      <c r="AG306" s="16"/>
      <c r="AH306" s="16"/>
      <c r="AI306" s="16"/>
      <c r="AJ306" s="16"/>
    </row>
    <row r="307" ht="12.75" customHeight="1" spans="1:36" x14ac:dyDescent="0.25">
      <c r="A307" s="16"/>
      <c r="B307" s="16"/>
      <c r="C307" s="16"/>
      <c r="D307" s="16"/>
      <c r="E307" s="16"/>
      <c r="F307" s="16"/>
      <c r="G307" s="16"/>
      <c r="H307" s="16"/>
      <c r="I307" s="16"/>
      <c r="J307" s="16"/>
      <c r="K307" s="16"/>
      <c r="L307" s="16"/>
      <c r="M307" s="16"/>
      <c r="N307" s="16"/>
      <c r="O307" s="16"/>
      <c r="P307" s="16"/>
      <c r="Q307" s="16"/>
      <c r="R307" s="16"/>
      <c r="S307" s="16"/>
      <c r="T307" s="16"/>
      <c r="U307" s="16"/>
      <c r="V307" s="16"/>
      <c r="W307" s="16"/>
      <c r="X307" s="16"/>
      <c r="Y307" s="16"/>
      <c r="Z307" s="16"/>
      <c r="AA307" s="16"/>
      <c r="AB307" s="16"/>
      <c r="AC307" s="16"/>
      <c r="AD307" s="16"/>
      <c r="AE307" s="16"/>
      <c r="AF307" s="16"/>
      <c r="AG307" s="16"/>
      <c r="AH307" s="16"/>
      <c r="AI307" s="16"/>
      <c r="AJ307" s="16"/>
    </row>
    <row r="308" ht="12.75" customHeight="1" spans="1:36" x14ac:dyDescent="0.25">
      <c r="A308" s="16"/>
      <c r="B308" s="16"/>
      <c r="C308" s="16"/>
      <c r="D308" s="16"/>
      <c r="E308" s="16"/>
      <c r="F308" s="16"/>
      <c r="G308" s="16"/>
      <c r="H308" s="16"/>
      <c r="I308" s="16"/>
      <c r="J308" s="16"/>
      <c r="K308" s="16"/>
      <c r="L308" s="16"/>
      <c r="M308" s="16"/>
      <c r="N308" s="16"/>
      <c r="O308" s="16"/>
      <c r="P308" s="16"/>
      <c r="Q308" s="16"/>
      <c r="R308" s="16"/>
      <c r="S308" s="16"/>
      <c r="T308" s="16"/>
      <c r="U308" s="16"/>
      <c r="V308" s="16"/>
      <c r="W308" s="16"/>
      <c r="X308" s="16"/>
      <c r="Y308" s="16"/>
      <c r="Z308" s="16"/>
      <c r="AA308" s="16"/>
      <c r="AB308" s="16"/>
      <c r="AC308" s="16"/>
      <c r="AD308" s="16"/>
      <c r="AE308" s="16"/>
      <c r="AF308" s="16"/>
      <c r="AG308" s="16"/>
      <c r="AH308" s="16"/>
      <c r="AI308" s="16"/>
      <c r="AJ308" s="16"/>
    </row>
    <row r="309" ht="12.75" customHeight="1" spans="1:36" x14ac:dyDescent="0.25">
      <c r="A309" s="16"/>
      <c r="B309" s="16"/>
      <c r="C309" s="16"/>
      <c r="D309" s="16"/>
      <c r="E309" s="16"/>
      <c r="F309" s="16"/>
      <c r="G309" s="16"/>
      <c r="H309" s="16"/>
      <c r="I309" s="16"/>
      <c r="J309" s="16"/>
      <c r="K309" s="16"/>
      <c r="L309" s="16"/>
      <c r="M309" s="16"/>
      <c r="N309" s="16"/>
      <c r="O309" s="16"/>
      <c r="P309" s="16"/>
      <c r="Q309" s="16"/>
      <c r="R309" s="16"/>
      <c r="S309" s="16"/>
      <c r="T309" s="16"/>
      <c r="U309" s="16"/>
      <c r="V309" s="16"/>
      <c r="W309" s="16"/>
      <c r="X309" s="16"/>
      <c r="Y309" s="16"/>
      <c r="Z309" s="16"/>
      <c r="AA309" s="16"/>
      <c r="AB309" s="16"/>
      <c r="AC309" s="16"/>
      <c r="AD309" s="16"/>
      <c r="AE309" s="16"/>
      <c r="AF309" s="16"/>
      <c r="AG309" s="16"/>
      <c r="AH309" s="16"/>
      <c r="AI309" s="16"/>
      <c r="AJ309" s="16"/>
    </row>
    <row r="310" ht="12.75" customHeight="1" spans="1:36" x14ac:dyDescent="0.25">
      <c r="A310" s="16"/>
      <c r="B310" s="16"/>
      <c r="C310" s="16"/>
      <c r="D310" s="16"/>
      <c r="E310" s="16"/>
      <c r="F310" s="16"/>
      <c r="G310" s="16"/>
      <c r="H310" s="16"/>
      <c r="I310" s="16"/>
      <c r="J310" s="16"/>
      <c r="K310" s="16"/>
      <c r="L310" s="16"/>
      <c r="M310" s="16"/>
      <c r="N310" s="16"/>
      <c r="O310" s="16"/>
      <c r="P310" s="16"/>
      <c r="Q310" s="16"/>
      <c r="R310" s="16"/>
      <c r="S310" s="16"/>
      <c r="T310" s="16"/>
      <c r="U310" s="16"/>
      <c r="V310" s="16"/>
      <c r="W310" s="16"/>
      <c r="X310" s="16"/>
      <c r="Y310" s="16"/>
      <c r="Z310" s="16"/>
      <c r="AA310" s="16"/>
      <c r="AB310" s="16"/>
      <c r="AC310" s="16"/>
      <c r="AD310" s="16"/>
      <c r="AE310" s="16"/>
      <c r="AF310" s="16"/>
      <c r="AG310" s="16"/>
      <c r="AH310" s="16"/>
      <c r="AI310" s="16"/>
      <c r="AJ310" s="16"/>
    </row>
    <row r="311" ht="12.75" customHeight="1" spans="1:36" x14ac:dyDescent="0.25">
      <c r="A311" s="16"/>
      <c r="B311" s="16"/>
      <c r="C311" s="16"/>
      <c r="D311" s="16"/>
      <c r="E311" s="16"/>
      <c r="F311" s="16"/>
      <c r="G311" s="16"/>
      <c r="H311" s="16"/>
      <c r="I311" s="16"/>
      <c r="J311" s="16"/>
      <c r="K311" s="16"/>
      <c r="L311" s="16"/>
      <c r="M311" s="16"/>
      <c r="N311" s="16"/>
      <c r="O311" s="16"/>
      <c r="P311" s="16"/>
      <c r="Q311" s="16"/>
      <c r="R311" s="16"/>
      <c r="S311" s="16"/>
      <c r="T311" s="16"/>
      <c r="U311" s="16"/>
      <c r="V311" s="16"/>
      <c r="W311" s="16"/>
      <c r="X311" s="16"/>
      <c r="Y311" s="16"/>
      <c r="Z311" s="16"/>
      <c r="AA311" s="16"/>
      <c r="AB311" s="16"/>
      <c r="AC311" s="16"/>
      <c r="AD311" s="16"/>
      <c r="AE311" s="16"/>
      <c r="AF311" s="16"/>
      <c r="AG311" s="16"/>
      <c r="AH311" s="16"/>
      <c r="AI311" s="16"/>
      <c r="AJ311" s="16"/>
    </row>
    <row r="312" ht="12.75" customHeight="1" spans="1:36" x14ac:dyDescent="0.25">
      <c r="A312" s="16"/>
      <c r="B312" s="16"/>
      <c r="C312" s="16"/>
      <c r="D312" s="16"/>
      <c r="E312" s="16"/>
      <c r="F312" s="16"/>
      <c r="G312" s="16"/>
      <c r="H312" s="16"/>
      <c r="I312" s="16"/>
      <c r="J312" s="16"/>
      <c r="K312" s="16"/>
      <c r="L312" s="16"/>
      <c r="M312" s="16"/>
      <c r="N312" s="16"/>
      <c r="O312" s="16"/>
      <c r="P312" s="16"/>
      <c r="Q312" s="16"/>
      <c r="R312" s="16"/>
      <c r="S312" s="16"/>
      <c r="T312" s="16"/>
      <c r="U312" s="16"/>
      <c r="V312" s="16"/>
      <c r="W312" s="16"/>
      <c r="X312" s="16"/>
      <c r="Y312" s="16"/>
      <c r="Z312" s="16"/>
      <c r="AA312" s="16"/>
      <c r="AB312" s="16"/>
      <c r="AC312" s="16"/>
      <c r="AD312" s="16"/>
      <c r="AE312" s="16"/>
      <c r="AF312" s="16"/>
      <c r="AG312" s="16"/>
      <c r="AH312" s="16"/>
      <c r="AI312" s="16"/>
      <c r="AJ312" s="16"/>
    </row>
    <row r="313" ht="12.75" customHeight="1" spans="1:36" x14ac:dyDescent="0.25">
      <c r="A313" s="16"/>
      <c r="B313" s="16"/>
      <c r="C313" s="16"/>
      <c r="D313" s="16"/>
      <c r="E313" s="16"/>
      <c r="F313" s="16"/>
      <c r="G313" s="16"/>
      <c r="H313" s="16"/>
      <c r="I313" s="16"/>
      <c r="J313" s="16"/>
      <c r="K313" s="16"/>
      <c r="L313" s="16"/>
      <c r="M313" s="16"/>
      <c r="N313" s="16"/>
      <c r="O313" s="16"/>
      <c r="P313" s="16"/>
      <c r="Q313" s="16"/>
      <c r="R313" s="16"/>
      <c r="S313" s="16"/>
      <c r="T313" s="16"/>
      <c r="U313" s="16"/>
      <c r="V313" s="16"/>
      <c r="W313" s="16"/>
      <c r="X313" s="16"/>
      <c r="Y313" s="16"/>
      <c r="Z313" s="16"/>
      <c r="AA313" s="16"/>
      <c r="AB313" s="16"/>
      <c r="AC313" s="16"/>
      <c r="AD313" s="16"/>
      <c r="AE313" s="16"/>
      <c r="AF313" s="16"/>
      <c r="AG313" s="16"/>
      <c r="AH313" s="16"/>
      <c r="AI313" s="16"/>
      <c r="AJ313" s="16"/>
    </row>
    <row r="314" ht="12.75" customHeight="1" spans="1:36" x14ac:dyDescent="0.25">
      <c r="A314" s="16"/>
      <c r="B314" s="16"/>
      <c r="C314" s="16"/>
      <c r="D314" s="16"/>
      <c r="E314" s="16"/>
      <c r="F314" s="16"/>
      <c r="G314" s="16"/>
      <c r="H314" s="16"/>
      <c r="I314" s="16"/>
      <c r="J314" s="16"/>
      <c r="K314" s="16"/>
      <c r="L314" s="16"/>
      <c r="M314" s="16"/>
      <c r="N314" s="16"/>
      <c r="O314" s="16"/>
      <c r="P314" s="16"/>
      <c r="Q314" s="16"/>
      <c r="R314" s="16"/>
      <c r="S314" s="16"/>
      <c r="T314" s="16"/>
      <c r="U314" s="16"/>
      <c r="V314" s="16"/>
      <c r="W314" s="16"/>
      <c r="X314" s="16"/>
      <c r="Y314" s="16"/>
      <c r="Z314" s="16"/>
      <c r="AA314" s="16"/>
      <c r="AB314" s="16"/>
      <c r="AC314" s="16"/>
      <c r="AD314" s="16"/>
      <c r="AE314" s="16"/>
      <c r="AF314" s="16"/>
      <c r="AG314" s="16"/>
      <c r="AH314" s="16"/>
      <c r="AI314" s="16"/>
      <c r="AJ314" s="16"/>
    </row>
    <row r="315" ht="12.75" customHeight="1" spans="1:36" x14ac:dyDescent="0.25">
      <c r="A315" s="16"/>
      <c r="B315" s="16"/>
      <c r="C315" s="16"/>
      <c r="D315" s="16"/>
      <c r="E315" s="16"/>
      <c r="F315" s="16"/>
      <c r="G315" s="16"/>
      <c r="H315" s="16"/>
      <c r="I315" s="16"/>
      <c r="J315" s="16"/>
      <c r="K315" s="16"/>
      <c r="L315" s="16"/>
      <c r="M315" s="16"/>
      <c r="N315" s="16"/>
      <c r="O315" s="16"/>
      <c r="P315" s="16"/>
      <c r="Q315" s="16"/>
      <c r="R315" s="16"/>
      <c r="S315" s="16"/>
      <c r="T315" s="16"/>
      <c r="U315" s="16"/>
      <c r="V315" s="16"/>
      <c r="W315" s="16"/>
      <c r="X315" s="16"/>
      <c r="Y315" s="16"/>
      <c r="Z315" s="16"/>
      <c r="AA315" s="16"/>
      <c r="AB315" s="16"/>
      <c r="AC315" s="16"/>
      <c r="AD315" s="16"/>
      <c r="AE315" s="16"/>
      <c r="AF315" s="16"/>
      <c r="AG315" s="16"/>
      <c r="AH315" s="16"/>
      <c r="AI315" s="16"/>
      <c r="AJ315" s="16"/>
    </row>
    <row r="316" ht="12.75" customHeight="1" spans="1:36" x14ac:dyDescent="0.25">
      <c r="A316" s="16"/>
      <c r="B316" s="16"/>
      <c r="C316" s="16"/>
      <c r="D316" s="16"/>
      <c r="E316" s="16"/>
      <c r="F316" s="16"/>
      <c r="G316" s="16"/>
      <c r="H316" s="16"/>
      <c r="I316" s="16"/>
      <c r="J316" s="16"/>
      <c r="K316" s="16"/>
      <c r="L316" s="16"/>
      <c r="M316" s="16"/>
      <c r="N316" s="16"/>
      <c r="O316" s="16"/>
      <c r="P316" s="16"/>
      <c r="Q316" s="16"/>
      <c r="R316" s="16"/>
      <c r="S316" s="16"/>
      <c r="T316" s="16"/>
      <c r="U316" s="16"/>
      <c r="V316" s="16"/>
      <c r="W316" s="16"/>
      <c r="X316" s="16"/>
      <c r="Y316" s="16"/>
      <c r="Z316" s="16"/>
      <c r="AA316" s="16"/>
      <c r="AB316" s="16"/>
      <c r="AC316" s="16"/>
      <c r="AD316" s="16"/>
      <c r="AE316" s="16"/>
      <c r="AF316" s="16"/>
      <c r="AG316" s="16"/>
      <c r="AH316" s="16"/>
      <c r="AI316" s="16"/>
      <c r="AJ316" s="16"/>
    </row>
    <row r="317" ht="12.75" customHeight="1" spans="1:36" x14ac:dyDescent="0.25">
      <c r="A317" s="16"/>
      <c r="B317" s="16"/>
      <c r="C317" s="16"/>
      <c r="D317" s="16"/>
      <c r="E317" s="16"/>
      <c r="F317" s="16"/>
      <c r="G317" s="16"/>
      <c r="H317" s="16"/>
      <c r="I317" s="16"/>
      <c r="J317" s="16"/>
      <c r="K317" s="16"/>
      <c r="L317" s="16"/>
      <c r="M317" s="16"/>
      <c r="N317" s="16"/>
      <c r="O317" s="16"/>
      <c r="P317" s="16"/>
      <c r="Q317" s="16"/>
      <c r="R317" s="16"/>
      <c r="S317" s="16"/>
      <c r="T317" s="16"/>
      <c r="U317" s="16"/>
      <c r="V317" s="16"/>
      <c r="W317" s="16"/>
      <c r="X317" s="16"/>
      <c r="Y317" s="16"/>
      <c r="Z317" s="16"/>
      <c r="AA317" s="16"/>
      <c r="AB317" s="16"/>
      <c r="AC317" s="16"/>
      <c r="AD317" s="16"/>
      <c r="AE317" s="16"/>
      <c r="AF317" s="16"/>
      <c r="AG317" s="16"/>
      <c r="AH317" s="16"/>
      <c r="AI317" s="16"/>
      <c r="AJ317" s="16"/>
    </row>
    <row r="318" ht="12.75" customHeight="1" spans="1:36" x14ac:dyDescent="0.25">
      <c r="A318" s="16"/>
      <c r="B318" s="16"/>
      <c r="C318" s="16"/>
      <c r="D318" s="16"/>
      <c r="E318" s="16"/>
      <c r="F318" s="16"/>
      <c r="G318" s="16"/>
      <c r="H318" s="16"/>
      <c r="I318" s="16"/>
      <c r="J318" s="16"/>
      <c r="K318" s="16"/>
      <c r="L318" s="16"/>
      <c r="M318" s="16"/>
      <c r="N318" s="16"/>
      <c r="O318" s="16"/>
      <c r="P318" s="16"/>
      <c r="Q318" s="16"/>
      <c r="R318" s="16"/>
      <c r="S318" s="16"/>
      <c r="T318" s="16"/>
      <c r="U318" s="16"/>
      <c r="V318" s="16"/>
      <c r="W318" s="16"/>
      <c r="X318" s="16"/>
      <c r="Y318" s="16"/>
      <c r="Z318" s="16"/>
      <c r="AA318" s="16"/>
      <c r="AB318" s="16"/>
      <c r="AC318" s="16"/>
      <c r="AD318" s="16"/>
      <c r="AE318" s="16"/>
      <c r="AF318" s="16"/>
      <c r="AG318" s="16"/>
      <c r="AH318" s="16"/>
      <c r="AI318" s="16"/>
      <c r="AJ318" s="16"/>
    </row>
    <row r="319" ht="12.75" customHeight="1" spans="1:36" x14ac:dyDescent="0.25">
      <c r="A319" s="16"/>
      <c r="B319" s="16"/>
      <c r="C319" s="16"/>
      <c r="D319" s="16"/>
      <c r="E319" s="16"/>
      <c r="F319" s="16"/>
      <c r="G319" s="16"/>
      <c r="H319" s="16"/>
      <c r="I319" s="16"/>
      <c r="J319" s="16"/>
      <c r="K319" s="16"/>
      <c r="L319" s="16"/>
      <c r="M319" s="16"/>
      <c r="N319" s="16"/>
      <c r="O319" s="16"/>
      <c r="P319" s="16"/>
      <c r="Q319" s="16"/>
      <c r="R319" s="16"/>
      <c r="S319" s="16"/>
      <c r="T319" s="16"/>
      <c r="U319" s="16"/>
      <c r="V319" s="16"/>
      <c r="W319" s="16"/>
      <c r="X319" s="16"/>
      <c r="Y319" s="16"/>
      <c r="Z319" s="16"/>
      <c r="AA319" s="16"/>
      <c r="AB319" s="16"/>
      <c r="AC319" s="16"/>
      <c r="AD319" s="16"/>
      <c r="AE319" s="16"/>
      <c r="AF319" s="16"/>
      <c r="AG319" s="16"/>
      <c r="AH319" s="16"/>
      <c r="AI319" s="16"/>
      <c r="AJ319" s="16"/>
    </row>
    <row r="320" ht="12.75" customHeight="1" spans="1:36" x14ac:dyDescent="0.25">
      <c r="A320" s="16"/>
      <c r="B320" s="16"/>
      <c r="C320" s="16"/>
      <c r="D320" s="16"/>
      <c r="E320" s="16"/>
      <c r="F320" s="16"/>
      <c r="G320" s="16"/>
      <c r="H320" s="16"/>
      <c r="I320" s="16"/>
      <c r="J320" s="16"/>
      <c r="K320" s="16"/>
      <c r="L320" s="16"/>
      <c r="M320" s="16"/>
      <c r="N320" s="16"/>
      <c r="O320" s="16"/>
      <c r="P320" s="16"/>
      <c r="Q320" s="16"/>
      <c r="R320" s="16"/>
      <c r="S320" s="16"/>
      <c r="T320" s="16"/>
      <c r="U320" s="16"/>
      <c r="V320" s="16"/>
      <c r="W320" s="16"/>
      <c r="X320" s="16"/>
      <c r="Y320" s="16"/>
      <c r="Z320" s="16"/>
      <c r="AA320" s="16"/>
      <c r="AB320" s="16"/>
      <c r="AC320" s="16"/>
      <c r="AD320" s="16"/>
      <c r="AE320" s="16"/>
      <c r="AF320" s="16"/>
      <c r="AG320" s="16"/>
      <c r="AH320" s="16"/>
      <c r="AI320" s="16"/>
      <c r="AJ320" s="16"/>
    </row>
    <row r="321" ht="12.75" customHeight="1" spans="1:36" x14ac:dyDescent="0.25">
      <c r="A321" s="16"/>
      <c r="B321" s="16"/>
      <c r="C321" s="16"/>
      <c r="D321" s="16"/>
      <c r="E321" s="16"/>
      <c r="F321" s="16"/>
      <c r="G321" s="16"/>
      <c r="H321" s="16"/>
      <c r="I321" s="16"/>
      <c r="J321" s="16"/>
      <c r="K321" s="16"/>
      <c r="L321" s="16"/>
      <c r="M321" s="16"/>
      <c r="N321" s="16"/>
      <c r="O321" s="16"/>
      <c r="P321" s="16"/>
      <c r="Q321" s="16"/>
      <c r="R321" s="16"/>
      <c r="S321" s="16"/>
      <c r="T321" s="16"/>
      <c r="U321" s="16"/>
      <c r="V321" s="16"/>
      <c r="W321" s="16"/>
      <c r="X321" s="16"/>
      <c r="Y321" s="16"/>
      <c r="Z321" s="16"/>
      <c r="AA321" s="16"/>
      <c r="AB321" s="16"/>
      <c r="AC321" s="16"/>
      <c r="AD321" s="16"/>
      <c r="AE321" s="16"/>
      <c r="AF321" s="16"/>
      <c r="AG321" s="16"/>
      <c r="AH321" s="16"/>
      <c r="AI321" s="16"/>
      <c r="AJ321" s="16"/>
    </row>
    <row r="322" ht="12.75" customHeight="1" spans="1:36" x14ac:dyDescent="0.25">
      <c r="A322" s="16"/>
      <c r="B322" s="16"/>
      <c r="C322" s="16"/>
      <c r="D322" s="16"/>
      <c r="E322" s="16"/>
      <c r="F322" s="16"/>
      <c r="G322" s="16"/>
      <c r="H322" s="16"/>
      <c r="I322" s="16"/>
      <c r="J322" s="16"/>
      <c r="K322" s="16"/>
      <c r="L322" s="16"/>
      <c r="M322" s="16"/>
      <c r="N322" s="16"/>
      <c r="O322" s="16"/>
      <c r="P322" s="16"/>
      <c r="Q322" s="16"/>
      <c r="R322" s="16"/>
      <c r="S322" s="16"/>
      <c r="T322" s="16"/>
      <c r="U322" s="16"/>
      <c r="V322" s="16"/>
      <c r="W322" s="16"/>
      <c r="X322" s="16"/>
      <c r="Y322" s="16"/>
      <c r="Z322" s="16"/>
      <c r="AA322" s="16"/>
      <c r="AB322" s="16"/>
      <c r="AC322" s="16"/>
      <c r="AD322" s="16"/>
      <c r="AE322" s="16"/>
      <c r="AF322" s="16"/>
      <c r="AG322" s="16"/>
      <c r="AH322" s="16"/>
      <c r="AI322" s="16"/>
      <c r="AJ322" s="16"/>
    </row>
    <row r="323" ht="12.75" customHeight="1" spans="1:36" x14ac:dyDescent="0.25">
      <c r="A323" s="16"/>
      <c r="B323" s="16"/>
      <c r="C323" s="16"/>
      <c r="D323" s="16"/>
      <c r="E323" s="16"/>
      <c r="F323" s="16"/>
      <c r="G323" s="16"/>
      <c r="H323" s="16"/>
      <c r="I323" s="16"/>
      <c r="J323" s="16"/>
      <c r="K323" s="16"/>
      <c r="L323" s="16"/>
      <c r="M323" s="16"/>
      <c r="N323" s="16"/>
      <c r="O323" s="16"/>
      <c r="P323" s="16"/>
      <c r="Q323" s="16"/>
      <c r="R323" s="16"/>
      <c r="S323" s="16"/>
      <c r="T323" s="16"/>
      <c r="U323" s="16"/>
      <c r="V323" s="16"/>
      <c r="W323" s="16"/>
      <c r="X323" s="16"/>
      <c r="Y323" s="16"/>
      <c r="Z323" s="16"/>
      <c r="AA323" s="16"/>
      <c r="AB323" s="16"/>
      <c r="AC323" s="16"/>
      <c r="AD323" s="16"/>
      <c r="AE323" s="16"/>
      <c r="AF323" s="16"/>
      <c r="AG323" s="16"/>
      <c r="AH323" s="16"/>
      <c r="AI323" s="16"/>
      <c r="AJ323" s="16"/>
    </row>
    <row r="324" ht="12.75" customHeight="1" spans="1:36" x14ac:dyDescent="0.25">
      <c r="A324" s="16"/>
      <c r="B324" s="16"/>
      <c r="C324" s="16"/>
      <c r="D324" s="16"/>
      <c r="E324" s="16"/>
      <c r="F324" s="16"/>
      <c r="G324" s="16"/>
      <c r="H324" s="16"/>
      <c r="I324" s="16"/>
      <c r="J324" s="16"/>
      <c r="K324" s="16"/>
      <c r="L324" s="16"/>
      <c r="M324" s="16"/>
      <c r="N324" s="16"/>
      <c r="O324" s="16"/>
      <c r="P324" s="16"/>
      <c r="Q324" s="16"/>
      <c r="R324" s="16"/>
      <c r="S324" s="16"/>
      <c r="T324" s="16"/>
      <c r="U324" s="16"/>
      <c r="V324" s="16"/>
      <c r="W324" s="16"/>
      <c r="X324" s="16"/>
      <c r="Y324" s="16"/>
      <c r="Z324" s="16"/>
      <c r="AA324" s="16"/>
      <c r="AB324" s="16"/>
      <c r="AC324" s="16"/>
      <c r="AD324" s="16"/>
      <c r="AE324" s="16"/>
      <c r="AF324" s="16"/>
      <c r="AG324" s="16"/>
      <c r="AH324" s="16"/>
      <c r="AI324" s="16"/>
      <c r="AJ324" s="16"/>
    </row>
    <row r="325" ht="12.75" customHeight="1" spans="1:36" x14ac:dyDescent="0.25">
      <c r="A325" s="16"/>
      <c r="B325" s="16"/>
      <c r="C325" s="16"/>
      <c r="D325" s="16"/>
      <c r="E325" s="16"/>
      <c r="F325" s="16"/>
      <c r="G325" s="16"/>
      <c r="H325" s="16"/>
      <c r="I325" s="16"/>
      <c r="J325" s="16"/>
      <c r="K325" s="16"/>
      <c r="L325" s="16"/>
      <c r="M325" s="16"/>
      <c r="N325" s="16"/>
      <c r="O325" s="16"/>
      <c r="P325" s="16"/>
      <c r="Q325" s="16"/>
      <c r="R325" s="16"/>
      <c r="S325" s="16"/>
      <c r="T325" s="16"/>
      <c r="U325" s="16"/>
      <c r="V325" s="16"/>
      <c r="W325" s="16"/>
      <c r="X325" s="16"/>
      <c r="Y325" s="16"/>
      <c r="Z325" s="16"/>
      <c r="AA325" s="16"/>
      <c r="AB325" s="16"/>
      <c r="AC325" s="16"/>
      <c r="AD325" s="16"/>
      <c r="AE325" s="16"/>
      <c r="AF325" s="16"/>
      <c r="AG325" s="16"/>
      <c r="AH325" s="16"/>
      <c r="AI325" s="16"/>
      <c r="AJ325" s="16"/>
    </row>
    <row r="326" ht="12.75" customHeight="1" spans="1:36" x14ac:dyDescent="0.25">
      <c r="A326" s="16"/>
      <c r="B326" s="16"/>
      <c r="C326" s="16"/>
      <c r="D326" s="16"/>
      <c r="E326" s="16"/>
      <c r="F326" s="16"/>
      <c r="G326" s="16"/>
      <c r="H326" s="16"/>
      <c r="I326" s="16"/>
      <c r="J326" s="16"/>
      <c r="K326" s="16"/>
      <c r="L326" s="16"/>
      <c r="M326" s="16"/>
      <c r="N326" s="16"/>
      <c r="O326" s="16"/>
      <c r="P326" s="16"/>
      <c r="Q326" s="16"/>
      <c r="R326" s="16"/>
      <c r="S326" s="16"/>
      <c r="T326" s="16"/>
      <c r="U326" s="16"/>
      <c r="V326" s="16"/>
      <c r="W326" s="16"/>
      <c r="X326" s="16"/>
      <c r="Y326" s="16"/>
      <c r="Z326" s="16"/>
      <c r="AA326" s="16"/>
      <c r="AB326" s="16"/>
      <c r="AC326" s="16"/>
      <c r="AD326" s="16"/>
      <c r="AE326" s="16"/>
      <c r="AF326" s="16"/>
      <c r="AG326" s="16"/>
      <c r="AH326" s="16"/>
      <c r="AI326" s="16"/>
      <c r="AJ326" s="16"/>
    </row>
    <row r="327" ht="12.75" customHeight="1" spans="1:36" x14ac:dyDescent="0.25">
      <c r="A327" s="16"/>
      <c r="B327" s="16"/>
      <c r="C327" s="16"/>
      <c r="D327" s="16"/>
      <c r="E327" s="16"/>
      <c r="F327" s="16"/>
      <c r="G327" s="16"/>
      <c r="H327" s="16"/>
      <c r="I327" s="16"/>
      <c r="J327" s="16"/>
      <c r="K327" s="16"/>
      <c r="L327" s="16"/>
      <c r="M327" s="16"/>
      <c r="N327" s="16"/>
      <c r="O327" s="16"/>
      <c r="P327" s="16"/>
      <c r="Q327" s="16"/>
      <c r="R327" s="16"/>
      <c r="S327" s="16"/>
      <c r="T327" s="16"/>
      <c r="U327" s="16"/>
      <c r="V327" s="16"/>
      <c r="W327" s="16"/>
      <c r="X327" s="16"/>
      <c r="Y327" s="16"/>
      <c r="Z327" s="16"/>
      <c r="AA327" s="16"/>
      <c r="AB327" s="16"/>
      <c r="AC327" s="16"/>
      <c r="AD327" s="16"/>
      <c r="AE327" s="16"/>
      <c r="AF327" s="16"/>
      <c r="AG327" s="16"/>
      <c r="AH327" s="16"/>
      <c r="AI327" s="16"/>
      <c r="AJ327" s="16"/>
    </row>
    <row r="328" ht="12.75" customHeight="1" spans="1:36" x14ac:dyDescent="0.25">
      <c r="A328" s="16"/>
      <c r="B328" s="16"/>
      <c r="C328" s="16"/>
      <c r="D328" s="16"/>
      <c r="E328" s="16"/>
      <c r="F328" s="16"/>
      <c r="G328" s="16"/>
      <c r="H328" s="16"/>
      <c r="I328" s="16"/>
      <c r="J328" s="16"/>
      <c r="K328" s="16"/>
      <c r="L328" s="16"/>
      <c r="M328" s="16"/>
      <c r="N328" s="16"/>
      <c r="O328" s="16"/>
      <c r="P328" s="16"/>
      <c r="Q328" s="16"/>
      <c r="R328" s="16"/>
      <c r="S328" s="16"/>
      <c r="T328" s="16"/>
      <c r="U328" s="16"/>
      <c r="V328" s="16"/>
      <c r="W328" s="16"/>
      <c r="X328" s="16"/>
      <c r="Y328" s="16"/>
      <c r="Z328" s="16"/>
      <c r="AA328" s="16"/>
      <c r="AB328" s="16"/>
      <c r="AC328" s="16"/>
      <c r="AD328" s="16"/>
      <c r="AE328" s="16"/>
      <c r="AF328" s="16"/>
      <c r="AG328" s="16"/>
      <c r="AH328" s="16"/>
      <c r="AI328" s="16"/>
      <c r="AJ328" s="16"/>
    </row>
    <row r="329" ht="12.75" customHeight="1" spans="1:36" x14ac:dyDescent="0.25">
      <c r="A329" s="16"/>
      <c r="B329" s="16"/>
      <c r="C329" s="16"/>
      <c r="D329" s="16"/>
      <c r="E329" s="16"/>
      <c r="F329" s="16"/>
      <c r="G329" s="16"/>
      <c r="H329" s="16"/>
      <c r="I329" s="16"/>
      <c r="J329" s="16"/>
      <c r="K329" s="16"/>
      <c r="L329" s="16"/>
      <c r="M329" s="16"/>
      <c r="N329" s="16"/>
      <c r="O329" s="16"/>
      <c r="P329" s="16"/>
      <c r="Q329" s="16"/>
      <c r="R329" s="16"/>
      <c r="S329" s="16"/>
      <c r="T329" s="16"/>
      <c r="U329" s="16"/>
      <c r="V329" s="16"/>
      <c r="W329" s="16"/>
      <c r="X329" s="16"/>
      <c r="Y329" s="16"/>
      <c r="Z329" s="16"/>
      <c r="AA329" s="16"/>
      <c r="AB329" s="16"/>
      <c r="AC329" s="16"/>
      <c r="AD329" s="16"/>
      <c r="AE329" s="16"/>
      <c r="AF329" s="16"/>
      <c r="AG329" s="16"/>
      <c r="AH329" s="16"/>
      <c r="AI329" s="16"/>
      <c r="AJ329" s="16"/>
    </row>
    <row r="330" ht="12.75" customHeight="1" spans="1:36" x14ac:dyDescent="0.25">
      <c r="A330" s="16"/>
      <c r="B330" s="16"/>
      <c r="C330" s="16"/>
      <c r="D330" s="16"/>
      <c r="E330" s="16"/>
      <c r="F330" s="16"/>
      <c r="G330" s="16"/>
      <c r="H330" s="16"/>
      <c r="I330" s="16"/>
      <c r="J330" s="16"/>
      <c r="K330" s="16"/>
      <c r="L330" s="16"/>
      <c r="M330" s="16"/>
      <c r="N330" s="16"/>
      <c r="O330" s="16"/>
      <c r="P330" s="16"/>
      <c r="Q330" s="16"/>
      <c r="R330" s="16"/>
      <c r="S330" s="16"/>
      <c r="T330" s="16"/>
      <c r="U330" s="16"/>
      <c r="V330" s="16"/>
      <c r="W330" s="16"/>
      <c r="X330" s="16"/>
      <c r="Y330" s="16"/>
      <c r="Z330" s="16"/>
      <c r="AA330" s="16"/>
      <c r="AB330" s="16"/>
      <c r="AC330" s="16"/>
      <c r="AD330" s="16"/>
      <c r="AE330" s="16"/>
      <c r="AF330" s="16"/>
      <c r="AG330" s="16"/>
      <c r="AH330" s="16"/>
      <c r="AI330" s="16"/>
      <c r="AJ330" s="16"/>
    </row>
    <row r="331" ht="12.75" customHeight="1" spans="1:36" x14ac:dyDescent="0.25">
      <c r="A331" s="16"/>
      <c r="B331" s="16"/>
      <c r="C331" s="16"/>
      <c r="D331" s="16"/>
      <c r="E331" s="16"/>
      <c r="F331" s="16"/>
      <c r="G331" s="16"/>
      <c r="H331" s="16"/>
      <c r="I331" s="16"/>
      <c r="J331" s="16"/>
      <c r="K331" s="16"/>
      <c r="L331" s="16"/>
      <c r="M331" s="16"/>
      <c r="N331" s="16"/>
      <c r="O331" s="16"/>
      <c r="P331" s="16"/>
      <c r="Q331" s="16"/>
      <c r="R331" s="16"/>
      <c r="S331" s="16"/>
      <c r="T331" s="16"/>
      <c r="U331" s="16"/>
      <c r="V331" s="16"/>
      <c r="W331" s="16"/>
      <c r="X331" s="16"/>
      <c r="Y331" s="16"/>
      <c r="Z331" s="16"/>
      <c r="AA331" s="16"/>
      <c r="AB331" s="16"/>
      <c r="AC331" s="16"/>
      <c r="AD331" s="16"/>
      <c r="AE331" s="16"/>
      <c r="AF331" s="16"/>
      <c r="AG331" s="16"/>
      <c r="AH331" s="16"/>
      <c r="AI331" s="16"/>
      <c r="AJ331" s="16"/>
    </row>
    <row r="332" ht="12.75" customHeight="1" spans="1:36" x14ac:dyDescent="0.25">
      <c r="A332" s="16"/>
      <c r="B332" s="16"/>
      <c r="C332" s="16"/>
      <c r="D332" s="16"/>
      <c r="E332" s="16"/>
      <c r="F332" s="16"/>
      <c r="G332" s="16"/>
      <c r="H332" s="16"/>
      <c r="I332" s="16"/>
      <c r="J332" s="16"/>
      <c r="K332" s="16"/>
      <c r="L332" s="16"/>
      <c r="M332" s="16"/>
      <c r="N332" s="16"/>
      <c r="O332" s="16"/>
      <c r="P332" s="16"/>
      <c r="Q332" s="16"/>
      <c r="R332" s="16"/>
      <c r="S332" s="16"/>
      <c r="T332" s="16"/>
      <c r="U332" s="16"/>
      <c r="V332" s="16"/>
      <c r="W332" s="16"/>
      <c r="X332" s="16"/>
      <c r="Y332" s="16"/>
      <c r="Z332" s="16"/>
      <c r="AA332" s="16"/>
      <c r="AB332" s="16"/>
      <c r="AC332" s="16"/>
      <c r="AD332" s="16"/>
      <c r="AE332" s="16"/>
      <c r="AF332" s="16"/>
      <c r="AG332" s="16"/>
      <c r="AH332" s="16"/>
      <c r="AI332" s="16"/>
      <c r="AJ332" s="16"/>
    </row>
    <row r="333" ht="12.75" customHeight="1" spans="1:36" x14ac:dyDescent="0.25">
      <c r="A333" s="16"/>
      <c r="B333" s="16"/>
      <c r="C333" s="16"/>
      <c r="D333" s="16"/>
      <c r="E333" s="16"/>
      <c r="F333" s="16"/>
      <c r="G333" s="16"/>
      <c r="H333" s="16"/>
      <c r="I333" s="16"/>
      <c r="J333" s="16"/>
      <c r="K333" s="16"/>
      <c r="L333" s="16"/>
      <c r="M333" s="16"/>
      <c r="N333" s="16"/>
      <c r="O333" s="16"/>
      <c r="P333" s="16"/>
      <c r="Q333" s="16"/>
      <c r="R333" s="16"/>
      <c r="S333" s="16"/>
      <c r="T333" s="16"/>
      <c r="U333" s="16"/>
      <c r="V333" s="16"/>
      <c r="W333" s="16"/>
      <c r="X333" s="16"/>
      <c r="Y333" s="16"/>
      <c r="Z333" s="16"/>
      <c r="AA333" s="16"/>
      <c r="AB333" s="16"/>
      <c r="AC333" s="16"/>
      <c r="AD333" s="16"/>
      <c r="AE333" s="16"/>
      <c r="AF333" s="16"/>
      <c r="AG333" s="16"/>
      <c r="AH333" s="16"/>
      <c r="AI333" s="16"/>
      <c r="AJ333" s="16"/>
    </row>
    <row r="334" ht="12.75" customHeight="1" spans="1:36" x14ac:dyDescent="0.25">
      <c r="A334" s="16"/>
      <c r="B334" s="16"/>
      <c r="C334" s="16"/>
      <c r="D334" s="16"/>
      <c r="E334" s="16"/>
      <c r="F334" s="16"/>
      <c r="G334" s="16"/>
      <c r="H334" s="16"/>
      <c r="I334" s="16"/>
      <c r="J334" s="16"/>
      <c r="K334" s="16"/>
      <c r="L334" s="16"/>
      <c r="M334" s="16"/>
      <c r="N334" s="16"/>
      <c r="O334" s="16"/>
      <c r="P334" s="16"/>
      <c r="Q334" s="16"/>
      <c r="R334" s="16"/>
      <c r="S334" s="16"/>
      <c r="T334" s="16"/>
      <c r="U334" s="16"/>
      <c r="V334" s="16"/>
      <c r="W334" s="16"/>
      <c r="X334" s="16"/>
      <c r="Y334" s="16"/>
      <c r="Z334" s="16"/>
      <c r="AA334" s="16"/>
      <c r="AB334" s="16"/>
      <c r="AC334" s="16"/>
      <c r="AD334" s="16"/>
      <c r="AE334" s="16"/>
      <c r="AF334" s="16"/>
      <c r="AG334" s="16"/>
      <c r="AH334" s="16"/>
      <c r="AI334" s="16"/>
      <c r="AJ334" s="16"/>
    </row>
    <row r="335" ht="12.75" customHeight="1" spans="1:36" x14ac:dyDescent="0.25">
      <c r="A335" s="16"/>
      <c r="B335" s="16"/>
      <c r="C335" s="16"/>
      <c r="D335" s="16"/>
      <c r="E335" s="16"/>
      <c r="F335" s="16"/>
      <c r="G335" s="16"/>
      <c r="H335" s="16"/>
      <c r="I335" s="16"/>
      <c r="J335" s="16"/>
      <c r="K335" s="16"/>
      <c r="L335" s="16"/>
      <c r="M335" s="16"/>
      <c r="N335" s="16"/>
      <c r="O335" s="16"/>
      <c r="P335" s="16"/>
      <c r="Q335" s="16"/>
      <c r="R335" s="16"/>
      <c r="S335" s="16"/>
      <c r="T335" s="16"/>
      <c r="U335" s="16"/>
      <c r="V335" s="16"/>
      <c r="W335" s="16"/>
      <c r="X335" s="16"/>
      <c r="Y335" s="16"/>
      <c r="Z335" s="16"/>
      <c r="AA335" s="16"/>
      <c r="AB335" s="16"/>
      <c r="AC335" s="16"/>
      <c r="AD335" s="16"/>
      <c r="AE335" s="16"/>
      <c r="AF335" s="16"/>
      <c r="AG335" s="16"/>
      <c r="AH335" s="16"/>
      <c r="AI335" s="16"/>
      <c r="AJ335" s="16"/>
    </row>
    <row r="336" ht="12.75" customHeight="1" spans="1:36" x14ac:dyDescent="0.25">
      <c r="A336" s="16"/>
      <c r="B336" s="16"/>
      <c r="C336" s="16"/>
      <c r="D336" s="16"/>
      <c r="E336" s="16"/>
      <c r="F336" s="16"/>
      <c r="G336" s="16"/>
      <c r="H336" s="16"/>
      <c r="I336" s="16"/>
      <c r="J336" s="16"/>
      <c r="K336" s="16"/>
      <c r="L336" s="16"/>
      <c r="M336" s="16"/>
      <c r="N336" s="16"/>
      <c r="O336" s="16"/>
      <c r="P336" s="16"/>
      <c r="Q336" s="16"/>
      <c r="R336" s="16"/>
      <c r="S336" s="16"/>
      <c r="T336" s="16"/>
      <c r="U336" s="16"/>
      <c r="V336" s="16"/>
      <c r="W336" s="16"/>
      <c r="X336" s="16"/>
      <c r="Y336" s="16"/>
      <c r="Z336" s="16"/>
      <c r="AA336" s="16"/>
      <c r="AB336" s="16"/>
      <c r="AC336" s="16"/>
      <c r="AD336" s="16"/>
      <c r="AE336" s="16"/>
      <c r="AF336" s="16"/>
      <c r="AG336" s="16"/>
      <c r="AH336" s="16"/>
      <c r="AI336" s="16"/>
      <c r="AJ336" s="16"/>
    </row>
    <row r="337" ht="12.75" customHeight="1" spans="1:36" x14ac:dyDescent="0.25">
      <c r="A337" s="16"/>
      <c r="B337" s="16"/>
      <c r="C337" s="16"/>
      <c r="D337" s="16"/>
      <c r="E337" s="16"/>
      <c r="F337" s="16"/>
      <c r="G337" s="16"/>
      <c r="H337" s="16"/>
      <c r="I337" s="16"/>
      <c r="J337" s="16"/>
      <c r="K337" s="16"/>
      <c r="L337" s="16"/>
      <c r="M337" s="16"/>
      <c r="N337" s="16"/>
      <c r="O337" s="16"/>
      <c r="P337" s="16"/>
      <c r="Q337" s="16"/>
      <c r="R337" s="16"/>
      <c r="S337" s="16"/>
      <c r="T337" s="16"/>
      <c r="U337" s="16"/>
      <c r="V337" s="16"/>
      <c r="W337" s="16"/>
      <c r="X337" s="16"/>
      <c r="Y337" s="16"/>
      <c r="Z337" s="16"/>
      <c r="AA337" s="16"/>
      <c r="AB337" s="16"/>
      <c r="AC337" s="16"/>
      <c r="AD337" s="16"/>
      <c r="AE337" s="16"/>
      <c r="AF337" s="16"/>
      <c r="AG337" s="16"/>
      <c r="AH337" s="16"/>
      <c r="AI337" s="16"/>
      <c r="AJ337" s="16"/>
    </row>
    <row r="338" ht="12.75" customHeight="1" spans="1:36" x14ac:dyDescent="0.25">
      <c r="A338" s="16"/>
      <c r="B338" s="16"/>
      <c r="C338" s="16"/>
      <c r="D338" s="16"/>
      <c r="E338" s="16"/>
      <c r="F338" s="16"/>
      <c r="G338" s="16"/>
      <c r="H338" s="16"/>
      <c r="I338" s="16"/>
      <c r="J338" s="16"/>
      <c r="K338" s="16"/>
      <c r="L338" s="16"/>
      <c r="M338" s="16"/>
      <c r="N338" s="16"/>
      <c r="O338" s="16"/>
      <c r="P338" s="16"/>
      <c r="Q338" s="16"/>
      <c r="R338" s="16"/>
      <c r="S338" s="16"/>
      <c r="T338" s="16"/>
      <c r="U338" s="16"/>
      <c r="V338" s="16"/>
      <c r="W338" s="16"/>
      <c r="X338" s="16"/>
      <c r="Y338" s="16"/>
      <c r="Z338" s="16"/>
      <c r="AA338" s="16"/>
      <c r="AB338" s="16"/>
      <c r="AC338" s="16"/>
      <c r="AD338" s="16"/>
      <c r="AE338" s="16"/>
      <c r="AF338" s="16"/>
      <c r="AG338" s="16"/>
      <c r="AH338" s="16"/>
      <c r="AI338" s="16"/>
      <c r="AJ338" s="16"/>
    </row>
    <row r="339" ht="12.75" customHeight="1" spans="1:36" x14ac:dyDescent="0.25">
      <c r="A339" s="16"/>
      <c r="B339" s="16"/>
      <c r="C339" s="16"/>
      <c r="D339" s="16"/>
      <c r="E339" s="16"/>
      <c r="F339" s="16"/>
      <c r="G339" s="16"/>
      <c r="H339" s="16"/>
      <c r="I339" s="16"/>
      <c r="J339" s="16"/>
      <c r="K339" s="16"/>
      <c r="L339" s="16"/>
      <c r="M339" s="16"/>
      <c r="N339" s="16"/>
      <c r="O339" s="16"/>
      <c r="P339" s="16"/>
      <c r="Q339" s="16"/>
      <c r="R339" s="16"/>
      <c r="S339" s="16"/>
      <c r="T339" s="16"/>
      <c r="U339" s="16"/>
      <c r="V339" s="16"/>
      <c r="W339" s="16"/>
      <c r="X339" s="16"/>
      <c r="Y339" s="16"/>
      <c r="Z339" s="16"/>
      <c r="AA339" s="16"/>
      <c r="AB339" s="16"/>
      <c r="AC339" s="16"/>
      <c r="AD339" s="16"/>
      <c r="AE339" s="16"/>
      <c r="AF339" s="16"/>
      <c r="AG339" s="16"/>
      <c r="AH339" s="16"/>
      <c r="AI339" s="16"/>
      <c r="AJ339" s="16"/>
    </row>
    <row r="340" ht="12.75" customHeight="1" spans="1:36" x14ac:dyDescent="0.25">
      <c r="A340" s="16"/>
      <c r="B340" s="16"/>
      <c r="C340" s="16"/>
      <c r="D340" s="16"/>
      <c r="E340" s="16"/>
      <c r="F340" s="16"/>
      <c r="G340" s="16"/>
      <c r="H340" s="16"/>
      <c r="I340" s="16"/>
      <c r="J340" s="16"/>
      <c r="K340" s="16"/>
      <c r="L340" s="16"/>
      <c r="M340" s="16"/>
      <c r="N340" s="16"/>
      <c r="O340" s="16"/>
      <c r="P340" s="16"/>
      <c r="Q340" s="16"/>
      <c r="R340" s="16"/>
      <c r="S340" s="16"/>
      <c r="T340" s="16"/>
      <c r="U340" s="16"/>
      <c r="V340" s="16"/>
      <c r="W340" s="16"/>
      <c r="X340" s="16"/>
      <c r="Y340" s="16"/>
      <c r="Z340" s="16"/>
      <c r="AA340" s="16"/>
      <c r="AB340" s="16"/>
      <c r="AC340" s="16"/>
      <c r="AD340" s="16"/>
      <c r="AE340" s="16"/>
      <c r="AF340" s="16"/>
      <c r="AG340" s="16"/>
      <c r="AH340" s="16"/>
      <c r="AI340" s="16"/>
      <c r="AJ340" s="16"/>
    </row>
    <row r="341" ht="12.75" customHeight="1" spans="1:36" x14ac:dyDescent="0.25">
      <c r="A341" s="16"/>
      <c r="B341" s="16"/>
      <c r="C341" s="16"/>
      <c r="D341" s="16"/>
      <c r="E341" s="16"/>
      <c r="F341" s="16"/>
      <c r="G341" s="16"/>
      <c r="H341" s="16"/>
      <c r="I341" s="16"/>
      <c r="J341" s="16"/>
      <c r="K341" s="16"/>
      <c r="L341" s="16"/>
      <c r="M341" s="16"/>
      <c r="N341" s="16"/>
      <c r="O341" s="16"/>
      <c r="P341" s="16"/>
      <c r="Q341" s="16"/>
      <c r="R341" s="16"/>
      <c r="S341" s="16"/>
      <c r="T341" s="16"/>
      <c r="U341" s="16"/>
      <c r="V341" s="16"/>
      <c r="W341" s="16"/>
      <c r="X341" s="16"/>
      <c r="Y341" s="16"/>
      <c r="Z341" s="16"/>
      <c r="AA341" s="16"/>
      <c r="AB341" s="16"/>
      <c r="AC341" s="16"/>
      <c r="AD341" s="16"/>
      <c r="AE341" s="16"/>
      <c r="AF341" s="16"/>
      <c r="AG341" s="16"/>
      <c r="AH341" s="16"/>
      <c r="AI341" s="16"/>
      <c r="AJ341" s="16"/>
    </row>
    <row r="342" ht="12.75" customHeight="1" spans="1:36" x14ac:dyDescent="0.25">
      <c r="A342" s="16"/>
      <c r="B342" s="16"/>
      <c r="C342" s="16"/>
      <c r="D342" s="16"/>
      <c r="E342" s="16"/>
      <c r="F342" s="16"/>
      <c r="G342" s="16"/>
      <c r="H342" s="16"/>
      <c r="I342" s="16"/>
      <c r="J342" s="16"/>
      <c r="K342" s="16"/>
      <c r="L342" s="16"/>
      <c r="M342" s="16"/>
      <c r="N342" s="16"/>
      <c r="O342" s="16"/>
      <c r="P342" s="16"/>
      <c r="Q342" s="16"/>
      <c r="R342" s="16"/>
      <c r="S342" s="16"/>
      <c r="T342" s="16"/>
      <c r="U342" s="16"/>
      <c r="V342" s="16"/>
      <c r="W342" s="16"/>
      <c r="X342" s="16"/>
      <c r="Y342" s="16"/>
      <c r="Z342" s="16"/>
      <c r="AA342" s="16"/>
      <c r="AB342" s="16"/>
      <c r="AC342" s="16"/>
      <c r="AD342" s="16"/>
      <c r="AE342" s="16"/>
      <c r="AF342" s="16"/>
      <c r="AG342" s="16"/>
      <c r="AH342" s="16"/>
      <c r="AI342" s="16"/>
      <c r="AJ342" s="16"/>
    </row>
    <row r="343" ht="12.75" customHeight="1" spans="1:36" x14ac:dyDescent="0.25">
      <c r="A343" s="16"/>
      <c r="B343" s="16"/>
      <c r="C343" s="16"/>
      <c r="D343" s="16"/>
      <c r="E343" s="16"/>
      <c r="F343" s="16"/>
      <c r="G343" s="16"/>
      <c r="H343" s="16"/>
      <c r="I343" s="16"/>
      <c r="J343" s="16"/>
      <c r="K343" s="16"/>
      <c r="L343" s="16"/>
      <c r="M343" s="16"/>
      <c r="N343" s="16"/>
      <c r="O343" s="16"/>
      <c r="P343" s="16"/>
      <c r="Q343" s="16"/>
      <c r="R343" s="16"/>
      <c r="S343" s="16"/>
      <c r="T343" s="16"/>
      <c r="U343" s="16"/>
      <c r="V343" s="16"/>
      <c r="W343" s="16"/>
      <c r="X343" s="16"/>
      <c r="Y343" s="16"/>
      <c r="Z343" s="16"/>
      <c r="AA343" s="16"/>
      <c r="AB343" s="16"/>
      <c r="AC343" s="16"/>
      <c r="AD343" s="16"/>
      <c r="AE343" s="16"/>
      <c r="AF343" s="16"/>
      <c r="AG343" s="16"/>
      <c r="AH343" s="16"/>
      <c r="AI343" s="16"/>
      <c r="AJ343" s="16"/>
    </row>
    <row r="344" ht="12.75" customHeight="1" spans="1:36" x14ac:dyDescent="0.25">
      <c r="A344" s="16"/>
      <c r="B344" s="16"/>
      <c r="C344" s="16"/>
      <c r="D344" s="16"/>
      <c r="E344" s="16"/>
      <c r="F344" s="16"/>
      <c r="G344" s="16"/>
      <c r="H344" s="16"/>
      <c r="I344" s="16"/>
      <c r="J344" s="16"/>
      <c r="K344" s="16"/>
      <c r="L344" s="16"/>
      <c r="M344" s="16"/>
      <c r="N344" s="16"/>
      <c r="O344" s="16"/>
      <c r="P344" s="16"/>
      <c r="Q344" s="16"/>
      <c r="R344" s="16"/>
      <c r="S344" s="16"/>
      <c r="T344" s="16"/>
      <c r="U344" s="16"/>
      <c r="V344" s="16"/>
      <c r="W344" s="16"/>
      <c r="X344" s="16"/>
      <c r="Y344" s="16"/>
      <c r="Z344" s="16"/>
      <c r="AA344" s="16"/>
      <c r="AB344" s="16"/>
      <c r="AC344" s="16"/>
      <c r="AD344" s="16"/>
      <c r="AE344" s="16"/>
      <c r="AF344" s="16"/>
      <c r="AG344" s="16"/>
      <c r="AH344" s="16"/>
      <c r="AI344" s="16"/>
      <c r="AJ344" s="16"/>
    </row>
    <row r="345" ht="12.75" customHeight="1" spans="1:36" x14ac:dyDescent="0.25">
      <c r="A345" s="16"/>
      <c r="B345" s="16"/>
      <c r="C345" s="16"/>
      <c r="D345" s="16"/>
      <c r="E345" s="16"/>
      <c r="F345" s="16"/>
      <c r="G345" s="16"/>
      <c r="H345" s="16"/>
      <c r="I345" s="16"/>
      <c r="J345" s="16"/>
      <c r="K345" s="16"/>
      <c r="L345" s="16"/>
      <c r="M345" s="16"/>
      <c r="N345" s="16"/>
      <c r="O345" s="16"/>
      <c r="P345" s="16"/>
      <c r="Q345" s="16"/>
      <c r="R345" s="16"/>
      <c r="S345" s="16"/>
      <c r="T345" s="16"/>
      <c r="U345" s="16"/>
      <c r="V345" s="16"/>
      <c r="W345" s="16"/>
      <c r="X345" s="16"/>
      <c r="Y345" s="16"/>
      <c r="Z345" s="16"/>
      <c r="AA345" s="16"/>
      <c r="AB345" s="16"/>
      <c r="AC345" s="16"/>
      <c r="AD345" s="16"/>
      <c r="AE345" s="16"/>
      <c r="AF345" s="16"/>
      <c r="AG345" s="16"/>
      <c r="AH345" s="16"/>
      <c r="AI345" s="16"/>
      <c r="AJ345" s="16"/>
    </row>
    <row r="346" ht="12.75" customHeight="1" spans="1:36" x14ac:dyDescent="0.25">
      <c r="A346" s="16"/>
      <c r="B346" s="16"/>
      <c r="C346" s="16"/>
      <c r="D346" s="16"/>
      <c r="E346" s="16"/>
      <c r="F346" s="16"/>
      <c r="G346" s="16"/>
      <c r="H346" s="16"/>
      <c r="I346" s="16"/>
      <c r="J346" s="16"/>
      <c r="K346" s="16"/>
      <c r="L346" s="16"/>
      <c r="M346" s="16"/>
      <c r="N346" s="16"/>
      <c r="O346" s="16"/>
      <c r="P346" s="16"/>
      <c r="Q346" s="16"/>
      <c r="R346" s="16"/>
      <c r="S346" s="16"/>
      <c r="T346" s="16"/>
      <c r="U346" s="16"/>
      <c r="V346" s="16"/>
      <c r="W346" s="16"/>
      <c r="X346" s="16"/>
      <c r="Y346" s="16"/>
      <c r="Z346" s="16"/>
      <c r="AA346" s="16"/>
      <c r="AB346" s="16"/>
      <c r="AC346" s="16"/>
      <c r="AD346" s="16"/>
      <c r="AE346" s="16"/>
      <c r="AF346" s="16"/>
      <c r="AG346" s="16"/>
      <c r="AH346" s="16"/>
      <c r="AI346" s="16"/>
      <c r="AJ346" s="16"/>
    </row>
    <row r="347" ht="12.75" customHeight="1" spans="1:36" x14ac:dyDescent="0.25">
      <c r="A347" s="16"/>
      <c r="B347" s="16"/>
      <c r="C347" s="16"/>
      <c r="D347" s="16"/>
      <c r="E347" s="16"/>
      <c r="F347" s="16"/>
      <c r="G347" s="16"/>
      <c r="H347" s="16"/>
      <c r="I347" s="16"/>
      <c r="J347" s="16"/>
      <c r="K347" s="16"/>
      <c r="L347" s="16"/>
      <c r="M347" s="16"/>
      <c r="N347" s="16"/>
      <c r="O347" s="16"/>
      <c r="P347" s="16"/>
      <c r="Q347" s="16"/>
      <c r="R347" s="16"/>
      <c r="S347" s="16"/>
      <c r="T347" s="16"/>
      <c r="U347" s="16"/>
      <c r="V347" s="16"/>
      <c r="W347" s="16"/>
      <c r="X347" s="16"/>
      <c r="Y347" s="16"/>
      <c r="Z347" s="16"/>
      <c r="AA347" s="16"/>
      <c r="AB347" s="16"/>
      <c r="AC347" s="16"/>
      <c r="AD347" s="16"/>
      <c r="AE347" s="16"/>
      <c r="AF347" s="16"/>
      <c r="AG347" s="16"/>
      <c r="AH347" s="16"/>
      <c r="AI347" s="16"/>
      <c r="AJ347" s="16"/>
    </row>
    <row r="348" ht="12.75" customHeight="1" spans="1:36" x14ac:dyDescent="0.25">
      <c r="A348" s="16"/>
      <c r="B348" s="16"/>
      <c r="C348" s="16"/>
      <c r="D348" s="16"/>
      <c r="E348" s="16"/>
      <c r="F348" s="16"/>
      <c r="G348" s="16"/>
      <c r="H348" s="16"/>
      <c r="I348" s="16"/>
      <c r="J348" s="16"/>
      <c r="K348" s="16"/>
      <c r="L348" s="16"/>
      <c r="M348" s="16"/>
      <c r="N348" s="16"/>
      <c r="O348" s="16"/>
      <c r="P348" s="16"/>
      <c r="Q348" s="16"/>
      <c r="R348" s="16"/>
      <c r="S348" s="16"/>
      <c r="T348" s="16"/>
      <c r="U348" s="16"/>
      <c r="V348" s="16"/>
      <c r="W348" s="16"/>
      <c r="X348" s="16"/>
      <c r="Y348" s="16"/>
      <c r="Z348" s="16"/>
      <c r="AA348" s="16"/>
      <c r="AB348" s="16"/>
      <c r="AC348" s="16"/>
      <c r="AD348" s="16"/>
      <c r="AE348" s="16"/>
      <c r="AF348" s="16"/>
      <c r="AG348" s="16"/>
      <c r="AH348" s="16"/>
      <c r="AI348" s="16"/>
      <c r="AJ348" s="16"/>
    </row>
    <row r="349" ht="12.75" customHeight="1" spans="1:36" x14ac:dyDescent="0.25">
      <c r="A349" s="16"/>
      <c r="B349" s="16"/>
      <c r="C349" s="16"/>
      <c r="D349" s="16"/>
      <c r="E349" s="16"/>
      <c r="F349" s="16"/>
      <c r="G349" s="16"/>
      <c r="H349" s="16"/>
      <c r="I349" s="16"/>
      <c r="J349" s="16"/>
      <c r="K349" s="16"/>
      <c r="L349" s="16"/>
      <c r="M349" s="16"/>
      <c r="N349" s="16"/>
      <c r="O349" s="16"/>
      <c r="P349" s="16"/>
      <c r="Q349" s="16"/>
      <c r="R349" s="16"/>
      <c r="S349" s="16"/>
      <c r="T349" s="16"/>
      <c r="U349" s="16"/>
      <c r="V349" s="16"/>
      <c r="W349" s="16"/>
      <c r="X349" s="16"/>
      <c r="Y349" s="16"/>
      <c r="Z349" s="16"/>
      <c r="AA349" s="16"/>
      <c r="AB349" s="16"/>
      <c r="AC349" s="16"/>
      <c r="AD349" s="16"/>
      <c r="AE349" s="16"/>
      <c r="AF349" s="16"/>
      <c r="AG349" s="16"/>
      <c r="AH349" s="16"/>
      <c r="AI349" s="16"/>
      <c r="AJ349" s="16"/>
    </row>
    <row r="350" ht="12.75" customHeight="1" spans="1:36" x14ac:dyDescent="0.25">
      <c r="A350" s="16"/>
      <c r="B350" s="16"/>
      <c r="C350" s="16"/>
      <c r="D350" s="16"/>
      <c r="E350" s="16"/>
      <c r="F350" s="16"/>
      <c r="G350" s="16"/>
      <c r="H350" s="16"/>
      <c r="I350" s="16"/>
      <c r="J350" s="16"/>
      <c r="K350" s="16"/>
      <c r="L350" s="16"/>
      <c r="M350" s="16"/>
      <c r="N350" s="16"/>
      <c r="O350" s="16"/>
      <c r="P350" s="16"/>
      <c r="Q350" s="16"/>
      <c r="R350" s="16"/>
      <c r="S350" s="16"/>
      <c r="T350" s="16"/>
      <c r="U350" s="16"/>
      <c r="V350" s="16"/>
      <c r="W350" s="16"/>
      <c r="X350" s="16"/>
      <c r="Y350" s="16"/>
      <c r="Z350" s="16"/>
      <c r="AA350" s="16"/>
      <c r="AB350" s="16"/>
      <c r="AC350" s="16"/>
      <c r="AD350" s="16"/>
      <c r="AE350" s="16"/>
      <c r="AF350" s="16"/>
      <c r="AG350" s="16"/>
      <c r="AH350" s="16"/>
      <c r="AI350" s="16"/>
      <c r="AJ350" s="16"/>
    </row>
    <row r="351" ht="12.75" customHeight="1" spans="1:36" x14ac:dyDescent="0.25">
      <c r="A351" s="16"/>
      <c r="B351" s="16"/>
      <c r="C351" s="16"/>
      <c r="D351" s="16"/>
      <c r="E351" s="16"/>
      <c r="F351" s="16"/>
      <c r="G351" s="16"/>
      <c r="H351" s="16"/>
      <c r="I351" s="16"/>
      <c r="J351" s="16"/>
      <c r="K351" s="16"/>
      <c r="L351" s="16"/>
      <c r="M351" s="16"/>
      <c r="N351" s="16"/>
      <c r="O351" s="16"/>
      <c r="P351" s="16"/>
      <c r="Q351" s="16"/>
      <c r="R351" s="16"/>
      <c r="S351" s="16"/>
      <c r="T351" s="16"/>
      <c r="U351" s="16"/>
      <c r="V351" s="16"/>
      <c r="W351" s="16"/>
      <c r="X351" s="16"/>
      <c r="Y351" s="16"/>
      <c r="Z351" s="16"/>
      <c r="AA351" s="16"/>
      <c r="AB351" s="16"/>
      <c r="AC351" s="16"/>
      <c r="AD351" s="16"/>
      <c r="AE351" s="16"/>
      <c r="AF351" s="16"/>
      <c r="AG351" s="16"/>
      <c r="AH351" s="16"/>
      <c r="AI351" s="16"/>
      <c r="AJ351" s="16"/>
    </row>
    <row r="352" ht="12.75" customHeight="1" spans="1:36" x14ac:dyDescent="0.25">
      <c r="A352" s="16"/>
      <c r="B352" s="16"/>
      <c r="C352" s="16"/>
      <c r="D352" s="16"/>
      <c r="E352" s="16"/>
      <c r="F352" s="16"/>
      <c r="G352" s="16"/>
      <c r="H352" s="16"/>
      <c r="I352" s="16"/>
      <c r="J352" s="16"/>
      <c r="K352" s="16"/>
      <c r="L352" s="16"/>
      <c r="M352" s="16"/>
      <c r="N352" s="16"/>
      <c r="O352" s="16"/>
      <c r="P352" s="16"/>
      <c r="Q352" s="16"/>
      <c r="R352" s="16"/>
      <c r="S352" s="16"/>
      <c r="T352" s="16"/>
      <c r="U352" s="16"/>
      <c r="V352" s="16"/>
      <c r="W352" s="16"/>
      <c r="X352" s="16"/>
      <c r="Y352" s="16"/>
      <c r="Z352" s="16"/>
      <c r="AA352" s="16"/>
      <c r="AB352" s="16"/>
      <c r="AC352" s="16"/>
      <c r="AD352" s="16"/>
      <c r="AE352" s="16"/>
      <c r="AF352" s="16"/>
      <c r="AG352" s="16"/>
      <c r="AH352" s="16"/>
      <c r="AI352" s="16"/>
      <c r="AJ352" s="16"/>
    </row>
    <row r="353" ht="12.75" customHeight="1" spans="1:36" x14ac:dyDescent="0.25">
      <c r="A353" s="16"/>
      <c r="B353" s="16"/>
      <c r="C353" s="16"/>
      <c r="D353" s="16"/>
      <c r="E353" s="16"/>
      <c r="F353" s="16"/>
      <c r="G353" s="16"/>
      <c r="H353" s="16"/>
      <c r="I353" s="16"/>
      <c r="J353" s="16"/>
      <c r="K353" s="16"/>
      <c r="L353" s="16"/>
      <c r="M353" s="16"/>
      <c r="N353" s="16"/>
      <c r="O353" s="16"/>
      <c r="P353" s="16"/>
      <c r="Q353" s="16"/>
      <c r="R353" s="16"/>
      <c r="S353" s="16"/>
      <c r="T353" s="16"/>
      <c r="U353" s="16"/>
      <c r="V353" s="16"/>
      <c r="W353" s="16"/>
      <c r="X353" s="16"/>
      <c r="Y353" s="16"/>
      <c r="Z353" s="16"/>
      <c r="AA353" s="16"/>
      <c r="AB353" s="16"/>
      <c r="AC353" s="16"/>
      <c r="AD353" s="16"/>
      <c r="AE353" s="16"/>
      <c r="AF353" s="16"/>
      <c r="AG353" s="16"/>
      <c r="AH353" s="16"/>
      <c r="AI353" s="16"/>
      <c r="AJ353" s="16"/>
    </row>
    <row r="354" ht="12.75" customHeight="1" spans="1:36" x14ac:dyDescent="0.25">
      <c r="A354" s="16"/>
      <c r="B354" s="16"/>
      <c r="C354" s="16"/>
      <c r="D354" s="16"/>
      <c r="E354" s="16"/>
      <c r="F354" s="16"/>
      <c r="G354" s="16"/>
      <c r="H354" s="16"/>
      <c r="I354" s="16"/>
      <c r="J354" s="16"/>
      <c r="K354" s="16"/>
      <c r="L354" s="16"/>
      <c r="M354" s="16"/>
      <c r="N354" s="16"/>
      <c r="O354" s="16"/>
      <c r="P354" s="16"/>
      <c r="Q354" s="16"/>
      <c r="R354" s="16"/>
      <c r="S354" s="16"/>
      <c r="T354" s="16"/>
      <c r="U354" s="16"/>
      <c r="V354" s="16"/>
      <c r="W354" s="16"/>
      <c r="X354" s="16"/>
      <c r="Y354" s="16"/>
      <c r="Z354" s="16"/>
      <c r="AA354" s="16"/>
      <c r="AB354" s="16"/>
      <c r="AC354" s="16"/>
      <c r="AD354" s="16"/>
      <c r="AE354" s="16"/>
      <c r="AF354" s="16"/>
      <c r="AG354" s="16"/>
      <c r="AH354" s="16"/>
      <c r="AI354" s="16"/>
      <c r="AJ354" s="16"/>
    </row>
    <row r="355" ht="12.75" customHeight="1" spans="1:36" x14ac:dyDescent="0.25">
      <c r="A355" s="16"/>
      <c r="B355" s="16"/>
      <c r="C355" s="16"/>
      <c r="D355" s="16"/>
      <c r="E355" s="16"/>
      <c r="F355" s="16"/>
      <c r="G355" s="16"/>
      <c r="H355" s="16"/>
      <c r="I355" s="16"/>
      <c r="J355" s="16"/>
      <c r="K355" s="16"/>
      <c r="L355" s="16"/>
      <c r="M355" s="16"/>
      <c r="N355" s="16"/>
      <c r="O355" s="16"/>
      <c r="P355" s="16"/>
      <c r="Q355" s="16"/>
      <c r="R355" s="16"/>
      <c r="S355" s="16"/>
      <c r="T355" s="16"/>
      <c r="U355" s="16"/>
      <c r="V355" s="16"/>
      <c r="W355" s="16"/>
      <c r="X355" s="16"/>
      <c r="Y355" s="16"/>
      <c r="Z355" s="16"/>
      <c r="AA355" s="16"/>
      <c r="AB355" s="16"/>
      <c r="AC355" s="16"/>
      <c r="AD355" s="16"/>
      <c r="AE355" s="16"/>
      <c r="AF355" s="16"/>
      <c r="AG355" s="16"/>
      <c r="AH355" s="16"/>
      <c r="AI355" s="16"/>
      <c r="AJ355" s="16"/>
    </row>
    <row r="356" ht="12.75" customHeight="1" spans="1:36" x14ac:dyDescent="0.25">
      <c r="A356" s="16"/>
      <c r="B356" s="16"/>
      <c r="C356" s="16"/>
      <c r="D356" s="16"/>
      <c r="E356" s="16"/>
      <c r="F356" s="16"/>
      <c r="G356" s="16"/>
      <c r="H356" s="16"/>
      <c r="I356" s="16"/>
      <c r="J356" s="16"/>
      <c r="K356" s="16"/>
      <c r="L356" s="16"/>
      <c r="M356" s="16"/>
      <c r="N356" s="16"/>
      <c r="O356" s="16"/>
      <c r="P356" s="16"/>
      <c r="Q356" s="16"/>
      <c r="R356" s="16"/>
      <c r="S356" s="16"/>
      <c r="T356" s="16"/>
      <c r="U356" s="16"/>
      <c r="V356" s="16"/>
      <c r="W356" s="16"/>
      <c r="X356" s="16"/>
      <c r="Y356" s="16"/>
      <c r="Z356" s="16"/>
      <c r="AA356" s="16"/>
      <c r="AB356" s="16"/>
      <c r="AC356" s="16"/>
      <c r="AD356" s="16"/>
      <c r="AE356" s="16"/>
      <c r="AF356" s="16"/>
      <c r="AG356" s="16"/>
      <c r="AH356" s="16"/>
      <c r="AI356" s="16"/>
      <c r="AJ356" s="16"/>
    </row>
    <row r="357" ht="12.75" customHeight="1" spans="1:36" x14ac:dyDescent="0.25">
      <c r="A357" s="16"/>
      <c r="B357" s="16"/>
      <c r="C357" s="16"/>
      <c r="D357" s="16"/>
      <c r="E357" s="16"/>
      <c r="F357" s="16"/>
      <c r="G357" s="16"/>
      <c r="H357" s="16"/>
      <c r="I357" s="16"/>
      <c r="J357" s="16"/>
      <c r="K357" s="16"/>
      <c r="L357" s="16"/>
      <c r="M357" s="16"/>
      <c r="N357" s="16"/>
      <c r="O357" s="16"/>
      <c r="P357" s="16"/>
      <c r="Q357" s="16"/>
      <c r="R357" s="16"/>
      <c r="S357" s="16"/>
      <c r="T357" s="16"/>
      <c r="U357" s="16"/>
      <c r="V357" s="16"/>
      <c r="W357" s="16"/>
      <c r="X357" s="16"/>
      <c r="Y357" s="16"/>
      <c r="Z357" s="16"/>
      <c r="AA357" s="16"/>
      <c r="AB357" s="16"/>
      <c r="AC357" s="16"/>
      <c r="AD357" s="16"/>
      <c r="AE357" s="16"/>
      <c r="AF357" s="16"/>
      <c r="AG357" s="16"/>
      <c r="AH357" s="16"/>
      <c r="AI357" s="16"/>
      <c r="AJ357" s="16"/>
    </row>
    <row r="358" ht="12.75" customHeight="1" spans="1:36" x14ac:dyDescent="0.25">
      <c r="A358" s="16"/>
      <c r="B358" s="16"/>
      <c r="C358" s="16"/>
      <c r="D358" s="16"/>
      <c r="E358" s="16"/>
      <c r="F358" s="16"/>
      <c r="G358" s="16"/>
      <c r="H358" s="16"/>
      <c r="I358" s="16"/>
      <c r="J358" s="16"/>
      <c r="K358" s="16"/>
      <c r="L358" s="16"/>
      <c r="M358" s="16"/>
      <c r="N358" s="16"/>
      <c r="O358" s="16"/>
      <c r="P358" s="16"/>
      <c r="Q358" s="16"/>
      <c r="R358" s="16"/>
      <c r="S358" s="16"/>
      <c r="T358" s="16"/>
      <c r="U358" s="16"/>
      <c r="V358" s="16"/>
      <c r="W358" s="16"/>
      <c r="X358" s="16"/>
      <c r="Y358" s="16"/>
      <c r="Z358" s="16"/>
      <c r="AA358" s="16"/>
      <c r="AB358" s="16"/>
      <c r="AC358" s="16"/>
      <c r="AD358" s="16"/>
      <c r="AE358" s="16"/>
      <c r="AF358" s="16"/>
      <c r="AG358" s="16"/>
      <c r="AH358" s="16"/>
      <c r="AI358" s="16"/>
      <c r="AJ358" s="16"/>
    </row>
    <row r="359" ht="12.75" customHeight="1" spans="1:36" x14ac:dyDescent="0.25">
      <c r="A359" s="16"/>
      <c r="B359" s="16"/>
      <c r="C359" s="16"/>
      <c r="D359" s="16"/>
      <c r="E359" s="16"/>
      <c r="F359" s="16"/>
      <c r="G359" s="16"/>
      <c r="H359" s="16"/>
      <c r="I359" s="16"/>
      <c r="J359" s="16"/>
      <c r="K359" s="16"/>
      <c r="L359" s="16"/>
      <c r="M359" s="16"/>
      <c r="N359" s="16"/>
      <c r="O359" s="16"/>
      <c r="P359" s="16"/>
      <c r="Q359" s="16"/>
      <c r="R359" s="16"/>
      <c r="S359" s="16"/>
      <c r="T359" s="16"/>
      <c r="U359" s="16"/>
      <c r="V359" s="16"/>
      <c r="W359" s="16"/>
      <c r="X359" s="16"/>
      <c r="Y359" s="16"/>
      <c r="Z359" s="16"/>
      <c r="AA359" s="16"/>
      <c r="AB359" s="16"/>
      <c r="AC359" s="16"/>
      <c r="AD359" s="16"/>
      <c r="AE359" s="16"/>
      <c r="AF359" s="16"/>
      <c r="AG359" s="16"/>
      <c r="AH359" s="16"/>
      <c r="AI359" s="16"/>
      <c r="AJ359" s="16"/>
    </row>
    <row r="360" ht="12.75" customHeight="1" spans="1:36" x14ac:dyDescent="0.25">
      <c r="A360" s="16"/>
      <c r="B360" s="16"/>
      <c r="C360" s="16"/>
      <c r="D360" s="16"/>
      <c r="E360" s="16"/>
      <c r="F360" s="16"/>
      <c r="G360" s="16"/>
      <c r="H360" s="16"/>
      <c r="I360" s="16"/>
      <c r="J360" s="16"/>
      <c r="K360" s="16"/>
      <c r="L360" s="16"/>
      <c r="M360" s="16"/>
      <c r="N360" s="16"/>
      <c r="O360" s="16"/>
      <c r="P360" s="16"/>
      <c r="Q360" s="16"/>
      <c r="R360" s="16"/>
      <c r="S360" s="16"/>
      <c r="T360" s="16"/>
      <c r="U360" s="16"/>
      <c r="V360" s="16"/>
      <c r="W360" s="16"/>
      <c r="X360" s="16"/>
      <c r="Y360" s="16"/>
      <c r="Z360" s="16"/>
      <c r="AA360" s="16"/>
      <c r="AB360" s="16"/>
      <c r="AC360" s="16"/>
      <c r="AD360" s="16"/>
      <c r="AE360" s="16"/>
      <c r="AF360" s="16"/>
      <c r="AG360" s="16"/>
      <c r="AH360" s="16"/>
      <c r="AI360" s="16"/>
      <c r="AJ360" s="16"/>
    </row>
    <row r="361" ht="12.75" customHeight="1" spans="1:36" x14ac:dyDescent="0.25">
      <c r="A361" s="16"/>
      <c r="B361" s="16"/>
      <c r="C361" s="16"/>
      <c r="D361" s="16"/>
      <c r="E361" s="16"/>
      <c r="F361" s="16"/>
      <c r="G361" s="16"/>
      <c r="H361" s="16"/>
      <c r="I361" s="16"/>
      <c r="J361" s="16"/>
      <c r="K361" s="16"/>
      <c r="L361" s="16"/>
      <c r="M361" s="16"/>
      <c r="N361" s="16"/>
      <c r="O361" s="16"/>
      <c r="P361" s="16"/>
      <c r="Q361" s="16"/>
      <c r="R361" s="16"/>
      <c r="S361" s="16"/>
      <c r="T361" s="16"/>
      <c r="U361" s="16"/>
      <c r="V361" s="16"/>
      <c r="W361" s="16"/>
      <c r="X361" s="16"/>
      <c r="Y361" s="16"/>
      <c r="Z361" s="16"/>
      <c r="AA361" s="16"/>
      <c r="AB361" s="16"/>
      <c r="AC361" s="16"/>
      <c r="AD361" s="16"/>
      <c r="AE361" s="16"/>
      <c r="AF361" s="16"/>
      <c r="AG361" s="16"/>
      <c r="AH361" s="16"/>
      <c r="AI361" s="16"/>
      <c r="AJ361" s="16"/>
    </row>
    <row r="362" ht="12.75" customHeight="1" spans="1:36" x14ac:dyDescent="0.25">
      <c r="A362" s="16"/>
      <c r="B362" s="16"/>
      <c r="C362" s="16"/>
      <c r="D362" s="16"/>
      <c r="E362" s="16"/>
      <c r="F362" s="16"/>
      <c r="G362" s="16"/>
      <c r="H362" s="16"/>
      <c r="I362" s="16"/>
      <c r="J362" s="16"/>
      <c r="K362" s="16"/>
      <c r="L362" s="16"/>
      <c r="M362" s="16"/>
      <c r="N362" s="16"/>
      <c r="O362" s="16"/>
      <c r="P362" s="16"/>
      <c r="Q362" s="16"/>
      <c r="R362" s="16"/>
      <c r="S362" s="16"/>
      <c r="T362" s="16"/>
      <c r="U362" s="16"/>
      <c r="V362" s="16"/>
      <c r="W362" s="16"/>
      <c r="X362" s="16"/>
      <c r="Y362" s="16"/>
      <c r="Z362" s="16"/>
      <c r="AA362" s="16"/>
      <c r="AB362" s="16"/>
      <c r="AC362" s="16"/>
      <c r="AD362" s="16"/>
      <c r="AE362" s="16"/>
      <c r="AF362" s="16"/>
      <c r="AG362" s="16"/>
      <c r="AH362" s="16"/>
      <c r="AI362" s="16"/>
      <c r="AJ362" s="16"/>
    </row>
    <row r="363" ht="12.75" customHeight="1" spans="1:36" x14ac:dyDescent="0.25">
      <c r="A363" s="16"/>
      <c r="B363" s="16"/>
      <c r="C363" s="16"/>
      <c r="D363" s="16"/>
      <c r="E363" s="16"/>
      <c r="F363" s="16"/>
      <c r="G363" s="16"/>
      <c r="H363" s="16"/>
      <c r="I363" s="16"/>
      <c r="J363" s="16"/>
      <c r="K363" s="16"/>
      <c r="L363" s="16"/>
      <c r="M363" s="16"/>
      <c r="N363" s="16"/>
      <c r="O363" s="16"/>
      <c r="P363" s="16"/>
      <c r="Q363" s="16"/>
      <c r="R363" s="16"/>
      <c r="S363" s="16"/>
      <c r="T363" s="16"/>
      <c r="U363" s="16"/>
      <c r="V363" s="16"/>
      <c r="W363" s="16"/>
      <c r="X363" s="16"/>
      <c r="Y363" s="16"/>
      <c r="Z363" s="16"/>
      <c r="AA363" s="16"/>
      <c r="AB363" s="16"/>
      <c r="AC363" s="16"/>
      <c r="AD363" s="16"/>
      <c r="AE363" s="16"/>
      <c r="AF363" s="16"/>
      <c r="AG363" s="16"/>
      <c r="AH363" s="16"/>
      <c r="AI363" s="16"/>
      <c r="AJ363" s="16"/>
    </row>
    <row r="364" ht="12.75" customHeight="1" spans="1:36" x14ac:dyDescent="0.25">
      <c r="A364" s="16"/>
      <c r="B364" s="16"/>
      <c r="C364" s="16"/>
      <c r="D364" s="16"/>
      <c r="E364" s="16"/>
      <c r="F364" s="16"/>
      <c r="G364" s="16"/>
      <c r="H364" s="16"/>
      <c r="I364" s="16"/>
      <c r="J364" s="16"/>
      <c r="K364" s="16"/>
      <c r="L364" s="16"/>
      <c r="M364" s="16"/>
      <c r="N364" s="16"/>
      <c r="O364" s="16"/>
      <c r="P364" s="16"/>
      <c r="Q364" s="16"/>
      <c r="R364" s="16"/>
      <c r="S364" s="16"/>
      <c r="T364" s="16"/>
      <c r="U364" s="16"/>
      <c r="V364" s="16"/>
      <c r="W364" s="16"/>
      <c r="X364" s="16"/>
      <c r="Y364" s="16"/>
      <c r="Z364" s="16"/>
      <c r="AA364" s="16"/>
      <c r="AB364" s="16"/>
      <c r="AC364" s="16"/>
      <c r="AD364" s="16"/>
      <c r="AE364" s="16"/>
      <c r="AF364" s="16"/>
      <c r="AG364" s="16"/>
      <c r="AH364" s="16"/>
      <c r="AI364" s="16"/>
      <c r="AJ364" s="16"/>
    </row>
    <row r="365" ht="12.75" customHeight="1" spans="1:36" x14ac:dyDescent="0.25">
      <c r="A365" s="16"/>
      <c r="B365" s="16"/>
      <c r="C365" s="16"/>
      <c r="D365" s="16"/>
      <c r="E365" s="16"/>
      <c r="F365" s="16"/>
      <c r="G365" s="16"/>
      <c r="H365" s="16"/>
      <c r="I365" s="16"/>
      <c r="J365" s="16"/>
      <c r="K365" s="16"/>
      <c r="L365" s="16"/>
      <c r="M365" s="16"/>
      <c r="N365" s="16"/>
      <c r="O365" s="16"/>
      <c r="P365" s="16"/>
      <c r="Q365" s="16"/>
      <c r="R365" s="16"/>
      <c r="S365" s="16"/>
      <c r="T365" s="16"/>
      <c r="U365" s="16"/>
      <c r="V365" s="16"/>
      <c r="W365" s="16"/>
      <c r="X365" s="16"/>
      <c r="Y365" s="16"/>
      <c r="Z365" s="16"/>
      <c r="AA365" s="16"/>
      <c r="AB365" s="16"/>
      <c r="AC365" s="16"/>
      <c r="AD365" s="16"/>
      <c r="AE365" s="16"/>
      <c r="AF365" s="16"/>
      <c r="AG365" s="16"/>
      <c r="AH365" s="16"/>
      <c r="AI365" s="16"/>
      <c r="AJ365" s="16"/>
    </row>
    <row r="366" ht="12.75" customHeight="1" spans="1:36" x14ac:dyDescent="0.25">
      <c r="A366" s="16"/>
      <c r="B366" s="16"/>
      <c r="C366" s="16"/>
      <c r="D366" s="16"/>
      <c r="E366" s="16"/>
      <c r="F366" s="16"/>
      <c r="G366" s="16"/>
      <c r="H366" s="16"/>
      <c r="I366" s="16"/>
      <c r="J366" s="16"/>
      <c r="K366" s="16"/>
      <c r="L366" s="16"/>
      <c r="M366" s="16"/>
      <c r="N366" s="16"/>
      <c r="O366" s="16"/>
      <c r="P366" s="16"/>
      <c r="Q366" s="16"/>
      <c r="R366" s="16"/>
      <c r="S366" s="16"/>
      <c r="T366" s="16"/>
      <c r="U366" s="16"/>
      <c r="V366" s="16"/>
      <c r="W366" s="16"/>
      <c r="X366" s="16"/>
      <c r="Y366" s="16"/>
      <c r="Z366" s="16"/>
      <c r="AA366" s="16"/>
      <c r="AB366" s="16"/>
      <c r="AC366" s="16"/>
      <c r="AD366" s="16"/>
      <c r="AE366" s="16"/>
      <c r="AF366" s="16"/>
      <c r="AG366" s="16"/>
      <c r="AH366" s="16"/>
      <c r="AI366" s="16"/>
      <c r="AJ366" s="16"/>
    </row>
    <row r="367" ht="12.75" customHeight="1" spans="1:36" x14ac:dyDescent="0.25">
      <c r="A367" s="16"/>
      <c r="B367" s="16"/>
      <c r="C367" s="16"/>
      <c r="D367" s="16"/>
      <c r="E367" s="16"/>
      <c r="F367" s="16"/>
      <c r="G367" s="16"/>
      <c r="H367" s="16"/>
      <c r="I367" s="16"/>
      <c r="J367" s="16"/>
      <c r="K367" s="16"/>
      <c r="L367" s="16"/>
      <c r="M367" s="16"/>
      <c r="N367" s="16"/>
      <c r="O367" s="16"/>
      <c r="P367" s="16"/>
      <c r="Q367" s="16"/>
      <c r="R367" s="16"/>
      <c r="S367" s="16"/>
      <c r="T367" s="16"/>
      <c r="U367" s="16"/>
      <c r="V367" s="16"/>
      <c r="W367" s="16"/>
      <c r="X367" s="16"/>
      <c r="Y367" s="16"/>
      <c r="Z367" s="16"/>
      <c r="AA367" s="16"/>
      <c r="AB367" s="16"/>
      <c r="AC367" s="16"/>
      <c r="AD367" s="16"/>
      <c r="AE367" s="16"/>
      <c r="AF367" s="16"/>
      <c r="AG367" s="16"/>
      <c r="AH367" s="16"/>
      <c r="AI367" s="16"/>
      <c r="AJ367" s="16"/>
    </row>
    <row r="368" ht="12.75" customHeight="1" spans="1:36" x14ac:dyDescent="0.25">
      <c r="A368" s="16"/>
      <c r="B368" s="16"/>
      <c r="C368" s="16"/>
      <c r="D368" s="16"/>
      <c r="E368" s="16"/>
      <c r="F368" s="16"/>
      <c r="G368" s="16"/>
      <c r="H368" s="16"/>
      <c r="I368" s="16"/>
      <c r="J368" s="16"/>
      <c r="K368" s="16"/>
      <c r="L368" s="16"/>
      <c r="M368" s="16"/>
      <c r="N368" s="16"/>
      <c r="O368" s="16"/>
      <c r="P368" s="16"/>
      <c r="Q368" s="16"/>
      <c r="R368" s="16"/>
      <c r="S368" s="16"/>
      <c r="T368" s="16"/>
      <c r="U368" s="16"/>
      <c r="V368" s="16"/>
      <c r="W368" s="16"/>
      <c r="X368" s="16"/>
      <c r="Y368" s="16"/>
      <c r="Z368" s="16"/>
      <c r="AA368" s="16"/>
      <c r="AB368" s="16"/>
      <c r="AC368" s="16"/>
      <c r="AD368" s="16"/>
      <c r="AE368" s="16"/>
      <c r="AF368" s="16"/>
      <c r="AG368" s="16"/>
      <c r="AH368" s="16"/>
      <c r="AI368" s="16"/>
      <c r="AJ368" s="16"/>
    </row>
    <row r="369" ht="12.75" customHeight="1" spans="1:36" x14ac:dyDescent="0.25">
      <c r="A369" s="16"/>
      <c r="B369" s="16"/>
      <c r="C369" s="16"/>
      <c r="D369" s="16"/>
      <c r="E369" s="16"/>
      <c r="F369" s="16"/>
      <c r="G369" s="16"/>
      <c r="H369" s="16"/>
      <c r="I369" s="16"/>
      <c r="J369" s="16"/>
      <c r="K369" s="16"/>
      <c r="L369" s="16"/>
      <c r="M369" s="16"/>
      <c r="N369" s="16"/>
      <c r="O369" s="16"/>
      <c r="P369" s="16"/>
      <c r="Q369" s="16"/>
      <c r="R369" s="16"/>
      <c r="S369" s="16"/>
      <c r="T369" s="16"/>
      <c r="U369" s="16"/>
      <c r="V369" s="16"/>
      <c r="W369" s="16"/>
      <c r="X369" s="16"/>
      <c r="Y369" s="16"/>
      <c r="Z369" s="16"/>
      <c r="AA369" s="16"/>
      <c r="AB369" s="16"/>
      <c r="AC369" s="16"/>
      <c r="AD369" s="16"/>
      <c r="AE369" s="16"/>
      <c r="AF369" s="16"/>
      <c r="AG369" s="16"/>
      <c r="AH369" s="16"/>
      <c r="AI369" s="16"/>
      <c r="AJ369" s="16"/>
    </row>
    <row r="370" ht="12.75" customHeight="1" spans="1:36" x14ac:dyDescent="0.25">
      <c r="A370" s="16"/>
      <c r="B370" s="16"/>
      <c r="C370" s="16"/>
      <c r="D370" s="16"/>
      <c r="E370" s="16"/>
      <c r="F370" s="16"/>
      <c r="G370" s="16"/>
      <c r="H370" s="16"/>
      <c r="I370" s="16"/>
      <c r="J370" s="16"/>
      <c r="K370" s="16"/>
      <c r="L370" s="16"/>
      <c r="M370" s="16"/>
      <c r="N370" s="16"/>
      <c r="O370" s="16"/>
      <c r="P370" s="16"/>
      <c r="Q370" s="16"/>
      <c r="R370" s="16"/>
      <c r="S370" s="16"/>
      <c r="T370" s="16"/>
      <c r="U370" s="16"/>
      <c r="V370" s="16"/>
      <c r="W370" s="16"/>
      <c r="X370" s="16"/>
      <c r="Y370" s="16"/>
      <c r="Z370" s="16"/>
      <c r="AA370" s="16"/>
      <c r="AB370" s="16"/>
      <c r="AC370" s="16"/>
      <c r="AD370" s="16"/>
      <c r="AE370" s="16"/>
      <c r="AF370" s="16"/>
      <c r="AG370" s="16"/>
      <c r="AH370" s="16"/>
      <c r="AI370" s="16"/>
      <c r="AJ370" s="16"/>
    </row>
    <row r="371" ht="12.75" customHeight="1" spans="1:36" x14ac:dyDescent="0.25">
      <c r="A371" s="16"/>
      <c r="B371" s="16"/>
      <c r="C371" s="16"/>
      <c r="D371" s="16"/>
      <c r="E371" s="16"/>
      <c r="F371" s="16"/>
      <c r="G371" s="16"/>
      <c r="H371" s="16"/>
      <c r="I371" s="16"/>
      <c r="J371" s="16"/>
      <c r="K371" s="16"/>
      <c r="L371" s="16"/>
      <c r="M371" s="16"/>
      <c r="N371" s="16"/>
      <c r="O371" s="16"/>
      <c r="P371" s="16"/>
      <c r="Q371" s="16"/>
      <c r="R371" s="16"/>
      <c r="S371" s="16"/>
      <c r="T371" s="16"/>
      <c r="U371" s="16"/>
      <c r="V371" s="16"/>
      <c r="W371" s="16"/>
      <c r="X371" s="16"/>
      <c r="Y371" s="16"/>
      <c r="Z371" s="16"/>
      <c r="AA371" s="16"/>
      <c r="AB371" s="16"/>
      <c r="AC371" s="16"/>
      <c r="AD371" s="16"/>
      <c r="AE371" s="16"/>
      <c r="AF371" s="16"/>
      <c r="AG371" s="16"/>
      <c r="AH371" s="16"/>
      <c r="AI371" s="16"/>
      <c r="AJ371" s="16"/>
    </row>
    <row r="372" ht="12.75" customHeight="1" spans="1:36" x14ac:dyDescent="0.25">
      <c r="A372" s="16"/>
      <c r="B372" s="16"/>
      <c r="C372" s="16"/>
      <c r="D372" s="16"/>
      <c r="E372" s="16"/>
      <c r="F372" s="16"/>
      <c r="G372" s="16"/>
      <c r="H372" s="16"/>
      <c r="I372" s="16"/>
      <c r="J372" s="16"/>
      <c r="K372" s="16"/>
      <c r="L372" s="16"/>
      <c r="M372" s="16"/>
      <c r="N372" s="16"/>
      <c r="O372" s="16"/>
      <c r="P372" s="16"/>
      <c r="Q372" s="16"/>
      <c r="R372" s="16"/>
      <c r="S372" s="16"/>
      <c r="T372" s="16"/>
      <c r="U372" s="16"/>
      <c r="V372" s="16"/>
      <c r="W372" s="16"/>
      <c r="X372" s="16"/>
      <c r="Y372" s="16"/>
      <c r="Z372" s="16"/>
      <c r="AA372" s="16"/>
      <c r="AB372" s="16"/>
      <c r="AC372" s="16"/>
      <c r="AD372" s="16"/>
      <c r="AE372" s="16"/>
      <c r="AF372" s="16"/>
      <c r="AG372" s="16"/>
      <c r="AH372" s="16"/>
      <c r="AI372" s="16"/>
      <c r="AJ372" s="16"/>
    </row>
    <row r="373" ht="12.75" customHeight="1" spans="1:36" x14ac:dyDescent="0.25">
      <c r="A373" s="16"/>
      <c r="B373" s="16"/>
      <c r="C373" s="16"/>
      <c r="D373" s="16"/>
      <c r="E373" s="16"/>
      <c r="F373" s="16"/>
      <c r="G373" s="16"/>
      <c r="H373" s="16"/>
      <c r="I373" s="16"/>
      <c r="J373" s="16"/>
      <c r="K373" s="16"/>
      <c r="L373" s="16"/>
      <c r="M373" s="16"/>
      <c r="N373" s="16"/>
      <c r="O373" s="16"/>
      <c r="P373" s="16"/>
      <c r="Q373" s="16"/>
      <c r="R373" s="16"/>
      <c r="S373" s="16"/>
      <c r="T373" s="16"/>
      <c r="U373" s="16"/>
      <c r="V373" s="16"/>
      <c r="W373" s="16"/>
      <c r="X373" s="16"/>
      <c r="Y373" s="16"/>
      <c r="Z373" s="16"/>
      <c r="AA373" s="16"/>
      <c r="AB373" s="16"/>
      <c r="AC373" s="16"/>
      <c r="AD373" s="16"/>
      <c r="AE373" s="16"/>
      <c r="AF373" s="16"/>
      <c r="AG373" s="16"/>
      <c r="AH373" s="16"/>
      <c r="AI373" s="16"/>
      <c r="AJ373" s="16"/>
    </row>
    <row r="374" ht="12.75" customHeight="1" spans="1:36" x14ac:dyDescent="0.25">
      <c r="A374" s="16"/>
      <c r="B374" s="16"/>
      <c r="C374" s="16"/>
      <c r="D374" s="16"/>
      <c r="E374" s="16"/>
      <c r="F374" s="16"/>
      <c r="G374" s="16"/>
      <c r="H374" s="16"/>
      <c r="I374" s="16"/>
      <c r="J374" s="16"/>
      <c r="K374" s="16"/>
      <c r="L374" s="16"/>
      <c r="M374" s="16"/>
      <c r="N374" s="16"/>
      <c r="O374" s="16"/>
      <c r="P374" s="16"/>
      <c r="Q374" s="16"/>
      <c r="R374" s="16"/>
      <c r="S374" s="16"/>
      <c r="T374" s="16"/>
      <c r="U374" s="16"/>
      <c r="V374" s="16"/>
      <c r="W374" s="16"/>
      <c r="X374" s="16"/>
      <c r="Y374" s="16"/>
      <c r="Z374" s="16"/>
      <c r="AA374" s="16"/>
      <c r="AB374" s="16"/>
      <c r="AC374" s="16"/>
      <c r="AD374" s="16"/>
      <c r="AE374" s="16"/>
      <c r="AF374" s="16"/>
      <c r="AG374" s="16"/>
      <c r="AH374" s="16"/>
      <c r="AI374" s="16"/>
      <c r="AJ374" s="16"/>
    </row>
    <row r="375" ht="12.75" customHeight="1" spans="1:36" x14ac:dyDescent="0.25">
      <c r="A375" s="16"/>
      <c r="B375" s="16"/>
      <c r="C375" s="16"/>
      <c r="D375" s="16"/>
      <c r="E375" s="16"/>
      <c r="F375" s="16"/>
      <c r="G375" s="16"/>
      <c r="H375" s="16"/>
      <c r="I375" s="16"/>
      <c r="J375" s="16"/>
      <c r="K375" s="16"/>
      <c r="L375" s="16"/>
      <c r="M375" s="16"/>
      <c r="N375" s="16"/>
      <c r="O375" s="16"/>
      <c r="P375" s="16"/>
      <c r="Q375" s="16"/>
      <c r="R375" s="16"/>
      <c r="S375" s="16"/>
      <c r="T375" s="16"/>
      <c r="U375" s="16"/>
      <c r="V375" s="16"/>
      <c r="W375" s="16"/>
      <c r="X375" s="16"/>
      <c r="Y375" s="16"/>
      <c r="Z375" s="16"/>
      <c r="AA375" s="16"/>
      <c r="AB375" s="16"/>
      <c r="AC375" s="16"/>
      <c r="AD375" s="16"/>
      <c r="AE375" s="16"/>
      <c r="AF375" s="16"/>
      <c r="AG375" s="16"/>
      <c r="AH375" s="16"/>
      <c r="AI375" s="16"/>
      <c r="AJ375" s="16"/>
    </row>
    <row r="376" ht="12.75" customHeight="1" spans="1:36" x14ac:dyDescent="0.25">
      <c r="A376" s="16"/>
      <c r="B376" s="16"/>
      <c r="C376" s="16"/>
      <c r="D376" s="16"/>
      <c r="E376" s="16"/>
      <c r="F376" s="16"/>
      <c r="G376" s="16"/>
      <c r="H376" s="16"/>
      <c r="I376" s="16"/>
      <c r="J376" s="16"/>
      <c r="K376" s="16"/>
      <c r="L376" s="16"/>
      <c r="M376" s="16"/>
      <c r="N376" s="16"/>
      <c r="O376" s="16"/>
      <c r="P376" s="16"/>
      <c r="Q376" s="16"/>
      <c r="R376" s="16"/>
      <c r="S376" s="16"/>
      <c r="T376" s="16"/>
      <c r="U376" s="16"/>
      <c r="V376" s="16"/>
      <c r="W376" s="16"/>
      <c r="X376" s="16"/>
      <c r="Y376" s="16"/>
      <c r="Z376" s="16"/>
      <c r="AA376" s="16"/>
      <c r="AB376" s="16"/>
      <c r="AC376" s="16"/>
      <c r="AD376" s="16"/>
      <c r="AE376" s="16"/>
      <c r="AF376" s="16"/>
      <c r="AG376" s="16"/>
      <c r="AH376" s="16"/>
      <c r="AI376" s="16"/>
      <c r="AJ376" s="16"/>
    </row>
    <row r="377" ht="12.75" customHeight="1" spans="1:36" x14ac:dyDescent="0.25">
      <c r="A377" s="16"/>
      <c r="B377" s="16"/>
      <c r="C377" s="16"/>
      <c r="D377" s="16"/>
      <c r="E377" s="16"/>
      <c r="F377" s="16"/>
      <c r="G377" s="16"/>
      <c r="H377" s="16"/>
      <c r="I377" s="16"/>
      <c r="J377" s="16"/>
      <c r="K377" s="16"/>
      <c r="L377" s="16"/>
      <c r="M377" s="16"/>
      <c r="N377" s="16"/>
      <c r="O377" s="16"/>
      <c r="P377" s="16"/>
      <c r="Q377" s="16"/>
      <c r="R377" s="16"/>
      <c r="S377" s="16"/>
      <c r="T377" s="16"/>
      <c r="U377" s="16"/>
      <c r="V377" s="16"/>
      <c r="W377" s="16"/>
      <c r="X377" s="16"/>
      <c r="Y377" s="16"/>
      <c r="Z377" s="16"/>
      <c r="AA377" s="16"/>
      <c r="AB377" s="16"/>
      <c r="AC377" s="16"/>
      <c r="AD377" s="16"/>
      <c r="AE377" s="16"/>
      <c r="AF377" s="16"/>
      <c r="AG377" s="16"/>
      <c r="AH377" s="16"/>
      <c r="AI377" s="16"/>
      <c r="AJ377" s="16"/>
    </row>
    <row r="378" ht="12.75" customHeight="1" spans="1:36" x14ac:dyDescent="0.25">
      <c r="A378" s="16"/>
      <c r="B378" s="16"/>
      <c r="C378" s="16"/>
      <c r="D378" s="16"/>
      <c r="E378" s="16"/>
      <c r="F378" s="16"/>
      <c r="G378" s="16"/>
      <c r="H378" s="16"/>
      <c r="I378" s="16"/>
      <c r="J378" s="16"/>
      <c r="K378" s="16"/>
      <c r="L378" s="16"/>
      <c r="M378" s="16"/>
      <c r="N378" s="16"/>
      <c r="O378" s="16"/>
      <c r="P378" s="16"/>
      <c r="Q378" s="16"/>
      <c r="R378" s="16"/>
      <c r="S378" s="16"/>
      <c r="T378" s="16"/>
      <c r="U378" s="16"/>
      <c r="V378" s="16"/>
      <c r="W378" s="16"/>
      <c r="X378" s="16"/>
      <c r="Y378" s="16"/>
      <c r="Z378" s="16"/>
      <c r="AA378" s="16"/>
      <c r="AB378" s="16"/>
      <c r="AC378" s="16"/>
      <c r="AD378" s="16"/>
      <c r="AE378" s="16"/>
      <c r="AF378" s="16"/>
      <c r="AG378" s="16"/>
      <c r="AH378" s="16"/>
      <c r="AI378" s="16"/>
      <c r="AJ378" s="16"/>
    </row>
    <row r="379" ht="12.75" customHeight="1" spans="1:36" x14ac:dyDescent="0.25">
      <c r="A379" s="16"/>
      <c r="B379" s="16"/>
      <c r="C379" s="16"/>
      <c r="D379" s="16"/>
      <c r="E379" s="16"/>
      <c r="F379" s="16"/>
      <c r="G379" s="16"/>
      <c r="H379" s="16"/>
      <c r="I379" s="16"/>
      <c r="J379" s="16"/>
      <c r="K379" s="16"/>
      <c r="L379" s="16"/>
      <c r="M379" s="16"/>
      <c r="N379" s="16"/>
      <c r="O379" s="16"/>
      <c r="P379" s="16"/>
      <c r="Q379" s="16"/>
      <c r="R379" s="16"/>
      <c r="S379" s="16"/>
      <c r="T379" s="16"/>
      <c r="U379" s="16"/>
      <c r="V379" s="16"/>
      <c r="W379" s="16"/>
      <c r="X379" s="16"/>
      <c r="Y379" s="16"/>
      <c r="Z379" s="16"/>
      <c r="AA379" s="16"/>
      <c r="AB379" s="16"/>
      <c r="AC379" s="16"/>
      <c r="AD379" s="16"/>
      <c r="AE379" s="16"/>
      <c r="AF379" s="16"/>
      <c r="AG379" s="16"/>
      <c r="AH379" s="16"/>
      <c r="AI379" s="16"/>
      <c r="AJ379" s="16"/>
    </row>
    <row r="380" ht="12.75" customHeight="1" spans="1:36" x14ac:dyDescent="0.25">
      <c r="A380" s="16"/>
      <c r="B380" s="16"/>
      <c r="C380" s="16"/>
      <c r="D380" s="16"/>
      <c r="E380" s="16"/>
      <c r="F380" s="16"/>
      <c r="G380" s="16"/>
      <c r="H380" s="16"/>
      <c r="I380" s="16"/>
      <c r="J380" s="16"/>
      <c r="K380" s="16"/>
      <c r="L380" s="16"/>
      <c r="M380" s="16"/>
      <c r="N380" s="16"/>
      <c r="O380" s="16"/>
      <c r="P380" s="16"/>
      <c r="Q380" s="16"/>
      <c r="R380" s="16"/>
      <c r="S380" s="16"/>
      <c r="T380" s="16"/>
      <c r="U380" s="16"/>
      <c r="V380" s="16"/>
      <c r="W380" s="16"/>
      <c r="X380" s="16"/>
      <c r="Y380" s="16"/>
      <c r="Z380" s="16"/>
      <c r="AA380" s="16"/>
      <c r="AB380" s="16"/>
      <c r="AC380" s="16"/>
      <c r="AD380" s="16"/>
      <c r="AE380" s="16"/>
      <c r="AF380" s="16"/>
      <c r="AG380" s="16"/>
      <c r="AH380" s="16"/>
      <c r="AI380" s="16"/>
      <c r="AJ380" s="16"/>
    </row>
    <row r="381" ht="12.75" customHeight="1" spans="1:36" x14ac:dyDescent="0.25">
      <c r="A381" s="16"/>
      <c r="B381" s="16"/>
      <c r="C381" s="16"/>
      <c r="D381" s="16"/>
      <c r="E381" s="16"/>
      <c r="F381" s="16"/>
      <c r="G381" s="16"/>
      <c r="H381" s="16"/>
      <c r="I381" s="16"/>
      <c r="J381" s="16"/>
      <c r="K381" s="16"/>
      <c r="L381" s="16"/>
      <c r="M381" s="16"/>
      <c r="N381" s="16"/>
      <c r="O381" s="16"/>
      <c r="P381" s="16"/>
      <c r="Q381" s="16"/>
      <c r="R381" s="16"/>
      <c r="S381" s="16"/>
      <c r="T381" s="16"/>
      <c r="U381" s="16"/>
      <c r="V381" s="16"/>
      <c r="W381" s="16"/>
      <c r="X381" s="16"/>
      <c r="Y381" s="16"/>
      <c r="Z381" s="16"/>
      <c r="AA381" s="16"/>
      <c r="AB381" s="16"/>
      <c r="AC381" s="16"/>
      <c r="AD381" s="16"/>
      <c r="AE381" s="16"/>
      <c r="AF381" s="16"/>
      <c r="AG381" s="16"/>
      <c r="AH381" s="16"/>
      <c r="AI381" s="16"/>
      <c r="AJ381" s="16"/>
    </row>
    <row r="382" ht="12.75" customHeight="1" spans="1:36" x14ac:dyDescent="0.25">
      <c r="A382" s="16"/>
      <c r="B382" s="16"/>
      <c r="C382" s="16"/>
      <c r="D382" s="16"/>
      <c r="E382" s="16"/>
      <c r="F382" s="16"/>
      <c r="G382" s="16"/>
      <c r="H382" s="16"/>
      <c r="I382" s="16"/>
      <c r="J382" s="16"/>
      <c r="K382" s="16"/>
      <c r="L382" s="16"/>
      <c r="M382" s="16"/>
      <c r="N382" s="16"/>
      <c r="O382" s="16"/>
      <c r="P382" s="16"/>
      <c r="Q382" s="16"/>
      <c r="R382" s="16"/>
      <c r="S382" s="16"/>
      <c r="T382" s="16"/>
      <c r="U382" s="16"/>
      <c r="V382" s="16"/>
      <c r="W382" s="16"/>
      <c r="X382" s="16"/>
      <c r="Y382" s="16"/>
      <c r="Z382" s="16"/>
      <c r="AA382" s="16"/>
      <c r="AB382" s="16"/>
      <c r="AC382" s="16"/>
      <c r="AD382" s="16"/>
      <c r="AE382" s="16"/>
      <c r="AF382" s="16"/>
      <c r="AG382" s="16"/>
      <c r="AH382" s="16"/>
      <c r="AI382" s="16"/>
      <c r="AJ382" s="16"/>
    </row>
    <row r="383" ht="12.75" customHeight="1" spans="1:36" x14ac:dyDescent="0.25">
      <c r="A383" s="16"/>
      <c r="B383" s="16"/>
      <c r="C383" s="16"/>
      <c r="D383" s="16"/>
      <c r="E383" s="16"/>
      <c r="F383" s="16"/>
      <c r="G383" s="16"/>
      <c r="H383" s="16"/>
      <c r="I383" s="16"/>
      <c r="J383" s="16"/>
      <c r="K383" s="16"/>
      <c r="L383" s="16"/>
      <c r="M383" s="16"/>
      <c r="N383" s="16"/>
      <c r="O383" s="16"/>
      <c r="P383" s="16"/>
      <c r="Q383" s="16"/>
      <c r="R383" s="16"/>
      <c r="S383" s="16"/>
      <c r="T383" s="16"/>
      <c r="U383" s="16"/>
      <c r="V383" s="16"/>
      <c r="W383" s="16"/>
      <c r="X383" s="16"/>
      <c r="Y383" s="16"/>
      <c r="Z383" s="16"/>
      <c r="AA383" s="16"/>
      <c r="AB383" s="16"/>
      <c r="AC383" s="16"/>
      <c r="AD383" s="16"/>
      <c r="AE383" s="16"/>
      <c r="AF383" s="16"/>
      <c r="AG383" s="16"/>
      <c r="AH383" s="16"/>
      <c r="AI383" s="16"/>
      <c r="AJ383" s="16"/>
    </row>
    <row r="384" ht="12.75" customHeight="1" spans="1:36" x14ac:dyDescent="0.25">
      <c r="A384" s="16"/>
      <c r="B384" s="16"/>
      <c r="C384" s="16"/>
      <c r="D384" s="16"/>
      <c r="E384" s="16"/>
      <c r="F384" s="16"/>
      <c r="G384" s="16"/>
      <c r="H384" s="16"/>
      <c r="I384" s="16"/>
      <c r="J384" s="16"/>
      <c r="K384" s="16"/>
      <c r="L384" s="16"/>
      <c r="M384" s="16"/>
      <c r="N384" s="16"/>
      <c r="O384" s="16"/>
      <c r="P384" s="16"/>
      <c r="Q384" s="16"/>
      <c r="R384" s="16"/>
      <c r="S384" s="16"/>
      <c r="T384" s="16"/>
      <c r="U384" s="16"/>
      <c r="V384" s="16"/>
      <c r="W384" s="16"/>
      <c r="X384" s="16"/>
      <c r="Y384" s="16"/>
      <c r="Z384" s="16"/>
      <c r="AA384" s="16"/>
      <c r="AB384" s="16"/>
      <c r="AC384" s="16"/>
      <c r="AD384" s="16"/>
      <c r="AE384" s="16"/>
      <c r="AF384" s="16"/>
      <c r="AG384" s="16"/>
      <c r="AH384" s="16"/>
      <c r="AI384" s="16"/>
      <c r="AJ384" s="16"/>
    </row>
    <row r="385" ht="12.75" customHeight="1" spans="1:36" x14ac:dyDescent="0.25">
      <c r="A385" s="16"/>
      <c r="B385" s="16"/>
      <c r="C385" s="16"/>
      <c r="D385" s="16"/>
      <c r="E385" s="16"/>
      <c r="F385" s="16"/>
      <c r="G385" s="16"/>
      <c r="H385" s="16"/>
      <c r="I385" s="16"/>
      <c r="J385" s="16"/>
      <c r="K385" s="16"/>
      <c r="L385" s="16"/>
      <c r="M385" s="16"/>
      <c r="N385" s="16"/>
      <c r="O385" s="16"/>
      <c r="P385" s="16"/>
      <c r="Q385" s="16"/>
      <c r="R385" s="16"/>
      <c r="S385" s="16"/>
      <c r="T385" s="16"/>
      <c r="U385" s="16"/>
      <c r="V385" s="16"/>
      <c r="W385" s="16"/>
      <c r="X385" s="16"/>
      <c r="Y385" s="16"/>
      <c r="Z385" s="16"/>
      <c r="AA385" s="16"/>
      <c r="AB385" s="16"/>
      <c r="AC385" s="16"/>
      <c r="AD385" s="16"/>
      <c r="AE385" s="16"/>
      <c r="AF385" s="16"/>
      <c r="AG385" s="16"/>
      <c r="AH385" s="16"/>
      <c r="AI385" s="16"/>
      <c r="AJ385" s="16"/>
    </row>
    <row r="386" ht="12.75" customHeight="1" spans="1:36" x14ac:dyDescent="0.25">
      <c r="A386" s="16"/>
      <c r="B386" s="16"/>
      <c r="C386" s="16"/>
      <c r="D386" s="16"/>
      <c r="E386" s="16"/>
      <c r="F386" s="16"/>
      <c r="G386" s="16"/>
      <c r="H386" s="16"/>
      <c r="I386" s="16"/>
      <c r="J386" s="16"/>
      <c r="K386" s="16"/>
      <c r="L386" s="16"/>
      <c r="M386" s="16"/>
      <c r="N386" s="16"/>
      <c r="O386" s="16"/>
      <c r="P386" s="16"/>
      <c r="Q386" s="16"/>
      <c r="R386" s="16"/>
      <c r="S386" s="16"/>
      <c r="T386" s="16"/>
      <c r="U386" s="16"/>
      <c r="V386" s="16"/>
      <c r="W386" s="16"/>
      <c r="X386" s="16"/>
      <c r="Y386" s="16"/>
      <c r="Z386" s="16"/>
      <c r="AA386" s="16"/>
      <c r="AB386" s="16"/>
      <c r="AC386" s="16"/>
      <c r="AD386" s="16"/>
      <c r="AE386" s="16"/>
      <c r="AF386" s="16"/>
      <c r="AG386" s="16"/>
      <c r="AH386" s="16"/>
      <c r="AI386" s="16"/>
      <c r="AJ386" s="16"/>
    </row>
    <row r="387" ht="12.75" customHeight="1" spans="1:36" x14ac:dyDescent="0.25">
      <c r="A387" s="16"/>
      <c r="B387" s="16"/>
      <c r="C387" s="16"/>
      <c r="D387" s="16"/>
      <c r="E387" s="16"/>
      <c r="F387" s="16"/>
      <c r="G387" s="16"/>
      <c r="H387" s="16"/>
      <c r="I387" s="16"/>
      <c r="J387" s="16"/>
      <c r="K387" s="16"/>
      <c r="L387" s="16"/>
      <c r="M387" s="16"/>
      <c r="N387" s="16"/>
      <c r="O387" s="16"/>
      <c r="P387" s="16"/>
      <c r="Q387" s="16"/>
      <c r="R387" s="16"/>
      <c r="S387" s="16"/>
      <c r="T387" s="16"/>
      <c r="U387" s="16"/>
      <c r="V387" s="16"/>
      <c r="W387" s="16"/>
      <c r="X387" s="16"/>
      <c r="Y387" s="16"/>
      <c r="Z387" s="16"/>
      <c r="AA387" s="16"/>
      <c r="AB387" s="16"/>
      <c r="AC387" s="16"/>
      <c r="AD387" s="16"/>
      <c r="AE387" s="16"/>
      <c r="AF387" s="16"/>
      <c r="AG387" s="16"/>
      <c r="AH387" s="16"/>
      <c r="AI387" s="16"/>
      <c r="AJ387" s="16"/>
    </row>
    <row r="388" ht="12.75" customHeight="1" spans="1:36" x14ac:dyDescent="0.25">
      <c r="A388" s="16"/>
      <c r="B388" s="16"/>
      <c r="C388" s="16"/>
      <c r="D388" s="16"/>
      <c r="E388" s="16"/>
      <c r="F388" s="16"/>
      <c r="G388" s="16"/>
      <c r="H388" s="16"/>
      <c r="I388" s="16"/>
      <c r="J388" s="16"/>
      <c r="K388" s="16"/>
      <c r="L388" s="16"/>
      <c r="M388" s="16"/>
      <c r="N388" s="16"/>
      <c r="O388" s="16"/>
      <c r="P388" s="16"/>
      <c r="Q388" s="16"/>
      <c r="R388" s="16"/>
      <c r="S388" s="16"/>
      <c r="T388" s="16"/>
      <c r="U388" s="16"/>
      <c r="V388" s="16"/>
      <c r="W388" s="16"/>
      <c r="X388" s="16"/>
      <c r="Y388" s="16"/>
      <c r="Z388" s="16"/>
      <c r="AA388" s="16"/>
      <c r="AB388" s="16"/>
      <c r="AC388" s="16"/>
      <c r="AD388" s="16"/>
      <c r="AE388" s="16"/>
      <c r="AF388" s="16"/>
      <c r="AG388" s="16"/>
      <c r="AH388" s="16"/>
      <c r="AI388" s="16"/>
      <c r="AJ388" s="16"/>
    </row>
    <row r="389" ht="12.75" customHeight="1" spans="1:36" x14ac:dyDescent="0.25">
      <c r="A389" s="16"/>
      <c r="B389" s="16"/>
      <c r="C389" s="16"/>
      <c r="D389" s="16"/>
      <c r="E389" s="16"/>
      <c r="F389" s="16"/>
      <c r="G389" s="16"/>
      <c r="H389" s="16"/>
      <c r="I389" s="16"/>
      <c r="J389" s="16"/>
      <c r="K389" s="16"/>
      <c r="L389" s="16"/>
      <c r="M389" s="16"/>
      <c r="N389" s="16"/>
      <c r="O389" s="16"/>
      <c r="P389" s="16"/>
      <c r="Q389" s="16"/>
      <c r="R389" s="16"/>
      <c r="S389" s="16"/>
      <c r="T389" s="16"/>
      <c r="U389" s="16"/>
      <c r="V389" s="16"/>
      <c r="W389" s="16"/>
      <c r="X389" s="16"/>
      <c r="Y389" s="16"/>
      <c r="Z389" s="16"/>
      <c r="AA389" s="16"/>
      <c r="AB389" s="16"/>
      <c r="AC389" s="16"/>
      <c r="AD389" s="16"/>
      <c r="AE389" s="16"/>
      <c r="AF389" s="16"/>
      <c r="AG389" s="16"/>
      <c r="AH389" s="16"/>
      <c r="AI389" s="16"/>
      <c r="AJ389" s="16"/>
    </row>
    <row r="390" ht="12.75" customHeight="1" spans="1:36" x14ac:dyDescent="0.25">
      <c r="A390" s="16"/>
      <c r="B390" s="16"/>
      <c r="C390" s="16"/>
      <c r="D390" s="16"/>
      <c r="E390" s="16"/>
      <c r="F390" s="16"/>
      <c r="G390" s="16"/>
      <c r="H390" s="16"/>
      <c r="I390" s="16"/>
      <c r="J390" s="16"/>
      <c r="K390" s="16"/>
      <c r="L390" s="16"/>
      <c r="M390" s="16"/>
      <c r="N390" s="16"/>
      <c r="O390" s="16"/>
      <c r="P390" s="16"/>
      <c r="Q390" s="16"/>
      <c r="R390" s="16"/>
      <c r="S390" s="16"/>
      <c r="T390" s="16"/>
      <c r="U390" s="16"/>
      <c r="V390" s="16"/>
      <c r="W390" s="16"/>
      <c r="X390" s="16"/>
      <c r="Y390" s="16"/>
      <c r="Z390" s="16"/>
      <c r="AA390" s="16"/>
      <c r="AB390" s="16"/>
      <c r="AC390" s="16"/>
      <c r="AD390" s="16"/>
      <c r="AE390" s="16"/>
      <c r="AF390" s="16"/>
      <c r="AG390" s="16"/>
      <c r="AH390" s="16"/>
      <c r="AI390" s="16"/>
      <c r="AJ390" s="16"/>
    </row>
    <row r="391" ht="12.75" customHeight="1" spans="1:36" x14ac:dyDescent="0.25">
      <c r="A391" s="16"/>
      <c r="B391" s="16"/>
      <c r="C391" s="16"/>
      <c r="D391" s="16"/>
      <c r="E391" s="16"/>
      <c r="F391" s="16"/>
      <c r="G391" s="16"/>
      <c r="H391" s="16"/>
      <c r="I391" s="16"/>
      <c r="J391" s="16"/>
      <c r="K391" s="16"/>
      <c r="L391" s="16"/>
      <c r="M391" s="16"/>
      <c r="N391" s="16"/>
      <c r="O391" s="16"/>
      <c r="P391" s="16"/>
      <c r="Q391" s="16"/>
      <c r="R391" s="16"/>
      <c r="S391" s="16"/>
      <c r="T391" s="16"/>
      <c r="U391" s="16"/>
      <c r="V391" s="16"/>
      <c r="W391" s="16"/>
      <c r="X391" s="16"/>
      <c r="Y391" s="16"/>
      <c r="Z391" s="16"/>
      <c r="AA391" s="16"/>
      <c r="AB391" s="16"/>
      <c r="AC391" s="16"/>
      <c r="AD391" s="16"/>
      <c r="AE391" s="16"/>
      <c r="AF391" s="16"/>
      <c r="AG391" s="16"/>
      <c r="AH391" s="16"/>
      <c r="AI391" s="16"/>
      <c r="AJ391" s="16"/>
    </row>
    <row r="392" ht="12.75" customHeight="1" spans="1:36" x14ac:dyDescent="0.25">
      <c r="A392" s="16"/>
      <c r="B392" s="16"/>
      <c r="C392" s="16"/>
      <c r="D392" s="16"/>
      <c r="E392" s="16"/>
      <c r="F392" s="16"/>
      <c r="G392" s="16"/>
      <c r="H392" s="16"/>
      <c r="I392" s="16"/>
      <c r="J392" s="16"/>
      <c r="K392" s="16"/>
      <c r="L392" s="16"/>
      <c r="M392" s="16"/>
      <c r="N392" s="16"/>
      <c r="O392" s="16"/>
      <c r="P392" s="16"/>
      <c r="Q392" s="16"/>
      <c r="R392" s="16"/>
      <c r="S392" s="16"/>
      <c r="T392" s="16"/>
      <c r="U392" s="16"/>
      <c r="V392" s="16"/>
      <c r="W392" s="16"/>
      <c r="X392" s="16"/>
      <c r="Y392" s="16"/>
      <c r="Z392" s="16"/>
      <c r="AA392" s="16"/>
      <c r="AB392" s="16"/>
      <c r="AC392" s="16"/>
      <c r="AD392" s="16"/>
      <c r="AE392" s="16"/>
      <c r="AF392" s="16"/>
      <c r="AG392" s="16"/>
      <c r="AH392" s="16"/>
      <c r="AI392" s="16"/>
      <c r="AJ392" s="16"/>
    </row>
    <row r="393" ht="12.75" customHeight="1" spans="1:36" x14ac:dyDescent="0.25">
      <c r="A393" s="16"/>
      <c r="B393" s="16"/>
      <c r="C393" s="16"/>
      <c r="D393" s="16"/>
      <c r="E393" s="16"/>
      <c r="F393" s="16"/>
      <c r="G393" s="16"/>
      <c r="H393" s="16"/>
      <c r="I393" s="16"/>
      <c r="J393" s="16"/>
      <c r="K393" s="16"/>
      <c r="L393" s="16"/>
      <c r="M393" s="16"/>
      <c r="N393" s="16"/>
      <c r="O393" s="16"/>
      <c r="P393" s="16"/>
      <c r="Q393" s="16"/>
      <c r="R393" s="16"/>
      <c r="S393" s="16"/>
      <c r="T393" s="16"/>
      <c r="U393" s="16"/>
      <c r="V393" s="16"/>
      <c r="W393" s="16"/>
      <c r="X393" s="16"/>
      <c r="Y393" s="16"/>
      <c r="Z393" s="16"/>
      <c r="AA393" s="16"/>
      <c r="AB393" s="16"/>
      <c r="AC393" s="16"/>
      <c r="AD393" s="16"/>
      <c r="AE393" s="16"/>
      <c r="AF393" s="16"/>
      <c r="AG393" s="16"/>
      <c r="AH393" s="16"/>
      <c r="AI393" s="16"/>
      <c r="AJ393" s="16"/>
    </row>
    <row r="394" ht="12.75" customHeight="1" spans="1:36" x14ac:dyDescent="0.25">
      <c r="A394" s="16"/>
      <c r="B394" s="16"/>
      <c r="C394" s="16"/>
      <c r="D394" s="16"/>
      <c r="E394" s="16"/>
      <c r="F394" s="16"/>
      <c r="G394" s="16"/>
      <c r="H394" s="16"/>
      <c r="I394" s="16"/>
      <c r="J394" s="16"/>
      <c r="K394" s="16"/>
      <c r="L394" s="16"/>
      <c r="M394" s="16"/>
      <c r="N394" s="16"/>
      <c r="O394" s="16"/>
      <c r="P394" s="16"/>
      <c r="Q394" s="16"/>
      <c r="R394" s="16"/>
      <c r="S394" s="16"/>
      <c r="T394" s="16"/>
      <c r="U394" s="16"/>
      <c r="V394" s="16"/>
      <c r="W394" s="16"/>
      <c r="X394" s="16"/>
      <c r="Y394" s="16"/>
      <c r="Z394" s="16"/>
      <c r="AA394" s="16"/>
      <c r="AB394" s="16"/>
      <c r="AC394" s="16"/>
      <c r="AD394" s="16"/>
      <c r="AE394" s="16"/>
      <c r="AF394" s="16"/>
      <c r="AG394" s="16"/>
      <c r="AH394" s="16"/>
      <c r="AI394" s="16"/>
      <c r="AJ394" s="16"/>
    </row>
    <row r="395" ht="12.75" customHeight="1" spans="1:36" x14ac:dyDescent="0.25">
      <c r="A395" s="16"/>
      <c r="B395" s="16"/>
      <c r="C395" s="16"/>
      <c r="D395" s="16"/>
      <c r="E395" s="16"/>
      <c r="F395" s="16"/>
      <c r="G395" s="16"/>
      <c r="H395" s="16"/>
      <c r="I395" s="16"/>
      <c r="J395" s="16"/>
      <c r="K395" s="16"/>
      <c r="L395" s="16"/>
      <c r="M395" s="16"/>
      <c r="N395" s="16"/>
      <c r="O395" s="16"/>
      <c r="P395" s="16"/>
      <c r="Q395" s="16"/>
      <c r="R395" s="16"/>
      <c r="S395" s="16"/>
      <c r="T395" s="16"/>
      <c r="U395" s="16"/>
      <c r="V395" s="16"/>
      <c r="W395" s="16"/>
      <c r="X395" s="16"/>
      <c r="Y395" s="16"/>
      <c r="Z395" s="16"/>
      <c r="AA395" s="16"/>
      <c r="AB395" s="16"/>
      <c r="AC395" s="16"/>
      <c r="AD395" s="16"/>
      <c r="AE395" s="16"/>
      <c r="AF395" s="16"/>
      <c r="AG395" s="16"/>
      <c r="AH395" s="16"/>
      <c r="AI395" s="16"/>
      <c r="AJ395" s="16"/>
    </row>
    <row r="396" ht="12.75" customHeight="1" spans="1:36" x14ac:dyDescent="0.25">
      <c r="A396" s="16"/>
      <c r="B396" s="16"/>
      <c r="C396" s="16"/>
      <c r="D396" s="16"/>
      <c r="E396" s="16"/>
      <c r="F396" s="16"/>
      <c r="G396" s="16"/>
      <c r="H396" s="16"/>
      <c r="I396" s="16"/>
      <c r="J396" s="16"/>
      <c r="K396" s="16"/>
      <c r="L396" s="16"/>
      <c r="M396" s="16"/>
      <c r="N396" s="16"/>
      <c r="O396" s="16"/>
      <c r="P396" s="16"/>
      <c r="Q396" s="16"/>
      <c r="R396" s="16"/>
      <c r="S396" s="16"/>
      <c r="T396" s="16"/>
      <c r="U396" s="16"/>
      <c r="V396" s="16"/>
      <c r="W396" s="16"/>
      <c r="X396" s="16"/>
      <c r="Y396" s="16"/>
      <c r="Z396" s="16"/>
      <c r="AA396" s="16"/>
      <c r="AB396" s="16"/>
      <c r="AC396" s="16"/>
      <c r="AD396" s="16"/>
      <c r="AE396" s="16"/>
      <c r="AF396" s="16"/>
      <c r="AG396" s="16"/>
      <c r="AH396" s="16"/>
      <c r="AI396" s="16"/>
      <c r="AJ396" s="16"/>
    </row>
    <row r="397" ht="12.75" customHeight="1" spans="1:36" x14ac:dyDescent="0.25">
      <c r="A397" s="16"/>
      <c r="B397" s="16"/>
      <c r="C397" s="16"/>
      <c r="D397" s="16"/>
      <c r="E397" s="16"/>
      <c r="F397" s="16"/>
      <c r="G397" s="16"/>
      <c r="H397" s="16"/>
      <c r="I397" s="16"/>
      <c r="J397" s="16"/>
      <c r="K397" s="16"/>
      <c r="L397" s="16"/>
      <c r="M397" s="16"/>
      <c r="N397" s="16"/>
      <c r="O397" s="16"/>
      <c r="P397" s="16"/>
      <c r="Q397" s="16"/>
      <c r="R397" s="16"/>
      <c r="S397" s="16"/>
      <c r="T397" s="16"/>
      <c r="U397" s="16"/>
      <c r="V397" s="16"/>
      <c r="W397" s="16"/>
      <c r="X397" s="16"/>
      <c r="Y397" s="16"/>
      <c r="Z397" s="16"/>
      <c r="AA397" s="16"/>
      <c r="AB397" s="16"/>
      <c r="AC397" s="16"/>
      <c r="AD397" s="16"/>
      <c r="AE397" s="16"/>
      <c r="AF397" s="16"/>
      <c r="AG397" s="16"/>
      <c r="AH397" s="16"/>
      <c r="AI397" s="16"/>
      <c r="AJ397" s="16"/>
    </row>
    <row r="398" ht="12.75" customHeight="1" spans="1:36" x14ac:dyDescent="0.25">
      <c r="A398" s="16"/>
      <c r="B398" s="16"/>
      <c r="C398" s="16"/>
      <c r="D398" s="16"/>
      <c r="E398" s="16"/>
      <c r="F398" s="16"/>
      <c r="G398" s="16"/>
      <c r="H398" s="16"/>
      <c r="I398" s="16"/>
      <c r="J398" s="16"/>
      <c r="K398" s="16"/>
      <c r="L398" s="16"/>
      <c r="M398" s="16"/>
      <c r="N398" s="16"/>
      <c r="O398" s="16"/>
      <c r="P398" s="16"/>
      <c r="Q398" s="16"/>
      <c r="R398" s="16"/>
      <c r="S398" s="16"/>
      <c r="T398" s="16"/>
      <c r="U398" s="16"/>
      <c r="V398" s="16"/>
      <c r="W398" s="16"/>
      <c r="X398" s="16"/>
      <c r="Y398" s="16"/>
      <c r="Z398" s="16"/>
      <c r="AA398" s="16"/>
      <c r="AB398" s="16"/>
      <c r="AC398" s="16"/>
      <c r="AD398" s="16"/>
      <c r="AE398" s="16"/>
      <c r="AF398" s="16"/>
      <c r="AG398" s="16"/>
      <c r="AH398" s="16"/>
      <c r="AI398" s="16"/>
      <c r="AJ398" s="16"/>
    </row>
    <row r="399" ht="12.75" customHeight="1" spans="1:36" x14ac:dyDescent="0.25">
      <c r="A399" s="16"/>
      <c r="B399" s="16"/>
      <c r="C399" s="16"/>
      <c r="D399" s="16"/>
      <c r="E399" s="16"/>
      <c r="F399" s="16"/>
      <c r="G399" s="16"/>
      <c r="H399" s="16"/>
      <c r="I399" s="16"/>
      <c r="J399" s="16"/>
      <c r="K399" s="16"/>
      <c r="L399" s="16"/>
      <c r="M399" s="16"/>
      <c r="N399" s="16"/>
      <c r="O399" s="16"/>
      <c r="P399" s="16"/>
      <c r="Q399" s="16"/>
      <c r="R399" s="16"/>
      <c r="S399" s="16"/>
      <c r="T399" s="16"/>
      <c r="U399" s="16"/>
      <c r="V399" s="16"/>
      <c r="W399" s="16"/>
      <c r="X399" s="16"/>
      <c r="Y399" s="16"/>
      <c r="Z399" s="16"/>
      <c r="AA399" s="16"/>
      <c r="AB399" s="16"/>
      <c r="AC399" s="16"/>
      <c r="AD399" s="16"/>
      <c r="AE399" s="16"/>
      <c r="AF399" s="16"/>
      <c r="AG399" s="16"/>
      <c r="AH399" s="16"/>
      <c r="AI399" s="16"/>
      <c r="AJ399" s="16"/>
    </row>
    <row r="400" ht="12.75" customHeight="1" spans="1:36" x14ac:dyDescent="0.25">
      <c r="A400" s="16"/>
      <c r="B400" s="16"/>
      <c r="C400" s="16"/>
      <c r="D400" s="16"/>
      <c r="E400" s="16"/>
      <c r="F400" s="16"/>
      <c r="G400" s="16"/>
      <c r="H400" s="16"/>
      <c r="I400" s="16"/>
      <c r="J400" s="16"/>
      <c r="K400" s="16"/>
      <c r="L400" s="16"/>
      <c r="M400" s="16"/>
      <c r="N400" s="16"/>
      <c r="O400" s="16"/>
      <c r="P400" s="16"/>
      <c r="Q400" s="16"/>
      <c r="R400" s="16"/>
      <c r="S400" s="16"/>
      <c r="T400" s="16"/>
      <c r="U400" s="16"/>
      <c r="V400" s="16"/>
      <c r="W400" s="16"/>
      <c r="X400" s="16"/>
      <c r="Y400" s="16"/>
      <c r="Z400" s="16"/>
      <c r="AA400" s="16"/>
      <c r="AB400" s="16"/>
      <c r="AC400" s="16"/>
      <c r="AD400" s="16"/>
      <c r="AE400" s="16"/>
      <c r="AF400" s="16"/>
      <c r="AG400" s="16"/>
      <c r="AH400" s="16"/>
      <c r="AI400" s="16"/>
      <c r="AJ400" s="16"/>
    </row>
    <row r="401" ht="12.75" customHeight="1" spans="1:36" x14ac:dyDescent="0.25">
      <c r="A401" s="16"/>
      <c r="B401" s="16"/>
      <c r="C401" s="16"/>
      <c r="D401" s="16"/>
      <c r="E401" s="16"/>
      <c r="F401" s="16"/>
      <c r="G401" s="16"/>
      <c r="H401" s="16"/>
      <c r="I401" s="16"/>
      <c r="J401" s="16"/>
      <c r="K401" s="16"/>
      <c r="L401" s="16"/>
      <c r="M401" s="16"/>
      <c r="N401" s="16"/>
      <c r="O401" s="16"/>
      <c r="P401" s="16"/>
      <c r="Q401" s="16"/>
      <c r="R401" s="16"/>
      <c r="S401" s="16"/>
      <c r="T401" s="16"/>
      <c r="U401" s="16"/>
      <c r="V401" s="16"/>
      <c r="W401" s="16"/>
      <c r="X401" s="16"/>
      <c r="Y401" s="16"/>
      <c r="Z401" s="16"/>
      <c r="AA401" s="16"/>
      <c r="AB401" s="16"/>
      <c r="AC401" s="16"/>
      <c r="AD401" s="16"/>
      <c r="AE401" s="16"/>
      <c r="AF401" s="16"/>
      <c r="AG401" s="16"/>
      <c r="AH401" s="16"/>
      <c r="AI401" s="16"/>
      <c r="AJ401" s="16"/>
    </row>
    <row r="402" ht="12.75" customHeight="1" spans="1:36" x14ac:dyDescent="0.25">
      <c r="A402" s="16"/>
      <c r="B402" s="16"/>
      <c r="C402" s="16"/>
      <c r="D402" s="16"/>
      <c r="E402" s="16"/>
      <c r="F402" s="16"/>
      <c r="G402" s="16"/>
      <c r="H402" s="16"/>
      <c r="I402" s="16"/>
      <c r="J402" s="16"/>
      <c r="K402" s="16"/>
      <c r="L402" s="16"/>
      <c r="M402" s="16"/>
      <c r="N402" s="16"/>
      <c r="O402" s="16"/>
      <c r="P402" s="16"/>
      <c r="Q402" s="16"/>
      <c r="R402" s="16"/>
      <c r="S402" s="16"/>
      <c r="T402" s="16"/>
      <c r="U402" s="16"/>
      <c r="V402" s="16"/>
      <c r="W402" s="16"/>
      <c r="X402" s="16"/>
      <c r="Y402" s="16"/>
      <c r="Z402" s="16"/>
      <c r="AA402" s="16"/>
      <c r="AB402" s="16"/>
      <c r="AC402" s="16"/>
      <c r="AD402" s="16"/>
      <c r="AE402" s="16"/>
      <c r="AF402" s="16"/>
      <c r="AG402" s="16"/>
      <c r="AH402" s="16"/>
      <c r="AI402" s="16"/>
      <c r="AJ402" s="16"/>
    </row>
    <row r="403" ht="12.75" customHeight="1" spans="1:36" x14ac:dyDescent="0.25">
      <c r="A403" s="16"/>
      <c r="B403" s="16"/>
      <c r="C403" s="16"/>
      <c r="D403" s="16"/>
      <c r="E403" s="16"/>
      <c r="F403" s="16"/>
      <c r="G403" s="16"/>
      <c r="H403" s="16"/>
      <c r="I403" s="16"/>
      <c r="J403" s="16"/>
      <c r="K403" s="16"/>
      <c r="L403" s="16"/>
      <c r="M403" s="16"/>
      <c r="N403" s="16"/>
      <c r="O403" s="16"/>
      <c r="P403" s="16"/>
      <c r="Q403" s="16"/>
      <c r="R403" s="16"/>
      <c r="S403" s="16"/>
      <c r="T403" s="16"/>
      <c r="U403" s="16"/>
      <c r="V403" s="16"/>
      <c r="W403" s="16"/>
      <c r="X403" s="16"/>
      <c r="Y403" s="16"/>
      <c r="Z403" s="16"/>
      <c r="AA403" s="16"/>
      <c r="AB403" s="16"/>
      <c r="AC403" s="16"/>
      <c r="AD403" s="16"/>
      <c r="AE403" s="16"/>
      <c r="AF403" s="16"/>
      <c r="AG403" s="16"/>
      <c r="AH403" s="16"/>
      <c r="AI403" s="16"/>
      <c r="AJ403" s="16"/>
    </row>
    <row r="404" ht="12.75" customHeight="1" spans="1:36" x14ac:dyDescent="0.25">
      <c r="A404" s="16"/>
      <c r="B404" s="16"/>
      <c r="C404" s="16"/>
      <c r="D404" s="16"/>
      <c r="E404" s="16"/>
      <c r="F404" s="16"/>
      <c r="G404" s="16"/>
      <c r="H404" s="16"/>
      <c r="I404" s="16"/>
      <c r="J404" s="16"/>
      <c r="K404" s="16"/>
      <c r="L404" s="16"/>
      <c r="M404" s="16"/>
      <c r="N404" s="16"/>
      <c r="O404" s="16"/>
      <c r="P404" s="16"/>
      <c r="Q404" s="16"/>
      <c r="R404" s="16"/>
      <c r="S404" s="16"/>
      <c r="T404" s="16"/>
      <c r="U404" s="16"/>
      <c r="V404" s="16"/>
      <c r="W404" s="16"/>
      <c r="X404" s="16"/>
      <c r="Y404" s="16"/>
      <c r="Z404" s="16"/>
      <c r="AA404" s="16"/>
      <c r="AB404" s="16"/>
      <c r="AC404" s="16"/>
      <c r="AD404" s="16"/>
      <c r="AE404" s="16"/>
      <c r="AF404" s="16"/>
      <c r="AG404" s="16"/>
      <c r="AH404" s="16"/>
      <c r="AI404" s="16"/>
      <c r="AJ404" s="16"/>
    </row>
    <row r="405" ht="12.75" customHeight="1" spans="1:36" x14ac:dyDescent="0.25">
      <c r="A405" s="16"/>
      <c r="B405" s="16"/>
      <c r="C405" s="16"/>
      <c r="D405" s="16"/>
      <c r="E405" s="16"/>
      <c r="F405" s="16"/>
      <c r="G405" s="16"/>
      <c r="H405" s="16"/>
      <c r="I405" s="16"/>
      <c r="J405" s="16"/>
      <c r="K405" s="16"/>
      <c r="L405" s="16"/>
      <c r="M405" s="16"/>
      <c r="N405" s="16"/>
      <c r="O405" s="16"/>
      <c r="P405" s="16"/>
      <c r="Q405" s="16"/>
      <c r="R405" s="16"/>
      <c r="S405" s="16"/>
      <c r="T405" s="16"/>
      <c r="U405" s="16"/>
      <c r="V405" s="16"/>
      <c r="W405" s="16"/>
      <c r="X405" s="16"/>
      <c r="Y405" s="16"/>
      <c r="Z405" s="16"/>
      <c r="AA405" s="16"/>
      <c r="AB405" s="16"/>
      <c r="AC405" s="16"/>
      <c r="AD405" s="16"/>
      <c r="AE405" s="16"/>
      <c r="AF405" s="16"/>
      <c r="AG405" s="16"/>
      <c r="AH405" s="16"/>
      <c r="AI405" s="16"/>
      <c r="AJ405" s="16"/>
    </row>
    <row r="406" ht="12.75" customHeight="1" spans="1:36" x14ac:dyDescent="0.25">
      <c r="A406" s="16"/>
      <c r="B406" s="16"/>
      <c r="C406" s="16"/>
      <c r="D406" s="16"/>
      <c r="E406" s="16"/>
      <c r="F406" s="16"/>
      <c r="G406" s="16"/>
      <c r="H406" s="16"/>
      <c r="I406" s="16"/>
      <c r="J406" s="16"/>
      <c r="K406" s="16"/>
      <c r="L406" s="16"/>
      <c r="M406" s="16"/>
      <c r="N406" s="16"/>
      <c r="O406" s="16"/>
      <c r="P406" s="16"/>
      <c r="Q406" s="16"/>
      <c r="R406" s="16"/>
      <c r="S406" s="16"/>
      <c r="T406" s="16"/>
      <c r="U406" s="16"/>
      <c r="V406" s="16"/>
      <c r="W406" s="16"/>
      <c r="X406" s="16"/>
      <c r="Y406" s="16"/>
      <c r="Z406" s="16"/>
      <c r="AA406" s="16"/>
      <c r="AB406" s="16"/>
      <c r="AC406" s="16"/>
      <c r="AD406" s="16"/>
      <c r="AE406" s="16"/>
      <c r="AF406" s="16"/>
      <c r="AG406" s="16"/>
      <c r="AH406" s="16"/>
      <c r="AI406" s="16"/>
      <c r="AJ406" s="16"/>
    </row>
    <row r="407" ht="12.75" customHeight="1" spans="1:36" x14ac:dyDescent="0.25">
      <c r="A407" s="16"/>
      <c r="B407" s="16"/>
      <c r="C407" s="16"/>
      <c r="D407" s="16"/>
      <c r="E407" s="16"/>
      <c r="F407" s="16"/>
      <c r="G407" s="16"/>
      <c r="H407" s="16"/>
      <c r="I407" s="16"/>
      <c r="J407" s="16"/>
      <c r="K407" s="16"/>
      <c r="L407" s="16"/>
      <c r="M407" s="16"/>
      <c r="N407" s="16"/>
      <c r="O407" s="16"/>
      <c r="P407" s="16"/>
      <c r="Q407" s="16"/>
      <c r="R407" s="16"/>
      <c r="S407" s="16"/>
      <c r="T407" s="16"/>
      <c r="U407" s="16"/>
      <c r="V407" s="16"/>
      <c r="W407" s="16"/>
      <c r="X407" s="16"/>
      <c r="Y407" s="16"/>
      <c r="Z407" s="16"/>
      <c r="AA407" s="16"/>
      <c r="AB407" s="16"/>
      <c r="AC407" s="16"/>
      <c r="AD407" s="16"/>
      <c r="AE407" s="16"/>
      <c r="AF407" s="16"/>
      <c r="AG407" s="16"/>
      <c r="AH407" s="16"/>
      <c r="AI407" s="16"/>
      <c r="AJ407" s="16"/>
    </row>
    <row r="408" ht="12.75" customHeight="1" spans="1:36" x14ac:dyDescent="0.25">
      <c r="A408" s="16"/>
      <c r="B408" s="16"/>
      <c r="C408" s="16"/>
      <c r="D408" s="16"/>
      <c r="E408" s="16"/>
      <c r="F408" s="16"/>
      <c r="G408" s="16"/>
      <c r="H408" s="16"/>
      <c r="I408" s="16"/>
      <c r="J408" s="16"/>
      <c r="K408" s="16"/>
      <c r="L408" s="16"/>
      <c r="M408" s="16"/>
      <c r="N408" s="16"/>
      <c r="O408" s="16"/>
      <c r="P408" s="16"/>
      <c r="Q408" s="16"/>
      <c r="R408" s="16"/>
      <c r="S408" s="16"/>
      <c r="T408" s="16"/>
      <c r="U408" s="16"/>
      <c r="V408" s="16"/>
      <c r="W408" s="16"/>
      <c r="X408" s="16"/>
      <c r="Y408" s="16"/>
      <c r="Z408" s="16"/>
      <c r="AA408" s="16"/>
      <c r="AB408" s="16"/>
      <c r="AC408" s="16"/>
      <c r="AD408" s="16"/>
      <c r="AE408" s="16"/>
      <c r="AF408" s="16"/>
      <c r="AG408" s="16"/>
      <c r="AH408" s="16"/>
      <c r="AI408" s="16"/>
      <c r="AJ408" s="16"/>
    </row>
    <row r="409" ht="12.75" customHeight="1" spans="1:36" x14ac:dyDescent="0.25">
      <c r="A409" s="16"/>
      <c r="B409" s="16"/>
      <c r="C409" s="16"/>
      <c r="D409" s="16"/>
      <c r="E409" s="16"/>
      <c r="F409" s="16"/>
      <c r="G409" s="16"/>
      <c r="H409" s="16"/>
      <c r="I409" s="16"/>
      <c r="J409" s="16"/>
      <c r="K409" s="16"/>
      <c r="L409" s="16"/>
      <c r="M409" s="16"/>
      <c r="N409" s="16"/>
      <c r="O409" s="16"/>
      <c r="P409" s="16"/>
      <c r="Q409" s="16"/>
      <c r="R409" s="16"/>
      <c r="S409" s="16"/>
      <c r="T409" s="16"/>
      <c r="U409" s="16"/>
      <c r="V409" s="16"/>
      <c r="W409" s="16"/>
      <c r="X409" s="16"/>
      <c r="Y409" s="16"/>
      <c r="Z409" s="16"/>
      <c r="AA409" s="16"/>
      <c r="AB409" s="16"/>
      <c r="AC409" s="16"/>
      <c r="AD409" s="16"/>
      <c r="AE409" s="16"/>
      <c r="AF409" s="16"/>
      <c r="AG409" s="16"/>
      <c r="AH409" s="16"/>
      <c r="AI409" s="16"/>
      <c r="AJ409" s="16"/>
    </row>
    <row r="410" ht="12.75" customHeight="1" spans="1:36" x14ac:dyDescent="0.25">
      <c r="A410" s="16"/>
      <c r="B410" s="16"/>
      <c r="C410" s="16"/>
      <c r="D410" s="16"/>
      <c r="E410" s="16"/>
      <c r="F410" s="16"/>
      <c r="G410" s="16"/>
      <c r="H410" s="16"/>
      <c r="I410" s="16"/>
      <c r="J410" s="16"/>
      <c r="K410" s="16"/>
      <c r="L410" s="16"/>
      <c r="M410" s="16"/>
      <c r="N410" s="16"/>
      <c r="O410" s="16"/>
      <c r="P410" s="16"/>
      <c r="Q410" s="16"/>
      <c r="R410" s="16"/>
      <c r="S410" s="16"/>
      <c r="T410" s="16"/>
      <c r="U410" s="16"/>
      <c r="V410" s="16"/>
      <c r="W410" s="16"/>
      <c r="X410" s="16"/>
      <c r="Y410" s="16"/>
      <c r="Z410" s="16"/>
      <c r="AA410" s="16"/>
      <c r="AB410" s="16"/>
      <c r="AC410" s="16"/>
      <c r="AD410" s="16"/>
      <c r="AE410" s="16"/>
      <c r="AF410" s="16"/>
      <c r="AG410" s="16"/>
      <c r="AH410" s="16"/>
      <c r="AI410" s="16"/>
      <c r="AJ410" s="16"/>
    </row>
    <row r="411" ht="12.75" customHeight="1" spans="1:36" x14ac:dyDescent="0.25">
      <c r="A411" s="16"/>
      <c r="B411" s="16"/>
      <c r="C411" s="16"/>
      <c r="D411" s="16"/>
      <c r="E411" s="16"/>
      <c r="F411" s="16"/>
      <c r="G411" s="16"/>
      <c r="H411" s="16"/>
      <c r="I411" s="16"/>
      <c r="J411" s="16"/>
      <c r="K411" s="16"/>
      <c r="L411" s="16"/>
      <c r="M411" s="16"/>
      <c r="N411" s="16"/>
      <c r="O411" s="16"/>
      <c r="P411" s="16"/>
      <c r="Q411" s="16"/>
      <c r="R411" s="16"/>
      <c r="S411" s="16"/>
      <c r="T411" s="16"/>
      <c r="U411" s="16"/>
      <c r="V411" s="16"/>
      <c r="W411" s="16"/>
      <c r="X411" s="16"/>
      <c r="Y411" s="16"/>
      <c r="Z411" s="16"/>
      <c r="AA411" s="16"/>
      <c r="AB411" s="16"/>
      <c r="AC411" s="16"/>
      <c r="AD411" s="16"/>
      <c r="AE411" s="16"/>
      <c r="AF411" s="16"/>
      <c r="AG411" s="16"/>
      <c r="AH411" s="16"/>
      <c r="AI411" s="16"/>
      <c r="AJ411" s="16"/>
    </row>
    <row r="412" ht="12.75" customHeight="1" spans="1:36" x14ac:dyDescent="0.25">
      <c r="A412" s="16"/>
      <c r="B412" s="16"/>
      <c r="C412" s="16"/>
      <c r="D412" s="16"/>
      <c r="E412" s="16"/>
      <c r="F412" s="16"/>
      <c r="G412" s="16"/>
      <c r="H412" s="16"/>
      <c r="I412" s="16"/>
      <c r="J412" s="16"/>
      <c r="K412" s="16"/>
      <c r="L412" s="16"/>
      <c r="M412" s="16"/>
      <c r="N412" s="16"/>
      <c r="O412" s="16"/>
      <c r="P412" s="16"/>
      <c r="Q412" s="16"/>
      <c r="R412" s="16"/>
      <c r="S412" s="16"/>
      <c r="T412" s="16"/>
      <c r="U412" s="16"/>
      <c r="V412" s="16"/>
      <c r="W412" s="16"/>
      <c r="X412" s="16"/>
      <c r="Y412" s="16"/>
      <c r="Z412" s="16"/>
      <c r="AA412" s="16"/>
      <c r="AB412" s="16"/>
      <c r="AC412" s="16"/>
      <c r="AD412" s="16"/>
      <c r="AE412" s="16"/>
      <c r="AF412" s="16"/>
      <c r="AG412" s="16"/>
      <c r="AH412" s="16"/>
      <c r="AI412" s="16"/>
      <c r="AJ412" s="16"/>
    </row>
    <row r="413" ht="12.75" customHeight="1" spans="1:36" x14ac:dyDescent="0.25">
      <c r="A413" s="16"/>
      <c r="B413" s="16"/>
      <c r="C413" s="16"/>
      <c r="D413" s="16"/>
      <c r="E413" s="16"/>
      <c r="F413" s="16"/>
      <c r="G413" s="16"/>
      <c r="H413" s="16"/>
      <c r="I413" s="16"/>
      <c r="J413" s="16"/>
      <c r="K413" s="16"/>
      <c r="L413" s="16"/>
      <c r="M413" s="16"/>
      <c r="N413" s="16"/>
      <c r="O413" s="16"/>
      <c r="P413" s="16"/>
      <c r="Q413" s="16"/>
      <c r="R413" s="16"/>
      <c r="S413" s="16"/>
      <c r="T413" s="16"/>
      <c r="U413" s="16"/>
      <c r="V413" s="16"/>
      <c r="W413" s="16"/>
      <c r="X413" s="16"/>
      <c r="Y413" s="16"/>
      <c r="Z413" s="16"/>
      <c r="AA413" s="16"/>
      <c r="AB413" s="16"/>
      <c r="AC413" s="16"/>
      <c r="AD413" s="16"/>
      <c r="AE413" s="16"/>
      <c r="AF413" s="16"/>
      <c r="AG413" s="16"/>
      <c r="AH413" s="16"/>
      <c r="AI413" s="16"/>
      <c r="AJ413" s="16"/>
    </row>
    <row r="414" ht="12.75" customHeight="1" spans="1:36" x14ac:dyDescent="0.25">
      <c r="A414" s="16"/>
      <c r="B414" s="16"/>
      <c r="C414" s="16"/>
      <c r="D414" s="16"/>
      <c r="E414" s="16"/>
      <c r="F414" s="16"/>
      <c r="G414" s="16"/>
      <c r="H414" s="16"/>
      <c r="I414" s="16"/>
      <c r="J414" s="16"/>
      <c r="K414" s="16"/>
      <c r="L414" s="16"/>
      <c r="M414" s="16"/>
      <c r="N414" s="16"/>
      <c r="O414" s="16"/>
      <c r="P414" s="16"/>
      <c r="Q414" s="16"/>
      <c r="R414" s="16"/>
      <c r="S414" s="16"/>
      <c r="T414" s="16"/>
      <c r="U414" s="16"/>
      <c r="V414" s="16"/>
      <c r="W414" s="16"/>
      <c r="X414" s="16"/>
      <c r="Y414" s="16"/>
      <c r="Z414" s="16"/>
      <c r="AA414" s="16"/>
      <c r="AB414" s="16"/>
      <c r="AC414" s="16"/>
      <c r="AD414" s="16"/>
      <c r="AE414" s="16"/>
      <c r="AF414" s="16"/>
      <c r="AG414" s="16"/>
      <c r="AH414" s="16"/>
      <c r="AI414" s="16"/>
      <c r="AJ414" s="16"/>
    </row>
    <row r="415" ht="12.75" customHeight="1" spans="1:36" x14ac:dyDescent="0.25">
      <c r="A415" s="16"/>
      <c r="B415" s="16"/>
      <c r="C415" s="16"/>
      <c r="D415" s="16"/>
      <c r="E415" s="16"/>
      <c r="F415" s="16"/>
      <c r="G415" s="16"/>
      <c r="H415" s="16"/>
      <c r="I415" s="16"/>
      <c r="J415" s="16"/>
      <c r="K415" s="16"/>
      <c r="L415" s="16"/>
      <c r="M415" s="16"/>
      <c r="N415" s="16"/>
      <c r="O415" s="16"/>
      <c r="P415" s="16"/>
      <c r="Q415" s="16"/>
      <c r="R415" s="16"/>
      <c r="S415" s="16"/>
      <c r="T415" s="16"/>
      <c r="U415" s="16"/>
      <c r="V415" s="16"/>
      <c r="W415" s="16"/>
      <c r="X415" s="16"/>
      <c r="Y415" s="16"/>
      <c r="Z415" s="16"/>
      <c r="AA415" s="16"/>
      <c r="AB415" s="16"/>
      <c r="AC415" s="16"/>
      <c r="AD415" s="16"/>
      <c r="AE415" s="16"/>
      <c r="AF415" s="16"/>
      <c r="AG415" s="16"/>
      <c r="AH415" s="16"/>
      <c r="AI415" s="16"/>
      <c r="AJ415" s="16"/>
    </row>
    <row r="416" ht="12.75" customHeight="1" spans="1:36" x14ac:dyDescent="0.25">
      <c r="A416" s="16"/>
      <c r="B416" s="16"/>
      <c r="C416" s="16"/>
      <c r="D416" s="16"/>
      <c r="E416" s="16"/>
      <c r="F416" s="16"/>
      <c r="G416" s="16"/>
      <c r="H416" s="16"/>
      <c r="I416" s="16"/>
      <c r="J416" s="16"/>
      <c r="K416" s="16"/>
      <c r="L416" s="16"/>
      <c r="M416" s="16"/>
      <c r="N416" s="16"/>
      <c r="O416" s="16"/>
      <c r="P416" s="16"/>
      <c r="Q416" s="16"/>
      <c r="R416" s="16"/>
      <c r="S416" s="16"/>
      <c r="T416" s="16"/>
      <c r="U416" s="16"/>
      <c r="V416" s="16"/>
      <c r="W416" s="16"/>
      <c r="X416" s="16"/>
      <c r="Y416" s="16"/>
      <c r="Z416" s="16"/>
      <c r="AA416" s="16"/>
      <c r="AB416" s="16"/>
      <c r="AC416" s="16"/>
      <c r="AD416" s="16"/>
      <c r="AE416" s="16"/>
      <c r="AF416" s="16"/>
      <c r="AG416" s="16"/>
      <c r="AH416" s="16"/>
      <c r="AI416" s="16"/>
      <c r="AJ416" s="16"/>
    </row>
    <row r="417" ht="12.75" customHeight="1" spans="1:36" x14ac:dyDescent="0.25">
      <c r="A417" s="16"/>
      <c r="B417" s="16"/>
      <c r="C417" s="16"/>
      <c r="D417" s="16"/>
      <c r="E417" s="16"/>
      <c r="F417" s="16"/>
      <c r="G417" s="16"/>
      <c r="H417" s="16"/>
      <c r="I417" s="16"/>
      <c r="J417" s="16"/>
      <c r="K417" s="16"/>
      <c r="L417" s="16"/>
      <c r="M417" s="16"/>
      <c r="N417" s="16"/>
      <c r="O417" s="16"/>
      <c r="P417" s="16"/>
      <c r="Q417" s="16"/>
      <c r="R417" s="16"/>
      <c r="S417" s="16"/>
      <c r="T417" s="16"/>
      <c r="U417" s="16"/>
      <c r="V417" s="16"/>
      <c r="W417" s="16"/>
      <c r="X417" s="16"/>
      <c r="Y417" s="16"/>
      <c r="Z417" s="16"/>
      <c r="AA417" s="16"/>
      <c r="AB417" s="16"/>
      <c r="AC417" s="16"/>
      <c r="AD417" s="16"/>
      <c r="AE417" s="16"/>
      <c r="AF417" s="16"/>
      <c r="AG417" s="16"/>
      <c r="AH417" s="16"/>
      <c r="AI417" s="16"/>
      <c r="AJ417" s="16"/>
    </row>
    <row r="418" ht="12.75" customHeight="1" spans="1:36" x14ac:dyDescent="0.25">
      <c r="A418" s="16"/>
      <c r="B418" s="16"/>
      <c r="C418" s="16"/>
      <c r="D418" s="16"/>
      <c r="E418" s="16"/>
      <c r="F418" s="16"/>
      <c r="G418" s="16"/>
      <c r="H418" s="16"/>
      <c r="I418" s="16"/>
      <c r="J418" s="16"/>
      <c r="K418" s="16"/>
      <c r="L418" s="16"/>
      <c r="M418" s="16"/>
      <c r="N418" s="16"/>
      <c r="O418" s="16"/>
      <c r="P418" s="16"/>
      <c r="Q418" s="16"/>
      <c r="R418" s="16"/>
      <c r="S418" s="16"/>
      <c r="T418" s="16"/>
      <c r="U418" s="16"/>
      <c r="V418" s="16"/>
      <c r="W418" s="16"/>
      <c r="X418" s="16"/>
      <c r="Y418" s="16"/>
      <c r="Z418" s="16"/>
      <c r="AA418" s="16"/>
      <c r="AB418" s="16"/>
      <c r="AC418" s="16"/>
      <c r="AD418" s="16"/>
      <c r="AE418" s="16"/>
      <c r="AF418" s="16"/>
      <c r="AG418" s="16"/>
      <c r="AH418" s="16"/>
      <c r="AI418" s="16"/>
      <c r="AJ418" s="16"/>
    </row>
    <row r="419" ht="12.75" customHeight="1" spans="1:36" x14ac:dyDescent="0.25">
      <c r="A419" s="16"/>
      <c r="B419" s="16"/>
      <c r="C419" s="16"/>
      <c r="D419" s="16"/>
      <c r="E419" s="16"/>
      <c r="F419" s="16"/>
      <c r="G419" s="16"/>
      <c r="H419" s="16"/>
      <c r="I419" s="16"/>
      <c r="J419" s="16"/>
      <c r="K419" s="16"/>
      <c r="L419" s="16"/>
      <c r="M419" s="16"/>
      <c r="N419" s="16"/>
      <c r="O419" s="16"/>
      <c r="P419" s="16"/>
      <c r="Q419" s="16"/>
      <c r="R419" s="16"/>
      <c r="S419" s="16"/>
      <c r="T419" s="16"/>
      <c r="U419" s="16"/>
      <c r="V419" s="16"/>
      <c r="W419" s="16"/>
      <c r="X419" s="16"/>
      <c r="Y419" s="16"/>
      <c r="Z419" s="16"/>
      <c r="AA419" s="16"/>
      <c r="AB419" s="16"/>
      <c r="AC419" s="16"/>
      <c r="AD419" s="16"/>
      <c r="AE419" s="16"/>
      <c r="AF419" s="16"/>
      <c r="AG419" s="16"/>
      <c r="AH419" s="16"/>
      <c r="AI419" s="16"/>
      <c r="AJ419" s="16"/>
    </row>
    <row r="420" ht="12.75" customHeight="1" spans="1:36" x14ac:dyDescent="0.25">
      <c r="A420" s="16"/>
      <c r="B420" s="16"/>
      <c r="C420" s="16"/>
      <c r="D420" s="16"/>
      <c r="E420" s="16"/>
      <c r="F420" s="16"/>
      <c r="G420" s="16"/>
      <c r="H420" s="16"/>
      <c r="I420" s="16"/>
      <c r="J420" s="16"/>
      <c r="K420" s="16"/>
      <c r="L420" s="16"/>
      <c r="M420" s="16"/>
      <c r="N420" s="16"/>
      <c r="O420" s="16"/>
      <c r="P420" s="16"/>
      <c r="Q420" s="16"/>
      <c r="R420" s="16"/>
      <c r="S420" s="16"/>
      <c r="T420" s="16"/>
      <c r="U420" s="16"/>
      <c r="V420" s="16"/>
      <c r="W420" s="16"/>
      <c r="X420" s="16"/>
      <c r="Y420" s="16"/>
      <c r="Z420" s="16"/>
      <c r="AA420" s="16"/>
      <c r="AB420" s="16"/>
      <c r="AC420" s="16"/>
      <c r="AD420" s="16"/>
      <c r="AE420" s="16"/>
      <c r="AF420" s="16"/>
      <c r="AG420" s="16"/>
      <c r="AH420" s="16"/>
      <c r="AI420" s="16"/>
      <c r="AJ420" s="16"/>
    </row>
    <row r="421" ht="12.75" customHeight="1" spans="1:36" x14ac:dyDescent="0.25">
      <c r="A421" s="16"/>
      <c r="B421" s="16"/>
      <c r="C421" s="16"/>
      <c r="D421" s="16"/>
      <c r="E421" s="16"/>
      <c r="F421" s="16"/>
      <c r="G421" s="16"/>
      <c r="H421" s="16"/>
      <c r="I421" s="16"/>
      <c r="J421" s="16"/>
      <c r="K421" s="16"/>
      <c r="L421" s="16"/>
      <c r="M421" s="16"/>
      <c r="N421" s="16"/>
      <c r="O421" s="16"/>
      <c r="P421" s="16"/>
      <c r="Q421" s="16"/>
      <c r="R421" s="16"/>
      <c r="S421" s="16"/>
      <c r="T421" s="16"/>
      <c r="U421" s="16"/>
      <c r="V421" s="16"/>
      <c r="W421" s="16"/>
      <c r="X421" s="16"/>
      <c r="Y421" s="16"/>
      <c r="Z421" s="16"/>
      <c r="AA421" s="16"/>
      <c r="AB421" s="16"/>
      <c r="AC421" s="16"/>
      <c r="AD421" s="16"/>
      <c r="AE421" s="16"/>
      <c r="AF421" s="16"/>
      <c r="AG421" s="16"/>
      <c r="AH421" s="16"/>
      <c r="AI421" s="16"/>
      <c r="AJ421" s="16"/>
    </row>
    <row r="422" ht="12.75" customHeight="1" spans="1:36" x14ac:dyDescent="0.25">
      <c r="A422" s="16"/>
      <c r="B422" s="16"/>
      <c r="C422" s="16"/>
      <c r="D422" s="16"/>
      <c r="E422" s="16"/>
      <c r="F422" s="16"/>
      <c r="G422" s="16"/>
      <c r="H422" s="16"/>
      <c r="I422" s="16"/>
      <c r="J422" s="16"/>
      <c r="K422" s="16"/>
      <c r="L422" s="16"/>
      <c r="M422" s="16"/>
      <c r="N422" s="16"/>
      <c r="O422" s="16"/>
      <c r="P422" s="16"/>
      <c r="Q422" s="16"/>
      <c r="R422" s="16"/>
      <c r="S422" s="16"/>
      <c r="T422" s="16"/>
      <c r="U422" s="16"/>
      <c r="V422" s="16"/>
      <c r="W422" s="16"/>
      <c r="X422" s="16"/>
      <c r="Y422" s="16"/>
      <c r="Z422" s="16"/>
      <c r="AA422" s="16"/>
      <c r="AB422" s="16"/>
      <c r="AC422" s="16"/>
      <c r="AD422" s="16"/>
      <c r="AE422" s="16"/>
      <c r="AF422" s="16"/>
      <c r="AG422" s="16"/>
      <c r="AH422" s="16"/>
      <c r="AI422" s="16"/>
      <c r="AJ422" s="16"/>
    </row>
    <row r="423" ht="12.75" customHeight="1" spans="1:36" x14ac:dyDescent="0.25">
      <c r="A423" s="16"/>
      <c r="B423" s="16"/>
      <c r="C423" s="16"/>
      <c r="D423" s="16"/>
      <c r="E423" s="16"/>
      <c r="F423" s="16"/>
      <c r="G423" s="16"/>
      <c r="H423" s="16"/>
      <c r="I423" s="16"/>
      <c r="J423" s="16"/>
      <c r="K423" s="16"/>
      <c r="L423" s="16"/>
      <c r="M423" s="16"/>
      <c r="N423" s="16"/>
      <c r="O423" s="16"/>
      <c r="P423" s="16"/>
      <c r="Q423" s="16"/>
      <c r="R423" s="16"/>
      <c r="S423" s="16"/>
      <c r="T423" s="16"/>
      <c r="U423" s="16"/>
      <c r="V423" s="16"/>
      <c r="W423" s="16"/>
      <c r="X423" s="16"/>
      <c r="Y423" s="16"/>
      <c r="Z423" s="16"/>
      <c r="AA423" s="16"/>
      <c r="AB423" s="16"/>
      <c r="AC423" s="16"/>
      <c r="AD423" s="16"/>
      <c r="AE423" s="16"/>
      <c r="AF423" s="16"/>
      <c r="AG423" s="16"/>
      <c r="AH423" s="16"/>
      <c r="AI423" s="16"/>
      <c r="AJ423" s="16"/>
    </row>
    <row r="424" ht="12.75" customHeight="1" spans="1:36" x14ac:dyDescent="0.25">
      <c r="A424" s="16"/>
      <c r="B424" s="16"/>
      <c r="C424" s="16"/>
      <c r="D424" s="16"/>
      <c r="E424" s="16"/>
      <c r="F424" s="16"/>
      <c r="G424" s="16"/>
      <c r="H424" s="16"/>
      <c r="I424" s="16"/>
      <c r="J424" s="16"/>
      <c r="K424" s="16"/>
      <c r="L424" s="16"/>
      <c r="M424" s="16"/>
      <c r="N424" s="16"/>
      <c r="O424" s="16"/>
      <c r="P424" s="16"/>
      <c r="Q424" s="16"/>
      <c r="R424" s="16"/>
      <c r="S424" s="16"/>
      <c r="T424" s="16"/>
      <c r="U424" s="16"/>
      <c r="V424" s="16"/>
      <c r="W424" s="16"/>
      <c r="X424" s="16"/>
      <c r="Y424" s="16"/>
      <c r="Z424" s="16"/>
      <c r="AA424" s="16"/>
      <c r="AB424" s="16"/>
      <c r="AC424" s="16"/>
      <c r="AD424" s="16"/>
      <c r="AE424" s="16"/>
      <c r="AF424" s="16"/>
      <c r="AG424" s="16"/>
      <c r="AH424" s="16"/>
      <c r="AI424" s="16"/>
      <c r="AJ424" s="16"/>
    </row>
    <row r="425" ht="12.75" customHeight="1" spans="1:36" x14ac:dyDescent="0.25">
      <c r="A425" s="16"/>
      <c r="B425" s="16"/>
      <c r="C425" s="16"/>
      <c r="D425" s="16"/>
      <c r="E425" s="16"/>
      <c r="F425" s="16"/>
      <c r="G425" s="16"/>
      <c r="H425" s="16"/>
      <c r="I425" s="16"/>
      <c r="J425" s="16"/>
      <c r="K425" s="16"/>
      <c r="L425" s="16"/>
      <c r="M425" s="16"/>
      <c r="N425" s="16"/>
      <c r="O425" s="16"/>
      <c r="P425" s="16"/>
      <c r="Q425" s="16"/>
      <c r="R425" s="16"/>
      <c r="S425" s="16"/>
      <c r="T425" s="16"/>
      <c r="U425" s="16"/>
      <c r="V425" s="16"/>
      <c r="W425" s="16"/>
      <c r="X425" s="16"/>
      <c r="Y425" s="16"/>
      <c r="Z425" s="16"/>
      <c r="AA425" s="16"/>
      <c r="AB425" s="16"/>
      <c r="AC425" s="16"/>
      <c r="AD425" s="16"/>
      <c r="AE425" s="16"/>
      <c r="AF425" s="16"/>
      <c r="AG425" s="16"/>
      <c r="AH425" s="16"/>
      <c r="AI425" s="16"/>
      <c r="AJ425" s="16"/>
    </row>
    <row r="426" ht="12.75" customHeight="1" spans="1:36" x14ac:dyDescent="0.25">
      <c r="A426" s="16"/>
      <c r="B426" s="16"/>
      <c r="C426" s="16"/>
      <c r="D426" s="16"/>
      <c r="E426" s="16"/>
      <c r="F426" s="16"/>
      <c r="G426" s="16"/>
      <c r="H426" s="16"/>
      <c r="I426" s="16"/>
      <c r="J426" s="16"/>
      <c r="K426" s="16"/>
      <c r="L426" s="16"/>
      <c r="M426" s="16"/>
      <c r="N426" s="16"/>
      <c r="O426" s="16"/>
      <c r="P426" s="16"/>
      <c r="Q426" s="16"/>
      <c r="R426" s="16"/>
      <c r="S426" s="16"/>
      <c r="T426" s="16"/>
      <c r="U426" s="16"/>
      <c r="V426" s="16"/>
      <c r="W426" s="16"/>
      <c r="X426" s="16"/>
      <c r="Y426" s="16"/>
      <c r="Z426" s="16"/>
      <c r="AA426" s="16"/>
      <c r="AB426" s="16"/>
      <c r="AC426" s="16"/>
      <c r="AD426" s="16"/>
      <c r="AE426" s="16"/>
      <c r="AF426" s="16"/>
      <c r="AG426" s="16"/>
      <c r="AH426" s="16"/>
      <c r="AI426" s="16"/>
      <c r="AJ426" s="16"/>
    </row>
    <row r="427" ht="12.75" customHeight="1" spans="1:36" x14ac:dyDescent="0.25">
      <c r="A427" s="16"/>
      <c r="B427" s="16"/>
      <c r="C427" s="16"/>
      <c r="D427" s="16"/>
      <c r="E427" s="16"/>
      <c r="F427" s="16"/>
      <c r="G427" s="16"/>
      <c r="H427" s="16"/>
      <c r="I427" s="16"/>
      <c r="J427" s="16"/>
      <c r="K427" s="16"/>
      <c r="L427" s="16"/>
      <c r="M427" s="16"/>
      <c r="N427" s="16"/>
      <c r="O427" s="16"/>
      <c r="P427" s="16"/>
      <c r="Q427" s="16"/>
      <c r="R427" s="16"/>
      <c r="S427" s="16"/>
      <c r="T427" s="16"/>
      <c r="U427" s="16"/>
      <c r="V427" s="16"/>
      <c r="W427" s="16"/>
      <c r="X427" s="16"/>
      <c r="Y427" s="16"/>
      <c r="Z427" s="16"/>
      <c r="AA427" s="16"/>
      <c r="AB427" s="16"/>
      <c r="AC427" s="16"/>
      <c r="AD427" s="16"/>
      <c r="AE427" s="16"/>
      <c r="AF427" s="16"/>
      <c r="AG427" s="16"/>
      <c r="AH427" s="16"/>
      <c r="AI427" s="16"/>
      <c r="AJ427" s="16"/>
    </row>
    <row r="428" ht="12.75" customHeight="1" spans="1:36" x14ac:dyDescent="0.25">
      <c r="A428" s="16"/>
      <c r="B428" s="16"/>
      <c r="C428" s="16"/>
      <c r="D428" s="16"/>
      <c r="E428" s="16"/>
      <c r="F428" s="16"/>
      <c r="G428" s="16"/>
      <c r="H428" s="16"/>
      <c r="I428" s="16"/>
      <c r="J428" s="16"/>
      <c r="K428" s="16"/>
      <c r="L428" s="16"/>
      <c r="M428" s="16"/>
      <c r="N428" s="16"/>
      <c r="O428" s="16"/>
      <c r="P428" s="16"/>
      <c r="Q428" s="16"/>
      <c r="R428" s="16"/>
      <c r="S428" s="16"/>
      <c r="T428" s="16"/>
      <c r="U428" s="16"/>
      <c r="V428" s="16"/>
      <c r="W428" s="16"/>
      <c r="X428" s="16"/>
      <c r="Y428" s="16"/>
      <c r="Z428" s="16"/>
      <c r="AA428" s="16"/>
      <c r="AB428" s="16"/>
      <c r="AC428" s="16"/>
      <c r="AD428" s="16"/>
      <c r="AE428" s="16"/>
      <c r="AF428" s="16"/>
      <c r="AG428" s="16"/>
      <c r="AH428" s="16"/>
      <c r="AI428" s="16"/>
      <c r="AJ428" s="16"/>
    </row>
    <row r="429" ht="12.75" customHeight="1" spans="1:36" x14ac:dyDescent="0.25">
      <c r="A429" s="16"/>
      <c r="B429" s="16"/>
      <c r="C429" s="16"/>
      <c r="D429" s="16"/>
      <c r="E429" s="16"/>
      <c r="F429" s="16"/>
      <c r="G429" s="16"/>
      <c r="H429" s="16"/>
      <c r="I429" s="16"/>
      <c r="J429" s="16"/>
      <c r="K429" s="16"/>
      <c r="L429" s="16"/>
      <c r="M429" s="16"/>
      <c r="N429" s="16"/>
      <c r="O429" s="16"/>
      <c r="P429" s="16"/>
      <c r="Q429" s="16"/>
      <c r="R429" s="16"/>
      <c r="S429" s="16"/>
      <c r="T429" s="16"/>
      <c r="U429" s="16"/>
      <c r="V429" s="16"/>
      <c r="W429" s="16"/>
      <c r="X429" s="16"/>
      <c r="Y429" s="16"/>
      <c r="Z429" s="16"/>
      <c r="AA429" s="16"/>
      <c r="AB429" s="16"/>
      <c r="AC429" s="16"/>
      <c r="AD429" s="16"/>
      <c r="AE429" s="16"/>
      <c r="AF429" s="16"/>
      <c r="AG429" s="16"/>
      <c r="AH429" s="16"/>
      <c r="AI429" s="16"/>
      <c r="AJ429" s="16"/>
    </row>
    <row r="430" ht="12.75" customHeight="1" spans="1:36" x14ac:dyDescent="0.25">
      <c r="A430" s="16"/>
      <c r="B430" s="16"/>
      <c r="C430" s="16"/>
      <c r="D430" s="16"/>
      <c r="E430" s="16"/>
      <c r="F430" s="16"/>
      <c r="G430" s="16"/>
      <c r="H430" s="16"/>
      <c r="I430" s="16"/>
      <c r="J430" s="16"/>
      <c r="K430" s="16"/>
      <c r="L430" s="16"/>
      <c r="M430" s="16"/>
      <c r="N430" s="16"/>
      <c r="O430" s="16"/>
      <c r="P430" s="16"/>
      <c r="Q430" s="16"/>
      <c r="R430" s="16"/>
      <c r="S430" s="16"/>
      <c r="T430" s="16"/>
      <c r="U430" s="16"/>
      <c r="V430" s="16"/>
      <c r="W430" s="16"/>
      <c r="X430" s="16"/>
      <c r="Y430" s="16"/>
      <c r="Z430" s="16"/>
      <c r="AA430" s="16"/>
      <c r="AB430" s="16"/>
      <c r="AC430" s="16"/>
      <c r="AD430" s="16"/>
      <c r="AE430" s="16"/>
      <c r="AF430" s="16"/>
      <c r="AG430" s="16"/>
      <c r="AH430" s="16"/>
      <c r="AI430" s="16"/>
      <c r="AJ430" s="16"/>
    </row>
    <row r="431" ht="12.75" customHeight="1" spans="1:36" x14ac:dyDescent="0.25">
      <c r="A431" s="16"/>
      <c r="B431" s="16"/>
      <c r="C431" s="16"/>
      <c r="D431" s="16"/>
      <c r="E431" s="16"/>
      <c r="F431" s="16"/>
      <c r="G431" s="16"/>
      <c r="H431" s="16"/>
      <c r="I431" s="16"/>
      <c r="J431" s="16"/>
      <c r="K431" s="16"/>
      <c r="L431" s="16"/>
      <c r="M431" s="16"/>
      <c r="N431" s="16"/>
      <c r="O431" s="16"/>
      <c r="P431" s="16"/>
      <c r="Q431" s="16"/>
      <c r="R431" s="16"/>
      <c r="S431" s="16"/>
      <c r="T431" s="16"/>
      <c r="U431" s="16"/>
      <c r="V431" s="16"/>
      <c r="W431" s="16"/>
      <c r="X431" s="16"/>
      <c r="Y431" s="16"/>
      <c r="Z431" s="16"/>
      <c r="AA431" s="16"/>
      <c r="AB431" s="16"/>
      <c r="AC431" s="16"/>
      <c r="AD431" s="16"/>
      <c r="AE431" s="16"/>
      <c r="AF431" s="16"/>
      <c r="AG431" s="16"/>
      <c r="AH431" s="16"/>
      <c r="AI431" s="16"/>
      <c r="AJ431" s="16"/>
    </row>
    <row r="432" ht="12.75" customHeight="1" spans="1:36" x14ac:dyDescent="0.25">
      <c r="A432" s="16"/>
      <c r="B432" s="16"/>
      <c r="C432" s="16"/>
      <c r="D432" s="16"/>
      <c r="E432" s="16"/>
      <c r="F432" s="16"/>
      <c r="G432" s="16"/>
      <c r="H432" s="16"/>
      <c r="I432" s="16"/>
      <c r="J432" s="16"/>
      <c r="K432" s="16"/>
      <c r="L432" s="16"/>
      <c r="M432" s="16"/>
      <c r="N432" s="16"/>
      <c r="O432" s="16"/>
      <c r="P432" s="16"/>
      <c r="Q432" s="16"/>
      <c r="R432" s="16"/>
      <c r="S432" s="16"/>
      <c r="T432" s="16"/>
      <c r="U432" s="16"/>
      <c r="V432" s="16"/>
      <c r="W432" s="16"/>
      <c r="X432" s="16"/>
      <c r="Y432" s="16"/>
      <c r="Z432" s="16"/>
      <c r="AA432" s="16"/>
      <c r="AB432" s="16"/>
      <c r="AC432" s="16"/>
      <c r="AD432" s="16"/>
      <c r="AE432" s="16"/>
      <c r="AF432" s="16"/>
      <c r="AG432" s="16"/>
      <c r="AH432" s="16"/>
      <c r="AI432" s="16"/>
      <c r="AJ432" s="16"/>
    </row>
    <row r="433" ht="12.75" customHeight="1" spans="1:36" x14ac:dyDescent="0.25">
      <c r="A433" s="16"/>
      <c r="B433" s="16"/>
      <c r="C433" s="16"/>
      <c r="D433" s="16"/>
      <c r="E433" s="16"/>
      <c r="F433" s="16"/>
      <c r="G433" s="16"/>
      <c r="H433" s="16"/>
      <c r="I433" s="16"/>
      <c r="J433" s="16"/>
      <c r="K433" s="16"/>
      <c r="L433" s="16"/>
      <c r="M433" s="16"/>
      <c r="N433" s="16"/>
      <c r="O433" s="16"/>
      <c r="P433" s="16"/>
      <c r="Q433" s="16"/>
      <c r="R433" s="16"/>
      <c r="S433" s="16"/>
      <c r="T433" s="16"/>
      <c r="U433" s="16"/>
      <c r="V433" s="16"/>
      <c r="W433" s="16"/>
      <c r="X433" s="16"/>
      <c r="Y433" s="16"/>
      <c r="Z433" s="16"/>
      <c r="AA433" s="16"/>
      <c r="AB433" s="16"/>
      <c r="AC433" s="16"/>
      <c r="AD433" s="16"/>
      <c r="AE433" s="16"/>
      <c r="AF433" s="16"/>
      <c r="AG433" s="16"/>
      <c r="AH433" s="16"/>
      <c r="AI433" s="16"/>
      <c r="AJ433" s="16"/>
    </row>
    <row r="434" ht="12.75" customHeight="1" spans="1:36" x14ac:dyDescent="0.25">
      <c r="A434" s="16"/>
      <c r="B434" s="16"/>
      <c r="C434" s="16"/>
      <c r="D434" s="16"/>
      <c r="E434" s="16"/>
      <c r="F434" s="16"/>
      <c r="G434" s="16"/>
      <c r="H434" s="16"/>
      <c r="I434" s="16"/>
      <c r="J434" s="16"/>
      <c r="K434" s="16"/>
      <c r="L434" s="16"/>
      <c r="M434" s="16"/>
      <c r="N434" s="16"/>
      <c r="O434" s="16"/>
      <c r="P434" s="16"/>
      <c r="Q434" s="16"/>
      <c r="R434" s="16"/>
      <c r="S434" s="16"/>
      <c r="T434" s="16"/>
      <c r="U434" s="16"/>
      <c r="V434" s="16"/>
      <c r="W434" s="16"/>
      <c r="X434" s="16"/>
      <c r="Y434" s="16"/>
      <c r="Z434" s="16"/>
      <c r="AA434" s="16"/>
      <c r="AB434" s="16"/>
      <c r="AC434" s="16"/>
      <c r="AD434" s="16"/>
      <c r="AE434" s="16"/>
      <c r="AF434" s="16"/>
      <c r="AG434" s="16"/>
      <c r="AH434" s="16"/>
      <c r="AI434" s="16"/>
      <c r="AJ434" s="16"/>
    </row>
    <row r="435" ht="12.75" customHeight="1" spans="1:36" x14ac:dyDescent="0.25">
      <c r="A435" s="16"/>
      <c r="B435" s="16"/>
      <c r="C435" s="16"/>
      <c r="D435" s="16"/>
      <c r="E435" s="16"/>
      <c r="F435" s="16"/>
      <c r="G435" s="16"/>
      <c r="H435" s="16"/>
      <c r="I435" s="16"/>
      <c r="J435" s="16"/>
      <c r="K435" s="16"/>
      <c r="L435" s="16"/>
      <c r="M435" s="16"/>
      <c r="N435" s="16"/>
      <c r="O435" s="16"/>
      <c r="P435" s="16"/>
      <c r="Q435" s="16"/>
      <c r="R435" s="16"/>
      <c r="S435" s="16"/>
      <c r="T435" s="16"/>
      <c r="U435" s="16"/>
      <c r="V435" s="16"/>
      <c r="W435" s="16"/>
      <c r="X435" s="16"/>
      <c r="Y435" s="16"/>
      <c r="Z435" s="16"/>
      <c r="AA435" s="16"/>
      <c r="AB435" s="16"/>
      <c r="AC435" s="16"/>
      <c r="AD435" s="16"/>
      <c r="AE435" s="16"/>
      <c r="AF435" s="16"/>
      <c r="AG435" s="16"/>
      <c r="AH435" s="16"/>
      <c r="AI435" s="16"/>
      <c r="AJ435" s="16"/>
    </row>
    <row r="436" ht="12.75" customHeight="1" spans="1:36" x14ac:dyDescent="0.25">
      <c r="A436" s="16"/>
      <c r="B436" s="16"/>
      <c r="C436" s="16"/>
      <c r="D436" s="16"/>
      <c r="E436" s="16"/>
      <c r="F436" s="16"/>
      <c r="G436" s="16"/>
      <c r="H436" s="16"/>
      <c r="I436" s="16"/>
      <c r="J436" s="16"/>
      <c r="K436" s="16"/>
      <c r="L436" s="16"/>
      <c r="M436" s="16"/>
      <c r="N436" s="16"/>
      <c r="O436" s="16"/>
      <c r="P436" s="16"/>
      <c r="Q436" s="16"/>
      <c r="R436" s="16"/>
      <c r="S436" s="16"/>
      <c r="T436" s="16"/>
      <c r="U436" s="16"/>
      <c r="V436" s="16"/>
      <c r="W436" s="16"/>
      <c r="X436" s="16"/>
      <c r="Y436" s="16"/>
      <c r="Z436" s="16"/>
      <c r="AA436" s="16"/>
      <c r="AB436" s="16"/>
      <c r="AC436" s="16"/>
      <c r="AD436" s="16"/>
      <c r="AE436" s="16"/>
      <c r="AF436" s="16"/>
      <c r="AG436" s="16"/>
      <c r="AH436" s="16"/>
      <c r="AI436" s="16"/>
      <c r="AJ436" s="16"/>
    </row>
    <row r="437" ht="12.75" customHeight="1" spans="1:36" x14ac:dyDescent="0.25">
      <c r="A437" s="16"/>
      <c r="B437" s="16"/>
      <c r="C437" s="16"/>
      <c r="D437" s="16"/>
      <c r="E437" s="16"/>
      <c r="F437" s="16"/>
      <c r="G437" s="16"/>
      <c r="H437" s="16"/>
      <c r="I437" s="16"/>
      <c r="J437" s="16"/>
      <c r="K437" s="16"/>
      <c r="L437" s="16"/>
      <c r="M437" s="16"/>
      <c r="N437" s="16"/>
      <c r="O437" s="16"/>
      <c r="P437" s="16"/>
      <c r="Q437" s="16"/>
      <c r="R437" s="16"/>
      <c r="S437" s="16"/>
      <c r="T437" s="16"/>
      <c r="U437" s="16"/>
      <c r="V437" s="16"/>
      <c r="W437" s="16"/>
      <c r="X437" s="16"/>
      <c r="Y437" s="16"/>
      <c r="Z437" s="16"/>
      <c r="AA437" s="16"/>
      <c r="AB437" s="16"/>
      <c r="AC437" s="16"/>
      <c r="AD437" s="16"/>
      <c r="AE437" s="16"/>
      <c r="AF437" s="16"/>
      <c r="AG437" s="16"/>
      <c r="AH437" s="16"/>
      <c r="AI437" s="16"/>
      <c r="AJ437" s="16"/>
    </row>
    <row r="438" ht="12.75" customHeight="1" spans="1:36" x14ac:dyDescent="0.25">
      <c r="A438" s="16"/>
      <c r="B438" s="16"/>
      <c r="C438" s="16"/>
      <c r="D438" s="16"/>
      <c r="E438" s="16"/>
      <c r="F438" s="16"/>
      <c r="G438" s="16"/>
      <c r="H438" s="16"/>
      <c r="I438" s="16"/>
      <c r="J438" s="16"/>
      <c r="K438" s="16"/>
      <c r="L438" s="16"/>
      <c r="M438" s="16"/>
      <c r="N438" s="16"/>
      <c r="O438" s="16"/>
      <c r="P438" s="16"/>
      <c r="Q438" s="16"/>
      <c r="R438" s="16"/>
      <c r="S438" s="16"/>
      <c r="T438" s="16"/>
      <c r="U438" s="16"/>
      <c r="V438" s="16"/>
      <c r="W438" s="16"/>
      <c r="X438" s="16"/>
      <c r="Y438" s="16"/>
      <c r="Z438" s="16"/>
      <c r="AA438" s="16"/>
      <c r="AB438" s="16"/>
      <c r="AC438" s="16"/>
      <c r="AD438" s="16"/>
      <c r="AE438" s="16"/>
      <c r="AF438" s="16"/>
      <c r="AG438" s="16"/>
      <c r="AH438" s="16"/>
      <c r="AI438" s="16"/>
      <c r="AJ438" s="16"/>
    </row>
    <row r="439" ht="12.75" customHeight="1" spans="1:36" x14ac:dyDescent="0.25">
      <c r="A439" s="16"/>
      <c r="B439" s="16"/>
      <c r="C439" s="16"/>
      <c r="D439" s="16"/>
      <c r="E439" s="16"/>
      <c r="F439" s="16"/>
      <c r="G439" s="16"/>
      <c r="H439" s="16"/>
      <c r="I439" s="16"/>
      <c r="J439" s="16"/>
      <c r="K439" s="16"/>
      <c r="L439" s="16"/>
      <c r="M439" s="16"/>
      <c r="N439" s="16"/>
      <c r="O439" s="16"/>
      <c r="P439" s="16"/>
      <c r="Q439" s="16"/>
      <c r="R439" s="16"/>
      <c r="S439" s="16"/>
      <c r="T439" s="16"/>
      <c r="U439" s="16"/>
      <c r="V439" s="16"/>
      <c r="W439" s="16"/>
      <c r="X439" s="16"/>
      <c r="Y439" s="16"/>
      <c r="Z439" s="16"/>
      <c r="AA439" s="16"/>
      <c r="AB439" s="16"/>
      <c r="AC439" s="16"/>
      <c r="AD439" s="16"/>
      <c r="AE439" s="16"/>
      <c r="AF439" s="16"/>
      <c r="AG439" s="16"/>
      <c r="AH439" s="16"/>
      <c r="AI439" s="16"/>
      <c r="AJ439" s="16"/>
    </row>
    <row r="440" ht="12.75" customHeight="1" spans="1:36" x14ac:dyDescent="0.25">
      <c r="A440" s="16"/>
      <c r="B440" s="16"/>
      <c r="C440" s="16"/>
      <c r="D440" s="16"/>
      <c r="E440" s="16"/>
      <c r="F440" s="16"/>
      <c r="G440" s="16"/>
      <c r="H440" s="16"/>
      <c r="I440" s="16"/>
      <c r="J440" s="16"/>
      <c r="K440" s="16"/>
      <c r="L440" s="16"/>
      <c r="M440" s="16"/>
      <c r="N440" s="16"/>
      <c r="O440" s="16"/>
      <c r="P440" s="16"/>
      <c r="Q440" s="16"/>
      <c r="R440" s="16"/>
      <c r="S440" s="16"/>
      <c r="T440" s="16"/>
      <c r="U440" s="16"/>
      <c r="V440" s="16"/>
      <c r="W440" s="16"/>
      <c r="X440" s="16"/>
      <c r="Y440" s="16"/>
      <c r="Z440" s="16"/>
      <c r="AA440" s="16"/>
      <c r="AB440" s="16"/>
      <c r="AC440" s="16"/>
      <c r="AD440" s="16"/>
      <c r="AE440" s="16"/>
      <c r="AF440" s="16"/>
      <c r="AG440" s="16"/>
      <c r="AH440" s="16"/>
      <c r="AI440" s="16"/>
      <c r="AJ440" s="16"/>
    </row>
    <row r="441" ht="12.75" customHeight="1" spans="1:36" x14ac:dyDescent="0.25">
      <c r="A441" s="16"/>
      <c r="B441" s="16"/>
      <c r="C441" s="16"/>
      <c r="D441" s="16"/>
      <c r="E441" s="16"/>
      <c r="F441" s="16"/>
      <c r="G441" s="16"/>
      <c r="H441" s="16"/>
      <c r="I441" s="16"/>
      <c r="J441" s="16"/>
      <c r="K441" s="16"/>
      <c r="L441" s="16"/>
      <c r="M441" s="16"/>
      <c r="N441" s="16"/>
      <c r="O441" s="16"/>
      <c r="P441" s="16"/>
      <c r="Q441" s="16"/>
      <c r="R441" s="16"/>
      <c r="S441" s="16"/>
      <c r="T441" s="16"/>
      <c r="U441" s="16"/>
      <c r="V441" s="16"/>
      <c r="W441" s="16"/>
      <c r="X441" s="16"/>
      <c r="Y441" s="16"/>
      <c r="Z441" s="16"/>
      <c r="AA441" s="16"/>
      <c r="AB441" s="16"/>
      <c r="AC441" s="16"/>
      <c r="AD441" s="16"/>
      <c r="AE441" s="16"/>
      <c r="AF441" s="16"/>
      <c r="AG441" s="16"/>
      <c r="AH441" s="16"/>
      <c r="AI441" s="16"/>
      <c r="AJ441" s="16"/>
    </row>
    <row r="442" ht="12.75" customHeight="1" spans="1:36" x14ac:dyDescent="0.25">
      <c r="A442" s="16"/>
      <c r="B442" s="16"/>
      <c r="C442" s="16"/>
      <c r="D442" s="16"/>
      <c r="E442" s="16"/>
      <c r="F442" s="16"/>
      <c r="G442" s="16"/>
      <c r="H442" s="16"/>
      <c r="I442" s="16"/>
      <c r="J442" s="16"/>
      <c r="K442" s="16"/>
      <c r="L442" s="16"/>
      <c r="M442" s="16"/>
      <c r="N442" s="16"/>
      <c r="O442" s="16"/>
      <c r="P442" s="16"/>
      <c r="Q442" s="16"/>
      <c r="R442" s="16"/>
      <c r="S442" s="16"/>
      <c r="T442" s="16"/>
      <c r="U442" s="16"/>
      <c r="V442" s="16"/>
      <c r="W442" s="16"/>
      <c r="X442" s="16"/>
      <c r="Y442" s="16"/>
      <c r="Z442" s="16"/>
      <c r="AA442" s="16"/>
      <c r="AB442" s="16"/>
      <c r="AC442" s="16"/>
      <c r="AD442" s="16"/>
      <c r="AE442" s="16"/>
      <c r="AF442" s="16"/>
      <c r="AG442" s="16"/>
      <c r="AH442" s="16"/>
      <c r="AI442" s="16"/>
      <c r="AJ442" s="16"/>
    </row>
    <row r="443" ht="12.75" customHeight="1" spans="1:36" x14ac:dyDescent="0.25">
      <c r="A443" s="16"/>
      <c r="B443" s="16"/>
      <c r="C443" s="16"/>
      <c r="D443" s="16"/>
      <c r="E443" s="16"/>
      <c r="F443" s="16"/>
      <c r="G443" s="16"/>
      <c r="H443" s="16"/>
      <c r="I443" s="16"/>
      <c r="J443" s="16"/>
      <c r="K443" s="16"/>
      <c r="L443" s="16"/>
      <c r="M443" s="16"/>
      <c r="N443" s="16"/>
      <c r="O443" s="16"/>
      <c r="P443" s="16"/>
      <c r="Q443" s="16"/>
      <c r="R443" s="16"/>
      <c r="S443" s="16"/>
      <c r="T443" s="16"/>
      <c r="U443" s="16"/>
      <c r="V443" s="16"/>
      <c r="W443" s="16"/>
      <c r="X443" s="16"/>
      <c r="Y443" s="16"/>
      <c r="Z443" s="16"/>
      <c r="AA443" s="16"/>
      <c r="AB443" s="16"/>
      <c r="AC443" s="16"/>
      <c r="AD443" s="16"/>
      <c r="AE443" s="16"/>
      <c r="AF443" s="16"/>
      <c r="AG443" s="16"/>
      <c r="AH443" s="16"/>
      <c r="AI443" s="16"/>
      <c r="AJ443" s="16"/>
    </row>
    <row r="444" ht="12.75" customHeight="1" spans="1:36" x14ac:dyDescent="0.25">
      <c r="A444" s="16"/>
      <c r="B444" s="16"/>
      <c r="C444" s="16"/>
      <c r="D444" s="16"/>
      <c r="E444" s="16"/>
      <c r="F444" s="16"/>
      <c r="G444" s="16"/>
      <c r="H444" s="16"/>
      <c r="I444" s="16"/>
      <c r="J444" s="16"/>
      <c r="K444" s="16"/>
      <c r="L444" s="16"/>
      <c r="M444" s="16"/>
      <c r="N444" s="16"/>
      <c r="O444" s="16"/>
      <c r="P444" s="16"/>
      <c r="Q444" s="16"/>
      <c r="R444" s="16"/>
      <c r="S444" s="16"/>
      <c r="T444" s="16"/>
      <c r="U444" s="16"/>
      <c r="V444" s="16"/>
      <c r="W444" s="16"/>
      <c r="X444" s="16"/>
      <c r="Y444" s="16"/>
      <c r="Z444" s="16"/>
      <c r="AA444" s="16"/>
      <c r="AB444" s="16"/>
      <c r="AC444" s="16"/>
      <c r="AD444" s="16"/>
      <c r="AE444" s="16"/>
      <c r="AF444" s="16"/>
      <c r="AG444" s="16"/>
      <c r="AH444" s="16"/>
      <c r="AI444" s="16"/>
      <c r="AJ444" s="16"/>
    </row>
    <row r="445" ht="12.75" customHeight="1" spans="1:36" x14ac:dyDescent="0.25">
      <c r="A445" s="16"/>
      <c r="B445" s="16"/>
      <c r="C445" s="16"/>
      <c r="D445" s="16"/>
      <c r="E445" s="16"/>
      <c r="F445" s="16"/>
      <c r="G445" s="16"/>
      <c r="H445" s="16"/>
      <c r="I445" s="16"/>
      <c r="J445" s="16"/>
      <c r="K445" s="16"/>
      <c r="L445" s="16"/>
      <c r="M445" s="16"/>
      <c r="N445" s="16"/>
      <c r="O445" s="16"/>
      <c r="P445" s="16"/>
      <c r="Q445" s="16"/>
      <c r="R445" s="16"/>
      <c r="S445" s="16"/>
      <c r="T445" s="16"/>
      <c r="U445" s="16"/>
      <c r="V445" s="16"/>
      <c r="W445" s="16"/>
      <c r="X445" s="16"/>
      <c r="Y445" s="16"/>
      <c r="Z445" s="16"/>
      <c r="AA445" s="16"/>
      <c r="AB445" s="16"/>
      <c r="AC445" s="16"/>
      <c r="AD445" s="16"/>
      <c r="AE445" s="16"/>
      <c r="AF445" s="16"/>
      <c r="AG445" s="16"/>
      <c r="AH445" s="16"/>
      <c r="AI445" s="16"/>
      <c r="AJ445" s="16"/>
    </row>
    <row r="446" ht="12.75" customHeight="1" spans="1:36" x14ac:dyDescent="0.25">
      <c r="A446" s="16"/>
      <c r="B446" s="16"/>
      <c r="C446" s="16"/>
      <c r="D446" s="16"/>
      <c r="E446" s="16"/>
      <c r="F446" s="16"/>
      <c r="G446" s="16"/>
      <c r="H446" s="16"/>
      <c r="I446" s="16"/>
      <c r="J446" s="16"/>
      <c r="K446" s="16"/>
      <c r="L446" s="16"/>
      <c r="M446" s="16"/>
      <c r="N446" s="16"/>
      <c r="O446" s="16"/>
      <c r="P446" s="16"/>
      <c r="Q446" s="16"/>
      <c r="R446" s="16"/>
      <c r="S446" s="16"/>
      <c r="T446" s="16"/>
      <c r="U446" s="16"/>
      <c r="V446" s="16"/>
      <c r="W446" s="16"/>
      <c r="X446" s="16"/>
      <c r="Y446" s="16"/>
      <c r="Z446" s="16"/>
      <c r="AA446" s="16"/>
      <c r="AB446" s="16"/>
      <c r="AC446" s="16"/>
      <c r="AD446" s="16"/>
      <c r="AE446" s="16"/>
      <c r="AF446" s="16"/>
      <c r="AG446" s="16"/>
      <c r="AH446" s="16"/>
      <c r="AI446" s="16"/>
      <c r="AJ446" s="16"/>
    </row>
    <row r="447" ht="12.75" customHeight="1" spans="1:36" x14ac:dyDescent="0.25">
      <c r="A447" s="16"/>
      <c r="B447" s="16"/>
      <c r="C447" s="16"/>
      <c r="D447" s="16"/>
      <c r="E447" s="16"/>
      <c r="F447" s="16"/>
      <c r="G447" s="16"/>
      <c r="H447" s="16"/>
      <c r="I447" s="16"/>
      <c r="J447" s="16"/>
      <c r="K447" s="16"/>
      <c r="L447" s="16"/>
      <c r="M447" s="16"/>
      <c r="N447" s="16"/>
      <c r="O447" s="16"/>
      <c r="P447" s="16"/>
      <c r="Q447" s="16"/>
      <c r="R447" s="16"/>
      <c r="S447" s="16"/>
      <c r="T447" s="16"/>
      <c r="U447" s="16"/>
      <c r="V447" s="16"/>
      <c r="W447" s="16"/>
      <c r="X447" s="16"/>
      <c r="Y447" s="16"/>
      <c r="Z447" s="16"/>
      <c r="AA447" s="16"/>
      <c r="AB447" s="16"/>
      <c r="AC447" s="16"/>
      <c r="AD447" s="16"/>
      <c r="AE447" s="16"/>
      <c r="AF447" s="16"/>
      <c r="AG447" s="16"/>
      <c r="AH447" s="16"/>
      <c r="AI447" s="16"/>
      <c r="AJ447" s="16"/>
    </row>
    <row r="448" ht="12.75" customHeight="1" spans="1:36" x14ac:dyDescent="0.25">
      <c r="A448" s="16"/>
      <c r="B448" s="16"/>
      <c r="C448" s="16"/>
      <c r="D448" s="16"/>
      <c r="E448" s="16"/>
      <c r="F448" s="16"/>
      <c r="G448" s="16"/>
      <c r="H448" s="16"/>
      <c r="I448" s="16"/>
      <c r="J448" s="16"/>
      <c r="K448" s="16"/>
      <c r="L448" s="16"/>
      <c r="M448" s="16"/>
      <c r="N448" s="16"/>
      <c r="O448" s="16"/>
      <c r="P448" s="16"/>
      <c r="Q448" s="16"/>
      <c r="R448" s="16"/>
      <c r="S448" s="16"/>
      <c r="T448" s="16"/>
      <c r="U448" s="16"/>
      <c r="V448" s="16"/>
      <c r="W448" s="16"/>
      <c r="X448" s="16"/>
      <c r="Y448" s="16"/>
      <c r="Z448" s="16"/>
      <c r="AA448" s="16"/>
      <c r="AB448" s="16"/>
      <c r="AC448" s="16"/>
      <c r="AD448" s="16"/>
      <c r="AE448" s="16"/>
      <c r="AF448" s="16"/>
      <c r="AG448" s="16"/>
      <c r="AH448" s="16"/>
      <c r="AI448" s="16"/>
      <c r="AJ448" s="16"/>
    </row>
    <row r="449" ht="12.75" customHeight="1" spans="1:36" x14ac:dyDescent="0.25">
      <c r="A449" s="16"/>
      <c r="B449" s="16"/>
      <c r="C449" s="16"/>
      <c r="D449" s="16"/>
      <c r="E449" s="16"/>
      <c r="F449" s="16"/>
      <c r="G449" s="16"/>
      <c r="H449" s="16"/>
      <c r="I449" s="16"/>
      <c r="J449" s="16"/>
      <c r="K449" s="16"/>
      <c r="L449" s="16"/>
      <c r="M449" s="16"/>
      <c r="N449" s="16"/>
      <c r="O449" s="16"/>
      <c r="P449" s="16"/>
      <c r="Q449" s="16"/>
      <c r="R449" s="16"/>
      <c r="S449" s="16"/>
      <c r="T449" s="16"/>
      <c r="U449" s="16"/>
      <c r="V449" s="16"/>
      <c r="W449" s="16"/>
      <c r="X449" s="16"/>
      <c r="Y449" s="16"/>
      <c r="Z449" s="16"/>
      <c r="AA449" s="16"/>
      <c r="AB449" s="16"/>
      <c r="AC449" s="16"/>
      <c r="AD449" s="16"/>
      <c r="AE449" s="16"/>
      <c r="AF449" s="16"/>
      <c r="AG449" s="16"/>
      <c r="AH449" s="16"/>
      <c r="AI449" s="16"/>
      <c r="AJ449" s="16"/>
    </row>
    <row r="450" ht="12.75" customHeight="1" spans="1:36" x14ac:dyDescent="0.25">
      <c r="A450" s="16"/>
      <c r="B450" s="16"/>
      <c r="C450" s="16"/>
      <c r="D450" s="16"/>
      <c r="E450" s="16"/>
      <c r="F450" s="16"/>
      <c r="G450" s="16"/>
      <c r="H450" s="16"/>
      <c r="I450" s="16"/>
      <c r="J450" s="16"/>
      <c r="K450" s="16"/>
      <c r="L450" s="16"/>
      <c r="M450" s="16"/>
      <c r="N450" s="16"/>
      <c r="O450" s="16"/>
      <c r="P450" s="16"/>
      <c r="Q450" s="16"/>
      <c r="R450" s="16"/>
      <c r="S450" s="16"/>
      <c r="T450" s="16"/>
      <c r="U450" s="16"/>
      <c r="V450" s="16"/>
      <c r="W450" s="16"/>
      <c r="X450" s="16"/>
      <c r="Y450" s="16"/>
      <c r="Z450" s="16"/>
      <c r="AA450" s="16"/>
      <c r="AB450" s="16"/>
      <c r="AC450" s="16"/>
      <c r="AD450" s="16"/>
      <c r="AE450" s="16"/>
      <c r="AF450" s="16"/>
      <c r="AG450" s="16"/>
      <c r="AH450" s="16"/>
      <c r="AI450" s="16"/>
      <c r="AJ450" s="16"/>
    </row>
    <row r="451" ht="12.75" customHeight="1" spans="1:36" x14ac:dyDescent="0.25">
      <c r="A451" s="16"/>
      <c r="B451" s="16"/>
      <c r="C451" s="16"/>
      <c r="D451" s="16"/>
      <c r="E451" s="16"/>
      <c r="F451" s="16"/>
      <c r="G451" s="16"/>
      <c r="H451" s="16"/>
      <c r="I451" s="16"/>
      <c r="J451" s="16"/>
      <c r="K451" s="16"/>
      <c r="L451" s="16"/>
      <c r="M451" s="16"/>
      <c r="N451" s="16"/>
      <c r="O451" s="16"/>
      <c r="P451" s="16"/>
      <c r="Q451" s="16"/>
      <c r="R451" s="16"/>
      <c r="S451" s="16"/>
      <c r="T451" s="16"/>
      <c r="U451" s="16"/>
      <c r="V451" s="16"/>
      <c r="W451" s="16"/>
      <c r="X451" s="16"/>
      <c r="Y451" s="16"/>
      <c r="Z451" s="16"/>
      <c r="AA451" s="16"/>
      <c r="AB451" s="16"/>
      <c r="AC451" s="16"/>
      <c r="AD451" s="16"/>
      <c r="AE451" s="16"/>
      <c r="AF451" s="16"/>
      <c r="AG451" s="16"/>
      <c r="AH451" s="16"/>
      <c r="AI451" s="16"/>
      <c r="AJ451" s="16"/>
    </row>
    <row r="452" ht="12.75" customHeight="1" spans="1:36" x14ac:dyDescent="0.25">
      <c r="A452" s="16"/>
      <c r="B452" s="16"/>
      <c r="C452" s="16"/>
      <c r="D452" s="16"/>
      <c r="E452" s="16"/>
      <c r="F452" s="16"/>
      <c r="G452" s="16"/>
      <c r="H452" s="16"/>
      <c r="I452" s="16"/>
      <c r="J452" s="16"/>
      <c r="K452" s="16"/>
      <c r="L452" s="16"/>
      <c r="M452" s="16"/>
      <c r="N452" s="16"/>
      <c r="O452" s="16"/>
      <c r="P452" s="16"/>
      <c r="Q452" s="16"/>
      <c r="R452" s="16"/>
      <c r="S452" s="16"/>
      <c r="T452" s="16"/>
      <c r="U452" s="16"/>
      <c r="V452" s="16"/>
      <c r="W452" s="16"/>
      <c r="X452" s="16"/>
      <c r="Y452" s="16"/>
      <c r="Z452" s="16"/>
      <c r="AA452" s="16"/>
      <c r="AB452" s="16"/>
      <c r="AC452" s="16"/>
      <c r="AD452" s="16"/>
      <c r="AE452" s="16"/>
      <c r="AF452" s="16"/>
      <c r="AG452" s="16"/>
      <c r="AH452" s="16"/>
      <c r="AI452" s="16"/>
      <c r="AJ452" s="16"/>
    </row>
    <row r="453" ht="12.75" customHeight="1" spans="1:36" x14ac:dyDescent="0.25">
      <c r="A453" s="16"/>
      <c r="B453" s="16"/>
      <c r="C453" s="16"/>
      <c r="D453" s="16"/>
      <c r="E453" s="16"/>
      <c r="F453" s="16"/>
      <c r="G453" s="16"/>
      <c r="H453" s="16"/>
      <c r="I453" s="16"/>
      <c r="J453" s="16"/>
      <c r="K453" s="16"/>
      <c r="L453" s="16"/>
      <c r="M453" s="16"/>
      <c r="N453" s="16"/>
      <c r="O453" s="16"/>
      <c r="P453" s="16"/>
      <c r="Q453" s="16"/>
      <c r="R453" s="16"/>
      <c r="S453" s="16"/>
      <c r="T453" s="16"/>
      <c r="U453" s="16"/>
      <c r="V453" s="16"/>
      <c r="W453" s="16"/>
      <c r="X453" s="16"/>
      <c r="Y453" s="16"/>
      <c r="Z453" s="16"/>
      <c r="AA453" s="16"/>
      <c r="AB453" s="16"/>
      <c r="AC453" s="16"/>
      <c r="AD453" s="16"/>
      <c r="AE453" s="16"/>
      <c r="AF453" s="16"/>
      <c r="AG453" s="16"/>
      <c r="AH453" s="16"/>
      <c r="AI453" s="16"/>
      <c r="AJ453" s="16"/>
    </row>
    <row r="454" ht="12.75" customHeight="1" spans="1:36" x14ac:dyDescent="0.25">
      <c r="A454" s="16"/>
      <c r="B454" s="16"/>
      <c r="C454" s="16"/>
      <c r="D454" s="16"/>
      <c r="E454" s="16"/>
      <c r="F454" s="16"/>
      <c r="G454" s="16"/>
      <c r="H454" s="16"/>
      <c r="I454" s="16"/>
      <c r="J454" s="16"/>
      <c r="K454" s="16"/>
      <c r="L454" s="16"/>
      <c r="M454" s="16"/>
      <c r="N454" s="16"/>
      <c r="O454" s="16"/>
      <c r="P454" s="16"/>
      <c r="Q454" s="16"/>
      <c r="R454" s="16"/>
      <c r="S454" s="16"/>
      <c r="T454" s="16"/>
      <c r="U454" s="16"/>
      <c r="V454" s="16"/>
      <c r="W454" s="16"/>
      <c r="X454" s="16"/>
      <c r="Y454" s="16"/>
      <c r="Z454" s="16"/>
      <c r="AA454" s="16"/>
      <c r="AB454" s="16"/>
      <c r="AC454" s="16"/>
      <c r="AD454" s="16"/>
      <c r="AE454" s="16"/>
      <c r="AF454" s="16"/>
      <c r="AG454" s="16"/>
      <c r="AH454" s="16"/>
      <c r="AI454" s="16"/>
      <c r="AJ454" s="16"/>
    </row>
    <row r="455" ht="12.75" customHeight="1" spans="1:36" x14ac:dyDescent="0.25">
      <c r="A455" s="16"/>
      <c r="B455" s="16"/>
      <c r="C455" s="16"/>
      <c r="D455" s="16"/>
      <c r="E455" s="16"/>
      <c r="F455" s="16"/>
      <c r="G455" s="16"/>
      <c r="H455" s="16"/>
      <c r="I455" s="16"/>
      <c r="J455" s="16"/>
      <c r="K455" s="16"/>
      <c r="L455" s="16"/>
      <c r="M455" s="16"/>
      <c r="N455" s="16"/>
      <c r="O455" s="16"/>
      <c r="P455" s="16"/>
      <c r="Q455" s="16"/>
      <c r="R455" s="16"/>
      <c r="S455" s="16"/>
      <c r="T455" s="16"/>
      <c r="U455" s="16"/>
      <c r="V455" s="16"/>
      <c r="W455" s="16"/>
      <c r="X455" s="16"/>
      <c r="Y455" s="16"/>
      <c r="Z455" s="16"/>
      <c r="AA455" s="16"/>
      <c r="AB455" s="16"/>
      <c r="AC455" s="16"/>
      <c r="AD455" s="16"/>
      <c r="AE455" s="16"/>
      <c r="AF455" s="16"/>
      <c r="AG455" s="16"/>
      <c r="AH455" s="16"/>
      <c r="AI455" s="16"/>
      <c r="AJ455" s="16"/>
    </row>
    <row r="456" ht="12.75" customHeight="1" spans="1:36" x14ac:dyDescent="0.25">
      <c r="A456" s="16"/>
      <c r="B456" s="16"/>
      <c r="C456" s="16"/>
      <c r="D456" s="16"/>
      <c r="E456" s="16"/>
      <c r="F456" s="16"/>
      <c r="G456" s="16"/>
      <c r="H456" s="16"/>
      <c r="I456" s="16"/>
      <c r="J456" s="16"/>
      <c r="K456" s="16"/>
      <c r="L456" s="16"/>
      <c r="M456" s="16"/>
      <c r="N456" s="16"/>
      <c r="O456" s="16"/>
      <c r="P456" s="16"/>
      <c r="Q456" s="16"/>
      <c r="R456" s="16"/>
      <c r="S456" s="16"/>
      <c r="T456" s="16"/>
      <c r="U456" s="16"/>
      <c r="V456" s="16"/>
      <c r="W456" s="16"/>
      <c r="X456" s="16"/>
      <c r="Y456" s="16"/>
      <c r="Z456" s="16"/>
      <c r="AA456" s="16"/>
      <c r="AB456" s="16"/>
      <c r="AC456" s="16"/>
      <c r="AD456" s="16"/>
      <c r="AE456" s="16"/>
      <c r="AF456" s="16"/>
      <c r="AG456" s="16"/>
      <c r="AH456" s="16"/>
      <c r="AI456" s="16"/>
      <c r="AJ456" s="16"/>
    </row>
    <row r="457" ht="12.75" customHeight="1" spans="1:36" x14ac:dyDescent="0.25">
      <c r="A457" s="16"/>
      <c r="B457" s="16"/>
      <c r="C457" s="16"/>
      <c r="D457" s="16"/>
      <c r="E457" s="16"/>
      <c r="F457" s="16"/>
      <c r="G457" s="16"/>
      <c r="H457" s="16"/>
      <c r="I457" s="16"/>
      <c r="J457" s="16"/>
      <c r="K457" s="16"/>
      <c r="L457" s="16"/>
      <c r="M457" s="16"/>
      <c r="N457" s="16"/>
      <c r="O457" s="16"/>
      <c r="P457" s="16"/>
      <c r="Q457" s="16"/>
      <c r="R457" s="16"/>
      <c r="S457" s="16"/>
      <c r="T457" s="16"/>
      <c r="U457" s="16"/>
      <c r="V457" s="16"/>
      <c r="W457" s="16"/>
      <c r="X457" s="16"/>
      <c r="Y457" s="16"/>
      <c r="Z457" s="16"/>
      <c r="AA457" s="16"/>
      <c r="AB457" s="16"/>
      <c r="AC457" s="16"/>
      <c r="AD457" s="16"/>
      <c r="AE457" s="16"/>
      <c r="AF457" s="16"/>
      <c r="AG457" s="16"/>
      <c r="AH457" s="16"/>
      <c r="AI457" s="16"/>
      <c r="AJ457" s="16"/>
    </row>
    <row r="458" ht="12.75" customHeight="1" spans="1:36" x14ac:dyDescent="0.25">
      <c r="A458" s="16"/>
      <c r="B458" s="16"/>
      <c r="C458" s="16"/>
      <c r="D458" s="16"/>
      <c r="E458" s="16"/>
      <c r="F458" s="16"/>
      <c r="G458" s="16"/>
      <c r="H458" s="16"/>
      <c r="I458" s="16"/>
      <c r="J458" s="16"/>
      <c r="K458" s="16"/>
      <c r="L458" s="16"/>
      <c r="M458" s="16"/>
      <c r="N458" s="16"/>
      <c r="O458" s="16"/>
      <c r="P458" s="16"/>
      <c r="Q458" s="16"/>
      <c r="R458" s="16"/>
      <c r="S458" s="16"/>
      <c r="T458" s="16"/>
      <c r="U458" s="16"/>
      <c r="V458" s="16"/>
      <c r="W458" s="16"/>
      <c r="X458" s="16"/>
      <c r="Y458" s="16"/>
      <c r="Z458" s="16"/>
      <c r="AA458" s="16"/>
      <c r="AB458" s="16"/>
      <c r="AC458" s="16"/>
      <c r="AD458" s="16"/>
      <c r="AE458" s="16"/>
      <c r="AF458" s="16"/>
      <c r="AG458" s="16"/>
      <c r="AH458" s="16"/>
      <c r="AI458" s="16"/>
      <c r="AJ458" s="16"/>
    </row>
    <row r="459" ht="12.75" customHeight="1" spans="1:36" x14ac:dyDescent="0.25">
      <c r="A459" s="16"/>
      <c r="B459" s="16"/>
      <c r="C459" s="16"/>
      <c r="D459" s="16"/>
      <c r="E459" s="16"/>
      <c r="F459" s="16"/>
      <c r="G459" s="16"/>
      <c r="H459" s="16"/>
      <c r="I459" s="16"/>
      <c r="J459" s="16"/>
      <c r="K459" s="16"/>
      <c r="L459" s="16"/>
      <c r="M459" s="16"/>
      <c r="N459" s="16"/>
      <c r="O459" s="16"/>
      <c r="P459" s="16"/>
      <c r="Q459" s="16"/>
      <c r="R459" s="16"/>
      <c r="S459" s="16"/>
      <c r="T459" s="16"/>
      <c r="U459" s="16"/>
      <c r="V459" s="16"/>
      <c r="W459" s="16"/>
      <c r="X459" s="16"/>
      <c r="Y459" s="16"/>
      <c r="Z459" s="16"/>
      <c r="AA459" s="16"/>
      <c r="AB459" s="16"/>
      <c r="AC459" s="16"/>
      <c r="AD459" s="16"/>
      <c r="AE459" s="16"/>
      <c r="AF459" s="16"/>
      <c r="AG459" s="16"/>
      <c r="AH459" s="16"/>
      <c r="AI459" s="16"/>
      <c r="AJ459" s="16"/>
    </row>
    <row r="460" ht="12.75" customHeight="1" spans="1:36" x14ac:dyDescent="0.25">
      <c r="A460" s="16"/>
      <c r="B460" s="16"/>
      <c r="C460" s="16"/>
      <c r="D460" s="16"/>
      <c r="E460" s="16"/>
      <c r="F460" s="16"/>
      <c r="G460" s="16"/>
      <c r="H460" s="16"/>
      <c r="I460" s="16"/>
      <c r="J460" s="16"/>
      <c r="K460" s="16"/>
      <c r="L460" s="16"/>
      <c r="M460" s="16"/>
      <c r="N460" s="16"/>
      <c r="O460" s="16"/>
      <c r="P460" s="16"/>
      <c r="Q460" s="16"/>
      <c r="R460" s="16"/>
      <c r="S460" s="16"/>
      <c r="T460" s="16"/>
      <c r="U460" s="16"/>
      <c r="V460" s="16"/>
      <c r="W460" s="16"/>
      <c r="X460" s="16"/>
      <c r="Y460" s="16"/>
      <c r="Z460" s="16"/>
      <c r="AA460" s="16"/>
      <c r="AB460" s="16"/>
      <c r="AC460" s="16"/>
      <c r="AD460" s="16"/>
      <c r="AE460" s="16"/>
      <c r="AF460" s="16"/>
      <c r="AG460" s="16"/>
      <c r="AH460" s="16"/>
      <c r="AI460" s="16"/>
      <c r="AJ460" s="16"/>
    </row>
    <row r="461" ht="12.75" customHeight="1" spans="1:36" x14ac:dyDescent="0.25">
      <c r="A461" s="16"/>
      <c r="B461" s="16"/>
      <c r="C461" s="16"/>
      <c r="D461" s="16"/>
      <c r="E461" s="16"/>
      <c r="F461" s="16"/>
      <c r="G461" s="16"/>
      <c r="H461" s="16"/>
      <c r="I461" s="16"/>
      <c r="J461" s="16"/>
      <c r="K461" s="16"/>
      <c r="L461" s="16"/>
      <c r="M461" s="16"/>
      <c r="N461" s="16"/>
      <c r="O461" s="16"/>
      <c r="P461" s="16"/>
      <c r="Q461" s="16"/>
      <c r="R461" s="16"/>
      <c r="S461" s="16"/>
      <c r="T461" s="16"/>
      <c r="U461" s="16"/>
      <c r="V461" s="16"/>
      <c r="W461" s="16"/>
      <c r="X461" s="16"/>
      <c r="Y461" s="16"/>
      <c r="Z461" s="16"/>
      <c r="AA461" s="16"/>
      <c r="AB461" s="16"/>
      <c r="AC461" s="16"/>
      <c r="AD461" s="16"/>
      <c r="AE461" s="16"/>
      <c r="AF461" s="16"/>
      <c r="AG461" s="16"/>
      <c r="AH461" s="16"/>
      <c r="AI461" s="16"/>
      <c r="AJ461" s="16"/>
    </row>
    <row r="462" ht="12.75" customHeight="1" spans="1:36" x14ac:dyDescent="0.25">
      <c r="A462" s="16"/>
      <c r="B462" s="16"/>
      <c r="C462" s="16"/>
      <c r="D462" s="16"/>
      <c r="E462" s="16"/>
      <c r="F462" s="16"/>
      <c r="G462" s="16"/>
      <c r="H462" s="16"/>
      <c r="I462" s="16"/>
      <c r="J462" s="16"/>
      <c r="K462" s="16"/>
      <c r="L462" s="16"/>
      <c r="M462" s="16"/>
      <c r="N462" s="16"/>
      <c r="O462" s="16"/>
      <c r="P462" s="16"/>
      <c r="Q462" s="16"/>
      <c r="R462" s="16"/>
      <c r="S462" s="16"/>
      <c r="T462" s="16"/>
      <c r="U462" s="16"/>
      <c r="V462" s="16"/>
      <c r="W462" s="16"/>
      <c r="X462" s="16"/>
      <c r="Y462" s="16"/>
      <c r="Z462" s="16"/>
      <c r="AA462" s="16"/>
      <c r="AB462" s="16"/>
      <c r="AC462" s="16"/>
      <c r="AD462" s="16"/>
      <c r="AE462" s="16"/>
      <c r="AF462" s="16"/>
      <c r="AG462" s="16"/>
      <c r="AH462" s="16"/>
      <c r="AI462" s="16"/>
      <c r="AJ462" s="16"/>
    </row>
    <row r="463" ht="12.75" customHeight="1" spans="1:36" x14ac:dyDescent="0.25">
      <c r="A463" s="16"/>
      <c r="B463" s="16"/>
      <c r="C463" s="16"/>
      <c r="D463" s="16"/>
      <c r="E463" s="16"/>
      <c r="F463" s="16"/>
      <c r="G463" s="16"/>
      <c r="H463" s="16"/>
      <c r="I463" s="16"/>
      <c r="J463" s="16"/>
      <c r="K463" s="16"/>
      <c r="L463" s="16"/>
      <c r="M463" s="16"/>
      <c r="N463" s="16"/>
      <c r="O463" s="16"/>
      <c r="P463" s="16"/>
      <c r="Q463" s="16"/>
      <c r="R463" s="16"/>
      <c r="S463" s="16"/>
      <c r="T463" s="16"/>
      <c r="U463" s="16"/>
      <c r="V463" s="16"/>
      <c r="W463" s="16"/>
      <c r="X463" s="16"/>
      <c r="Y463" s="16"/>
      <c r="Z463" s="16"/>
      <c r="AA463" s="16"/>
      <c r="AB463" s="16"/>
      <c r="AC463" s="16"/>
      <c r="AD463" s="16"/>
      <c r="AE463" s="16"/>
      <c r="AF463" s="16"/>
      <c r="AG463" s="16"/>
      <c r="AH463" s="16"/>
      <c r="AI463" s="16"/>
      <c r="AJ463" s="16"/>
    </row>
    <row r="464" ht="12.75" customHeight="1" spans="1:36" x14ac:dyDescent="0.25">
      <c r="A464" s="16"/>
      <c r="B464" s="16"/>
      <c r="C464" s="16"/>
      <c r="D464" s="16"/>
      <c r="E464" s="16"/>
      <c r="F464" s="16"/>
      <c r="G464" s="16"/>
      <c r="H464" s="16"/>
      <c r="I464" s="16"/>
      <c r="J464" s="16"/>
      <c r="K464" s="16"/>
      <c r="L464" s="16"/>
      <c r="M464" s="16"/>
      <c r="N464" s="16"/>
      <c r="O464" s="16"/>
      <c r="P464" s="16"/>
      <c r="Q464" s="16"/>
      <c r="R464" s="16"/>
      <c r="S464" s="16"/>
      <c r="T464" s="16"/>
      <c r="U464" s="16"/>
      <c r="V464" s="16"/>
      <c r="W464" s="16"/>
      <c r="X464" s="16"/>
      <c r="Y464" s="16"/>
      <c r="Z464" s="16"/>
      <c r="AA464" s="16"/>
      <c r="AB464" s="16"/>
      <c r="AC464" s="16"/>
      <c r="AD464" s="16"/>
      <c r="AE464" s="16"/>
      <c r="AF464" s="16"/>
      <c r="AG464" s="16"/>
      <c r="AH464" s="16"/>
      <c r="AI464" s="16"/>
      <c r="AJ464" s="16"/>
    </row>
    <row r="465" ht="12.75" customHeight="1" spans="1:36" x14ac:dyDescent="0.25">
      <c r="A465" s="16"/>
      <c r="B465" s="16"/>
      <c r="C465" s="16"/>
      <c r="D465" s="16"/>
      <c r="E465" s="16"/>
      <c r="F465" s="16"/>
      <c r="G465" s="16"/>
      <c r="H465" s="16"/>
      <c r="I465" s="16"/>
      <c r="J465" s="16"/>
      <c r="K465" s="16"/>
      <c r="L465" s="16"/>
      <c r="M465" s="16"/>
      <c r="N465" s="16"/>
      <c r="O465" s="16"/>
      <c r="P465" s="16"/>
      <c r="Q465" s="16"/>
      <c r="R465" s="16"/>
      <c r="S465" s="16"/>
      <c r="T465" s="16"/>
      <c r="U465" s="16"/>
      <c r="V465" s="16"/>
      <c r="W465" s="16"/>
      <c r="X465" s="16"/>
      <c r="Y465" s="16"/>
      <c r="Z465" s="16"/>
      <c r="AA465" s="16"/>
      <c r="AB465" s="16"/>
      <c r="AC465" s="16"/>
      <c r="AD465" s="16"/>
      <c r="AE465" s="16"/>
      <c r="AF465" s="16"/>
      <c r="AG465" s="16"/>
      <c r="AH465" s="16"/>
      <c r="AI465" s="16"/>
      <c r="AJ465" s="16"/>
    </row>
    <row r="466" ht="12.75" customHeight="1" spans="1:36" x14ac:dyDescent="0.25">
      <c r="A466" s="16"/>
      <c r="B466" s="16"/>
      <c r="C466" s="16"/>
      <c r="D466" s="16"/>
      <c r="E466" s="16"/>
      <c r="F466" s="16"/>
      <c r="G466" s="16"/>
      <c r="H466" s="16"/>
      <c r="I466" s="16"/>
      <c r="J466" s="16"/>
      <c r="K466" s="16"/>
      <c r="L466" s="16"/>
      <c r="M466" s="16"/>
      <c r="N466" s="16"/>
      <c r="O466" s="16"/>
      <c r="P466" s="16"/>
      <c r="Q466" s="16"/>
      <c r="R466" s="16"/>
      <c r="S466" s="16"/>
      <c r="T466" s="16"/>
      <c r="U466" s="16"/>
      <c r="V466" s="16"/>
      <c r="W466" s="16"/>
      <c r="X466" s="16"/>
      <c r="Y466" s="16"/>
      <c r="Z466" s="16"/>
      <c r="AA466" s="16"/>
      <c r="AB466" s="16"/>
      <c r="AC466" s="16"/>
      <c r="AD466" s="16"/>
      <c r="AE466" s="16"/>
      <c r="AF466" s="16"/>
      <c r="AG466" s="16"/>
      <c r="AH466" s="16"/>
      <c r="AI466" s="16"/>
      <c r="AJ466" s="16"/>
    </row>
    <row r="467" ht="12.75" customHeight="1" spans="1:36" x14ac:dyDescent="0.25">
      <c r="A467" s="16"/>
      <c r="B467" s="16"/>
      <c r="C467" s="16"/>
      <c r="D467" s="16"/>
      <c r="E467" s="16"/>
      <c r="F467" s="16"/>
      <c r="G467" s="16"/>
      <c r="H467" s="16"/>
      <c r="I467" s="16"/>
      <c r="J467" s="16"/>
      <c r="K467" s="16"/>
      <c r="L467" s="16"/>
      <c r="M467" s="16"/>
      <c r="N467" s="16"/>
      <c r="O467" s="16"/>
      <c r="P467" s="16"/>
      <c r="Q467" s="16"/>
      <c r="R467" s="16"/>
      <c r="S467" s="16"/>
      <c r="T467" s="16"/>
      <c r="U467" s="16"/>
      <c r="V467" s="16"/>
      <c r="W467" s="16"/>
      <c r="X467" s="16"/>
      <c r="Y467" s="16"/>
      <c r="Z467" s="16"/>
      <c r="AA467" s="16"/>
      <c r="AB467" s="16"/>
      <c r="AC467" s="16"/>
      <c r="AD467" s="16"/>
      <c r="AE467" s="16"/>
      <c r="AF467" s="16"/>
      <c r="AG467" s="16"/>
      <c r="AH467" s="16"/>
      <c r="AI467" s="16"/>
      <c r="AJ467" s="16"/>
    </row>
    <row r="468" ht="12.75" customHeight="1" spans="1:36" x14ac:dyDescent="0.25">
      <c r="A468" s="16"/>
      <c r="B468" s="16"/>
      <c r="C468" s="16"/>
      <c r="D468" s="16"/>
      <c r="E468" s="16"/>
      <c r="F468" s="16"/>
      <c r="G468" s="16"/>
      <c r="H468" s="16"/>
      <c r="I468" s="16"/>
      <c r="J468" s="16"/>
      <c r="K468" s="16"/>
      <c r="L468" s="16"/>
      <c r="M468" s="16"/>
      <c r="N468" s="16"/>
      <c r="O468" s="16"/>
      <c r="P468" s="16"/>
      <c r="Q468" s="16"/>
      <c r="R468" s="16"/>
      <c r="S468" s="16"/>
      <c r="T468" s="16"/>
      <c r="U468" s="16"/>
      <c r="V468" s="16"/>
      <c r="W468" s="16"/>
      <c r="X468" s="16"/>
      <c r="Y468" s="16"/>
      <c r="Z468" s="16"/>
      <c r="AA468" s="16"/>
      <c r="AB468" s="16"/>
      <c r="AC468" s="16"/>
      <c r="AD468" s="16"/>
      <c r="AE468" s="16"/>
      <c r="AF468" s="16"/>
      <c r="AG468" s="16"/>
      <c r="AH468" s="16"/>
      <c r="AI468" s="16"/>
      <c r="AJ468" s="16"/>
    </row>
    <row r="469" ht="12.75" customHeight="1" spans="1:36" x14ac:dyDescent="0.25">
      <c r="A469" s="16"/>
      <c r="B469" s="16"/>
      <c r="C469" s="16"/>
      <c r="D469" s="16"/>
      <c r="E469" s="16"/>
      <c r="F469" s="16"/>
      <c r="G469" s="16"/>
      <c r="H469" s="16"/>
      <c r="I469" s="16"/>
      <c r="J469" s="16"/>
      <c r="K469" s="16"/>
      <c r="L469" s="16"/>
      <c r="M469" s="16"/>
      <c r="N469" s="16"/>
      <c r="O469" s="16"/>
      <c r="P469" s="16"/>
      <c r="Q469" s="16"/>
      <c r="R469" s="16"/>
      <c r="S469" s="16"/>
      <c r="T469" s="16"/>
      <c r="U469" s="16"/>
      <c r="V469" s="16"/>
      <c r="W469" s="16"/>
      <c r="X469" s="16"/>
      <c r="Y469" s="16"/>
      <c r="Z469" s="16"/>
      <c r="AA469" s="16"/>
      <c r="AB469" s="16"/>
      <c r="AC469" s="16"/>
      <c r="AD469" s="16"/>
      <c r="AE469" s="16"/>
      <c r="AF469" s="16"/>
      <c r="AG469" s="16"/>
      <c r="AH469" s="16"/>
      <c r="AI469" s="16"/>
      <c r="AJ469" s="16"/>
    </row>
    <row r="470" ht="12.75" customHeight="1" spans="1:36" x14ac:dyDescent="0.25">
      <c r="A470" s="16"/>
      <c r="B470" s="16"/>
      <c r="C470" s="16"/>
      <c r="D470" s="16"/>
      <c r="E470" s="16"/>
      <c r="F470" s="16"/>
      <c r="G470" s="16"/>
      <c r="H470" s="16"/>
      <c r="I470" s="16"/>
      <c r="J470" s="16"/>
      <c r="K470" s="16"/>
      <c r="L470" s="16"/>
      <c r="M470" s="16"/>
      <c r="N470" s="16"/>
      <c r="O470" s="16"/>
      <c r="P470" s="16"/>
      <c r="Q470" s="16"/>
      <c r="R470" s="16"/>
      <c r="S470" s="16"/>
      <c r="T470" s="16"/>
      <c r="U470" s="16"/>
      <c r="V470" s="16"/>
      <c r="W470" s="16"/>
      <c r="X470" s="16"/>
      <c r="Y470" s="16"/>
      <c r="Z470" s="16"/>
      <c r="AA470" s="16"/>
      <c r="AB470" s="16"/>
      <c r="AC470" s="16"/>
      <c r="AD470" s="16"/>
      <c r="AE470" s="16"/>
      <c r="AF470" s="16"/>
      <c r="AG470" s="16"/>
      <c r="AH470" s="16"/>
      <c r="AI470" s="16"/>
      <c r="AJ470" s="16"/>
    </row>
    <row r="471" ht="12.75" customHeight="1" spans="1:36" x14ac:dyDescent="0.25">
      <c r="A471" s="16"/>
      <c r="B471" s="16"/>
      <c r="C471" s="16"/>
      <c r="D471" s="16"/>
      <c r="E471" s="16"/>
      <c r="F471" s="16"/>
      <c r="G471" s="16"/>
      <c r="H471" s="16"/>
      <c r="I471" s="16"/>
      <c r="J471" s="16"/>
      <c r="K471" s="16"/>
      <c r="L471" s="16"/>
      <c r="M471" s="16"/>
      <c r="N471" s="16"/>
      <c r="O471" s="16"/>
      <c r="P471" s="16"/>
      <c r="Q471" s="16"/>
      <c r="R471" s="16"/>
      <c r="S471" s="16"/>
      <c r="T471" s="16"/>
      <c r="U471" s="16"/>
      <c r="V471" s="16"/>
      <c r="W471" s="16"/>
      <c r="X471" s="16"/>
      <c r="Y471" s="16"/>
      <c r="Z471" s="16"/>
      <c r="AA471" s="16"/>
      <c r="AB471" s="16"/>
      <c r="AC471" s="16"/>
      <c r="AD471" s="16"/>
      <c r="AE471" s="16"/>
      <c r="AF471" s="16"/>
      <c r="AG471" s="16"/>
      <c r="AH471" s="16"/>
      <c r="AI471" s="16"/>
      <c r="AJ471" s="16"/>
    </row>
    <row r="472" ht="12.75" customHeight="1" spans="1:36" x14ac:dyDescent="0.25">
      <c r="A472" s="16"/>
      <c r="B472" s="16"/>
      <c r="C472" s="16"/>
      <c r="D472" s="16"/>
      <c r="E472" s="16"/>
      <c r="F472" s="16"/>
      <c r="G472" s="16"/>
      <c r="H472" s="16"/>
      <c r="I472" s="16"/>
      <c r="J472" s="16"/>
      <c r="K472" s="16"/>
      <c r="L472" s="16"/>
      <c r="M472" s="16"/>
      <c r="N472" s="16"/>
      <c r="O472" s="16"/>
      <c r="P472" s="16"/>
      <c r="Q472" s="16"/>
      <c r="R472" s="16"/>
      <c r="S472" s="16"/>
      <c r="T472" s="16"/>
      <c r="U472" s="16"/>
      <c r="V472" s="16"/>
      <c r="W472" s="16"/>
      <c r="X472" s="16"/>
      <c r="Y472" s="16"/>
      <c r="Z472" s="16"/>
      <c r="AA472" s="16"/>
      <c r="AB472" s="16"/>
      <c r="AC472" s="16"/>
      <c r="AD472" s="16"/>
      <c r="AE472" s="16"/>
      <c r="AF472" s="16"/>
      <c r="AG472" s="16"/>
      <c r="AH472" s="16"/>
      <c r="AI472" s="16"/>
      <c r="AJ472" s="16"/>
    </row>
    <row r="473" ht="12.75" customHeight="1" spans="1:36" x14ac:dyDescent="0.25">
      <c r="A473" s="16"/>
      <c r="B473" s="16"/>
      <c r="C473" s="16"/>
      <c r="D473" s="16"/>
      <c r="E473" s="16"/>
      <c r="F473" s="16"/>
      <c r="G473" s="16"/>
      <c r="H473" s="16"/>
      <c r="I473" s="16"/>
      <c r="J473" s="16"/>
      <c r="K473" s="16"/>
      <c r="L473" s="16"/>
      <c r="M473" s="16"/>
      <c r="N473" s="16"/>
      <c r="O473" s="16"/>
      <c r="P473" s="16"/>
      <c r="Q473" s="16"/>
      <c r="R473" s="16"/>
      <c r="S473" s="16"/>
      <c r="T473" s="16"/>
      <c r="U473" s="16"/>
      <c r="V473" s="16"/>
      <c r="W473" s="16"/>
      <c r="X473" s="16"/>
      <c r="Y473" s="16"/>
      <c r="Z473" s="16"/>
      <c r="AA473" s="16"/>
      <c r="AB473" s="16"/>
      <c r="AC473" s="16"/>
      <c r="AD473" s="16"/>
      <c r="AE473" s="16"/>
      <c r="AF473" s="16"/>
      <c r="AG473" s="16"/>
      <c r="AH473" s="16"/>
      <c r="AI473" s="16"/>
      <c r="AJ473" s="16"/>
    </row>
    <row r="474" ht="12.75" customHeight="1" spans="1:36" x14ac:dyDescent="0.25">
      <c r="A474" s="16"/>
      <c r="B474" s="16"/>
      <c r="C474" s="16"/>
      <c r="D474" s="16"/>
      <c r="E474" s="16"/>
      <c r="F474" s="16"/>
      <c r="G474" s="16"/>
      <c r="H474" s="16"/>
      <c r="I474" s="16"/>
      <c r="J474" s="16"/>
      <c r="K474" s="16"/>
      <c r="L474" s="16"/>
      <c r="M474" s="16"/>
      <c r="N474" s="16"/>
      <c r="O474" s="16"/>
      <c r="P474" s="16"/>
      <c r="Q474" s="16"/>
      <c r="R474" s="16"/>
      <c r="S474" s="16"/>
      <c r="T474" s="16"/>
      <c r="U474" s="16"/>
      <c r="V474" s="16"/>
      <c r="W474" s="16"/>
      <c r="X474" s="16"/>
      <c r="Y474" s="16"/>
      <c r="Z474" s="16"/>
      <c r="AA474" s="16"/>
      <c r="AB474" s="16"/>
      <c r="AC474" s="16"/>
      <c r="AD474" s="16"/>
      <c r="AE474" s="16"/>
      <c r="AF474" s="16"/>
      <c r="AG474" s="16"/>
      <c r="AH474" s="16"/>
      <c r="AI474" s="16"/>
      <c r="AJ474" s="16"/>
    </row>
    <row r="475" ht="12.75" customHeight="1" spans="1:36" x14ac:dyDescent="0.25">
      <c r="A475" s="16"/>
      <c r="B475" s="16"/>
      <c r="C475" s="16"/>
      <c r="D475" s="16"/>
      <c r="E475" s="16"/>
      <c r="F475" s="16"/>
      <c r="G475" s="16"/>
      <c r="H475" s="16"/>
      <c r="I475" s="16"/>
      <c r="J475" s="16"/>
      <c r="K475" s="16"/>
      <c r="L475" s="16"/>
      <c r="M475" s="16"/>
      <c r="N475" s="16"/>
      <c r="O475" s="16"/>
      <c r="P475" s="16"/>
      <c r="Q475" s="16"/>
      <c r="R475" s="16"/>
      <c r="S475" s="16"/>
      <c r="T475" s="16"/>
      <c r="U475" s="16"/>
      <c r="V475" s="16"/>
      <c r="W475" s="16"/>
      <c r="X475" s="16"/>
      <c r="Y475" s="16"/>
      <c r="Z475" s="16"/>
      <c r="AA475" s="16"/>
      <c r="AB475" s="16"/>
      <c r="AC475" s="16"/>
      <c r="AD475" s="16"/>
      <c r="AE475" s="16"/>
      <c r="AF475" s="16"/>
      <c r="AG475" s="16"/>
      <c r="AH475" s="16"/>
      <c r="AI475" s="16"/>
      <c r="AJ475" s="16"/>
    </row>
    <row r="476" ht="12.75" customHeight="1" spans="1:36" x14ac:dyDescent="0.25">
      <c r="A476" s="16"/>
      <c r="B476" s="16"/>
      <c r="C476" s="16"/>
      <c r="D476" s="16"/>
      <c r="E476" s="16"/>
      <c r="F476" s="16"/>
      <c r="G476" s="16"/>
      <c r="H476" s="16"/>
      <c r="I476" s="16"/>
      <c r="J476" s="16"/>
      <c r="K476" s="16"/>
      <c r="L476" s="16"/>
      <c r="M476" s="16"/>
      <c r="N476" s="16"/>
      <c r="O476" s="16"/>
      <c r="P476" s="16"/>
      <c r="Q476" s="16"/>
      <c r="R476" s="16"/>
      <c r="S476" s="16"/>
      <c r="T476" s="16"/>
      <c r="U476" s="16"/>
      <c r="V476" s="16"/>
      <c r="W476" s="16"/>
      <c r="X476" s="16"/>
      <c r="Y476" s="16"/>
      <c r="Z476" s="16"/>
      <c r="AA476" s="16"/>
      <c r="AB476" s="16"/>
      <c r="AC476" s="16"/>
      <c r="AD476" s="16"/>
      <c r="AE476" s="16"/>
      <c r="AF476" s="16"/>
      <c r="AG476" s="16"/>
      <c r="AH476" s="16"/>
      <c r="AI476" s="16"/>
      <c r="AJ476" s="16"/>
    </row>
    <row r="477" ht="12.75" customHeight="1" spans="1:36" x14ac:dyDescent="0.25">
      <c r="A477" s="16"/>
      <c r="B477" s="16"/>
      <c r="C477" s="16"/>
      <c r="D477" s="16"/>
      <c r="E477" s="16"/>
      <c r="F477" s="16"/>
      <c r="G477" s="16"/>
      <c r="H477" s="16"/>
      <c r="I477" s="16"/>
      <c r="J477" s="16"/>
      <c r="K477" s="16"/>
      <c r="L477" s="16"/>
      <c r="M477" s="16"/>
      <c r="N477" s="16"/>
      <c r="O477" s="16"/>
      <c r="P477" s="16"/>
      <c r="Q477" s="16"/>
      <c r="R477" s="16"/>
      <c r="S477" s="16"/>
      <c r="T477" s="16"/>
      <c r="U477" s="16"/>
      <c r="V477" s="16"/>
      <c r="W477" s="16"/>
      <c r="X477" s="16"/>
      <c r="Y477" s="16"/>
      <c r="Z477" s="16"/>
      <c r="AA477" s="16"/>
      <c r="AB477" s="16"/>
      <c r="AC477" s="16"/>
      <c r="AD477" s="16"/>
      <c r="AE477" s="16"/>
      <c r="AF477" s="16"/>
      <c r="AG477" s="16"/>
      <c r="AH477" s="16"/>
      <c r="AI477" s="16"/>
      <c r="AJ477" s="16"/>
    </row>
    <row r="478" ht="12.75" customHeight="1" spans="1:36" x14ac:dyDescent="0.25">
      <c r="A478" s="16"/>
      <c r="B478" s="16"/>
      <c r="C478" s="16"/>
      <c r="D478" s="16"/>
      <c r="E478" s="16"/>
      <c r="F478" s="16"/>
      <c r="G478" s="16"/>
      <c r="H478" s="16"/>
      <c r="I478" s="16"/>
      <c r="J478" s="16"/>
      <c r="K478" s="16"/>
      <c r="L478" s="16"/>
      <c r="M478" s="16"/>
      <c r="N478" s="16"/>
      <c r="O478" s="16"/>
      <c r="P478" s="16"/>
      <c r="Q478" s="16"/>
      <c r="R478" s="16"/>
      <c r="S478" s="16"/>
      <c r="T478" s="16"/>
      <c r="U478" s="16"/>
      <c r="V478" s="16"/>
      <c r="W478" s="16"/>
      <c r="X478" s="16"/>
      <c r="Y478" s="16"/>
      <c r="Z478" s="16"/>
      <c r="AA478" s="16"/>
      <c r="AB478" s="16"/>
      <c r="AC478" s="16"/>
      <c r="AD478" s="16"/>
      <c r="AE478" s="16"/>
      <c r="AF478" s="16"/>
      <c r="AG478" s="16"/>
      <c r="AH478" s="16"/>
      <c r="AI478" s="16"/>
      <c r="AJ478" s="16"/>
    </row>
    <row r="479" ht="12.75" customHeight="1" spans="1:36" x14ac:dyDescent="0.25">
      <c r="A479" s="16"/>
      <c r="B479" s="16"/>
      <c r="C479" s="16"/>
      <c r="D479" s="16"/>
      <c r="E479" s="16"/>
      <c r="F479" s="16"/>
      <c r="G479" s="16"/>
      <c r="H479" s="16"/>
      <c r="I479" s="16"/>
      <c r="J479" s="16"/>
      <c r="K479" s="16"/>
      <c r="L479" s="16"/>
      <c r="M479" s="16"/>
      <c r="N479" s="16"/>
      <c r="O479" s="16"/>
      <c r="P479" s="16"/>
      <c r="Q479" s="16"/>
      <c r="R479" s="16"/>
      <c r="S479" s="16"/>
      <c r="T479" s="16"/>
      <c r="U479" s="16"/>
      <c r="V479" s="16"/>
      <c r="W479" s="16"/>
      <c r="X479" s="16"/>
      <c r="Y479" s="16"/>
      <c r="Z479" s="16"/>
      <c r="AA479" s="16"/>
      <c r="AB479" s="16"/>
      <c r="AC479" s="16"/>
      <c r="AD479" s="16"/>
      <c r="AE479" s="16"/>
      <c r="AF479" s="16"/>
      <c r="AG479" s="16"/>
      <c r="AH479" s="16"/>
      <c r="AI479" s="16"/>
      <c r="AJ479" s="16"/>
    </row>
    <row r="480" ht="12.75" customHeight="1" spans="1:36" x14ac:dyDescent="0.25">
      <c r="A480" s="16"/>
      <c r="B480" s="16"/>
      <c r="C480" s="16"/>
      <c r="D480" s="16"/>
      <c r="E480" s="16"/>
      <c r="F480" s="16"/>
      <c r="G480" s="16"/>
      <c r="H480" s="16"/>
      <c r="I480" s="16"/>
      <c r="J480" s="16"/>
      <c r="K480" s="16"/>
      <c r="L480" s="16"/>
      <c r="M480" s="16"/>
      <c r="N480" s="16"/>
      <c r="O480" s="16"/>
      <c r="P480" s="16"/>
      <c r="Q480" s="16"/>
      <c r="R480" s="16"/>
      <c r="S480" s="16"/>
      <c r="T480" s="16"/>
      <c r="U480" s="16"/>
      <c r="V480" s="16"/>
      <c r="W480" s="16"/>
      <c r="X480" s="16"/>
      <c r="Y480" s="16"/>
      <c r="Z480" s="16"/>
      <c r="AA480" s="16"/>
      <c r="AB480" s="16"/>
      <c r="AC480" s="16"/>
      <c r="AD480" s="16"/>
      <c r="AE480" s="16"/>
      <c r="AF480" s="16"/>
      <c r="AG480" s="16"/>
      <c r="AH480" s="16"/>
      <c r="AI480" s="16"/>
      <c r="AJ480" s="16"/>
    </row>
    <row r="481" ht="12.75" customHeight="1" spans="1:36" x14ac:dyDescent="0.25">
      <c r="A481" s="16"/>
      <c r="B481" s="16"/>
      <c r="C481" s="16"/>
      <c r="D481" s="16"/>
      <c r="E481" s="16"/>
      <c r="F481" s="16"/>
      <c r="G481" s="16"/>
      <c r="H481" s="16"/>
      <c r="I481" s="16"/>
      <c r="J481" s="16"/>
      <c r="K481" s="16"/>
      <c r="L481" s="16"/>
      <c r="M481" s="16"/>
      <c r="N481" s="16"/>
      <c r="O481" s="16"/>
      <c r="P481" s="16"/>
      <c r="Q481" s="16"/>
      <c r="R481" s="16"/>
      <c r="S481" s="16"/>
      <c r="T481" s="16"/>
      <c r="U481" s="16"/>
      <c r="V481" s="16"/>
      <c r="W481" s="16"/>
      <c r="X481" s="16"/>
      <c r="Y481" s="16"/>
      <c r="Z481" s="16"/>
      <c r="AA481" s="16"/>
      <c r="AB481" s="16"/>
      <c r="AC481" s="16"/>
      <c r="AD481" s="16"/>
      <c r="AE481" s="16"/>
      <c r="AF481" s="16"/>
      <c r="AG481" s="16"/>
      <c r="AH481" s="16"/>
      <c r="AI481" s="16"/>
      <c r="AJ481" s="16"/>
    </row>
    <row r="482" ht="12.75" customHeight="1" spans="1:36" x14ac:dyDescent="0.25">
      <c r="A482" s="16"/>
      <c r="B482" s="16"/>
      <c r="C482" s="16"/>
      <c r="D482" s="16"/>
      <c r="E482" s="16"/>
      <c r="F482" s="16"/>
      <c r="G482" s="16"/>
      <c r="H482" s="16"/>
      <c r="I482" s="16"/>
      <c r="J482" s="16"/>
      <c r="K482" s="16"/>
      <c r="L482" s="16"/>
      <c r="M482" s="16"/>
      <c r="N482" s="16"/>
      <c r="O482" s="16"/>
      <c r="P482" s="16"/>
      <c r="Q482" s="16"/>
      <c r="R482" s="16"/>
      <c r="S482" s="16"/>
      <c r="T482" s="16"/>
      <c r="U482" s="16"/>
      <c r="V482" s="16"/>
      <c r="W482" s="16"/>
      <c r="X482" s="16"/>
      <c r="Y482" s="16"/>
      <c r="Z482" s="16"/>
      <c r="AA482" s="16"/>
      <c r="AB482" s="16"/>
      <c r="AC482" s="16"/>
      <c r="AD482" s="16"/>
      <c r="AE482" s="16"/>
      <c r="AF482" s="16"/>
      <c r="AG482" s="16"/>
      <c r="AH482" s="16"/>
      <c r="AI482" s="16"/>
      <c r="AJ482" s="16"/>
    </row>
    <row r="483" ht="12.75" customHeight="1" spans="1:36" x14ac:dyDescent="0.25">
      <c r="A483" s="16"/>
      <c r="B483" s="16"/>
      <c r="C483" s="16"/>
      <c r="D483" s="16"/>
      <c r="E483" s="16"/>
      <c r="F483" s="16"/>
      <c r="G483" s="16"/>
      <c r="H483" s="16"/>
      <c r="I483" s="16"/>
      <c r="J483" s="16"/>
      <c r="K483" s="16"/>
      <c r="L483" s="16"/>
      <c r="M483" s="16"/>
      <c r="N483" s="16"/>
      <c r="O483" s="16"/>
      <c r="P483" s="16"/>
      <c r="Q483" s="16"/>
      <c r="R483" s="16"/>
      <c r="S483" s="16"/>
      <c r="T483" s="16"/>
      <c r="U483" s="16"/>
      <c r="V483" s="16"/>
      <c r="W483" s="16"/>
      <c r="X483" s="16"/>
      <c r="Y483" s="16"/>
      <c r="Z483" s="16"/>
      <c r="AA483" s="16"/>
      <c r="AB483" s="16"/>
      <c r="AC483" s="16"/>
      <c r="AD483" s="16"/>
      <c r="AE483" s="16"/>
      <c r="AF483" s="16"/>
      <c r="AG483" s="16"/>
      <c r="AH483" s="16"/>
      <c r="AI483" s="16"/>
      <c r="AJ483" s="16"/>
    </row>
    <row r="484" ht="12.75" customHeight="1" spans="1:36" x14ac:dyDescent="0.25">
      <c r="A484" s="16"/>
      <c r="B484" s="16"/>
      <c r="C484" s="16"/>
      <c r="D484" s="16"/>
      <c r="E484" s="16"/>
      <c r="F484" s="16"/>
      <c r="G484" s="16"/>
      <c r="H484" s="16"/>
      <c r="I484" s="16"/>
      <c r="J484" s="16"/>
      <c r="K484" s="16"/>
      <c r="L484" s="16"/>
      <c r="M484" s="16"/>
      <c r="N484" s="16"/>
      <c r="O484" s="16"/>
      <c r="P484" s="16"/>
      <c r="Q484" s="16"/>
      <c r="R484" s="16"/>
      <c r="S484" s="16"/>
      <c r="T484" s="16"/>
      <c r="U484" s="16"/>
      <c r="V484" s="16"/>
      <c r="W484" s="16"/>
      <c r="X484" s="16"/>
      <c r="Y484" s="16"/>
      <c r="Z484" s="16"/>
      <c r="AA484" s="16"/>
      <c r="AB484" s="16"/>
      <c r="AC484" s="16"/>
      <c r="AD484" s="16"/>
      <c r="AE484" s="16"/>
      <c r="AF484" s="16"/>
      <c r="AG484" s="16"/>
      <c r="AH484" s="16"/>
      <c r="AI484" s="16"/>
      <c r="AJ484" s="16"/>
    </row>
    <row r="485" ht="12.75" customHeight="1" spans="1:36" x14ac:dyDescent="0.25">
      <c r="A485" s="16"/>
      <c r="B485" s="16"/>
      <c r="C485" s="16"/>
      <c r="D485" s="16"/>
      <c r="E485" s="16"/>
      <c r="F485" s="16"/>
      <c r="G485" s="16"/>
      <c r="H485" s="16"/>
      <c r="I485" s="16"/>
      <c r="J485" s="16"/>
      <c r="K485" s="16"/>
      <c r="L485" s="16"/>
      <c r="M485" s="16"/>
      <c r="N485" s="16"/>
      <c r="O485" s="16"/>
      <c r="P485" s="16"/>
      <c r="Q485" s="16"/>
      <c r="R485" s="16"/>
      <c r="S485" s="16"/>
      <c r="T485" s="16"/>
      <c r="U485" s="16"/>
      <c r="V485" s="16"/>
      <c r="W485" s="16"/>
      <c r="X485" s="16"/>
      <c r="Y485" s="16"/>
      <c r="Z485" s="16"/>
      <c r="AA485" s="16"/>
      <c r="AB485" s="16"/>
      <c r="AC485" s="16"/>
      <c r="AD485" s="16"/>
      <c r="AE485" s="16"/>
      <c r="AF485" s="16"/>
      <c r="AG485" s="16"/>
      <c r="AH485" s="16"/>
      <c r="AI485" s="16"/>
      <c r="AJ485" s="16"/>
    </row>
    <row r="486" ht="12.75" customHeight="1" spans="1:36" x14ac:dyDescent="0.25">
      <c r="A486" s="16"/>
      <c r="B486" s="16"/>
      <c r="C486" s="16"/>
      <c r="D486" s="16"/>
      <c r="E486" s="16"/>
      <c r="F486" s="16"/>
      <c r="G486" s="16"/>
      <c r="H486" s="16"/>
      <c r="I486" s="16"/>
      <c r="J486" s="16"/>
      <c r="K486" s="16"/>
      <c r="L486" s="16"/>
      <c r="M486" s="16"/>
      <c r="N486" s="16"/>
      <c r="O486" s="16"/>
      <c r="P486" s="16"/>
      <c r="Q486" s="16"/>
      <c r="R486" s="16"/>
      <c r="S486" s="16"/>
      <c r="T486" s="16"/>
      <c r="U486" s="16"/>
      <c r="V486" s="16"/>
      <c r="W486" s="16"/>
      <c r="X486" s="16"/>
      <c r="Y486" s="16"/>
      <c r="Z486" s="16"/>
      <c r="AA486" s="16"/>
      <c r="AB486" s="16"/>
      <c r="AC486" s="16"/>
      <c r="AD486" s="16"/>
      <c r="AE486" s="16"/>
      <c r="AF486" s="16"/>
      <c r="AG486" s="16"/>
      <c r="AH486" s="16"/>
      <c r="AI486" s="16"/>
      <c r="AJ486" s="16"/>
    </row>
    <row r="487" ht="12.75" customHeight="1" spans="1:36" x14ac:dyDescent="0.25">
      <c r="A487" s="16"/>
      <c r="B487" s="16"/>
      <c r="C487" s="16"/>
      <c r="D487" s="16"/>
      <c r="E487" s="16"/>
      <c r="F487" s="16"/>
      <c r="G487" s="16"/>
      <c r="H487" s="16"/>
      <c r="I487" s="16"/>
      <c r="J487" s="16"/>
      <c r="K487" s="16"/>
      <c r="L487" s="16"/>
      <c r="M487" s="16"/>
      <c r="N487" s="16"/>
      <c r="O487" s="16"/>
      <c r="P487" s="16"/>
      <c r="Q487" s="16"/>
      <c r="R487" s="16"/>
      <c r="S487" s="16"/>
      <c r="T487" s="16"/>
      <c r="U487" s="16"/>
      <c r="V487" s="16"/>
      <c r="W487" s="16"/>
      <c r="X487" s="16"/>
      <c r="Y487" s="16"/>
      <c r="Z487" s="16"/>
      <c r="AA487" s="16"/>
      <c r="AB487" s="16"/>
      <c r="AC487" s="16"/>
      <c r="AD487" s="16"/>
      <c r="AE487" s="16"/>
      <c r="AF487" s="16"/>
      <c r="AG487" s="16"/>
      <c r="AH487" s="16"/>
      <c r="AI487" s="16"/>
      <c r="AJ487" s="16"/>
    </row>
    <row r="488" ht="12.75" customHeight="1" spans="1:36" x14ac:dyDescent="0.25">
      <c r="A488" s="16"/>
      <c r="B488" s="16"/>
      <c r="C488" s="16"/>
      <c r="D488" s="16"/>
      <c r="E488" s="16"/>
      <c r="F488" s="16"/>
      <c r="G488" s="16"/>
      <c r="H488" s="16"/>
      <c r="I488" s="16"/>
      <c r="J488" s="16"/>
      <c r="K488" s="16"/>
      <c r="L488" s="16"/>
      <c r="M488" s="16"/>
      <c r="N488" s="16"/>
      <c r="O488" s="16"/>
      <c r="P488" s="16"/>
      <c r="Q488" s="16"/>
      <c r="R488" s="16"/>
      <c r="S488" s="16"/>
      <c r="T488" s="16"/>
      <c r="U488" s="16"/>
      <c r="V488" s="16"/>
      <c r="W488" s="16"/>
      <c r="X488" s="16"/>
      <c r="Y488" s="16"/>
      <c r="Z488" s="16"/>
      <c r="AA488" s="16"/>
      <c r="AB488" s="16"/>
      <c r="AC488" s="16"/>
      <c r="AD488" s="16"/>
      <c r="AE488" s="16"/>
      <c r="AF488" s="16"/>
      <c r="AG488" s="16"/>
      <c r="AH488" s="16"/>
      <c r="AI488" s="16"/>
      <c r="AJ488" s="16"/>
    </row>
    <row r="489" ht="12.75" customHeight="1" spans="1:36" x14ac:dyDescent="0.25">
      <c r="A489" s="16"/>
      <c r="B489" s="16"/>
      <c r="C489" s="16"/>
      <c r="D489" s="16"/>
      <c r="E489" s="16"/>
      <c r="F489" s="16"/>
      <c r="G489" s="16"/>
      <c r="H489" s="16"/>
      <c r="I489" s="16"/>
      <c r="J489" s="16"/>
      <c r="K489" s="16"/>
      <c r="L489" s="16"/>
      <c r="M489" s="16"/>
      <c r="N489" s="16"/>
      <c r="O489" s="16"/>
      <c r="P489" s="16"/>
      <c r="Q489" s="16"/>
      <c r="R489" s="16"/>
      <c r="S489" s="16"/>
      <c r="T489" s="16"/>
      <c r="U489" s="16"/>
      <c r="V489" s="16"/>
      <c r="W489" s="16"/>
      <c r="X489" s="16"/>
      <c r="Y489" s="16"/>
      <c r="Z489" s="16"/>
      <c r="AA489" s="16"/>
      <c r="AB489" s="16"/>
      <c r="AC489" s="16"/>
      <c r="AD489" s="16"/>
      <c r="AE489" s="16"/>
      <c r="AF489" s="16"/>
      <c r="AG489" s="16"/>
      <c r="AH489" s="16"/>
      <c r="AI489" s="16"/>
      <c r="AJ489" s="16"/>
    </row>
    <row r="490" ht="12.75" customHeight="1" spans="1:36" x14ac:dyDescent="0.25">
      <c r="A490" s="16"/>
      <c r="B490" s="16"/>
      <c r="C490" s="16"/>
      <c r="D490" s="16"/>
      <c r="E490" s="16"/>
      <c r="F490" s="16"/>
      <c r="G490" s="16"/>
      <c r="H490" s="16"/>
      <c r="I490" s="16"/>
      <c r="J490" s="16"/>
      <c r="K490" s="16"/>
      <c r="L490" s="16"/>
      <c r="M490" s="16"/>
      <c r="N490" s="16"/>
      <c r="O490" s="16"/>
      <c r="P490" s="16"/>
      <c r="Q490" s="16"/>
      <c r="R490" s="16"/>
      <c r="S490" s="16"/>
      <c r="T490" s="16"/>
      <c r="U490" s="16"/>
      <c r="V490" s="16"/>
      <c r="W490" s="16"/>
      <c r="X490" s="16"/>
      <c r="Y490" s="16"/>
      <c r="Z490" s="16"/>
      <c r="AA490" s="16"/>
      <c r="AB490" s="16"/>
      <c r="AC490" s="16"/>
      <c r="AD490" s="16"/>
      <c r="AE490" s="16"/>
      <c r="AF490" s="16"/>
      <c r="AG490" s="16"/>
      <c r="AH490" s="16"/>
      <c r="AI490" s="16"/>
      <c r="AJ490" s="16"/>
    </row>
    <row r="491" ht="12.75" customHeight="1" spans="1:36" x14ac:dyDescent="0.25">
      <c r="A491" s="16"/>
      <c r="B491" s="16"/>
      <c r="C491" s="16"/>
      <c r="D491" s="16"/>
      <c r="E491" s="16"/>
      <c r="F491" s="16"/>
      <c r="G491" s="16"/>
      <c r="H491" s="16"/>
      <c r="I491" s="16"/>
      <c r="J491" s="16"/>
      <c r="K491" s="16"/>
      <c r="L491" s="16"/>
      <c r="M491" s="16"/>
      <c r="N491" s="16"/>
      <c r="O491" s="16"/>
      <c r="P491" s="16"/>
      <c r="Q491" s="16"/>
      <c r="R491" s="16"/>
      <c r="S491" s="16"/>
      <c r="T491" s="16"/>
      <c r="U491" s="16"/>
      <c r="V491" s="16"/>
      <c r="W491" s="16"/>
      <c r="X491" s="16"/>
      <c r="Y491" s="16"/>
      <c r="Z491" s="16"/>
      <c r="AA491" s="16"/>
      <c r="AB491" s="16"/>
      <c r="AC491" s="16"/>
      <c r="AD491" s="16"/>
      <c r="AE491" s="16"/>
      <c r="AF491" s="16"/>
      <c r="AG491" s="16"/>
      <c r="AH491" s="16"/>
      <c r="AI491" s="16"/>
      <c r="AJ491" s="16"/>
    </row>
    <row r="492" ht="12.75" customHeight="1" spans="1:36" x14ac:dyDescent="0.25">
      <c r="A492" s="16"/>
      <c r="B492" s="16"/>
      <c r="C492" s="16"/>
      <c r="D492" s="16"/>
      <c r="E492" s="16"/>
      <c r="F492" s="16"/>
      <c r="G492" s="16"/>
      <c r="H492" s="16"/>
      <c r="I492" s="16"/>
      <c r="J492" s="16"/>
      <c r="K492" s="16"/>
      <c r="L492" s="16"/>
      <c r="M492" s="16"/>
      <c r="N492" s="16"/>
      <c r="O492" s="16"/>
      <c r="P492" s="16"/>
      <c r="Q492" s="16"/>
      <c r="R492" s="16"/>
      <c r="S492" s="16"/>
      <c r="T492" s="16"/>
      <c r="U492" s="16"/>
      <c r="V492" s="16"/>
      <c r="W492" s="16"/>
      <c r="X492" s="16"/>
      <c r="Y492" s="16"/>
      <c r="Z492" s="16"/>
      <c r="AA492" s="16"/>
      <c r="AB492" s="16"/>
      <c r="AC492" s="16"/>
      <c r="AD492" s="16"/>
      <c r="AE492" s="16"/>
      <c r="AF492" s="16"/>
      <c r="AG492" s="16"/>
      <c r="AH492" s="16"/>
      <c r="AI492" s="16"/>
      <c r="AJ492" s="16"/>
    </row>
    <row r="493" ht="12.75" customHeight="1" spans="1:36" x14ac:dyDescent="0.25">
      <c r="A493" s="16"/>
      <c r="B493" s="16"/>
      <c r="C493" s="16"/>
      <c r="D493" s="16"/>
      <c r="E493" s="16"/>
      <c r="F493" s="16"/>
      <c r="G493" s="16"/>
      <c r="H493" s="16"/>
      <c r="I493" s="16"/>
      <c r="J493" s="16"/>
      <c r="K493" s="16"/>
      <c r="L493" s="16"/>
      <c r="M493" s="16"/>
      <c r="N493" s="16"/>
      <c r="O493" s="16"/>
      <c r="P493" s="16"/>
      <c r="Q493" s="16"/>
      <c r="R493" s="16"/>
      <c r="S493" s="16"/>
      <c r="T493" s="16"/>
      <c r="U493" s="16"/>
      <c r="V493" s="16"/>
      <c r="W493" s="16"/>
      <c r="X493" s="16"/>
      <c r="Y493" s="16"/>
      <c r="Z493" s="16"/>
      <c r="AA493" s="16"/>
      <c r="AB493" s="16"/>
      <c r="AC493" s="16"/>
      <c r="AD493" s="16"/>
      <c r="AE493" s="16"/>
      <c r="AF493" s="16"/>
      <c r="AG493" s="16"/>
      <c r="AH493" s="16"/>
      <c r="AI493" s="16"/>
      <c r="AJ493" s="16"/>
    </row>
    <row r="494" ht="12.75" customHeight="1" spans="1:36" x14ac:dyDescent="0.25">
      <c r="A494" s="16"/>
      <c r="B494" s="16"/>
      <c r="C494" s="16"/>
      <c r="D494" s="16"/>
      <c r="E494" s="16"/>
      <c r="F494" s="16"/>
      <c r="G494" s="16"/>
      <c r="H494" s="16"/>
      <c r="I494" s="16"/>
      <c r="J494" s="16"/>
      <c r="K494" s="16"/>
      <c r="L494" s="16"/>
      <c r="M494" s="16"/>
      <c r="N494" s="16"/>
      <c r="O494" s="16"/>
      <c r="P494" s="16"/>
      <c r="Q494" s="16"/>
      <c r="R494" s="16"/>
      <c r="S494" s="16"/>
      <c r="T494" s="16"/>
      <c r="U494" s="16"/>
      <c r="V494" s="16"/>
      <c r="W494" s="16"/>
      <c r="X494" s="16"/>
      <c r="Y494" s="16"/>
      <c r="Z494" s="16"/>
      <c r="AA494" s="16"/>
      <c r="AB494" s="16"/>
      <c r="AC494" s="16"/>
      <c r="AD494" s="16"/>
      <c r="AE494" s="16"/>
      <c r="AF494" s="16"/>
      <c r="AG494" s="16"/>
      <c r="AH494" s="16"/>
      <c r="AI494" s="16"/>
      <c r="AJ494" s="16"/>
    </row>
    <row r="495" ht="12.75" customHeight="1" spans="1:36" x14ac:dyDescent="0.25">
      <c r="A495" s="16"/>
      <c r="B495" s="16"/>
      <c r="C495" s="16"/>
      <c r="D495" s="16"/>
      <c r="E495" s="16"/>
      <c r="F495" s="16"/>
      <c r="G495" s="16"/>
      <c r="H495" s="16"/>
      <c r="I495" s="16"/>
      <c r="J495" s="16"/>
      <c r="K495" s="16"/>
      <c r="L495" s="16"/>
      <c r="M495" s="16"/>
      <c r="N495" s="16"/>
      <c r="O495" s="16"/>
      <c r="P495" s="16"/>
      <c r="Q495" s="16"/>
      <c r="R495" s="16"/>
      <c r="S495" s="16"/>
      <c r="T495" s="16"/>
      <c r="U495" s="16"/>
      <c r="V495" s="16"/>
      <c r="W495" s="16"/>
      <c r="X495" s="16"/>
      <c r="Y495" s="16"/>
      <c r="Z495" s="16"/>
      <c r="AA495" s="16"/>
      <c r="AB495" s="16"/>
      <c r="AC495" s="16"/>
      <c r="AD495" s="16"/>
      <c r="AE495" s="16"/>
      <c r="AF495" s="16"/>
      <c r="AG495" s="16"/>
      <c r="AH495" s="16"/>
      <c r="AI495" s="16"/>
      <c r="AJ495" s="16"/>
    </row>
    <row r="496" ht="12.75" customHeight="1" spans="1:36" x14ac:dyDescent="0.25">
      <c r="A496" s="16"/>
      <c r="B496" s="16"/>
      <c r="C496" s="16"/>
      <c r="D496" s="16"/>
      <c r="E496" s="16"/>
      <c r="F496" s="16"/>
      <c r="G496" s="16"/>
      <c r="H496" s="16"/>
      <c r="I496" s="16"/>
      <c r="J496" s="16"/>
      <c r="K496" s="16"/>
      <c r="L496" s="16"/>
      <c r="M496" s="16"/>
      <c r="N496" s="16"/>
      <c r="O496" s="16"/>
      <c r="P496" s="16"/>
      <c r="Q496" s="16"/>
      <c r="R496" s="16"/>
      <c r="S496" s="16"/>
      <c r="T496" s="16"/>
      <c r="U496" s="16"/>
      <c r="V496" s="16"/>
      <c r="W496" s="16"/>
      <c r="X496" s="16"/>
      <c r="Y496" s="16"/>
      <c r="Z496" s="16"/>
      <c r="AA496" s="16"/>
      <c r="AB496" s="16"/>
      <c r="AC496" s="16"/>
      <c r="AD496" s="16"/>
      <c r="AE496" s="16"/>
      <c r="AF496" s="16"/>
      <c r="AG496" s="16"/>
      <c r="AH496" s="16"/>
      <c r="AI496" s="16"/>
      <c r="AJ496" s="16"/>
    </row>
    <row r="497" ht="12.75" customHeight="1" spans="1:36" x14ac:dyDescent="0.25">
      <c r="A497" s="16"/>
      <c r="B497" s="16"/>
      <c r="C497" s="16"/>
      <c r="D497" s="16"/>
      <c r="E497" s="16"/>
      <c r="F497" s="16"/>
      <c r="G497" s="16"/>
      <c r="H497" s="16"/>
      <c r="I497" s="16"/>
      <c r="J497" s="16"/>
      <c r="K497" s="16"/>
      <c r="L497" s="16"/>
      <c r="M497" s="16"/>
      <c r="N497" s="16"/>
      <c r="O497" s="16"/>
      <c r="P497" s="16"/>
      <c r="Q497" s="16"/>
      <c r="R497" s="16"/>
      <c r="S497" s="16"/>
      <c r="T497" s="16"/>
      <c r="U497" s="16"/>
      <c r="V497" s="16"/>
      <c r="W497" s="16"/>
      <c r="X497" s="16"/>
      <c r="Y497" s="16"/>
      <c r="Z497" s="16"/>
      <c r="AA497" s="16"/>
      <c r="AB497" s="16"/>
      <c r="AC497" s="16"/>
      <c r="AD497" s="16"/>
      <c r="AE497" s="16"/>
      <c r="AF497" s="16"/>
      <c r="AG497" s="16"/>
      <c r="AH497" s="16"/>
      <c r="AI497" s="16"/>
      <c r="AJ497" s="16"/>
    </row>
    <row r="498" ht="12.75" customHeight="1" spans="1:36" x14ac:dyDescent="0.25">
      <c r="A498" s="16"/>
      <c r="B498" s="16"/>
      <c r="C498" s="16"/>
      <c r="D498" s="16"/>
      <c r="E498" s="16"/>
      <c r="F498" s="16"/>
      <c r="G498" s="16"/>
      <c r="H498" s="16"/>
      <c r="I498" s="16"/>
      <c r="J498" s="16"/>
      <c r="K498" s="16"/>
      <c r="L498" s="16"/>
      <c r="M498" s="16"/>
      <c r="N498" s="16"/>
      <c r="O498" s="16"/>
      <c r="P498" s="16"/>
      <c r="Q498" s="16"/>
      <c r="R498" s="16"/>
      <c r="S498" s="16"/>
      <c r="T498" s="16"/>
      <c r="U498" s="16"/>
      <c r="V498" s="16"/>
      <c r="W498" s="16"/>
      <c r="X498" s="16"/>
      <c r="Y498" s="16"/>
      <c r="Z498" s="16"/>
      <c r="AA498" s="16"/>
      <c r="AB498" s="16"/>
      <c r="AC498" s="16"/>
      <c r="AD498" s="16"/>
      <c r="AE498" s="16"/>
      <c r="AF498" s="16"/>
      <c r="AG498" s="16"/>
      <c r="AH498" s="16"/>
      <c r="AI498" s="16"/>
      <c r="AJ498" s="16"/>
    </row>
    <row r="499" ht="12.75" customHeight="1" spans="1:36" x14ac:dyDescent="0.25">
      <c r="A499" s="16"/>
      <c r="B499" s="16"/>
      <c r="C499" s="16"/>
      <c r="D499" s="16"/>
      <c r="E499" s="16"/>
      <c r="F499" s="16"/>
      <c r="G499" s="16"/>
      <c r="H499" s="16"/>
      <c r="I499" s="16"/>
      <c r="J499" s="16"/>
      <c r="K499" s="16"/>
      <c r="L499" s="16"/>
      <c r="M499" s="16"/>
      <c r="N499" s="16"/>
      <c r="O499" s="16"/>
      <c r="P499" s="16"/>
      <c r="Q499" s="16"/>
      <c r="R499" s="16"/>
      <c r="S499" s="16"/>
      <c r="T499" s="16"/>
      <c r="U499" s="16"/>
      <c r="V499" s="16"/>
      <c r="W499" s="16"/>
      <c r="X499" s="16"/>
      <c r="Y499" s="16"/>
      <c r="Z499" s="16"/>
      <c r="AA499" s="16"/>
      <c r="AB499" s="16"/>
      <c r="AC499" s="16"/>
      <c r="AD499" s="16"/>
      <c r="AE499" s="16"/>
      <c r="AF499" s="16"/>
      <c r="AG499" s="16"/>
      <c r="AH499" s="16"/>
      <c r="AI499" s="16"/>
      <c r="AJ499" s="16"/>
    </row>
    <row r="500" ht="12.75" customHeight="1" spans="1:36" x14ac:dyDescent="0.25">
      <c r="A500" s="16"/>
      <c r="B500" s="16"/>
      <c r="C500" s="16"/>
      <c r="D500" s="16"/>
      <c r="E500" s="16"/>
      <c r="F500" s="16"/>
      <c r="G500" s="16"/>
      <c r="H500" s="16"/>
      <c r="I500" s="16"/>
      <c r="J500" s="16"/>
      <c r="K500" s="16"/>
      <c r="L500" s="16"/>
      <c r="M500" s="16"/>
      <c r="N500" s="16"/>
      <c r="O500" s="16"/>
      <c r="P500" s="16"/>
      <c r="Q500" s="16"/>
      <c r="R500" s="16"/>
      <c r="S500" s="16"/>
      <c r="T500" s="16"/>
      <c r="U500" s="16"/>
      <c r="V500" s="16"/>
      <c r="W500" s="16"/>
      <c r="X500" s="16"/>
      <c r="Y500" s="16"/>
      <c r="Z500" s="16"/>
      <c r="AA500" s="16"/>
      <c r="AB500" s="16"/>
      <c r="AC500" s="16"/>
      <c r="AD500" s="16"/>
      <c r="AE500" s="16"/>
      <c r="AF500" s="16"/>
      <c r="AG500" s="16"/>
      <c r="AH500" s="16"/>
      <c r="AI500" s="16"/>
      <c r="AJ500" s="16"/>
    </row>
    <row r="501" ht="12.75" customHeight="1" spans="1:36" x14ac:dyDescent="0.25">
      <c r="A501" s="16"/>
      <c r="B501" s="16"/>
      <c r="C501" s="16"/>
      <c r="D501" s="16"/>
      <c r="E501" s="16"/>
      <c r="F501" s="16"/>
      <c r="G501" s="16"/>
      <c r="H501" s="16"/>
      <c r="I501" s="16"/>
      <c r="J501" s="16"/>
      <c r="K501" s="16"/>
      <c r="L501" s="16"/>
      <c r="M501" s="16"/>
      <c r="N501" s="16"/>
      <c r="O501" s="16"/>
      <c r="P501" s="16"/>
      <c r="Q501" s="16"/>
      <c r="R501" s="16"/>
      <c r="S501" s="16"/>
      <c r="T501" s="16"/>
      <c r="U501" s="16"/>
      <c r="V501" s="16"/>
      <c r="W501" s="16"/>
      <c r="X501" s="16"/>
      <c r="Y501" s="16"/>
      <c r="Z501" s="16"/>
      <c r="AA501" s="16"/>
      <c r="AB501" s="16"/>
      <c r="AC501" s="16"/>
      <c r="AD501" s="16"/>
      <c r="AE501" s="16"/>
      <c r="AF501" s="16"/>
      <c r="AG501" s="16"/>
      <c r="AH501" s="16"/>
      <c r="AI501" s="16"/>
      <c r="AJ501" s="16"/>
    </row>
    <row r="502" ht="12.75" customHeight="1" spans="1:36" x14ac:dyDescent="0.25">
      <c r="A502" s="16"/>
      <c r="B502" s="16"/>
      <c r="C502" s="16"/>
      <c r="D502" s="16"/>
      <c r="E502" s="16"/>
      <c r="F502" s="16"/>
      <c r="G502" s="16"/>
      <c r="H502" s="16"/>
      <c r="I502" s="16"/>
      <c r="J502" s="16"/>
      <c r="K502" s="16"/>
      <c r="L502" s="16"/>
      <c r="M502" s="16"/>
      <c r="N502" s="16"/>
      <c r="O502" s="16"/>
      <c r="P502" s="16"/>
      <c r="Q502" s="16"/>
      <c r="R502" s="16"/>
      <c r="S502" s="16"/>
      <c r="T502" s="16"/>
      <c r="U502" s="16"/>
      <c r="V502" s="16"/>
      <c r="W502" s="16"/>
      <c r="X502" s="16"/>
      <c r="Y502" s="16"/>
      <c r="Z502" s="16"/>
      <c r="AA502" s="16"/>
      <c r="AB502" s="16"/>
      <c r="AC502" s="16"/>
      <c r="AD502" s="16"/>
      <c r="AE502" s="16"/>
      <c r="AF502" s="16"/>
      <c r="AG502" s="16"/>
      <c r="AH502" s="16"/>
      <c r="AI502" s="16"/>
      <c r="AJ502" s="16"/>
    </row>
    <row r="503" ht="12.75" customHeight="1" spans="1:36" x14ac:dyDescent="0.25">
      <c r="A503" s="16"/>
      <c r="B503" s="16"/>
      <c r="C503" s="16"/>
      <c r="D503" s="16"/>
      <c r="E503" s="16"/>
      <c r="F503" s="16"/>
      <c r="G503" s="16"/>
      <c r="H503" s="16"/>
      <c r="I503" s="16"/>
      <c r="J503" s="16"/>
      <c r="K503" s="16"/>
      <c r="L503" s="16"/>
      <c r="M503" s="16"/>
      <c r="N503" s="16"/>
      <c r="O503" s="16"/>
      <c r="P503" s="16"/>
      <c r="Q503" s="16"/>
      <c r="R503" s="16"/>
      <c r="S503" s="16"/>
      <c r="T503" s="16"/>
      <c r="U503" s="16"/>
      <c r="V503" s="16"/>
      <c r="W503" s="16"/>
      <c r="X503" s="16"/>
      <c r="Y503" s="16"/>
      <c r="Z503" s="16"/>
      <c r="AA503" s="16"/>
      <c r="AB503" s="16"/>
      <c r="AC503" s="16"/>
      <c r="AD503" s="16"/>
      <c r="AE503" s="16"/>
      <c r="AF503" s="16"/>
      <c r="AG503" s="16"/>
      <c r="AH503" s="16"/>
      <c r="AI503" s="16"/>
      <c r="AJ503" s="16"/>
    </row>
    <row r="504" ht="12.75" customHeight="1" spans="1:36" x14ac:dyDescent="0.25">
      <c r="A504" s="16"/>
      <c r="B504" s="16"/>
      <c r="C504" s="16"/>
      <c r="D504" s="16"/>
      <c r="E504" s="16"/>
      <c r="F504" s="16"/>
      <c r="G504" s="16"/>
      <c r="H504" s="16"/>
      <c r="I504" s="16"/>
      <c r="J504" s="16"/>
      <c r="K504" s="16"/>
      <c r="L504" s="16"/>
      <c r="M504" s="16"/>
      <c r="N504" s="16"/>
      <c r="O504" s="16"/>
      <c r="P504" s="16"/>
      <c r="Q504" s="16"/>
      <c r="R504" s="16"/>
      <c r="S504" s="16"/>
      <c r="T504" s="16"/>
      <c r="U504" s="16"/>
      <c r="V504" s="16"/>
      <c r="W504" s="16"/>
      <c r="X504" s="16"/>
      <c r="Y504" s="16"/>
      <c r="Z504" s="16"/>
      <c r="AA504" s="16"/>
      <c r="AB504" s="16"/>
      <c r="AC504" s="16"/>
      <c r="AD504" s="16"/>
      <c r="AE504" s="16"/>
      <c r="AF504" s="16"/>
      <c r="AG504" s="16"/>
      <c r="AH504" s="16"/>
      <c r="AI504" s="16"/>
      <c r="AJ504" s="16"/>
    </row>
    <row r="505" ht="12.75" customHeight="1" spans="1:36" x14ac:dyDescent="0.25">
      <c r="A505" s="16"/>
      <c r="B505" s="16"/>
      <c r="C505" s="16"/>
      <c r="D505" s="16"/>
      <c r="E505" s="16"/>
      <c r="F505" s="16"/>
      <c r="G505" s="16"/>
      <c r="H505" s="16"/>
      <c r="I505" s="16"/>
      <c r="J505" s="16"/>
      <c r="K505" s="16"/>
      <c r="L505" s="16"/>
      <c r="M505" s="16"/>
      <c r="N505" s="16"/>
      <c r="O505" s="16"/>
      <c r="P505" s="16"/>
      <c r="Q505" s="16"/>
      <c r="R505" s="16"/>
      <c r="S505" s="16"/>
      <c r="T505" s="16"/>
      <c r="U505" s="16"/>
      <c r="V505" s="16"/>
      <c r="W505" s="16"/>
      <c r="X505" s="16"/>
      <c r="Y505" s="16"/>
      <c r="Z505" s="16"/>
      <c r="AA505" s="16"/>
      <c r="AB505" s="16"/>
      <c r="AC505" s="16"/>
      <c r="AD505" s="16"/>
      <c r="AE505" s="16"/>
      <c r="AF505" s="16"/>
      <c r="AG505" s="16"/>
      <c r="AH505" s="16"/>
      <c r="AI505" s="16"/>
      <c r="AJ505" s="16"/>
    </row>
    <row r="506" ht="12.75" customHeight="1" spans="1:36" x14ac:dyDescent="0.25">
      <c r="A506" s="16"/>
      <c r="B506" s="16"/>
      <c r="C506" s="16"/>
      <c r="D506" s="16"/>
      <c r="E506" s="16"/>
      <c r="F506" s="16"/>
      <c r="G506" s="16"/>
      <c r="H506" s="16"/>
      <c r="I506" s="16"/>
      <c r="J506" s="16"/>
      <c r="K506" s="16"/>
      <c r="L506" s="16"/>
      <c r="M506" s="16"/>
      <c r="N506" s="16"/>
      <c r="O506" s="16"/>
      <c r="P506" s="16"/>
      <c r="Q506" s="16"/>
      <c r="R506" s="16"/>
      <c r="S506" s="16"/>
      <c r="T506" s="16"/>
      <c r="U506" s="16"/>
      <c r="V506" s="16"/>
      <c r="W506" s="16"/>
      <c r="X506" s="16"/>
      <c r="Y506" s="16"/>
      <c r="Z506" s="16"/>
      <c r="AA506" s="16"/>
      <c r="AB506" s="16"/>
      <c r="AC506" s="16"/>
      <c r="AD506" s="16"/>
      <c r="AE506" s="16"/>
      <c r="AF506" s="16"/>
      <c r="AG506" s="16"/>
      <c r="AH506" s="16"/>
      <c r="AI506" s="16"/>
      <c r="AJ506" s="16"/>
    </row>
    <row r="507" ht="12.75" customHeight="1" spans="1:36" x14ac:dyDescent="0.25">
      <c r="A507" s="16"/>
      <c r="B507" s="16"/>
      <c r="C507" s="16"/>
      <c r="D507" s="16"/>
      <c r="E507" s="16"/>
      <c r="F507" s="16"/>
      <c r="G507" s="16"/>
      <c r="H507" s="16"/>
      <c r="I507" s="16"/>
      <c r="J507" s="16"/>
      <c r="K507" s="16"/>
      <c r="L507" s="16"/>
      <c r="M507" s="16"/>
      <c r="N507" s="16"/>
      <c r="O507" s="16"/>
      <c r="P507" s="16"/>
      <c r="Q507" s="16"/>
      <c r="R507" s="16"/>
      <c r="S507" s="16"/>
      <c r="T507" s="16"/>
      <c r="U507" s="16"/>
      <c r="V507" s="16"/>
      <c r="W507" s="16"/>
      <c r="X507" s="16"/>
      <c r="Y507" s="16"/>
      <c r="Z507" s="16"/>
      <c r="AA507" s="16"/>
      <c r="AB507" s="16"/>
      <c r="AC507" s="16"/>
      <c r="AD507" s="16"/>
      <c r="AE507" s="16"/>
      <c r="AF507" s="16"/>
      <c r="AG507" s="16"/>
      <c r="AH507" s="16"/>
      <c r="AI507" s="16"/>
      <c r="AJ507" s="16"/>
    </row>
    <row r="508" ht="12.75" customHeight="1" spans="1:36" x14ac:dyDescent="0.25">
      <c r="A508" s="16"/>
      <c r="B508" s="16"/>
      <c r="C508" s="16"/>
      <c r="D508" s="16"/>
      <c r="E508" s="16"/>
      <c r="F508" s="16"/>
      <c r="G508" s="16"/>
      <c r="H508" s="16"/>
      <c r="I508" s="16"/>
      <c r="J508" s="16"/>
      <c r="K508" s="16"/>
      <c r="L508" s="16"/>
      <c r="M508" s="16"/>
      <c r="N508" s="16"/>
      <c r="O508" s="16"/>
      <c r="P508" s="16"/>
      <c r="Q508" s="16"/>
      <c r="R508" s="16"/>
      <c r="S508" s="16"/>
      <c r="T508" s="16"/>
      <c r="U508" s="16"/>
      <c r="V508" s="16"/>
      <c r="W508" s="16"/>
      <c r="X508" s="16"/>
      <c r="Y508" s="16"/>
      <c r="Z508" s="16"/>
      <c r="AA508" s="16"/>
      <c r="AB508" s="16"/>
      <c r="AC508" s="16"/>
      <c r="AD508" s="16"/>
      <c r="AE508" s="16"/>
      <c r="AF508" s="16"/>
      <c r="AG508" s="16"/>
      <c r="AH508" s="16"/>
      <c r="AI508" s="16"/>
      <c r="AJ508" s="16"/>
    </row>
    <row r="509" ht="12.75" customHeight="1" spans="1:36" x14ac:dyDescent="0.25">
      <c r="A509" s="16"/>
      <c r="B509" s="16"/>
      <c r="C509" s="16"/>
      <c r="D509" s="16"/>
      <c r="E509" s="16"/>
      <c r="F509" s="16"/>
      <c r="G509" s="16"/>
      <c r="H509" s="16"/>
      <c r="I509" s="16"/>
      <c r="J509" s="16"/>
      <c r="K509" s="16"/>
      <c r="L509" s="16"/>
      <c r="M509" s="16"/>
      <c r="N509" s="16"/>
      <c r="O509" s="16"/>
      <c r="P509" s="16"/>
      <c r="Q509" s="16"/>
      <c r="R509" s="16"/>
      <c r="S509" s="16"/>
      <c r="T509" s="16"/>
      <c r="U509" s="16"/>
      <c r="V509" s="16"/>
      <c r="W509" s="16"/>
      <c r="X509" s="16"/>
      <c r="Y509" s="16"/>
      <c r="Z509" s="16"/>
      <c r="AA509" s="16"/>
      <c r="AB509" s="16"/>
      <c r="AC509" s="16"/>
      <c r="AD509" s="16"/>
      <c r="AE509" s="16"/>
      <c r="AF509" s="16"/>
      <c r="AG509" s="16"/>
      <c r="AH509" s="16"/>
      <c r="AI509" s="16"/>
      <c r="AJ509" s="16"/>
    </row>
    <row r="510" ht="12.75" customHeight="1" spans="1:36" x14ac:dyDescent="0.25">
      <c r="A510" s="16"/>
      <c r="B510" s="16"/>
      <c r="C510" s="16"/>
      <c r="D510" s="16"/>
      <c r="E510" s="16"/>
      <c r="F510" s="16"/>
      <c r="G510" s="16"/>
      <c r="H510" s="16"/>
      <c r="I510" s="16"/>
      <c r="J510" s="16"/>
      <c r="K510" s="16"/>
      <c r="L510" s="16"/>
      <c r="M510" s="16"/>
      <c r="N510" s="16"/>
      <c r="O510" s="16"/>
      <c r="P510" s="16"/>
      <c r="Q510" s="16"/>
      <c r="R510" s="16"/>
      <c r="S510" s="16"/>
      <c r="T510" s="16"/>
      <c r="U510" s="16"/>
      <c r="V510" s="16"/>
      <c r="W510" s="16"/>
      <c r="X510" s="16"/>
      <c r="Y510" s="16"/>
      <c r="Z510" s="16"/>
      <c r="AA510" s="16"/>
      <c r="AB510" s="16"/>
      <c r="AC510" s="16"/>
      <c r="AD510" s="16"/>
      <c r="AE510" s="16"/>
      <c r="AF510" s="16"/>
      <c r="AG510" s="16"/>
      <c r="AH510" s="16"/>
      <c r="AI510" s="16"/>
      <c r="AJ510" s="16"/>
    </row>
    <row r="511" ht="12.75" customHeight="1" spans="1:36" x14ac:dyDescent="0.25">
      <c r="A511" s="16"/>
      <c r="B511" s="16"/>
      <c r="C511" s="16"/>
      <c r="D511" s="16"/>
      <c r="E511" s="16"/>
      <c r="F511" s="16"/>
      <c r="G511" s="16"/>
      <c r="H511" s="16"/>
      <c r="I511" s="16"/>
      <c r="J511" s="16"/>
      <c r="K511" s="16"/>
      <c r="L511" s="16"/>
      <c r="M511" s="16"/>
      <c r="N511" s="16"/>
      <c r="O511" s="16"/>
      <c r="P511" s="16"/>
      <c r="Q511" s="16"/>
      <c r="R511" s="16"/>
      <c r="S511" s="16"/>
      <c r="T511" s="16"/>
      <c r="U511" s="16"/>
      <c r="V511" s="16"/>
      <c r="W511" s="16"/>
      <c r="X511" s="16"/>
      <c r="Y511" s="16"/>
      <c r="Z511" s="16"/>
      <c r="AA511" s="16"/>
      <c r="AB511" s="16"/>
      <c r="AC511" s="16"/>
      <c r="AD511" s="16"/>
      <c r="AE511" s="16"/>
      <c r="AF511" s="16"/>
      <c r="AG511" s="16"/>
      <c r="AH511" s="16"/>
      <c r="AI511" s="16"/>
      <c r="AJ511" s="16"/>
    </row>
    <row r="512" ht="12.75" customHeight="1" spans="1:36" x14ac:dyDescent="0.25">
      <c r="A512" s="16"/>
      <c r="B512" s="16"/>
      <c r="C512" s="16"/>
      <c r="D512" s="16"/>
      <c r="E512" s="16"/>
      <c r="F512" s="16"/>
      <c r="G512" s="16"/>
      <c r="H512" s="16"/>
      <c r="I512" s="16"/>
      <c r="J512" s="16"/>
      <c r="K512" s="16"/>
      <c r="L512" s="16"/>
      <c r="M512" s="16"/>
      <c r="N512" s="16"/>
      <c r="O512" s="16"/>
      <c r="P512" s="16"/>
      <c r="Q512" s="16"/>
      <c r="R512" s="16"/>
      <c r="S512" s="16"/>
      <c r="T512" s="16"/>
      <c r="U512" s="16"/>
      <c r="V512" s="16"/>
      <c r="W512" s="16"/>
      <c r="X512" s="16"/>
      <c r="Y512" s="16"/>
      <c r="Z512" s="16"/>
      <c r="AA512" s="16"/>
      <c r="AB512" s="16"/>
      <c r="AC512" s="16"/>
      <c r="AD512" s="16"/>
      <c r="AE512" s="16"/>
      <c r="AF512" s="16"/>
      <c r="AG512" s="16"/>
      <c r="AH512" s="16"/>
      <c r="AI512" s="16"/>
      <c r="AJ512" s="16"/>
    </row>
    <row r="513" ht="12.75" customHeight="1" spans="1:36" x14ac:dyDescent="0.25">
      <c r="A513" s="16"/>
      <c r="B513" s="16"/>
      <c r="C513" s="16"/>
      <c r="D513" s="16"/>
      <c r="E513" s="16"/>
      <c r="F513" s="16"/>
      <c r="G513" s="16"/>
      <c r="H513" s="16"/>
      <c r="I513" s="16"/>
      <c r="J513" s="16"/>
      <c r="K513" s="16"/>
      <c r="L513" s="16"/>
      <c r="M513" s="16"/>
      <c r="N513" s="16"/>
      <c r="O513" s="16"/>
      <c r="P513" s="16"/>
      <c r="Q513" s="16"/>
      <c r="R513" s="16"/>
      <c r="S513" s="16"/>
      <c r="T513" s="16"/>
      <c r="U513" s="16"/>
      <c r="V513" s="16"/>
      <c r="W513" s="16"/>
      <c r="X513" s="16"/>
      <c r="Y513" s="16"/>
      <c r="Z513" s="16"/>
      <c r="AA513" s="16"/>
      <c r="AB513" s="16"/>
      <c r="AC513" s="16"/>
      <c r="AD513" s="16"/>
      <c r="AE513" s="16"/>
      <c r="AF513" s="16"/>
      <c r="AG513" s="16"/>
      <c r="AH513" s="16"/>
      <c r="AI513" s="16"/>
      <c r="AJ513" s="16"/>
    </row>
    <row r="514" ht="12.75" customHeight="1" spans="1:36" x14ac:dyDescent="0.25">
      <c r="A514" s="16"/>
      <c r="B514" s="16"/>
      <c r="C514" s="16"/>
      <c r="D514" s="16"/>
      <c r="E514" s="16"/>
      <c r="F514" s="16"/>
      <c r="G514" s="16"/>
      <c r="H514" s="16"/>
      <c r="I514" s="16"/>
      <c r="J514" s="16"/>
      <c r="K514" s="16"/>
      <c r="L514" s="16"/>
      <c r="M514" s="16"/>
      <c r="N514" s="16"/>
      <c r="O514" s="16"/>
      <c r="P514" s="16"/>
      <c r="Q514" s="16"/>
      <c r="R514" s="16"/>
      <c r="S514" s="16"/>
      <c r="T514" s="16"/>
      <c r="U514" s="16"/>
      <c r="V514" s="16"/>
      <c r="W514" s="16"/>
      <c r="X514" s="16"/>
      <c r="Y514" s="16"/>
      <c r="Z514" s="16"/>
      <c r="AA514" s="16"/>
      <c r="AB514" s="16"/>
      <c r="AC514" s="16"/>
      <c r="AD514" s="16"/>
      <c r="AE514" s="16"/>
      <c r="AF514" s="16"/>
      <c r="AG514" s="16"/>
      <c r="AH514" s="16"/>
      <c r="AI514" s="16"/>
      <c r="AJ514" s="16"/>
    </row>
    <row r="515" ht="12.75" customHeight="1" spans="1:36" x14ac:dyDescent="0.25">
      <c r="A515" s="16"/>
      <c r="B515" s="16"/>
      <c r="C515" s="16"/>
      <c r="D515" s="16"/>
      <c r="E515" s="16"/>
      <c r="F515" s="16"/>
      <c r="G515" s="16"/>
      <c r="H515" s="16"/>
      <c r="I515" s="16"/>
      <c r="J515" s="16"/>
      <c r="K515" s="16"/>
      <c r="L515" s="16"/>
      <c r="M515" s="16"/>
      <c r="N515" s="16"/>
      <c r="O515" s="16"/>
      <c r="P515" s="16"/>
      <c r="Q515" s="16"/>
      <c r="R515" s="16"/>
      <c r="S515" s="16"/>
      <c r="T515" s="16"/>
      <c r="U515" s="16"/>
      <c r="V515" s="16"/>
      <c r="W515" s="16"/>
      <c r="X515" s="16"/>
      <c r="Y515" s="16"/>
      <c r="Z515" s="16"/>
      <c r="AA515" s="16"/>
      <c r="AB515" s="16"/>
      <c r="AC515" s="16"/>
      <c r="AD515" s="16"/>
      <c r="AE515" s="16"/>
      <c r="AF515" s="16"/>
      <c r="AG515" s="16"/>
      <c r="AH515" s="16"/>
      <c r="AI515" s="16"/>
      <c r="AJ515" s="16"/>
    </row>
    <row r="516" ht="12.75" customHeight="1" spans="1:36" x14ac:dyDescent="0.25">
      <c r="A516" s="16"/>
      <c r="B516" s="16"/>
      <c r="C516" s="16"/>
      <c r="D516" s="16"/>
      <c r="E516" s="16"/>
      <c r="F516" s="16"/>
      <c r="G516" s="16"/>
      <c r="H516" s="16"/>
      <c r="I516" s="16"/>
      <c r="J516" s="16"/>
      <c r="K516" s="16"/>
      <c r="L516" s="16"/>
      <c r="M516" s="16"/>
      <c r="N516" s="16"/>
      <c r="O516" s="16"/>
      <c r="P516" s="16"/>
      <c r="Q516" s="16"/>
      <c r="R516" s="16"/>
      <c r="S516" s="16"/>
      <c r="T516" s="16"/>
      <c r="U516" s="16"/>
      <c r="V516" s="16"/>
      <c r="W516" s="16"/>
      <c r="X516" s="16"/>
      <c r="Y516" s="16"/>
      <c r="Z516" s="16"/>
      <c r="AA516" s="16"/>
      <c r="AB516" s="16"/>
      <c r="AC516" s="16"/>
      <c r="AD516" s="16"/>
      <c r="AE516" s="16"/>
      <c r="AF516" s="16"/>
      <c r="AG516" s="16"/>
      <c r="AH516" s="16"/>
      <c r="AI516" s="16"/>
      <c r="AJ516" s="16"/>
    </row>
    <row r="517" ht="12.75" customHeight="1" spans="1:36" x14ac:dyDescent="0.25">
      <c r="A517" s="16"/>
      <c r="B517" s="16"/>
      <c r="C517" s="16"/>
      <c r="D517" s="16"/>
      <c r="E517" s="16"/>
      <c r="F517" s="16"/>
      <c r="G517" s="16"/>
      <c r="H517" s="16"/>
      <c r="I517" s="16"/>
      <c r="J517" s="16"/>
      <c r="K517" s="16"/>
      <c r="L517" s="16"/>
      <c r="M517" s="16"/>
      <c r="N517" s="16"/>
      <c r="O517" s="16"/>
      <c r="P517" s="16"/>
      <c r="Q517" s="16"/>
      <c r="R517" s="16"/>
      <c r="S517" s="16"/>
      <c r="T517" s="16"/>
      <c r="U517" s="16"/>
      <c r="V517" s="16"/>
      <c r="W517" s="16"/>
      <c r="X517" s="16"/>
      <c r="Y517" s="16"/>
      <c r="Z517" s="16"/>
      <c r="AA517" s="16"/>
      <c r="AB517" s="16"/>
      <c r="AC517" s="16"/>
      <c r="AD517" s="16"/>
      <c r="AE517" s="16"/>
      <c r="AF517" s="16"/>
      <c r="AG517" s="16"/>
      <c r="AH517" s="16"/>
      <c r="AI517" s="16"/>
      <c r="AJ517" s="16"/>
    </row>
    <row r="518" ht="12.75" customHeight="1" spans="1:36" x14ac:dyDescent="0.25">
      <c r="A518" s="16"/>
      <c r="B518" s="16"/>
      <c r="C518" s="16"/>
      <c r="D518" s="16"/>
      <c r="E518" s="16"/>
      <c r="F518" s="16"/>
      <c r="G518" s="16"/>
      <c r="H518" s="16"/>
      <c r="I518" s="16"/>
      <c r="J518" s="16"/>
      <c r="K518" s="16"/>
      <c r="L518" s="16"/>
      <c r="M518" s="16"/>
      <c r="N518" s="16"/>
      <c r="O518" s="16"/>
      <c r="P518" s="16"/>
      <c r="Q518" s="16"/>
      <c r="R518" s="16"/>
      <c r="S518" s="16"/>
      <c r="T518" s="16"/>
      <c r="U518" s="16"/>
      <c r="V518" s="16"/>
      <c r="W518" s="16"/>
      <c r="X518" s="16"/>
      <c r="Y518" s="16"/>
      <c r="Z518" s="16"/>
      <c r="AA518" s="16"/>
      <c r="AB518" s="16"/>
      <c r="AC518" s="16"/>
      <c r="AD518" s="16"/>
      <c r="AE518" s="16"/>
      <c r="AF518" s="16"/>
      <c r="AG518" s="16"/>
      <c r="AH518" s="16"/>
      <c r="AI518" s="16"/>
      <c r="AJ518" s="16"/>
    </row>
    <row r="519" ht="12.75" customHeight="1" spans="1:36" x14ac:dyDescent="0.25">
      <c r="A519" s="16"/>
      <c r="B519" s="16"/>
      <c r="C519" s="16"/>
      <c r="D519" s="16"/>
      <c r="E519" s="16"/>
      <c r="F519" s="16"/>
      <c r="G519" s="16"/>
      <c r="H519" s="16"/>
      <c r="I519" s="16"/>
      <c r="J519" s="16"/>
      <c r="K519" s="16"/>
      <c r="L519" s="16"/>
      <c r="M519" s="16"/>
      <c r="N519" s="16"/>
      <c r="O519" s="16"/>
      <c r="P519" s="16"/>
      <c r="Q519" s="16"/>
      <c r="R519" s="16"/>
      <c r="S519" s="16"/>
      <c r="T519" s="16"/>
      <c r="U519" s="16"/>
      <c r="V519" s="16"/>
      <c r="W519" s="16"/>
      <c r="X519" s="16"/>
      <c r="Y519" s="16"/>
      <c r="Z519" s="16"/>
      <c r="AA519" s="16"/>
      <c r="AB519" s="16"/>
      <c r="AC519" s="16"/>
      <c r="AD519" s="16"/>
      <c r="AE519" s="16"/>
      <c r="AF519" s="16"/>
      <c r="AG519" s="16"/>
      <c r="AH519" s="16"/>
      <c r="AI519" s="16"/>
      <c r="AJ519" s="16"/>
    </row>
    <row r="520" ht="12.75" customHeight="1" spans="1:36" x14ac:dyDescent="0.25">
      <c r="A520" s="16"/>
      <c r="B520" s="16"/>
      <c r="C520" s="16"/>
      <c r="D520" s="16"/>
      <c r="E520" s="16"/>
      <c r="F520" s="16"/>
      <c r="G520" s="16"/>
      <c r="H520" s="16"/>
      <c r="I520" s="16"/>
      <c r="J520" s="16"/>
      <c r="K520" s="16"/>
      <c r="L520" s="16"/>
      <c r="M520" s="16"/>
      <c r="N520" s="16"/>
      <c r="O520" s="16"/>
      <c r="P520" s="16"/>
      <c r="Q520" s="16"/>
      <c r="R520" s="16"/>
      <c r="S520" s="16"/>
      <c r="T520" s="16"/>
      <c r="U520" s="16"/>
      <c r="V520" s="16"/>
      <c r="W520" s="16"/>
      <c r="X520" s="16"/>
      <c r="Y520" s="16"/>
      <c r="Z520" s="16"/>
      <c r="AA520" s="16"/>
      <c r="AB520" s="16"/>
      <c r="AC520" s="16"/>
      <c r="AD520" s="16"/>
      <c r="AE520" s="16"/>
      <c r="AF520" s="16"/>
      <c r="AG520" s="16"/>
      <c r="AH520" s="16"/>
      <c r="AI520" s="16"/>
      <c r="AJ520" s="16"/>
    </row>
    <row r="521" ht="12.75" customHeight="1" spans="1:36" x14ac:dyDescent="0.25">
      <c r="A521" s="16"/>
      <c r="B521" s="16"/>
      <c r="C521" s="16"/>
      <c r="D521" s="16"/>
      <c r="E521" s="16"/>
      <c r="F521" s="16"/>
      <c r="G521" s="16"/>
      <c r="H521" s="16"/>
      <c r="I521" s="16"/>
      <c r="J521" s="16"/>
      <c r="K521" s="16"/>
      <c r="L521" s="16"/>
      <c r="M521" s="16"/>
      <c r="N521" s="16"/>
      <c r="O521" s="16"/>
      <c r="P521" s="16"/>
      <c r="Q521" s="16"/>
      <c r="R521" s="16"/>
      <c r="S521" s="16"/>
      <c r="T521" s="16"/>
      <c r="U521" s="16"/>
      <c r="V521" s="16"/>
      <c r="W521" s="16"/>
      <c r="X521" s="16"/>
      <c r="Y521" s="16"/>
      <c r="Z521" s="16"/>
      <c r="AA521" s="16"/>
      <c r="AB521" s="16"/>
      <c r="AC521" s="16"/>
      <c r="AD521" s="16"/>
      <c r="AE521" s="16"/>
      <c r="AF521" s="16"/>
      <c r="AG521" s="16"/>
      <c r="AH521" s="16"/>
      <c r="AI521" s="16"/>
      <c r="AJ521" s="16"/>
    </row>
    <row r="522" ht="12.75" customHeight="1" spans="1:36" x14ac:dyDescent="0.25">
      <c r="A522" s="16"/>
      <c r="B522" s="16"/>
      <c r="C522" s="16"/>
      <c r="D522" s="16"/>
      <c r="E522" s="16"/>
      <c r="F522" s="16"/>
      <c r="G522" s="16"/>
      <c r="H522" s="16"/>
      <c r="I522" s="16"/>
      <c r="J522" s="16"/>
      <c r="K522" s="16"/>
      <c r="L522" s="16"/>
      <c r="M522" s="16"/>
      <c r="N522" s="16"/>
      <c r="O522" s="16"/>
      <c r="P522" s="16"/>
      <c r="Q522" s="16"/>
      <c r="R522" s="16"/>
      <c r="S522" s="16"/>
      <c r="T522" s="16"/>
      <c r="U522" s="16"/>
      <c r="V522" s="16"/>
      <c r="W522" s="16"/>
      <c r="X522" s="16"/>
      <c r="Y522" s="16"/>
      <c r="Z522" s="16"/>
      <c r="AA522" s="16"/>
      <c r="AB522" s="16"/>
      <c r="AC522" s="16"/>
      <c r="AD522" s="16"/>
      <c r="AE522" s="16"/>
      <c r="AF522" s="16"/>
      <c r="AG522" s="16"/>
      <c r="AH522" s="16"/>
      <c r="AI522" s="16"/>
      <c r="AJ522" s="16"/>
    </row>
    <row r="523" ht="12.75" customHeight="1" spans="1:36" x14ac:dyDescent="0.25">
      <c r="A523" s="16"/>
      <c r="B523" s="16"/>
      <c r="C523" s="16"/>
      <c r="D523" s="16"/>
      <c r="E523" s="16"/>
      <c r="F523" s="16"/>
      <c r="G523" s="16"/>
      <c r="H523" s="16"/>
      <c r="I523" s="16"/>
      <c r="J523" s="16"/>
      <c r="K523" s="16"/>
      <c r="L523" s="16"/>
      <c r="M523" s="16"/>
      <c r="N523" s="16"/>
      <c r="O523" s="16"/>
      <c r="P523" s="16"/>
      <c r="Q523" s="16"/>
      <c r="R523" s="16"/>
      <c r="S523" s="16"/>
      <c r="T523" s="16"/>
      <c r="U523" s="16"/>
      <c r="V523" s="16"/>
      <c r="W523" s="16"/>
      <c r="X523" s="16"/>
      <c r="Y523" s="16"/>
      <c r="Z523" s="16"/>
      <c r="AA523" s="16"/>
      <c r="AB523" s="16"/>
      <c r="AC523" s="16"/>
      <c r="AD523" s="16"/>
      <c r="AE523" s="16"/>
      <c r="AF523" s="16"/>
      <c r="AG523" s="16"/>
      <c r="AH523" s="16"/>
      <c r="AI523" s="16"/>
      <c r="AJ523" s="16"/>
    </row>
    <row r="524" ht="12.75" customHeight="1" spans="1:36" x14ac:dyDescent="0.25">
      <c r="A524" s="16"/>
      <c r="B524" s="16"/>
      <c r="C524" s="16"/>
      <c r="D524" s="16"/>
      <c r="E524" s="16"/>
      <c r="F524" s="16"/>
      <c r="G524" s="16"/>
      <c r="H524" s="16"/>
      <c r="I524" s="16"/>
      <c r="J524" s="16"/>
      <c r="K524" s="16"/>
      <c r="L524" s="16"/>
      <c r="M524" s="16"/>
      <c r="N524" s="16"/>
      <c r="O524" s="16"/>
      <c r="P524" s="16"/>
      <c r="Q524" s="16"/>
      <c r="R524" s="16"/>
      <c r="S524" s="16"/>
      <c r="T524" s="16"/>
      <c r="U524" s="16"/>
      <c r="V524" s="16"/>
      <c r="W524" s="16"/>
      <c r="X524" s="16"/>
      <c r="Y524" s="16"/>
      <c r="Z524" s="16"/>
      <c r="AA524" s="16"/>
      <c r="AB524" s="16"/>
      <c r="AC524" s="16"/>
      <c r="AD524" s="16"/>
      <c r="AE524" s="16"/>
      <c r="AF524" s="16"/>
      <c r="AG524" s="16"/>
      <c r="AH524" s="16"/>
      <c r="AI524" s="16"/>
      <c r="AJ524" s="16"/>
    </row>
    <row r="525" ht="12.75" customHeight="1" spans="1:36" x14ac:dyDescent="0.25">
      <c r="A525" s="16"/>
      <c r="B525" s="16"/>
      <c r="C525" s="16"/>
      <c r="D525" s="16"/>
      <c r="E525" s="16"/>
      <c r="F525" s="16"/>
      <c r="G525" s="16"/>
      <c r="H525" s="16"/>
      <c r="I525" s="16"/>
      <c r="J525" s="16"/>
      <c r="K525" s="16"/>
      <c r="L525" s="16"/>
      <c r="M525" s="16"/>
      <c r="N525" s="16"/>
      <c r="O525" s="16"/>
      <c r="P525" s="16"/>
      <c r="Q525" s="16"/>
      <c r="R525" s="16"/>
      <c r="S525" s="16"/>
      <c r="T525" s="16"/>
      <c r="U525" s="16"/>
      <c r="V525" s="16"/>
      <c r="W525" s="16"/>
      <c r="X525" s="16"/>
      <c r="Y525" s="16"/>
      <c r="Z525" s="16"/>
      <c r="AA525" s="16"/>
      <c r="AB525" s="16"/>
      <c r="AC525" s="16"/>
      <c r="AD525" s="16"/>
      <c r="AE525" s="16"/>
      <c r="AF525" s="16"/>
      <c r="AG525" s="16"/>
      <c r="AH525" s="16"/>
      <c r="AI525" s="16"/>
      <c r="AJ525" s="16"/>
    </row>
    <row r="526" ht="12.75" customHeight="1" spans="1:36" x14ac:dyDescent="0.25">
      <c r="A526" s="16"/>
      <c r="B526" s="16"/>
      <c r="C526" s="16"/>
      <c r="D526" s="16"/>
      <c r="E526" s="16"/>
      <c r="F526" s="16"/>
      <c r="G526" s="16"/>
      <c r="H526" s="16"/>
      <c r="I526" s="16"/>
      <c r="J526" s="16"/>
      <c r="K526" s="16"/>
      <c r="L526" s="16"/>
      <c r="M526" s="16"/>
      <c r="N526" s="16"/>
      <c r="O526" s="16"/>
      <c r="P526" s="16"/>
      <c r="Q526" s="16"/>
      <c r="R526" s="16"/>
      <c r="S526" s="16"/>
      <c r="T526" s="16"/>
      <c r="U526" s="16"/>
      <c r="V526" s="16"/>
      <c r="W526" s="16"/>
      <c r="X526" s="16"/>
      <c r="Y526" s="16"/>
      <c r="Z526" s="16"/>
      <c r="AA526" s="16"/>
      <c r="AB526" s="16"/>
      <c r="AC526" s="16"/>
      <c r="AD526" s="16"/>
      <c r="AE526" s="16"/>
      <c r="AF526" s="16"/>
      <c r="AG526" s="16"/>
      <c r="AH526" s="16"/>
      <c r="AI526" s="16"/>
      <c r="AJ526" s="16"/>
    </row>
    <row r="527" ht="12.75" customHeight="1" spans="1:36" x14ac:dyDescent="0.25">
      <c r="A527" s="16"/>
      <c r="B527" s="16"/>
      <c r="C527" s="16"/>
      <c r="D527" s="16"/>
      <c r="E527" s="16"/>
      <c r="F527" s="16"/>
      <c r="G527" s="16"/>
      <c r="H527" s="16"/>
      <c r="I527" s="16"/>
      <c r="J527" s="16"/>
      <c r="K527" s="16"/>
      <c r="L527" s="16"/>
      <c r="M527" s="16"/>
      <c r="N527" s="16"/>
      <c r="O527" s="16"/>
      <c r="P527" s="16"/>
      <c r="Q527" s="16"/>
      <c r="R527" s="16"/>
      <c r="S527" s="16"/>
      <c r="T527" s="16"/>
      <c r="U527" s="16"/>
      <c r="V527" s="16"/>
      <c r="W527" s="16"/>
      <c r="X527" s="16"/>
      <c r="Y527" s="16"/>
      <c r="Z527" s="16"/>
      <c r="AA527" s="16"/>
      <c r="AB527" s="16"/>
      <c r="AC527" s="16"/>
      <c r="AD527" s="16"/>
      <c r="AE527" s="16"/>
      <c r="AF527" s="16"/>
      <c r="AG527" s="16"/>
      <c r="AH527" s="16"/>
      <c r="AI527" s="16"/>
      <c r="AJ527" s="16"/>
    </row>
    <row r="528" ht="12.75" customHeight="1" spans="1:36" x14ac:dyDescent="0.25">
      <c r="A528" s="16"/>
      <c r="B528" s="16"/>
      <c r="C528" s="16"/>
      <c r="D528" s="16"/>
      <c r="E528" s="16"/>
      <c r="F528" s="16"/>
      <c r="G528" s="16"/>
      <c r="H528" s="16"/>
      <c r="I528" s="16"/>
      <c r="J528" s="16"/>
      <c r="K528" s="16"/>
      <c r="L528" s="16"/>
      <c r="M528" s="16"/>
      <c r="N528" s="16"/>
      <c r="O528" s="16"/>
      <c r="P528" s="16"/>
      <c r="Q528" s="16"/>
      <c r="R528" s="16"/>
      <c r="S528" s="16"/>
      <c r="T528" s="16"/>
      <c r="U528" s="16"/>
      <c r="V528" s="16"/>
      <c r="W528" s="16"/>
      <c r="X528" s="16"/>
      <c r="Y528" s="16"/>
      <c r="Z528" s="16"/>
      <c r="AA528" s="16"/>
      <c r="AB528" s="16"/>
      <c r="AC528" s="16"/>
      <c r="AD528" s="16"/>
      <c r="AE528" s="16"/>
      <c r="AF528" s="16"/>
      <c r="AG528" s="16"/>
      <c r="AH528" s="16"/>
      <c r="AI528" s="16"/>
      <c r="AJ528" s="16"/>
    </row>
    <row r="529" ht="12.75" customHeight="1" spans="1:36" x14ac:dyDescent="0.25">
      <c r="A529" s="16"/>
      <c r="B529" s="16"/>
      <c r="C529" s="16"/>
      <c r="D529" s="16"/>
      <c r="E529" s="16"/>
      <c r="F529" s="16"/>
      <c r="G529" s="16"/>
      <c r="H529" s="16"/>
      <c r="I529" s="16"/>
      <c r="J529" s="16"/>
      <c r="K529" s="16"/>
      <c r="L529" s="16"/>
      <c r="M529" s="16"/>
      <c r="N529" s="16"/>
      <c r="O529" s="16"/>
      <c r="P529" s="16"/>
      <c r="Q529" s="16"/>
      <c r="R529" s="16"/>
      <c r="S529" s="16"/>
      <c r="T529" s="16"/>
      <c r="U529" s="16"/>
      <c r="V529" s="16"/>
      <c r="W529" s="16"/>
      <c r="X529" s="16"/>
      <c r="Y529" s="16"/>
      <c r="Z529" s="16"/>
      <c r="AA529" s="16"/>
      <c r="AB529" s="16"/>
      <c r="AC529" s="16"/>
      <c r="AD529" s="16"/>
      <c r="AE529" s="16"/>
      <c r="AF529" s="16"/>
      <c r="AG529" s="16"/>
      <c r="AH529" s="16"/>
      <c r="AI529" s="16"/>
      <c r="AJ529" s="16"/>
    </row>
    <row r="530" ht="12.75" customHeight="1" spans="1:36" x14ac:dyDescent="0.25">
      <c r="A530" s="16"/>
      <c r="B530" s="16"/>
      <c r="C530" s="16"/>
      <c r="D530" s="16"/>
      <c r="E530" s="16"/>
      <c r="F530" s="16"/>
      <c r="G530" s="16"/>
      <c r="H530" s="16"/>
      <c r="I530" s="16"/>
      <c r="J530" s="16"/>
      <c r="K530" s="16"/>
      <c r="L530" s="16"/>
      <c r="M530" s="16"/>
      <c r="N530" s="16"/>
      <c r="O530" s="16"/>
      <c r="P530" s="16"/>
      <c r="Q530" s="16"/>
      <c r="R530" s="16"/>
      <c r="S530" s="16"/>
      <c r="T530" s="16"/>
      <c r="U530" s="16"/>
      <c r="V530" s="16"/>
      <c r="W530" s="16"/>
      <c r="X530" s="16"/>
      <c r="Y530" s="16"/>
      <c r="Z530" s="16"/>
      <c r="AA530" s="16"/>
      <c r="AB530" s="16"/>
      <c r="AC530" s="16"/>
      <c r="AD530" s="16"/>
      <c r="AE530" s="16"/>
      <c r="AF530" s="16"/>
      <c r="AG530" s="16"/>
      <c r="AH530" s="16"/>
      <c r="AI530" s="16"/>
      <c r="AJ530" s="16"/>
    </row>
    <row r="531" ht="12.75" customHeight="1" spans="1:36" x14ac:dyDescent="0.25">
      <c r="A531" s="16"/>
      <c r="B531" s="16"/>
      <c r="C531" s="16"/>
      <c r="D531" s="16"/>
      <c r="E531" s="16"/>
      <c r="F531" s="16"/>
      <c r="G531" s="16"/>
      <c r="H531" s="16"/>
      <c r="I531" s="16"/>
      <c r="J531" s="16"/>
      <c r="K531" s="16"/>
      <c r="L531" s="16"/>
      <c r="M531" s="16"/>
      <c r="N531" s="16"/>
      <c r="O531" s="16"/>
      <c r="P531" s="16"/>
      <c r="Q531" s="16"/>
      <c r="R531" s="16"/>
      <c r="S531" s="16"/>
      <c r="T531" s="16"/>
      <c r="U531" s="16"/>
      <c r="V531" s="16"/>
      <c r="W531" s="16"/>
      <c r="X531" s="16"/>
      <c r="Y531" s="16"/>
      <c r="Z531" s="16"/>
      <c r="AA531" s="16"/>
      <c r="AB531" s="16"/>
      <c r="AC531" s="16"/>
      <c r="AD531" s="16"/>
      <c r="AE531" s="16"/>
      <c r="AF531" s="16"/>
      <c r="AG531" s="16"/>
      <c r="AH531" s="16"/>
      <c r="AI531" s="16"/>
      <c r="AJ531" s="16"/>
    </row>
    <row r="532" ht="12.75" customHeight="1" spans="1:36" x14ac:dyDescent="0.25">
      <c r="A532" s="16"/>
      <c r="B532" s="16"/>
      <c r="C532" s="16"/>
      <c r="D532" s="16"/>
      <c r="E532" s="16"/>
      <c r="F532" s="16"/>
      <c r="G532" s="16"/>
      <c r="H532" s="16"/>
      <c r="I532" s="16"/>
      <c r="J532" s="16"/>
      <c r="K532" s="16"/>
      <c r="L532" s="16"/>
      <c r="M532" s="16"/>
      <c r="N532" s="16"/>
      <c r="O532" s="16"/>
      <c r="P532" s="16"/>
      <c r="Q532" s="16"/>
      <c r="R532" s="16"/>
      <c r="S532" s="16"/>
      <c r="T532" s="16"/>
      <c r="U532" s="16"/>
      <c r="V532" s="16"/>
      <c r="W532" s="16"/>
      <c r="X532" s="16"/>
      <c r="Y532" s="16"/>
      <c r="Z532" s="16"/>
      <c r="AA532" s="16"/>
      <c r="AB532" s="16"/>
      <c r="AC532" s="16"/>
      <c r="AD532" s="16"/>
      <c r="AE532" s="16"/>
      <c r="AF532" s="16"/>
      <c r="AG532" s="16"/>
      <c r="AH532" s="16"/>
      <c r="AI532" s="16"/>
      <c r="AJ532" s="16"/>
    </row>
    <row r="533" ht="12.75" customHeight="1" spans="1:36" x14ac:dyDescent="0.25">
      <c r="A533" s="16"/>
      <c r="B533" s="16"/>
      <c r="C533" s="16"/>
      <c r="D533" s="16"/>
      <c r="E533" s="16"/>
      <c r="F533" s="16"/>
      <c r="G533" s="16"/>
      <c r="H533" s="16"/>
      <c r="I533" s="16"/>
      <c r="J533" s="16"/>
      <c r="K533" s="16"/>
      <c r="L533" s="16"/>
      <c r="M533" s="16"/>
      <c r="N533" s="16"/>
      <c r="O533" s="16"/>
      <c r="P533" s="16"/>
      <c r="Q533" s="16"/>
      <c r="R533" s="16"/>
      <c r="S533" s="16"/>
      <c r="T533" s="16"/>
      <c r="U533" s="16"/>
      <c r="V533" s="16"/>
      <c r="W533" s="16"/>
      <c r="X533" s="16"/>
      <c r="Y533" s="16"/>
      <c r="Z533" s="16"/>
      <c r="AA533" s="16"/>
      <c r="AB533" s="16"/>
      <c r="AC533" s="16"/>
      <c r="AD533" s="16"/>
      <c r="AE533" s="16"/>
      <c r="AF533" s="16"/>
      <c r="AG533" s="16"/>
      <c r="AH533" s="16"/>
      <c r="AI533" s="16"/>
      <c r="AJ533" s="16"/>
    </row>
    <row r="534" ht="12.75" customHeight="1" spans="1:36" x14ac:dyDescent="0.25">
      <c r="A534" s="16"/>
      <c r="B534" s="16"/>
      <c r="C534" s="16"/>
      <c r="D534" s="16"/>
      <c r="E534" s="16"/>
      <c r="F534" s="16"/>
      <c r="G534" s="16"/>
      <c r="H534" s="16"/>
      <c r="I534" s="16"/>
      <c r="J534" s="16"/>
      <c r="K534" s="16"/>
      <c r="L534" s="16"/>
      <c r="M534" s="16"/>
      <c r="N534" s="16"/>
      <c r="O534" s="16"/>
      <c r="P534" s="16"/>
      <c r="Q534" s="16"/>
      <c r="R534" s="16"/>
      <c r="S534" s="16"/>
      <c r="T534" s="16"/>
      <c r="U534" s="16"/>
      <c r="V534" s="16"/>
      <c r="W534" s="16"/>
      <c r="X534" s="16"/>
      <c r="Y534" s="16"/>
      <c r="Z534" s="16"/>
      <c r="AA534" s="16"/>
      <c r="AB534" s="16"/>
      <c r="AC534" s="16"/>
      <c r="AD534" s="16"/>
      <c r="AE534" s="16"/>
      <c r="AF534" s="16"/>
      <c r="AG534" s="16"/>
      <c r="AH534" s="16"/>
      <c r="AI534" s="16"/>
      <c r="AJ534" s="16"/>
    </row>
    <row r="535" ht="12.75" customHeight="1" spans="1:36" x14ac:dyDescent="0.25">
      <c r="A535" s="16"/>
      <c r="B535" s="16"/>
      <c r="C535" s="16"/>
      <c r="D535" s="16"/>
      <c r="E535" s="16"/>
      <c r="F535" s="16"/>
      <c r="G535" s="16"/>
      <c r="H535" s="16"/>
      <c r="I535" s="16"/>
      <c r="J535" s="16"/>
      <c r="K535" s="16"/>
      <c r="L535" s="16"/>
      <c r="M535" s="16"/>
      <c r="N535" s="16"/>
      <c r="O535" s="16"/>
      <c r="P535" s="16"/>
      <c r="Q535" s="16"/>
      <c r="R535" s="16"/>
      <c r="S535" s="16"/>
      <c r="T535" s="16"/>
      <c r="U535" s="16"/>
      <c r="V535" s="16"/>
      <c r="W535" s="16"/>
      <c r="X535" s="16"/>
      <c r="Y535" s="16"/>
      <c r="Z535" s="16"/>
      <c r="AA535" s="16"/>
      <c r="AB535" s="16"/>
      <c r="AC535" s="16"/>
      <c r="AD535" s="16"/>
      <c r="AE535" s="16"/>
      <c r="AF535" s="16"/>
      <c r="AG535" s="16"/>
      <c r="AH535" s="16"/>
      <c r="AI535" s="16"/>
      <c r="AJ535" s="16"/>
    </row>
    <row r="536" ht="12.75" customHeight="1" spans="1:36" x14ac:dyDescent="0.25">
      <c r="A536" s="16"/>
      <c r="B536" s="16"/>
      <c r="C536" s="16"/>
      <c r="D536" s="16"/>
      <c r="E536" s="16"/>
      <c r="F536" s="16"/>
      <c r="G536" s="16"/>
      <c r="H536" s="16"/>
      <c r="I536" s="16"/>
      <c r="J536" s="16"/>
      <c r="K536" s="16"/>
      <c r="L536" s="16"/>
      <c r="M536" s="16"/>
      <c r="N536" s="16"/>
      <c r="O536" s="16"/>
      <c r="P536" s="16"/>
      <c r="Q536" s="16"/>
      <c r="R536" s="16"/>
      <c r="S536" s="16"/>
      <c r="T536" s="16"/>
      <c r="U536" s="16"/>
      <c r="V536" s="16"/>
      <c r="W536" s="16"/>
      <c r="X536" s="16"/>
      <c r="Y536" s="16"/>
      <c r="Z536" s="16"/>
      <c r="AA536" s="16"/>
      <c r="AB536" s="16"/>
      <c r="AC536" s="16"/>
      <c r="AD536" s="16"/>
      <c r="AE536" s="16"/>
      <c r="AF536" s="16"/>
      <c r="AG536" s="16"/>
      <c r="AH536" s="16"/>
      <c r="AI536" s="16"/>
      <c r="AJ536" s="16"/>
    </row>
    <row r="537" ht="12.75" customHeight="1" spans="1:36" x14ac:dyDescent="0.25">
      <c r="A537" s="16"/>
      <c r="B537" s="16"/>
      <c r="C537" s="16"/>
      <c r="D537" s="16"/>
      <c r="E537" s="16"/>
      <c r="F537" s="16"/>
      <c r="G537" s="16"/>
      <c r="H537" s="16"/>
      <c r="I537" s="16"/>
      <c r="J537" s="16"/>
      <c r="K537" s="16"/>
      <c r="L537" s="16"/>
      <c r="M537" s="16"/>
      <c r="N537" s="16"/>
      <c r="O537" s="16"/>
      <c r="P537" s="16"/>
      <c r="Q537" s="16"/>
      <c r="R537" s="16"/>
      <c r="S537" s="16"/>
      <c r="T537" s="16"/>
      <c r="U537" s="16"/>
      <c r="V537" s="16"/>
      <c r="W537" s="16"/>
      <c r="X537" s="16"/>
      <c r="Y537" s="16"/>
      <c r="Z537" s="16"/>
      <c r="AA537" s="16"/>
      <c r="AB537" s="16"/>
      <c r="AC537" s="16"/>
      <c r="AD537" s="16"/>
      <c r="AE537" s="16"/>
      <c r="AF537" s="16"/>
      <c r="AG537" s="16"/>
      <c r="AH537" s="16"/>
      <c r="AI537" s="16"/>
      <c r="AJ537" s="16"/>
    </row>
    <row r="538" ht="12.75" customHeight="1" spans="1:36" x14ac:dyDescent="0.25">
      <c r="A538" s="16"/>
      <c r="B538" s="16"/>
      <c r="C538" s="16"/>
      <c r="D538" s="16"/>
      <c r="E538" s="16"/>
      <c r="F538" s="16"/>
      <c r="G538" s="16"/>
      <c r="H538" s="16"/>
      <c r="I538" s="16"/>
      <c r="J538" s="16"/>
      <c r="K538" s="16"/>
      <c r="L538" s="16"/>
      <c r="M538" s="16"/>
      <c r="N538" s="16"/>
      <c r="O538" s="16"/>
      <c r="P538" s="16"/>
      <c r="Q538" s="16"/>
      <c r="R538" s="16"/>
      <c r="S538" s="16"/>
      <c r="T538" s="16"/>
      <c r="U538" s="16"/>
      <c r="V538" s="16"/>
      <c r="W538" s="16"/>
      <c r="X538" s="16"/>
      <c r="Y538" s="16"/>
      <c r="Z538" s="16"/>
      <c r="AA538" s="16"/>
      <c r="AB538" s="16"/>
      <c r="AC538" s="16"/>
      <c r="AD538" s="16"/>
      <c r="AE538" s="16"/>
      <c r="AF538" s="16"/>
      <c r="AG538" s="16"/>
      <c r="AH538" s="16"/>
      <c r="AI538" s="16"/>
      <c r="AJ538" s="16"/>
    </row>
    <row r="539" ht="12.75" customHeight="1" spans="1:36" x14ac:dyDescent="0.25">
      <c r="A539" s="16"/>
      <c r="B539" s="16"/>
      <c r="C539" s="16"/>
      <c r="D539" s="16"/>
      <c r="E539" s="16"/>
      <c r="F539" s="16"/>
      <c r="G539" s="16"/>
      <c r="H539" s="16"/>
      <c r="I539" s="16"/>
      <c r="J539" s="16"/>
      <c r="K539" s="16"/>
      <c r="L539" s="16"/>
      <c r="M539" s="16"/>
      <c r="N539" s="16"/>
      <c r="O539" s="16"/>
      <c r="P539" s="16"/>
      <c r="Q539" s="16"/>
      <c r="R539" s="16"/>
      <c r="S539" s="16"/>
      <c r="T539" s="16"/>
      <c r="U539" s="16"/>
      <c r="V539" s="16"/>
      <c r="W539" s="16"/>
      <c r="X539" s="16"/>
      <c r="Y539" s="16"/>
      <c r="Z539" s="16"/>
      <c r="AA539" s="16"/>
      <c r="AB539" s="16"/>
      <c r="AC539" s="16"/>
      <c r="AD539" s="16"/>
      <c r="AE539" s="16"/>
      <c r="AF539" s="16"/>
      <c r="AG539" s="16"/>
      <c r="AH539" s="16"/>
      <c r="AI539" s="16"/>
      <c r="AJ539" s="16"/>
    </row>
    <row r="540" ht="12.75" customHeight="1" spans="1:36" x14ac:dyDescent="0.25">
      <c r="A540" s="16"/>
      <c r="B540" s="16"/>
      <c r="C540" s="16"/>
      <c r="D540" s="16"/>
      <c r="E540" s="16"/>
      <c r="F540" s="16"/>
      <c r="G540" s="16"/>
      <c r="H540" s="16"/>
      <c r="I540" s="16"/>
      <c r="J540" s="16"/>
      <c r="K540" s="16"/>
      <c r="L540" s="16"/>
      <c r="M540" s="16"/>
      <c r="N540" s="16"/>
      <c r="O540" s="16"/>
      <c r="P540" s="16"/>
      <c r="Q540" s="16"/>
      <c r="R540" s="16"/>
      <c r="S540" s="16"/>
      <c r="T540" s="16"/>
      <c r="U540" s="16"/>
      <c r="V540" s="16"/>
      <c r="W540" s="16"/>
      <c r="X540" s="16"/>
      <c r="Y540" s="16"/>
      <c r="Z540" s="16"/>
      <c r="AA540" s="16"/>
      <c r="AB540" s="16"/>
      <c r="AC540" s="16"/>
      <c r="AD540" s="16"/>
      <c r="AE540" s="16"/>
      <c r="AF540" s="16"/>
      <c r="AG540" s="16"/>
      <c r="AH540" s="16"/>
      <c r="AI540" s="16"/>
      <c r="AJ540" s="16"/>
    </row>
    <row r="541" ht="12.75" customHeight="1" spans="1:36" x14ac:dyDescent="0.25">
      <c r="A541" s="16"/>
      <c r="B541" s="16"/>
      <c r="C541" s="16"/>
      <c r="D541" s="16"/>
      <c r="E541" s="16"/>
      <c r="F541" s="16"/>
      <c r="G541" s="16"/>
      <c r="H541" s="16"/>
      <c r="I541" s="16"/>
      <c r="J541" s="16"/>
      <c r="K541" s="16"/>
      <c r="L541" s="16"/>
      <c r="M541" s="16"/>
      <c r="N541" s="16"/>
      <c r="O541" s="16"/>
      <c r="P541" s="16"/>
      <c r="Q541" s="16"/>
      <c r="R541" s="16"/>
      <c r="S541" s="16"/>
      <c r="T541" s="16"/>
      <c r="U541" s="16"/>
      <c r="V541" s="16"/>
      <c r="W541" s="16"/>
      <c r="X541" s="16"/>
      <c r="Y541" s="16"/>
      <c r="Z541" s="16"/>
      <c r="AA541" s="16"/>
      <c r="AB541" s="16"/>
      <c r="AC541" s="16"/>
      <c r="AD541" s="16"/>
      <c r="AE541" s="16"/>
      <c r="AF541" s="16"/>
      <c r="AG541" s="16"/>
      <c r="AH541" s="16"/>
      <c r="AI541" s="16"/>
      <c r="AJ541" s="16"/>
    </row>
    <row r="542" ht="12.75" customHeight="1" spans="1:36" x14ac:dyDescent="0.25">
      <c r="A542" s="16"/>
      <c r="B542" s="16"/>
      <c r="C542" s="16"/>
      <c r="D542" s="16"/>
      <c r="E542" s="16"/>
      <c r="F542" s="16"/>
      <c r="G542" s="16"/>
      <c r="H542" s="16"/>
      <c r="I542" s="16"/>
      <c r="J542" s="16"/>
      <c r="K542" s="16"/>
      <c r="L542" s="16"/>
      <c r="M542" s="16"/>
      <c r="N542" s="16"/>
      <c r="O542" s="16"/>
      <c r="P542" s="16"/>
      <c r="Q542" s="16"/>
      <c r="R542" s="16"/>
      <c r="S542" s="16"/>
      <c r="T542" s="16"/>
      <c r="U542" s="16"/>
      <c r="V542" s="16"/>
      <c r="W542" s="16"/>
      <c r="X542" s="16"/>
      <c r="Y542" s="16"/>
      <c r="Z542" s="16"/>
      <c r="AA542" s="16"/>
      <c r="AB542" s="16"/>
      <c r="AC542" s="16"/>
      <c r="AD542" s="16"/>
      <c r="AE542" s="16"/>
      <c r="AF542" s="16"/>
      <c r="AG542" s="16"/>
      <c r="AH542" s="16"/>
      <c r="AI542" s="16"/>
      <c r="AJ542" s="16"/>
    </row>
    <row r="543" ht="12.75" customHeight="1" spans="1:36" x14ac:dyDescent="0.25">
      <c r="A543" s="16"/>
      <c r="B543" s="16"/>
      <c r="C543" s="16"/>
      <c r="D543" s="16"/>
      <c r="E543" s="16"/>
      <c r="F543" s="16"/>
      <c r="G543" s="16"/>
      <c r="H543" s="16"/>
      <c r="I543" s="16"/>
      <c r="J543" s="16"/>
      <c r="K543" s="16"/>
      <c r="L543" s="16"/>
      <c r="M543" s="16"/>
      <c r="N543" s="16"/>
      <c r="O543" s="16"/>
      <c r="P543" s="16"/>
      <c r="Q543" s="16"/>
      <c r="R543" s="16"/>
      <c r="S543" s="16"/>
      <c r="T543" s="16"/>
      <c r="U543" s="16"/>
      <c r="V543" s="16"/>
      <c r="W543" s="16"/>
      <c r="X543" s="16"/>
      <c r="Y543" s="16"/>
      <c r="Z543" s="16"/>
      <c r="AA543" s="16"/>
      <c r="AB543" s="16"/>
      <c r="AC543" s="16"/>
      <c r="AD543" s="16"/>
      <c r="AE543" s="16"/>
      <c r="AF543" s="16"/>
      <c r="AG543" s="16"/>
      <c r="AH543" s="16"/>
      <c r="AI543" s="16"/>
      <c r="AJ543" s="16"/>
    </row>
    <row r="544" ht="12.75" customHeight="1" spans="1:36" x14ac:dyDescent="0.25">
      <c r="A544" s="16"/>
      <c r="B544" s="16"/>
      <c r="C544" s="16"/>
      <c r="D544" s="16"/>
      <c r="E544" s="16"/>
      <c r="F544" s="16"/>
      <c r="G544" s="16"/>
      <c r="H544" s="16"/>
      <c r="I544" s="16"/>
      <c r="J544" s="16"/>
      <c r="K544" s="16"/>
      <c r="L544" s="16"/>
      <c r="M544" s="16"/>
      <c r="N544" s="16"/>
      <c r="O544" s="16"/>
      <c r="P544" s="16"/>
      <c r="Q544" s="16"/>
      <c r="R544" s="16"/>
      <c r="S544" s="16"/>
      <c r="T544" s="16"/>
      <c r="U544" s="16"/>
      <c r="V544" s="16"/>
      <c r="W544" s="16"/>
      <c r="X544" s="16"/>
      <c r="Y544" s="16"/>
      <c r="Z544" s="16"/>
      <c r="AA544" s="16"/>
      <c r="AB544" s="16"/>
      <c r="AC544" s="16"/>
      <c r="AD544" s="16"/>
      <c r="AE544" s="16"/>
      <c r="AF544" s="16"/>
      <c r="AG544" s="16"/>
      <c r="AH544" s="16"/>
      <c r="AI544" s="16"/>
      <c r="AJ544" s="16"/>
    </row>
    <row r="545" ht="12.75" customHeight="1" spans="1:36" x14ac:dyDescent="0.25">
      <c r="A545" s="16"/>
      <c r="B545" s="16"/>
      <c r="C545" s="16"/>
      <c r="D545" s="16"/>
      <c r="E545" s="16"/>
      <c r="F545" s="16"/>
      <c r="G545" s="16"/>
      <c r="H545" s="16"/>
      <c r="I545" s="16"/>
      <c r="J545" s="16"/>
      <c r="K545" s="16"/>
      <c r="L545" s="16"/>
      <c r="M545" s="16"/>
      <c r="N545" s="16"/>
      <c r="O545" s="16"/>
      <c r="P545" s="16"/>
      <c r="Q545" s="16"/>
      <c r="R545" s="16"/>
      <c r="S545" s="16"/>
      <c r="T545" s="16"/>
      <c r="U545" s="16"/>
      <c r="V545" s="16"/>
      <c r="W545" s="16"/>
      <c r="X545" s="16"/>
      <c r="Y545" s="16"/>
      <c r="Z545" s="16"/>
      <c r="AA545" s="16"/>
      <c r="AB545" s="16"/>
      <c r="AC545" s="16"/>
      <c r="AD545" s="16"/>
      <c r="AE545" s="16"/>
      <c r="AF545" s="16"/>
      <c r="AG545" s="16"/>
      <c r="AH545" s="16"/>
      <c r="AI545" s="16"/>
      <c r="AJ545" s="16"/>
    </row>
    <row r="546" ht="12.75" customHeight="1" spans="1:36" x14ac:dyDescent="0.25">
      <c r="A546" s="16"/>
      <c r="B546" s="16"/>
      <c r="C546" s="16"/>
      <c r="D546" s="16"/>
      <c r="E546" s="16"/>
      <c r="F546" s="16"/>
      <c r="G546" s="16"/>
      <c r="H546" s="16"/>
      <c r="I546" s="16"/>
      <c r="J546" s="16"/>
      <c r="K546" s="16"/>
      <c r="L546" s="16"/>
      <c r="M546" s="16"/>
      <c r="N546" s="16"/>
      <c r="O546" s="16"/>
      <c r="P546" s="16"/>
      <c r="Q546" s="16"/>
      <c r="R546" s="16"/>
      <c r="S546" s="16"/>
      <c r="T546" s="16"/>
      <c r="U546" s="16"/>
      <c r="V546" s="16"/>
      <c r="W546" s="16"/>
      <c r="X546" s="16"/>
      <c r="Y546" s="16"/>
      <c r="Z546" s="16"/>
      <c r="AA546" s="16"/>
      <c r="AB546" s="16"/>
      <c r="AC546" s="16"/>
      <c r="AD546" s="16"/>
      <c r="AE546" s="16"/>
      <c r="AF546" s="16"/>
      <c r="AG546" s="16"/>
      <c r="AH546" s="16"/>
      <c r="AI546" s="16"/>
      <c r="AJ546" s="16"/>
    </row>
    <row r="547" ht="12.75" customHeight="1" spans="1:36" x14ac:dyDescent="0.25">
      <c r="A547" s="16"/>
      <c r="B547" s="16"/>
      <c r="C547" s="16"/>
      <c r="D547" s="16"/>
      <c r="E547" s="16"/>
      <c r="F547" s="16"/>
      <c r="G547" s="16"/>
      <c r="H547" s="16"/>
      <c r="I547" s="16"/>
      <c r="J547" s="16"/>
      <c r="K547" s="16"/>
      <c r="L547" s="16"/>
      <c r="M547" s="16"/>
      <c r="N547" s="16"/>
      <c r="O547" s="16"/>
      <c r="P547" s="16"/>
      <c r="Q547" s="16"/>
      <c r="R547" s="16"/>
      <c r="S547" s="16"/>
      <c r="T547" s="16"/>
      <c r="U547" s="16"/>
      <c r="V547" s="16"/>
      <c r="W547" s="16"/>
      <c r="X547" s="16"/>
      <c r="Y547" s="16"/>
      <c r="Z547" s="16"/>
      <c r="AA547" s="16"/>
      <c r="AB547" s="16"/>
      <c r="AC547" s="16"/>
      <c r="AD547" s="16"/>
      <c r="AE547" s="16"/>
      <c r="AF547" s="16"/>
      <c r="AG547" s="16"/>
      <c r="AH547" s="16"/>
      <c r="AI547" s="16"/>
      <c r="AJ547" s="16"/>
    </row>
    <row r="548" ht="12.75" customHeight="1" spans="1:36" x14ac:dyDescent="0.25">
      <c r="A548" s="16"/>
      <c r="B548" s="16"/>
      <c r="C548" s="16"/>
      <c r="D548" s="16"/>
      <c r="E548" s="16"/>
      <c r="F548" s="16"/>
      <c r="G548" s="16"/>
      <c r="H548" s="16"/>
      <c r="I548" s="16"/>
      <c r="J548" s="16"/>
      <c r="K548" s="16"/>
      <c r="L548" s="16"/>
      <c r="M548" s="16"/>
      <c r="N548" s="16"/>
      <c r="O548" s="16"/>
      <c r="P548" s="16"/>
      <c r="Q548" s="16"/>
      <c r="R548" s="16"/>
      <c r="S548" s="16"/>
      <c r="T548" s="16"/>
      <c r="U548" s="16"/>
      <c r="V548" s="16"/>
      <c r="W548" s="16"/>
      <c r="X548" s="16"/>
      <c r="Y548" s="16"/>
      <c r="Z548" s="16"/>
      <c r="AA548" s="16"/>
      <c r="AB548" s="16"/>
      <c r="AC548" s="16"/>
      <c r="AD548" s="16"/>
      <c r="AE548" s="16"/>
      <c r="AF548" s="16"/>
      <c r="AG548" s="16"/>
      <c r="AH548" s="16"/>
      <c r="AI548" s="16"/>
      <c r="AJ548" s="16"/>
    </row>
    <row r="549" ht="12.75" customHeight="1" spans="1:36" x14ac:dyDescent="0.25">
      <c r="A549" s="16"/>
      <c r="B549" s="16"/>
      <c r="C549" s="16"/>
      <c r="D549" s="16"/>
      <c r="E549" s="16"/>
      <c r="F549" s="16"/>
      <c r="G549" s="16"/>
      <c r="H549" s="16"/>
      <c r="I549" s="16"/>
      <c r="J549" s="16"/>
      <c r="K549" s="16"/>
      <c r="L549" s="16"/>
      <c r="M549" s="16"/>
      <c r="N549" s="16"/>
      <c r="O549" s="16"/>
      <c r="P549" s="16"/>
      <c r="Q549" s="16"/>
      <c r="R549" s="16"/>
      <c r="S549" s="16"/>
      <c r="T549" s="16"/>
      <c r="U549" s="16"/>
      <c r="V549" s="16"/>
      <c r="W549" s="16"/>
      <c r="X549" s="16"/>
      <c r="Y549" s="16"/>
      <c r="Z549" s="16"/>
      <c r="AA549" s="16"/>
      <c r="AB549" s="16"/>
      <c r="AC549" s="16"/>
      <c r="AD549" s="16"/>
      <c r="AE549" s="16"/>
      <c r="AF549" s="16"/>
      <c r="AG549" s="16"/>
      <c r="AH549" s="16"/>
      <c r="AI549" s="16"/>
      <c r="AJ549" s="16"/>
    </row>
    <row r="550" ht="12.75" customHeight="1" spans="1:36" x14ac:dyDescent="0.25">
      <c r="A550" s="16"/>
      <c r="B550" s="16"/>
      <c r="C550" s="16"/>
      <c r="D550" s="16"/>
      <c r="E550" s="16"/>
      <c r="F550" s="16"/>
      <c r="G550" s="16"/>
      <c r="H550" s="16"/>
      <c r="I550" s="16"/>
      <c r="J550" s="16"/>
      <c r="K550" s="16"/>
      <c r="L550" s="16"/>
      <c r="M550" s="16"/>
      <c r="N550" s="16"/>
      <c r="O550" s="16"/>
      <c r="P550" s="16"/>
      <c r="Q550" s="16"/>
      <c r="R550" s="16"/>
      <c r="S550" s="16"/>
      <c r="T550" s="16"/>
      <c r="U550" s="16"/>
      <c r="V550" s="16"/>
      <c r="W550" s="16"/>
      <c r="X550" s="16"/>
      <c r="Y550" s="16"/>
      <c r="Z550" s="16"/>
      <c r="AA550" s="16"/>
      <c r="AB550" s="16"/>
      <c r="AC550" s="16"/>
      <c r="AD550" s="16"/>
      <c r="AE550" s="16"/>
      <c r="AF550" s="16"/>
      <c r="AG550" s="16"/>
      <c r="AH550" s="16"/>
      <c r="AI550" s="16"/>
      <c r="AJ550" s="16"/>
    </row>
    <row r="551" ht="12.75" customHeight="1" spans="1:36" x14ac:dyDescent="0.25">
      <c r="A551" s="16"/>
      <c r="B551" s="16"/>
      <c r="C551" s="16"/>
      <c r="D551" s="16"/>
      <c r="E551" s="16"/>
      <c r="F551" s="16"/>
      <c r="G551" s="16"/>
      <c r="H551" s="16"/>
      <c r="I551" s="16"/>
      <c r="J551" s="16"/>
      <c r="K551" s="16"/>
      <c r="L551" s="16"/>
      <c r="M551" s="16"/>
      <c r="N551" s="16"/>
      <c r="O551" s="16"/>
      <c r="P551" s="16"/>
      <c r="Q551" s="16"/>
      <c r="R551" s="16"/>
      <c r="S551" s="16"/>
      <c r="T551" s="16"/>
      <c r="U551" s="16"/>
      <c r="V551" s="16"/>
      <c r="W551" s="16"/>
      <c r="X551" s="16"/>
      <c r="Y551" s="16"/>
      <c r="Z551" s="16"/>
      <c r="AA551" s="16"/>
      <c r="AB551" s="16"/>
      <c r="AC551" s="16"/>
      <c r="AD551" s="16"/>
      <c r="AE551" s="16"/>
      <c r="AF551" s="16"/>
      <c r="AG551" s="16"/>
      <c r="AH551" s="16"/>
      <c r="AI551" s="16"/>
      <c r="AJ551" s="16"/>
    </row>
    <row r="552" ht="12.75" customHeight="1" spans="1:36" x14ac:dyDescent="0.25">
      <c r="A552" s="16"/>
      <c r="B552" s="16"/>
      <c r="C552" s="16"/>
      <c r="D552" s="16"/>
      <c r="E552" s="16"/>
      <c r="F552" s="16"/>
      <c r="G552" s="16"/>
      <c r="H552" s="16"/>
      <c r="I552" s="16"/>
      <c r="J552" s="16"/>
      <c r="K552" s="16"/>
      <c r="L552" s="16"/>
      <c r="M552" s="16"/>
      <c r="N552" s="16"/>
      <c r="O552" s="16"/>
      <c r="P552" s="16"/>
      <c r="Q552" s="16"/>
      <c r="R552" s="16"/>
      <c r="S552" s="16"/>
      <c r="T552" s="16"/>
      <c r="U552" s="16"/>
      <c r="V552" s="16"/>
      <c r="W552" s="16"/>
      <c r="X552" s="16"/>
      <c r="Y552" s="16"/>
      <c r="Z552" s="16"/>
      <c r="AA552" s="16"/>
      <c r="AB552" s="16"/>
      <c r="AC552" s="16"/>
      <c r="AD552" s="16"/>
      <c r="AE552" s="16"/>
      <c r="AF552" s="16"/>
      <c r="AG552" s="16"/>
      <c r="AH552" s="16"/>
      <c r="AI552" s="16"/>
      <c r="AJ552" s="16"/>
    </row>
    <row r="553" ht="12.75" customHeight="1" spans="1:36" x14ac:dyDescent="0.25">
      <c r="A553" s="16"/>
      <c r="B553" s="16"/>
      <c r="C553" s="16"/>
      <c r="D553" s="16"/>
      <c r="E553" s="16"/>
      <c r="F553" s="16"/>
      <c r="G553" s="16"/>
      <c r="H553" s="16"/>
      <c r="I553" s="16"/>
      <c r="J553" s="16"/>
      <c r="K553" s="16"/>
      <c r="L553" s="16"/>
      <c r="M553" s="16"/>
      <c r="N553" s="16"/>
      <c r="O553" s="16"/>
      <c r="P553" s="16"/>
      <c r="Q553" s="16"/>
      <c r="R553" s="16"/>
      <c r="S553" s="16"/>
      <c r="T553" s="16"/>
      <c r="U553" s="16"/>
      <c r="V553" s="16"/>
      <c r="W553" s="16"/>
      <c r="X553" s="16"/>
      <c r="Y553" s="16"/>
      <c r="Z553" s="16"/>
      <c r="AA553" s="16"/>
      <c r="AB553" s="16"/>
      <c r="AC553" s="16"/>
      <c r="AD553" s="16"/>
      <c r="AE553" s="16"/>
      <c r="AF553" s="16"/>
      <c r="AG553" s="16"/>
      <c r="AH553" s="16"/>
      <c r="AI553" s="16"/>
      <c r="AJ553" s="16"/>
    </row>
    <row r="554" ht="12.75" customHeight="1" spans="1:36" x14ac:dyDescent="0.25">
      <c r="A554" s="16"/>
      <c r="B554" s="16"/>
      <c r="C554" s="16"/>
      <c r="D554" s="16"/>
      <c r="E554" s="16"/>
      <c r="F554" s="16"/>
      <c r="G554" s="16"/>
      <c r="H554" s="16"/>
      <c r="I554" s="16"/>
      <c r="J554" s="16"/>
      <c r="K554" s="16"/>
      <c r="L554" s="16"/>
      <c r="M554" s="16"/>
      <c r="N554" s="16"/>
      <c r="O554" s="16"/>
      <c r="P554" s="16"/>
      <c r="Q554" s="16"/>
      <c r="R554" s="16"/>
      <c r="S554" s="16"/>
      <c r="T554" s="16"/>
      <c r="U554" s="16"/>
      <c r="V554" s="16"/>
      <c r="W554" s="16"/>
      <c r="X554" s="16"/>
      <c r="Y554" s="16"/>
      <c r="Z554" s="16"/>
      <c r="AA554" s="16"/>
      <c r="AB554" s="16"/>
      <c r="AC554" s="16"/>
      <c r="AD554" s="16"/>
      <c r="AE554" s="16"/>
      <c r="AF554" s="16"/>
      <c r="AG554" s="16"/>
      <c r="AH554" s="16"/>
      <c r="AI554" s="16"/>
      <c r="AJ554" s="16"/>
    </row>
    <row r="555" ht="12.75" customHeight="1" spans="1:36" x14ac:dyDescent="0.25">
      <c r="A555" s="16"/>
      <c r="B555" s="16"/>
      <c r="C555" s="16"/>
      <c r="D555" s="16"/>
      <c r="E555" s="16"/>
      <c r="F555" s="16"/>
      <c r="G555" s="16"/>
      <c r="H555" s="16"/>
      <c r="I555" s="16"/>
      <c r="J555" s="16"/>
      <c r="K555" s="16"/>
      <c r="L555" s="16"/>
      <c r="M555" s="16"/>
      <c r="N555" s="16"/>
      <c r="O555" s="16"/>
      <c r="P555" s="16"/>
      <c r="Q555" s="16"/>
      <c r="R555" s="16"/>
      <c r="S555" s="16"/>
      <c r="T555" s="16"/>
      <c r="U555" s="16"/>
      <c r="V555" s="16"/>
      <c r="W555" s="16"/>
      <c r="X555" s="16"/>
      <c r="Y555" s="16"/>
      <c r="Z555" s="16"/>
      <c r="AA555" s="16"/>
      <c r="AB555" s="16"/>
      <c r="AC555" s="16"/>
      <c r="AD555" s="16"/>
      <c r="AE555" s="16"/>
      <c r="AF555" s="16"/>
      <c r="AG555" s="16"/>
      <c r="AH555" s="16"/>
      <c r="AI555" s="16"/>
      <c r="AJ555" s="16"/>
    </row>
    <row r="556" ht="12.75" customHeight="1" spans="1:36" x14ac:dyDescent="0.25">
      <c r="A556" s="16"/>
      <c r="B556" s="16"/>
      <c r="C556" s="16"/>
      <c r="D556" s="16"/>
      <c r="E556" s="16"/>
      <c r="F556" s="16"/>
      <c r="G556" s="16"/>
      <c r="H556" s="16"/>
      <c r="I556" s="16"/>
      <c r="J556" s="16"/>
      <c r="K556" s="16"/>
      <c r="L556" s="16"/>
      <c r="M556" s="16"/>
      <c r="N556" s="16"/>
      <c r="O556" s="16"/>
      <c r="P556" s="16"/>
      <c r="Q556" s="16"/>
      <c r="R556" s="16"/>
      <c r="S556" s="16"/>
      <c r="T556" s="16"/>
      <c r="U556" s="16"/>
      <c r="V556" s="16"/>
      <c r="W556" s="16"/>
      <c r="X556" s="16"/>
      <c r="Y556" s="16"/>
      <c r="Z556" s="16"/>
      <c r="AA556" s="16"/>
      <c r="AB556" s="16"/>
      <c r="AC556" s="16"/>
      <c r="AD556" s="16"/>
      <c r="AE556" s="16"/>
      <c r="AF556" s="16"/>
      <c r="AG556" s="16"/>
      <c r="AH556" s="16"/>
      <c r="AI556" s="16"/>
      <c r="AJ556" s="16"/>
    </row>
    <row r="557" ht="12.75" customHeight="1" spans="1:36" x14ac:dyDescent="0.25">
      <c r="A557" s="16"/>
      <c r="B557" s="16"/>
      <c r="C557" s="16"/>
      <c r="D557" s="16"/>
      <c r="E557" s="16"/>
      <c r="F557" s="16"/>
      <c r="G557" s="16"/>
      <c r="H557" s="16"/>
      <c r="I557" s="16"/>
      <c r="J557" s="16"/>
      <c r="K557" s="16"/>
      <c r="L557" s="16"/>
      <c r="M557" s="16"/>
      <c r="N557" s="16"/>
      <c r="O557" s="16"/>
      <c r="P557" s="16"/>
      <c r="Q557" s="16"/>
      <c r="R557" s="16"/>
      <c r="S557" s="16"/>
      <c r="T557" s="16"/>
      <c r="U557" s="16"/>
      <c r="V557" s="16"/>
      <c r="W557" s="16"/>
      <c r="X557" s="16"/>
      <c r="Y557" s="16"/>
      <c r="Z557" s="16"/>
      <c r="AA557" s="16"/>
      <c r="AB557" s="16"/>
      <c r="AC557" s="16"/>
      <c r="AD557" s="16"/>
      <c r="AE557" s="16"/>
      <c r="AF557" s="16"/>
      <c r="AG557" s="16"/>
      <c r="AH557" s="16"/>
      <c r="AI557" s="16"/>
      <c r="AJ557" s="16"/>
    </row>
    <row r="558" ht="12.75" customHeight="1" spans="1:36" x14ac:dyDescent="0.25">
      <c r="A558" s="16"/>
      <c r="B558" s="16"/>
      <c r="C558" s="16"/>
      <c r="D558" s="16"/>
      <c r="E558" s="16"/>
      <c r="F558" s="16"/>
      <c r="G558" s="16"/>
      <c r="H558" s="16"/>
      <c r="I558" s="16"/>
      <c r="J558" s="16"/>
      <c r="K558" s="16"/>
      <c r="L558" s="16"/>
      <c r="M558" s="16"/>
      <c r="N558" s="16"/>
      <c r="O558" s="16"/>
      <c r="P558" s="16"/>
      <c r="Q558" s="16"/>
      <c r="R558" s="16"/>
      <c r="S558" s="16"/>
      <c r="T558" s="16"/>
      <c r="U558" s="16"/>
      <c r="V558" s="16"/>
      <c r="W558" s="16"/>
      <c r="X558" s="16"/>
      <c r="Y558" s="16"/>
      <c r="Z558" s="16"/>
      <c r="AA558" s="16"/>
      <c r="AB558" s="16"/>
      <c r="AC558" s="16"/>
      <c r="AD558" s="16"/>
      <c r="AE558" s="16"/>
      <c r="AF558" s="16"/>
      <c r="AG558" s="16"/>
      <c r="AH558" s="16"/>
      <c r="AI558" s="16"/>
      <c r="AJ558" s="16"/>
    </row>
    <row r="559" ht="12.75" customHeight="1" spans="1:36" x14ac:dyDescent="0.25">
      <c r="A559" s="16"/>
      <c r="B559" s="16"/>
      <c r="C559" s="16"/>
      <c r="D559" s="16"/>
      <c r="E559" s="16"/>
      <c r="F559" s="16"/>
      <c r="G559" s="16"/>
      <c r="H559" s="16"/>
      <c r="I559" s="16"/>
      <c r="J559" s="16"/>
      <c r="K559" s="16"/>
      <c r="L559" s="16"/>
      <c r="M559" s="16"/>
      <c r="N559" s="16"/>
      <c r="O559" s="16"/>
      <c r="P559" s="16"/>
      <c r="Q559" s="16"/>
      <c r="R559" s="16"/>
      <c r="S559" s="16"/>
      <c r="T559" s="16"/>
      <c r="U559" s="16"/>
      <c r="V559" s="16"/>
      <c r="W559" s="16"/>
      <c r="X559" s="16"/>
      <c r="Y559" s="16"/>
      <c r="Z559" s="16"/>
      <c r="AA559" s="16"/>
      <c r="AB559" s="16"/>
      <c r="AC559" s="16"/>
      <c r="AD559" s="16"/>
      <c r="AE559" s="16"/>
      <c r="AF559" s="16"/>
      <c r="AG559" s="16"/>
      <c r="AH559" s="16"/>
      <c r="AI559" s="16"/>
      <c r="AJ559" s="16"/>
    </row>
    <row r="560" ht="12.75" customHeight="1" spans="1:36" x14ac:dyDescent="0.25">
      <c r="A560" s="16"/>
      <c r="B560" s="16"/>
      <c r="C560" s="16"/>
      <c r="D560" s="16"/>
      <c r="E560" s="16"/>
      <c r="F560" s="16"/>
      <c r="G560" s="16"/>
      <c r="H560" s="16"/>
      <c r="I560" s="16"/>
      <c r="J560" s="16"/>
      <c r="K560" s="16"/>
      <c r="L560" s="16"/>
      <c r="M560" s="16"/>
      <c r="N560" s="16"/>
      <c r="O560" s="16"/>
      <c r="P560" s="16"/>
      <c r="Q560" s="16"/>
      <c r="R560" s="16"/>
      <c r="S560" s="16"/>
      <c r="T560" s="16"/>
      <c r="U560" s="16"/>
      <c r="V560" s="16"/>
      <c r="W560" s="16"/>
      <c r="X560" s="16"/>
      <c r="Y560" s="16"/>
      <c r="Z560" s="16"/>
      <c r="AA560" s="16"/>
      <c r="AB560" s="16"/>
      <c r="AC560" s="16"/>
      <c r="AD560" s="16"/>
      <c r="AE560" s="16"/>
      <c r="AF560" s="16"/>
      <c r="AG560" s="16"/>
      <c r="AH560" s="16"/>
      <c r="AI560" s="16"/>
      <c r="AJ560" s="16"/>
    </row>
    <row r="561" ht="12.75" customHeight="1" spans="1:36" x14ac:dyDescent="0.25">
      <c r="A561" s="16"/>
      <c r="B561" s="16"/>
      <c r="C561" s="16"/>
      <c r="D561" s="16"/>
      <c r="E561" s="16"/>
      <c r="F561" s="16"/>
      <c r="G561" s="16"/>
      <c r="H561" s="16"/>
      <c r="I561" s="16"/>
      <c r="J561" s="16"/>
      <c r="K561" s="16"/>
      <c r="L561" s="16"/>
      <c r="M561" s="16"/>
      <c r="N561" s="16"/>
      <c r="O561" s="16"/>
      <c r="P561" s="16"/>
      <c r="Q561" s="16"/>
      <c r="R561" s="16"/>
      <c r="S561" s="16"/>
      <c r="T561" s="16"/>
      <c r="U561" s="16"/>
      <c r="V561" s="16"/>
      <c r="W561" s="16"/>
      <c r="X561" s="16"/>
      <c r="Y561" s="16"/>
      <c r="Z561" s="16"/>
      <c r="AA561" s="16"/>
      <c r="AB561" s="16"/>
      <c r="AC561" s="16"/>
      <c r="AD561" s="16"/>
      <c r="AE561" s="16"/>
      <c r="AF561" s="16"/>
      <c r="AG561" s="16"/>
      <c r="AH561" s="16"/>
      <c r="AI561" s="16"/>
      <c r="AJ561" s="16"/>
    </row>
    <row r="562" ht="12.75" customHeight="1" spans="1:36" x14ac:dyDescent="0.25">
      <c r="A562" s="16"/>
      <c r="B562" s="16"/>
      <c r="C562" s="16"/>
      <c r="D562" s="16"/>
      <c r="E562" s="16"/>
      <c r="F562" s="16"/>
      <c r="G562" s="16"/>
      <c r="H562" s="16"/>
      <c r="I562" s="16"/>
      <c r="J562" s="16"/>
      <c r="K562" s="16"/>
      <c r="L562" s="16"/>
      <c r="M562" s="16"/>
      <c r="N562" s="16"/>
      <c r="O562" s="16"/>
      <c r="P562" s="16"/>
      <c r="Q562" s="16"/>
      <c r="R562" s="16"/>
      <c r="S562" s="16"/>
      <c r="T562" s="16"/>
      <c r="U562" s="16"/>
      <c r="V562" s="16"/>
      <c r="W562" s="16"/>
      <c r="X562" s="16"/>
      <c r="Y562" s="16"/>
      <c r="Z562" s="16"/>
      <c r="AA562" s="16"/>
      <c r="AB562" s="16"/>
      <c r="AC562" s="16"/>
      <c r="AD562" s="16"/>
      <c r="AE562" s="16"/>
      <c r="AF562" s="16"/>
      <c r="AG562" s="16"/>
      <c r="AH562" s="16"/>
      <c r="AI562" s="16"/>
      <c r="AJ562" s="16"/>
    </row>
    <row r="563" ht="12.75" customHeight="1" spans="1:36" x14ac:dyDescent="0.25">
      <c r="A563" s="16"/>
      <c r="B563" s="16"/>
      <c r="C563" s="16"/>
      <c r="D563" s="16"/>
      <c r="E563" s="16"/>
      <c r="F563" s="16"/>
      <c r="G563" s="16"/>
      <c r="H563" s="16"/>
      <c r="I563" s="16"/>
      <c r="J563" s="16"/>
      <c r="K563" s="16"/>
      <c r="L563" s="16"/>
      <c r="M563" s="16"/>
      <c r="N563" s="16"/>
      <c r="O563" s="16"/>
      <c r="P563" s="16"/>
      <c r="Q563" s="16"/>
      <c r="R563" s="16"/>
      <c r="S563" s="16"/>
      <c r="T563" s="16"/>
      <c r="U563" s="16"/>
      <c r="V563" s="16"/>
      <c r="W563" s="16"/>
      <c r="X563" s="16"/>
      <c r="Y563" s="16"/>
      <c r="Z563" s="16"/>
      <c r="AA563" s="16"/>
      <c r="AB563" s="16"/>
      <c r="AC563" s="16"/>
      <c r="AD563" s="16"/>
      <c r="AE563" s="16"/>
      <c r="AF563" s="16"/>
      <c r="AG563" s="16"/>
      <c r="AH563" s="16"/>
      <c r="AI563" s="16"/>
      <c r="AJ563" s="16"/>
    </row>
    <row r="564" ht="12.75" customHeight="1" spans="1:36" x14ac:dyDescent="0.25">
      <c r="A564" s="16"/>
      <c r="B564" s="16"/>
      <c r="C564" s="16"/>
      <c r="D564" s="16"/>
      <c r="E564" s="16"/>
      <c r="F564" s="16"/>
      <c r="G564" s="16"/>
      <c r="H564" s="16"/>
      <c r="I564" s="16"/>
      <c r="J564" s="16"/>
      <c r="K564" s="16"/>
      <c r="L564" s="16"/>
      <c r="M564" s="16"/>
      <c r="N564" s="16"/>
      <c r="O564" s="16"/>
      <c r="P564" s="16"/>
      <c r="Q564" s="16"/>
      <c r="R564" s="16"/>
      <c r="S564" s="16"/>
      <c r="T564" s="16"/>
      <c r="U564" s="16"/>
      <c r="V564" s="16"/>
      <c r="W564" s="16"/>
      <c r="X564" s="16"/>
      <c r="Y564" s="16"/>
      <c r="Z564" s="16"/>
      <c r="AA564" s="16"/>
      <c r="AB564" s="16"/>
      <c r="AC564" s="16"/>
      <c r="AD564" s="16"/>
      <c r="AE564" s="16"/>
      <c r="AF564" s="16"/>
      <c r="AG564" s="16"/>
      <c r="AH564" s="16"/>
      <c r="AI564" s="16"/>
      <c r="AJ564" s="16"/>
    </row>
    <row r="565" ht="12.75" customHeight="1" spans="1:36" x14ac:dyDescent="0.25">
      <c r="A565" s="16"/>
      <c r="B565" s="16"/>
      <c r="C565" s="16"/>
      <c r="D565" s="16"/>
      <c r="E565" s="16"/>
      <c r="F565" s="16"/>
      <c r="G565" s="16"/>
      <c r="H565" s="16"/>
      <c r="I565" s="16"/>
      <c r="J565" s="16"/>
      <c r="K565" s="16"/>
      <c r="L565" s="16"/>
      <c r="M565" s="16"/>
      <c r="N565" s="16"/>
      <c r="O565" s="16"/>
      <c r="P565" s="16"/>
      <c r="Q565" s="16"/>
      <c r="R565" s="16"/>
      <c r="S565" s="16"/>
      <c r="T565" s="16"/>
      <c r="U565" s="16"/>
      <c r="V565" s="16"/>
      <c r="W565" s="16"/>
      <c r="X565" s="16"/>
      <c r="Y565" s="16"/>
      <c r="Z565" s="16"/>
      <c r="AA565" s="16"/>
      <c r="AB565" s="16"/>
      <c r="AC565" s="16"/>
      <c r="AD565" s="16"/>
      <c r="AE565" s="16"/>
      <c r="AF565" s="16"/>
      <c r="AG565" s="16"/>
      <c r="AH565" s="16"/>
      <c r="AI565" s="16"/>
      <c r="AJ565" s="16"/>
    </row>
    <row r="566" ht="12.75" customHeight="1" spans="1:36" x14ac:dyDescent="0.25">
      <c r="A566" s="16"/>
      <c r="B566" s="16"/>
      <c r="C566" s="16"/>
      <c r="D566" s="16"/>
      <c r="E566" s="16"/>
      <c r="F566" s="16"/>
      <c r="G566" s="16"/>
      <c r="H566" s="16"/>
      <c r="I566" s="16"/>
      <c r="J566" s="16"/>
      <c r="K566" s="16"/>
      <c r="L566" s="16"/>
      <c r="M566" s="16"/>
      <c r="N566" s="16"/>
      <c r="O566" s="16"/>
      <c r="P566" s="16"/>
      <c r="Q566" s="16"/>
      <c r="R566" s="16"/>
      <c r="S566" s="16"/>
      <c r="T566" s="16"/>
      <c r="U566" s="16"/>
      <c r="V566" s="16"/>
      <c r="W566" s="16"/>
      <c r="X566" s="16"/>
      <c r="Y566" s="16"/>
      <c r="Z566" s="16"/>
      <c r="AA566" s="16"/>
      <c r="AB566" s="16"/>
      <c r="AC566" s="16"/>
      <c r="AD566" s="16"/>
      <c r="AE566" s="16"/>
      <c r="AF566" s="16"/>
      <c r="AG566" s="16"/>
      <c r="AH566" s="16"/>
      <c r="AI566" s="16"/>
      <c r="AJ566" s="16"/>
    </row>
    <row r="567" ht="12.75" customHeight="1" spans="1:36" x14ac:dyDescent="0.25">
      <c r="A567" s="16"/>
      <c r="B567" s="16"/>
      <c r="C567" s="16"/>
      <c r="D567" s="16"/>
      <c r="E567" s="16"/>
      <c r="F567" s="16"/>
      <c r="G567" s="16"/>
      <c r="H567" s="16"/>
      <c r="I567" s="16"/>
      <c r="J567" s="16"/>
      <c r="K567" s="16"/>
      <c r="L567" s="16"/>
      <c r="M567" s="16"/>
      <c r="N567" s="16"/>
      <c r="O567" s="16"/>
      <c r="P567" s="16"/>
      <c r="Q567" s="16"/>
      <c r="R567" s="16"/>
      <c r="S567" s="16"/>
      <c r="T567" s="16"/>
      <c r="U567" s="16"/>
      <c r="V567" s="16"/>
      <c r="W567" s="16"/>
      <c r="X567" s="16"/>
      <c r="Y567" s="16"/>
      <c r="Z567" s="16"/>
      <c r="AA567" s="16"/>
      <c r="AB567" s="16"/>
      <c r="AC567" s="16"/>
      <c r="AD567" s="16"/>
      <c r="AE567" s="16"/>
      <c r="AF567" s="16"/>
      <c r="AG567" s="16"/>
      <c r="AH567" s="16"/>
      <c r="AI567" s="16"/>
      <c r="AJ567" s="16"/>
    </row>
    <row r="568" ht="12.75" customHeight="1" spans="1:36" x14ac:dyDescent="0.25">
      <c r="A568" s="16"/>
      <c r="B568" s="16"/>
      <c r="C568" s="16"/>
      <c r="D568" s="16"/>
      <c r="E568" s="16"/>
      <c r="F568" s="16"/>
      <c r="G568" s="16"/>
      <c r="H568" s="16"/>
      <c r="I568" s="16"/>
      <c r="J568" s="16"/>
      <c r="K568" s="16"/>
      <c r="L568" s="16"/>
      <c r="M568" s="16"/>
      <c r="N568" s="16"/>
      <c r="O568" s="16"/>
      <c r="P568" s="16"/>
      <c r="Q568" s="16"/>
      <c r="R568" s="16"/>
      <c r="S568" s="16"/>
      <c r="T568" s="16"/>
      <c r="U568" s="16"/>
      <c r="V568" s="16"/>
      <c r="W568" s="16"/>
      <c r="X568" s="16"/>
      <c r="Y568" s="16"/>
      <c r="Z568" s="16"/>
      <c r="AA568" s="16"/>
      <c r="AB568" s="16"/>
      <c r="AC568" s="16"/>
      <c r="AD568" s="16"/>
      <c r="AE568" s="16"/>
      <c r="AF568" s="16"/>
      <c r="AG568" s="16"/>
      <c r="AH568" s="16"/>
      <c r="AI568" s="16"/>
      <c r="AJ568" s="16"/>
    </row>
    <row r="569" ht="12.75" customHeight="1" spans="1:36" x14ac:dyDescent="0.25">
      <c r="A569" s="16"/>
      <c r="B569" s="16"/>
      <c r="C569" s="16"/>
      <c r="D569" s="16"/>
      <c r="E569" s="16"/>
      <c r="F569" s="16"/>
      <c r="G569" s="16"/>
      <c r="H569" s="16"/>
      <c r="I569" s="16"/>
      <c r="J569" s="16"/>
      <c r="K569" s="16"/>
      <c r="L569" s="16"/>
      <c r="M569" s="16"/>
      <c r="N569" s="16"/>
      <c r="O569" s="16"/>
      <c r="P569" s="16"/>
      <c r="Q569" s="16"/>
      <c r="R569" s="16"/>
      <c r="S569" s="16"/>
      <c r="T569" s="16"/>
      <c r="U569" s="16"/>
      <c r="V569" s="16"/>
      <c r="W569" s="16"/>
      <c r="X569" s="16"/>
      <c r="Y569" s="16"/>
      <c r="Z569" s="16"/>
      <c r="AA569" s="16"/>
      <c r="AB569" s="16"/>
      <c r="AC569" s="16"/>
      <c r="AD569" s="16"/>
      <c r="AE569" s="16"/>
      <c r="AF569" s="16"/>
      <c r="AG569" s="16"/>
      <c r="AH569" s="16"/>
      <c r="AI569" s="16"/>
      <c r="AJ569" s="16"/>
    </row>
    <row r="570" ht="12.75" customHeight="1" spans="1:36" x14ac:dyDescent="0.25">
      <c r="A570" s="16"/>
      <c r="B570" s="16"/>
      <c r="C570" s="16"/>
      <c r="D570" s="16"/>
      <c r="E570" s="16"/>
      <c r="F570" s="16"/>
      <c r="G570" s="16"/>
      <c r="H570" s="16"/>
      <c r="I570" s="16"/>
      <c r="J570" s="16"/>
      <c r="K570" s="16"/>
      <c r="L570" s="16"/>
      <c r="M570" s="16"/>
      <c r="N570" s="16"/>
      <c r="O570" s="16"/>
      <c r="P570" s="16"/>
      <c r="Q570" s="16"/>
      <c r="R570" s="16"/>
      <c r="S570" s="16"/>
      <c r="T570" s="16"/>
      <c r="U570" s="16"/>
      <c r="V570" s="16"/>
      <c r="W570" s="16"/>
      <c r="X570" s="16"/>
      <c r="Y570" s="16"/>
      <c r="Z570" s="16"/>
      <c r="AA570" s="16"/>
      <c r="AB570" s="16"/>
      <c r="AC570" s="16"/>
      <c r="AD570" s="16"/>
      <c r="AE570" s="16"/>
      <c r="AF570" s="16"/>
      <c r="AG570" s="16"/>
      <c r="AH570" s="16"/>
      <c r="AI570" s="16"/>
      <c r="AJ570" s="16"/>
    </row>
    <row r="571" ht="12.75" customHeight="1" spans="1:36" x14ac:dyDescent="0.25">
      <c r="A571" s="16"/>
      <c r="B571" s="16"/>
      <c r="C571" s="16"/>
      <c r="D571" s="16"/>
      <c r="E571" s="16"/>
      <c r="F571" s="16"/>
      <c r="G571" s="16"/>
      <c r="H571" s="16"/>
      <c r="I571" s="16"/>
      <c r="J571" s="16"/>
      <c r="K571" s="16"/>
      <c r="L571" s="16"/>
      <c r="M571" s="16"/>
      <c r="N571" s="16"/>
      <c r="O571" s="16"/>
      <c r="P571" s="16"/>
      <c r="Q571" s="16"/>
      <c r="R571" s="16"/>
      <c r="S571" s="16"/>
      <c r="T571" s="16"/>
      <c r="U571" s="16"/>
      <c r="V571" s="16"/>
      <c r="W571" s="16"/>
      <c r="X571" s="16"/>
      <c r="Y571" s="16"/>
      <c r="Z571" s="16"/>
      <c r="AA571" s="16"/>
      <c r="AB571" s="16"/>
      <c r="AC571" s="16"/>
      <c r="AD571" s="16"/>
      <c r="AE571" s="16"/>
      <c r="AF571" s="16"/>
      <c r="AG571" s="16"/>
      <c r="AH571" s="16"/>
      <c r="AI571" s="16"/>
      <c r="AJ571" s="16"/>
    </row>
    <row r="572" ht="12.75" customHeight="1" spans="1:36" x14ac:dyDescent="0.25">
      <c r="A572" s="16"/>
      <c r="B572" s="16"/>
      <c r="C572" s="16"/>
      <c r="D572" s="16"/>
      <c r="E572" s="16"/>
      <c r="F572" s="16"/>
      <c r="G572" s="16"/>
      <c r="H572" s="16"/>
      <c r="I572" s="16"/>
      <c r="J572" s="16"/>
      <c r="K572" s="16"/>
      <c r="L572" s="16"/>
      <c r="M572" s="16"/>
      <c r="N572" s="16"/>
      <c r="O572" s="16"/>
      <c r="P572" s="16"/>
      <c r="Q572" s="16"/>
      <c r="R572" s="16"/>
      <c r="S572" s="16"/>
      <c r="T572" s="16"/>
      <c r="U572" s="16"/>
      <c r="V572" s="16"/>
      <c r="W572" s="16"/>
      <c r="X572" s="16"/>
      <c r="Y572" s="16"/>
      <c r="Z572" s="16"/>
      <c r="AA572" s="16"/>
      <c r="AB572" s="16"/>
      <c r="AC572" s="16"/>
      <c r="AD572" s="16"/>
      <c r="AE572" s="16"/>
      <c r="AF572" s="16"/>
      <c r="AG572" s="16"/>
      <c r="AH572" s="16"/>
      <c r="AI572" s="16"/>
      <c r="AJ572" s="16"/>
    </row>
    <row r="573" ht="12.75" customHeight="1" spans="1:36" x14ac:dyDescent="0.25">
      <c r="A573" s="16"/>
      <c r="B573" s="16"/>
      <c r="C573" s="16"/>
      <c r="D573" s="16"/>
      <c r="E573" s="16"/>
      <c r="F573" s="16"/>
      <c r="G573" s="16"/>
      <c r="H573" s="16"/>
      <c r="I573" s="16"/>
      <c r="J573" s="16"/>
      <c r="K573" s="16"/>
      <c r="L573" s="16"/>
      <c r="M573" s="16"/>
      <c r="N573" s="16"/>
      <c r="O573" s="16"/>
      <c r="P573" s="16"/>
      <c r="Q573" s="16"/>
      <c r="R573" s="16"/>
      <c r="S573" s="16"/>
      <c r="T573" s="16"/>
      <c r="U573" s="16"/>
      <c r="V573" s="16"/>
      <c r="W573" s="16"/>
      <c r="X573" s="16"/>
      <c r="Y573" s="16"/>
      <c r="Z573" s="16"/>
      <c r="AA573" s="16"/>
      <c r="AB573" s="16"/>
      <c r="AC573" s="16"/>
      <c r="AD573" s="16"/>
      <c r="AE573" s="16"/>
      <c r="AF573" s="16"/>
      <c r="AG573" s="16"/>
      <c r="AH573" s="16"/>
      <c r="AI573" s="16"/>
      <c r="AJ573" s="16"/>
    </row>
    <row r="574" ht="12.75" customHeight="1" spans="1:36" x14ac:dyDescent="0.25">
      <c r="A574" s="16"/>
      <c r="B574" s="16"/>
      <c r="C574" s="16"/>
      <c r="D574" s="16"/>
      <c r="E574" s="16"/>
      <c r="F574" s="16"/>
      <c r="G574" s="16"/>
      <c r="H574" s="16"/>
      <c r="I574" s="16"/>
      <c r="J574" s="16"/>
      <c r="K574" s="16"/>
      <c r="L574" s="16"/>
      <c r="M574" s="16"/>
      <c r="N574" s="16"/>
      <c r="O574" s="16"/>
      <c r="P574" s="16"/>
      <c r="Q574" s="16"/>
      <c r="R574" s="16"/>
      <c r="S574" s="16"/>
      <c r="T574" s="16"/>
      <c r="U574" s="16"/>
      <c r="V574" s="16"/>
      <c r="W574" s="16"/>
      <c r="X574" s="16"/>
      <c r="Y574" s="16"/>
      <c r="Z574" s="16"/>
      <c r="AA574" s="16"/>
      <c r="AB574" s="16"/>
      <c r="AC574" s="16"/>
      <c r="AD574" s="16"/>
      <c r="AE574" s="16"/>
      <c r="AF574" s="16"/>
      <c r="AG574" s="16"/>
      <c r="AH574" s="16"/>
      <c r="AI574" s="16"/>
      <c r="AJ574" s="16"/>
    </row>
    <row r="575" ht="12.75" customHeight="1" spans="1:36" x14ac:dyDescent="0.25">
      <c r="A575" s="16"/>
      <c r="B575" s="16"/>
      <c r="C575" s="16"/>
      <c r="D575" s="16"/>
      <c r="E575" s="16"/>
      <c r="F575" s="16"/>
      <c r="G575" s="16"/>
      <c r="H575" s="16"/>
      <c r="I575" s="16"/>
      <c r="J575" s="16"/>
      <c r="K575" s="16"/>
      <c r="L575" s="16"/>
      <c r="M575" s="16"/>
      <c r="N575" s="16"/>
      <c r="O575" s="16"/>
      <c r="P575" s="16"/>
      <c r="Q575" s="16"/>
      <c r="R575" s="16"/>
      <c r="S575" s="16"/>
      <c r="T575" s="16"/>
      <c r="U575" s="16"/>
      <c r="V575" s="16"/>
      <c r="W575" s="16"/>
      <c r="X575" s="16"/>
      <c r="Y575" s="16"/>
      <c r="Z575" s="16"/>
      <c r="AA575" s="16"/>
      <c r="AB575" s="16"/>
      <c r="AC575" s="16"/>
      <c r="AD575" s="16"/>
      <c r="AE575" s="16"/>
      <c r="AF575" s="16"/>
      <c r="AG575" s="16"/>
      <c r="AH575" s="16"/>
      <c r="AI575" s="16"/>
      <c r="AJ575" s="16"/>
    </row>
    <row r="576" ht="12.75" customHeight="1" spans="1:36" x14ac:dyDescent="0.25">
      <c r="A576" s="16"/>
      <c r="B576" s="16"/>
      <c r="C576" s="16"/>
      <c r="D576" s="16"/>
      <c r="E576" s="16"/>
      <c r="F576" s="16"/>
      <c r="G576" s="16"/>
      <c r="H576" s="16"/>
      <c r="I576" s="16"/>
      <c r="J576" s="16"/>
      <c r="K576" s="16"/>
      <c r="L576" s="16"/>
      <c r="M576" s="16"/>
      <c r="N576" s="16"/>
      <c r="O576" s="16"/>
      <c r="P576" s="16"/>
      <c r="Q576" s="16"/>
      <c r="R576" s="16"/>
      <c r="S576" s="16"/>
      <c r="T576" s="16"/>
      <c r="U576" s="16"/>
      <c r="V576" s="16"/>
      <c r="W576" s="16"/>
      <c r="X576" s="16"/>
      <c r="Y576" s="16"/>
      <c r="Z576" s="16"/>
      <c r="AA576" s="16"/>
      <c r="AB576" s="16"/>
      <c r="AC576" s="16"/>
      <c r="AD576" s="16"/>
      <c r="AE576" s="16"/>
      <c r="AF576" s="16"/>
      <c r="AG576" s="16"/>
      <c r="AH576" s="16"/>
      <c r="AI576" s="16"/>
      <c r="AJ576" s="16"/>
    </row>
    <row r="577" ht="12.75" customHeight="1" spans="1:36" x14ac:dyDescent="0.25">
      <c r="A577" s="16"/>
      <c r="B577" s="16"/>
      <c r="C577" s="16"/>
      <c r="D577" s="16"/>
      <c r="E577" s="16"/>
      <c r="F577" s="16"/>
      <c r="G577" s="16"/>
      <c r="H577" s="16"/>
      <c r="I577" s="16"/>
      <c r="J577" s="16"/>
      <c r="K577" s="16"/>
      <c r="L577" s="16"/>
      <c r="M577" s="16"/>
      <c r="N577" s="16"/>
      <c r="O577" s="16"/>
      <c r="P577" s="16"/>
      <c r="Q577" s="16"/>
      <c r="R577" s="16"/>
      <c r="S577" s="16"/>
      <c r="T577" s="16"/>
      <c r="U577" s="16"/>
      <c r="V577" s="16"/>
      <c r="W577" s="16"/>
      <c r="X577" s="16"/>
      <c r="Y577" s="16"/>
      <c r="Z577" s="16"/>
      <c r="AA577" s="16"/>
      <c r="AB577" s="16"/>
      <c r="AC577" s="16"/>
      <c r="AD577" s="16"/>
      <c r="AE577" s="16"/>
      <c r="AF577" s="16"/>
      <c r="AG577" s="16"/>
      <c r="AH577" s="16"/>
      <c r="AI577" s="16"/>
      <c r="AJ577" s="16"/>
    </row>
    <row r="578" ht="12.75" customHeight="1" spans="1:36" x14ac:dyDescent="0.25">
      <c r="A578" s="16"/>
      <c r="B578" s="16"/>
      <c r="C578" s="16"/>
      <c r="D578" s="16"/>
      <c r="E578" s="16"/>
      <c r="F578" s="16"/>
      <c r="G578" s="16"/>
      <c r="H578" s="16"/>
      <c r="I578" s="16"/>
      <c r="J578" s="16"/>
      <c r="K578" s="16"/>
      <c r="L578" s="16"/>
      <c r="M578" s="16"/>
      <c r="N578" s="16"/>
      <c r="O578" s="16"/>
      <c r="P578" s="16"/>
      <c r="Q578" s="16"/>
      <c r="R578" s="16"/>
      <c r="S578" s="16"/>
      <c r="T578" s="16"/>
      <c r="U578" s="16"/>
      <c r="V578" s="16"/>
      <c r="W578" s="16"/>
      <c r="X578" s="16"/>
      <c r="Y578" s="16"/>
      <c r="Z578" s="16"/>
      <c r="AA578" s="16"/>
      <c r="AB578" s="16"/>
      <c r="AC578" s="16"/>
      <c r="AD578" s="16"/>
      <c r="AE578" s="16"/>
      <c r="AF578" s="16"/>
      <c r="AG578" s="16"/>
      <c r="AH578" s="16"/>
      <c r="AI578" s="16"/>
      <c r="AJ578" s="16"/>
    </row>
    <row r="579" ht="12.75" customHeight="1" spans="1:36" x14ac:dyDescent="0.25">
      <c r="A579" s="16"/>
      <c r="B579" s="16"/>
      <c r="C579" s="16"/>
      <c r="D579" s="16"/>
      <c r="E579" s="16"/>
      <c r="F579" s="16"/>
      <c r="G579" s="16"/>
      <c r="H579" s="16"/>
      <c r="I579" s="16"/>
      <c r="J579" s="16"/>
      <c r="K579" s="16"/>
      <c r="L579" s="16"/>
      <c r="M579" s="16"/>
      <c r="N579" s="16"/>
      <c r="O579" s="16"/>
      <c r="P579" s="16"/>
      <c r="Q579" s="16"/>
      <c r="R579" s="16"/>
      <c r="S579" s="16"/>
      <c r="T579" s="16"/>
      <c r="U579" s="16"/>
      <c r="V579" s="16"/>
      <c r="W579" s="16"/>
      <c r="X579" s="16"/>
      <c r="Y579" s="16"/>
      <c r="Z579" s="16"/>
      <c r="AA579" s="16"/>
      <c r="AB579" s="16"/>
      <c r="AC579" s="16"/>
      <c r="AD579" s="16"/>
      <c r="AE579" s="16"/>
      <c r="AF579" s="16"/>
      <c r="AG579" s="16"/>
      <c r="AH579" s="16"/>
      <c r="AI579" s="16"/>
      <c r="AJ579" s="16"/>
    </row>
    <row r="580" ht="12.75" customHeight="1" spans="1:36" x14ac:dyDescent="0.25">
      <c r="A580" s="16"/>
      <c r="B580" s="16"/>
      <c r="C580" s="16"/>
      <c r="D580" s="16"/>
      <c r="E580" s="16"/>
      <c r="F580" s="16"/>
      <c r="G580" s="16"/>
      <c r="H580" s="16"/>
      <c r="I580" s="16"/>
      <c r="J580" s="16"/>
      <c r="K580" s="16"/>
      <c r="L580" s="16"/>
      <c r="M580" s="16"/>
      <c r="N580" s="16"/>
      <c r="O580" s="16"/>
      <c r="P580" s="16"/>
      <c r="Q580" s="16"/>
      <c r="R580" s="16"/>
      <c r="S580" s="16"/>
      <c r="T580" s="16"/>
      <c r="U580" s="16"/>
      <c r="V580" s="16"/>
      <c r="W580" s="16"/>
      <c r="X580" s="16"/>
      <c r="Y580" s="16"/>
      <c r="Z580" s="16"/>
      <c r="AA580" s="16"/>
      <c r="AB580" s="16"/>
      <c r="AC580" s="16"/>
      <c r="AD580" s="16"/>
      <c r="AE580" s="16"/>
      <c r="AF580" s="16"/>
      <c r="AG580" s="16"/>
      <c r="AH580" s="16"/>
      <c r="AI580" s="16"/>
      <c r="AJ580" s="16"/>
    </row>
    <row r="581" ht="12.75" customHeight="1" spans="1:36" x14ac:dyDescent="0.25">
      <c r="A581" s="16"/>
      <c r="B581" s="16"/>
      <c r="C581" s="16"/>
      <c r="D581" s="16"/>
      <c r="E581" s="16"/>
      <c r="F581" s="16"/>
      <c r="G581" s="16"/>
      <c r="H581" s="16"/>
      <c r="I581" s="16"/>
      <c r="J581" s="16"/>
      <c r="K581" s="16"/>
      <c r="L581" s="16"/>
      <c r="M581" s="16"/>
      <c r="N581" s="16"/>
      <c r="O581" s="16"/>
      <c r="P581" s="16"/>
      <c r="Q581" s="16"/>
      <c r="R581" s="16"/>
      <c r="S581" s="16"/>
      <c r="T581" s="16"/>
      <c r="U581" s="16"/>
      <c r="V581" s="16"/>
      <c r="W581" s="16"/>
      <c r="X581" s="16"/>
      <c r="Y581" s="16"/>
      <c r="Z581" s="16"/>
      <c r="AA581" s="16"/>
      <c r="AB581" s="16"/>
      <c r="AC581" s="16"/>
      <c r="AD581" s="16"/>
      <c r="AE581" s="16"/>
      <c r="AF581" s="16"/>
      <c r="AG581" s="16"/>
      <c r="AH581" s="16"/>
      <c r="AI581" s="16"/>
      <c r="AJ581" s="16"/>
    </row>
    <row r="582" ht="12.75" customHeight="1" spans="1:36" x14ac:dyDescent="0.25">
      <c r="A582" s="16"/>
      <c r="B582" s="16"/>
      <c r="C582" s="16"/>
      <c r="D582" s="16"/>
      <c r="E582" s="16"/>
      <c r="F582" s="16"/>
      <c r="G582" s="16"/>
      <c r="H582" s="16"/>
      <c r="I582" s="16"/>
      <c r="J582" s="16"/>
      <c r="K582" s="16"/>
      <c r="L582" s="16"/>
      <c r="M582" s="16"/>
      <c r="N582" s="16"/>
      <c r="O582" s="16"/>
      <c r="P582" s="16"/>
      <c r="Q582" s="16"/>
      <c r="R582" s="16"/>
      <c r="S582" s="16"/>
      <c r="T582" s="16"/>
      <c r="U582" s="16"/>
      <c r="V582" s="16"/>
      <c r="W582" s="16"/>
      <c r="X582" s="16"/>
      <c r="Y582" s="16"/>
      <c r="Z582" s="16"/>
      <c r="AA582" s="16"/>
      <c r="AB582" s="16"/>
      <c r="AC582" s="16"/>
      <c r="AD582" s="16"/>
      <c r="AE582" s="16"/>
      <c r="AF582" s="16"/>
      <c r="AG582" s="16"/>
      <c r="AH582" s="16"/>
      <c r="AI582" s="16"/>
      <c r="AJ582" s="16"/>
    </row>
    <row r="583" ht="12.75" customHeight="1" spans="1:36" x14ac:dyDescent="0.25">
      <c r="A583" s="16"/>
      <c r="B583" s="16"/>
      <c r="C583" s="16"/>
      <c r="D583" s="16"/>
      <c r="E583" s="16"/>
      <c r="F583" s="16"/>
      <c r="G583" s="16"/>
      <c r="H583" s="16"/>
      <c r="I583" s="16"/>
      <c r="J583" s="16"/>
      <c r="K583" s="16"/>
      <c r="L583" s="16"/>
      <c r="M583" s="16"/>
      <c r="N583" s="16"/>
      <c r="O583" s="16"/>
      <c r="P583" s="16"/>
      <c r="Q583" s="16"/>
      <c r="R583" s="16"/>
      <c r="S583" s="16"/>
      <c r="T583" s="16"/>
      <c r="U583" s="16"/>
      <c r="V583" s="16"/>
      <c r="W583" s="16"/>
      <c r="X583" s="16"/>
      <c r="Y583" s="16"/>
      <c r="Z583" s="16"/>
      <c r="AA583" s="16"/>
      <c r="AB583" s="16"/>
      <c r="AC583" s="16"/>
      <c r="AD583" s="16"/>
      <c r="AE583" s="16"/>
      <c r="AF583" s="16"/>
      <c r="AG583" s="16"/>
      <c r="AH583" s="16"/>
      <c r="AI583" s="16"/>
      <c r="AJ583" s="16"/>
    </row>
    <row r="584" ht="12.75" customHeight="1" spans="1:36" x14ac:dyDescent="0.25">
      <c r="A584" s="16"/>
      <c r="B584" s="16"/>
      <c r="C584" s="16"/>
      <c r="D584" s="16"/>
      <c r="E584" s="16"/>
      <c r="F584" s="16"/>
      <c r="G584" s="16"/>
      <c r="H584" s="16"/>
      <c r="I584" s="16"/>
      <c r="J584" s="16"/>
      <c r="K584" s="16"/>
      <c r="L584" s="16"/>
      <c r="M584" s="16"/>
      <c r="N584" s="16"/>
      <c r="O584" s="16"/>
      <c r="P584" s="16"/>
      <c r="Q584" s="16"/>
      <c r="R584" s="16"/>
      <c r="S584" s="16"/>
      <c r="T584" s="16"/>
      <c r="U584" s="16"/>
      <c r="V584" s="16"/>
      <c r="W584" s="16"/>
      <c r="X584" s="16"/>
      <c r="Y584" s="16"/>
      <c r="Z584" s="16"/>
      <c r="AA584" s="16"/>
      <c r="AB584" s="16"/>
      <c r="AC584" s="16"/>
      <c r="AD584" s="16"/>
      <c r="AE584" s="16"/>
      <c r="AF584" s="16"/>
      <c r="AG584" s="16"/>
      <c r="AH584" s="16"/>
      <c r="AI584" s="16"/>
      <c r="AJ584" s="16"/>
    </row>
    <row r="585" ht="12.75" customHeight="1" spans="1:36" x14ac:dyDescent="0.25">
      <c r="A585" s="16"/>
      <c r="B585" s="16"/>
      <c r="C585" s="16"/>
      <c r="D585" s="16"/>
      <c r="E585" s="16"/>
      <c r="F585" s="16"/>
      <c r="G585" s="16"/>
      <c r="H585" s="16"/>
      <c r="I585" s="16"/>
      <c r="J585" s="16"/>
      <c r="K585" s="16"/>
      <c r="L585" s="16"/>
      <c r="M585" s="16"/>
      <c r="N585" s="16"/>
      <c r="O585" s="16"/>
      <c r="P585" s="16"/>
      <c r="Q585" s="16"/>
      <c r="R585" s="16"/>
      <c r="S585" s="16"/>
      <c r="T585" s="16"/>
      <c r="U585" s="16"/>
      <c r="V585" s="16"/>
      <c r="W585" s="16"/>
      <c r="X585" s="16"/>
      <c r="Y585" s="16"/>
      <c r="Z585" s="16"/>
      <c r="AA585" s="16"/>
      <c r="AB585" s="16"/>
      <c r="AC585" s="16"/>
      <c r="AD585" s="16"/>
      <c r="AE585" s="16"/>
      <c r="AF585" s="16"/>
      <c r="AG585" s="16"/>
      <c r="AH585" s="16"/>
      <c r="AI585" s="16"/>
      <c r="AJ585" s="16"/>
    </row>
    <row r="586" ht="12.75" customHeight="1" spans="1:36" x14ac:dyDescent="0.25">
      <c r="A586" s="16"/>
      <c r="B586" s="16"/>
      <c r="C586" s="16"/>
      <c r="D586" s="16"/>
      <c r="E586" s="16"/>
      <c r="F586" s="16"/>
      <c r="G586" s="16"/>
      <c r="H586" s="16"/>
      <c r="I586" s="16"/>
      <c r="J586" s="16"/>
      <c r="K586" s="16"/>
      <c r="L586" s="16"/>
      <c r="M586" s="16"/>
      <c r="N586" s="16"/>
      <c r="O586" s="16"/>
      <c r="P586" s="16"/>
      <c r="Q586" s="16"/>
      <c r="R586" s="16"/>
      <c r="S586" s="16"/>
      <c r="T586" s="16"/>
      <c r="U586" s="16"/>
      <c r="V586" s="16"/>
      <c r="W586" s="16"/>
      <c r="X586" s="16"/>
      <c r="Y586" s="16"/>
      <c r="Z586" s="16"/>
      <c r="AA586" s="16"/>
      <c r="AB586" s="16"/>
      <c r="AC586" s="16"/>
      <c r="AD586" s="16"/>
      <c r="AE586" s="16"/>
      <c r="AF586" s="16"/>
      <c r="AG586" s="16"/>
      <c r="AH586" s="16"/>
      <c r="AI586" s="16"/>
      <c r="AJ586" s="16"/>
    </row>
    <row r="587" ht="12.75" customHeight="1" spans="1:36" x14ac:dyDescent="0.25">
      <c r="A587" s="16"/>
      <c r="B587" s="16"/>
      <c r="C587" s="16"/>
      <c r="D587" s="16"/>
      <c r="E587" s="16"/>
      <c r="F587" s="16"/>
      <c r="G587" s="16"/>
      <c r="H587" s="16"/>
      <c r="I587" s="16"/>
      <c r="J587" s="16"/>
      <c r="K587" s="16"/>
      <c r="L587" s="16"/>
      <c r="M587" s="16"/>
      <c r="N587" s="16"/>
      <c r="O587" s="16"/>
      <c r="P587" s="16"/>
      <c r="Q587" s="16"/>
      <c r="R587" s="16"/>
      <c r="S587" s="16"/>
      <c r="T587" s="16"/>
      <c r="U587" s="16"/>
      <c r="V587" s="16"/>
      <c r="W587" s="16"/>
      <c r="X587" s="16"/>
      <c r="Y587" s="16"/>
      <c r="Z587" s="16"/>
      <c r="AA587" s="16"/>
      <c r="AB587" s="16"/>
      <c r="AC587" s="16"/>
      <c r="AD587" s="16"/>
      <c r="AE587" s="16"/>
      <c r="AF587" s="16"/>
      <c r="AG587" s="16"/>
      <c r="AH587" s="16"/>
      <c r="AI587" s="16"/>
      <c r="AJ587" s="16"/>
    </row>
    <row r="588" ht="12.75" customHeight="1" spans="1:36" x14ac:dyDescent="0.25">
      <c r="A588" s="16"/>
      <c r="B588" s="16"/>
      <c r="C588" s="16"/>
      <c r="D588" s="16"/>
      <c r="E588" s="16"/>
      <c r="F588" s="16"/>
      <c r="G588" s="16"/>
      <c r="H588" s="16"/>
      <c r="I588" s="16"/>
      <c r="J588" s="16"/>
      <c r="K588" s="16"/>
      <c r="L588" s="16"/>
      <c r="M588" s="16"/>
      <c r="N588" s="16"/>
      <c r="O588" s="16"/>
      <c r="P588" s="16"/>
      <c r="Q588" s="16"/>
      <c r="R588" s="16"/>
      <c r="S588" s="16"/>
      <c r="T588" s="16"/>
      <c r="U588" s="16"/>
      <c r="V588" s="16"/>
      <c r="W588" s="16"/>
      <c r="X588" s="16"/>
      <c r="Y588" s="16"/>
      <c r="Z588" s="16"/>
      <c r="AA588" s="16"/>
      <c r="AB588" s="16"/>
      <c r="AC588" s="16"/>
      <c r="AD588" s="16"/>
      <c r="AE588" s="16"/>
      <c r="AF588" s="16"/>
      <c r="AG588" s="16"/>
      <c r="AH588" s="16"/>
      <c r="AI588" s="16"/>
      <c r="AJ588" s="16"/>
    </row>
    <row r="589" ht="12.75" customHeight="1" spans="1:36" x14ac:dyDescent="0.25">
      <c r="A589" s="16"/>
      <c r="B589" s="16"/>
      <c r="C589" s="16"/>
      <c r="D589" s="16"/>
      <c r="E589" s="16"/>
      <c r="F589" s="16"/>
      <c r="G589" s="16"/>
      <c r="H589" s="16"/>
      <c r="I589" s="16"/>
      <c r="J589" s="16"/>
      <c r="K589" s="16"/>
      <c r="L589" s="16"/>
      <c r="M589" s="16"/>
      <c r="N589" s="16"/>
      <c r="O589" s="16"/>
      <c r="P589" s="16"/>
      <c r="Q589" s="16"/>
      <c r="R589" s="16"/>
      <c r="S589" s="16"/>
      <c r="T589" s="16"/>
      <c r="U589" s="16"/>
      <c r="V589" s="16"/>
      <c r="W589" s="16"/>
      <c r="X589" s="16"/>
      <c r="Y589" s="16"/>
      <c r="Z589" s="16"/>
      <c r="AA589" s="16"/>
      <c r="AB589" s="16"/>
      <c r="AC589" s="16"/>
      <c r="AD589" s="16"/>
      <c r="AE589" s="16"/>
      <c r="AF589" s="16"/>
      <c r="AG589" s="16"/>
      <c r="AH589" s="16"/>
      <c r="AI589" s="16"/>
      <c r="AJ589" s="16"/>
    </row>
    <row r="590" ht="12.75" customHeight="1" spans="1:36" x14ac:dyDescent="0.25">
      <c r="A590" s="16"/>
      <c r="B590" s="16"/>
      <c r="C590" s="16"/>
      <c r="D590" s="16"/>
      <c r="E590" s="16"/>
      <c r="F590" s="16"/>
      <c r="G590" s="16"/>
      <c r="H590" s="16"/>
      <c r="I590" s="16"/>
      <c r="J590" s="16"/>
      <c r="K590" s="16"/>
      <c r="L590" s="16"/>
      <c r="M590" s="16"/>
      <c r="N590" s="16"/>
      <c r="O590" s="16"/>
      <c r="P590" s="16"/>
      <c r="Q590" s="16"/>
      <c r="R590" s="16"/>
      <c r="S590" s="16"/>
      <c r="T590" s="16"/>
      <c r="U590" s="16"/>
      <c r="V590" s="16"/>
      <c r="W590" s="16"/>
      <c r="X590" s="16"/>
      <c r="Y590" s="16"/>
      <c r="Z590" s="16"/>
      <c r="AA590" s="16"/>
      <c r="AB590" s="16"/>
      <c r="AC590" s="16"/>
      <c r="AD590" s="16"/>
      <c r="AE590" s="16"/>
      <c r="AF590" s="16"/>
      <c r="AG590" s="16"/>
      <c r="AH590" s="16"/>
      <c r="AI590" s="16"/>
      <c r="AJ590" s="16"/>
    </row>
    <row r="591" ht="12.75" customHeight="1" spans="1:36" x14ac:dyDescent="0.25">
      <c r="A591" s="16"/>
      <c r="B591" s="16"/>
      <c r="C591" s="16"/>
      <c r="D591" s="16"/>
      <c r="E591" s="16"/>
      <c r="F591" s="16"/>
      <c r="G591" s="16"/>
      <c r="H591" s="16"/>
      <c r="I591" s="16"/>
      <c r="J591" s="16"/>
      <c r="K591" s="16"/>
      <c r="L591" s="16"/>
      <c r="M591" s="16"/>
      <c r="N591" s="16"/>
      <c r="O591" s="16"/>
      <c r="P591" s="16"/>
      <c r="Q591" s="16"/>
      <c r="R591" s="16"/>
      <c r="S591" s="16"/>
      <c r="T591" s="16"/>
      <c r="U591" s="16"/>
      <c r="V591" s="16"/>
      <c r="W591" s="16"/>
      <c r="X591" s="16"/>
      <c r="Y591" s="16"/>
      <c r="Z591" s="16"/>
      <c r="AA591" s="16"/>
      <c r="AB591" s="16"/>
      <c r="AC591" s="16"/>
      <c r="AD591" s="16"/>
      <c r="AE591" s="16"/>
      <c r="AF591" s="16"/>
      <c r="AG591" s="16"/>
      <c r="AH591" s="16"/>
      <c r="AI591" s="16"/>
      <c r="AJ591" s="16"/>
    </row>
    <row r="592" ht="12.75" customHeight="1" spans="1:36" x14ac:dyDescent="0.25">
      <c r="A592" s="16"/>
      <c r="B592" s="16"/>
      <c r="C592" s="16"/>
      <c r="D592" s="16"/>
      <c r="E592" s="16"/>
      <c r="F592" s="16"/>
      <c r="G592" s="16"/>
      <c r="H592" s="16"/>
      <c r="I592" s="16"/>
      <c r="J592" s="16"/>
      <c r="K592" s="16"/>
      <c r="L592" s="16"/>
      <c r="M592" s="16"/>
      <c r="N592" s="16"/>
      <c r="O592" s="16"/>
      <c r="P592" s="16"/>
      <c r="Q592" s="16"/>
      <c r="R592" s="16"/>
      <c r="S592" s="16"/>
      <c r="T592" s="16"/>
      <c r="U592" s="16"/>
      <c r="V592" s="16"/>
      <c r="W592" s="16"/>
      <c r="X592" s="16"/>
      <c r="Y592" s="16"/>
      <c r="Z592" s="16"/>
      <c r="AA592" s="16"/>
      <c r="AB592" s="16"/>
      <c r="AC592" s="16"/>
      <c r="AD592" s="16"/>
      <c r="AE592" s="16"/>
      <c r="AF592" s="16"/>
      <c r="AG592" s="16"/>
      <c r="AH592" s="16"/>
      <c r="AI592" s="16"/>
      <c r="AJ592" s="16"/>
    </row>
    <row r="593" ht="12.75" customHeight="1" spans="1:36" x14ac:dyDescent="0.25">
      <c r="A593" s="16"/>
      <c r="B593" s="16"/>
      <c r="C593" s="16"/>
      <c r="D593" s="16"/>
      <c r="E593" s="16"/>
      <c r="F593" s="16"/>
      <c r="G593" s="16"/>
      <c r="H593" s="16"/>
      <c r="I593" s="16"/>
      <c r="J593" s="16"/>
      <c r="K593" s="16"/>
      <c r="L593" s="16"/>
      <c r="M593" s="16"/>
      <c r="N593" s="16"/>
      <c r="O593" s="16"/>
      <c r="P593" s="16"/>
      <c r="Q593" s="16"/>
      <c r="R593" s="16"/>
      <c r="S593" s="16"/>
      <c r="T593" s="16"/>
      <c r="U593" s="16"/>
      <c r="V593" s="16"/>
      <c r="W593" s="16"/>
      <c r="X593" s="16"/>
      <c r="Y593" s="16"/>
      <c r="Z593" s="16"/>
      <c r="AA593" s="16"/>
      <c r="AB593" s="16"/>
      <c r="AC593" s="16"/>
      <c r="AD593" s="16"/>
      <c r="AE593" s="16"/>
      <c r="AF593" s="16"/>
      <c r="AG593" s="16"/>
      <c r="AH593" s="16"/>
      <c r="AI593" s="16"/>
      <c r="AJ593" s="16"/>
    </row>
    <row r="594" ht="12.75" customHeight="1" spans="1:36" x14ac:dyDescent="0.25">
      <c r="A594" s="16"/>
      <c r="B594" s="16"/>
      <c r="C594" s="16"/>
      <c r="D594" s="16"/>
      <c r="E594" s="16"/>
      <c r="F594" s="16"/>
      <c r="G594" s="16"/>
      <c r="H594" s="16"/>
      <c r="I594" s="16"/>
      <c r="J594" s="16"/>
      <c r="K594" s="16"/>
      <c r="L594" s="16"/>
      <c r="M594" s="16"/>
      <c r="N594" s="16"/>
      <c r="O594" s="16"/>
      <c r="P594" s="16"/>
      <c r="Q594" s="16"/>
      <c r="R594" s="16"/>
      <c r="S594" s="16"/>
      <c r="T594" s="16"/>
      <c r="U594" s="16"/>
      <c r="V594" s="16"/>
      <c r="W594" s="16"/>
      <c r="X594" s="16"/>
      <c r="Y594" s="16"/>
      <c r="Z594" s="16"/>
      <c r="AA594" s="16"/>
      <c r="AB594" s="16"/>
      <c r="AC594" s="16"/>
      <c r="AD594" s="16"/>
      <c r="AE594" s="16"/>
      <c r="AF594" s="16"/>
      <c r="AG594" s="16"/>
      <c r="AH594" s="16"/>
      <c r="AI594" s="16"/>
      <c r="AJ594" s="16"/>
    </row>
    <row r="595" ht="12.75" customHeight="1" spans="1:36" x14ac:dyDescent="0.25">
      <c r="A595" s="16"/>
      <c r="B595" s="16"/>
      <c r="C595" s="16"/>
      <c r="D595" s="16"/>
      <c r="E595" s="16"/>
      <c r="F595" s="16"/>
      <c r="G595" s="16"/>
      <c r="H595" s="16"/>
      <c r="I595" s="16"/>
      <c r="J595" s="16"/>
      <c r="K595" s="16"/>
      <c r="L595" s="16"/>
      <c r="M595" s="16"/>
      <c r="N595" s="16"/>
      <c r="O595" s="16"/>
      <c r="P595" s="16"/>
      <c r="Q595" s="16"/>
      <c r="R595" s="16"/>
      <c r="S595" s="16"/>
      <c r="T595" s="16"/>
      <c r="U595" s="16"/>
      <c r="V595" s="16"/>
      <c r="W595" s="16"/>
      <c r="X595" s="16"/>
      <c r="Y595" s="16"/>
      <c r="Z595" s="16"/>
      <c r="AA595" s="16"/>
      <c r="AB595" s="16"/>
      <c r="AC595" s="16"/>
      <c r="AD595" s="16"/>
      <c r="AE595" s="16"/>
      <c r="AF595" s="16"/>
      <c r="AG595" s="16"/>
      <c r="AH595" s="16"/>
      <c r="AI595" s="16"/>
      <c r="AJ595" s="16"/>
    </row>
    <row r="596" ht="12.75" customHeight="1" spans="1:36" x14ac:dyDescent="0.25">
      <c r="A596" s="16"/>
      <c r="B596" s="16"/>
      <c r="C596" s="16"/>
      <c r="D596" s="16"/>
      <c r="E596" s="16"/>
      <c r="F596" s="16"/>
      <c r="G596" s="16"/>
      <c r="H596" s="16"/>
      <c r="I596" s="16"/>
      <c r="J596" s="16"/>
      <c r="K596" s="16"/>
      <c r="L596" s="16"/>
      <c r="M596" s="16"/>
      <c r="N596" s="16"/>
      <c r="O596" s="16"/>
      <c r="P596" s="16"/>
      <c r="Q596" s="16"/>
      <c r="R596" s="16"/>
      <c r="S596" s="16"/>
      <c r="T596" s="16"/>
      <c r="U596" s="16"/>
      <c r="V596" s="16"/>
      <c r="W596" s="16"/>
      <c r="X596" s="16"/>
      <c r="Y596" s="16"/>
      <c r="Z596" s="16"/>
      <c r="AA596" s="16"/>
      <c r="AB596" s="16"/>
      <c r="AC596" s="16"/>
      <c r="AD596" s="16"/>
      <c r="AE596" s="16"/>
      <c r="AF596" s="16"/>
      <c r="AG596" s="16"/>
      <c r="AH596" s="16"/>
      <c r="AI596" s="16"/>
      <c r="AJ596" s="16"/>
    </row>
    <row r="597" ht="12.75" customHeight="1" spans="1:36" x14ac:dyDescent="0.25">
      <c r="A597" s="16"/>
      <c r="B597" s="16"/>
      <c r="C597" s="16"/>
      <c r="D597" s="16"/>
      <c r="E597" s="16"/>
      <c r="F597" s="16"/>
      <c r="G597" s="16"/>
      <c r="H597" s="16"/>
      <c r="I597" s="16"/>
      <c r="J597" s="16"/>
      <c r="K597" s="16"/>
      <c r="L597" s="16"/>
      <c r="M597" s="16"/>
      <c r="N597" s="16"/>
      <c r="O597" s="16"/>
      <c r="P597" s="16"/>
      <c r="Q597" s="16"/>
      <c r="R597" s="16"/>
      <c r="S597" s="16"/>
      <c r="T597" s="16"/>
      <c r="U597" s="16"/>
      <c r="V597" s="16"/>
      <c r="W597" s="16"/>
      <c r="X597" s="16"/>
      <c r="Y597" s="16"/>
      <c r="Z597" s="16"/>
      <c r="AA597" s="16"/>
      <c r="AB597" s="16"/>
      <c r="AC597" s="16"/>
      <c r="AD597" s="16"/>
      <c r="AE597" s="16"/>
      <c r="AF597" s="16"/>
      <c r="AG597" s="16"/>
      <c r="AH597" s="16"/>
      <c r="AI597" s="16"/>
      <c r="AJ597" s="16"/>
    </row>
    <row r="598" ht="12.75" customHeight="1" spans="1:36" x14ac:dyDescent="0.25">
      <c r="A598" s="16"/>
      <c r="B598" s="16"/>
      <c r="C598" s="16"/>
      <c r="D598" s="16"/>
      <c r="E598" s="16"/>
      <c r="F598" s="16"/>
      <c r="G598" s="16"/>
      <c r="H598" s="16"/>
      <c r="I598" s="16"/>
      <c r="J598" s="16"/>
      <c r="K598" s="16"/>
      <c r="L598" s="16"/>
      <c r="M598" s="16"/>
      <c r="N598" s="16"/>
      <c r="O598" s="16"/>
      <c r="P598" s="16"/>
      <c r="Q598" s="16"/>
      <c r="R598" s="16"/>
      <c r="S598" s="16"/>
      <c r="T598" s="16"/>
      <c r="U598" s="16"/>
      <c r="V598" s="16"/>
      <c r="W598" s="16"/>
      <c r="X598" s="16"/>
      <c r="Y598" s="16"/>
      <c r="Z598" s="16"/>
      <c r="AA598" s="16"/>
      <c r="AB598" s="16"/>
      <c r="AC598" s="16"/>
      <c r="AD598" s="16"/>
      <c r="AE598" s="16"/>
      <c r="AF598" s="16"/>
      <c r="AG598" s="16"/>
      <c r="AH598" s="16"/>
      <c r="AI598" s="16"/>
      <c r="AJ598" s="16"/>
    </row>
    <row r="599" ht="12.75" customHeight="1" spans="1:36" x14ac:dyDescent="0.25">
      <c r="A599" s="16"/>
      <c r="B599" s="16"/>
      <c r="C599" s="16"/>
      <c r="D599" s="16"/>
      <c r="E599" s="16"/>
      <c r="F599" s="16"/>
      <c r="G599" s="16"/>
      <c r="H599" s="16"/>
      <c r="I599" s="16"/>
      <c r="J599" s="16"/>
      <c r="K599" s="16"/>
      <c r="L599" s="16"/>
      <c r="M599" s="16"/>
      <c r="N599" s="16"/>
      <c r="O599" s="16"/>
      <c r="P599" s="16"/>
      <c r="Q599" s="16"/>
      <c r="R599" s="16"/>
      <c r="S599" s="16"/>
      <c r="T599" s="16"/>
      <c r="U599" s="16"/>
      <c r="V599" s="16"/>
      <c r="W599" s="16"/>
      <c r="X599" s="16"/>
      <c r="Y599" s="16"/>
      <c r="Z599" s="16"/>
      <c r="AA599" s="16"/>
      <c r="AB599" s="16"/>
      <c r="AC599" s="16"/>
      <c r="AD599" s="16"/>
      <c r="AE599" s="16"/>
      <c r="AF599" s="16"/>
      <c r="AG599" s="16"/>
      <c r="AH599" s="16"/>
      <c r="AI599" s="16"/>
      <c r="AJ599" s="16"/>
    </row>
    <row r="600" ht="12.75" customHeight="1" spans="1:36" x14ac:dyDescent="0.25">
      <c r="A600" s="16"/>
      <c r="B600" s="16"/>
      <c r="C600" s="16"/>
      <c r="D600" s="16"/>
      <c r="E600" s="16"/>
      <c r="F600" s="16"/>
      <c r="G600" s="16"/>
      <c r="H600" s="16"/>
      <c r="I600" s="16"/>
      <c r="J600" s="16"/>
      <c r="K600" s="16"/>
      <c r="L600" s="16"/>
      <c r="M600" s="16"/>
      <c r="N600" s="16"/>
      <c r="O600" s="16"/>
      <c r="P600" s="16"/>
      <c r="Q600" s="16"/>
      <c r="R600" s="16"/>
      <c r="S600" s="16"/>
      <c r="T600" s="16"/>
      <c r="U600" s="16"/>
      <c r="V600" s="16"/>
      <c r="W600" s="16"/>
      <c r="X600" s="16"/>
      <c r="Y600" s="16"/>
      <c r="Z600" s="16"/>
      <c r="AA600" s="16"/>
      <c r="AB600" s="16"/>
      <c r="AC600" s="16"/>
      <c r="AD600" s="16"/>
      <c r="AE600" s="16"/>
      <c r="AF600" s="16"/>
      <c r="AG600" s="16"/>
      <c r="AH600" s="16"/>
      <c r="AI600" s="16"/>
      <c r="AJ600" s="16"/>
    </row>
    <row r="601" ht="12.75" customHeight="1" spans="1:36" x14ac:dyDescent="0.25">
      <c r="A601" s="16"/>
      <c r="B601" s="16"/>
      <c r="C601" s="16"/>
      <c r="D601" s="16"/>
      <c r="E601" s="16"/>
      <c r="F601" s="16"/>
      <c r="G601" s="16"/>
      <c r="H601" s="16"/>
      <c r="I601" s="16"/>
      <c r="J601" s="16"/>
      <c r="K601" s="16"/>
      <c r="L601" s="16"/>
      <c r="M601" s="16"/>
      <c r="N601" s="16"/>
      <c r="O601" s="16"/>
      <c r="P601" s="16"/>
      <c r="Q601" s="16"/>
      <c r="R601" s="16"/>
      <c r="S601" s="16"/>
      <c r="T601" s="16"/>
      <c r="U601" s="16"/>
      <c r="V601" s="16"/>
      <c r="W601" s="16"/>
      <c r="X601" s="16"/>
      <c r="Y601" s="16"/>
      <c r="Z601" s="16"/>
      <c r="AA601" s="16"/>
      <c r="AB601" s="16"/>
      <c r="AC601" s="16"/>
      <c r="AD601" s="16"/>
      <c r="AE601" s="16"/>
      <c r="AF601" s="16"/>
      <c r="AG601" s="16"/>
      <c r="AH601" s="16"/>
      <c r="AI601" s="16"/>
      <c r="AJ601" s="16"/>
    </row>
    <row r="602" ht="12.75" customHeight="1" spans="1:36" x14ac:dyDescent="0.25">
      <c r="A602" s="16"/>
      <c r="B602" s="16"/>
      <c r="C602" s="16"/>
      <c r="D602" s="16"/>
      <c r="E602" s="16"/>
      <c r="F602" s="16"/>
      <c r="G602" s="16"/>
      <c r="H602" s="16"/>
      <c r="I602" s="16"/>
      <c r="J602" s="16"/>
      <c r="K602" s="16"/>
      <c r="L602" s="16"/>
      <c r="M602" s="16"/>
      <c r="N602" s="16"/>
      <c r="O602" s="16"/>
      <c r="P602" s="16"/>
      <c r="Q602" s="16"/>
      <c r="R602" s="16"/>
      <c r="S602" s="16"/>
      <c r="T602" s="16"/>
      <c r="U602" s="16"/>
      <c r="V602" s="16"/>
      <c r="W602" s="16"/>
      <c r="X602" s="16"/>
      <c r="Y602" s="16"/>
      <c r="Z602" s="16"/>
      <c r="AA602" s="16"/>
      <c r="AB602" s="16"/>
      <c r="AC602" s="16"/>
      <c r="AD602" s="16"/>
      <c r="AE602" s="16"/>
      <c r="AF602" s="16"/>
      <c r="AG602" s="16"/>
      <c r="AH602" s="16"/>
      <c r="AI602" s="16"/>
      <c r="AJ602" s="16"/>
    </row>
    <row r="603" ht="12.75" customHeight="1" spans="1:36" x14ac:dyDescent="0.25">
      <c r="A603" s="16"/>
      <c r="B603" s="16"/>
      <c r="C603" s="16"/>
      <c r="D603" s="16"/>
      <c r="E603" s="16"/>
      <c r="F603" s="16"/>
      <c r="G603" s="16"/>
      <c r="H603" s="16"/>
      <c r="I603" s="16"/>
      <c r="J603" s="16"/>
      <c r="K603" s="16"/>
      <c r="L603" s="16"/>
      <c r="M603" s="16"/>
      <c r="N603" s="16"/>
      <c r="O603" s="16"/>
      <c r="P603" s="16"/>
      <c r="Q603" s="16"/>
      <c r="R603" s="16"/>
      <c r="S603" s="16"/>
      <c r="T603" s="16"/>
      <c r="U603" s="16"/>
      <c r="V603" s="16"/>
      <c r="W603" s="16"/>
      <c r="X603" s="16"/>
      <c r="Y603" s="16"/>
      <c r="Z603" s="16"/>
      <c r="AA603" s="16"/>
      <c r="AB603" s="16"/>
      <c r="AC603" s="16"/>
      <c r="AD603" s="16"/>
      <c r="AE603" s="16"/>
      <c r="AF603" s="16"/>
      <c r="AG603" s="16"/>
      <c r="AH603" s="16"/>
      <c r="AI603" s="16"/>
      <c r="AJ603" s="16"/>
    </row>
    <row r="604" ht="12.75" customHeight="1" spans="1:36" x14ac:dyDescent="0.25">
      <c r="A604" s="16"/>
      <c r="B604" s="16"/>
      <c r="C604" s="16"/>
      <c r="D604" s="16"/>
      <c r="E604" s="16"/>
      <c r="F604" s="16"/>
      <c r="G604" s="16"/>
      <c r="H604" s="16"/>
      <c r="I604" s="16"/>
      <c r="J604" s="16"/>
      <c r="K604" s="16"/>
      <c r="L604" s="16"/>
      <c r="M604" s="16"/>
      <c r="N604" s="16"/>
      <c r="O604" s="16"/>
      <c r="P604" s="16"/>
      <c r="Q604" s="16"/>
      <c r="R604" s="16"/>
      <c r="S604" s="16"/>
      <c r="T604" s="16"/>
      <c r="U604" s="16"/>
      <c r="V604" s="16"/>
      <c r="W604" s="16"/>
      <c r="X604" s="16"/>
      <c r="Y604" s="16"/>
      <c r="Z604" s="16"/>
      <c r="AA604" s="16"/>
      <c r="AB604" s="16"/>
      <c r="AC604" s="16"/>
      <c r="AD604" s="16"/>
      <c r="AE604" s="16"/>
      <c r="AF604" s="16"/>
      <c r="AG604" s="16"/>
      <c r="AH604" s="16"/>
      <c r="AI604" s="16"/>
      <c r="AJ604" s="16"/>
    </row>
    <row r="605" ht="12.75" customHeight="1" spans="1:36" x14ac:dyDescent="0.25">
      <c r="A605" s="16"/>
      <c r="B605" s="16"/>
      <c r="C605" s="16"/>
      <c r="D605" s="16"/>
      <c r="E605" s="16"/>
      <c r="F605" s="16"/>
      <c r="G605" s="16"/>
      <c r="H605" s="16"/>
      <c r="I605" s="16"/>
      <c r="J605" s="16"/>
      <c r="K605" s="16"/>
      <c r="L605" s="16"/>
      <c r="M605" s="16"/>
      <c r="N605" s="16"/>
      <c r="O605" s="16"/>
      <c r="P605" s="16"/>
      <c r="Q605" s="16"/>
      <c r="R605" s="16"/>
      <c r="S605" s="16"/>
      <c r="T605" s="16"/>
      <c r="U605" s="16"/>
      <c r="V605" s="16"/>
      <c r="W605" s="16"/>
      <c r="X605" s="16"/>
      <c r="Y605" s="16"/>
      <c r="Z605" s="16"/>
      <c r="AA605" s="16"/>
      <c r="AB605" s="16"/>
      <c r="AC605" s="16"/>
      <c r="AD605" s="16"/>
      <c r="AE605" s="16"/>
      <c r="AF605" s="16"/>
      <c r="AG605" s="16"/>
      <c r="AH605" s="16"/>
      <c r="AI605" s="16"/>
      <c r="AJ605" s="16"/>
    </row>
    <row r="606" ht="12.75" customHeight="1" spans="1:36" x14ac:dyDescent="0.25">
      <c r="A606" s="16"/>
      <c r="B606" s="16"/>
      <c r="C606" s="16"/>
      <c r="D606" s="16"/>
      <c r="E606" s="16"/>
      <c r="F606" s="16"/>
      <c r="G606" s="16"/>
      <c r="H606" s="16"/>
      <c r="I606" s="16"/>
      <c r="J606" s="16"/>
      <c r="K606" s="16"/>
      <c r="L606" s="16"/>
      <c r="M606" s="16"/>
      <c r="N606" s="16"/>
      <c r="O606" s="16"/>
      <c r="P606" s="16"/>
      <c r="Q606" s="16"/>
      <c r="R606" s="16"/>
      <c r="S606" s="16"/>
      <c r="T606" s="16"/>
      <c r="U606" s="16"/>
      <c r="V606" s="16"/>
      <c r="W606" s="16"/>
      <c r="X606" s="16"/>
      <c r="Y606" s="16"/>
      <c r="Z606" s="16"/>
      <c r="AA606" s="16"/>
      <c r="AB606" s="16"/>
      <c r="AC606" s="16"/>
      <c r="AD606" s="16"/>
      <c r="AE606" s="16"/>
      <c r="AF606" s="16"/>
      <c r="AG606" s="16"/>
      <c r="AH606" s="16"/>
      <c r="AI606" s="16"/>
      <c r="AJ606" s="16"/>
    </row>
    <row r="607" ht="12.75" customHeight="1" spans="1:36" x14ac:dyDescent="0.25">
      <c r="A607" s="16"/>
      <c r="B607" s="16"/>
      <c r="C607" s="16"/>
      <c r="D607" s="16"/>
      <c r="E607" s="16"/>
      <c r="F607" s="16"/>
      <c r="G607" s="16"/>
      <c r="H607" s="16"/>
      <c r="I607" s="16"/>
      <c r="J607" s="16"/>
      <c r="K607" s="16"/>
      <c r="L607" s="16"/>
      <c r="M607" s="16"/>
      <c r="N607" s="16"/>
      <c r="O607" s="16"/>
      <c r="P607" s="16"/>
      <c r="Q607" s="16"/>
      <c r="R607" s="16"/>
      <c r="S607" s="16"/>
      <c r="T607" s="16"/>
      <c r="U607" s="16"/>
      <c r="V607" s="16"/>
      <c r="W607" s="16"/>
      <c r="X607" s="16"/>
      <c r="Y607" s="16"/>
      <c r="Z607" s="16"/>
      <c r="AA607" s="16"/>
      <c r="AB607" s="16"/>
      <c r="AC607" s="16"/>
      <c r="AD607" s="16"/>
      <c r="AE607" s="16"/>
      <c r="AF607" s="16"/>
      <c r="AG607" s="16"/>
      <c r="AH607" s="16"/>
      <c r="AI607" s="16"/>
      <c r="AJ607" s="16"/>
    </row>
    <row r="608" ht="12.75" customHeight="1" spans="1:36" x14ac:dyDescent="0.25">
      <c r="A608" s="16"/>
      <c r="B608" s="16"/>
      <c r="C608" s="16"/>
      <c r="D608" s="16"/>
      <c r="E608" s="16"/>
      <c r="F608" s="16"/>
      <c r="G608" s="16"/>
      <c r="H608" s="16"/>
      <c r="I608" s="16"/>
      <c r="J608" s="16"/>
      <c r="K608" s="16"/>
      <c r="L608" s="16"/>
      <c r="M608" s="16"/>
      <c r="N608" s="16"/>
      <c r="O608" s="16"/>
      <c r="P608" s="16"/>
      <c r="Q608" s="16"/>
      <c r="R608" s="16"/>
      <c r="S608" s="16"/>
      <c r="T608" s="16"/>
      <c r="U608" s="16"/>
      <c r="V608" s="16"/>
      <c r="W608" s="16"/>
      <c r="X608" s="16"/>
      <c r="Y608" s="16"/>
      <c r="Z608" s="16"/>
      <c r="AA608" s="16"/>
      <c r="AB608" s="16"/>
      <c r="AC608" s="16"/>
      <c r="AD608" s="16"/>
      <c r="AE608" s="16"/>
      <c r="AF608" s="16"/>
      <c r="AG608" s="16"/>
      <c r="AH608" s="16"/>
      <c r="AI608" s="16"/>
      <c r="AJ608" s="16"/>
    </row>
    <row r="609" ht="12.75" customHeight="1" spans="1:36" x14ac:dyDescent="0.25">
      <c r="A609" s="16"/>
      <c r="B609" s="16"/>
      <c r="C609" s="16"/>
      <c r="D609" s="16"/>
      <c r="E609" s="16"/>
      <c r="F609" s="16"/>
      <c r="G609" s="16"/>
      <c r="H609" s="16"/>
      <c r="I609" s="16"/>
      <c r="J609" s="16"/>
      <c r="K609" s="16"/>
      <c r="L609" s="16"/>
      <c r="M609" s="16"/>
      <c r="N609" s="16"/>
      <c r="O609" s="16"/>
      <c r="P609" s="16"/>
      <c r="Q609" s="16"/>
      <c r="R609" s="16"/>
      <c r="S609" s="16"/>
      <c r="T609" s="16"/>
      <c r="U609" s="16"/>
      <c r="V609" s="16"/>
      <c r="W609" s="16"/>
      <c r="X609" s="16"/>
      <c r="Y609" s="16"/>
      <c r="Z609" s="16"/>
      <c r="AA609" s="16"/>
      <c r="AB609" s="16"/>
      <c r="AC609" s="16"/>
      <c r="AD609" s="16"/>
      <c r="AE609" s="16"/>
      <c r="AF609" s="16"/>
      <c r="AG609" s="16"/>
      <c r="AH609" s="16"/>
      <c r="AI609" s="16"/>
      <c r="AJ609" s="16"/>
    </row>
    <row r="610" ht="12.75" customHeight="1" spans="1:36" x14ac:dyDescent="0.25">
      <c r="A610" s="16"/>
      <c r="B610" s="16"/>
      <c r="C610" s="16"/>
      <c r="D610" s="16"/>
      <c r="E610" s="16"/>
      <c r="F610" s="16"/>
      <c r="G610" s="16"/>
      <c r="H610" s="16"/>
      <c r="I610" s="16"/>
      <c r="J610" s="16"/>
      <c r="K610" s="16"/>
      <c r="L610" s="16"/>
      <c r="M610" s="16"/>
      <c r="N610" s="16"/>
      <c r="O610" s="16"/>
      <c r="P610" s="16"/>
      <c r="Q610" s="16"/>
      <c r="R610" s="16"/>
      <c r="S610" s="16"/>
      <c r="T610" s="16"/>
      <c r="U610" s="16"/>
      <c r="V610" s="16"/>
      <c r="W610" s="16"/>
      <c r="X610" s="16"/>
      <c r="Y610" s="16"/>
      <c r="Z610" s="16"/>
      <c r="AA610" s="16"/>
      <c r="AB610" s="16"/>
      <c r="AC610" s="16"/>
      <c r="AD610" s="16"/>
      <c r="AE610" s="16"/>
      <c r="AF610" s="16"/>
      <c r="AG610" s="16"/>
      <c r="AH610" s="16"/>
      <c r="AI610" s="16"/>
      <c r="AJ610" s="16"/>
    </row>
    <row r="611" ht="12.75" customHeight="1" spans="1:36" x14ac:dyDescent="0.25">
      <c r="A611" s="16"/>
      <c r="B611" s="16"/>
      <c r="C611" s="16"/>
      <c r="D611" s="16"/>
      <c r="E611" s="16"/>
      <c r="F611" s="16"/>
      <c r="G611" s="16"/>
      <c r="H611" s="16"/>
      <c r="I611" s="16"/>
      <c r="J611" s="16"/>
      <c r="K611" s="16"/>
      <c r="L611" s="16"/>
      <c r="M611" s="16"/>
      <c r="N611" s="16"/>
      <c r="O611" s="16"/>
      <c r="P611" s="16"/>
      <c r="Q611" s="16"/>
      <c r="R611" s="16"/>
      <c r="S611" s="16"/>
      <c r="T611" s="16"/>
      <c r="U611" s="16"/>
      <c r="V611" s="16"/>
      <c r="W611" s="16"/>
      <c r="X611" s="16"/>
      <c r="Y611" s="16"/>
      <c r="Z611" s="16"/>
      <c r="AA611" s="16"/>
      <c r="AB611" s="16"/>
      <c r="AC611" s="16"/>
      <c r="AD611" s="16"/>
      <c r="AE611" s="16"/>
      <c r="AF611" s="16"/>
      <c r="AG611" s="16"/>
      <c r="AH611" s="16"/>
      <c r="AI611" s="16"/>
      <c r="AJ611" s="16"/>
    </row>
    <row r="612" ht="12.75" customHeight="1" spans="1:36" x14ac:dyDescent="0.25">
      <c r="A612" s="16"/>
      <c r="B612" s="16"/>
      <c r="C612" s="16"/>
      <c r="D612" s="16"/>
      <c r="E612" s="16"/>
      <c r="F612" s="16"/>
      <c r="G612" s="16"/>
      <c r="H612" s="16"/>
      <c r="I612" s="16"/>
      <c r="J612" s="16"/>
      <c r="K612" s="16"/>
      <c r="L612" s="16"/>
      <c r="M612" s="16"/>
      <c r="N612" s="16"/>
      <c r="O612" s="16"/>
      <c r="P612" s="16"/>
      <c r="Q612" s="16"/>
      <c r="R612" s="16"/>
      <c r="S612" s="16"/>
      <c r="T612" s="16"/>
      <c r="U612" s="16"/>
      <c r="V612" s="16"/>
      <c r="W612" s="16"/>
      <c r="X612" s="16"/>
      <c r="Y612" s="16"/>
      <c r="Z612" s="16"/>
      <c r="AA612" s="16"/>
      <c r="AB612" s="16"/>
      <c r="AC612" s="16"/>
      <c r="AD612" s="16"/>
      <c r="AE612" s="16"/>
      <c r="AF612" s="16"/>
      <c r="AG612" s="16"/>
      <c r="AH612" s="16"/>
      <c r="AI612" s="16"/>
      <c r="AJ612" s="16"/>
    </row>
    <row r="613" ht="12.75" customHeight="1" spans="1:36" x14ac:dyDescent="0.25">
      <c r="A613" s="16"/>
      <c r="B613" s="16"/>
      <c r="C613" s="16"/>
      <c r="D613" s="16"/>
      <c r="E613" s="16"/>
      <c r="F613" s="16"/>
      <c r="G613" s="16"/>
      <c r="H613" s="16"/>
      <c r="I613" s="16"/>
      <c r="J613" s="16"/>
      <c r="K613" s="16"/>
      <c r="L613" s="16"/>
      <c r="M613" s="16"/>
      <c r="N613" s="16"/>
      <c r="O613" s="16"/>
      <c r="P613" s="16"/>
      <c r="Q613" s="16"/>
      <c r="R613" s="16"/>
      <c r="S613" s="16"/>
      <c r="T613" s="16"/>
      <c r="U613" s="16"/>
      <c r="V613" s="16"/>
      <c r="W613" s="16"/>
      <c r="X613" s="16"/>
      <c r="Y613" s="16"/>
      <c r="Z613" s="16"/>
      <c r="AA613" s="16"/>
      <c r="AB613" s="16"/>
      <c r="AC613" s="16"/>
      <c r="AD613" s="16"/>
      <c r="AE613" s="16"/>
      <c r="AF613" s="16"/>
      <c r="AG613" s="16"/>
      <c r="AH613" s="16"/>
      <c r="AI613" s="16"/>
      <c r="AJ613" s="16"/>
    </row>
    <row r="614" ht="12.75" customHeight="1" spans="1:36" x14ac:dyDescent="0.25">
      <c r="A614" s="16"/>
      <c r="B614" s="16"/>
      <c r="C614" s="16"/>
      <c r="D614" s="16"/>
      <c r="E614" s="16"/>
      <c r="F614" s="16"/>
      <c r="G614" s="16"/>
      <c r="H614" s="16"/>
      <c r="I614" s="16"/>
      <c r="J614" s="16"/>
      <c r="K614" s="16"/>
      <c r="L614" s="16"/>
      <c r="M614" s="16"/>
      <c r="N614" s="16"/>
      <c r="O614" s="16"/>
      <c r="P614" s="16"/>
      <c r="Q614" s="16"/>
      <c r="R614" s="16"/>
      <c r="S614" s="16"/>
      <c r="T614" s="16"/>
      <c r="U614" s="16"/>
      <c r="V614" s="16"/>
      <c r="W614" s="16"/>
      <c r="X614" s="16"/>
      <c r="Y614" s="16"/>
      <c r="Z614" s="16"/>
      <c r="AA614" s="16"/>
      <c r="AB614" s="16"/>
      <c r="AC614" s="16"/>
      <c r="AD614" s="16"/>
      <c r="AE614" s="16"/>
      <c r="AF614" s="16"/>
      <c r="AG614" s="16"/>
      <c r="AH614" s="16"/>
      <c r="AI614" s="16"/>
      <c r="AJ614" s="16"/>
    </row>
    <row r="615" ht="12.75" customHeight="1" spans="1:36" x14ac:dyDescent="0.25">
      <c r="A615" s="16"/>
      <c r="B615" s="16"/>
      <c r="C615" s="16"/>
      <c r="D615" s="16"/>
      <c r="E615" s="16"/>
      <c r="F615" s="16"/>
      <c r="G615" s="16"/>
      <c r="H615" s="16"/>
      <c r="I615" s="16"/>
      <c r="J615" s="16"/>
      <c r="K615" s="16"/>
      <c r="L615" s="16"/>
      <c r="M615" s="16"/>
      <c r="N615" s="16"/>
      <c r="O615" s="16"/>
      <c r="P615" s="16"/>
      <c r="Q615" s="16"/>
      <c r="R615" s="16"/>
      <c r="S615" s="16"/>
      <c r="T615" s="16"/>
      <c r="U615" s="16"/>
      <c r="V615" s="16"/>
      <c r="W615" s="16"/>
      <c r="X615" s="16"/>
      <c r="Y615" s="16"/>
      <c r="Z615" s="16"/>
      <c r="AA615" s="16"/>
      <c r="AB615" s="16"/>
      <c r="AC615" s="16"/>
      <c r="AD615" s="16"/>
      <c r="AE615" s="16"/>
      <c r="AF615" s="16"/>
      <c r="AG615" s="16"/>
      <c r="AH615" s="16"/>
      <c r="AI615" s="16"/>
      <c r="AJ615" s="16"/>
    </row>
    <row r="616" ht="12.75" customHeight="1" spans="1:36" x14ac:dyDescent="0.25">
      <c r="A616" s="16"/>
      <c r="B616" s="16"/>
      <c r="C616" s="16"/>
      <c r="D616" s="16"/>
      <c r="E616" s="16"/>
      <c r="F616" s="16"/>
      <c r="G616" s="16"/>
      <c r="H616" s="16"/>
      <c r="I616" s="16"/>
      <c r="J616" s="16"/>
      <c r="K616" s="16"/>
      <c r="L616" s="16"/>
      <c r="M616" s="16"/>
      <c r="N616" s="16"/>
      <c r="O616" s="16"/>
      <c r="P616" s="16"/>
      <c r="Q616" s="16"/>
      <c r="R616" s="16"/>
      <c r="S616" s="16"/>
      <c r="T616" s="16"/>
      <c r="U616" s="16"/>
      <c r="V616" s="16"/>
      <c r="W616" s="16"/>
      <c r="X616" s="16"/>
      <c r="Y616" s="16"/>
      <c r="Z616" s="16"/>
      <c r="AA616" s="16"/>
      <c r="AB616" s="16"/>
      <c r="AC616" s="16"/>
      <c r="AD616" s="16"/>
      <c r="AE616" s="16"/>
      <c r="AF616" s="16"/>
      <c r="AG616" s="16"/>
      <c r="AH616" s="16"/>
      <c r="AI616" s="16"/>
      <c r="AJ616" s="16"/>
    </row>
    <row r="617" ht="12.75" customHeight="1" spans="1:36" x14ac:dyDescent="0.25">
      <c r="A617" s="16"/>
      <c r="B617" s="16"/>
      <c r="C617" s="16"/>
      <c r="D617" s="16"/>
      <c r="E617" s="16"/>
      <c r="F617" s="16"/>
      <c r="G617" s="16"/>
      <c r="H617" s="16"/>
      <c r="I617" s="16"/>
      <c r="J617" s="16"/>
      <c r="K617" s="16"/>
      <c r="L617" s="16"/>
      <c r="M617" s="16"/>
      <c r="N617" s="16"/>
      <c r="O617" s="16"/>
      <c r="P617" s="16"/>
      <c r="Q617" s="16"/>
      <c r="R617" s="16"/>
      <c r="S617" s="16"/>
      <c r="T617" s="16"/>
      <c r="U617" s="16"/>
      <c r="V617" s="16"/>
      <c r="W617" s="16"/>
      <c r="X617" s="16"/>
      <c r="Y617" s="16"/>
      <c r="Z617" s="16"/>
      <c r="AA617" s="16"/>
      <c r="AB617" s="16"/>
      <c r="AC617" s="16"/>
      <c r="AD617" s="16"/>
      <c r="AE617" s="16"/>
      <c r="AF617" s="16"/>
      <c r="AG617" s="16"/>
      <c r="AH617" s="16"/>
      <c r="AI617" s="16"/>
      <c r="AJ617" s="16"/>
    </row>
    <row r="618" ht="12.75" customHeight="1" spans="1:36" x14ac:dyDescent="0.25">
      <c r="A618" s="16"/>
      <c r="B618" s="16"/>
      <c r="C618" s="16"/>
      <c r="D618" s="16"/>
      <c r="E618" s="16"/>
      <c r="F618" s="16"/>
      <c r="G618" s="16"/>
      <c r="H618" s="16"/>
      <c r="I618" s="16"/>
      <c r="J618" s="16"/>
      <c r="K618" s="16"/>
      <c r="L618" s="16"/>
      <c r="M618" s="16"/>
      <c r="N618" s="16"/>
      <c r="O618" s="16"/>
      <c r="P618" s="16"/>
      <c r="Q618" s="16"/>
      <c r="R618" s="16"/>
      <c r="S618" s="16"/>
      <c r="T618" s="16"/>
      <c r="U618" s="16"/>
      <c r="V618" s="16"/>
      <c r="W618" s="16"/>
      <c r="X618" s="16"/>
      <c r="Y618" s="16"/>
      <c r="Z618" s="16"/>
      <c r="AA618" s="16"/>
      <c r="AB618" s="16"/>
      <c r="AC618" s="16"/>
      <c r="AD618" s="16"/>
      <c r="AE618" s="16"/>
      <c r="AF618" s="16"/>
      <c r="AG618" s="16"/>
      <c r="AH618" s="16"/>
      <c r="AI618" s="16"/>
      <c r="AJ618" s="16"/>
    </row>
    <row r="619" ht="12.75" customHeight="1" spans="1:36" x14ac:dyDescent="0.25">
      <c r="A619" s="16"/>
      <c r="B619" s="16"/>
      <c r="C619" s="16"/>
      <c r="D619" s="16"/>
      <c r="E619" s="16"/>
      <c r="F619" s="16"/>
      <c r="G619" s="16"/>
      <c r="H619" s="16"/>
      <c r="I619" s="16"/>
      <c r="J619" s="16"/>
      <c r="K619" s="16"/>
      <c r="L619" s="16"/>
      <c r="M619" s="16"/>
      <c r="N619" s="16"/>
      <c r="O619" s="16"/>
      <c r="P619" s="16"/>
      <c r="Q619" s="16"/>
      <c r="R619" s="16"/>
      <c r="S619" s="16"/>
      <c r="T619" s="16"/>
      <c r="U619" s="16"/>
      <c r="V619" s="16"/>
      <c r="W619" s="16"/>
      <c r="X619" s="16"/>
      <c r="Y619" s="16"/>
      <c r="Z619" s="16"/>
      <c r="AA619" s="16"/>
      <c r="AB619" s="16"/>
      <c r="AC619" s="16"/>
      <c r="AD619" s="16"/>
      <c r="AE619" s="16"/>
      <c r="AF619" s="16"/>
      <c r="AG619" s="16"/>
      <c r="AH619" s="16"/>
      <c r="AI619" s="16"/>
      <c r="AJ619" s="16"/>
    </row>
    <row r="620" ht="12.75" customHeight="1" spans="1:36" x14ac:dyDescent="0.25">
      <c r="A620" s="16"/>
      <c r="B620" s="16"/>
      <c r="C620" s="16"/>
      <c r="D620" s="16"/>
      <c r="E620" s="16"/>
      <c r="F620" s="16"/>
      <c r="G620" s="16"/>
      <c r="H620" s="16"/>
      <c r="I620" s="16"/>
      <c r="J620" s="16"/>
      <c r="K620" s="16"/>
      <c r="L620" s="16"/>
      <c r="M620" s="16"/>
      <c r="N620" s="16"/>
      <c r="O620" s="16"/>
      <c r="P620" s="16"/>
      <c r="Q620" s="16"/>
      <c r="R620" s="16"/>
      <c r="S620" s="16"/>
      <c r="T620" s="16"/>
      <c r="U620" s="16"/>
      <c r="V620" s="16"/>
      <c r="W620" s="16"/>
      <c r="X620" s="16"/>
      <c r="Y620" s="16"/>
      <c r="Z620" s="16"/>
      <c r="AA620" s="16"/>
      <c r="AB620" s="16"/>
      <c r="AC620" s="16"/>
      <c r="AD620" s="16"/>
      <c r="AE620" s="16"/>
      <c r="AF620" s="16"/>
      <c r="AG620" s="16"/>
      <c r="AH620" s="16"/>
      <c r="AI620" s="16"/>
      <c r="AJ620" s="16"/>
    </row>
    <row r="621" ht="12.75" customHeight="1" spans="1:36" x14ac:dyDescent="0.25">
      <c r="A621" s="16"/>
      <c r="B621" s="16"/>
      <c r="C621" s="16"/>
      <c r="D621" s="16"/>
      <c r="E621" s="16"/>
      <c r="F621" s="16"/>
      <c r="G621" s="16"/>
      <c r="H621" s="16"/>
      <c r="I621" s="16"/>
      <c r="J621" s="16"/>
      <c r="K621" s="16"/>
      <c r="L621" s="16"/>
      <c r="M621" s="16"/>
      <c r="N621" s="16"/>
      <c r="O621" s="16"/>
      <c r="P621" s="16"/>
      <c r="Q621" s="16"/>
      <c r="R621" s="16"/>
      <c r="S621" s="16"/>
      <c r="T621" s="16"/>
      <c r="U621" s="16"/>
      <c r="V621" s="16"/>
      <c r="W621" s="16"/>
      <c r="X621" s="16"/>
      <c r="Y621" s="16"/>
      <c r="Z621" s="16"/>
      <c r="AA621" s="16"/>
      <c r="AB621" s="16"/>
      <c r="AC621" s="16"/>
      <c r="AD621" s="16"/>
      <c r="AE621" s="16"/>
      <c r="AF621" s="16"/>
      <c r="AG621" s="16"/>
      <c r="AH621" s="16"/>
      <c r="AI621" s="16"/>
      <c r="AJ621" s="16"/>
    </row>
    <row r="622" ht="12.75" customHeight="1" spans="1:36" x14ac:dyDescent="0.25">
      <c r="A622" s="16"/>
      <c r="B622" s="16"/>
      <c r="C622" s="16"/>
      <c r="D622" s="16"/>
      <c r="E622" s="16"/>
      <c r="F622" s="16"/>
      <c r="G622" s="16"/>
      <c r="H622" s="16"/>
      <c r="I622" s="16"/>
      <c r="J622" s="16"/>
      <c r="K622" s="16"/>
      <c r="L622" s="16"/>
      <c r="M622" s="16"/>
      <c r="N622" s="16"/>
      <c r="O622" s="16"/>
      <c r="P622" s="16"/>
      <c r="Q622" s="16"/>
      <c r="R622" s="16"/>
      <c r="S622" s="16"/>
      <c r="T622" s="16"/>
      <c r="U622" s="16"/>
      <c r="V622" s="16"/>
      <c r="W622" s="16"/>
      <c r="X622" s="16"/>
      <c r="Y622" s="16"/>
      <c r="Z622" s="16"/>
      <c r="AA622" s="16"/>
      <c r="AB622" s="16"/>
      <c r="AC622" s="16"/>
      <c r="AD622" s="16"/>
      <c r="AE622" s="16"/>
      <c r="AF622" s="16"/>
      <c r="AG622" s="16"/>
      <c r="AH622" s="16"/>
      <c r="AI622" s="16"/>
      <c r="AJ622" s="16"/>
    </row>
    <row r="623" ht="12.75" customHeight="1" spans="1:36" x14ac:dyDescent="0.25">
      <c r="A623" s="16"/>
      <c r="B623" s="16"/>
      <c r="C623" s="16"/>
      <c r="D623" s="16"/>
      <c r="E623" s="16"/>
      <c r="F623" s="16"/>
      <c r="G623" s="16"/>
      <c r="H623" s="16"/>
      <c r="I623" s="16"/>
      <c r="J623" s="16"/>
      <c r="K623" s="16"/>
      <c r="L623" s="16"/>
      <c r="M623" s="16"/>
      <c r="N623" s="16"/>
      <c r="O623" s="16"/>
      <c r="P623" s="16"/>
      <c r="Q623" s="16"/>
      <c r="R623" s="16"/>
      <c r="S623" s="16"/>
      <c r="T623" s="16"/>
      <c r="U623" s="16"/>
      <c r="V623" s="16"/>
      <c r="W623" s="16"/>
      <c r="X623" s="16"/>
      <c r="Y623" s="16"/>
      <c r="Z623" s="16"/>
      <c r="AA623" s="16"/>
      <c r="AB623" s="16"/>
      <c r="AC623" s="16"/>
      <c r="AD623" s="16"/>
      <c r="AE623" s="16"/>
      <c r="AF623" s="16"/>
      <c r="AG623" s="16"/>
      <c r="AH623" s="16"/>
      <c r="AI623" s="16"/>
      <c r="AJ623" s="16"/>
    </row>
    <row r="624" ht="12.75" customHeight="1" spans="1:36" x14ac:dyDescent="0.25">
      <c r="A624" s="16"/>
      <c r="B624" s="16"/>
      <c r="C624" s="16"/>
      <c r="D624" s="16"/>
      <c r="E624" s="16"/>
      <c r="F624" s="16"/>
      <c r="G624" s="16"/>
      <c r="H624" s="16"/>
      <c r="I624" s="16"/>
      <c r="J624" s="16"/>
      <c r="K624" s="16"/>
      <c r="L624" s="16"/>
      <c r="M624" s="16"/>
      <c r="N624" s="16"/>
      <c r="O624" s="16"/>
      <c r="P624" s="16"/>
      <c r="Q624" s="16"/>
      <c r="R624" s="16"/>
      <c r="S624" s="16"/>
      <c r="T624" s="16"/>
      <c r="U624" s="16"/>
      <c r="V624" s="16"/>
      <c r="W624" s="16"/>
      <c r="X624" s="16"/>
      <c r="Y624" s="16"/>
      <c r="Z624" s="16"/>
      <c r="AA624" s="16"/>
      <c r="AB624" s="16"/>
      <c r="AC624" s="16"/>
      <c r="AD624" s="16"/>
      <c r="AE624" s="16"/>
      <c r="AF624" s="16"/>
      <c r="AG624" s="16"/>
      <c r="AH624" s="16"/>
      <c r="AI624" s="16"/>
      <c r="AJ624" s="16"/>
    </row>
    <row r="625" ht="12.75" customHeight="1" spans="1:36" x14ac:dyDescent="0.25">
      <c r="A625" s="16"/>
      <c r="B625" s="16"/>
      <c r="C625" s="16"/>
      <c r="D625" s="16"/>
      <c r="E625" s="16"/>
      <c r="F625" s="16"/>
      <c r="G625" s="16"/>
      <c r="H625" s="16"/>
      <c r="I625" s="16"/>
      <c r="J625" s="16"/>
      <c r="K625" s="16"/>
      <c r="L625" s="16"/>
      <c r="M625" s="16"/>
      <c r="N625" s="16"/>
      <c r="O625" s="16"/>
      <c r="P625" s="16"/>
      <c r="Q625" s="16"/>
      <c r="R625" s="16"/>
      <c r="S625" s="16"/>
      <c r="T625" s="16"/>
      <c r="U625" s="16"/>
      <c r="V625" s="16"/>
      <c r="W625" s="16"/>
      <c r="X625" s="16"/>
      <c r="Y625" s="16"/>
      <c r="Z625" s="16"/>
      <c r="AA625" s="16"/>
      <c r="AB625" s="16"/>
      <c r="AC625" s="16"/>
      <c r="AD625" s="16"/>
      <c r="AE625" s="16"/>
      <c r="AF625" s="16"/>
      <c r="AG625" s="16"/>
      <c r="AH625" s="16"/>
      <c r="AI625" s="16"/>
      <c r="AJ625" s="16"/>
    </row>
    <row r="626" ht="12.75" customHeight="1" spans="1:36" x14ac:dyDescent="0.25">
      <c r="A626" s="16"/>
      <c r="B626" s="16"/>
      <c r="C626" s="16"/>
      <c r="D626" s="16"/>
      <c r="E626" s="16"/>
      <c r="F626" s="16"/>
      <c r="G626" s="16"/>
      <c r="H626" s="16"/>
      <c r="I626" s="16"/>
      <c r="J626" s="16"/>
      <c r="K626" s="16"/>
      <c r="L626" s="16"/>
      <c r="M626" s="16"/>
      <c r="N626" s="16"/>
      <c r="O626" s="16"/>
      <c r="P626" s="16"/>
      <c r="Q626" s="16"/>
      <c r="R626" s="16"/>
      <c r="S626" s="16"/>
      <c r="T626" s="16"/>
      <c r="U626" s="16"/>
      <c r="V626" s="16"/>
      <c r="W626" s="16"/>
      <c r="X626" s="16"/>
      <c r="Y626" s="16"/>
      <c r="Z626" s="16"/>
      <c r="AA626" s="16"/>
      <c r="AB626" s="16"/>
      <c r="AC626" s="16"/>
      <c r="AD626" s="16"/>
      <c r="AE626" s="16"/>
      <c r="AF626" s="16"/>
      <c r="AG626" s="16"/>
      <c r="AH626" s="16"/>
      <c r="AI626" s="16"/>
      <c r="AJ626" s="16"/>
    </row>
    <row r="627" ht="12.75" customHeight="1" spans="1:36" x14ac:dyDescent="0.25">
      <c r="A627" s="16"/>
      <c r="B627" s="16"/>
      <c r="C627" s="16"/>
      <c r="D627" s="16"/>
      <c r="E627" s="16"/>
      <c r="F627" s="16"/>
      <c r="G627" s="16"/>
      <c r="H627" s="16"/>
      <c r="I627" s="16"/>
      <c r="J627" s="16"/>
      <c r="K627" s="16"/>
      <c r="L627" s="16"/>
      <c r="M627" s="16"/>
      <c r="N627" s="16"/>
      <c r="O627" s="16"/>
      <c r="P627" s="16"/>
      <c r="Q627" s="16"/>
      <c r="R627" s="16"/>
      <c r="S627" s="16"/>
      <c r="T627" s="16"/>
      <c r="U627" s="16"/>
      <c r="V627" s="16"/>
      <c r="W627" s="16"/>
      <c r="X627" s="16"/>
      <c r="Y627" s="16"/>
      <c r="Z627" s="16"/>
      <c r="AA627" s="16"/>
      <c r="AB627" s="16"/>
      <c r="AC627" s="16"/>
      <c r="AD627" s="16"/>
      <c r="AE627" s="16"/>
      <c r="AF627" s="16"/>
      <c r="AG627" s="16"/>
      <c r="AH627" s="16"/>
      <c r="AI627" s="16"/>
      <c r="AJ627" s="16"/>
    </row>
    <row r="628" ht="12.75" customHeight="1" spans="1:36" x14ac:dyDescent="0.25">
      <c r="A628" s="16"/>
      <c r="B628" s="16"/>
      <c r="C628" s="16"/>
      <c r="D628" s="16"/>
      <c r="E628" s="16"/>
      <c r="F628" s="16"/>
      <c r="G628" s="16"/>
      <c r="H628" s="16"/>
      <c r="I628" s="16"/>
      <c r="J628" s="16"/>
      <c r="K628" s="16"/>
      <c r="L628" s="16"/>
      <c r="M628" s="16"/>
      <c r="N628" s="16"/>
      <c r="O628" s="16"/>
      <c r="P628" s="16"/>
      <c r="Q628" s="16"/>
      <c r="R628" s="16"/>
      <c r="S628" s="16"/>
      <c r="T628" s="16"/>
      <c r="U628" s="16"/>
      <c r="V628" s="16"/>
      <c r="W628" s="16"/>
      <c r="X628" s="16"/>
      <c r="Y628" s="16"/>
      <c r="Z628" s="16"/>
      <c r="AA628" s="16"/>
      <c r="AB628" s="16"/>
      <c r="AC628" s="16"/>
      <c r="AD628" s="16"/>
      <c r="AE628" s="16"/>
      <c r="AF628" s="16"/>
      <c r="AG628" s="16"/>
      <c r="AH628" s="16"/>
      <c r="AI628" s="16"/>
      <c r="AJ628" s="16"/>
    </row>
    <row r="629" ht="12.75" customHeight="1" spans="1:36" x14ac:dyDescent="0.25">
      <c r="A629" s="16"/>
      <c r="B629" s="16"/>
      <c r="C629" s="16"/>
      <c r="D629" s="16"/>
      <c r="E629" s="16"/>
      <c r="F629" s="16"/>
      <c r="G629" s="16"/>
      <c r="H629" s="16"/>
      <c r="I629" s="16"/>
      <c r="J629" s="16"/>
      <c r="K629" s="16"/>
      <c r="L629" s="16"/>
      <c r="M629" s="16"/>
      <c r="N629" s="16"/>
      <c r="O629" s="16"/>
      <c r="P629" s="16"/>
      <c r="Q629" s="16"/>
      <c r="R629" s="16"/>
      <c r="S629" s="16"/>
      <c r="T629" s="16"/>
      <c r="U629" s="16"/>
      <c r="V629" s="16"/>
      <c r="W629" s="16"/>
      <c r="X629" s="16"/>
      <c r="Y629" s="16"/>
      <c r="Z629" s="16"/>
      <c r="AA629" s="16"/>
      <c r="AB629" s="16"/>
      <c r="AC629" s="16"/>
      <c r="AD629" s="16"/>
      <c r="AE629" s="16"/>
      <c r="AF629" s="16"/>
      <c r="AG629" s="16"/>
      <c r="AH629" s="16"/>
      <c r="AI629" s="16"/>
      <c r="AJ629" s="16"/>
    </row>
    <row r="630" ht="12.75" customHeight="1" spans="1:36" x14ac:dyDescent="0.25">
      <c r="A630" s="16"/>
      <c r="B630" s="16"/>
      <c r="C630" s="16"/>
      <c r="D630" s="16"/>
      <c r="E630" s="16"/>
      <c r="F630" s="16"/>
      <c r="G630" s="16"/>
      <c r="H630" s="16"/>
      <c r="I630" s="16"/>
      <c r="J630" s="16"/>
      <c r="K630" s="16"/>
      <c r="L630" s="16"/>
      <c r="M630" s="16"/>
      <c r="N630" s="16"/>
      <c r="O630" s="16"/>
      <c r="P630" s="16"/>
      <c r="Q630" s="16"/>
      <c r="R630" s="16"/>
      <c r="S630" s="16"/>
      <c r="T630" s="16"/>
      <c r="U630" s="16"/>
      <c r="V630" s="16"/>
      <c r="W630" s="16"/>
      <c r="X630" s="16"/>
      <c r="Y630" s="16"/>
      <c r="Z630" s="16"/>
      <c r="AA630" s="16"/>
      <c r="AB630" s="16"/>
      <c r="AC630" s="16"/>
      <c r="AD630" s="16"/>
      <c r="AE630" s="16"/>
      <c r="AF630" s="16"/>
      <c r="AG630" s="16"/>
      <c r="AH630" s="16"/>
      <c r="AI630" s="16"/>
      <c r="AJ630" s="16"/>
    </row>
    <row r="631" ht="12.75" customHeight="1" spans="1:36" x14ac:dyDescent="0.25">
      <c r="A631" s="16"/>
      <c r="B631" s="16"/>
      <c r="C631" s="16"/>
      <c r="D631" s="16"/>
      <c r="E631" s="16"/>
      <c r="F631" s="16"/>
      <c r="G631" s="16"/>
      <c r="H631" s="16"/>
      <c r="I631" s="16"/>
      <c r="J631" s="16"/>
      <c r="K631" s="16"/>
      <c r="L631" s="16"/>
      <c r="M631" s="16"/>
      <c r="N631" s="16"/>
      <c r="O631" s="16"/>
      <c r="P631" s="16"/>
      <c r="Q631" s="16"/>
      <c r="R631" s="16"/>
      <c r="S631" s="16"/>
      <c r="T631" s="16"/>
      <c r="U631" s="16"/>
      <c r="V631" s="16"/>
      <c r="W631" s="16"/>
      <c r="X631" s="16"/>
      <c r="Y631" s="16"/>
      <c r="Z631" s="16"/>
      <c r="AA631" s="16"/>
      <c r="AB631" s="16"/>
      <c r="AC631" s="16"/>
      <c r="AD631" s="16"/>
      <c r="AE631" s="16"/>
      <c r="AF631" s="16"/>
      <c r="AG631" s="16"/>
      <c r="AH631" s="16"/>
      <c r="AI631" s="16"/>
      <c r="AJ631" s="16"/>
    </row>
    <row r="632" ht="12.75" customHeight="1" spans="1:36" x14ac:dyDescent="0.25">
      <c r="A632" s="16"/>
      <c r="B632" s="16"/>
      <c r="C632" s="16"/>
      <c r="D632" s="16"/>
      <c r="E632" s="16"/>
      <c r="F632" s="16"/>
      <c r="G632" s="16"/>
      <c r="H632" s="16"/>
      <c r="I632" s="16"/>
      <c r="J632" s="16"/>
      <c r="K632" s="16"/>
      <c r="L632" s="16"/>
      <c r="M632" s="16"/>
      <c r="N632" s="16"/>
      <c r="O632" s="16"/>
      <c r="P632" s="16"/>
      <c r="Q632" s="16"/>
      <c r="R632" s="16"/>
      <c r="S632" s="16"/>
      <c r="T632" s="16"/>
      <c r="U632" s="16"/>
      <c r="V632" s="16"/>
      <c r="W632" s="16"/>
      <c r="X632" s="16"/>
      <c r="Y632" s="16"/>
      <c r="Z632" s="16"/>
      <c r="AA632" s="16"/>
      <c r="AB632" s="16"/>
      <c r="AC632" s="16"/>
      <c r="AD632" s="16"/>
      <c r="AE632" s="16"/>
      <c r="AF632" s="16"/>
      <c r="AG632" s="16"/>
      <c r="AH632" s="16"/>
      <c r="AI632" s="16"/>
      <c r="AJ632" s="16"/>
    </row>
    <row r="633" ht="12.75" customHeight="1" spans="1:36" x14ac:dyDescent="0.25">
      <c r="A633" s="16"/>
      <c r="B633" s="16"/>
      <c r="C633" s="16"/>
      <c r="D633" s="16"/>
      <c r="E633" s="16"/>
      <c r="F633" s="16"/>
      <c r="G633" s="16"/>
      <c r="H633" s="16"/>
      <c r="I633" s="16"/>
      <c r="J633" s="16"/>
      <c r="K633" s="16"/>
      <c r="L633" s="16"/>
      <c r="M633" s="16"/>
      <c r="N633" s="16"/>
      <c r="O633" s="16"/>
      <c r="P633" s="16"/>
      <c r="Q633" s="16"/>
      <c r="R633" s="16"/>
      <c r="S633" s="16"/>
      <c r="T633" s="16"/>
      <c r="U633" s="16"/>
      <c r="V633" s="16"/>
      <c r="W633" s="16"/>
      <c r="X633" s="16"/>
      <c r="Y633" s="16"/>
      <c r="Z633" s="16"/>
      <c r="AA633" s="16"/>
      <c r="AB633" s="16"/>
      <c r="AC633" s="16"/>
      <c r="AD633" s="16"/>
      <c r="AE633" s="16"/>
      <c r="AF633" s="16"/>
      <c r="AG633" s="16"/>
      <c r="AH633" s="16"/>
      <c r="AI633" s="16"/>
      <c r="AJ633" s="16"/>
    </row>
    <row r="634" ht="12.75" customHeight="1" spans="1:36" x14ac:dyDescent="0.25">
      <c r="A634" s="16"/>
      <c r="B634" s="16"/>
      <c r="C634" s="16"/>
      <c r="D634" s="16"/>
      <c r="E634" s="16"/>
      <c r="F634" s="16"/>
      <c r="G634" s="16"/>
      <c r="H634" s="16"/>
      <c r="I634" s="16"/>
      <c r="J634" s="16"/>
      <c r="K634" s="16"/>
      <c r="L634" s="16"/>
      <c r="M634" s="16"/>
      <c r="N634" s="16"/>
      <c r="O634" s="16"/>
      <c r="P634" s="16"/>
      <c r="Q634" s="16"/>
      <c r="R634" s="16"/>
      <c r="S634" s="16"/>
      <c r="T634" s="16"/>
      <c r="U634" s="16"/>
      <c r="V634" s="16"/>
      <c r="W634" s="16"/>
      <c r="X634" s="16"/>
      <c r="Y634" s="16"/>
      <c r="Z634" s="16"/>
      <c r="AA634" s="16"/>
      <c r="AB634" s="16"/>
      <c r="AC634" s="16"/>
      <c r="AD634" s="16"/>
      <c r="AE634" s="16"/>
      <c r="AF634" s="16"/>
      <c r="AG634" s="16"/>
      <c r="AH634" s="16"/>
      <c r="AI634" s="16"/>
      <c r="AJ634" s="16"/>
    </row>
    <row r="635" ht="12.75" customHeight="1" spans="1:36" x14ac:dyDescent="0.25">
      <c r="A635" s="16"/>
      <c r="B635" s="16"/>
      <c r="C635" s="16"/>
      <c r="D635" s="16"/>
      <c r="E635" s="16"/>
      <c r="F635" s="16"/>
      <c r="G635" s="16"/>
      <c r="H635" s="16"/>
      <c r="I635" s="16"/>
      <c r="J635" s="16"/>
      <c r="K635" s="16"/>
      <c r="L635" s="16"/>
      <c r="M635" s="16"/>
      <c r="N635" s="16"/>
      <c r="O635" s="16"/>
      <c r="P635" s="16"/>
      <c r="Q635" s="16"/>
      <c r="R635" s="16"/>
      <c r="S635" s="16"/>
      <c r="T635" s="16"/>
      <c r="U635" s="16"/>
      <c r="V635" s="16"/>
      <c r="W635" s="16"/>
      <c r="X635" s="16"/>
      <c r="Y635" s="16"/>
      <c r="Z635" s="16"/>
      <c r="AA635" s="16"/>
      <c r="AB635" s="16"/>
      <c r="AC635" s="16"/>
      <c r="AD635" s="16"/>
      <c r="AE635" s="16"/>
      <c r="AF635" s="16"/>
      <c r="AG635" s="16"/>
      <c r="AH635" s="16"/>
      <c r="AI635" s="16"/>
      <c r="AJ635" s="16"/>
    </row>
    <row r="636" ht="12.75" customHeight="1" spans="1:36" x14ac:dyDescent="0.25">
      <c r="A636" s="16"/>
      <c r="B636" s="16"/>
      <c r="C636" s="16"/>
      <c r="D636" s="16"/>
      <c r="E636" s="16"/>
      <c r="F636" s="16"/>
      <c r="G636" s="16"/>
      <c r="H636" s="16"/>
      <c r="I636" s="16"/>
      <c r="J636" s="16"/>
      <c r="K636" s="16"/>
      <c r="L636" s="16"/>
      <c r="M636" s="16"/>
      <c r="N636" s="16"/>
      <c r="O636" s="16"/>
      <c r="P636" s="16"/>
      <c r="Q636" s="16"/>
      <c r="R636" s="16"/>
      <c r="S636" s="16"/>
      <c r="T636" s="16"/>
      <c r="U636" s="16"/>
      <c r="V636" s="16"/>
      <c r="W636" s="16"/>
      <c r="X636" s="16"/>
      <c r="Y636" s="16"/>
      <c r="Z636" s="16"/>
      <c r="AA636" s="16"/>
      <c r="AB636" s="16"/>
      <c r="AC636" s="16"/>
      <c r="AD636" s="16"/>
      <c r="AE636" s="16"/>
      <c r="AF636" s="16"/>
      <c r="AG636" s="16"/>
      <c r="AH636" s="16"/>
      <c r="AI636" s="16"/>
      <c r="AJ636" s="16"/>
    </row>
    <row r="637" ht="12.75" customHeight="1" spans="1:36" x14ac:dyDescent="0.25">
      <c r="A637" s="16"/>
      <c r="B637" s="16"/>
      <c r="C637" s="16"/>
      <c r="D637" s="16"/>
      <c r="E637" s="16"/>
      <c r="F637" s="16"/>
      <c r="G637" s="16"/>
      <c r="H637" s="16"/>
      <c r="I637" s="16"/>
      <c r="J637" s="16"/>
      <c r="K637" s="16"/>
      <c r="L637" s="16"/>
      <c r="M637" s="16"/>
      <c r="N637" s="16"/>
      <c r="O637" s="16"/>
      <c r="P637" s="16"/>
      <c r="Q637" s="16"/>
      <c r="R637" s="16"/>
      <c r="S637" s="16"/>
      <c r="T637" s="16"/>
      <c r="U637" s="16"/>
      <c r="V637" s="16"/>
      <c r="W637" s="16"/>
      <c r="X637" s="16"/>
      <c r="Y637" s="16"/>
      <c r="Z637" s="16"/>
      <c r="AA637" s="16"/>
      <c r="AB637" s="16"/>
      <c r="AC637" s="16"/>
      <c r="AD637" s="16"/>
      <c r="AE637" s="16"/>
      <c r="AF637" s="16"/>
      <c r="AG637" s="16"/>
      <c r="AH637" s="16"/>
      <c r="AI637" s="16"/>
      <c r="AJ637" s="16"/>
    </row>
    <row r="638" ht="12.75" customHeight="1" spans="1:36" x14ac:dyDescent="0.25">
      <c r="A638" s="16"/>
      <c r="B638" s="16"/>
      <c r="C638" s="16"/>
      <c r="D638" s="16"/>
      <c r="E638" s="16"/>
      <c r="F638" s="16"/>
      <c r="G638" s="16"/>
      <c r="H638" s="16"/>
      <c r="I638" s="16"/>
      <c r="J638" s="16"/>
      <c r="K638" s="16"/>
      <c r="L638" s="16"/>
      <c r="M638" s="16"/>
      <c r="N638" s="16"/>
      <c r="O638" s="16"/>
      <c r="P638" s="16"/>
      <c r="Q638" s="16"/>
      <c r="R638" s="16"/>
      <c r="S638" s="16"/>
      <c r="T638" s="16"/>
      <c r="U638" s="16"/>
      <c r="V638" s="16"/>
      <c r="W638" s="16"/>
      <c r="X638" s="16"/>
      <c r="Y638" s="16"/>
      <c r="Z638" s="16"/>
      <c r="AA638" s="16"/>
      <c r="AB638" s="16"/>
      <c r="AC638" s="16"/>
      <c r="AD638" s="16"/>
      <c r="AE638" s="16"/>
      <c r="AF638" s="16"/>
      <c r="AG638" s="16"/>
      <c r="AH638" s="16"/>
      <c r="AI638" s="16"/>
      <c r="AJ638" s="16"/>
    </row>
    <row r="639" ht="12.75" customHeight="1" spans="1:36" x14ac:dyDescent="0.25">
      <c r="A639" s="16"/>
      <c r="B639" s="16"/>
      <c r="C639" s="16"/>
      <c r="D639" s="16"/>
      <c r="E639" s="16"/>
      <c r="F639" s="16"/>
      <c r="G639" s="16"/>
      <c r="H639" s="16"/>
      <c r="I639" s="16"/>
      <c r="J639" s="16"/>
      <c r="K639" s="16"/>
      <c r="L639" s="16"/>
      <c r="M639" s="16"/>
      <c r="N639" s="16"/>
      <c r="O639" s="16"/>
      <c r="P639" s="16"/>
      <c r="Q639" s="16"/>
      <c r="R639" s="16"/>
      <c r="S639" s="16"/>
      <c r="T639" s="16"/>
      <c r="U639" s="16"/>
      <c r="V639" s="16"/>
      <c r="W639" s="16"/>
      <c r="X639" s="16"/>
      <c r="Y639" s="16"/>
      <c r="Z639" s="16"/>
      <c r="AA639" s="16"/>
      <c r="AB639" s="16"/>
      <c r="AC639" s="16"/>
      <c r="AD639" s="16"/>
      <c r="AE639" s="16"/>
      <c r="AF639" s="16"/>
      <c r="AG639" s="16"/>
      <c r="AH639" s="16"/>
      <c r="AI639" s="16"/>
      <c r="AJ639" s="16"/>
    </row>
    <row r="640" ht="12.75" customHeight="1" spans="1:36" x14ac:dyDescent="0.25">
      <c r="A640" s="16"/>
      <c r="B640" s="16"/>
      <c r="C640" s="16"/>
      <c r="D640" s="16"/>
      <c r="E640" s="16"/>
      <c r="F640" s="16"/>
      <c r="G640" s="16"/>
      <c r="H640" s="16"/>
      <c r="I640" s="16"/>
      <c r="J640" s="16"/>
      <c r="K640" s="16"/>
      <c r="L640" s="16"/>
      <c r="M640" s="16"/>
      <c r="N640" s="16"/>
      <c r="O640" s="16"/>
      <c r="P640" s="16"/>
      <c r="Q640" s="16"/>
      <c r="R640" s="16"/>
      <c r="S640" s="16"/>
      <c r="T640" s="16"/>
      <c r="U640" s="16"/>
      <c r="V640" s="16"/>
      <c r="W640" s="16"/>
      <c r="X640" s="16"/>
      <c r="Y640" s="16"/>
      <c r="Z640" s="16"/>
      <c r="AA640" s="16"/>
      <c r="AB640" s="16"/>
      <c r="AC640" s="16"/>
      <c r="AD640" s="16"/>
      <c r="AE640" s="16"/>
      <c r="AF640" s="16"/>
      <c r="AG640" s="16"/>
      <c r="AH640" s="16"/>
      <c r="AI640" s="16"/>
      <c r="AJ640" s="16"/>
    </row>
    <row r="641" ht="12.75" customHeight="1" spans="1:36" x14ac:dyDescent="0.25">
      <c r="A641" s="16"/>
      <c r="B641" s="16"/>
      <c r="C641" s="16"/>
      <c r="D641" s="16"/>
      <c r="E641" s="16"/>
      <c r="F641" s="16"/>
      <c r="G641" s="16"/>
      <c r="H641" s="16"/>
      <c r="I641" s="16"/>
      <c r="J641" s="16"/>
      <c r="K641" s="16"/>
      <c r="L641" s="16"/>
      <c r="M641" s="16"/>
      <c r="N641" s="16"/>
      <c r="O641" s="16"/>
      <c r="P641" s="16"/>
      <c r="Q641" s="16"/>
      <c r="R641" s="16"/>
      <c r="S641" s="16"/>
      <c r="T641" s="16"/>
      <c r="U641" s="16"/>
      <c r="V641" s="16"/>
      <c r="W641" s="16"/>
      <c r="X641" s="16"/>
      <c r="Y641" s="16"/>
      <c r="Z641" s="16"/>
      <c r="AA641" s="16"/>
      <c r="AB641" s="16"/>
      <c r="AC641" s="16"/>
      <c r="AD641" s="16"/>
      <c r="AE641" s="16"/>
      <c r="AF641" s="16"/>
      <c r="AG641" s="16"/>
      <c r="AH641" s="16"/>
      <c r="AI641" s="16"/>
      <c r="AJ641" s="16"/>
    </row>
    <row r="642" ht="12.75" customHeight="1" spans="1:36" x14ac:dyDescent="0.25">
      <c r="A642" s="16"/>
      <c r="B642" s="16"/>
      <c r="C642" s="16"/>
      <c r="D642" s="16"/>
      <c r="E642" s="16"/>
      <c r="F642" s="16"/>
      <c r="G642" s="16"/>
      <c r="H642" s="16"/>
      <c r="I642" s="16"/>
      <c r="J642" s="16"/>
      <c r="K642" s="16"/>
      <c r="L642" s="16"/>
      <c r="M642" s="16"/>
      <c r="N642" s="16"/>
      <c r="O642" s="16"/>
      <c r="P642" s="16"/>
      <c r="Q642" s="16"/>
      <c r="R642" s="16"/>
      <c r="S642" s="16"/>
      <c r="T642" s="16"/>
      <c r="U642" s="16"/>
      <c r="V642" s="16"/>
      <c r="W642" s="16"/>
      <c r="X642" s="16"/>
      <c r="Y642" s="16"/>
      <c r="Z642" s="16"/>
      <c r="AA642" s="16"/>
      <c r="AB642" s="16"/>
      <c r="AC642" s="16"/>
      <c r="AD642" s="16"/>
      <c r="AE642" s="16"/>
      <c r="AF642" s="16"/>
      <c r="AG642" s="16"/>
      <c r="AH642" s="16"/>
      <c r="AI642" s="16"/>
      <c r="AJ642" s="16"/>
    </row>
    <row r="643" ht="12.75" customHeight="1" spans="1:36" x14ac:dyDescent="0.25">
      <c r="A643" s="16"/>
      <c r="B643" s="16"/>
      <c r="C643" s="16"/>
      <c r="D643" s="16"/>
      <c r="E643" s="16"/>
      <c r="F643" s="16"/>
      <c r="G643" s="16"/>
      <c r="H643" s="16"/>
      <c r="I643" s="16"/>
      <c r="J643" s="16"/>
      <c r="K643" s="16"/>
      <c r="L643" s="16"/>
      <c r="M643" s="16"/>
      <c r="N643" s="16"/>
      <c r="O643" s="16"/>
      <c r="P643" s="16"/>
      <c r="Q643" s="16"/>
      <c r="R643" s="16"/>
      <c r="S643" s="16"/>
      <c r="T643" s="16"/>
      <c r="U643" s="16"/>
      <c r="V643" s="16"/>
      <c r="W643" s="16"/>
      <c r="X643" s="16"/>
      <c r="Y643" s="16"/>
      <c r="Z643" s="16"/>
      <c r="AA643" s="16"/>
      <c r="AB643" s="16"/>
      <c r="AC643" s="16"/>
      <c r="AD643" s="16"/>
      <c r="AE643" s="16"/>
      <c r="AF643" s="16"/>
      <c r="AG643" s="16"/>
      <c r="AH643" s="16"/>
      <c r="AI643" s="16"/>
      <c r="AJ643" s="16"/>
    </row>
    <row r="644" ht="12.75" customHeight="1" spans="1:36" x14ac:dyDescent="0.25">
      <c r="A644" s="16"/>
      <c r="B644" s="16"/>
      <c r="C644" s="16"/>
      <c r="D644" s="16"/>
      <c r="E644" s="16"/>
      <c r="F644" s="16"/>
      <c r="G644" s="16"/>
      <c r="H644" s="16"/>
      <c r="I644" s="16"/>
      <c r="J644" s="16"/>
      <c r="K644" s="16"/>
      <c r="L644" s="16"/>
      <c r="M644" s="16"/>
      <c r="N644" s="16"/>
      <c r="O644" s="16"/>
      <c r="P644" s="16"/>
      <c r="Q644" s="16"/>
      <c r="R644" s="16"/>
      <c r="S644" s="16"/>
      <c r="T644" s="16"/>
      <c r="U644" s="16"/>
      <c r="V644" s="16"/>
      <c r="W644" s="16"/>
      <c r="X644" s="16"/>
      <c r="Y644" s="16"/>
      <c r="Z644" s="16"/>
      <c r="AA644" s="16"/>
      <c r="AB644" s="16"/>
      <c r="AC644" s="16"/>
      <c r="AD644" s="16"/>
      <c r="AE644" s="16"/>
      <c r="AF644" s="16"/>
      <c r="AG644" s="16"/>
      <c r="AH644" s="16"/>
      <c r="AI644" s="16"/>
      <c r="AJ644" s="16"/>
    </row>
    <row r="645" ht="12.75" customHeight="1" spans="1:36" x14ac:dyDescent="0.25">
      <c r="A645" s="16"/>
      <c r="B645" s="16"/>
      <c r="C645" s="16"/>
      <c r="D645" s="16"/>
      <c r="E645" s="16"/>
      <c r="F645" s="16"/>
      <c r="G645" s="16"/>
      <c r="H645" s="16"/>
      <c r="I645" s="16"/>
      <c r="J645" s="16"/>
      <c r="K645" s="16"/>
      <c r="L645" s="16"/>
      <c r="M645" s="16"/>
      <c r="N645" s="16"/>
      <c r="O645" s="16"/>
      <c r="P645" s="16"/>
      <c r="Q645" s="16"/>
      <c r="R645" s="16"/>
      <c r="S645" s="16"/>
      <c r="T645" s="16"/>
      <c r="U645" s="16"/>
      <c r="V645" s="16"/>
      <c r="W645" s="16"/>
      <c r="X645" s="16"/>
      <c r="Y645" s="16"/>
      <c r="Z645" s="16"/>
      <c r="AA645" s="16"/>
      <c r="AB645" s="16"/>
      <c r="AC645" s="16"/>
      <c r="AD645" s="16"/>
      <c r="AE645" s="16"/>
      <c r="AF645" s="16"/>
      <c r="AG645" s="16"/>
      <c r="AH645" s="16"/>
      <c r="AI645" s="16"/>
      <c r="AJ645" s="16"/>
    </row>
    <row r="646" ht="12.75" customHeight="1" spans="1:36" x14ac:dyDescent="0.25">
      <c r="A646" s="16"/>
      <c r="B646" s="16"/>
      <c r="C646" s="16"/>
      <c r="D646" s="16"/>
      <c r="E646" s="16"/>
      <c r="F646" s="16"/>
      <c r="G646" s="16"/>
      <c r="H646" s="16"/>
      <c r="I646" s="16"/>
      <c r="J646" s="16"/>
      <c r="K646" s="16"/>
      <c r="L646" s="16"/>
      <c r="M646" s="16"/>
      <c r="N646" s="16"/>
      <c r="O646" s="16"/>
      <c r="P646" s="16"/>
      <c r="Q646" s="16"/>
      <c r="R646" s="16"/>
      <c r="S646" s="16"/>
      <c r="T646" s="16"/>
      <c r="U646" s="16"/>
      <c r="V646" s="16"/>
      <c r="W646" s="16"/>
      <c r="X646" s="16"/>
      <c r="Y646" s="16"/>
      <c r="Z646" s="16"/>
      <c r="AA646" s="16"/>
      <c r="AB646" s="16"/>
      <c r="AC646" s="16"/>
      <c r="AD646" s="16"/>
      <c r="AE646" s="16"/>
      <c r="AF646" s="16"/>
      <c r="AG646" s="16"/>
      <c r="AH646" s="16"/>
      <c r="AI646" s="16"/>
      <c r="AJ646" s="16"/>
    </row>
    <row r="647" ht="12.75" customHeight="1" spans="1:36" x14ac:dyDescent="0.25">
      <c r="A647" s="16"/>
      <c r="B647" s="16"/>
      <c r="C647" s="16"/>
      <c r="D647" s="16"/>
      <c r="E647" s="16"/>
      <c r="F647" s="16"/>
      <c r="G647" s="16"/>
      <c r="H647" s="16"/>
      <c r="I647" s="16"/>
      <c r="J647" s="16"/>
      <c r="K647" s="16"/>
      <c r="L647" s="16"/>
      <c r="M647" s="16"/>
      <c r="N647" s="16"/>
      <c r="O647" s="16"/>
      <c r="P647" s="16"/>
      <c r="Q647" s="16"/>
      <c r="R647" s="16"/>
      <c r="S647" s="16"/>
      <c r="T647" s="16"/>
      <c r="U647" s="16"/>
      <c r="V647" s="16"/>
      <c r="W647" s="16"/>
      <c r="X647" s="16"/>
      <c r="Y647" s="16"/>
      <c r="Z647" s="16"/>
      <c r="AA647" s="16"/>
      <c r="AB647" s="16"/>
      <c r="AC647" s="16"/>
      <c r="AD647" s="16"/>
      <c r="AE647" s="16"/>
      <c r="AF647" s="16"/>
      <c r="AG647" s="16"/>
      <c r="AH647" s="16"/>
      <c r="AI647" s="16"/>
      <c r="AJ647" s="16"/>
    </row>
    <row r="648" ht="12.75" customHeight="1" spans="1:36" x14ac:dyDescent="0.25">
      <c r="A648" s="16"/>
      <c r="B648" s="16"/>
      <c r="C648" s="16"/>
      <c r="D648" s="16"/>
      <c r="E648" s="16"/>
      <c r="F648" s="16"/>
      <c r="G648" s="16"/>
      <c r="H648" s="16"/>
      <c r="I648" s="16"/>
      <c r="J648" s="16"/>
      <c r="K648" s="16"/>
      <c r="L648" s="16"/>
      <c r="M648" s="16"/>
      <c r="N648" s="16"/>
      <c r="O648" s="16"/>
      <c r="P648" s="16"/>
      <c r="Q648" s="16"/>
      <c r="R648" s="16"/>
      <c r="S648" s="16"/>
      <c r="T648" s="16"/>
      <c r="U648" s="16"/>
      <c r="V648" s="16"/>
      <c r="W648" s="16"/>
      <c r="X648" s="16"/>
      <c r="Y648" s="16"/>
      <c r="Z648" s="16"/>
      <c r="AA648" s="16"/>
      <c r="AB648" s="16"/>
      <c r="AC648" s="16"/>
      <c r="AD648" s="16"/>
      <c r="AE648" s="16"/>
      <c r="AF648" s="16"/>
      <c r="AG648" s="16"/>
      <c r="AH648" s="16"/>
      <c r="AI648" s="16"/>
      <c r="AJ648" s="16"/>
    </row>
    <row r="649" ht="12.75" customHeight="1" spans="1:36" x14ac:dyDescent="0.25">
      <c r="A649" s="16"/>
      <c r="B649" s="16"/>
      <c r="C649" s="16"/>
      <c r="D649" s="16"/>
      <c r="E649" s="16"/>
      <c r="F649" s="16"/>
      <c r="G649" s="16"/>
      <c r="H649" s="16"/>
      <c r="I649" s="16"/>
      <c r="J649" s="16"/>
      <c r="K649" s="16"/>
      <c r="L649" s="16"/>
      <c r="M649" s="16"/>
      <c r="N649" s="16"/>
      <c r="O649" s="16"/>
      <c r="P649" s="16"/>
      <c r="Q649" s="16"/>
      <c r="R649" s="16"/>
      <c r="S649" s="16"/>
      <c r="T649" s="16"/>
      <c r="U649" s="16"/>
      <c r="V649" s="16"/>
      <c r="W649" s="16"/>
      <c r="X649" s="16"/>
      <c r="Y649" s="16"/>
      <c r="Z649" s="16"/>
      <c r="AA649" s="16"/>
      <c r="AB649" s="16"/>
      <c r="AC649" s="16"/>
      <c r="AD649" s="16"/>
      <c r="AE649" s="16"/>
      <c r="AF649" s="16"/>
      <c r="AG649" s="16"/>
      <c r="AH649" s="16"/>
      <c r="AI649" s="16"/>
      <c r="AJ649" s="16"/>
    </row>
    <row r="650" ht="12.75" customHeight="1" spans="1:36" x14ac:dyDescent="0.25">
      <c r="A650" s="16"/>
      <c r="B650" s="16"/>
      <c r="C650" s="16"/>
      <c r="D650" s="16"/>
      <c r="E650" s="16"/>
      <c r="F650" s="16"/>
      <c r="G650" s="16"/>
      <c r="H650" s="16"/>
      <c r="I650" s="16"/>
      <c r="J650" s="16"/>
      <c r="K650" s="16"/>
      <c r="L650" s="16"/>
      <c r="M650" s="16"/>
      <c r="N650" s="16"/>
      <c r="O650" s="16"/>
      <c r="P650" s="16"/>
      <c r="Q650" s="16"/>
      <c r="R650" s="16"/>
      <c r="S650" s="16"/>
      <c r="T650" s="16"/>
      <c r="U650" s="16"/>
      <c r="V650" s="16"/>
      <c r="W650" s="16"/>
      <c r="X650" s="16"/>
      <c r="Y650" s="16"/>
      <c r="Z650" s="16"/>
      <c r="AA650" s="16"/>
      <c r="AB650" s="16"/>
      <c r="AC650" s="16"/>
      <c r="AD650" s="16"/>
      <c r="AE650" s="16"/>
      <c r="AF650" s="16"/>
      <c r="AG650" s="16"/>
      <c r="AH650" s="16"/>
      <c r="AI650" s="16"/>
      <c r="AJ650" s="16"/>
    </row>
    <row r="651" ht="12.75" customHeight="1" spans="1:36" x14ac:dyDescent="0.25">
      <c r="A651" s="16"/>
      <c r="B651" s="16"/>
      <c r="C651" s="16"/>
      <c r="D651" s="16"/>
      <c r="E651" s="16"/>
      <c r="F651" s="16"/>
      <c r="G651" s="16"/>
      <c r="H651" s="16"/>
      <c r="I651" s="16"/>
      <c r="J651" s="16"/>
      <c r="K651" s="16"/>
      <c r="L651" s="16"/>
      <c r="M651" s="16"/>
      <c r="N651" s="16"/>
      <c r="O651" s="16"/>
      <c r="P651" s="16"/>
      <c r="Q651" s="16"/>
      <c r="R651" s="16"/>
      <c r="S651" s="16"/>
      <c r="T651" s="16"/>
      <c r="U651" s="16"/>
      <c r="V651" s="16"/>
      <c r="W651" s="16"/>
      <c r="X651" s="16"/>
      <c r="Y651" s="16"/>
      <c r="Z651" s="16"/>
      <c r="AA651" s="16"/>
      <c r="AB651" s="16"/>
      <c r="AC651" s="16"/>
      <c r="AD651" s="16"/>
      <c r="AE651" s="16"/>
      <c r="AF651" s="16"/>
      <c r="AG651" s="16"/>
      <c r="AH651" s="16"/>
      <c r="AI651" s="16"/>
      <c r="AJ651" s="16"/>
    </row>
    <row r="652" ht="12.75" customHeight="1" spans="1:36" x14ac:dyDescent="0.25">
      <c r="A652" s="16"/>
      <c r="B652" s="16"/>
      <c r="C652" s="16"/>
      <c r="D652" s="16"/>
      <c r="E652" s="16"/>
      <c r="F652" s="16"/>
      <c r="G652" s="16"/>
      <c r="H652" s="16"/>
      <c r="I652" s="16"/>
      <c r="J652" s="16"/>
      <c r="K652" s="16"/>
      <c r="L652" s="16"/>
      <c r="M652" s="16"/>
      <c r="N652" s="16"/>
      <c r="O652" s="16"/>
      <c r="P652" s="16"/>
      <c r="Q652" s="16"/>
      <c r="R652" s="16"/>
      <c r="S652" s="16"/>
      <c r="T652" s="16"/>
      <c r="U652" s="16"/>
      <c r="V652" s="16"/>
      <c r="W652" s="16"/>
      <c r="X652" s="16"/>
      <c r="Y652" s="16"/>
      <c r="Z652" s="16"/>
      <c r="AA652" s="16"/>
      <c r="AB652" s="16"/>
      <c r="AC652" s="16"/>
      <c r="AD652" s="16"/>
      <c r="AE652" s="16"/>
      <c r="AF652" s="16"/>
      <c r="AG652" s="16"/>
      <c r="AH652" s="16"/>
      <c r="AI652" s="16"/>
      <c r="AJ652" s="16"/>
    </row>
    <row r="653" ht="12.75" customHeight="1" spans="1:36" x14ac:dyDescent="0.25">
      <c r="A653" s="16"/>
      <c r="B653" s="16"/>
      <c r="C653" s="16"/>
      <c r="D653" s="16"/>
      <c r="E653" s="16"/>
      <c r="F653" s="16"/>
      <c r="G653" s="16"/>
      <c r="H653" s="16"/>
      <c r="I653" s="16"/>
      <c r="J653" s="16"/>
      <c r="K653" s="16"/>
      <c r="L653" s="16"/>
      <c r="M653" s="16"/>
      <c r="N653" s="16"/>
      <c r="O653" s="16"/>
      <c r="P653" s="16"/>
      <c r="Q653" s="16"/>
      <c r="R653" s="16"/>
      <c r="S653" s="16"/>
      <c r="T653" s="16"/>
      <c r="U653" s="16"/>
      <c r="V653" s="16"/>
      <c r="W653" s="16"/>
      <c r="X653" s="16"/>
      <c r="Y653" s="16"/>
      <c r="Z653" s="16"/>
      <c r="AA653" s="16"/>
      <c r="AB653" s="16"/>
      <c r="AC653" s="16"/>
      <c r="AD653" s="16"/>
      <c r="AE653" s="16"/>
      <c r="AF653" s="16"/>
      <c r="AG653" s="16"/>
      <c r="AH653" s="16"/>
      <c r="AI653" s="16"/>
      <c r="AJ653" s="16"/>
    </row>
    <row r="654" ht="12.75" customHeight="1" spans="1:36" x14ac:dyDescent="0.25">
      <c r="A654" s="16"/>
      <c r="B654" s="16"/>
      <c r="C654" s="16"/>
      <c r="D654" s="16"/>
      <c r="E654" s="16"/>
      <c r="F654" s="16"/>
      <c r="G654" s="16"/>
      <c r="H654" s="16"/>
      <c r="I654" s="16"/>
      <c r="J654" s="16"/>
      <c r="K654" s="16"/>
      <c r="L654" s="16"/>
      <c r="M654" s="16"/>
      <c r="N654" s="16"/>
      <c r="O654" s="16"/>
      <c r="P654" s="16"/>
      <c r="Q654" s="16"/>
      <c r="R654" s="16"/>
      <c r="S654" s="16"/>
      <c r="T654" s="16"/>
      <c r="U654" s="16"/>
      <c r="V654" s="16"/>
      <c r="W654" s="16"/>
      <c r="X654" s="16"/>
      <c r="Y654" s="16"/>
      <c r="Z654" s="16"/>
      <c r="AA654" s="16"/>
      <c r="AB654" s="16"/>
      <c r="AC654" s="16"/>
      <c r="AD654" s="16"/>
      <c r="AE654" s="16"/>
      <c r="AF654" s="16"/>
      <c r="AG654" s="16"/>
      <c r="AH654" s="16"/>
      <c r="AI654" s="16"/>
      <c r="AJ654" s="16"/>
    </row>
    <row r="655" ht="12.75" customHeight="1" spans="1:36" x14ac:dyDescent="0.25">
      <c r="A655" s="16"/>
      <c r="B655" s="16"/>
      <c r="C655" s="16"/>
      <c r="D655" s="16"/>
      <c r="E655" s="16"/>
      <c r="F655" s="16"/>
      <c r="G655" s="16"/>
      <c r="H655" s="16"/>
      <c r="I655" s="16"/>
      <c r="J655" s="16"/>
      <c r="K655" s="16"/>
      <c r="L655" s="16"/>
      <c r="M655" s="16"/>
      <c r="N655" s="16"/>
      <c r="O655" s="16"/>
      <c r="P655" s="16"/>
      <c r="Q655" s="16"/>
      <c r="R655" s="16"/>
      <c r="S655" s="16"/>
      <c r="T655" s="16"/>
      <c r="U655" s="16"/>
      <c r="V655" s="16"/>
      <c r="W655" s="16"/>
      <c r="X655" s="16"/>
      <c r="Y655" s="16"/>
      <c r="Z655" s="16"/>
      <c r="AA655" s="16"/>
      <c r="AB655" s="16"/>
      <c r="AC655" s="16"/>
      <c r="AD655" s="16"/>
      <c r="AE655" s="16"/>
      <c r="AF655" s="16"/>
      <c r="AG655" s="16"/>
      <c r="AH655" s="16"/>
      <c r="AI655" s="16"/>
      <c r="AJ655" s="16"/>
    </row>
    <row r="656" ht="12.75" customHeight="1" spans="1:36" x14ac:dyDescent="0.25">
      <c r="A656" s="16"/>
      <c r="B656" s="16"/>
      <c r="C656" s="16"/>
      <c r="D656" s="16"/>
      <c r="E656" s="16"/>
      <c r="F656" s="16"/>
      <c r="G656" s="16"/>
      <c r="H656" s="16"/>
      <c r="I656" s="16"/>
      <c r="J656" s="16"/>
      <c r="K656" s="16"/>
      <c r="L656" s="16"/>
      <c r="M656" s="16"/>
      <c r="N656" s="16"/>
      <c r="O656" s="16"/>
      <c r="P656" s="16"/>
      <c r="Q656" s="16"/>
      <c r="R656" s="16"/>
      <c r="S656" s="16"/>
      <c r="T656" s="16"/>
      <c r="U656" s="16"/>
      <c r="V656" s="16"/>
      <c r="W656" s="16"/>
      <c r="X656" s="16"/>
      <c r="Y656" s="16"/>
      <c r="Z656" s="16"/>
      <c r="AA656" s="16"/>
      <c r="AB656" s="16"/>
      <c r="AC656" s="16"/>
      <c r="AD656" s="16"/>
      <c r="AE656" s="16"/>
      <c r="AF656" s="16"/>
      <c r="AG656" s="16"/>
      <c r="AH656" s="16"/>
      <c r="AI656" s="16"/>
      <c r="AJ656" s="16"/>
    </row>
    <row r="657" ht="12.75" customHeight="1" spans="1:36" x14ac:dyDescent="0.25">
      <c r="A657" s="16"/>
      <c r="B657" s="16"/>
      <c r="C657" s="16"/>
      <c r="D657" s="16"/>
      <c r="E657" s="16"/>
      <c r="F657" s="16"/>
      <c r="G657" s="16"/>
      <c r="H657" s="16"/>
      <c r="I657" s="16"/>
      <c r="J657" s="16"/>
      <c r="K657" s="16"/>
      <c r="L657" s="16"/>
      <c r="M657" s="16"/>
      <c r="N657" s="16"/>
      <c r="O657" s="16"/>
      <c r="P657" s="16"/>
      <c r="Q657" s="16"/>
      <c r="R657" s="16"/>
      <c r="S657" s="16"/>
      <c r="T657" s="16"/>
      <c r="U657" s="16"/>
      <c r="V657" s="16"/>
      <c r="W657" s="16"/>
      <c r="X657" s="16"/>
      <c r="Y657" s="16"/>
      <c r="Z657" s="16"/>
      <c r="AA657" s="16"/>
      <c r="AB657" s="16"/>
      <c r="AC657" s="16"/>
      <c r="AD657" s="16"/>
      <c r="AE657" s="16"/>
      <c r="AF657" s="16"/>
      <c r="AG657" s="16"/>
      <c r="AH657" s="16"/>
      <c r="AI657" s="16"/>
      <c r="AJ657" s="16"/>
    </row>
    <row r="658" ht="12.75" customHeight="1" spans="1:36" x14ac:dyDescent="0.25">
      <c r="A658" s="16"/>
      <c r="B658" s="16"/>
      <c r="C658" s="16"/>
      <c r="D658" s="16"/>
      <c r="E658" s="16"/>
      <c r="F658" s="16"/>
      <c r="G658" s="16"/>
      <c r="H658" s="16"/>
      <c r="I658" s="16"/>
      <c r="J658" s="16"/>
      <c r="K658" s="16"/>
      <c r="L658" s="16"/>
      <c r="M658" s="16"/>
      <c r="N658" s="16"/>
      <c r="O658" s="16"/>
      <c r="P658" s="16"/>
      <c r="Q658" s="16"/>
      <c r="R658" s="16"/>
      <c r="S658" s="16"/>
      <c r="T658" s="16"/>
      <c r="U658" s="16"/>
      <c r="V658" s="16"/>
      <c r="W658" s="16"/>
      <c r="X658" s="16"/>
      <c r="Y658" s="16"/>
      <c r="Z658" s="16"/>
      <c r="AA658" s="16"/>
      <c r="AB658" s="16"/>
      <c r="AC658" s="16"/>
      <c r="AD658" s="16"/>
      <c r="AE658" s="16"/>
      <c r="AF658" s="16"/>
      <c r="AG658" s="16"/>
      <c r="AH658" s="16"/>
      <c r="AI658" s="16"/>
      <c r="AJ658" s="16"/>
    </row>
    <row r="659" ht="12.75" customHeight="1" spans="1:36" x14ac:dyDescent="0.25">
      <c r="A659" s="16"/>
      <c r="B659" s="16"/>
      <c r="C659" s="16"/>
      <c r="D659" s="16"/>
      <c r="E659" s="16"/>
      <c r="F659" s="16"/>
      <c r="G659" s="16"/>
      <c r="H659" s="16"/>
      <c r="I659" s="16"/>
      <c r="J659" s="16"/>
      <c r="K659" s="16"/>
      <c r="L659" s="16"/>
      <c r="M659" s="16"/>
      <c r="N659" s="16"/>
      <c r="O659" s="16"/>
      <c r="P659" s="16"/>
      <c r="Q659" s="16"/>
      <c r="R659" s="16"/>
      <c r="S659" s="16"/>
      <c r="T659" s="16"/>
      <c r="U659" s="16"/>
      <c r="V659" s="16"/>
      <c r="W659" s="16"/>
      <c r="X659" s="16"/>
      <c r="Y659" s="16"/>
      <c r="Z659" s="16"/>
      <c r="AA659" s="16"/>
      <c r="AB659" s="16"/>
      <c r="AC659" s="16"/>
      <c r="AD659" s="16"/>
      <c r="AE659" s="16"/>
      <c r="AF659" s="16"/>
      <c r="AG659" s="16"/>
      <c r="AH659" s="16"/>
      <c r="AI659" s="16"/>
      <c r="AJ659" s="16"/>
    </row>
    <row r="660" ht="12.75" customHeight="1" spans="1:36" x14ac:dyDescent="0.25">
      <c r="A660" s="16"/>
      <c r="B660" s="16"/>
      <c r="C660" s="16"/>
      <c r="D660" s="16"/>
      <c r="E660" s="16"/>
      <c r="F660" s="16"/>
      <c r="G660" s="16"/>
      <c r="H660" s="16"/>
      <c r="I660" s="16"/>
      <c r="J660" s="16"/>
      <c r="K660" s="16"/>
      <c r="L660" s="16"/>
      <c r="M660" s="16"/>
      <c r="N660" s="16"/>
      <c r="O660" s="16"/>
      <c r="P660" s="16"/>
      <c r="Q660" s="16"/>
      <c r="R660" s="16"/>
      <c r="S660" s="16"/>
      <c r="T660" s="16"/>
      <c r="U660" s="16"/>
      <c r="V660" s="16"/>
      <c r="W660" s="16"/>
      <c r="X660" s="16"/>
      <c r="Y660" s="16"/>
      <c r="Z660" s="16"/>
      <c r="AA660" s="16"/>
      <c r="AB660" s="16"/>
      <c r="AC660" s="16"/>
      <c r="AD660" s="16"/>
      <c r="AE660" s="16"/>
      <c r="AF660" s="16"/>
      <c r="AG660" s="16"/>
      <c r="AH660" s="16"/>
      <c r="AI660" s="16"/>
      <c r="AJ660" s="16"/>
    </row>
    <row r="661" ht="12.75" customHeight="1" spans="1:36" x14ac:dyDescent="0.25">
      <c r="A661" s="16"/>
      <c r="B661" s="16"/>
      <c r="C661" s="16"/>
      <c r="D661" s="16"/>
      <c r="E661" s="16"/>
      <c r="F661" s="16"/>
      <c r="G661" s="16"/>
      <c r="H661" s="16"/>
      <c r="I661" s="16"/>
      <c r="J661" s="16"/>
      <c r="K661" s="16"/>
      <c r="L661" s="16"/>
      <c r="M661" s="16"/>
      <c r="N661" s="16"/>
      <c r="O661" s="16"/>
      <c r="P661" s="16"/>
      <c r="Q661" s="16"/>
      <c r="R661" s="16"/>
      <c r="S661" s="16"/>
      <c r="T661" s="16"/>
      <c r="U661" s="16"/>
      <c r="V661" s="16"/>
      <c r="W661" s="16"/>
      <c r="X661" s="16"/>
      <c r="Y661" s="16"/>
      <c r="Z661" s="16"/>
      <c r="AA661" s="16"/>
      <c r="AB661" s="16"/>
      <c r="AC661" s="16"/>
      <c r="AD661" s="16"/>
      <c r="AE661" s="16"/>
      <c r="AF661" s="16"/>
      <c r="AG661" s="16"/>
      <c r="AH661" s="16"/>
      <c r="AI661" s="16"/>
      <c r="AJ661" s="16"/>
    </row>
    <row r="662" ht="12.75" customHeight="1" spans="1:36" x14ac:dyDescent="0.25">
      <c r="A662" s="16"/>
      <c r="B662" s="16"/>
      <c r="C662" s="16"/>
      <c r="D662" s="16"/>
      <c r="E662" s="16"/>
      <c r="F662" s="16"/>
      <c r="G662" s="16"/>
      <c r="H662" s="16"/>
      <c r="I662" s="16"/>
      <c r="J662" s="16"/>
      <c r="K662" s="16"/>
      <c r="L662" s="16"/>
      <c r="M662" s="16"/>
      <c r="N662" s="16"/>
      <c r="O662" s="16"/>
      <c r="P662" s="16"/>
      <c r="Q662" s="16"/>
      <c r="R662" s="16"/>
      <c r="S662" s="16"/>
      <c r="T662" s="16"/>
      <c r="U662" s="16"/>
      <c r="V662" s="16"/>
      <c r="W662" s="16"/>
      <c r="X662" s="16"/>
      <c r="Y662" s="16"/>
      <c r="Z662" s="16"/>
      <c r="AA662" s="16"/>
      <c r="AB662" s="16"/>
      <c r="AC662" s="16"/>
      <c r="AD662" s="16"/>
      <c r="AE662" s="16"/>
      <c r="AF662" s="16"/>
      <c r="AG662" s="16"/>
      <c r="AH662" s="16"/>
      <c r="AI662" s="16"/>
      <c r="AJ662" s="16"/>
    </row>
    <row r="663" ht="12.75" customHeight="1" spans="1:36" x14ac:dyDescent="0.25">
      <c r="A663" s="16"/>
      <c r="B663" s="16"/>
      <c r="C663" s="16"/>
      <c r="D663" s="16"/>
      <c r="E663" s="16"/>
      <c r="F663" s="16"/>
      <c r="G663" s="16"/>
      <c r="H663" s="16"/>
      <c r="I663" s="16"/>
      <c r="J663" s="16"/>
      <c r="K663" s="16"/>
      <c r="L663" s="16"/>
      <c r="M663" s="16"/>
      <c r="N663" s="16"/>
      <c r="O663" s="16"/>
      <c r="P663" s="16"/>
      <c r="Q663" s="16"/>
      <c r="R663" s="16"/>
      <c r="S663" s="16"/>
      <c r="T663" s="16"/>
      <c r="U663" s="16"/>
      <c r="V663" s="16"/>
      <c r="W663" s="16"/>
      <c r="X663" s="16"/>
      <c r="Y663" s="16"/>
      <c r="Z663" s="16"/>
      <c r="AA663" s="16"/>
      <c r="AB663" s="16"/>
      <c r="AC663" s="16"/>
      <c r="AD663" s="16"/>
      <c r="AE663" s="16"/>
      <c r="AF663" s="16"/>
      <c r="AG663" s="16"/>
      <c r="AH663" s="16"/>
      <c r="AI663" s="16"/>
      <c r="AJ663" s="16"/>
    </row>
    <row r="664" ht="12.75" customHeight="1" spans="1:36" x14ac:dyDescent="0.25">
      <c r="A664" s="16"/>
      <c r="B664" s="16"/>
      <c r="C664" s="16"/>
      <c r="D664" s="16"/>
      <c r="E664" s="16"/>
      <c r="F664" s="16"/>
      <c r="G664" s="16"/>
      <c r="H664" s="16"/>
      <c r="I664" s="16"/>
      <c r="J664" s="16"/>
      <c r="K664" s="16"/>
      <c r="L664" s="16"/>
      <c r="M664" s="16"/>
      <c r="N664" s="16"/>
      <c r="O664" s="16"/>
      <c r="P664" s="16"/>
      <c r="Q664" s="16"/>
      <c r="R664" s="16"/>
      <c r="S664" s="16"/>
      <c r="T664" s="16"/>
      <c r="U664" s="16"/>
      <c r="V664" s="16"/>
      <c r="W664" s="16"/>
      <c r="X664" s="16"/>
      <c r="Y664" s="16"/>
      <c r="Z664" s="16"/>
      <c r="AA664" s="16"/>
      <c r="AB664" s="16"/>
      <c r="AC664" s="16"/>
      <c r="AD664" s="16"/>
      <c r="AE664" s="16"/>
      <c r="AF664" s="16"/>
      <c r="AG664" s="16"/>
      <c r="AH664" s="16"/>
      <c r="AI664" s="16"/>
      <c r="AJ664" s="16"/>
    </row>
    <row r="665" ht="12.75" customHeight="1" spans="1:36" x14ac:dyDescent="0.25">
      <c r="A665" s="16"/>
      <c r="B665" s="16"/>
      <c r="C665" s="16"/>
      <c r="D665" s="16"/>
      <c r="E665" s="16"/>
      <c r="F665" s="16"/>
      <c r="G665" s="16"/>
      <c r="H665" s="16"/>
      <c r="I665" s="16"/>
      <c r="J665" s="16"/>
      <c r="K665" s="16"/>
      <c r="L665" s="16"/>
      <c r="M665" s="16"/>
      <c r="N665" s="16"/>
      <c r="O665" s="16"/>
      <c r="P665" s="16"/>
      <c r="Q665" s="16"/>
      <c r="R665" s="16"/>
      <c r="S665" s="16"/>
      <c r="T665" s="16"/>
      <c r="U665" s="16"/>
      <c r="V665" s="16"/>
      <c r="W665" s="16"/>
      <c r="X665" s="16"/>
      <c r="Y665" s="16"/>
      <c r="Z665" s="16"/>
      <c r="AA665" s="16"/>
      <c r="AB665" s="16"/>
      <c r="AC665" s="16"/>
      <c r="AD665" s="16"/>
      <c r="AE665" s="16"/>
      <c r="AF665" s="16"/>
      <c r="AG665" s="16"/>
      <c r="AH665" s="16"/>
      <c r="AI665" s="16"/>
      <c r="AJ665" s="16"/>
    </row>
    <row r="666" ht="12.75" customHeight="1" spans="1:36" x14ac:dyDescent="0.25">
      <c r="A666" s="16"/>
      <c r="B666" s="16"/>
      <c r="C666" s="16"/>
      <c r="D666" s="16"/>
      <c r="E666" s="16"/>
      <c r="F666" s="16"/>
      <c r="G666" s="16"/>
      <c r="H666" s="16"/>
      <c r="I666" s="16"/>
      <c r="J666" s="16"/>
      <c r="K666" s="16"/>
      <c r="L666" s="16"/>
      <c r="M666" s="16"/>
      <c r="N666" s="16"/>
      <c r="O666" s="16"/>
      <c r="P666" s="16"/>
      <c r="Q666" s="16"/>
      <c r="R666" s="16"/>
      <c r="S666" s="16"/>
      <c r="T666" s="16"/>
      <c r="U666" s="16"/>
      <c r="V666" s="16"/>
      <c r="W666" s="16"/>
      <c r="X666" s="16"/>
      <c r="Y666" s="16"/>
      <c r="Z666" s="16"/>
      <c r="AA666" s="16"/>
      <c r="AB666" s="16"/>
      <c r="AC666" s="16"/>
      <c r="AD666" s="16"/>
      <c r="AE666" s="16"/>
      <c r="AF666" s="16"/>
      <c r="AG666" s="16"/>
      <c r="AH666" s="16"/>
      <c r="AI666" s="16"/>
      <c r="AJ666" s="16"/>
    </row>
    <row r="667" ht="12.75" customHeight="1" spans="1:36" x14ac:dyDescent="0.25">
      <c r="A667" s="16"/>
      <c r="B667" s="16"/>
      <c r="C667" s="16"/>
      <c r="D667" s="16"/>
      <c r="E667" s="16"/>
      <c r="F667" s="16"/>
      <c r="G667" s="16"/>
      <c r="H667" s="16"/>
      <c r="I667" s="16"/>
      <c r="J667" s="16"/>
      <c r="K667" s="16"/>
      <c r="L667" s="16"/>
      <c r="M667" s="16"/>
      <c r="N667" s="16"/>
      <c r="O667" s="16"/>
      <c r="P667" s="16"/>
      <c r="Q667" s="16"/>
      <c r="R667" s="16"/>
      <c r="S667" s="16"/>
      <c r="T667" s="16"/>
      <c r="U667" s="16"/>
      <c r="V667" s="16"/>
      <c r="W667" s="16"/>
      <c r="X667" s="16"/>
      <c r="Y667" s="16"/>
      <c r="Z667" s="16"/>
      <c r="AA667" s="16"/>
      <c r="AB667" s="16"/>
      <c r="AC667" s="16"/>
      <c r="AD667" s="16"/>
      <c r="AE667" s="16"/>
      <c r="AF667" s="16"/>
      <c r="AG667" s="16"/>
      <c r="AH667" s="16"/>
      <c r="AI667" s="16"/>
      <c r="AJ667" s="16"/>
    </row>
    <row r="668" ht="12.75" customHeight="1" spans="1:36" x14ac:dyDescent="0.25">
      <c r="A668" s="16"/>
      <c r="B668" s="16"/>
      <c r="C668" s="16"/>
      <c r="D668" s="16"/>
      <c r="E668" s="16"/>
      <c r="F668" s="16"/>
      <c r="G668" s="16"/>
      <c r="H668" s="16"/>
      <c r="I668" s="16"/>
      <c r="J668" s="16"/>
      <c r="K668" s="16"/>
      <c r="L668" s="16"/>
      <c r="M668" s="16"/>
      <c r="N668" s="16"/>
      <c r="O668" s="16"/>
      <c r="P668" s="16"/>
      <c r="Q668" s="16"/>
      <c r="R668" s="16"/>
      <c r="S668" s="16"/>
      <c r="T668" s="16"/>
      <c r="U668" s="16"/>
      <c r="V668" s="16"/>
      <c r="W668" s="16"/>
      <c r="X668" s="16"/>
      <c r="Y668" s="16"/>
      <c r="Z668" s="16"/>
      <c r="AA668" s="16"/>
      <c r="AB668" s="16"/>
      <c r="AC668" s="16"/>
      <c r="AD668" s="16"/>
      <c r="AE668" s="16"/>
      <c r="AF668" s="16"/>
      <c r="AG668" s="16"/>
      <c r="AH668" s="16"/>
      <c r="AI668" s="16"/>
      <c r="AJ668" s="16"/>
    </row>
    <row r="669" ht="12.75" customHeight="1" spans="1:36" x14ac:dyDescent="0.25">
      <c r="A669" s="16"/>
      <c r="B669" s="16"/>
      <c r="C669" s="16"/>
      <c r="D669" s="16"/>
      <c r="E669" s="16"/>
      <c r="F669" s="16"/>
      <c r="G669" s="16"/>
      <c r="H669" s="16"/>
      <c r="I669" s="16"/>
      <c r="J669" s="16"/>
      <c r="K669" s="16"/>
      <c r="L669" s="16"/>
      <c r="M669" s="16"/>
      <c r="N669" s="16"/>
      <c r="O669" s="16"/>
      <c r="P669" s="16"/>
      <c r="Q669" s="16"/>
      <c r="R669" s="16"/>
      <c r="S669" s="16"/>
      <c r="T669" s="16"/>
      <c r="U669" s="16"/>
      <c r="V669" s="16"/>
      <c r="W669" s="16"/>
      <c r="X669" s="16"/>
      <c r="Y669" s="16"/>
      <c r="Z669" s="16"/>
      <c r="AA669" s="16"/>
      <c r="AB669" s="16"/>
      <c r="AC669" s="16"/>
      <c r="AD669" s="16"/>
      <c r="AE669" s="16"/>
      <c r="AF669" s="16"/>
      <c r="AG669" s="16"/>
      <c r="AH669" s="16"/>
      <c r="AI669" s="16"/>
      <c r="AJ669" s="16"/>
    </row>
    <row r="670" ht="12.75" customHeight="1" spans="1:36" x14ac:dyDescent="0.25">
      <c r="A670" s="16"/>
      <c r="B670" s="16"/>
      <c r="C670" s="16"/>
      <c r="D670" s="16"/>
      <c r="E670" s="16"/>
      <c r="F670" s="16"/>
      <c r="G670" s="16"/>
      <c r="H670" s="16"/>
      <c r="I670" s="16"/>
      <c r="J670" s="16"/>
      <c r="K670" s="16"/>
      <c r="L670" s="16"/>
      <c r="M670" s="16"/>
      <c r="N670" s="16"/>
      <c r="O670" s="16"/>
      <c r="P670" s="16"/>
      <c r="Q670" s="16"/>
      <c r="R670" s="16"/>
      <c r="S670" s="16"/>
      <c r="T670" s="16"/>
      <c r="U670" s="16"/>
      <c r="V670" s="16"/>
      <c r="W670" s="16"/>
      <c r="X670" s="16"/>
      <c r="Y670" s="16"/>
      <c r="Z670" s="16"/>
      <c r="AA670" s="16"/>
      <c r="AB670" s="16"/>
      <c r="AC670" s="16"/>
      <c r="AD670" s="16"/>
      <c r="AE670" s="16"/>
      <c r="AF670" s="16"/>
      <c r="AG670" s="16"/>
      <c r="AH670" s="16"/>
      <c r="AI670" s="16"/>
      <c r="AJ670" s="16"/>
    </row>
    <row r="671" ht="12.75" customHeight="1" spans="1:36" x14ac:dyDescent="0.25">
      <c r="A671" s="16"/>
      <c r="B671" s="16"/>
      <c r="C671" s="16"/>
      <c r="D671" s="16"/>
      <c r="E671" s="16"/>
      <c r="F671" s="16"/>
      <c r="G671" s="16"/>
      <c r="H671" s="16"/>
      <c r="I671" s="16"/>
      <c r="J671" s="16"/>
      <c r="K671" s="16"/>
      <c r="L671" s="16"/>
      <c r="M671" s="16"/>
      <c r="N671" s="16"/>
      <c r="O671" s="16"/>
      <c r="P671" s="16"/>
      <c r="Q671" s="16"/>
      <c r="R671" s="16"/>
      <c r="S671" s="16"/>
      <c r="T671" s="16"/>
      <c r="U671" s="16"/>
      <c r="V671" s="16"/>
      <c r="W671" s="16"/>
      <c r="X671" s="16"/>
      <c r="Y671" s="16"/>
      <c r="Z671" s="16"/>
      <c r="AA671" s="16"/>
      <c r="AB671" s="16"/>
      <c r="AC671" s="16"/>
      <c r="AD671" s="16"/>
      <c r="AE671" s="16"/>
      <c r="AF671" s="16"/>
      <c r="AG671" s="16"/>
      <c r="AH671" s="16"/>
      <c r="AI671" s="16"/>
      <c r="AJ671" s="16"/>
    </row>
    <row r="672" ht="12.75" customHeight="1" spans="1:36" x14ac:dyDescent="0.25">
      <c r="A672" s="16"/>
      <c r="B672" s="16"/>
      <c r="C672" s="16"/>
      <c r="D672" s="16"/>
      <c r="E672" s="16"/>
      <c r="F672" s="16"/>
      <c r="G672" s="16"/>
      <c r="H672" s="16"/>
      <c r="I672" s="16"/>
      <c r="J672" s="16"/>
      <c r="K672" s="16"/>
      <c r="L672" s="16"/>
      <c r="M672" s="16"/>
      <c r="N672" s="16"/>
      <c r="O672" s="16"/>
      <c r="P672" s="16"/>
      <c r="Q672" s="16"/>
      <c r="R672" s="16"/>
      <c r="S672" s="16"/>
      <c r="T672" s="16"/>
      <c r="U672" s="16"/>
      <c r="V672" s="16"/>
      <c r="W672" s="16"/>
      <c r="X672" s="16"/>
      <c r="Y672" s="16"/>
      <c r="Z672" s="16"/>
      <c r="AA672" s="16"/>
      <c r="AB672" s="16"/>
      <c r="AC672" s="16"/>
      <c r="AD672" s="16"/>
      <c r="AE672" s="16"/>
      <c r="AF672" s="16"/>
      <c r="AG672" s="16"/>
      <c r="AH672" s="16"/>
      <c r="AI672" s="16"/>
      <c r="AJ672" s="16"/>
    </row>
    <row r="673" ht="12.75" customHeight="1" spans="1:36" x14ac:dyDescent="0.25">
      <c r="A673" s="16"/>
      <c r="B673" s="16"/>
      <c r="C673" s="16"/>
      <c r="D673" s="16"/>
      <c r="E673" s="16"/>
      <c r="F673" s="16"/>
      <c r="G673" s="16"/>
      <c r="H673" s="16"/>
      <c r="I673" s="16"/>
      <c r="J673" s="16"/>
      <c r="K673" s="16"/>
      <c r="L673" s="16"/>
      <c r="M673" s="16"/>
      <c r="N673" s="16"/>
      <c r="O673" s="16"/>
      <c r="P673" s="16"/>
      <c r="Q673" s="16"/>
      <c r="R673" s="16"/>
      <c r="S673" s="16"/>
      <c r="T673" s="16"/>
      <c r="U673" s="16"/>
      <c r="V673" s="16"/>
      <c r="W673" s="16"/>
      <c r="X673" s="16"/>
      <c r="Y673" s="16"/>
      <c r="Z673" s="16"/>
      <c r="AA673" s="16"/>
      <c r="AB673" s="16"/>
      <c r="AC673" s="16"/>
      <c r="AD673" s="16"/>
      <c r="AE673" s="16"/>
      <c r="AF673" s="16"/>
      <c r="AG673" s="16"/>
      <c r="AH673" s="16"/>
      <c r="AI673" s="16"/>
      <c r="AJ673" s="16"/>
    </row>
    <row r="674" ht="12.75" customHeight="1" spans="1:36" x14ac:dyDescent="0.25">
      <c r="A674" s="16"/>
      <c r="B674" s="16"/>
      <c r="C674" s="16"/>
      <c r="D674" s="16"/>
      <c r="E674" s="16"/>
      <c r="F674" s="16"/>
      <c r="G674" s="16"/>
      <c r="H674" s="16"/>
      <c r="I674" s="16"/>
      <c r="J674" s="16"/>
      <c r="K674" s="16"/>
      <c r="L674" s="16"/>
      <c r="M674" s="16"/>
      <c r="N674" s="16"/>
      <c r="O674" s="16"/>
      <c r="P674" s="16"/>
      <c r="Q674" s="16"/>
      <c r="R674" s="16"/>
      <c r="S674" s="16"/>
      <c r="T674" s="16"/>
      <c r="U674" s="16"/>
      <c r="V674" s="16"/>
      <c r="W674" s="16"/>
      <c r="X674" s="16"/>
      <c r="Y674" s="16"/>
      <c r="Z674" s="16"/>
      <c r="AA674" s="16"/>
      <c r="AB674" s="16"/>
      <c r="AC674" s="16"/>
      <c r="AD674" s="16"/>
      <c r="AE674" s="16"/>
      <c r="AF674" s="16"/>
      <c r="AG674" s="16"/>
      <c r="AH674" s="16"/>
      <c r="AI674" s="16"/>
      <c r="AJ674" s="16"/>
    </row>
    <row r="675" ht="12.75" customHeight="1" spans="1:36" x14ac:dyDescent="0.25">
      <c r="A675" s="16"/>
      <c r="B675" s="16"/>
      <c r="C675" s="16"/>
      <c r="D675" s="16"/>
      <c r="E675" s="16"/>
      <c r="F675" s="16"/>
      <c r="G675" s="16"/>
      <c r="H675" s="16"/>
      <c r="I675" s="16"/>
      <c r="J675" s="16"/>
      <c r="K675" s="16"/>
      <c r="L675" s="16"/>
      <c r="M675" s="16"/>
      <c r="N675" s="16"/>
      <c r="O675" s="16"/>
      <c r="P675" s="16"/>
      <c r="Q675" s="16"/>
      <c r="R675" s="16"/>
      <c r="S675" s="16"/>
      <c r="T675" s="16"/>
      <c r="U675" s="16"/>
      <c r="V675" s="16"/>
      <c r="W675" s="16"/>
      <c r="X675" s="16"/>
      <c r="Y675" s="16"/>
      <c r="Z675" s="16"/>
      <c r="AA675" s="16"/>
      <c r="AB675" s="16"/>
      <c r="AC675" s="16"/>
      <c r="AD675" s="16"/>
      <c r="AE675" s="16"/>
      <c r="AF675" s="16"/>
      <c r="AG675" s="16"/>
      <c r="AH675" s="16"/>
      <c r="AI675" s="16"/>
      <c r="AJ675" s="16"/>
    </row>
    <row r="676" ht="12.75" customHeight="1" spans="1:36" x14ac:dyDescent="0.25">
      <c r="A676" s="16"/>
      <c r="B676" s="16"/>
      <c r="C676" s="16"/>
      <c r="D676" s="16"/>
      <c r="E676" s="16"/>
      <c r="F676" s="16"/>
      <c r="G676" s="16"/>
      <c r="H676" s="16"/>
      <c r="I676" s="16"/>
      <c r="J676" s="16"/>
      <c r="K676" s="16"/>
      <c r="L676" s="16"/>
      <c r="M676" s="16"/>
      <c r="N676" s="16"/>
      <c r="O676" s="16"/>
      <c r="P676" s="16"/>
      <c r="Q676" s="16"/>
      <c r="R676" s="16"/>
      <c r="S676" s="16"/>
      <c r="T676" s="16"/>
      <c r="U676" s="16"/>
      <c r="V676" s="16"/>
      <c r="W676" s="16"/>
      <c r="X676" s="16"/>
      <c r="Y676" s="16"/>
      <c r="Z676" s="16"/>
      <c r="AA676" s="16"/>
      <c r="AB676" s="16"/>
      <c r="AC676" s="16"/>
      <c r="AD676" s="16"/>
      <c r="AE676" s="16"/>
      <c r="AF676" s="16"/>
      <c r="AG676" s="16"/>
      <c r="AH676" s="16"/>
      <c r="AI676" s="16"/>
      <c r="AJ676" s="16"/>
    </row>
    <row r="677" ht="12.75" customHeight="1" spans="1:36" x14ac:dyDescent="0.25">
      <c r="A677" s="16"/>
      <c r="B677" s="16"/>
      <c r="C677" s="16"/>
      <c r="D677" s="16"/>
      <c r="E677" s="16"/>
      <c r="F677" s="16"/>
      <c r="G677" s="16"/>
      <c r="H677" s="16"/>
      <c r="I677" s="16"/>
      <c r="J677" s="16"/>
      <c r="K677" s="16"/>
      <c r="L677" s="16"/>
      <c r="M677" s="16"/>
      <c r="N677" s="16"/>
      <c r="O677" s="16"/>
      <c r="P677" s="16"/>
      <c r="Q677" s="16"/>
      <c r="R677" s="16"/>
      <c r="S677" s="16"/>
      <c r="T677" s="16"/>
      <c r="U677" s="16"/>
      <c r="V677" s="16"/>
      <c r="W677" s="16"/>
      <c r="X677" s="16"/>
      <c r="Y677" s="16"/>
      <c r="Z677" s="16"/>
      <c r="AA677" s="16"/>
      <c r="AB677" s="16"/>
      <c r="AC677" s="16"/>
      <c r="AD677" s="16"/>
      <c r="AE677" s="16"/>
      <c r="AF677" s="16"/>
      <c r="AG677" s="16"/>
      <c r="AH677" s="16"/>
      <c r="AI677" s="16"/>
      <c r="AJ677" s="16"/>
    </row>
    <row r="678" ht="12.75" customHeight="1" spans="1:36" x14ac:dyDescent="0.25">
      <c r="A678" s="16"/>
      <c r="B678" s="16"/>
      <c r="C678" s="16"/>
      <c r="D678" s="16"/>
      <c r="E678" s="16"/>
      <c r="F678" s="16"/>
      <c r="G678" s="16"/>
      <c r="H678" s="16"/>
      <c r="I678" s="16"/>
      <c r="J678" s="16"/>
      <c r="K678" s="16"/>
      <c r="L678" s="16"/>
      <c r="M678" s="16"/>
      <c r="N678" s="16"/>
      <c r="O678" s="16"/>
      <c r="P678" s="16"/>
      <c r="Q678" s="16"/>
      <c r="R678" s="16"/>
      <c r="S678" s="16"/>
      <c r="T678" s="16"/>
      <c r="U678" s="16"/>
      <c r="V678" s="16"/>
      <c r="W678" s="16"/>
      <c r="X678" s="16"/>
      <c r="Y678" s="16"/>
      <c r="Z678" s="16"/>
      <c r="AA678" s="16"/>
      <c r="AB678" s="16"/>
      <c r="AC678" s="16"/>
      <c r="AD678" s="16"/>
      <c r="AE678" s="16"/>
      <c r="AF678" s="16"/>
      <c r="AG678" s="16"/>
      <c r="AH678" s="16"/>
      <c r="AI678" s="16"/>
      <c r="AJ678" s="16"/>
    </row>
    <row r="679" ht="12.75" customHeight="1" spans="1:36" x14ac:dyDescent="0.25">
      <c r="A679" s="16"/>
      <c r="B679" s="16"/>
      <c r="C679" s="16"/>
      <c r="D679" s="16"/>
      <c r="E679" s="16"/>
      <c r="F679" s="16"/>
      <c r="G679" s="16"/>
      <c r="H679" s="16"/>
      <c r="I679" s="16"/>
      <c r="J679" s="16"/>
      <c r="K679" s="16"/>
      <c r="L679" s="16"/>
      <c r="M679" s="16"/>
      <c r="N679" s="16"/>
      <c r="O679" s="16"/>
      <c r="P679" s="16"/>
      <c r="Q679" s="16"/>
      <c r="R679" s="16"/>
      <c r="S679" s="16"/>
      <c r="T679" s="16"/>
      <c r="U679" s="16"/>
      <c r="V679" s="16"/>
      <c r="W679" s="16"/>
      <c r="X679" s="16"/>
      <c r="Y679" s="16"/>
      <c r="Z679" s="16"/>
      <c r="AA679" s="16"/>
      <c r="AB679" s="16"/>
      <c r="AC679" s="16"/>
      <c r="AD679" s="16"/>
      <c r="AE679" s="16"/>
      <c r="AF679" s="16"/>
      <c r="AG679" s="16"/>
      <c r="AH679" s="16"/>
      <c r="AI679" s="16"/>
      <c r="AJ679" s="16"/>
    </row>
    <row r="680" ht="12.75" customHeight="1" spans="1:36" x14ac:dyDescent="0.25">
      <c r="A680" s="16"/>
      <c r="B680" s="16"/>
      <c r="C680" s="16"/>
      <c r="D680" s="16"/>
      <c r="E680" s="16"/>
      <c r="F680" s="16"/>
      <c r="G680" s="16"/>
      <c r="H680" s="16"/>
      <c r="I680" s="16"/>
      <c r="J680" s="16"/>
      <c r="K680" s="16"/>
      <c r="L680" s="16"/>
      <c r="M680" s="16"/>
      <c r="N680" s="16"/>
      <c r="O680" s="16"/>
      <c r="P680" s="16"/>
      <c r="Q680" s="16"/>
      <c r="R680" s="16"/>
      <c r="S680" s="16"/>
      <c r="T680" s="16"/>
      <c r="U680" s="16"/>
      <c r="V680" s="16"/>
      <c r="W680" s="16"/>
      <c r="X680" s="16"/>
      <c r="Y680" s="16"/>
      <c r="Z680" s="16"/>
      <c r="AA680" s="16"/>
      <c r="AB680" s="16"/>
      <c r="AC680" s="16"/>
      <c r="AD680" s="16"/>
      <c r="AE680" s="16"/>
      <c r="AF680" s="16"/>
      <c r="AG680" s="16"/>
      <c r="AH680" s="16"/>
      <c r="AI680" s="16"/>
      <c r="AJ680" s="16"/>
    </row>
    <row r="681" ht="12.75" customHeight="1" spans="1:36" x14ac:dyDescent="0.25">
      <c r="A681" s="16"/>
      <c r="B681" s="16"/>
      <c r="C681" s="16"/>
      <c r="D681" s="16"/>
      <c r="E681" s="16"/>
      <c r="F681" s="16"/>
      <c r="G681" s="16"/>
      <c r="H681" s="16"/>
      <c r="I681" s="16"/>
      <c r="J681" s="16"/>
      <c r="K681" s="16"/>
      <c r="L681" s="16"/>
      <c r="M681" s="16"/>
      <c r="N681" s="16"/>
      <c r="O681" s="16"/>
      <c r="P681" s="16"/>
      <c r="Q681" s="16"/>
      <c r="R681" s="16"/>
      <c r="S681" s="16"/>
      <c r="T681" s="16"/>
      <c r="U681" s="16"/>
      <c r="V681" s="16"/>
      <c r="W681" s="16"/>
      <c r="X681" s="16"/>
      <c r="Y681" s="16"/>
      <c r="Z681" s="16"/>
      <c r="AA681" s="16"/>
      <c r="AB681" s="16"/>
      <c r="AC681" s="16"/>
      <c r="AD681" s="16"/>
      <c r="AE681" s="16"/>
      <c r="AF681" s="16"/>
      <c r="AG681" s="16"/>
      <c r="AH681" s="16"/>
      <c r="AI681" s="16"/>
      <c r="AJ681" s="16"/>
    </row>
    <row r="682" ht="12.75" customHeight="1" spans="1:36" x14ac:dyDescent="0.25">
      <c r="A682" s="16"/>
      <c r="B682" s="16"/>
      <c r="C682" s="16"/>
      <c r="D682" s="16"/>
      <c r="E682" s="16"/>
      <c r="F682" s="16"/>
      <c r="G682" s="16"/>
      <c r="H682" s="16"/>
      <c r="I682" s="16"/>
      <c r="J682" s="16"/>
      <c r="K682" s="16"/>
      <c r="L682" s="16"/>
      <c r="M682" s="16"/>
      <c r="N682" s="16"/>
      <c r="O682" s="16"/>
      <c r="P682" s="16"/>
      <c r="Q682" s="16"/>
      <c r="R682" s="16"/>
      <c r="S682" s="16"/>
      <c r="T682" s="16"/>
      <c r="U682" s="16"/>
      <c r="V682" s="16"/>
      <c r="W682" s="16"/>
      <c r="X682" s="16"/>
      <c r="Y682" s="16"/>
      <c r="Z682" s="16"/>
      <c r="AA682" s="16"/>
      <c r="AB682" s="16"/>
      <c r="AC682" s="16"/>
      <c r="AD682" s="16"/>
      <c r="AE682" s="16"/>
      <c r="AF682" s="16"/>
      <c r="AG682" s="16"/>
      <c r="AH682" s="16"/>
      <c r="AI682" s="16"/>
      <c r="AJ682" s="16"/>
    </row>
    <row r="683" ht="12.75" customHeight="1" spans="1:36" x14ac:dyDescent="0.25">
      <c r="A683" s="16"/>
      <c r="B683" s="16"/>
      <c r="C683" s="16"/>
      <c r="D683" s="16"/>
      <c r="E683" s="16"/>
      <c r="F683" s="16"/>
      <c r="G683" s="16"/>
      <c r="H683" s="16"/>
      <c r="I683" s="16"/>
      <c r="J683" s="16"/>
      <c r="K683" s="16"/>
      <c r="L683" s="16"/>
      <c r="M683" s="16"/>
      <c r="N683" s="16"/>
      <c r="O683" s="16"/>
      <c r="P683" s="16"/>
      <c r="Q683" s="16"/>
      <c r="R683" s="16"/>
      <c r="S683" s="16"/>
      <c r="T683" s="16"/>
      <c r="U683" s="16"/>
      <c r="V683" s="16"/>
      <c r="W683" s="16"/>
      <c r="X683" s="16"/>
      <c r="Y683" s="16"/>
      <c r="Z683" s="16"/>
      <c r="AA683" s="16"/>
      <c r="AB683" s="16"/>
      <c r="AC683" s="16"/>
      <c r="AD683" s="16"/>
      <c r="AE683" s="16"/>
      <c r="AF683" s="16"/>
      <c r="AG683" s="16"/>
      <c r="AH683" s="16"/>
      <c r="AI683" s="16"/>
      <c r="AJ683" s="16"/>
    </row>
    <row r="684" ht="12.75" customHeight="1" spans="1:36" x14ac:dyDescent="0.25">
      <c r="A684" s="16"/>
      <c r="B684" s="16"/>
      <c r="C684" s="16"/>
      <c r="D684" s="16"/>
      <c r="E684" s="16"/>
      <c r="F684" s="16"/>
      <c r="G684" s="16"/>
      <c r="H684" s="16"/>
      <c r="I684" s="16"/>
      <c r="J684" s="16"/>
      <c r="K684" s="16"/>
      <c r="L684" s="16"/>
      <c r="M684" s="16"/>
      <c r="N684" s="16"/>
      <c r="O684" s="16"/>
      <c r="P684" s="16"/>
      <c r="Q684" s="16"/>
      <c r="R684" s="16"/>
      <c r="S684" s="16"/>
      <c r="T684" s="16"/>
      <c r="U684" s="16"/>
      <c r="V684" s="16"/>
      <c r="W684" s="16"/>
      <c r="X684" s="16"/>
      <c r="Y684" s="16"/>
      <c r="Z684" s="16"/>
      <c r="AA684" s="16"/>
      <c r="AB684" s="16"/>
      <c r="AC684" s="16"/>
      <c r="AD684" s="16"/>
      <c r="AE684" s="16"/>
      <c r="AF684" s="16"/>
      <c r="AG684" s="16"/>
      <c r="AH684" s="16"/>
      <c r="AI684" s="16"/>
      <c r="AJ684" s="16"/>
    </row>
    <row r="685" ht="12.75" customHeight="1" spans="1:36" x14ac:dyDescent="0.25">
      <c r="A685" s="16"/>
      <c r="B685" s="16"/>
      <c r="C685" s="16"/>
      <c r="D685" s="16"/>
      <c r="E685" s="16"/>
      <c r="F685" s="16"/>
      <c r="G685" s="16"/>
      <c r="H685" s="16"/>
      <c r="I685" s="16"/>
      <c r="J685" s="16"/>
      <c r="K685" s="16"/>
      <c r="L685" s="16"/>
      <c r="M685" s="16"/>
      <c r="N685" s="16"/>
      <c r="O685" s="16"/>
      <c r="P685" s="16"/>
      <c r="Q685" s="16"/>
      <c r="R685" s="16"/>
      <c r="S685" s="16"/>
      <c r="T685" s="16"/>
      <c r="U685" s="16"/>
      <c r="V685" s="16"/>
      <c r="W685" s="16"/>
      <c r="X685" s="16"/>
      <c r="Y685" s="16"/>
      <c r="Z685" s="16"/>
      <c r="AA685" s="16"/>
      <c r="AB685" s="16"/>
      <c r="AC685" s="16"/>
      <c r="AD685" s="16"/>
      <c r="AE685" s="16"/>
      <c r="AF685" s="16"/>
      <c r="AG685" s="16"/>
      <c r="AH685" s="16"/>
      <c r="AI685" s="16"/>
      <c r="AJ685" s="16"/>
    </row>
    <row r="686" ht="12.75" customHeight="1" spans="1:36" x14ac:dyDescent="0.25">
      <c r="A686" s="16"/>
      <c r="B686" s="16"/>
      <c r="C686" s="16"/>
      <c r="D686" s="16"/>
      <c r="E686" s="16"/>
      <c r="F686" s="16"/>
      <c r="G686" s="16"/>
      <c r="H686" s="16"/>
      <c r="I686" s="16"/>
      <c r="J686" s="16"/>
      <c r="K686" s="16"/>
      <c r="L686" s="16"/>
      <c r="M686" s="16"/>
      <c r="N686" s="16"/>
      <c r="O686" s="16"/>
      <c r="P686" s="16"/>
      <c r="Q686" s="16"/>
      <c r="R686" s="16"/>
      <c r="S686" s="16"/>
      <c r="T686" s="16"/>
      <c r="U686" s="16"/>
      <c r="V686" s="16"/>
      <c r="W686" s="16"/>
      <c r="X686" s="16"/>
      <c r="Y686" s="16"/>
      <c r="Z686" s="16"/>
      <c r="AA686" s="16"/>
      <c r="AB686" s="16"/>
      <c r="AC686" s="16"/>
      <c r="AD686" s="16"/>
      <c r="AE686" s="16"/>
      <c r="AF686" s="16"/>
      <c r="AG686" s="16"/>
      <c r="AH686" s="16"/>
      <c r="AI686" s="16"/>
      <c r="AJ686" s="16"/>
    </row>
    <row r="687" ht="12.75" customHeight="1" spans="1:36" x14ac:dyDescent="0.25">
      <c r="A687" s="16"/>
      <c r="B687" s="16"/>
      <c r="C687" s="16"/>
      <c r="D687" s="16"/>
      <c r="E687" s="16"/>
      <c r="F687" s="16"/>
      <c r="G687" s="16"/>
      <c r="H687" s="16"/>
      <c r="I687" s="16"/>
      <c r="J687" s="16"/>
      <c r="K687" s="16"/>
      <c r="L687" s="16"/>
      <c r="M687" s="16"/>
      <c r="N687" s="16"/>
      <c r="O687" s="16"/>
      <c r="P687" s="16"/>
      <c r="Q687" s="16"/>
      <c r="R687" s="16"/>
      <c r="S687" s="16"/>
      <c r="T687" s="16"/>
      <c r="U687" s="16"/>
      <c r="V687" s="16"/>
      <c r="W687" s="16"/>
      <c r="X687" s="16"/>
      <c r="Y687" s="16"/>
      <c r="Z687" s="16"/>
      <c r="AA687" s="16"/>
      <c r="AB687" s="16"/>
      <c r="AC687" s="16"/>
      <c r="AD687" s="16"/>
      <c r="AE687" s="16"/>
      <c r="AF687" s="16"/>
      <c r="AG687" s="16"/>
      <c r="AH687" s="16"/>
      <c r="AI687" s="16"/>
      <c r="AJ687" s="16"/>
    </row>
    <row r="688" ht="12.75" customHeight="1" spans="1:36" x14ac:dyDescent="0.25">
      <c r="A688" s="16"/>
      <c r="B688" s="16"/>
      <c r="C688" s="16"/>
      <c r="D688" s="16"/>
      <c r="E688" s="16"/>
      <c r="F688" s="16"/>
      <c r="G688" s="16"/>
      <c r="H688" s="16"/>
      <c r="I688" s="16"/>
      <c r="J688" s="16"/>
      <c r="K688" s="16"/>
      <c r="L688" s="16"/>
      <c r="M688" s="16"/>
      <c r="N688" s="16"/>
      <c r="O688" s="16"/>
      <c r="P688" s="16"/>
      <c r="Q688" s="16"/>
      <c r="R688" s="16"/>
      <c r="S688" s="16"/>
      <c r="T688" s="16"/>
      <c r="U688" s="16"/>
      <c r="V688" s="16"/>
      <c r="W688" s="16"/>
      <c r="X688" s="16"/>
      <c r="Y688" s="16"/>
      <c r="Z688" s="16"/>
      <c r="AA688" s="16"/>
      <c r="AB688" s="16"/>
      <c r="AC688" s="16"/>
      <c r="AD688" s="16"/>
      <c r="AE688" s="16"/>
      <c r="AF688" s="16"/>
      <c r="AG688" s="16"/>
      <c r="AH688" s="16"/>
      <c r="AI688" s="16"/>
      <c r="AJ688" s="16"/>
    </row>
    <row r="689" ht="12.75" customHeight="1" spans="1:36" x14ac:dyDescent="0.25">
      <c r="A689" s="16"/>
      <c r="B689" s="16"/>
      <c r="C689" s="16"/>
      <c r="D689" s="16"/>
      <c r="E689" s="16"/>
      <c r="F689" s="16"/>
      <c r="G689" s="16"/>
      <c r="H689" s="16"/>
      <c r="I689" s="16"/>
      <c r="J689" s="16"/>
      <c r="K689" s="16"/>
      <c r="L689" s="16"/>
      <c r="M689" s="16"/>
      <c r="N689" s="16"/>
      <c r="O689" s="16"/>
      <c r="P689" s="16"/>
      <c r="Q689" s="16"/>
      <c r="R689" s="16"/>
      <c r="S689" s="16"/>
      <c r="T689" s="16"/>
      <c r="U689" s="16"/>
      <c r="V689" s="16"/>
      <c r="W689" s="16"/>
      <c r="X689" s="16"/>
      <c r="Y689" s="16"/>
      <c r="Z689" s="16"/>
      <c r="AA689" s="16"/>
      <c r="AB689" s="16"/>
      <c r="AC689" s="16"/>
      <c r="AD689" s="16"/>
      <c r="AE689" s="16"/>
      <c r="AF689" s="16"/>
      <c r="AG689" s="16"/>
      <c r="AH689" s="16"/>
      <c r="AI689" s="16"/>
      <c r="AJ689" s="16"/>
    </row>
    <row r="690" ht="12.75" customHeight="1" spans="1:36" x14ac:dyDescent="0.25">
      <c r="A690" s="16"/>
      <c r="B690" s="16"/>
      <c r="C690" s="16"/>
      <c r="D690" s="16"/>
      <c r="E690" s="16"/>
      <c r="F690" s="16"/>
      <c r="G690" s="16"/>
      <c r="H690" s="16"/>
      <c r="I690" s="16"/>
      <c r="J690" s="16"/>
      <c r="K690" s="16"/>
      <c r="L690" s="16"/>
      <c r="M690" s="16"/>
      <c r="N690" s="16"/>
      <c r="O690" s="16"/>
      <c r="P690" s="16"/>
      <c r="Q690" s="16"/>
      <c r="R690" s="16"/>
      <c r="S690" s="16"/>
      <c r="T690" s="16"/>
      <c r="U690" s="16"/>
      <c r="V690" s="16"/>
      <c r="W690" s="16"/>
      <c r="X690" s="16"/>
      <c r="Y690" s="16"/>
      <c r="Z690" s="16"/>
      <c r="AA690" s="16"/>
      <c r="AB690" s="16"/>
      <c r="AC690" s="16"/>
      <c r="AD690" s="16"/>
      <c r="AE690" s="16"/>
      <c r="AF690" s="16"/>
      <c r="AG690" s="16"/>
      <c r="AH690" s="16"/>
      <c r="AI690" s="16"/>
      <c r="AJ690" s="16"/>
    </row>
    <row r="691" ht="12.75" customHeight="1" spans="1:36" x14ac:dyDescent="0.25">
      <c r="A691" s="16"/>
      <c r="B691" s="16"/>
      <c r="C691" s="16"/>
      <c r="D691" s="16"/>
      <c r="E691" s="16"/>
      <c r="F691" s="16"/>
      <c r="G691" s="16"/>
      <c r="H691" s="16"/>
      <c r="I691" s="16"/>
      <c r="J691" s="16"/>
      <c r="K691" s="16"/>
      <c r="L691" s="16"/>
      <c r="M691" s="16"/>
      <c r="N691" s="16"/>
      <c r="O691" s="16"/>
      <c r="P691" s="16"/>
      <c r="Q691" s="16"/>
      <c r="R691" s="16"/>
      <c r="S691" s="16"/>
      <c r="T691" s="16"/>
      <c r="U691" s="16"/>
      <c r="V691" s="16"/>
      <c r="W691" s="16"/>
      <c r="X691" s="16"/>
      <c r="Y691" s="16"/>
      <c r="Z691" s="16"/>
      <c r="AA691" s="16"/>
      <c r="AB691" s="16"/>
      <c r="AC691" s="16"/>
      <c r="AD691" s="16"/>
      <c r="AE691" s="16"/>
      <c r="AF691" s="16"/>
      <c r="AG691" s="16"/>
      <c r="AH691" s="16"/>
      <c r="AI691" s="16"/>
      <c r="AJ691" s="16"/>
    </row>
    <row r="692" ht="12.75" customHeight="1" spans="1:36" x14ac:dyDescent="0.25">
      <c r="A692" s="16"/>
      <c r="B692" s="16"/>
      <c r="C692" s="16"/>
      <c r="D692" s="16"/>
      <c r="E692" s="16"/>
      <c r="F692" s="16"/>
      <c r="G692" s="16"/>
      <c r="H692" s="16"/>
      <c r="I692" s="16"/>
      <c r="J692" s="16"/>
      <c r="K692" s="16"/>
      <c r="L692" s="16"/>
      <c r="M692" s="16"/>
      <c r="N692" s="16"/>
      <c r="O692" s="16"/>
      <c r="P692" s="16"/>
      <c r="Q692" s="16"/>
      <c r="R692" s="16"/>
      <c r="S692" s="16"/>
      <c r="T692" s="16"/>
      <c r="U692" s="16"/>
      <c r="V692" s="16"/>
      <c r="W692" s="16"/>
      <c r="X692" s="16"/>
      <c r="Y692" s="16"/>
      <c r="Z692" s="16"/>
      <c r="AA692" s="16"/>
      <c r="AB692" s="16"/>
      <c r="AC692" s="16"/>
      <c r="AD692" s="16"/>
      <c r="AE692" s="16"/>
      <c r="AF692" s="16"/>
      <c r="AG692" s="16"/>
      <c r="AH692" s="16"/>
      <c r="AI692" s="16"/>
      <c r="AJ692" s="16"/>
    </row>
    <row r="693" ht="12.75" customHeight="1" spans="1:36" x14ac:dyDescent="0.25">
      <c r="A693" s="16"/>
      <c r="B693" s="16"/>
      <c r="C693" s="16"/>
      <c r="D693" s="16"/>
      <c r="E693" s="16"/>
      <c r="F693" s="16"/>
      <c r="G693" s="16"/>
      <c r="H693" s="16"/>
      <c r="I693" s="16"/>
      <c r="J693" s="16"/>
      <c r="K693" s="16"/>
      <c r="L693" s="16"/>
      <c r="M693" s="16"/>
      <c r="N693" s="16"/>
      <c r="O693" s="16"/>
      <c r="P693" s="16"/>
      <c r="Q693" s="16"/>
      <c r="R693" s="16"/>
      <c r="S693" s="16"/>
      <c r="T693" s="16"/>
      <c r="U693" s="16"/>
      <c r="V693" s="16"/>
      <c r="W693" s="16"/>
      <c r="X693" s="16"/>
      <c r="Y693" s="16"/>
      <c r="Z693" s="16"/>
      <c r="AA693" s="16"/>
      <c r="AB693" s="16"/>
      <c r="AC693" s="16"/>
      <c r="AD693" s="16"/>
      <c r="AE693" s="16"/>
      <c r="AF693" s="16"/>
      <c r="AG693" s="16"/>
      <c r="AH693" s="16"/>
      <c r="AI693" s="16"/>
      <c r="AJ693" s="16"/>
    </row>
    <row r="694" ht="12.75" customHeight="1" spans="1:36" x14ac:dyDescent="0.25">
      <c r="A694" s="16"/>
      <c r="B694" s="16"/>
      <c r="C694" s="16"/>
      <c r="D694" s="16"/>
      <c r="E694" s="16"/>
      <c r="F694" s="16"/>
      <c r="G694" s="16"/>
      <c r="H694" s="16"/>
      <c r="I694" s="16"/>
      <c r="J694" s="16"/>
      <c r="K694" s="16"/>
      <c r="L694" s="16"/>
      <c r="M694" s="16"/>
      <c r="N694" s="16"/>
      <c r="O694" s="16"/>
      <c r="P694" s="16"/>
      <c r="Q694" s="16"/>
      <c r="R694" s="16"/>
      <c r="S694" s="16"/>
      <c r="T694" s="16"/>
      <c r="U694" s="16"/>
      <c r="V694" s="16"/>
      <c r="W694" s="16"/>
      <c r="X694" s="16"/>
      <c r="Y694" s="16"/>
      <c r="Z694" s="16"/>
      <c r="AA694" s="16"/>
      <c r="AB694" s="16"/>
      <c r="AC694" s="16"/>
      <c r="AD694" s="16"/>
      <c r="AE694" s="16"/>
      <c r="AF694" s="16"/>
      <c r="AG694" s="16"/>
      <c r="AH694" s="16"/>
      <c r="AI694" s="16"/>
      <c r="AJ694" s="16"/>
    </row>
    <row r="695" ht="12.75" customHeight="1" spans="1:36" x14ac:dyDescent="0.25">
      <c r="A695" s="16"/>
      <c r="B695" s="16"/>
      <c r="C695" s="16"/>
      <c r="D695" s="16"/>
      <c r="E695" s="16"/>
      <c r="F695" s="16"/>
      <c r="G695" s="16"/>
      <c r="H695" s="16"/>
      <c r="I695" s="16"/>
      <c r="J695" s="16"/>
      <c r="K695" s="16"/>
      <c r="L695" s="16"/>
      <c r="M695" s="16"/>
      <c r="N695" s="16"/>
      <c r="O695" s="16"/>
      <c r="P695" s="16"/>
      <c r="Q695" s="16"/>
      <c r="R695" s="16"/>
      <c r="S695" s="16"/>
      <c r="T695" s="16"/>
      <c r="U695" s="16"/>
      <c r="V695" s="16"/>
      <c r="W695" s="16"/>
      <c r="X695" s="16"/>
      <c r="Y695" s="16"/>
      <c r="Z695" s="16"/>
      <c r="AA695" s="16"/>
      <c r="AB695" s="16"/>
      <c r="AC695" s="16"/>
      <c r="AD695" s="16"/>
      <c r="AE695" s="16"/>
      <c r="AF695" s="16"/>
      <c r="AG695" s="16"/>
      <c r="AH695" s="16"/>
      <c r="AI695" s="16"/>
      <c r="AJ695" s="16"/>
    </row>
    <row r="696" ht="12.75" customHeight="1" spans="1:36" x14ac:dyDescent="0.25">
      <c r="A696" s="16"/>
      <c r="B696" s="16"/>
      <c r="C696" s="16"/>
      <c r="D696" s="16"/>
      <c r="E696" s="16"/>
      <c r="F696" s="16"/>
      <c r="G696" s="16"/>
      <c r="H696" s="16"/>
      <c r="I696" s="16"/>
      <c r="J696" s="16"/>
      <c r="K696" s="16"/>
      <c r="L696" s="16"/>
      <c r="M696" s="16"/>
      <c r="N696" s="16"/>
      <c r="O696" s="16"/>
      <c r="P696" s="16"/>
      <c r="Q696" s="16"/>
      <c r="R696" s="16"/>
      <c r="S696" s="16"/>
      <c r="T696" s="16"/>
      <c r="U696" s="16"/>
      <c r="V696" s="16"/>
      <c r="W696" s="16"/>
      <c r="X696" s="16"/>
      <c r="Y696" s="16"/>
      <c r="Z696" s="16"/>
      <c r="AA696" s="16"/>
      <c r="AB696" s="16"/>
      <c r="AC696" s="16"/>
      <c r="AD696" s="16"/>
      <c r="AE696" s="16"/>
      <c r="AF696" s="16"/>
      <c r="AG696" s="16"/>
      <c r="AH696" s="16"/>
      <c r="AI696" s="16"/>
      <c r="AJ696" s="16"/>
    </row>
    <row r="697" ht="12.75" customHeight="1" spans="1:36" x14ac:dyDescent="0.25">
      <c r="A697" s="16"/>
      <c r="B697" s="16"/>
      <c r="C697" s="16"/>
      <c r="D697" s="16"/>
      <c r="E697" s="16"/>
      <c r="F697" s="16"/>
      <c r="G697" s="16"/>
      <c r="H697" s="16"/>
      <c r="I697" s="16"/>
      <c r="J697" s="16"/>
      <c r="K697" s="16"/>
      <c r="L697" s="16"/>
      <c r="M697" s="16"/>
      <c r="N697" s="16"/>
      <c r="O697" s="16"/>
      <c r="P697" s="16"/>
      <c r="Q697" s="16"/>
      <c r="R697" s="16"/>
      <c r="S697" s="16"/>
      <c r="T697" s="16"/>
      <c r="U697" s="16"/>
      <c r="V697" s="16"/>
      <c r="W697" s="16"/>
      <c r="X697" s="16"/>
      <c r="Y697" s="16"/>
      <c r="Z697" s="16"/>
      <c r="AA697" s="16"/>
      <c r="AB697" s="16"/>
      <c r="AC697" s="16"/>
      <c r="AD697" s="16"/>
      <c r="AE697" s="16"/>
      <c r="AF697" s="16"/>
      <c r="AG697" s="16"/>
      <c r="AH697" s="16"/>
      <c r="AI697" s="16"/>
      <c r="AJ697" s="16"/>
    </row>
    <row r="698" ht="12.75" customHeight="1" spans="1:36" x14ac:dyDescent="0.25">
      <c r="A698" s="16"/>
      <c r="B698" s="16"/>
      <c r="C698" s="16"/>
      <c r="D698" s="16"/>
      <c r="E698" s="16"/>
      <c r="F698" s="16"/>
      <c r="G698" s="16"/>
      <c r="H698" s="16"/>
      <c r="I698" s="16"/>
      <c r="J698" s="16"/>
      <c r="K698" s="16"/>
      <c r="L698" s="16"/>
      <c r="M698" s="16"/>
      <c r="N698" s="16"/>
      <c r="O698" s="16"/>
      <c r="P698" s="16"/>
      <c r="Q698" s="16"/>
      <c r="R698" s="16"/>
      <c r="S698" s="16"/>
      <c r="T698" s="16"/>
      <c r="U698" s="16"/>
      <c r="V698" s="16"/>
      <c r="W698" s="16"/>
      <c r="X698" s="16"/>
      <c r="Y698" s="16"/>
      <c r="Z698" s="16"/>
      <c r="AA698" s="16"/>
      <c r="AB698" s="16"/>
      <c r="AC698" s="16"/>
      <c r="AD698" s="16"/>
      <c r="AE698" s="16"/>
      <c r="AF698" s="16"/>
      <c r="AG698" s="16"/>
      <c r="AH698" s="16"/>
      <c r="AI698" s="16"/>
      <c r="AJ698" s="16"/>
    </row>
    <row r="699" ht="12.75" customHeight="1" spans="1:36" x14ac:dyDescent="0.25">
      <c r="A699" s="16"/>
      <c r="B699" s="16"/>
      <c r="C699" s="16"/>
      <c r="D699" s="16"/>
      <c r="E699" s="16"/>
      <c r="F699" s="16"/>
      <c r="G699" s="16"/>
      <c r="H699" s="16"/>
      <c r="I699" s="16"/>
      <c r="J699" s="16"/>
      <c r="K699" s="16"/>
      <c r="L699" s="16"/>
      <c r="M699" s="16"/>
      <c r="N699" s="16"/>
      <c r="O699" s="16"/>
      <c r="P699" s="16"/>
      <c r="Q699" s="16"/>
      <c r="R699" s="16"/>
      <c r="S699" s="16"/>
      <c r="T699" s="16"/>
      <c r="U699" s="16"/>
      <c r="V699" s="16"/>
      <c r="W699" s="16"/>
      <c r="X699" s="16"/>
      <c r="Y699" s="16"/>
      <c r="Z699" s="16"/>
      <c r="AA699" s="16"/>
      <c r="AB699" s="16"/>
      <c r="AC699" s="16"/>
      <c r="AD699" s="16"/>
      <c r="AE699" s="16"/>
      <c r="AF699" s="16"/>
      <c r="AG699" s="16"/>
      <c r="AH699" s="16"/>
      <c r="AI699" s="16"/>
      <c r="AJ699" s="16"/>
    </row>
    <row r="700" ht="12.75" customHeight="1" spans="1:36" x14ac:dyDescent="0.25">
      <c r="A700" s="16"/>
      <c r="B700" s="16"/>
      <c r="C700" s="16"/>
      <c r="D700" s="16"/>
      <c r="E700" s="16"/>
      <c r="F700" s="16"/>
      <c r="G700" s="16"/>
      <c r="H700" s="16"/>
      <c r="I700" s="16"/>
      <c r="J700" s="16"/>
      <c r="K700" s="16"/>
      <c r="L700" s="16"/>
      <c r="M700" s="16"/>
      <c r="N700" s="16"/>
      <c r="O700" s="16"/>
      <c r="P700" s="16"/>
      <c r="Q700" s="16"/>
      <c r="R700" s="16"/>
      <c r="S700" s="16"/>
      <c r="T700" s="16"/>
      <c r="U700" s="16"/>
      <c r="V700" s="16"/>
      <c r="W700" s="16"/>
      <c r="X700" s="16"/>
      <c r="Y700" s="16"/>
      <c r="Z700" s="16"/>
      <c r="AA700" s="16"/>
      <c r="AB700" s="16"/>
      <c r="AC700" s="16"/>
      <c r="AD700" s="16"/>
      <c r="AE700" s="16"/>
      <c r="AF700" s="16"/>
      <c r="AG700" s="16"/>
      <c r="AH700" s="16"/>
      <c r="AI700" s="16"/>
      <c r="AJ700" s="16"/>
    </row>
    <row r="701" ht="12.75" customHeight="1" spans="1:36" x14ac:dyDescent="0.25">
      <c r="A701" s="16"/>
      <c r="B701" s="16"/>
      <c r="C701" s="16"/>
      <c r="D701" s="16"/>
      <c r="E701" s="16"/>
      <c r="F701" s="16"/>
      <c r="G701" s="16"/>
      <c r="H701" s="16"/>
      <c r="I701" s="16"/>
      <c r="J701" s="16"/>
      <c r="K701" s="16"/>
      <c r="L701" s="16"/>
      <c r="M701" s="16"/>
      <c r="N701" s="16"/>
      <c r="O701" s="16"/>
      <c r="P701" s="16"/>
      <c r="Q701" s="16"/>
      <c r="R701" s="16"/>
      <c r="S701" s="16"/>
      <c r="T701" s="16"/>
      <c r="U701" s="16"/>
      <c r="V701" s="16"/>
      <c r="W701" s="16"/>
      <c r="X701" s="16"/>
      <c r="Y701" s="16"/>
      <c r="Z701" s="16"/>
      <c r="AA701" s="16"/>
      <c r="AB701" s="16"/>
      <c r="AC701" s="16"/>
      <c r="AD701" s="16"/>
      <c r="AE701" s="16"/>
      <c r="AF701" s="16"/>
      <c r="AG701" s="16"/>
      <c r="AH701" s="16"/>
      <c r="AI701" s="16"/>
      <c r="AJ701" s="16"/>
    </row>
    <row r="702" ht="12.75" customHeight="1" spans="1:36" x14ac:dyDescent="0.25">
      <c r="A702" s="16"/>
      <c r="B702" s="16"/>
      <c r="C702" s="16"/>
      <c r="D702" s="16"/>
      <c r="E702" s="16"/>
      <c r="F702" s="16"/>
      <c r="G702" s="16"/>
      <c r="H702" s="16"/>
      <c r="I702" s="16"/>
      <c r="J702" s="16"/>
      <c r="K702" s="16"/>
      <c r="L702" s="16"/>
      <c r="M702" s="16"/>
      <c r="N702" s="16"/>
      <c r="O702" s="16"/>
      <c r="P702" s="16"/>
      <c r="Q702" s="16"/>
      <c r="R702" s="16"/>
      <c r="S702" s="16"/>
      <c r="T702" s="16"/>
      <c r="U702" s="16"/>
      <c r="V702" s="16"/>
      <c r="W702" s="16"/>
      <c r="X702" s="16"/>
      <c r="Y702" s="16"/>
      <c r="Z702" s="16"/>
      <c r="AA702" s="16"/>
      <c r="AB702" s="16"/>
      <c r="AC702" s="16"/>
      <c r="AD702" s="16"/>
      <c r="AE702" s="16"/>
      <c r="AF702" s="16"/>
      <c r="AG702" s="16"/>
      <c r="AH702" s="16"/>
      <c r="AI702" s="16"/>
      <c r="AJ702" s="16"/>
    </row>
    <row r="703" ht="12.75" customHeight="1" spans="1:36" x14ac:dyDescent="0.25">
      <c r="A703" s="16"/>
      <c r="B703" s="16"/>
      <c r="C703" s="16"/>
      <c r="D703" s="16"/>
      <c r="E703" s="16"/>
      <c r="F703" s="16"/>
      <c r="G703" s="16"/>
      <c r="H703" s="16"/>
      <c r="I703" s="16"/>
      <c r="J703" s="16"/>
      <c r="K703" s="16"/>
      <c r="L703" s="16"/>
      <c r="M703" s="16"/>
      <c r="N703" s="16"/>
      <c r="O703" s="16"/>
      <c r="P703" s="16"/>
      <c r="Q703" s="16"/>
      <c r="R703" s="16"/>
      <c r="S703" s="16"/>
      <c r="T703" s="16"/>
      <c r="U703" s="16"/>
      <c r="V703" s="16"/>
      <c r="W703" s="16"/>
      <c r="X703" s="16"/>
      <c r="Y703" s="16"/>
      <c r="Z703" s="16"/>
      <c r="AA703" s="16"/>
      <c r="AB703" s="16"/>
      <c r="AC703" s="16"/>
      <c r="AD703" s="16"/>
      <c r="AE703" s="16"/>
      <c r="AF703" s="16"/>
      <c r="AG703" s="16"/>
      <c r="AH703" s="16"/>
      <c r="AI703" s="16"/>
      <c r="AJ703" s="16"/>
    </row>
    <row r="704" ht="12.75" customHeight="1" spans="1:36" x14ac:dyDescent="0.25">
      <c r="A704" s="16"/>
      <c r="B704" s="16"/>
      <c r="C704" s="16"/>
      <c r="D704" s="16"/>
      <c r="E704" s="16"/>
      <c r="F704" s="16"/>
      <c r="G704" s="16"/>
      <c r="H704" s="16"/>
      <c r="I704" s="16"/>
      <c r="J704" s="16"/>
      <c r="K704" s="16"/>
      <c r="L704" s="16"/>
      <c r="M704" s="16"/>
      <c r="N704" s="16"/>
      <c r="O704" s="16"/>
      <c r="P704" s="16"/>
      <c r="Q704" s="16"/>
      <c r="R704" s="16"/>
      <c r="S704" s="16"/>
      <c r="T704" s="16"/>
      <c r="U704" s="16"/>
      <c r="V704" s="16"/>
      <c r="W704" s="16"/>
      <c r="X704" s="16"/>
      <c r="Y704" s="16"/>
      <c r="Z704" s="16"/>
      <c r="AA704" s="16"/>
      <c r="AB704" s="16"/>
      <c r="AC704" s="16"/>
      <c r="AD704" s="16"/>
      <c r="AE704" s="16"/>
      <c r="AF704" s="16"/>
      <c r="AG704" s="16"/>
      <c r="AH704" s="16"/>
      <c r="AI704" s="16"/>
      <c r="AJ704" s="16"/>
    </row>
    <row r="705" ht="12.75" customHeight="1" spans="1:36" x14ac:dyDescent="0.25">
      <c r="A705" s="16"/>
      <c r="B705" s="16"/>
      <c r="C705" s="16"/>
      <c r="D705" s="16"/>
      <c r="E705" s="16"/>
      <c r="F705" s="16"/>
      <c r="G705" s="16"/>
      <c r="H705" s="16"/>
      <c r="I705" s="16"/>
      <c r="J705" s="16"/>
      <c r="K705" s="16"/>
      <c r="L705" s="16"/>
      <c r="M705" s="16"/>
      <c r="N705" s="16"/>
      <c r="O705" s="16"/>
      <c r="P705" s="16"/>
      <c r="Q705" s="16"/>
      <c r="R705" s="16"/>
      <c r="S705" s="16"/>
      <c r="T705" s="16"/>
      <c r="U705" s="16"/>
      <c r="V705" s="16"/>
      <c r="W705" s="16"/>
      <c r="X705" s="16"/>
      <c r="Y705" s="16"/>
      <c r="Z705" s="16"/>
      <c r="AA705" s="16"/>
      <c r="AB705" s="16"/>
      <c r="AC705" s="16"/>
      <c r="AD705" s="16"/>
      <c r="AE705" s="16"/>
      <c r="AF705" s="16"/>
      <c r="AG705" s="16"/>
      <c r="AH705" s="16"/>
      <c r="AI705" s="16"/>
      <c r="AJ705" s="16"/>
    </row>
    <row r="706" ht="12.75" customHeight="1" spans="1:36" x14ac:dyDescent="0.25">
      <c r="A706" s="16"/>
      <c r="B706" s="16"/>
      <c r="C706" s="16"/>
      <c r="D706" s="16"/>
      <c r="E706" s="16"/>
      <c r="F706" s="16"/>
      <c r="G706" s="16"/>
      <c r="H706" s="16"/>
      <c r="I706" s="16"/>
      <c r="J706" s="16"/>
      <c r="K706" s="16"/>
      <c r="L706" s="16"/>
      <c r="M706" s="16"/>
      <c r="N706" s="16"/>
      <c r="O706" s="16"/>
      <c r="P706" s="16"/>
      <c r="Q706" s="16"/>
      <c r="R706" s="16"/>
      <c r="S706" s="16"/>
      <c r="T706" s="16"/>
      <c r="U706" s="16"/>
      <c r="V706" s="16"/>
      <c r="W706" s="16"/>
      <c r="X706" s="16"/>
      <c r="Y706" s="16"/>
      <c r="Z706" s="16"/>
      <c r="AA706" s="16"/>
      <c r="AB706" s="16"/>
      <c r="AC706" s="16"/>
      <c r="AD706" s="16"/>
      <c r="AE706" s="16"/>
      <c r="AF706" s="16"/>
      <c r="AG706" s="16"/>
      <c r="AH706" s="16"/>
      <c r="AI706" s="16"/>
      <c r="AJ706" s="16"/>
    </row>
    <row r="707" ht="12.75" customHeight="1" spans="1:36" x14ac:dyDescent="0.25">
      <c r="A707" s="16"/>
      <c r="B707" s="16"/>
      <c r="C707" s="16"/>
      <c r="D707" s="16"/>
      <c r="E707" s="16"/>
      <c r="F707" s="16"/>
      <c r="G707" s="16"/>
      <c r="H707" s="16"/>
      <c r="I707" s="16"/>
      <c r="J707" s="16"/>
      <c r="K707" s="16"/>
      <c r="L707" s="16"/>
      <c r="M707" s="16"/>
      <c r="N707" s="16"/>
      <c r="O707" s="16"/>
      <c r="P707" s="16"/>
      <c r="Q707" s="16"/>
      <c r="R707" s="16"/>
      <c r="S707" s="16"/>
      <c r="T707" s="16"/>
      <c r="U707" s="16"/>
      <c r="V707" s="16"/>
      <c r="W707" s="16"/>
      <c r="X707" s="16"/>
      <c r="Y707" s="16"/>
      <c r="Z707" s="16"/>
      <c r="AA707" s="16"/>
      <c r="AB707" s="16"/>
      <c r="AC707" s="16"/>
      <c r="AD707" s="16"/>
      <c r="AE707" s="16"/>
      <c r="AF707" s="16"/>
      <c r="AG707" s="16"/>
      <c r="AH707" s="16"/>
      <c r="AI707" s="16"/>
      <c r="AJ707" s="16"/>
    </row>
    <row r="708" ht="12.75" customHeight="1" spans="1:36" x14ac:dyDescent="0.25">
      <c r="A708" s="16"/>
      <c r="B708" s="16"/>
      <c r="C708" s="16"/>
      <c r="D708" s="16"/>
      <c r="E708" s="16"/>
      <c r="F708" s="16"/>
      <c r="G708" s="16"/>
      <c r="H708" s="16"/>
      <c r="I708" s="16"/>
      <c r="J708" s="16"/>
      <c r="K708" s="16"/>
      <c r="L708" s="16"/>
      <c r="M708" s="16"/>
      <c r="N708" s="16"/>
      <c r="O708" s="16"/>
      <c r="P708" s="16"/>
      <c r="Q708" s="16"/>
      <c r="R708" s="16"/>
      <c r="S708" s="16"/>
      <c r="T708" s="16"/>
      <c r="U708" s="16"/>
      <c r="V708" s="16"/>
      <c r="W708" s="16"/>
      <c r="X708" s="16"/>
      <c r="Y708" s="16"/>
      <c r="Z708" s="16"/>
      <c r="AA708" s="16"/>
      <c r="AB708" s="16"/>
      <c r="AC708" s="16"/>
      <c r="AD708" s="16"/>
      <c r="AE708" s="16"/>
      <c r="AF708" s="16"/>
      <c r="AG708" s="16"/>
      <c r="AH708" s="16"/>
      <c r="AI708" s="16"/>
      <c r="AJ708" s="16"/>
    </row>
    <row r="709" ht="12.75" customHeight="1" spans="1:36" x14ac:dyDescent="0.25">
      <c r="A709" s="16"/>
      <c r="B709" s="16"/>
      <c r="C709" s="16"/>
      <c r="D709" s="16"/>
      <c r="E709" s="16"/>
      <c r="F709" s="16"/>
      <c r="G709" s="16"/>
      <c r="H709" s="16"/>
      <c r="I709" s="16"/>
      <c r="J709" s="16"/>
      <c r="K709" s="16"/>
      <c r="L709" s="16"/>
      <c r="M709" s="16"/>
      <c r="N709" s="16"/>
      <c r="O709" s="16"/>
      <c r="P709" s="16"/>
      <c r="Q709" s="16"/>
      <c r="R709" s="16"/>
      <c r="S709" s="16"/>
      <c r="T709" s="16"/>
      <c r="U709" s="16"/>
      <c r="V709" s="16"/>
      <c r="W709" s="16"/>
      <c r="X709" s="16"/>
      <c r="Y709" s="16"/>
      <c r="Z709" s="16"/>
      <c r="AA709" s="16"/>
      <c r="AB709" s="16"/>
      <c r="AC709" s="16"/>
      <c r="AD709" s="16"/>
      <c r="AE709" s="16"/>
      <c r="AF709" s="16"/>
      <c r="AG709" s="16"/>
      <c r="AH709" s="16"/>
      <c r="AI709" s="16"/>
      <c r="AJ709" s="16"/>
    </row>
    <row r="710" ht="12.75" customHeight="1" spans="1:36" x14ac:dyDescent="0.25">
      <c r="A710" s="16"/>
      <c r="B710" s="16"/>
      <c r="C710" s="16"/>
      <c r="D710" s="16"/>
      <c r="E710" s="16"/>
      <c r="F710" s="16"/>
      <c r="G710" s="16"/>
      <c r="H710" s="16"/>
      <c r="I710" s="16"/>
      <c r="J710" s="16"/>
      <c r="K710" s="16"/>
      <c r="L710" s="16"/>
      <c r="M710" s="16"/>
      <c r="N710" s="16"/>
      <c r="O710" s="16"/>
      <c r="P710" s="16"/>
      <c r="Q710" s="16"/>
      <c r="R710" s="16"/>
      <c r="S710" s="16"/>
      <c r="T710" s="16"/>
      <c r="U710" s="16"/>
      <c r="V710" s="16"/>
      <c r="W710" s="16"/>
      <c r="X710" s="16"/>
      <c r="Y710" s="16"/>
      <c r="Z710" s="16"/>
      <c r="AA710" s="16"/>
      <c r="AB710" s="16"/>
      <c r="AC710" s="16"/>
      <c r="AD710" s="16"/>
      <c r="AE710" s="16"/>
      <c r="AF710" s="16"/>
      <c r="AG710" s="16"/>
      <c r="AH710" s="16"/>
      <c r="AI710" s="16"/>
      <c r="AJ710" s="16"/>
    </row>
    <row r="711" ht="12.75" customHeight="1" spans="1:36" x14ac:dyDescent="0.25">
      <c r="A711" s="16"/>
      <c r="B711" s="16"/>
      <c r="C711" s="16"/>
      <c r="D711" s="16"/>
      <c r="E711" s="16"/>
      <c r="F711" s="16"/>
      <c r="G711" s="16"/>
      <c r="H711" s="16"/>
      <c r="I711" s="16"/>
      <c r="J711" s="16"/>
      <c r="K711" s="16"/>
      <c r="L711" s="16"/>
      <c r="M711" s="16"/>
      <c r="N711" s="16"/>
      <c r="O711" s="16"/>
      <c r="P711" s="16"/>
      <c r="Q711" s="16"/>
      <c r="R711" s="16"/>
      <c r="S711" s="16"/>
      <c r="T711" s="16"/>
      <c r="U711" s="16"/>
      <c r="V711" s="16"/>
      <c r="W711" s="16"/>
      <c r="X711" s="16"/>
      <c r="Y711" s="16"/>
      <c r="Z711" s="16"/>
      <c r="AA711" s="16"/>
      <c r="AB711" s="16"/>
      <c r="AC711" s="16"/>
      <c r="AD711" s="16"/>
      <c r="AE711" s="16"/>
      <c r="AF711" s="16"/>
      <c r="AG711" s="16"/>
      <c r="AH711" s="16"/>
      <c r="AI711" s="16"/>
      <c r="AJ711" s="16"/>
    </row>
    <row r="712" ht="12.75" customHeight="1" spans="1:36" x14ac:dyDescent="0.25">
      <c r="A712" s="16"/>
      <c r="B712" s="16"/>
      <c r="C712" s="16"/>
      <c r="D712" s="16"/>
      <c r="E712" s="16"/>
      <c r="F712" s="16"/>
      <c r="G712" s="16"/>
      <c r="H712" s="16"/>
      <c r="I712" s="16"/>
      <c r="J712" s="16"/>
      <c r="K712" s="16"/>
      <c r="L712" s="16"/>
      <c r="M712" s="16"/>
      <c r="N712" s="16"/>
      <c r="O712" s="16"/>
      <c r="P712" s="16"/>
      <c r="Q712" s="16"/>
      <c r="R712" s="16"/>
      <c r="S712" s="16"/>
      <c r="T712" s="16"/>
      <c r="U712" s="16"/>
      <c r="V712" s="16"/>
      <c r="W712" s="16"/>
      <c r="X712" s="16"/>
      <c r="Y712" s="16"/>
      <c r="Z712" s="16"/>
      <c r="AA712" s="16"/>
      <c r="AB712" s="16"/>
      <c r="AC712" s="16"/>
      <c r="AD712" s="16"/>
      <c r="AE712" s="16"/>
      <c r="AF712" s="16"/>
      <c r="AG712" s="16"/>
      <c r="AH712" s="16"/>
      <c r="AI712" s="16"/>
      <c r="AJ712" s="16"/>
    </row>
    <row r="713" ht="12.75" customHeight="1" spans="1:36" x14ac:dyDescent="0.25">
      <c r="A713" s="16"/>
      <c r="B713" s="16"/>
      <c r="C713" s="16"/>
      <c r="D713" s="16"/>
      <c r="E713" s="16"/>
      <c r="F713" s="16"/>
      <c r="G713" s="16"/>
      <c r="H713" s="16"/>
      <c r="I713" s="16"/>
      <c r="J713" s="16"/>
      <c r="K713" s="16"/>
      <c r="L713" s="16"/>
      <c r="M713" s="16"/>
      <c r="N713" s="16"/>
      <c r="O713" s="16"/>
      <c r="P713" s="16"/>
      <c r="Q713" s="16"/>
      <c r="R713" s="16"/>
      <c r="S713" s="16"/>
      <c r="T713" s="16"/>
      <c r="U713" s="16"/>
      <c r="V713" s="16"/>
      <c r="W713" s="16"/>
      <c r="X713" s="16"/>
      <c r="Y713" s="16"/>
      <c r="Z713" s="16"/>
      <c r="AA713" s="16"/>
      <c r="AB713" s="16"/>
      <c r="AC713" s="16"/>
      <c r="AD713" s="16"/>
      <c r="AE713" s="16"/>
      <c r="AF713" s="16"/>
      <c r="AG713" s="16"/>
      <c r="AH713" s="16"/>
      <c r="AI713" s="16"/>
      <c r="AJ713" s="16"/>
    </row>
    <row r="714" ht="12.75" customHeight="1" spans="1:36" x14ac:dyDescent="0.25">
      <c r="A714" s="16"/>
      <c r="B714" s="16"/>
      <c r="C714" s="16"/>
      <c r="D714" s="16"/>
      <c r="E714" s="16"/>
      <c r="F714" s="16"/>
      <c r="G714" s="16"/>
      <c r="H714" s="16"/>
      <c r="I714" s="16"/>
      <c r="J714" s="16"/>
      <c r="K714" s="16"/>
      <c r="L714" s="16"/>
      <c r="M714" s="16"/>
      <c r="N714" s="16"/>
      <c r="O714" s="16"/>
      <c r="P714" s="16"/>
      <c r="Q714" s="16"/>
      <c r="R714" s="16"/>
      <c r="S714" s="16"/>
      <c r="T714" s="16"/>
      <c r="U714" s="16"/>
      <c r="V714" s="16"/>
      <c r="W714" s="16"/>
      <c r="X714" s="16"/>
      <c r="Y714" s="16"/>
      <c r="Z714" s="16"/>
      <c r="AA714" s="16"/>
      <c r="AB714" s="16"/>
      <c r="AC714" s="16"/>
      <c r="AD714" s="16"/>
      <c r="AE714" s="16"/>
      <c r="AF714" s="16"/>
      <c r="AG714" s="16"/>
      <c r="AH714" s="16"/>
      <c r="AI714" s="16"/>
      <c r="AJ714" s="16"/>
    </row>
    <row r="715" ht="12.75" customHeight="1" spans="1:36" x14ac:dyDescent="0.25">
      <c r="A715" s="16"/>
      <c r="B715" s="16"/>
      <c r="C715" s="16"/>
      <c r="D715" s="16"/>
      <c r="E715" s="16"/>
      <c r="F715" s="16"/>
      <c r="G715" s="16"/>
      <c r="H715" s="16"/>
      <c r="I715" s="16"/>
      <c r="J715" s="16"/>
      <c r="K715" s="16"/>
      <c r="L715" s="16"/>
      <c r="M715" s="16"/>
      <c r="N715" s="16"/>
      <c r="O715" s="16"/>
      <c r="P715" s="16"/>
      <c r="Q715" s="16"/>
      <c r="R715" s="16"/>
      <c r="S715" s="16"/>
      <c r="T715" s="16"/>
      <c r="U715" s="16"/>
      <c r="V715" s="16"/>
      <c r="W715" s="16"/>
      <c r="X715" s="16"/>
      <c r="Y715" s="16"/>
      <c r="Z715" s="16"/>
      <c r="AA715" s="16"/>
      <c r="AB715" s="16"/>
      <c r="AC715" s="16"/>
      <c r="AD715" s="16"/>
      <c r="AE715" s="16"/>
      <c r="AF715" s="16"/>
      <c r="AG715" s="16"/>
      <c r="AH715" s="16"/>
      <c r="AI715" s="16"/>
      <c r="AJ715" s="16"/>
    </row>
    <row r="716" ht="12.75" customHeight="1" spans="1:36" x14ac:dyDescent="0.25">
      <c r="A716" s="16"/>
      <c r="B716" s="16"/>
      <c r="C716" s="16"/>
      <c r="D716" s="16"/>
      <c r="E716" s="16"/>
      <c r="F716" s="16"/>
      <c r="G716" s="16"/>
      <c r="H716" s="16"/>
      <c r="I716" s="16"/>
      <c r="J716" s="16"/>
      <c r="K716" s="16"/>
      <c r="L716" s="16"/>
      <c r="M716" s="16"/>
      <c r="N716" s="16"/>
      <c r="O716" s="16"/>
      <c r="P716" s="16"/>
      <c r="Q716" s="16"/>
      <c r="R716" s="16"/>
      <c r="S716" s="16"/>
      <c r="T716" s="16"/>
      <c r="U716" s="16"/>
      <c r="V716" s="16"/>
      <c r="W716" s="16"/>
      <c r="X716" s="16"/>
      <c r="Y716" s="16"/>
      <c r="Z716" s="16"/>
      <c r="AA716" s="16"/>
      <c r="AB716" s="16"/>
      <c r="AC716" s="16"/>
      <c r="AD716" s="16"/>
      <c r="AE716" s="16"/>
      <c r="AF716" s="16"/>
      <c r="AG716" s="16"/>
      <c r="AH716" s="16"/>
      <c r="AI716" s="16"/>
      <c r="AJ716" s="16"/>
    </row>
    <row r="717" ht="12.75" customHeight="1" spans="1:36" x14ac:dyDescent="0.25">
      <c r="A717" s="16"/>
      <c r="B717" s="16"/>
      <c r="C717" s="16"/>
      <c r="D717" s="16"/>
      <c r="E717" s="16"/>
      <c r="F717" s="16"/>
      <c r="G717" s="16"/>
      <c r="H717" s="16"/>
      <c r="I717" s="16"/>
      <c r="J717" s="16"/>
      <c r="K717" s="16"/>
      <c r="L717" s="16"/>
      <c r="M717" s="16"/>
      <c r="N717" s="16"/>
      <c r="O717" s="16"/>
      <c r="P717" s="16"/>
      <c r="Q717" s="16"/>
      <c r="R717" s="16"/>
      <c r="S717" s="16"/>
      <c r="T717" s="16"/>
      <c r="U717" s="16"/>
      <c r="V717" s="16"/>
      <c r="W717" s="16"/>
      <c r="X717" s="16"/>
      <c r="Y717" s="16"/>
      <c r="Z717" s="16"/>
      <c r="AA717" s="16"/>
      <c r="AB717" s="16"/>
      <c r="AC717" s="16"/>
      <c r="AD717" s="16"/>
      <c r="AE717" s="16"/>
      <c r="AF717" s="16"/>
      <c r="AG717" s="16"/>
      <c r="AH717" s="16"/>
      <c r="AI717" s="16"/>
      <c r="AJ717" s="16"/>
    </row>
    <row r="718" ht="12.75" customHeight="1" spans="1:36" x14ac:dyDescent="0.25">
      <c r="A718" s="16"/>
      <c r="B718" s="16"/>
      <c r="C718" s="16"/>
      <c r="D718" s="16"/>
      <c r="E718" s="16"/>
      <c r="F718" s="16"/>
      <c r="G718" s="16"/>
      <c r="H718" s="16"/>
      <c r="I718" s="16"/>
      <c r="J718" s="16"/>
      <c r="K718" s="16"/>
      <c r="L718" s="16"/>
      <c r="M718" s="16"/>
      <c r="N718" s="16"/>
      <c r="O718" s="16"/>
      <c r="P718" s="16"/>
      <c r="Q718" s="16"/>
      <c r="R718" s="16"/>
      <c r="S718" s="16"/>
      <c r="T718" s="16"/>
      <c r="U718" s="16"/>
      <c r="V718" s="16"/>
      <c r="W718" s="16"/>
      <c r="X718" s="16"/>
      <c r="Y718" s="16"/>
      <c r="Z718" s="16"/>
      <c r="AA718" s="16"/>
      <c r="AB718" s="16"/>
      <c r="AC718" s="16"/>
      <c r="AD718" s="16"/>
      <c r="AE718" s="16"/>
      <c r="AF718" s="16"/>
      <c r="AG718" s="16"/>
      <c r="AH718" s="16"/>
      <c r="AI718" s="16"/>
      <c r="AJ718" s="16"/>
    </row>
    <row r="719" ht="12.75" customHeight="1" spans="1:36" x14ac:dyDescent="0.25">
      <c r="A719" s="16"/>
      <c r="B719" s="16"/>
      <c r="C719" s="16"/>
      <c r="D719" s="16"/>
      <c r="E719" s="16"/>
      <c r="F719" s="16"/>
      <c r="G719" s="16"/>
      <c r="H719" s="16"/>
      <c r="I719" s="16"/>
      <c r="J719" s="16"/>
      <c r="K719" s="16"/>
      <c r="L719" s="16"/>
      <c r="M719" s="16"/>
      <c r="N719" s="16"/>
      <c r="O719" s="16"/>
      <c r="P719" s="16"/>
      <c r="Q719" s="16"/>
      <c r="R719" s="16"/>
      <c r="S719" s="16"/>
      <c r="T719" s="16"/>
      <c r="U719" s="16"/>
      <c r="V719" s="16"/>
      <c r="W719" s="16"/>
      <c r="X719" s="16"/>
      <c r="Y719" s="16"/>
      <c r="Z719" s="16"/>
      <c r="AA719" s="16"/>
      <c r="AB719" s="16"/>
      <c r="AC719" s="16"/>
      <c r="AD719" s="16"/>
      <c r="AE719" s="16"/>
      <c r="AF719" s="16"/>
      <c r="AG719" s="16"/>
      <c r="AH719" s="16"/>
      <c r="AI719" s="16"/>
      <c r="AJ719" s="16"/>
    </row>
    <row r="720" ht="12.75" customHeight="1" spans="1:36" x14ac:dyDescent="0.25">
      <c r="A720" s="16"/>
      <c r="B720" s="16"/>
      <c r="C720" s="16"/>
      <c r="D720" s="16"/>
      <c r="E720" s="16"/>
      <c r="F720" s="16"/>
      <c r="G720" s="16"/>
      <c r="H720" s="16"/>
      <c r="I720" s="16"/>
      <c r="J720" s="16"/>
      <c r="K720" s="16"/>
      <c r="L720" s="16"/>
      <c r="M720" s="16"/>
      <c r="N720" s="16"/>
      <c r="O720" s="16"/>
      <c r="P720" s="16"/>
      <c r="Q720" s="16"/>
      <c r="R720" s="16"/>
      <c r="S720" s="16"/>
      <c r="T720" s="16"/>
      <c r="U720" s="16"/>
      <c r="V720" s="16"/>
      <c r="W720" s="16"/>
      <c r="X720" s="16"/>
      <c r="Y720" s="16"/>
      <c r="Z720" s="16"/>
      <c r="AA720" s="16"/>
      <c r="AB720" s="16"/>
      <c r="AC720" s="16"/>
      <c r="AD720" s="16"/>
      <c r="AE720" s="16"/>
      <c r="AF720" s="16"/>
      <c r="AG720" s="16"/>
      <c r="AH720" s="16"/>
      <c r="AI720" s="16"/>
      <c r="AJ720" s="16"/>
    </row>
    <row r="721" ht="12.75" customHeight="1" spans="1:36" x14ac:dyDescent="0.25">
      <c r="A721" s="16"/>
      <c r="B721" s="16"/>
      <c r="C721" s="16"/>
      <c r="D721" s="16"/>
      <c r="E721" s="16"/>
      <c r="F721" s="16"/>
      <c r="G721" s="16"/>
      <c r="H721" s="16"/>
      <c r="I721" s="16"/>
      <c r="J721" s="16"/>
      <c r="K721" s="16"/>
      <c r="L721" s="16"/>
      <c r="M721" s="16"/>
      <c r="N721" s="16"/>
      <c r="O721" s="16"/>
      <c r="P721" s="16"/>
      <c r="Q721" s="16"/>
      <c r="R721" s="16"/>
      <c r="S721" s="16"/>
      <c r="T721" s="16"/>
      <c r="U721" s="16"/>
      <c r="V721" s="16"/>
      <c r="W721" s="16"/>
      <c r="X721" s="16"/>
      <c r="Y721" s="16"/>
      <c r="Z721" s="16"/>
      <c r="AA721" s="16"/>
      <c r="AB721" s="16"/>
      <c r="AC721" s="16"/>
      <c r="AD721" s="16"/>
      <c r="AE721" s="16"/>
      <c r="AF721" s="16"/>
      <c r="AG721" s="16"/>
      <c r="AH721" s="16"/>
      <c r="AI721" s="16"/>
      <c r="AJ721" s="16"/>
    </row>
    <row r="722" ht="12.75" customHeight="1" spans="1:36" x14ac:dyDescent="0.25">
      <c r="A722" s="16"/>
      <c r="B722" s="16"/>
      <c r="C722" s="16"/>
      <c r="D722" s="16"/>
      <c r="E722" s="16"/>
      <c r="F722" s="16"/>
      <c r="G722" s="16"/>
      <c r="H722" s="16"/>
      <c r="I722" s="16"/>
      <c r="J722" s="16"/>
      <c r="K722" s="16"/>
      <c r="L722" s="16"/>
      <c r="M722" s="16"/>
      <c r="N722" s="16"/>
      <c r="O722" s="16"/>
      <c r="P722" s="16"/>
      <c r="Q722" s="16"/>
      <c r="R722" s="16"/>
      <c r="S722" s="16"/>
      <c r="T722" s="16"/>
      <c r="U722" s="16"/>
      <c r="V722" s="16"/>
      <c r="W722" s="16"/>
      <c r="X722" s="16"/>
      <c r="Y722" s="16"/>
      <c r="Z722" s="16"/>
      <c r="AA722" s="16"/>
      <c r="AB722" s="16"/>
      <c r="AC722" s="16"/>
      <c r="AD722" s="16"/>
      <c r="AE722" s="16"/>
      <c r="AF722" s="16"/>
      <c r="AG722" s="16"/>
      <c r="AH722" s="16"/>
      <c r="AI722" s="16"/>
      <c r="AJ722" s="16"/>
    </row>
    <row r="723" ht="12.75" customHeight="1" spans="1:36" x14ac:dyDescent="0.25">
      <c r="A723" s="16"/>
      <c r="B723" s="16"/>
      <c r="C723" s="16"/>
      <c r="D723" s="16"/>
      <c r="E723" s="16"/>
      <c r="F723" s="16"/>
      <c r="G723" s="16"/>
      <c r="H723" s="16"/>
      <c r="I723" s="16"/>
      <c r="J723" s="16"/>
      <c r="K723" s="16"/>
      <c r="L723" s="16"/>
      <c r="M723" s="16"/>
      <c r="N723" s="16"/>
      <c r="O723" s="16"/>
      <c r="P723" s="16"/>
      <c r="Q723" s="16"/>
      <c r="R723" s="16"/>
      <c r="S723" s="16"/>
      <c r="T723" s="16"/>
      <c r="U723" s="16"/>
      <c r="V723" s="16"/>
      <c r="W723" s="16"/>
      <c r="X723" s="16"/>
      <c r="Y723" s="16"/>
      <c r="Z723" s="16"/>
      <c r="AA723" s="16"/>
      <c r="AB723" s="16"/>
      <c r="AC723" s="16"/>
      <c r="AD723" s="16"/>
      <c r="AE723" s="16"/>
      <c r="AF723" s="16"/>
      <c r="AG723" s="16"/>
      <c r="AH723" s="16"/>
      <c r="AI723" s="16"/>
      <c r="AJ723" s="16"/>
    </row>
    <row r="724" ht="12.75" customHeight="1" spans="1:36" x14ac:dyDescent="0.25">
      <c r="A724" s="16"/>
      <c r="B724" s="16"/>
      <c r="C724" s="16"/>
      <c r="D724" s="16"/>
      <c r="E724" s="16"/>
      <c r="F724" s="16"/>
      <c r="G724" s="16"/>
      <c r="H724" s="16"/>
      <c r="I724" s="16"/>
      <c r="J724" s="16"/>
      <c r="K724" s="16"/>
      <c r="L724" s="16"/>
      <c r="M724" s="16"/>
      <c r="N724" s="16"/>
      <c r="O724" s="16"/>
      <c r="P724" s="16"/>
      <c r="Q724" s="16"/>
      <c r="R724" s="16"/>
      <c r="S724" s="16"/>
      <c r="T724" s="16"/>
      <c r="U724" s="16"/>
      <c r="V724" s="16"/>
      <c r="W724" s="16"/>
      <c r="X724" s="16"/>
      <c r="Y724" s="16"/>
      <c r="Z724" s="16"/>
      <c r="AA724" s="16"/>
      <c r="AB724" s="16"/>
      <c r="AC724" s="16"/>
      <c r="AD724" s="16"/>
      <c r="AE724" s="16"/>
      <c r="AF724" s="16"/>
      <c r="AG724" s="16"/>
      <c r="AH724" s="16"/>
      <c r="AI724" s="16"/>
      <c r="AJ724" s="16"/>
    </row>
    <row r="725" ht="12.75" customHeight="1" spans="1:36" x14ac:dyDescent="0.25">
      <c r="A725" s="16"/>
      <c r="B725" s="16"/>
      <c r="C725" s="16"/>
      <c r="D725" s="16"/>
      <c r="E725" s="16"/>
      <c r="F725" s="16"/>
      <c r="G725" s="16"/>
      <c r="H725" s="16"/>
      <c r="I725" s="16"/>
      <c r="J725" s="16"/>
      <c r="K725" s="16"/>
      <c r="L725" s="16"/>
      <c r="M725" s="16"/>
      <c r="N725" s="16"/>
      <c r="O725" s="16"/>
      <c r="P725" s="16"/>
      <c r="Q725" s="16"/>
      <c r="R725" s="16"/>
      <c r="S725" s="16"/>
      <c r="T725" s="16"/>
      <c r="U725" s="16"/>
      <c r="V725" s="16"/>
      <c r="W725" s="16"/>
      <c r="X725" s="16"/>
      <c r="Y725" s="16"/>
      <c r="Z725" s="16"/>
      <c r="AA725" s="16"/>
      <c r="AB725" s="16"/>
      <c r="AC725" s="16"/>
      <c r="AD725" s="16"/>
      <c r="AE725" s="16"/>
      <c r="AF725" s="16"/>
      <c r="AG725" s="16"/>
      <c r="AH725" s="16"/>
      <c r="AI725" s="16"/>
      <c r="AJ725" s="16"/>
    </row>
    <row r="726" ht="12.75" customHeight="1" spans="1:36" x14ac:dyDescent="0.25">
      <c r="A726" s="16"/>
      <c r="B726" s="16"/>
      <c r="C726" s="16"/>
      <c r="D726" s="16"/>
      <c r="E726" s="16"/>
      <c r="F726" s="16"/>
      <c r="G726" s="16"/>
      <c r="H726" s="16"/>
      <c r="I726" s="16"/>
      <c r="J726" s="16"/>
      <c r="K726" s="16"/>
      <c r="L726" s="16"/>
      <c r="M726" s="16"/>
      <c r="N726" s="16"/>
      <c r="O726" s="16"/>
      <c r="P726" s="16"/>
      <c r="Q726" s="16"/>
      <c r="R726" s="16"/>
      <c r="S726" s="16"/>
      <c r="T726" s="16"/>
      <c r="U726" s="16"/>
      <c r="V726" s="16"/>
      <c r="W726" s="16"/>
      <c r="X726" s="16"/>
      <c r="Y726" s="16"/>
      <c r="Z726" s="16"/>
      <c r="AA726" s="16"/>
      <c r="AB726" s="16"/>
      <c r="AC726" s="16"/>
      <c r="AD726" s="16"/>
      <c r="AE726" s="16"/>
      <c r="AF726" s="16"/>
      <c r="AG726" s="16"/>
      <c r="AH726" s="16"/>
      <c r="AI726" s="16"/>
      <c r="AJ726" s="16"/>
    </row>
    <row r="727" ht="12.75" customHeight="1" spans="1:36" x14ac:dyDescent="0.25">
      <c r="A727" s="16"/>
      <c r="B727" s="16"/>
      <c r="C727" s="16"/>
      <c r="D727" s="16"/>
      <c r="E727" s="16"/>
      <c r="F727" s="16"/>
      <c r="G727" s="16"/>
      <c r="H727" s="16"/>
      <c r="I727" s="16"/>
      <c r="J727" s="16"/>
      <c r="K727" s="16"/>
      <c r="L727" s="16"/>
      <c r="M727" s="16"/>
      <c r="N727" s="16"/>
      <c r="O727" s="16"/>
      <c r="P727" s="16"/>
      <c r="Q727" s="16"/>
      <c r="R727" s="16"/>
      <c r="S727" s="16"/>
      <c r="T727" s="16"/>
      <c r="U727" s="16"/>
      <c r="V727" s="16"/>
      <c r="W727" s="16"/>
      <c r="X727" s="16"/>
      <c r="Y727" s="16"/>
      <c r="Z727" s="16"/>
      <c r="AA727" s="16"/>
      <c r="AB727" s="16"/>
      <c r="AC727" s="16"/>
      <c r="AD727" s="16"/>
      <c r="AE727" s="16"/>
      <c r="AF727" s="16"/>
      <c r="AG727" s="16"/>
      <c r="AH727" s="16"/>
      <c r="AI727" s="16"/>
      <c r="AJ727" s="16"/>
    </row>
    <row r="728" ht="12.75" customHeight="1" spans="1:36" x14ac:dyDescent="0.25">
      <c r="A728" s="16"/>
      <c r="B728" s="16"/>
      <c r="C728" s="16"/>
      <c r="D728" s="16"/>
      <c r="E728" s="16"/>
      <c r="F728" s="16"/>
      <c r="G728" s="16"/>
      <c r="H728" s="16"/>
      <c r="I728" s="16"/>
      <c r="J728" s="16"/>
      <c r="K728" s="16"/>
      <c r="L728" s="16"/>
      <c r="M728" s="16"/>
      <c r="N728" s="16"/>
      <c r="O728" s="16"/>
      <c r="P728" s="16"/>
      <c r="Q728" s="16"/>
      <c r="R728" s="16"/>
      <c r="S728" s="16"/>
      <c r="T728" s="16"/>
      <c r="U728" s="16"/>
      <c r="V728" s="16"/>
      <c r="W728" s="16"/>
      <c r="X728" s="16"/>
      <c r="Y728" s="16"/>
      <c r="Z728" s="16"/>
      <c r="AA728" s="16"/>
      <c r="AB728" s="16"/>
      <c r="AC728" s="16"/>
      <c r="AD728" s="16"/>
      <c r="AE728" s="16"/>
      <c r="AF728" s="16"/>
      <c r="AG728" s="16"/>
      <c r="AH728" s="16"/>
      <c r="AI728" s="16"/>
      <c r="AJ728" s="16"/>
    </row>
    <row r="729" ht="12.75" customHeight="1" spans="1:36" x14ac:dyDescent="0.25">
      <c r="A729" s="16"/>
      <c r="B729" s="16"/>
      <c r="C729" s="16"/>
      <c r="D729" s="16"/>
      <c r="E729" s="16"/>
      <c r="F729" s="16"/>
      <c r="G729" s="16"/>
      <c r="H729" s="16"/>
      <c r="I729" s="16"/>
      <c r="J729" s="16"/>
      <c r="K729" s="16"/>
      <c r="L729" s="16"/>
      <c r="M729" s="16"/>
      <c r="N729" s="16"/>
      <c r="O729" s="16"/>
      <c r="P729" s="16"/>
      <c r="Q729" s="16"/>
      <c r="R729" s="16"/>
      <c r="S729" s="16"/>
      <c r="T729" s="16"/>
      <c r="U729" s="16"/>
      <c r="V729" s="16"/>
      <c r="W729" s="16"/>
      <c r="X729" s="16"/>
      <c r="Y729" s="16"/>
      <c r="Z729" s="16"/>
      <c r="AA729" s="16"/>
      <c r="AB729" s="16"/>
      <c r="AC729" s="16"/>
      <c r="AD729" s="16"/>
      <c r="AE729" s="16"/>
      <c r="AF729" s="16"/>
      <c r="AG729" s="16"/>
      <c r="AH729" s="16"/>
      <c r="AI729" s="16"/>
      <c r="AJ729" s="16"/>
    </row>
    <row r="730" ht="12.75" customHeight="1" spans="1:36" x14ac:dyDescent="0.25">
      <c r="A730" s="16"/>
      <c r="B730" s="16"/>
      <c r="C730" s="16"/>
      <c r="D730" s="16"/>
      <c r="E730" s="16"/>
      <c r="F730" s="16"/>
      <c r="G730" s="16"/>
      <c r="H730" s="16"/>
      <c r="I730" s="16"/>
      <c r="J730" s="16"/>
      <c r="K730" s="16"/>
      <c r="L730" s="16"/>
      <c r="M730" s="16"/>
      <c r="N730" s="16"/>
      <c r="O730" s="16"/>
      <c r="P730" s="16"/>
      <c r="Q730" s="16"/>
      <c r="R730" s="16"/>
      <c r="S730" s="16"/>
      <c r="T730" s="16"/>
      <c r="U730" s="16"/>
      <c r="V730" s="16"/>
      <c r="W730" s="16"/>
      <c r="X730" s="16"/>
      <c r="Y730" s="16"/>
      <c r="Z730" s="16"/>
      <c r="AA730" s="16"/>
      <c r="AB730" s="16"/>
      <c r="AC730" s="16"/>
      <c r="AD730" s="16"/>
      <c r="AE730" s="16"/>
      <c r="AF730" s="16"/>
      <c r="AG730" s="16"/>
      <c r="AH730" s="16"/>
      <c r="AI730" s="16"/>
      <c r="AJ730" s="16"/>
    </row>
    <row r="731" ht="12.75" customHeight="1" spans="1:36" x14ac:dyDescent="0.25">
      <c r="A731" s="16"/>
      <c r="B731" s="16"/>
      <c r="C731" s="16"/>
      <c r="D731" s="16"/>
      <c r="E731" s="16"/>
      <c r="F731" s="16"/>
      <c r="G731" s="16"/>
      <c r="H731" s="16"/>
      <c r="I731" s="16"/>
      <c r="J731" s="16"/>
      <c r="K731" s="16"/>
      <c r="L731" s="16"/>
      <c r="M731" s="16"/>
      <c r="N731" s="16"/>
      <c r="O731" s="16"/>
      <c r="P731" s="16"/>
      <c r="Q731" s="16"/>
      <c r="R731" s="16"/>
      <c r="S731" s="16"/>
      <c r="T731" s="16"/>
      <c r="U731" s="16"/>
      <c r="V731" s="16"/>
      <c r="W731" s="16"/>
      <c r="X731" s="16"/>
      <c r="Y731" s="16"/>
      <c r="Z731" s="16"/>
      <c r="AA731" s="16"/>
      <c r="AB731" s="16"/>
      <c r="AC731" s="16"/>
      <c r="AD731" s="16"/>
      <c r="AE731" s="16"/>
      <c r="AF731" s="16"/>
      <c r="AG731" s="16"/>
      <c r="AH731" s="16"/>
      <c r="AI731" s="16"/>
      <c r="AJ731" s="16"/>
    </row>
    <row r="732" ht="12.75" customHeight="1" spans="1:36" x14ac:dyDescent="0.25">
      <c r="A732" s="16"/>
      <c r="B732" s="16"/>
      <c r="C732" s="16"/>
      <c r="D732" s="16"/>
      <c r="E732" s="16"/>
      <c r="F732" s="16"/>
      <c r="G732" s="16"/>
      <c r="H732" s="16"/>
      <c r="I732" s="16"/>
      <c r="J732" s="16"/>
      <c r="K732" s="16"/>
      <c r="L732" s="16"/>
      <c r="M732" s="16"/>
      <c r="N732" s="16"/>
      <c r="O732" s="16"/>
      <c r="P732" s="16"/>
      <c r="Q732" s="16"/>
      <c r="R732" s="16"/>
      <c r="S732" s="16"/>
      <c r="T732" s="16"/>
      <c r="U732" s="16"/>
      <c r="V732" s="16"/>
      <c r="W732" s="16"/>
      <c r="X732" s="16"/>
      <c r="Y732" s="16"/>
      <c r="Z732" s="16"/>
      <c r="AA732" s="16"/>
      <c r="AB732" s="16"/>
      <c r="AC732" s="16"/>
      <c r="AD732" s="16"/>
      <c r="AE732" s="16"/>
      <c r="AF732" s="16"/>
      <c r="AG732" s="16"/>
      <c r="AH732" s="16"/>
      <c r="AI732" s="16"/>
      <c r="AJ732" s="16"/>
    </row>
    <row r="733" ht="12.75" customHeight="1" spans="1:36" x14ac:dyDescent="0.25">
      <c r="A733" s="16"/>
      <c r="B733" s="16"/>
      <c r="C733" s="16"/>
      <c r="D733" s="16"/>
      <c r="E733" s="16"/>
      <c r="F733" s="16"/>
      <c r="G733" s="16"/>
      <c r="H733" s="16"/>
      <c r="I733" s="16"/>
      <c r="J733" s="16"/>
      <c r="K733" s="16"/>
      <c r="L733" s="16"/>
      <c r="M733" s="16"/>
      <c r="N733" s="16"/>
      <c r="O733" s="16"/>
      <c r="P733" s="16"/>
      <c r="Q733" s="16"/>
      <c r="R733" s="16"/>
      <c r="S733" s="16"/>
      <c r="T733" s="16"/>
      <c r="U733" s="16"/>
      <c r="V733" s="16"/>
      <c r="W733" s="16"/>
      <c r="X733" s="16"/>
      <c r="Y733" s="16"/>
      <c r="Z733" s="16"/>
      <c r="AA733" s="16"/>
      <c r="AB733" s="16"/>
      <c r="AC733" s="16"/>
      <c r="AD733" s="16"/>
      <c r="AE733" s="16"/>
      <c r="AF733" s="16"/>
      <c r="AG733" s="16"/>
      <c r="AH733" s="16"/>
      <c r="AI733" s="16"/>
      <c r="AJ733" s="16"/>
    </row>
    <row r="734" ht="12.75" customHeight="1" spans="1:36" x14ac:dyDescent="0.25">
      <c r="A734" s="16"/>
      <c r="B734" s="16"/>
      <c r="C734" s="16"/>
      <c r="D734" s="16"/>
      <c r="E734" s="16"/>
      <c r="F734" s="16"/>
      <c r="G734" s="16"/>
      <c r="H734" s="16"/>
      <c r="I734" s="16"/>
      <c r="J734" s="16"/>
      <c r="K734" s="16"/>
      <c r="L734" s="16"/>
      <c r="M734" s="16"/>
      <c r="N734" s="16"/>
      <c r="O734" s="16"/>
      <c r="P734" s="16"/>
      <c r="Q734" s="16"/>
      <c r="R734" s="16"/>
      <c r="S734" s="16"/>
      <c r="T734" s="16"/>
      <c r="U734" s="16"/>
      <c r="V734" s="16"/>
      <c r="W734" s="16"/>
      <c r="X734" s="16"/>
      <c r="Y734" s="16"/>
      <c r="Z734" s="16"/>
      <c r="AA734" s="16"/>
      <c r="AB734" s="16"/>
      <c r="AC734" s="16"/>
      <c r="AD734" s="16"/>
      <c r="AE734" s="16"/>
      <c r="AF734" s="16"/>
      <c r="AG734" s="16"/>
      <c r="AH734" s="16"/>
      <c r="AI734" s="16"/>
      <c r="AJ734" s="16"/>
    </row>
    <row r="735" ht="12.75" customHeight="1" spans="1:36" x14ac:dyDescent="0.25">
      <c r="A735" s="16"/>
      <c r="B735" s="16"/>
      <c r="C735" s="16"/>
      <c r="D735" s="16"/>
      <c r="E735" s="16"/>
      <c r="F735" s="16"/>
      <c r="G735" s="16"/>
      <c r="H735" s="16"/>
      <c r="I735" s="16"/>
      <c r="J735" s="16"/>
      <c r="K735" s="16"/>
      <c r="L735" s="16"/>
      <c r="M735" s="16"/>
      <c r="N735" s="16"/>
      <c r="O735" s="16"/>
      <c r="P735" s="16"/>
      <c r="Q735" s="16"/>
      <c r="R735" s="16"/>
      <c r="S735" s="16"/>
      <c r="T735" s="16"/>
      <c r="U735" s="16"/>
      <c r="V735" s="16"/>
      <c r="W735" s="16"/>
      <c r="X735" s="16"/>
      <c r="Y735" s="16"/>
      <c r="Z735" s="16"/>
      <c r="AA735" s="16"/>
      <c r="AB735" s="16"/>
      <c r="AC735" s="16"/>
      <c r="AD735" s="16"/>
      <c r="AE735" s="16"/>
      <c r="AF735" s="16"/>
      <c r="AG735" s="16"/>
      <c r="AH735" s="16"/>
      <c r="AI735" s="16"/>
      <c r="AJ735" s="16"/>
    </row>
    <row r="736" ht="12.75" customHeight="1" spans="1:36" x14ac:dyDescent="0.25">
      <c r="A736" s="16"/>
      <c r="B736" s="16"/>
      <c r="C736" s="16"/>
      <c r="D736" s="16"/>
      <c r="E736" s="16"/>
      <c r="F736" s="16"/>
      <c r="G736" s="16"/>
      <c r="H736" s="16"/>
      <c r="I736" s="16"/>
      <c r="J736" s="16"/>
      <c r="K736" s="16"/>
      <c r="L736" s="16"/>
      <c r="M736" s="16"/>
      <c r="N736" s="16"/>
      <c r="O736" s="16"/>
      <c r="P736" s="16"/>
      <c r="Q736" s="16"/>
      <c r="R736" s="16"/>
      <c r="S736" s="16"/>
      <c r="T736" s="16"/>
      <c r="U736" s="16"/>
      <c r="V736" s="16"/>
      <c r="W736" s="16"/>
      <c r="X736" s="16"/>
      <c r="Y736" s="16"/>
      <c r="Z736" s="16"/>
      <c r="AA736" s="16"/>
      <c r="AB736" s="16"/>
      <c r="AC736" s="16"/>
      <c r="AD736" s="16"/>
      <c r="AE736" s="16"/>
      <c r="AF736" s="16"/>
      <c r="AG736" s="16"/>
      <c r="AH736" s="16"/>
      <c r="AI736" s="16"/>
      <c r="AJ736" s="16"/>
    </row>
    <row r="737" ht="12.75" customHeight="1" spans="1:36" x14ac:dyDescent="0.25">
      <c r="A737" s="16"/>
      <c r="B737" s="16"/>
      <c r="C737" s="16"/>
      <c r="D737" s="16"/>
      <c r="E737" s="16"/>
      <c r="F737" s="16"/>
      <c r="G737" s="16"/>
      <c r="H737" s="16"/>
      <c r="I737" s="16"/>
      <c r="J737" s="16"/>
      <c r="K737" s="16"/>
      <c r="L737" s="16"/>
      <c r="M737" s="16"/>
      <c r="N737" s="16"/>
      <c r="O737" s="16"/>
      <c r="P737" s="16"/>
      <c r="Q737" s="16"/>
      <c r="R737" s="16"/>
      <c r="S737" s="16"/>
      <c r="T737" s="16"/>
      <c r="U737" s="16"/>
      <c r="V737" s="16"/>
      <c r="W737" s="16"/>
      <c r="X737" s="16"/>
      <c r="Y737" s="16"/>
      <c r="Z737" s="16"/>
      <c r="AA737" s="16"/>
      <c r="AB737" s="16"/>
      <c r="AC737" s="16"/>
      <c r="AD737" s="16"/>
      <c r="AE737" s="16"/>
      <c r="AF737" s="16"/>
      <c r="AG737" s="16"/>
      <c r="AH737" s="16"/>
      <c r="AI737" s="16"/>
      <c r="AJ737" s="16"/>
    </row>
    <row r="738" ht="12.75" customHeight="1" spans="1:36" x14ac:dyDescent="0.25">
      <c r="A738" s="16"/>
      <c r="B738" s="16"/>
      <c r="C738" s="16"/>
      <c r="D738" s="16"/>
      <c r="E738" s="16"/>
      <c r="F738" s="16"/>
      <c r="G738" s="16"/>
      <c r="H738" s="16"/>
      <c r="I738" s="16"/>
      <c r="J738" s="16"/>
      <c r="K738" s="16"/>
      <c r="L738" s="16"/>
      <c r="M738" s="16"/>
      <c r="N738" s="16"/>
      <c r="O738" s="16"/>
      <c r="P738" s="16"/>
      <c r="Q738" s="16"/>
      <c r="R738" s="16"/>
      <c r="S738" s="16"/>
      <c r="T738" s="16"/>
      <c r="U738" s="16"/>
      <c r="V738" s="16"/>
      <c r="W738" s="16"/>
      <c r="X738" s="16"/>
      <c r="Y738" s="16"/>
      <c r="Z738" s="16"/>
      <c r="AA738" s="16"/>
      <c r="AB738" s="16"/>
      <c r="AC738" s="16"/>
      <c r="AD738" s="16"/>
      <c r="AE738" s="16"/>
      <c r="AF738" s="16"/>
      <c r="AG738" s="16"/>
      <c r="AH738" s="16"/>
      <c r="AI738" s="16"/>
      <c r="AJ738" s="16"/>
    </row>
    <row r="739" ht="12.75" customHeight="1" spans="1:36" x14ac:dyDescent="0.25">
      <c r="A739" s="16"/>
      <c r="B739" s="16"/>
      <c r="C739" s="16"/>
      <c r="D739" s="16"/>
      <c r="E739" s="16"/>
      <c r="F739" s="16"/>
      <c r="G739" s="16"/>
      <c r="H739" s="16"/>
      <c r="I739" s="16"/>
      <c r="J739" s="16"/>
      <c r="K739" s="16"/>
      <c r="L739" s="16"/>
      <c r="M739" s="16"/>
      <c r="N739" s="16"/>
      <c r="O739" s="16"/>
      <c r="P739" s="16"/>
      <c r="Q739" s="16"/>
      <c r="R739" s="16"/>
      <c r="S739" s="16"/>
      <c r="T739" s="16"/>
      <c r="U739" s="16"/>
      <c r="V739" s="16"/>
      <c r="W739" s="16"/>
      <c r="X739" s="16"/>
      <c r="Y739" s="16"/>
      <c r="Z739" s="16"/>
      <c r="AA739" s="16"/>
      <c r="AB739" s="16"/>
      <c r="AC739" s="16"/>
      <c r="AD739" s="16"/>
      <c r="AE739" s="16"/>
      <c r="AF739" s="16"/>
      <c r="AG739" s="16"/>
      <c r="AH739" s="16"/>
      <c r="AI739" s="16"/>
      <c r="AJ739" s="16"/>
    </row>
    <row r="740" ht="12.75" customHeight="1" spans="1:36" x14ac:dyDescent="0.25">
      <c r="A740" s="16"/>
      <c r="B740" s="16"/>
      <c r="C740" s="16"/>
      <c r="D740" s="16"/>
      <c r="E740" s="16"/>
      <c r="F740" s="16"/>
      <c r="G740" s="16"/>
      <c r="H740" s="16"/>
      <c r="I740" s="16"/>
      <c r="J740" s="16"/>
      <c r="K740" s="16"/>
      <c r="L740" s="16"/>
      <c r="M740" s="16"/>
      <c r="N740" s="16"/>
      <c r="O740" s="16"/>
      <c r="P740" s="16"/>
      <c r="Q740" s="16"/>
      <c r="R740" s="16"/>
      <c r="S740" s="16"/>
      <c r="T740" s="16"/>
      <c r="U740" s="16"/>
      <c r="V740" s="16"/>
      <c r="W740" s="16"/>
      <c r="X740" s="16"/>
      <c r="Y740" s="16"/>
      <c r="Z740" s="16"/>
      <c r="AA740" s="16"/>
      <c r="AB740" s="16"/>
      <c r="AC740" s="16"/>
      <c r="AD740" s="16"/>
      <c r="AE740" s="16"/>
      <c r="AF740" s="16"/>
      <c r="AG740" s="16"/>
      <c r="AH740" s="16"/>
      <c r="AI740" s="16"/>
      <c r="AJ740" s="16"/>
    </row>
    <row r="741" ht="12.75" customHeight="1" spans="1:36" x14ac:dyDescent="0.25">
      <c r="A741" s="16"/>
      <c r="B741" s="16"/>
      <c r="C741" s="16"/>
      <c r="D741" s="16"/>
      <c r="E741" s="16"/>
      <c r="F741" s="16"/>
      <c r="G741" s="16"/>
      <c r="H741" s="16"/>
      <c r="I741" s="16"/>
      <c r="J741" s="16"/>
      <c r="K741" s="16"/>
      <c r="L741" s="16"/>
      <c r="M741" s="16"/>
      <c r="N741" s="16"/>
      <c r="O741" s="16"/>
      <c r="P741" s="16"/>
      <c r="Q741" s="16"/>
      <c r="R741" s="16"/>
      <c r="S741" s="16"/>
      <c r="T741" s="16"/>
      <c r="U741" s="16"/>
      <c r="V741" s="16"/>
      <c r="W741" s="16"/>
      <c r="X741" s="16"/>
      <c r="Y741" s="16"/>
      <c r="Z741" s="16"/>
      <c r="AA741" s="16"/>
      <c r="AB741" s="16"/>
      <c r="AC741" s="16"/>
      <c r="AD741" s="16"/>
      <c r="AE741" s="16"/>
      <c r="AF741" s="16"/>
      <c r="AG741" s="16"/>
      <c r="AH741" s="16"/>
      <c r="AI741" s="16"/>
      <c r="AJ741" s="16"/>
    </row>
    <row r="742" ht="12.75" customHeight="1" spans="1:36" x14ac:dyDescent="0.25">
      <c r="A742" s="16"/>
      <c r="B742" s="16"/>
      <c r="C742" s="16"/>
      <c r="D742" s="16"/>
      <c r="E742" s="16"/>
      <c r="F742" s="16"/>
      <c r="G742" s="16"/>
      <c r="H742" s="16"/>
      <c r="I742" s="16"/>
      <c r="J742" s="16"/>
      <c r="K742" s="16"/>
      <c r="L742" s="16"/>
      <c r="M742" s="16"/>
      <c r="N742" s="16"/>
      <c r="O742" s="16"/>
      <c r="P742" s="16"/>
      <c r="Q742" s="16"/>
      <c r="R742" s="16"/>
      <c r="S742" s="16"/>
      <c r="T742" s="16"/>
      <c r="U742" s="16"/>
      <c r="V742" s="16"/>
      <c r="W742" s="16"/>
      <c r="X742" s="16"/>
      <c r="Y742" s="16"/>
      <c r="Z742" s="16"/>
      <c r="AA742" s="16"/>
      <c r="AB742" s="16"/>
      <c r="AC742" s="16"/>
      <c r="AD742" s="16"/>
      <c r="AE742" s="16"/>
      <c r="AF742" s="16"/>
      <c r="AG742" s="16"/>
      <c r="AH742" s="16"/>
      <c r="AI742" s="16"/>
      <c r="AJ742" s="16"/>
    </row>
    <row r="743" ht="12.75" customHeight="1" spans="1:36" x14ac:dyDescent="0.25">
      <c r="A743" s="16"/>
      <c r="B743" s="16"/>
      <c r="C743" s="16"/>
      <c r="D743" s="16"/>
      <c r="E743" s="16"/>
      <c r="F743" s="16"/>
      <c r="G743" s="16"/>
      <c r="H743" s="16"/>
      <c r="I743" s="16"/>
      <c r="J743" s="16"/>
      <c r="K743" s="16"/>
      <c r="L743" s="16"/>
      <c r="M743" s="16"/>
      <c r="N743" s="16"/>
      <c r="O743" s="16"/>
      <c r="P743" s="16"/>
      <c r="Q743" s="16"/>
      <c r="R743" s="16"/>
      <c r="S743" s="16"/>
      <c r="T743" s="16"/>
      <c r="U743" s="16"/>
      <c r="V743" s="16"/>
      <c r="W743" s="16"/>
      <c r="X743" s="16"/>
      <c r="Y743" s="16"/>
      <c r="Z743" s="16"/>
      <c r="AA743" s="16"/>
      <c r="AB743" s="16"/>
      <c r="AC743" s="16"/>
      <c r="AD743" s="16"/>
      <c r="AE743" s="16"/>
      <c r="AF743" s="16"/>
      <c r="AG743" s="16"/>
      <c r="AH743" s="16"/>
      <c r="AI743" s="16"/>
      <c r="AJ743" s="16"/>
    </row>
    <row r="744" ht="12.75" customHeight="1" spans="1:36" x14ac:dyDescent="0.25">
      <c r="A744" s="16"/>
      <c r="B744" s="16"/>
      <c r="C744" s="16"/>
      <c r="D744" s="16"/>
      <c r="E744" s="16"/>
      <c r="F744" s="16"/>
      <c r="G744" s="16"/>
      <c r="H744" s="16"/>
      <c r="I744" s="16"/>
      <c r="J744" s="16"/>
      <c r="K744" s="16"/>
      <c r="L744" s="16"/>
      <c r="M744" s="16"/>
      <c r="N744" s="16"/>
      <c r="O744" s="16"/>
      <c r="P744" s="16"/>
      <c r="Q744" s="16"/>
      <c r="R744" s="16"/>
      <c r="S744" s="16"/>
      <c r="T744" s="16"/>
      <c r="U744" s="16"/>
      <c r="V744" s="16"/>
      <c r="W744" s="16"/>
      <c r="X744" s="16"/>
      <c r="Y744" s="16"/>
      <c r="Z744" s="16"/>
      <c r="AA744" s="16"/>
      <c r="AB744" s="16"/>
      <c r="AC744" s="16"/>
      <c r="AD744" s="16"/>
      <c r="AE744" s="16"/>
      <c r="AF744" s="16"/>
      <c r="AG744" s="16"/>
      <c r="AH744" s="16"/>
      <c r="AI744" s="16"/>
      <c r="AJ744" s="16"/>
    </row>
    <row r="745" ht="12.75" customHeight="1" spans="1:36" x14ac:dyDescent="0.25">
      <c r="A745" s="16"/>
      <c r="B745" s="16"/>
      <c r="C745" s="16"/>
      <c r="D745" s="16"/>
      <c r="E745" s="16"/>
      <c r="F745" s="16"/>
      <c r="G745" s="16"/>
      <c r="H745" s="16"/>
      <c r="I745" s="16"/>
      <c r="J745" s="16"/>
      <c r="K745" s="16"/>
      <c r="L745" s="16"/>
      <c r="M745" s="16"/>
      <c r="N745" s="16"/>
      <c r="O745" s="16"/>
      <c r="P745" s="16"/>
      <c r="Q745" s="16"/>
      <c r="R745" s="16"/>
      <c r="S745" s="16"/>
      <c r="T745" s="16"/>
      <c r="U745" s="16"/>
      <c r="V745" s="16"/>
      <c r="W745" s="16"/>
      <c r="X745" s="16"/>
      <c r="Y745" s="16"/>
      <c r="Z745" s="16"/>
      <c r="AA745" s="16"/>
      <c r="AB745" s="16"/>
      <c r="AC745" s="16"/>
      <c r="AD745" s="16"/>
      <c r="AE745" s="16"/>
      <c r="AF745" s="16"/>
      <c r="AG745" s="16"/>
      <c r="AH745" s="16"/>
      <c r="AI745" s="16"/>
      <c r="AJ745" s="16"/>
    </row>
    <row r="746" ht="12.75" customHeight="1" spans="1:36" x14ac:dyDescent="0.25">
      <c r="A746" s="16"/>
      <c r="B746" s="16"/>
      <c r="C746" s="16"/>
      <c r="D746" s="16"/>
      <c r="E746" s="16"/>
      <c r="F746" s="16"/>
      <c r="G746" s="16"/>
      <c r="H746" s="16"/>
      <c r="I746" s="16"/>
      <c r="J746" s="16"/>
      <c r="K746" s="16"/>
      <c r="L746" s="16"/>
      <c r="M746" s="16"/>
      <c r="N746" s="16"/>
      <c r="O746" s="16"/>
      <c r="P746" s="16"/>
      <c r="Q746" s="16"/>
      <c r="R746" s="16"/>
      <c r="S746" s="16"/>
      <c r="T746" s="16"/>
      <c r="U746" s="16"/>
      <c r="V746" s="16"/>
      <c r="W746" s="16"/>
      <c r="X746" s="16"/>
      <c r="Y746" s="16"/>
      <c r="Z746" s="16"/>
      <c r="AA746" s="16"/>
      <c r="AB746" s="16"/>
      <c r="AC746" s="16"/>
      <c r="AD746" s="16"/>
      <c r="AE746" s="16"/>
      <c r="AF746" s="16"/>
      <c r="AG746" s="16"/>
      <c r="AH746" s="16"/>
      <c r="AI746" s="16"/>
      <c r="AJ746" s="16"/>
    </row>
    <row r="747" ht="12.75" customHeight="1" spans="1:36" x14ac:dyDescent="0.25">
      <c r="A747" s="16"/>
      <c r="B747" s="16"/>
      <c r="C747" s="16"/>
      <c r="D747" s="16"/>
      <c r="E747" s="16"/>
      <c r="F747" s="16"/>
      <c r="G747" s="16"/>
      <c r="H747" s="16"/>
      <c r="I747" s="16"/>
      <c r="J747" s="16"/>
      <c r="K747" s="16"/>
      <c r="L747" s="16"/>
      <c r="M747" s="16"/>
      <c r="N747" s="16"/>
      <c r="O747" s="16"/>
      <c r="P747" s="16"/>
      <c r="Q747" s="16"/>
      <c r="R747" s="16"/>
      <c r="S747" s="16"/>
      <c r="T747" s="16"/>
      <c r="U747" s="16"/>
      <c r="V747" s="16"/>
      <c r="W747" s="16"/>
      <c r="X747" s="16"/>
      <c r="Y747" s="16"/>
      <c r="Z747" s="16"/>
      <c r="AA747" s="16"/>
      <c r="AB747" s="16"/>
      <c r="AC747" s="16"/>
      <c r="AD747" s="16"/>
      <c r="AE747" s="16"/>
      <c r="AF747" s="16"/>
      <c r="AG747" s="16"/>
      <c r="AH747" s="16"/>
      <c r="AI747" s="16"/>
      <c r="AJ747" s="16"/>
    </row>
    <row r="748" ht="12.75" customHeight="1" spans="1:36" x14ac:dyDescent="0.25">
      <c r="A748" s="16"/>
      <c r="B748" s="16"/>
      <c r="C748" s="16"/>
      <c r="D748" s="16"/>
      <c r="E748" s="16"/>
      <c r="F748" s="16"/>
      <c r="G748" s="16"/>
      <c r="H748" s="16"/>
      <c r="I748" s="16"/>
      <c r="J748" s="16"/>
      <c r="K748" s="16"/>
      <c r="L748" s="16"/>
      <c r="M748" s="16"/>
      <c r="N748" s="16"/>
      <c r="O748" s="16"/>
      <c r="P748" s="16"/>
      <c r="Q748" s="16"/>
      <c r="R748" s="16"/>
      <c r="S748" s="16"/>
      <c r="T748" s="16"/>
      <c r="U748" s="16"/>
      <c r="V748" s="16"/>
      <c r="W748" s="16"/>
      <c r="X748" s="16"/>
      <c r="Y748" s="16"/>
      <c r="Z748" s="16"/>
      <c r="AA748" s="16"/>
      <c r="AB748" s="16"/>
      <c r="AC748" s="16"/>
      <c r="AD748" s="16"/>
      <c r="AE748" s="16"/>
      <c r="AF748" s="16"/>
      <c r="AG748" s="16"/>
      <c r="AH748" s="16"/>
      <c r="AI748" s="16"/>
      <c r="AJ748" s="16"/>
    </row>
    <row r="749" ht="12.75" customHeight="1" spans="1:36" x14ac:dyDescent="0.25">
      <c r="A749" s="16"/>
      <c r="B749" s="16"/>
      <c r="C749" s="16"/>
      <c r="D749" s="16"/>
      <c r="E749" s="16"/>
      <c r="F749" s="16"/>
      <c r="G749" s="16"/>
      <c r="H749" s="16"/>
      <c r="I749" s="16"/>
      <c r="J749" s="16"/>
      <c r="K749" s="16"/>
      <c r="L749" s="16"/>
      <c r="M749" s="16"/>
      <c r="N749" s="16"/>
      <c r="O749" s="16"/>
      <c r="P749" s="16"/>
      <c r="Q749" s="16"/>
      <c r="R749" s="16"/>
      <c r="S749" s="16"/>
      <c r="T749" s="16"/>
      <c r="U749" s="16"/>
      <c r="V749" s="16"/>
      <c r="W749" s="16"/>
      <c r="X749" s="16"/>
      <c r="Y749" s="16"/>
      <c r="Z749" s="16"/>
      <c r="AA749" s="16"/>
      <c r="AB749" s="16"/>
      <c r="AC749" s="16"/>
      <c r="AD749" s="16"/>
      <c r="AE749" s="16"/>
      <c r="AF749" s="16"/>
      <c r="AG749" s="16"/>
      <c r="AH749" s="16"/>
      <c r="AI749" s="16"/>
      <c r="AJ749" s="16"/>
    </row>
    <row r="750" ht="12.75" customHeight="1" spans="1:36" x14ac:dyDescent="0.25">
      <c r="A750" s="16"/>
      <c r="B750" s="16"/>
      <c r="C750" s="16"/>
      <c r="D750" s="16"/>
      <c r="E750" s="16"/>
      <c r="F750" s="16"/>
      <c r="G750" s="16"/>
      <c r="H750" s="16"/>
      <c r="I750" s="16"/>
      <c r="J750" s="16"/>
      <c r="K750" s="16"/>
      <c r="L750" s="16"/>
      <c r="M750" s="16"/>
      <c r="N750" s="16"/>
      <c r="O750" s="16"/>
      <c r="P750" s="16"/>
      <c r="Q750" s="16"/>
      <c r="R750" s="16"/>
      <c r="S750" s="16"/>
      <c r="T750" s="16"/>
      <c r="U750" s="16"/>
      <c r="V750" s="16"/>
      <c r="W750" s="16"/>
      <c r="X750" s="16"/>
      <c r="Y750" s="16"/>
      <c r="Z750" s="16"/>
      <c r="AA750" s="16"/>
      <c r="AB750" s="16"/>
      <c r="AC750" s="16"/>
      <c r="AD750" s="16"/>
      <c r="AE750" s="16"/>
      <c r="AF750" s="16"/>
      <c r="AG750" s="16"/>
      <c r="AH750" s="16"/>
      <c r="AI750" s="16"/>
      <c r="AJ750" s="16"/>
    </row>
    <row r="751" ht="12.75" customHeight="1" spans="1:36" x14ac:dyDescent="0.25">
      <c r="A751" s="16"/>
      <c r="B751" s="16"/>
      <c r="C751" s="16"/>
      <c r="D751" s="16"/>
      <c r="E751" s="16"/>
      <c r="F751" s="16"/>
      <c r="G751" s="16"/>
      <c r="H751" s="16"/>
      <c r="I751" s="16"/>
      <c r="J751" s="16"/>
      <c r="K751" s="16"/>
      <c r="L751" s="16"/>
      <c r="M751" s="16"/>
      <c r="N751" s="16"/>
      <c r="O751" s="16"/>
      <c r="P751" s="16"/>
      <c r="Q751" s="16"/>
      <c r="R751" s="16"/>
      <c r="S751" s="16"/>
      <c r="T751" s="16"/>
      <c r="U751" s="16"/>
      <c r="V751" s="16"/>
      <c r="W751" s="16"/>
      <c r="X751" s="16"/>
      <c r="Y751" s="16"/>
      <c r="Z751" s="16"/>
      <c r="AA751" s="16"/>
      <c r="AB751" s="16"/>
      <c r="AC751" s="16"/>
      <c r="AD751" s="16"/>
      <c r="AE751" s="16"/>
      <c r="AF751" s="16"/>
      <c r="AG751" s="16"/>
      <c r="AH751" s="16"/>
      <c r="AI751" s="16"/>
      <c r="AJ751" s="16"/>
    </row>
    <row r="752" ht="12.75" customHeight="1" spans="1:36" x14ac:dyDescent="0.25">
      <c r="A752" s="16"/>
      <c r="B752" s="16"/>
      <c r="C752" s="16"/>
      <c r="D752" s="16"/>
      <c r="E752" s="16"/>
      <c r="F752" s="16"/>
      <c r="G752" s="16"/>
      <c r="H752" s="16"/>
      <c r="I752" s="16"/>
      <c r="J752" s="16"/>
      <c r="K752" s="16"/>
      <c r="L752" s="16"/>
      <c r="M752" s="16"/>
      <c r="N752" s="16"/>
      <c r="O752" s="16"/>
      <c r="P752" s="16"/>
      <c r="Q752" s="16"/>
      <c r="R752" s="16"/>
      <c r="S752" s="16"/>
      <c r="T752" s="16"/>
      <c r="U752" s="16"/>
      <c r="V752" s="16"/>
      <c r="W752" s="16"/>
      <c r="X752" s="16"/>
      <c r="Y752" s="16"/>
      <c r="Z752" s="16"/>
      <c r="AA752" s="16"/>
      <c r="AB752" s="16"/>
      <c r="AC752" s="16"/>
      <c r="AD752" s="16"/>
      <c r="AE752" s="16"/>
      <c r="AF752" s="16"/>
      <c r="AG752" s="16"/>
      <c r="AH752" s="16"/>
      <c r="AI752" s="16"/>
      <c r="AJ752" s="16"/>
    </row>
    <row r="753" ht="12.75" customHeight="1" spans="1:36" x14ac:dyDescent="0.25">
      <c r="A753" s="16"/>
      <c r="B753" s="16"/>
      <c r="C753" s="16"/>
      <c r="D753" s="16"/>
      <c r="E753" s="16"/>
      <c r="F753" s="16"/>
      <c r="G753" s="16"/>
      <c r="H753" s="16"/>
      <c r="I753" s="16"/>
      <c r="J753" s="16"/>
      <c r="K753" s="16"/>
      <c r="L753" s="16"/>
      <c r="M753" s="16"/>
      <c r="N753" s="16"/>
      <c r="O753" s="16"/>
      <c r="P753" s="16"/>
      <c r="Q753" s="16"/>
      <c r="R753" s="16"/>
      <c r="S753" s="16"/>
      <c r="T753" s="16"/>
      <c r="U753" s="16"/>
      <c r="V753" s="16"/>
      <c r="W753" s="16"/>
      <c r="X753" s="16"/>
      <c r="Y753" s="16"/>
      <c r="Z753" s="16"/>
      <c r="AA753" s="16"/>
      <c r="AB753" s="16"/>
      <c r="AC753" s="16"/>
      <c r="AD753" s="16"/>
      <c r="AE753" s="16"/>
      <c r="AF753" s="16"/>
      <c r="AG753" s="16"/>
      <c r="AH753" s="16"/>
      <c r="AI753" s="16"/>
      <c r="AJ753" s="16"/>
    </row>
    <row r="754" ht="12.75" customHeight="1" spans="1:36" x14ac:dyDescent="0.25">
      <c r="A754" s="16"/>
      <c r="B754" s="16"/>
      <c r="C754" s="16"/>
      <c r="D754" s="16"/>
      <c r="E754" s="16"/>
      <c r="F754" s="16"/>
      <c r="G754" s="16"/>
      <c r="H754" s="16"/>
      <c r="I754" s="16"/>
      <c r="J754" s="16"/>
      <c r="K754" s="16"/>
      <c r="L754" s="16"/>
      <c r="M754" s="16"/>
      <c r="N754" s="16"/>
      <c r="O754" s="16"/>
      <c r="P754" s="16"/>
      <c r="Q754" s="16"/>
      <c r="R754" s="16"/>
      <c r="S754" s="16"/>
      <c r="T754" s="16"/>
      <c r="U754" s="16"/>
      <c r="V754" s="16"/>
      <c r="W754" s="16"/>
      <c r="X754" s="16"/>
      <c r="Y754" s="16"/>
      <c r="Z754" s="16"/>
      <c r="AA754" s="16"/>
      <c r="AB754" s="16"/>
      <c r="AC754" s="16"/>
      <c r="AD754" s="16"/>
      <c r="AE754" s="16"/>
      <c r="AF754" s="16"/>
      <c r="AG754" s="16"/>
      <c r="AH754" s="16"/>
      <c r="AI754" s="16"/>
      <c r="AJ754" s="16"/>
    </row>
    <row r="755" ht="12.75" customHeight="1" spans="1:36" x14ac:dyDescent="0.25">
      <c r="A755" s="16"/>
      <c r="B755" s="16"/>
      <c r="C755" s="16"/>
      <c r="D755" s="16"/>
      <c r="E755" s="16"/>
      <c r="F755" s="16"/>
      <c r="G755" s="16"/>
      <c r="H755" s="16"/>
      <c r="I755" s="16"/>
      <c r="J755" s="16"/>
      <c r="K755" s="16"/>
      <c r="L755" s="16"/>
      <c r="M755" s="16"/>
      <c r="N755" s="16"/>
      <c r="O755" s="16"/>
      <c r="P755" s="16"/>
      <c r="Q755" s="16"/>
      <c r="R755" s="16"/>
      <c r="S755" s="16"/>
      <c r="T755" s="16"/>
      <c r="U755" s="16"/>
      <c r="V755" s="16"/>
      <c r="W755" s="16"/>
      <c r="X755" s="16"/>
      <c r="Y755" s="16"/>
      <c r="Z755" s="16"/>
      <c r="AA755" s="16"/>
      <c r="AB755" s="16"/>
      <c r="AC755" s="16"/>
      <c r="AD755" s="16"/>
      <c r="AE755" s="16"/>
      <c r="AF755" s="16"/>
      <c r="AG755" s="16"/>
      <c r="AH755" s="16"/>
      <c r="AI755" s="16"/>
      <c r="AJ755" s="16"/>
    </row>
    <row r="756" ht="12.75" customHeight="1" spans="1:36" x14ac:dyDescent="0.25">
      <c r="A756" s="16"/>
      <c r="B756" s="16"/>
      <c r="C756" s="16"/>
      <c r="D756" s="16"/>
      <c r="E756" s="16"/>
      <c r="F756" s="16"/>
      <c r="G756" s="16"/>
      <c r="H756" s="16"/>
      <c r="I756" s="16"/>
      <c r="J756" s="16"/>
      <c r="K756" s="16"/>
      <c r="L756" s="16"/>
      <c r="M756" s="16"/>
      <c r="N756" s="16"/>
      <c r="O756" s="16"/>
      <c r="P756" s="16"/>
      <c r="Q756" s="16"/>
      <c r="R756" s="16"/>
      <c r="S756" s="16"/>
      <c r="T756" s="16"/>
      <c r="U756" s="16"/>
      <c r="V756" s="16"/>
      <c r="W756" s="16"/>
      <c r="X756" s="16"/>
      <c r="Y756" s="16"/>
      <c r="Z756" s="16"/>
      <c r="AA756" s="16"/>
      <c r="AB756" s="16"/>
      <c r="AC756" s="16"/>
      <c r="AD756" s="16"/>
      <c r="AE756" s="16"/>
      <c r="AF756" s="16"/>
      <c r="AG756" s="16"/>
      <c r="AH756" s="16"/>
      <c r="AI756" s="16"/>
      <c r="AJ756" s="16"/>
    </row>
    <row r="757" ht="12.75" customHeight="1" spans="1:36" x14ac:dyDescent="0.25">
      <c r="A757" s="16"/>
      <c r="B757" s="16"/>
      <c r="C757" s="16"/>
      <c r="D757" s="16"/>
      <c r="E757" s="16"/>
      <c r="F757" s="16"/>
      <c r="G757" s="16"/>
      <c r="H757" s="16"/>
      <c r="I757" s="16"/>
      <c r="J757" s="16"/>
      <c r="K757" s="16"/>
      <c r="L757" s="16"/>
      <c r="M757" s="16"/>
      <c r="N757" s="16"/>
      <c r="O757" s="16"/>
      <c r="P757" s="16"/>
      <c r="Q757" s="16"/>
      <c r="R757" s="16"/>
      <c r="S757" s="16"/>
      <c r="T757" s="16"/>
      <c r="U757" s="16"/>
      <c r="V757" s="16"/>
      <c r="W757" s="16"/>
      <c r="X757" s="16"/>
      <c r="Y757" s="16"/>
      <c r="Z757" s="16"/>
      <c r="AA757" s="16"/>
      <c r="AB757" s="16"/>
      <c r="AC757" s="16"/>
      <c r="AD757" s="16"/>
      <c r="AE757" s="16"/>
      <c r="AF757" s="16"/>
      <c r="AG757" s="16"/>
      <c r="AH757" s="16"/>
      <c r="AI757" s="16"/>
      <c r="AJ757" s="16"/>
    </row>
    <row r="758" ht="12.75" customHeight="1" spans="1:36" x14ac:dyDescent="0.25">
      <c r="A758" s="16"/>
      <c r="B758" s="16"/>
      <c r="C758" s="16"/>
      <c r="D758" s="16"/>
      <c r="E758" s="16"/>
      <c r="F758" s="16"/>
      <c r="G758" s="16"/>
      <c r="H758" s="16"/>
      <c r="I758" s="16"/>
      <c r="J758" s="16"/>
      <c r="K758" s="16"/>
      <c r="L758" s="16"/>
      <c r="M758" s="16"/>
      <c r="N758" s="16"/>
      <c r="O758" s="16"/>
      <c r="P758" s="16"/>
      <c r="Q758" s="16"/>
      <c r="R758" s="16"/>
      <c r="S758" s="16"/>
      <c r="T758" s="16"/>
      <c r="U758" s="16"/>
      <c r="V758" s="16"/>
      <c r="W758" s="16"/>
      <c r="X758" s="16"/>
      <c r="Y758" s="16"/>
      <c r="Z758" s="16"/>
      <c r="AA758" s="16"/>
      <c r="AB758" s="16"/>
      <c r="AC758" s="16"/>
      <c r="AD758" s="16"/>
      <c r="AE758" s="16"/>
      <c r="AF758" s="16"/>
      <c r="AG758" s="16"/>
      <c r="AH758" s="16"/>
      <c r="AI758" s="16"/>
      <c r="AJ758" s="16"/>
    </row>
    <row r="759" ht="12.75" customHeight="1" spans="1:36" x14ac:dyDescent="0.25">
      <c r="A759" s="16"/>
      <c r="B759" s="16"/>
      <c r="C759" s="16"/>
      <c r="D759" s="16"/>
      <c r="E759" s="16"/>
      <c r="F759" s="16"/>
      <c r="G759" s="16"/>
      <c r="H759" s="16"/>
      <c r="I759" s="16"/>
      <c r="J759" s="16"/>
      <c r="K759" s="16"/>
      <c r="L759" s="16"/>
      <c r="M759" s="16"/>
      <c r="N759" s="16"/>
      <c r="O759" s="16"/>
      <c r="P759" s="16"/>
      <c r="Q759" s="16"/>
      <c r="R759" s="16"/>
      <c r="S759" s="16"/>
      <c r="T759" s="16"/>
      <c r="U759" s="16"/>
      <c r="V759" s="16"/>
      <c r="W759" s="16"/>
      <c r="X759" s="16"/>
      <c r="Y759" s="16"/>
      <c r="Z759" s="16"/>
      <c r="AA759" s="16"/>
      <c r="AB759" s="16"/>
      <c r="AC759" s="16"/>
      <c r="AD759" s="16"/>
      <c r="AE759" s="16"/>
      <c r="AF759" s="16"/>
      <c r="AG759" s="16"/>
      <c r="AH759" s="16"/>
      <c r="AI759" s="16"/>
      <c r="AJ759" s="16"/>
    </row>
    <row r="760" ht="12.75" customHeight="1" spans="1:36" x14ac:dyDescent="0.25">
      <c r="A760" s="16"/>
      <c r="B760" s="16"/>
      <c r="C760" s="16"/>
      <c r="D760" s="16"/>
      <c r="E760" s="16"/>
      <c r="F760" s="16"/>
      <c r="G760" s="16"/>
      <c r="H760" s="16"/>
      <c r="I760" s="16"/>
      <c r="J760" s="16"/>
      <c r="K760" s="16"/>
      <c r="L760" s="16"/>
      <c r="M760" s="16"/>
      <c r="N760" s="16"/>
      <c r="O760" s="16"/>
      <c r="P760" s="16"/>
      <c r="Q760" s="16"/>
      <c r="R760" s="16"/>
      <c r="S760" s="16"/>
      <c r="T760" s="16"/>
      <c r="U760" s="16"/>
      <c r="V760" s="16"/>
      <c r="W760" s="16"/>
      <c r="X760" s="16"/>
      <c r="Y760" s="16"/>
      <c r="Z760" s="16"/>
      <c r="AA760" s="16"/>
      <c r="AB760" s="16"/>
      <c r="AC760" s="16"/>
      <c r="AD760" s="16"/>
      <c r="AE760" s="16"/>
      <c r="AF760" s="16"/>
      <c r="AG760" s="16"/>
      <c r="AH760" s="16"/>
      <c r="AI760" s="16"/>
      <c r="AJ760" s="16"/>
    </row>
    <row r="761" ht="12.75" customHeight="1" spans="1:36" x14ac:dyDescent="0.25">
      <c r="A761" s="16"/>
      <c r="B761" s="16"/>
      <c r="C761" s="16"/>
      <c r="D761" s="16"/>
      <c r="E761" s="16"/>
      <c r="F761" s="16"/>
      <c r="G761" s="16"/>
      <c r="H761" s="16"/>
      <c r="I761" s="16"/>
      <c r="J761" s="16"/>
      <c r="K761" s="16"/>
      <c r="L761" s="16"/>
      <c r="M761" s="16"/>
      <c r="N761" s="16"/>
      <c r="O761" s="16"/>
      <c r="P761" s="16"/>
      <c r="Q761" s="16"/>
      <c r="R761" s="16"/>
      <c r="S761" s="16"/>
      <c r="T761" s="16"/>
      <c r="U761" s="16"/>
      <c r="V761" s="16"/>
      <c r="W761" s="16"/>
      <c r="X761" s="16"/>
      <c r="Y761" s="16"/>
      <c r="Z761" s="16"/>
      <c r="AA761" s="16"/>
      <c r="AB761" s="16"/>
      <c r="AC761" s="16"/>
      <c r="AD761" s="16"/>
      <c r="AE761" s="16"/>
      <c r="AF761" s="16"/>
      <c r="AG761" s="16"/>
      <c r="AH761" s="16"/>
      <c r="AI761" s="16"/>
      <c r="AJ761" s="16"/>
    </row>
    <row r="762" ht="12.75" customHeight="1" spans="1:36" x14ac:dyDescent="0.25">
      <c r="A762" s="16"/>
      <c r="B762" s="16"/>
      <c r="C762" s="16"/>
      <c r="D762" s="16"/>
      <c r="E762" s="16"/>
      <c r="F762" s="16"/>
      <c r="G762" s="16"/>
      <c r="H762" s="16"/>
      <c r="I762" s="16"/>
      <c r="J762" s="16"/>
      <c r="K762" s="16"/>
      <c r="L762" s="16"/>
      <c r="M762" s="16"/>
      <c r="N762" s="16"/>
      <c r="O762" s="16"/>
      <c r="P762" s="16"/>
      <c r="Q762" s="16"/>
      <c r="R762" s="16"/>
      <c r="S762" s="16"/>
      <c r="T762" s="16"/>
      <c r="U762" s="16"/>
      <c r="V762" s="16"/>
      <c r="W762" s="16"/>
      <c r="X762" s="16"/>
      <c r="Y762" s="16"/>
      <c r="Z762" s="16"/>
      <c r="AA762" s="16"/>
      <c r="AB762" s="16"/>
      <c r="AC762" s="16"/>
      <c r="AD762" s="16"/>
      <c r="AE762" s="16"/>
      <c r="AF762" s="16"/>
      <c r="AG762" s="16"/>
      <c r="AH762" s="16"/>
      <c r="AI762" s="16"/>
      <c r="AJ762" s="16"/>
    </row>
    <row r="763" ht="12.75" customHeight="1" spans="1:36" x14ac:dyDescent="0.25">
      <c r="A763" s="16"/>
      <c r="B763" s="16"/>
      <c r="C763" s="16"/>
      <c r="D763" s="16"/>
      <c r="E763" s="16"/>
      <c r="F763" s="16"/>
      <c r="G763" s="16"/>
      <c r="H763" s="16"/>
      <c r="I763" s="16"/>
      <c r="J763" s="16"/>
      <c r="K763" s="16"/>
      <c r="L763" s="16"/>
      <c r="M763" s="16"/>
      <c r="N763" s="16"/>
      <c r="O763" s="16"/>
      <c r="P763" s="16"/>
      <c r="Q763" s="16"/>
      <c r="R763" s="16"/>
      <c r="S763" s="16"/>
      <c r="T763" s="16"/>
      <c r="U763" s="16"/>
      <c r="V763" s="16"/>
      <c r="W763" s="16"/>
      <c r="X763" s="16"/>
      <c r="Y763" s="16"/>
      <c r="Z763" s="16"/>
      <c r="AA763" s="16"/>
      <c r="AB763" s="16"/>
      <c r="AC763" s="16"/>
      <c r="AD763" s="16"/>
      <c r="AE763" s="16"/>
      <c r="AF763" s="16"/>
      <c r="AG763" s="16"/>
      <c r="AH763" s="16"/>
      <c r="AI763" s="16"/>
      <c r="AJ763" s="16"/>
    </row>
    <row r="764" ht="12.75" customHeight="1" spans="1:36" x14ac:dyDescent="0.25">
      <c r="A764" s="16"/>
      <c r="B764" s="16"/>
      <c r="C764" s="16"/>
      <c r="D764" s="16"/>
      <c r="E764" s="16"/>
      <c r="F764" s="16"/>
      <c r="G764" s="16"/>
      <c r="H764" s="16"/>
      <c r="I764" s="16"/>
      <c r="J764" s="16"/>
      <c r="K764" s="16"/>
      <c r="L764" s="16"/>
      <c r="M764" s="16"/>
      <c r="N764" s="16"/>
      <c r="O764" s="16"/>
      <c r="P764" s="16"/>
      <c r="Q764" s="16"/>
      <c r="R764" s="16"/>
      <c r="S764" s="16"/>
      <c r="T764" s="16"/>
      <c r="U764" s="16"/>
      <c r="V764" s="16"/>
      <c r="W764" s="16"/>
      <c r="X764" s="16"/>
      <c r="Y764" s="16"/>
      <c r="Z764" s="16"/>
      <c r="AA764" s="16"/>
      <c r="AB764" s="16"/>
      <c r="AC764" s="16"/>
      <c r="AD764" s="16"/>
      <c r="AE764" s="16"/>
      <c r="AF764" s="16"/>
      <c r="AG764" s="16"/>
      <c r="AH764" s="16"/>
      <c r="AI764" s="16"/>
      <c r="AJ764" s="16"/>
    </row>
    <row r="765" ht="12.75" customHeight="1" spans="1:36" x14ac:dyDescent="0.25">
      <c r="A765" s="16"/>
      <c r="B765" s="16"/>
      <c r="C765" s="16"/>
      <c r="D765" s="16"/>
      <c r="E765" s="16"/>
      <c r="F765" s="16"/>
      <c r="G765" s="16"/>
      <c r="H765" s="16"/>
      <c r="I765" s="16"/>
      <c r="J765" s="16"/>
      <c r="K765" s="16"/>
      <c r="L765" s="16"/>
      <c r="M765" s="16"/>
      <c r="N765" s="16"/>
      <c r="O765" s="16"/>
      <c r="P765" s="16"/>
      <c r="Q765" s="16"/>
      <c r="R765" s="16"/>
      <c r="S765" s="16"/>
      <c r="T765" s="16"/>
      <c r="U765" s="16"/>
      <c r="V765" s="16"/>
      <c r="W765" s="16"/>
      <c r="X765" s="16"/>
      <c r="Y765" s="16"/>
      <c r="Z765" s="16"/>
      <c r="AA765" s="16"/>
      <c r="AB765" s="16"/>
      <c r="AC765" s="16"/>
      <c r="AD765" s="16"/>
      <c r="AE765" s="16"/>
      <c r="AF765" s="16"/>
      <c r="AG765" s="16"/>
      <c r="AH765" s="16"/>
      <c r="AI765" s="16"/>
      <c r="AJ765" s="16"/>
    </row>
    <row r="766" ht="12.75" customHeight="1" spans="1:36" x14ac:dyDescent="0.25">
      <c r="A766" s="16"/>
      <c r="B766" s="16"/>
      <c r="C766" s="16"/>
      <c r="D766" s="16"/>
      <c r="E766" s="16"/>
      <c r="F766" s="16"/>
      <c r="G766" s="16"/>
      <c r="H766" s="16"/>
      <c r="I766" s="16"/>
      <c r="J766" s="16"/>
      <c r="K766" s="16"/>
      <c r="L766" s="16"/>
      <c r="M766" s="16"/>
      <c r="N766" s="16"/>
      <c r="O766" s="16"/>
      <c r="P766" s="16"/>
      <c r="Q766" s="16"/>
      <c r="R766" s="16"/>
      <c r="S766" s="16"/>
      <c r="T766" s="16"/>
      <c r="U766" s="16"/>
      <c r="V766" s="16"/>
      <c r="W766" s="16"/>
      <c r="X766" s="16"/>
      <c r="Y766" s="16"/>
      <c r="Z766" s="16"/>
      <c r="AA766" s="16"/>
      <c r="AB766" s="16"/>
      <c r="AC766" s="16"/>
      <c r="AD766" s="16"/>
      <c r="AE766" s="16"/>
      <c r="AF766" s="16"/>
      <c r="AG766" s="16"/>
      <c r="AH766" s="16"/>
      <c r="AI766" s="16"/>
      <c r="AJ766" s="16"/>
    </row>
    <row r="767" ht="12.75" customHeight="1" spans="1:36" x14ac:dyDescent="0.25">
      <c r="A767" s="16"/>
      <c r="B767" s="16"/>
      <c r="C767" s="16"/>
      <c r="D767" s="16"/>
      <c r="E767" s="16"/>
      <c r="F767" s="16"/>
      <c r="G767" s="16"/>
      <c r="H767" s="16"/>
      <c r="I767" s="16"/>
      <c r="J767" s="16"/>
      <c r="K767" s="16"/>
      <c r="L767" s="16"/>
      <c r="M767" s="16"/>
      <c r="N767" s="16"/>
      <c r="O767" s="16"/>
      <c r="P767" s="16"/>
      <c r="Q767" s="16"/>
      <c r="R767" s="16"/>
      <c r="S767" s="16"/>
      <c r="T767" s="16"/>
      <c r="U767" s="16"/>
      <c r="V767" s="16"/>
      <c r="W767" s="16"/>
      <c r="X767" s="16"/>
      <c r="Y767" s="16"/>
      <c r="Z767" s="16"/>
      <c r="AA767" s="16"/>
      <c r="AB767" s="16"/>
      <c r="AC767" s="16"/>
      <c r="AD767" s="16"/>
      <c r="AE767" s="16"/>
      <c r="AF767" s="16"/>
      <c r="AG767" s="16"/>
      <c r="AH767" s="16"/>
      <c r="AI767" s="16"/>
      <c r="AJ767" s="16"/>
    </row>
    <row r="768" ht="12.75" customHeight="1" spans="1:36" x14ac:dyDescent="0.25">
      <c r="A768" s="16"/>
      <c r="B768" s="16"/>
      <c r="C768" s="16"/>
      <c r="D768" s="16"/>
      <c r="E768" s="16"/>
      <c r="F768" s="16"/>
      <c r="G768" s="16"/>
      <c r="H768" s="16"/>
      <c r="I768" s="16"/>
      <c r="J768" s="16"/>
      <c r="K768" s="16"/>
      <c r="L768" s="16"/>
      <c r="M768" s="16"/>
      <c r="N768" s="16"/>
      <c r="O768" s="16"/>
      <c r="P768" s="16"/>
      <c r="Q768" s="16"/>
      <c r="R768" s="16"/>
      <c r="S768" s="16"/>
      <c r="T768" s="16"/>
      <c r="U768" s="16"/>
      <c r="V768" s="16"/>
      <c r="W768" s="16"/>
      <c r="X768" s="16"/>
      <c r="Y768" s="16"/>
      <c r="Z768" s="16"/>
      <c r="AA768" s="16"/>
      <c r="AB768" s="16"/>
      <c r="AC768" s="16"/>
      <c r="AD768" s="16"/>
      <c r="AE768" s="16"/>
      <c r="AF768" s="16"/>
      <c r="AG768" s="16"/>
      <c r="AH768" s="16"/>
      <c r="AI768" s="16"/>
      <c r="AJ768" s="16"/>
    </row>
    <row r="769" ht="12.75" customHeight="1" spans="1:36" x14ac:dyDescent="0.25">
      <c r="A769" s="16"/>
      <c r="B769" s="16"/>
      <c r="C769" s="16"/>
      <c r="D769" s="16"/>
      <c r="E769" s="16"/>
      <c r="F769" s="16"/>
      <c r="G769" s="16"/>
      <c r="H769" s="16"/>
      <c r="I769" s="16"/>
      <c r="J769" s="16"/>
      <c r="K769" s="16"/>
      <c r="L769" s="16"/>
      <c r="M769" s="16"/>
      <c r="N769" s="16"/>
      <c r="O769" s="16"/>
      <c r="P769" s="16"/>
      <c r="Q769" s="16"/>
      <c r="R769" s="16"/>
      <c r="S769" s="16"/>
      <c r="T769" s="16"/>
      <c r="U769" s="16"/>
      <c r="V769" s="16"/>
      <c r="W769" s="16"/>
      <c r="X769" s="16"/>
      <c r="Y769" s="16"/>
      <c r="Z769" s="16"/>
      <c r="AA769" s="16"/>
      <c r="AB769" s="16"/>
      <c r="AC769" s="16"/>
      <c r="AD769" s="16"/>
      <c r="AE769" s="16"/>
      <c r="AF769" s="16"/>
      <c r="AG769" s="16"/>
      <c r="AH769" s="16"/>
      <c r="AI769" s="16"/>
      <c r="AJ769" s="16"/>
    </row>
    <row r="770" ht="12.75" customHeight="1" spans="1:36" x14ac:dyDescent="0.25">
      <c r="A770" s="16"/>
      <c r="B770" s="16"/>
      <c r="C770" s="16"/>
      <c r="D770" s="16"/>
      <c r="E770" s="16"/>
      <c r="F770" s="16"/>
      <c r="G770" s="16"/>
      <c r="H770" s="16"/>
      <c r="I770" s="16"/>
      <c r="J770" s="16"/>
      <c r="K770" s="16"/>
      <c r="L770" s="16"/>
      <c r="M770" s="16"/>
      <c r="N770" s="16"/>
      <c r="O770" s="16"/>
      <c r="P770" s="16"/>
      <c r="Q770" s="16"/>
      <c r="R770" s="16"/>
      <c r="S770" s="16"/>
      <c r="T770" s="16"/>
      <c r="U770" s="16"/>
      <c r="V770" s="16"/>
      <c r="W770" s="16"/>
      <c r="X770" s="16"/>
      <c r="Y770" s="16"/>
      <c r="Z770" s="16"/>
      <c r="AA770" s="16"/>
      <c r="AB770" s="16"/>
      <c r="AC770" s="16"/>
      <c r="AD770" s="16"/>
      <c r="AE770" s="16"/>
      <c r="AF770" s="16"/>
      <c r="AG770" s="16"/>
      <c r="AH770" s="16"/>
      <c r="AI770" s="16"/>
      <c r="AJ770" s="16"/>
    </row>
    <row r="771" ht="12.75" customHeight="1" spans="1:36" x14ac:dyDescent="0.25">
      <c r="A771" s="16"/>
      <c r="B771" s="16"/>
      <c r="C771" s="16"/>
      <c r="D771" s="16"/>
      <c r="E771" s="16"/>
      <c r="F771" s="16"/>
      <c r="G771" s="16"/>
      <c r="H771" s="16"/>
      <c r="I771" s="16"/>
      <c r="J771" s="16"/>
      <c r="K771" s="16"/>
      <c r="L771" s="16"/>
      <c r="M771" s="16"/>
      <c r="N771" s="16"/>
      <c r="O771" s="16"/>
      <c r="P771" s="16"/>
      <c r="Q771" s="16"/>
      <c r="R771" s="16"/>
      <c r="S771" s="16"/>
      <c r="T771" s="16"/>
      <c r="U771" s="16"/>
      <c r="V771" s="16"/>
      <c r="W771" s="16"/>
      <c r="X771" s="16"/>
      <c r="Y771" s="16"/>
      <c r="Z771" s="16"/>
      <c r="AA771" s="16"/>
      <c r="AB771" s="16"/>
      <c r="AC771" s="16"/>
      <c r="AD771" s="16"/>
      <c r="AE771" s="16"/>
      <c r="AF771" s="16"/>
      <c r="AG771" s="16"/>
      <c r="AH771" s="16"/>
      <c r="AI771" s="16"/>
      <c r="AJ771" s="16"/>
    </row>
    <row r="772" ht="12.75" customHeight="1" spans="1:36" x14ac:dyDescent="0.25">
      <c r="A772" s="16"/>
      <c r="B772" s="16"/>
      <c r="C772" s="16"/>
      <c r="D772" s="16"/>
      <c r="E772" s="16"/>
      <c r="F772" s="16"/>
      <c r="G772" s="16"/>
      <c r="H772" s="16"/>
      <c r="I772" s="16"/>
      <c r="J772" s="16"/>
      <c r="K772" s="16"/>
      <c r="L772" s="16"/>
      <c r="M772" s="16"/>
      <c r="N772" s="16"/>
      <c r="O772" s="16"/>
      <c r="P772" s="16"/>
      <c r="Q772" s="16"/>
      <c r="R772" s="16"/>
      <c r="S772" s="16"/>
      <c r="T772" s="16"/>
      <c r="U772" s="16"/>
      <c r="V772" s="16"/>
      <c r="W772" s="16"/>
      <c r="X772" s="16"/>
      <c r="Y772" s="16"/>
      <c r="Z772" s="16"/>
      <c r="AA772" s="16"/>
      <c r="AB772" s="16"/>
      <c r="AC772" s="16"/>
      <c r="AD772" s="16"/>
      <c r="AE772" s="16"/>
      <c r="AF772" s="16"/>
      <c r="AG772" s="16"/>
      <c r="AH772" s="16"/>
      <c r="AI772" s="16"/>
      <c r="AJ772" s="16"/>
    </row>
    <row r="773" ht="12.75" customHeight="1" spans="1:36" x14ac:dyDescent="0.25">
      <c r="A773" s="16"/>
      <c r="B773" s="16"/>
      <c r="C773" s="16"/>
      <c r="D773" s="16"/>
      <c r="E773" s="16"/>
      <c r="F773" s="16"/>
      <c r="G773" s="16"/>
      <c r="H773" s="16"/>
      <c r="I773" s="16"/>
      <c r="J773" s="16"/>
      <c r="K773" s="16"/>
      <c r="L773" s="16"/>
      <c r="M773" s="16"/>
      <c r="N773" s="16"/>
      <c r="O773" s="16"/>
      <c r="P773" s="16"/>
      <c r="Q773" s="16"/>
      <c r="R773" s="16"/>
      <c r="S773" s="16"/>
      <c r="T773" s="16"/>
      <c r="U773" s="16"/>
      <c r="V773" s="16"/>
      <c r="W773" s="16"/>
      <c r="X773" s="16"/>
      <c r="Y773" s="16"/>
      <c r="Z773" s="16"/>
      <c r="AA773" s="16"/>
      <c r="AB773" s="16"/>
      <c r="AC773" s="16"/>
      <c r="AD773" s="16"/>
      <c r="AE773" s="16"/>
      <c r="AF773" s="16"/>
      <c r="AG773" s="16"/>
      <c r="AH773" s="16"/>
      <c r="AI773" s="16"/>
      <c r="AJ773" s="16"/>
    </row>
    <row r="774" ht="12.75" customHeight="1" spans="1:36" x14ac:dyDescent="0.25">
      <c r="A774" s="16"/>
      <c r="B774" s="16"/>
      <c r="C774" s="16"/>
      <c r="D774" s="16"/>
      <c r="E774" s="16"/>
      <c r="F774" s="16"/>
      <c r="G774" s="16"/>
      <c r="H774" s="16"/>
      <c r="I774" s="16"/>
      <c r="J774" s="16"/>
      <c r="K774" s="16"/>
      <c r="L774" s="16"/>
      <c r="M774" s="16"/>
      <c r="N774" s="16"/>
      <c r="O774" s="16"/>
      <c r="P774" s="16"/>
      <c r="Q774" s="16"/>
      <c r="R774" s="16"/>
      <c r="S774" s="16"/>
      <c r="T774" s="16"/>
      <c r="U774" s="16"/>
      <c r="V774" s="16"/>
      <c r="W774" s="16"/>
      <c r="X774" s="16"/>
      <c r="Y774" s="16"/>
      <c r="Z774" s="16"/>
      <c r="AA774" s="16"/>
      <c r="AB774" s="16"/>
      <c r="AC774" s="16"/>
      <c r="AD774" s="16"/>
      <c r="AE774" s="16"/>
      <c r="AF774" s="16"/>
      <c r="AG774" s="16"/>
      <c r="AH774" s="16"/>
      <c r="AI774" s="16"/>
      <c r="AJ774" s="16"/>
    </row>
    <row r="775" ht="12.75" customHeight="1" spans="1:36" x14ac:dyDescent="0.25">
      <c r="A775" s="16"/>
      <c r="B775" s="16"/>
      <c r="C775" s="16"/>
      <c r="D775" s="16"/>
      <c r="E775" s="16"/>
      <c r="F775" s="16"/>
      <c r="G775" s="16"/>
      <c r="H775" s="16"/>
      <c r="I775" s="16"/>
      <c r="J775" s="16"/>
      <c r="K775" s="16"/>
      <c r="L775" s="16"/>
      <c r="M775" s="16"/>
      <c r="N775" s="16"/>
      <c r="O775" s="16"/>
      <c r="P775" s="16"/>
      <c r="Q775" s="16"/>
      <c r="R775" s="16"/>
      <c r="S775" s="16"/>
      <c r="T775" s="16"/>
      <c r="U775" s="16"/>
      <c r="V775" s="16"/>
      <c r="W775" s="16"/>
      <c r="X775" s="16"/>
      <c r="Y775" s="16"/>
      <c r="Z775" s="16"/>
      <c r="AA775" s="16"/>
      <c r="AB775" s="16"/>
      <c r="AC775" s="16"/>
      <c r="AD775" s="16"/>
      <c r="AE775" s="16"/>
      <c r="AF775" s="16"/>
      <c r="AG775" s="16"/>
      <c r="AH775" s="16"/>
      <c r="AI775" s="16"/>
      <c r="AJ775" s="16"/>
    </row>
    <row r="776" ht="12.75" customHeight="1" spans="1:36" x14ac:dyDescent="0.25">
      <c r="A776" s="16"/>
      <c r="B776" s="16"/>
      <c r="C776" s="16"/>
      <c r="D776" s="16"/>
      <c r="E776" s="16"/>
      <c r="F776" s="16"/>
      <c r="G776" s="16"/>
      <c r="H776" s="16"/>
      <c r="I776" s="16"/>
      <c r="J776" s="16"/>
      <c r="K776" s="16"/>
      <c r="L776" s="16"/>
      <c r="M776" s="16"/>
      <c r="N776" s="16"/>
      <c r="O776" s="16"/>
      <c r="P776" s="16"/>
      <c r="Q776" s="16"/>
      <c r="R776" s="16"/>
      <c r="S776" s="16"/>
      <c r="T776" s="16"/>
      <c r="U776" s="16"/>
      <c r="V776" s="16"/>
      <c r="W776" s="16"/>
      <c r="X776" s="16"/>
      <c r="Y776" s="16"/>
      <c r="Z776" s="16"/>
      <c r="AA776" s="16"/>
      <c r="AB776" s="16"/>
      <c r="AC776" s="16"/>
      <c r="AD776" s="16"/>
      <c r="AE776" s="16"/>
      <c r="AF776" s="16"/>
      <c r="AG776" s="16"/>
      <c r="AH776" s="16"/>
      <c r="AI776" s="16"/>
      <c r="AJ776" s="16"/>
    </row>
    <row r="777" ht="12.75" customHeight="1" spans="1:36" x14ac:dyDescent="0.25">
      <c r="A777" s="16"/>
      <c r="B777" s="16"/>
      <c r="C777" s="16"/>
      <c r="D777" s="16"/>
      <c r="E777" s="16"/>
      <c r="F777" s="16"/>
      <c r="G777" s="16"/>
      <c r="H777" s="16"/>
      <c r="I777" s="16"/>
      <c r="J777" s="16"/>
      <c r="K777" s="16"/>
      <c r="L777" s="16"/>
      <c r="M777" s="16"/>
      <c r="N777" s="16"/>
      <c r="O777" s="16"/>
      <c r="P777" s="16"/>
      <c r="Q777" s="16"/>
      <c r="R777" s="16"/>
      <c r="S777" s="16"/>
      <c r="T777" s="16"/>
      <c r="U777" s="16"/>
      <c r="V777" s="16"/>
      <c r="W777" s="16"/>
      <c r="X777" s="16"/>
      <c r="Y777" s="16"/>
      <c r="Z777" s="16"/>
      <c r="AA777" s="16"/>
      <c r="AB777" s="16"/>
      <c r="AC777" s="16"/>
      <c r="AD777" s="16"/>
      <c r="AE777" s="16"/>
      <c r="AF777" s="16"/>
      <c r="AG777" s="16"/>
      <c r="AH777" s="16"/>
      <c r="AI777" s="16"/>
      <c r="AJ777" s="16"/>
    </row>
    <row r="778" ht="12.75" customHeight="1" spans="1:36" x14ac:dyDescent="0.25">
      <c r="A778" s="16"/>
      <c r="B778" s="16"/>
      <c r="C778" s="16"/>
      <c r="D778" s="16"/>
      <c r="E778" s="16"/>
      <c r="F778" s="16"/>
      <c r="G778" s="16"/>
      <c r="H778" s="16"/>
      <c r="I778" s="16"/>
      <c r="J778" s="16"/>
      <c r="K778" s="16"/>
      <c r="L778" s="16"/>
      <c r="M778" s="16"/>
      <c r="N778" s="16"/>
      <c r="O778" s="16"/>
      <c r="P778" s="16"/>
      <c r="Q778" s="16"/>
      <c r="R778" s="16"/>
      <c r="S778" s="16"/>
      <c r="T778" s="16"/>
      <c r="U778" s="16"/>
      <c r="V778" s="16"/>
      <c r="W778" s="16"/>
      <c r="X778" s="16"/>
      <c r="Y778" s="16"/>
      <c r="Z778" s="16"/>
      <c r="AA778" s="16"/>
      <c r="AB778" s="16"/>
      <c r="AC778" s="16"/>
      <c r="AD778" s="16"/>
      <c r="AE778" s="16"/>
      <c r="AF778" s="16"/>
      <c r="AG778" s="16"/>
      <c r="AH778" s="16"/>
      <c r="AI778" s="16"/>
      <c r="AJ778" s="16"/>
    </row>
    <row r="779" ht="12.75" customHeight="1" spans="1:36" x14ac:dyDescent="0.25">
      <c r="A779" s="16"/>
      <c r="B779" s="16"/>
      <c r="C779" s="16"/>
      <c r="D779" s="16"/>
      <c r="E779" s="16"/>
      <c r="F779" s="16"/>
      <c r="G779" s="16"/>
      <c r="H779" s="16"/>
      <c r="I779" s="16"/>
      <c r="J779" s="16"/>
      <c r="K779" s="16"/>
      <c r="L779" s="16"/>
      <c r="M779" s="16"/>
      <c r="N779" s="16"/>
      <c r="O779" s="16"/>
      <c r="P779" s="16"/>
      <c r="Q779" s="16"/>
      <c r="R779" s="16"/>
      <c r="S779" s="16"/>
      <c r="T779" s="16"/>
      <c r="U779" s="16"/>
      <c r="V779" s="16"/>
      <c r="W779" s="16"/>
      <c r="X779" s="16"/>
      <c r="Y779" s="16"/>
      <c r="Z779" s="16"/>
      <c r="AA779" s="16"/>
      <c r="AB779" s="16"/>
      <c r="AC779" s="16"/>
      <c r="AD779" s="16"/>
      <c r="AE779" s="16"/>
      <c r="AF779" s="16"/>
      <c r="AG779" s="16"/>
      <c r="AH779" s="16"/>
      <c r="AI779" s="16"/>
      <c r="AJ779" s="16"/>
    </row>
    <row r="780" ht="12.75" customHeight="1" spans="1:36" x14ac:dyDescent="0.25">
      <c r="A780" s="16"/>
      <c r="B780" s="16"/>
      <c r="C780" s="16"/>
      <c r="D780" s="16"/>
      <c r="E780" s="16"/>
      <c r="F780" s="16"/>
      <c r="G780" s="16"/>
      <c r="H780" s="16"/>
      <c r="I780" s="16"/>
      <c r="J780" s="16"/>
      <c r="K780" s="16"/>
      <c r="L780" s="16"/>
      <c r="M780" s="16"/>
      <c r="N780" s="16"/>
      <c r="O780" s="16"/>
      <c r="P780" s="16"/>
      <c r="Q780" s="16"/>
      <c r="R780" s="16"/>
      <c r="S780" s="16"/>
      <c r="T780" s="16"/>
      <c r="U780" s="16"/>
      <c r="V780" s="16"/>
      <c r="W780" s="16"/>
      <c r="X780" s="16"/>
      <c r="Y780" s="16"/>
      <c r="Z780" s="16"/>
      <c r="AA780" s="16"/>
      <c r="AB780" s="16"/>
      <c r="AC780" s="16"/>
      <c r="AD780" s="16"/>
      <c r="AE780" s="16"/>
      <c r="AF780" s="16"/>
      <c r="AG780" s="16"/>
      <c r="AH780" s="16"/>
      <c r="AI780" s="16"/>
      <c r="AJ780" s="16"/>
    </row>
    <row r="781" ht="12.75" customHeight="1" spans="1:36" x14ac:dyDescent="0.25">
      <c r="A781" s="16"/>
      <c r="B781" s="16"/>
      <c r="C781" s="16"/>
      <c r="D781" s="16"/>
      <c r="E781" s="16"/>
      <c r="F781" s="16"/>
      <c r="G781" s="16"/>
      <c r="H781" s="16"/>
      <c r="I781" s="16"/>
      <c r="J781" s="16"/>
      <c r="K781" s="16"/>
      <c r="L781" s="16"/>
      <c r="M781" s="16"/>
      <c r="N781" s="16"/>
      <c r="O781" s="16"/>
      <c r="P781" s="16"/>
      <c r="Q781" s="16"/>
      <c r="R781" s="16"/>
      <c r="S781" s="16"/>
      <c r="T781" s="16"/>
      <c r="U781" s="16"/>
      <c r="V781" s="16"/>
      <c r="W781" s="16"/>
      <c r="X781" s="16"/>
      <c r="Y781" s="16"/>
      <c r="Z781" s="16"/>
      <c r="AA781" s="16"/>
      <c r="AB781" s="16"/>
      <c r="AC781" s="16"/>
      <c r="AD781" s="16"/>
      <c r="AE781" s="16"/>
      <c r="AF781" s="16"/>
      <c r="AG781" s="16"/>
      <c r="AH781" s="16"/>
      <c r="AI781" s="16"/>
      <c r="AJ781" s="16"/>
    </row>
    <row r="782" ht="12.75" customHeight="1" spans="1:36" x14ac:dyDescent="0.25">
      <c r="A782" s="16"/>
      <c r="B782" s="16"/>
      <c r="C782" s="16"/>
      <c r="D782" s="16"/>
      <c r="E782" s="16"/>
      <c r="F782" s="16"/>
      <c r="G782" s="16"/>
      <c r="H782" s="16"/>
      <c r="I782" s="16"/>
      <c r="J782" s="16"/>
      <c r="K782" s="16"/>
      <c r="L782" s="16"/>
      <c r="M782" s="16"/>
      <c r="N782" s="16"/>
      <c r="O782" s="16"/>
      <c r="P782" s="16"/>
      <c r="Q782" s="16"/>
      <c r="R782" s="16"/>
      <c r="S782" s="16"/>
      <c r="T782" s="16"/>
      <c r="U782" s="16"/>
      <c r="V782" s="16"/>
      <c r="W782" s="16"/>
      <c r="X782" s="16"/>
      <c r="Y782" s="16"/>
      <c r="Z782" s="16"/>
      <c r="AA782" s="16"/>
      <c r="AB782" s="16"/>
      <c r="AC782" s="16"/>
      <c r="AD782" s="16"/>
      <c r="AE782" s="16"/>
      <c r="AF782" s="16"/>
      <c r="AG782" s="16"/>
      <c r="AH782" s="16"/>
      <c r="AI782" s="16"/>
      <c r="AJ782" s="16"/>
    </row>
    <row r="783" ht="12.75" customHeight="1" spans="1:36" x14ac:dyDescent="0.25">
      <c r="A783" s="16"/>
      <c r="B783" s="16"/>
      <c r="C783" s="16"/>
      <c r="D783" s="16"/>
      <c r="E783" s="16"/>
      <c r="F783" s="16"/>
      <c r="G783" s="16"/>
      <c r="H783" s="16"/>
      <c r="I783" s="16"/>
      <c r="J783" s="16"/>
      <c r="K783" s="16"/>
      <c r="L783" s="16"/>
      <c r="M783" s="16"/>
      <c r="N783" s="16"/>
      <c r="O783" s="16"/>
      <c r="P783" s="16"/>
      <c r="Q783" s="16"/>
      <c r="R783" s="16"/>
      <c r="S783" s="16"/>
      <c r="T783" s="16"/>
      <c r="U783" s="16"/>
      <c r="V783" s="16"/>
      <c r="W783" s="16"/>
      <c r="X783" s="16"/>
      <c r="Y783" s="16"/>
      <c r="Z783" s="16"/>
      <c r="AA783" s="16"/>
      <c r="AB783" s="16"/>
      <c r="AC783" s="16"/>
      <c r="AD783" s="16"/>
      <c r="AE783" s="16"/>
      <c r="AF783" s="16"/>
      <c r="AG783" s="16"/>
      <c r="AH783" s="16"/>
      <c r="AI783" s="16"/>
      <c r="AJ783" s="16"/>
    </row>
    <row r="784" ht="12.75" customHeight="1" spans="1:36" x14ac:dyDescent="0.25">
      <c r="A784" s="16"/>
      <c r="B784" s="16"/>
      <c r="C784" s="16"/>
      <c r="D784" s="16"/>
      <c r="E784" s="16"/>
      <c r="F784" s="16"/>
      <c r="G784" s="16"/>
      <c r="H784" s="16"/>
      <c r="I784" s="16"/>
      <c r="J784" s="16"/>
      <c r="K784" s="16"/>
      <c r="L784" s="16"/>
      <c r="M784" s="16"/>
      <c r="N784" s="16"/>
      <c r="O784" s="16"/>
      <c r="P784" s="16"/>
      <c r="Q784" s="16"/>
      <c r="R784" s="16"/>
      <c r="S784" s="16"/>
      <c r="T784" s="16"/>
      <c r="U784" s="16"/>
      <c r="V784" s="16"/>
      <c r="W784" s="16"/>
      <c r="X784" s="16"/>
      <c r="Y784" s="16"/>
      <c r="Z784" s="16"/>
      <c r="AA784" s="16"/>
      <c r="AB784" s="16"/>
      <c r="AC784" s="16"/>
      <c r="AD784" s="16"/>
      <c r="AE784" s="16"/>
      <c r="AF784" s="16"/>
      <c r="AG784" s="16"/>
      <c r="AH784" s="16"/>
      <c r="AI784" s="16"/>
      <c r="AJ784" s="16"/>
    </row>
    <row r="785" ht="12.75" customHeight="1" spans="1:36" x14ac:dyDescent="0.25">
      <c r="A785" s="16"/>
      <c r="B785" s="16"/>
      <c r="C785" s="16"/>
      <c r="D785" s="16"/>
      <c r="E785" s="16"/>
      <c r="F785" s="16"/>
      <c r="G785" s="16"/>
      <c r="H785" s="16"/>
      <c r="I785" s="16"/>
      <c r="J785" s="16"/>
      <c r="K785" s="16"/>
      <c r="L785" s="16"/>
      <c r="M785" s="16"/>
      <c r="N785" s="16"/>
      <c r="O785" s="16"/>
      <c r="P785" s="16"/>
      <c r="Q785" s="16"/>
      <c r="R785" s="16"/>
      <c r="S785" s="16"/>
      <c r="T785" s="16"/>
      <c r="U785" s="16"/>
      <c r="V785" s="16"/>
      <c r="W785" s="16"/>
      <c r="X785" s="16"/>
      <c r="Y785" s="16"/>
      <c r="Z785" s="16"/>
      <c r="AA785" s="16"/>
      <c r="AB785" s="16"/>
      <c r="AC785" s="16"/>
      <c r="AD785" s="16"/>
      <c r="AE785" s="16"/>
      <c r="AF785" s="16"/>
      <c r="AG785" s="16"/>
      <c r="AH785" s="16"/>
      <c r="AI785" s="16"/>
      <c r="AJ785" s="16"/>
    </row>
    <row r="786" ht="12.75" customHeight="1" spans="1:36" x14ac:dyDescent="0.25">
      <c r="A786" s="16"/>
      <c r="B786" s="16"/>
      <c r="C786" s="16"/>
      <c r="D786" s="16"/>
      <c r="E786" s="16"/>
      <c r="F786" s="16"/>
      <c r="G786" s="16"/>
      <c r="H786" s="16"/>
      <c r="I786" s="16"/>
      <c r="J786" s="16"/>
      <c r="K786" s="16"/>
      <c r="L786" s="16"/>
      <c r="M786" s="16"/>
      <c r="N786" s="16"/>
      <c r="O786" s="16"/>
      <c r="P786" s="16"/>
      <c r="Q786" s="16"/>
      <c r="R786" s="16"/>
      <c r="S786" s="16"/>
      <c r="T786" s="16"/>
      <c r="U786" s="16"/>
      <c r="V786" s="16"/>
      <c r="W786" s="16"/>
      <c r="X786" s="16"/>
      <c r="Y786" s="16"/>
      <c r="Z786" s="16"/>
      <c r="AA786" s="16"/>
      <c r="AB786" s="16"/>
      <c r="AC786" s="16"/>
      <c r="AD786" s="16"/>
      <c r="AE786" s="16"/>
      <c r="AF786" s="16"/>
      <c r="AG786" s="16"/>
      <c r="AH786" s="16"/>
      <c r="AI786" s="16"/>
      <c r="AJ786" s="16"/>
    </row>
    <row r="787" ht="12.75" customHeight="1" spans="1:36" x14ac:dyDescent="0.25">
      <c r="A787" s="16"/>
      <c r="B787" s="16"/>
      <c r="C787" s="16"/>
      <c r="D787" s="16"/>
      <c r="E787" s="16"/>
      <c r="F787" s="16"/>
      <c r="G787" s="16"/>
      <c r="H787" s="16"/>
      <c r="I787" s="16"/>
      <c r="J787" s="16"/>
      <c r="K787" s="16"/>
      <c r="L787" s="16"/>
      <c r="M787" s="16"/>
      <c r="N787" s="16"/>
      <c r="O787" s="16"/>
      <c r="P787" s="16"/>
      <c r="Q787" s="16"/>
      <c r="R787" s="16"/>
      <c r="S787" s="16"/>
      <c r="T787" s="16"/>
      <c r="U787" s="16"/>
      <c r="V787" s="16"/>
      <c r="W787" s="16"/>
      <c r="X787" s="16"/>
      <c r="Y787" s="16"/>
      <c r="Z787" s="16"/>
      <c r="AA787" s="16"/>
      <c r="AB787" s="16"/>
      <c r="AC787" s="16"/>
      <c r="AD787" s="16"/>
      <c r="AE787" s="16"/>
      <c r="AF787" s="16"/>
      <c r="AG787" s="16"/>
      <c r="AH787" s="16"/>
      <c r="AI787" s="16"/>
      <c r="AJ787" s="16"/>
    </row>
    <row r="788" ht="12.75" customHeight="1" spans="1:36" x14ac:dyDescent="0.25">
      <c r="A788" s="16"/>
      <c r="B788" s="16"/>
      <c r="C788" s="16"/>
      <c r="D788" s="16"/>
      <c r="E788" s="16"/>
      <c r="F788" s="16"/>
      <c r="G788" s="16"/>
      <c r="H788" s="16"/>
      <c r="I788" s="16"/>
      <c r="J788" s="16"/>
      <c r="K788" s="16"/>
      <c r="L788" s="16"/>
      <c r="M788" s="16"/>
      <c r="N788" s="16"/>
      <c r="O788" s="16"/>
      <c r="P788" s="16"/>
      <c r="Q788" s="16"/>
      <c r="R788" s="16"/>
      <c r="S788" s="16"/>
      <c r="T788" s="16"/>
      <c r="U788" s="16"/>
      <c r="V788" s="16"/>
      <c r="W788" s="16"/>
      <c r="X788" s="16"/>
      <c r="Y788" s="16"/>
      <c r="Z788" s="16"/>
      <c r="AA788" s="16"/>
      <c r="AB788" s="16"/>
      <c r="AC788" s="16"/>
      <c r="AD788" s="16"/>
      <c r="AE788" s="16"/>
      <c r="AF788" s="16"/>
      <c r="AG788" s="16"/>
      <c r="AH788" s="16"/>
      <c r="AI788" s="16"/>
      <c r="AJ788" s="16"/>
    </row>
    <row r="789" ht="12.75" customHeight="1" spans="1:36" x14ac:dyDescent="0.25">
      <c r="A789" s="16"/>
      <c r="B789" s="16"/>
      <c r="C789" s="16"/>
      <c r="D789" s="16"/>
      <c r="E789" s="16"/>
      <c r="F789" s="16"/>
      <c r="G789" s="16"/>
      <c r="H789" s="16"/>
      <c r="I789" s="16"/>
      <c r="J789" s="16"/>
      <c r="K789" s="16"/>
      <c r="L789" s="16"/>
      <c r="M789" s="16"/>
      <c r="N789" s="16"/>
      <c r="O789" s="16"/>
      <c r="P789" s="16"/>
      <c r="Q789" s="16"/>
      <c r="R789" s="16"/>
      <c r="S789" s="16"/>
      <c r="T789" s="16"/>
      <c r="U789" s="16"/>
      <c r="V789" s="16"/>
      <c r="W789" s="16"/>
      <c r="X789" s="16"/>
      <c r="Y789" s="16"/>
      <c r="Z789" s="16"/>
      <c r="AA789" s="16"/>
      <c r="AB789" s="16"/>
      <c r="AC789" s="16"/>
      <c r="AD789" s="16"/>
      <c r="AE789" s="16"/>
      <c r="AF789" s="16"/>
      <c r="AG789" s="16"/>
      <c r="AH789" s="16"/>
      <c r="AI789" s="16"/>
      <c r="AJ789" s="16"/>
    </row>
    <row r="790" ht="12.75" customHeight="1" spans="1:36" x14ac:dyDescent="0.25">
      <c r="A790" s="16"/>
      <c r="B790" s="16"/>
      <c r="C790" s="16"/>
      <c r="D790" s="16"/>
      <c r="E790" s="16"/>
      <c r="F790" s="16"/>
      <c r="G790" s="16"/>
      <c r="H790" s="16"/>
      <c r="I790" s="16"/>
      <c r="J790" s="16"/>
      <c r="K790" s="16"/>
      <c r="L790" s="16"/>
      <c r="M790" s="16"/>
      <c r="N790" s="16"/>
      <c r="O790" s="16"/>
      <c r="P790" s="16"/>
      <c r="Q790" s="16"/>
      <c r="R790" s="16"/>
      <c r="S790" s="16"/>
      <c r="T790" s="16"/>
      <c r="U790" s="16"/>
      <c r="V790" s="16"/>
      <c r="W790" s="16"/>
      <c r="X790" s="16"/>
      <c r="Y790" s="16"/>
      <c r="Z790" s="16"/>
      <c r="AA790" s="16"/>
      <c r="AB790" s="16"/>
      <c r="AC790" s="16"/>
      <c r="AD790" s="16"/>
      <c r="AE790" s="16"/>
      <c r="AF790" s="16"/>
      <c r="AG790" s="16"/>
      <c r="AH790" s="16"/>
      <c r="AI790" s="16"/>
      <c r="AJ790" s="16"/>
    </row>
    <row r="791" ht="12.75" customHeight="1" spans="1:36" x14ac:dyDescent="0.25">
      <c r="A791" s="16"/>
      <c r="B791" s="16"/>
      <c r="C791" s="16"/>
      <c r="D791" s="16"/>
      <c r="E791" s="16"/>
      <c r="F791" s="16"/>
      <c r="G791" s="16"/>
      <c r="H791" s="16"/>
      <c r="I791" s="16"/>
      <c r="J791" s="16"/>
      <c r="K791" s="16"/>
      <c r="L791" s="16"/>
      <c r="M791" s="16"/>
      <c r="N791" s="16"/>
      <c r="O791" s="16"/>
      <c r="P791" s="16"/>
      <c r="Q791" s="16"/>
      <c r="R791" s="16"/>
      <c r="S791" s="16"/>
      <c r="T791" s="16"/>
      <c r="U791" s="16"/>
      <c r="V791" s="16"/>
      <c r="W791" s="16"/>
      <c r="X791" s="16"/>
      <c r="Y791" s="16"/>
      <c r="Z791" s="16"/>
      <c r="AA791" s="16"/>
      <c r="AB791" s="16"/>
      <c r="AC791" s="16"/>
      <c r="AD791" s="16"/>
      <c r="AE791" s="16"/>
      <c r="AF791" s="16"/>
      <c r="AG791" s="16"/>
      <c r="AH791" s="16"/>
      <c r="AI791" s="16"/>
      <c r="AJ791" s="16"/>
    </row>
    <row r="792" ht="12.75" customHeight="1" spans="1:36" x14ac:dyDescent="0.25">
      <c r="A792" s="16"/>
      <c r="B792" s="16"/>
      <c r="C792" s="16"/>
      <c r="D792" s="16"/>
      <c r="E792" s="16"/>
      <c r="F792" s="16"/>
      <c r="G792" s="16"/>
      <c r="H792" s="16"/>
      <c r="I792" s="16"/>
      <c r="J792" s="16"/>
      <c r="K792" s="16"/>
      <c r="L792" s="16"/>
      <c r="M792" s="16"/>
      <c r="N792" s="16"/>
      <c r="O792" s="16"/>
      <c r="P792" s="16"/>
      <c r="Q792" s="16"/>
      <c r="R792" s="16"/>
      <c r="S792" s="16"/>
      <c r="T792" s="16"/>
      <c r="U792" s="16"/>
      <c r="V792" s="16"/>
      <c r="W792" s="16"/>
      <c r="X792" s="16"/>
      <c r="Y792" s="16"/>
      <c r="Z792" s="16"/>
      <c r="AA792" s="16"/>
      <c r="AB792" s="16"/>
      <c r="AC792" s="16"/>
      <c r="AD792" s="16"/>
      <c r="AE792" s="16"/>
      <c r="AF792" s="16"/>
      <c r="AG792" s="16"/>
      <c r="AH792" s="16"/>
      <c r="AI792" s="16"/>
      <c r="AJ792" s="16"/>
    </row>
    <row r="793" ht="12.75" customHeight="1" spans="1:36" x14ac:dyDescent="0.25">
      <c r="A793" s="16"/>
      <c r="B793" s="16"/>
      <c r="C793" s="16"/>
      <c r="D793" s="16"/>
      <c r="E793" s="16"/>
      <c r="F793" s="16"/>
      <c r="G793" s="16"/>
      <c r="H793" s="16"/>
      <c r="I793" s="16"/>
      <c r="J793" s="16"/>
      <c r="K793" s="16"/>
      <c r="L793" s="16"/>
      <c r="M793" s="16"/>
      <c r="N793" s="16"/>
      <c r="O793" s="16"/>
      <c r="P793" s="16"/>
      <c r="Q793" s="16"/>
      <c r="R793" s="16"/>
      <c r="S793" s="16"/>
      <c r="T793" s="16"/>
      <c r="U793" s="16"/>
      <c r="V793" s="16"/>
      <c r="W793" s="16"/>
      <c r="X793" s="16"/>
      <c r="Y793" s="16"/>
      <c r="Z793" s="16"/>
      <c r="AA793" s="16"/>
      <c r="AB793" s="16"/>
      <c r="AC793" s="16"/>
      <c r="AD793" s="16"/>
      <c r="AE793" s="16"/>
      <c r="AF793" s="16"/>
      <c r="AG793" s="16"/>
      <c r="AH793" s="16"/>
      <c r="AI793" s="16"/>
      <c r="AJ793" s="16"/>
    </row>
    <row r="794" ht="12.75" customHeight="1" spans="1:36" x14ac:dyDescent="0.25">
      <c r="A794" s="16"/>
      <c r="B794" s="16"/>
      <c r="C794" s="16"/>
      <c r="D794" s="16"/>
      <c r="E794" s="16"/>
      <c r="F794" s="16"/>
      <c r="G794" s="16"/>
      <c r="H794" s="16"/>
      <c r="I794" s="16"/>
      <c r="J794" s="16"/>
      <c r="K794" s="16"/>
      <c r="L794" s="16"/>
      <c r="M794" s="16"/>
      <c r="N794" s="16"/>
      <c r="O794" s="16"/>
      <c r="P794" s="16"/>
      <c r="Q794" s="16"/>
      <c r="R794" s="16"/>
      <c r="S794" s="16"/>
      <c r="T794" s="16"/>
      <c r="U794" s="16"/>
      <c r="V794" s="16"/>
      <c r="W794" s="16"/>
      <c r="X794" s="16"/>
      <c r="Y794" s="16"/>
      <c r="Z794" s="16"/>
      <c r="AA794" s="16"/>
      <c r="AB794" s="16"/>
      <c r="AC794" s="16"/>
      <c r="AD794" s="16"/>
      <c r="AE794" s="16"/>
      <c r="AF794" s="16"/>
      <c r="AG794" s="16"/>
      <c r="AH794" s="16"/>
      <c r="AI794" s="16"/>
      <c r="AJ794" s="16"/>
    </row>
    <row r="795" ht="12.75" customHeight="1" spans="1:36" x14ac:dyDescent="0.25">
      <c r="A795" s="16"/>
      <c r="B795" s="16"/>
      <c r="C795" s="16"/>
      <c r="D795" s="16"/>
      <c r="E795" s="16"/>
      <c r="F795" s="16"/>
      <c r="G795" s="16"/>
      <c r="H795" s="16"/>
      <c r="I795" s="16"/>
      <c r="J795" s="16"/>
      <c r="K795" s="16"/>
      <c r="L795" s="16"/>
      <c r="M795" s="16"/>
      <c r="N795" s="16"/>
      <c r="O795" s="16"/>
      <c r="P795" s="16"/>
      <c r="Q795" s="16"/>
      <c r="R795" s="16"/>
      <c r="S795" s="16"/>
      <c r="T795" s="16"/>
      <c r="U795" s="16"/>
      <c r="V795" s="16"/>
      <c r="W795" s="16"/>
      <c r="X795" s="16"/>
      <c r="Y795" s="16"/>
      <c r="Z795" s="16"/>
      <c r="AA795" s="16"/>
      <c r="AB795" s="16"/>
      <c r="AC795" s="16"/>
      <c r="AD795" s="16"/>
      <c r="AE795" s="16"/>
      <c r="AF795" s="16"/>
      <c r="AG795" s="16"/>
      <c r="AH795" s="16"/>
      <c r="AI795" s="16"/>
      <c r="AJ795" s="16"/>
    </row>
    <row r="796" ht="12.75" customHeight="1" spans="1:36" x14ac:dyDescent="0.25">
      <c r="A796" s="16"/>
      <c r="B796" s="16"/>
      <c r="C796" s="16"/>
      <c r="D796" s="16"/>
      <c r="E796" s="16"/>
      <c r="F796" s="16"/>
      <c r="G796" s="16"/>
      <c r="H796" s="16"/>
      <c r="I796" s="16"/>
      <c r="J796" s="16"/>
      <c r="K796" s="16"/>
      <c r="L796" s="16"/>
      <c r="M796" s="16"/>
      <c r="N796" s="16"/>
      <c r="O796" s="16"/>
      <c r="P796" s="16"/>
      <c r="Q796" s="16"/>
      <c r="R796" s="16"/>
      <c r="S796" s="16"/>
      <c r="T796" s="16"/>
      <c r="U796" s="16"/>
      <c r="V796" s="16"/>
      <c r="W796" s="16"/>
      <c r="X796" s="16"/>
      <c r="Y796" s="16"/>
      <c r="Z796" s="16"/>
      <c r="AA796" s="16"/>
      <c r="AB796" s="16"/>
      <c r="AC796" s="16"/>
      <c r="AD796" s="16"/>
      <c r="AE796" s="16"/>
      <c r="AF796" s="16"/>
      <c r="AG796" s="16"/>
      <c r="AH796" s="16"/>
      <c r="AI796" s="16"/>
      <c r="AJ796" s="16"/>
    </row>
    <row r="797" ht="12.75" customHeight="1" spans="1:36" x14ac:dyDescent="0.25">
      <c r="A797" s="16"/>
      <c r="B797" s="16"/>
      <c r="C797" s="16"/>
      <c r="D797" s="16"/>
      <c r="E797" s="16"/>
      <c r="F797" s="16"/>
      <c r="G797" s="16"/>
      <c r="H797" s="16"/>
      <c r="I797" s="16"/>
      <c r="J797" s="16"/>
      <c r="K797" s="16"/>
      <c r="L797" s="16"/>
      <c r="M797" s="16"/>
      <c r="N797" s="16"/>
      <c r="O797" s="16"/>
      <c r="P797" s="16"/>
      <c r="Q797" s="16"/>
      <c r="R797" s="16"/>
      <c r="S797" s="16"/>
      <c r="T797" s="16"/>
      <c r="U797" s="16"/>
      <c r="V797" s="16"/>
      <c r="W797" s="16"/>
      <c r="X797" s="16"/>
      <c r="Y797" s="16"/>
      <c r="Z797" s="16"/>
      <c r="AA797" s="16"/>
      <c r="AB797" s="16"/>
      <c r="AC797" s="16"/>
      <c r="AD797" s="16"/>
      <c r="AE797" s="16"/>
      <c r="AF797" s="16"/>
      <c r="AG797" s="16"/>
      <c r="AH797" s="16"/>
      <c r="AI797" s="16"/>
      <c r="AJ797" s="16"/>
    </row>
    <row r="798" ht="12.75" customHeight="1" spans="1:36" x14ac:dyDescent="0.25">
      <c r="A798" s="16"/>
      <c r="B798" s="16"/>
      <c r="C798" s="16"/>
      <c r="D798" s="16"/>
      <c r="E798" s="16"/>
      <c r="F798" s="16"/>
      <c r="G798" s="16"/>
      <c r="H798" s="16"/>
      <c r="I798" s="16"/>
      <c r="J798" s="16"/>
      <c r="K798" s="16"/>
      <c r="L798" s="16"/>
      <c r="M798" s="16"/>
      <c r="N798" s="16"/>
      <c r="O798" s="16"/>
      <c r="P798" s="16"/>
      <c r="Q798" s="16"/>
      <c r="R798" s="16"/>
      <c r="S798" s="16"/>
      <c r="T798" s="16"/>
      <c r="U798" s="16"/>
      <c r="V798" s="16"/>
      <c r="W798" s="16"/>
      <c r="X798" s="16"/>
      <c r="Y798" s="16"/>
      <c r="Z798" s="16"/>
      <c r="AA798" s="16"/>
      <c r="AB798" s="16"/>
      <c r="AC798" s="16"/>
      <c r="AD798" s="16"/>
      <c r="AE798" s="16"/>
      <c r="AF798" s="16"/>
      <c r="AG798" s="16"/>
      <c r="AH798" s="16"/>
      <c r="AI798" s="16"/>
      <c r="AJ798" s="16"/>
    </row>
    <row r="799" ht="12.75" customHeight="1" spans="1:36" x14ac:dyDescent="0.25">
      <c r="A799" s="16"/>
      <c r="B799" s="16"/>
      <c r="C799" s="16"/>
      <c r="D799" s="16"/>
      <c r="E799" s="16"/>
      <c r="F799" s="16"/>
      <c r="G799" s="16"/>
      <c r="H799" s="16"/>
      <c r="I799" s="16"/>
      <c r="J799" s="16"/>
      <c r="K799" s="16"/>
      <c r="L799" s="16"/>
      <c r="M799" s="16"/>
      <c r="N799" s="16"/>
      <c r="O799" s="16"/>
      <c r="P799" s="16"/>
      <c r="Q799" s="16"/>
      <c r="R799" s="16"/>
      <c r="S799" s="16"/>
      <c r="T799" s="16"/>
      <c r="U799" s="16"/>
      <c r="V799" s="16"/>
      <c r="W799" s="16"/>
      <c r="X799" s="16"/>
      <c r="Y799" s="16"/>
      <c r="Z799" s="16"/>
      <c r="AA799" s="16"/>
      <c r="AB799" s="16"/>
      <c r="AC799" s="16"/>
      <c r="AD799" s="16"/>
      <c r="AE799" s="16"/>
      <c r="AF799" s="16"/>
      <c r="AG799" s="16"/>
      <c r="AH799" s="16"/>
      <c r="AI799" s="16"/>
      <c r="AJ799" s="16"/>
    </row>
    <row r="800" ht="12.75" customHeight="1" spans="1:36" x14ac:dyDescent="0.25">
      <c r="A800" s="16"/>
      <c r="B800" s="16"/>
      <c r="C800" s="16"/>
      <c r="D800" s="16"/>
      <c r="E800" s="16"/>
      <c r="F800" s="16"/>
      <c r="G800" s="16"/>
      <c r="H800" s="16"/>
      <c r="I800" s="16"/>
      <c r="J800" s="16"/>
      <c r="K800" s="16"/>
      <c r="L800" s="16"/>
      <c r="M800" s="16"/>
      <c r="N800" s="16"/>
      <c r="O800" s="16"/>
      <c r="P800" s="16"/>
      <c r="Q800" s="16"/>
      <c r="R800" s="16"/>
      <c r="S800" s="16"/>
      <c r="T800" s="16"/>
      <c r="U800" s="16"/>
      <c r="V800" s="16"/>
      <c r="W800" s="16"/>
      <c r="X800" s="16"/>
      <c r="Y800" s="16"/>
      <c r="Z800" s="16"/>
      <c r="AA800" s="16"/>
      <c r="AB800" s="16"/>
      <c r="AC800" s="16"/>
      <c r="AD800" s="16"/>
      <c r="AE800" s="16"/>
      <c r="AF800" s="16"/>
      <c r="AG800" s="16"/>
      <c r="AH800" s="16"/>
      <c r="AI800" s="16"/>
      <c r="AJ800" s="16"/>
    </row>
    <row r="801" ht="12.75" customHeight="1" spans="1:36" x14ac:dyDescent="0.25">
      <c r="A801" s="16"/>
      <c r="B801" s="16"/>
      <c r="C801" s="16"/>
      <c r="D801" s="16"/>
      <c r="E801" s="16"/>
      <c r="F801" s="16"/>
      <c r="G801" s="16"/>
      <c r="H801" s="16"/>
      <c r="I801" s="16"/>
      <c r="J801" s="16"/>
      <c r="K801" s="16"/>
      <c r="L801" s="16"/>
      <c r="M801" s="16"/>
      <c r="N801" s="16"/>
      <c r="O801" s="16"/>
      <c r="P801" s="16"/>
      <c r="Q801" s="16"/>
      <c r="R801" s="16"/>
      <c r="S801" s="16"/>
      <c r="T801" s="16"/>
      <c r="U801" s="16"/>
      <c r="V801" s="16"/>
      <c r="W801" s="16"/>
      <c r="X801" s="16"/>
      <c r="Y801" s="16"/>
      <c r="Z801" s="16"/>
      <c r="AA801" s="16"/>
      <c r="AB801" s="16"/>
      <c r="AC801" s="16"/>
      <c r="AD801" s="16"/>
      <c r="AE801" s="16"/>
      <c r="AF801" s="16"/>
      <c r="AG801" s="16"/>
      <c r="AH801" s="16"/>
      <c r="AI801" s="16"/>
      <c r="AJ801" s="16"/>
    </row>
    <row r="802" ht="12.75" customHeight="1" spans="1:36" x14ac:dyDescent="0.25">
      <c r="A802" s="16"/>
      <c r="B802" s="16"/>
      <c r="C802" s="16"/>
      <c r="D802" s="16"/>
      <c r="E802" s="16"/>
      <c r="F802" s="16"/>
      <c r="G802" s="16"/>
      <c r="H802" s="16"/>
      <c r="I802" s="16"/>
      <c r="J802" s="16"/>
      <c r="K802" s="16"/>
      <c r="L802" s="16"/>
      <c r="M802" s="16"/>
      <c r="N802" s="16"/>
      <c r="O802" s="16"/>
      <c r="P802" s="16"/>
      <c r="Q802" s="16"/>
      <c r="R802" s="16"/>
      <c r="S802" s="16"/>
      <c r="T802" s="16"/>
      <c r="U802" s="16"/>
      <c r="V802" s="16"/>
      <c r="W802" s="16"/>
      <c r="X802" s="16"/>
      <c r="Y802" s="16"/>
      <c r="Z802" s="16"/>
      <c r="AA802" s="16"/>
      <c r="AB802" s="16"/>
      <c r="AC802" s="16"/>
      <c r="AD802" s="16"/>
      <c r="AE802" s="16"/>
      <c r="AF802" s="16"/>
      <c r="AG802" s="16"/>
      <c r="AH802" s="16"/>
      <c r="AI802" s="16"/>
      <c r="AJ802" s="16"/>
    </row>
    <row r="803" ht="12.75" customHeight="1" spans="1:36" x14ac:dyDescent="0.25">
      <c r="A803" s="16"/>
      <c r="B803" s="16"/>
      <c r="C803" s="16"/>
      <c r="D803" s="16"/>
      <c r="E803" s="16"/>
      <c r="F803" s="16"/>
      <c r="G803" s="16"/>
      <c r="H803" s="16"/>
      <c r="I803" s="16"/>
      <c r="J803" s="16"/>
      <c r="K803" s="16"/>
      <c r="L803" s="16"/>
      <c r="M803" s="16"/>
      <c r="N803" s="16"/>
      <c r="O803" s="16"/>
      <c r="P803" s="16"/>
      <c r="Q803" s="16"/>
      <c r="R803" s="16"/>
      <c r="S803" s="16"/>
      <c r="T803" s="16"/>
      <c r="U803" s="16"/>
      <c r="V803" s="16"/>
      <c r="W803" s="16"/>
      <c r="X803" s="16"/>
      <c r="Y803" s="16"/>
      <c r="Z803" s="16"/>
      <c r="AA803" s="16"/>
      <c r="AB803" s="16"/>
      <c r="AC803" s="16"/>
      <c r="AD803" s="16"/>
      <c r="AE803" s="16"/>
      <c r="AF803" s="16"/>
      <c r="AG803" s="16"/>
      <c r="AH803" s="16"/>
      <c r="AI803" s="16"/>
      <c r="AJ803" s="16"/>
    </row>
    <row r="804" ht="12.75" customHeight="1" spans="1:36" x14ac:dyDescent="0.25">
      <c r="A804" s="16"/>
      <c r="B804" s="16"/>
      <c r="C804" s="16"/>
      <c r="D804" s="16"/>
      <c r="E804" s="16"/>
      <c r="F804" s="16"/>
      <c r="G804" s="16"/>
      <c r="H804" s="16"/>
      <c r="I804" s="16"/>
      <c r="J804" s="16"/>
      <c r="K804" s="16"/>
      <c r="L804" s="16"/>
      <c r="M804" s="16"/>
      <c r="N804" s="16"/>
      <c r="O804" s="16"/>
      <c r="P804" s="16"/>
      <c r="Q804" s="16"/>
      <c r="R804" s="16"/>
      <c r="S804" s="16"/>
      <c r="T804" s="16"/>
      <c r="U804" s="16"/>
      <c r="V804" s="16"/>
      <c r="W804" s="16"/>
      <c r="X804" s="16"/>
      <c r="Y804" s="16"/>
      <c r="Z804" s="16"/>
      <c r="AA804" s="16"/>
      <c r="AB804" s="16"/>
      <c r="AC804" s="16"/>
      <c r="AD804" s="16"/>
      <c r="AE804" s="16"/>
      <c r="AF804" s="16"/>
      <c r="AG804" s="16"/>
      <c r="AH804" s="16"/>
      <c r="AI804" s="16"/>
      <c r="AJ804" s="16"/>
    </row>
    <row r="805" ht="12.75" customHeight="1" spans="1:36" x14ac:dyDescent="0.25">
      <c r="A805" s="16"/>
      <c r="B805" s="16"/>
      <c r="C805" s="16"/>
      <c r="D805" s="16"/>
      <c r="E805" s="16"/>
      <c r="F805" s="16"/>
      <c r="G805" s="16"/>
      <c r="H805" s="16"/>
      <c r="I805" s="16"/>
      <c r="J805" s="16"/>
      <c r="K805" s="16"/>
      <c r="L805" s="16"/>
      <c r="M805" s="16"/>
      <c r="N805" s="16"/>
      <c r="O805" s="16"/>
      <c r="P805" s="16"/>
      <c r="Q805" s="16"/>
      <c r="R805" s="16"/>
      <c r="S805" s="16"/>
      <c r="T805" s="16"/>
      <c r="U805" s="16"/>
      <c r="V805" s="16"/>
      <c r="W805" s="16"/>
      <c r="X805" s="16"/>
      <c r="Y805" s="16"/>
      <c r="Z805" s="16"/>
      <c r="AA805" s="16"/>
      <c r="AB805" s="16"/>
      <c r="AC805" s="16"/>
      <c r="AD805" s="16"/>
      <c r="AE805" s="16"/>
      <c r="AF805" s="16"/>
      <c r="AG805" s="16"/>
      <c r="AH805" s="16"/>
      <c r="AI805" s="16"/>
      <c r="AJ805" s="16"/>
    </row>
    <row r="806" ht="12.75" customHeight="1" spans="1:36" x14ac:dyDescent="0.25">
      <c r="A806" s="16"/>
      <c r="B806" s="16"/>
      <c r="C806" s="16"/>
      <c r="D806" s="16"/>
      <c r="E806" s="16"/>
      <c r="F806" s="16"/>
      <c r="G806" s="16"/>
      <c r="H806" s="16"/>
      <c r="I806" s="16"/>
      <c r="J806" s="16"/>
      <c r="K806" s="16"/>
      <c r="L806" s="16"/>
      <c r="M806" s="16"/>
      <c r="N806" s="16"/>
      <c r="O806" s="16"/>
      <c r="P806" s="16"/>
      <c r="Q806" s="16"/>
      <c r="R806" s="16"/>
      <c r="S806" s="16"/>
      <c r="T806" s="16"/>
      <c r="U806" s="16"/>
      <c r="V806" s="16"/>
      <c r="W806" s="16"/>
      <c r="X806" s="16"/>
      <c r="Y806" s="16"/>
      <c r="Z806" s="16"/>
      <c r="AA806" s="16"/>
      <c r="AB806" s="16"/>
      <c r="AC806" s="16"/>
      <c r="AD806" s="16"/>
      <c r="AE806" s="16"/>
      <c r="AF806" s="16"/>
      <c r="AG806" s="16"/>
      <c r="AH806" s="16"/>
      <c r="AI806" s="16"/>
      <c r="AJ806" s="16"/>
    </row>
    <row r="807" ht="12.75" customHeight="1" spans="1:36" x14ac:dyDescent="0.25">
      <c r="A807" s="16"/>
      <c r="B807" s="16"/>
      <c r="C807" s="16"/>
      <c r="D807" s="16"/>
      <c r="E807" s="16"/>
      <c r="F807" s="16"/>
      <c r="G807" s="16"/>
      <c r="H807" s="16"/>
      <c r="I807" s="16"/>
      <c r="J807" s="16"/>
      <c r="K807" s="16"/>
      <c r="L807" s="16"/>
      <c r="M807" s="16"/>
      <c r="N807" s="16"/>
      <c r="O807" s="16"/>
      <c r="P807" s="16"/>
      <c r="Q807" s="16"/>
      <c r="R807" s="16"/>
      <c r="S807" s="16"/>
      <c r="T807" s="16"/>
      <c r="U807" s="16"/>
      <c r="V807" s="16"/>
      <c r="W807" s="16"/>
      <c r="X807" s="16"/>
      <c r="Y807" s="16"/>
      <c r="Z807" s="16"/>
      <c r="AA807" s="16"/>
      <c r="AB807" s="16"/>
      <c r="AC807" s="16"/>
      <c r="AD807" s="16"/>
      <c r="AE807" s="16"/>
      <c r="AF807" s="16"/>
      <c r="AG807" s="16"/>
      <c r="AH807" s="16"/>
      <c r="AI807" s="16"/>
      <c r="AJ807" s="16"/>
    </row>
    <row r="808" ht="12.75" customHeight="1" spans="1:36" x14ac:dyDescent="0.25">
      <c r="A808" s="16"/>
      <c r="B808" s="16"/>
      <c r="C808" s="16"/>
      <c r="D808" s="16"/>
      <c r="E808" s="16"/>
      <c r="F808" s="16"/>
      <c r="G808" s="16"/>
      <c r="H808" s="16"/>
      <c r="I808" s="16"/>
      <c r="J808" s="16"/>
      <c r="K808" s="16"/>
      <c r="L808" s="16"/>
      <c r="M808" s="16"/>
      <c r="N808" s="16"/>
      <c r="O808" s="16"/>
      <c r="P808" s="16"/>
      <c r="Q808" s="16"/>
      <c r="R808" s="16"/>
      <c r="S808" s="16"/>
      <c r="T808" s="16"/>
      <c r="U808" s="16"/>
      <c r="V808" s="16"/>
      <c r="W808" s="16"/>
      <c r="X808" s="16"/>
      <c r="Y808" s="16"/>
      <c r="Z808" s="16"/>
      <c r="AA808" s="16"/>
      <c r="AB808" s="16"/>
      <c r="AC808" s="16"/>
      <c r="AD808" s="16"/>
      <c r="AE808" s="16"/>
      <c r="AF808" s="16"/>
      <c r="AG808" s="16"/>
      <c r="AH808" s="16"/>
      <c r="AI808" s="16"/>
      <c r="AJ808" s="16"/>
    </row>
    <row r="809" ht="12.75" customHeight="1" spans="1:36" x14ac:dyDescent="0.25">
      <c r="A809" s="16"/>
      <c r="B809" s="16"/>
      <c r="C809" s="16"/>
      <c r="D809" s="16"/>
      <c r="E809" s="16"/>
      <c r="F809" s="16"/>
      <c r="G809" s="16"/>
      <c r="H809" s="16"/>
      <c r="I809" s="16"/>
      <c r="J809" s="16"/>
      <c r="K809" s="16"/>
      <c r="L809" s="16"/>
      <c r="M809" s="16"/>
      <c r="N809" s="16"/>
      <c r="O809" s="16"/>
      <c r="P809" s="16"/>
      <c r="Q809" s="16"/>
      <c r="R809" s="16"/>
      <c r="S809" s="16"/>
      <c r="T809" s="16"/>
      <c r="U809" s="16"/>
      <c r="V809" s="16"/>
      <c r="W809" s="16"/>
      <c r="X809" s="16"/>
      <c r="Y809" s="16"/>
      <c r="Z809" s="16"/>
      <c r="AA809" s="16"/>
      <c r="AB809" s="16"/>
      <c r="AC809" s="16"/>
      <c r="AD809" s="16"/>
      <c r="AE809" s="16"/>
      <c r="AF809" s="16"/>
      <c r="AG809" s="16"/>
      <c r="AH809" s="16"/>
      <c r="AI809" s="16"/>
      <c r="AJ809" s="16"/>
    </row>
    <row r="810" ht="12.75" customHeight="1" spans="1:36" x14ac:dyDescent="0.25">
      <c r="A810" s="16"/>
      <c r="B810" s="16"/>
      <c r="C810" s="16"/>
      <c r="D810" s="16"/>
      <c r="E810" s="16"/>
      <c r="F810" s="16"/>
      <c r="G810" s="16"/>
      <c r="H810" s="16"/>
      <c r="I810" s="16"/>
      <c r="J810" s="16"/>
      <c r="K810" s="16"/>
      <c r="L810" s="16"/>
      <c r="M810" s="16"/>
      <c r="N810" s="16"/>
      <c r="O810" s="16"/>
      <c r="P810" s="16"/>
      <c r="Q810" s="16"/>
      <c r="R810" s="16"/>
      <c r="S810" s="16"/>
      <c r="T810" s="16"/>
      <c r="U810" s="16"/>
      <c r="V810" s="16"/>
      <c r="W810" s="16"/>
      <c r="X810" s="16"/>
      <c r="Y810" s="16"/>
      <c r="Z810" s="16"/>
      <c r="AA810" s="16"/>
      <c r="AB810" s="16"/>
      <c r="AC810" s="16"/>
      <c r="AD810" s="16"/>
      <c r="AE810" s="16"/>
      <c r="AF810" s="16"/>
      <c r="AG810" s="16"/>
      <c r="AH810" s="16"/>
      <c r="AI810" s="16"/>
      <c r="AJ810" s="16"/>
    </row>
    <row r="811" ht="12.75" customHeight="1" spans="1:36" x14ac:dyDescent="0.25">
      <c r="A811" s="16"/>
      <c r="B811" s="16"/>
      <c r="C811" s="16"/>
      <c r="D811" s="16"/>
      <c r="E811" s="16"/>
      <c r="F811" s="16"/>
      <c r="G811" s="16"/>
      <c r="H811" s="16"/>
      <c r="I811" s="16"/>
      <c r="J811" s="16"/>
      <c r="K811" s="16"/>
      <c r="L811" s="16"/>
      <c r="M811" s="16"/>
      <c r="N811" s="16"/>
      <c r="O811" s="16"/>
      <c r="P811" s="16"/>
      <c r="Q811" s="16"/>
      <c r="R811" s="16"/>
      <c r="S811" s="16"/>
      <c r="T811" s="16"/>
      <c r="U811" s="16"/>
      <c r="V811" s="16"/>
      <c r="W811" s="16"/>
      <c r="X811" s="16"/>
      <c r="Y811" s="16"/>
      <c r="Z811" s="16"/>
      <c r="AA811" s="16"/>
      <c r="AB811" s="16"/>
      <c r="AC811" s="16"/>
      <c r="AD811" s="16"/>
      <c r="AE811" s="16"/>
      <c r="AF811" s="16"/>
      <c r="AG811" s="16"/>
      <c r="AH811" s="16"/>
      <c r="AI811" s="16"/>
      <c r="AJ811" s="16"/>
    </row>
    <row r="812" ht="12.75" customHeight="1" spans="1:36" x14ac:dyDescent="0.25">
      <c r="A812" s="16"/>
      <c r="B812" s="16"/>
      <c r="C812" s="16"/>
      <c r="D812" s="16"/>
      <c r="E812" s="16"/>
      <c r="F812" s="16"/>
      <c r="G812" s="16"/>
      <c r="H812" s="16"/>
      <c r="I812" s="16"/>
      <c r="J812" s="16"/>
      <c r="K812" s="16"/>
      <c r="L812" s="16"/>
      <c r="M812" s="16"/>
      <c r="N812" s="16"/>
      <c r="O812" s="16"/>
      <c r="P812" s="16"/>
      <c r="Q812" s="16"/>
      <c r="R812" s="16"/>
      <c r="S812" s="16"/>
      <c r="T812" s="16"/>
      <c r="U812" s="16"/>
      <c r="V812" s="16"/>
      <c r="W812" s="16"/>
      <c r="X812" s="16"/>
      <c r="Y812" s="16"/>
      <c r="Z812" s="16"/>
      <c r="AA812" s="16"/>
      <c r="AB812" s="16"/>
      <c r="AC812" s="16"/>
      <c r="AD812" s="16"/>
      <c r="AE812" s="16"/>
      <c r="AF812" s="16"/>
      <c r="AG812" s="16"/>
      <c r="AH812" s="16"/>
      <c r="AI812" s="16"/>
      <c r="AJ812" s="16"/>
    </row>
    <row r="813" ht="12.75" customHeight="1" spans="1:36" x14ac:dyDescent="0.25">
      <c r="A813" s="16"/>
      <c r="B813" s="16"/>
      <c r="C813" s="16"/>
      <c r="D813" s="16"/>
      <c r="E813" s="16"/>
      <c r="F813" s="16"/>
      <c r="G813" s="16"/>
      <c r="H813" s="16"/>
      <c r="I813" s="16"/>
      <c r="J813" s="16"/>
      <c r="K813" s="16"/>
      <c r="L813" s="16"/>
      <c r="M813" s="16"/>
      <c r="N813" s="16"/>
      <c r="O813" s="16"/>
      <c r="P813" s="16"/>
      <c r="Q813" s="16"/>
      <c r="R813" s="16"/>
      <c r="S813" s="16"/>
      <c r="T813" s="16"/>
      <c r="U813" s="16"/>
      <c r="V813" s="16"/>
      <c r="W813" s="16"/>
      <c r="X813" s="16"/>
      <c r="Y813" s="16"/>
      <c r="Z813" s="16"/>
      <c r="AA813" s="16"/>
      <c r="AB813" s="16"/>
      <c r="AC813" s="16"/>
      <c r="AD813" s="16"/>
      <c r="AE813" s="16"/>
      <c r="AF813" s="16"/>
      <c r="AG813" s="16"/>
      <c r="AH813" s="16"/>
      <c r="AI813" s="16"/>
      <c r="AJ813" s="16"/>
    </row>
    <row r="814" ht="12.75" customHeight="1" spans="1:36" x14ac:dyDescent="0.25">
      <c r="A814" s="16"/>
      <c r="B814" s="16"/>
      <c r="C814" s="16"/>
      <c r="D814" s="16"/>
      <c r="E814" s="16"/>
      <c r="F814" s="16"/>
      <c r="G814" s="16"/>
      <c r="H814" s="16"/>
      <c r="I814" s="16"/>
      <c r="J814" s="16"/>
      <c r="K814" s="16"/>
      <c r="L814" s="16"/>
      <c r="M814" s="16"/>
      <c r="N814" s="16"/>
      <c r="O814" s="16"/>
      <c r="P814" s="16"/>
      <c r="Q814" s="16"/>
      <c r="R814" s="16"/>
      <c r="S814" s="16"/>
      <c r="T814" s="16"/>
      <c r="U814" s="16"/>
      <c r="V814" s="16"/>
      <c r="W814" s="16"/>
      <c r="X814" s="16"/>
      <c r="Y814" s="16"/>
      <c r="Z814" s="16"/>
      <c r="AA814" s="16"/>
      <c r="AB814" s="16"/>
      <c r="AC814" s="16"/>
      <c r="AD814" s="16"/>
      <c r="AE814" s="16"/>
      <c r="AF814" s="16"/>
      <c r="AG814" s="16"/>
      <c r="AH814" s="16"/>
      <c r="AI814" s="16"/>
      <c r="AJ814" s="16"/>
    </row>
    <row r="815" ht="12.75" customHeight="1" spans="1:36" x14ac:dyDescent="0.25">
      <c r="A815" s="16"/>
      <c r="B815" s="16"/>
      <c r="C815" s="16"/>
      <c r="D815" s="16"/>
      <c r="E815" s="16"/>
      <c r="F815" s="16"/>
      <c r="G815" s="16"/>
      <c r="H815" s="16"/>
      <c r="I815" s="16"/>
      <c r="J815" s="16"/>
      <c r="K815" s="16"/>
      <c r="L815" s="16"/>
      <c r="M815" s="16"/>
      <c r="N815" s="16"/>
      <c r="O815" s="16"/>
      <c r="P815" s="16"/>
      <c r="Q815" s="16"/>
      <c r="R815" s="16"/>
      <c r="S815" s="16"/>
      <c r="T815" s="16"/>
      <c r="U815" s="16"/>
      <c r="V815" s="16"/>
      <c r="W815" s="16"/>
      <c r="X815" s="16"/>
      <c r="Y815" s="16"/>
      <c r="Z815" s="16"/>
      <c r="AA815" s="16"/>
      <c r="AB815" s="16"/>
      <c r="AC815" s="16"/>
      <c r="AD815" s="16"/>
      <c r="AE815" s="16"/>
      <c r="AF815" s="16"/>
      <c r="AG815" s="16"/>
      <c r="AH815" s="16"/>
      <c r="AI815" s="16"/>
      <c r="AJ815" s="16"/>
    </row>
    <row r="816" ht="12.75" customHeight="1" spans="1:36" x14ac:dyDescent="0.25">
      <c r="A816" s="16"/>
      <c r="B816" s="16"/>
      <c r="C816" s="16"/>
      <c r="D816" s="16"/>
      <c r="E816" s="16"/>
      <c r="F816" s="16"/>
      <c r="G816" s="16"/>
      <c r="H816" s="16"/>
      <c r="I816" s="16"/>
      <c r="J816" s="16"/>
      <c r="K816" s="16"/>
      <c r="L816" s="16"/>
      <c r="M816" s="16"/>
      <c r="N816" s="16"/>
      <c r="O816" s="16"/>
      <c r="P816" s="16"/>
      <c r="Q816" s="16"/>
      <c r="R816" s="16"/>
      <c r="S816" s="16"/>
      <c r="T816" s="16"/>
      <c r="U816" s="16"/>
      <c r="V816" s="16"/>
      <c r="W816" s="16"/>
      <c r="X816" s="16"/>
      <c r="Y816" s="16"/>
      <c r="Z816" s="16"/>
      <c r="AA816" s="16"/>
      <c r="AB816" s="16"/>
      <c r="AC816" s="16"/>
      <c r="AD816" s="16"/>
      <c r="AE816" s="16"/>
      <c r="AF816" s="16"/>
      <c r="AG816" s="16"/>
      <c r="AH816" s="16"/>
      <c r="AI816" s="16"/>
      <c r="AJ816" s="16"/>
    </row>
    <row r="817" ht="12.75" customHeight="1" spans="1:36" x14ac:dyDescent="0.25">
      <c r="A817" s="16"/>
      <c r="B817" s="16"/>
      <c r="C817" s="16"/>
      <c r="D817" s="16"/>
      <c r="E817" s="16"/>
      <c r="F817" s="16"/>
      <c r="G817" s="16"/>
      <c r="H817" s="16"/>
      <c r="I817" s="16"/>
      <c r="J817" s="16"/>
      <c r="K817" s="16"/>
      <c r="L817" s="16"/>
      <c r="M817" s="16"/>
      <c r="N817" s="16"/>
      <c r="O817" s="16"/>
      <c r="P817" s="16"/>
      <c r="Q817" s="16"/>
      <c r="R817" s="16"/>
      <c r="S817" s="16"/>
      <c r="T817" s="16"/>
      <c r="U817" s="16"/>
      <c r="V817" s="16"/>
      <c r="W817" s="16"/>
      <c r="X817" s="16"/>
      <c r="Y817" s="16"/>
      <c r="Z817" s="16"/>
      <c r="AA817" s="16"/>
      <c r="AB817" s="16"/>
      <c r="AC817" s="16"/>
      <c r="AD817" s="16"/>
      <c r="AE817" s="16"/>
      <c r="AF817" s="16"/>
      <c r="AG817" s="16"/>
      <c r="AH817" s="16"/>
      <c r="AI817" s="16"/>
      <c r="AJ817" s="16"/>
    </row>
    <row r="818" ht="12.75" customHeight="1" spans="1:36" x14ac:dyDescent="0.25">
      <c r="A818" s="16"/>
      <c r="B818" s="16"/>
      <c r="C818" s="16"/>
      <c r="D818" s="16"/>
      <c r="E818" s="16"/>
      <c r="F818" s="16"/>
      <c r="G818" s="16"/>
      <c r="H818" s="16"/>
      <c r="I818" s="16"/>
      <c r="J818" s="16"/>
      <c r="K818" s="16"/>
      <c r="L818" s="16"/>
      <c r="M818" s="16"/>
      <c r="N818" s="16"/>
      <c r="O818" s="16"/>
      <c r="P818" s="16"/>
      <c r="Q818" s="16"/>
      <c r="R818" s="16"/>
      <c r="S818" s="16"/>
      <c r="T818" s="16"/>
      <c r="U818" s="16"/>
      <c r="V818" s="16"/>
      <c r="W818" s="16"/>
      <c r="X818" s="16"/>
      <c r="Y818" s="16"/>
      <c r="Z818" s="16"/>
      <c r="AA818" s="16"/>
      <c r="AB818" s="16"/>
      <c r="AC818" s="16"/>
      <c r="AD818" s="16"/>
      <c r="AE818" s="16"/>
      <c r="AF818" s="16"/>
      <c r="AG818" s="16"/>
      <c r="AH818" s="16"/>
      <c r="AI818" s="16"/>
      <c r="AJ818" s="16"/>
    </row>
    <row r="819" ht="12.75" customHeight="1" spans="1:36" x14ac:dyDescent="0.25">
      <c r="A819" s="16"/>
      <c r="B819" s="16"/>
      <c r="C819" s="16"/>
      <c r="D819" s="16"/>
      <c r="E819" s="16"/>
      <c r="F819" s="16"/>
      <c r="G819" s="16"/>
      <c r="H819" s="16"/>
      <c r="I819" s="16"/>
      <c r="J819" s="16"/>
      <c r="K819" s="16"/>
      <c r="L819" s="16"/>
      <c r="M819" s="16"/>
      <c r="N819" s="16"/>
      <c r="O819" s="16"/>
      <c r="P819" s="16"/>
      <c r="Q819" s="16"/>
      <c r="R819" s="16"/>
      <c r="S819" s="16"/>
      <c r="T819" s="16"/>
      <c r="U819" s="16"/>
      <c r="V819" s="16"/>
      <c r="W819" s="16"/>
      <c r="X819" s="16"/>
      <c r="Y819" s="16"/>
      <c r="Z819" s="16"/>
      <c r="AA819" s="16"/>
      <c r="AB819" s="16"/>
      <c r="AC819" s="16"/>
      <c r="AD819" s="16"/>
      <c r="AE819" s="16"/>
      <c r="AF819" s="16"/>
      <c r="AG819" s="16"/>
      <c r="AH819" s="16"/>
      <c r="AI819" s="16"/>
      <c r="AJ819" s="16"/>
    </row>
    <row r="820" ht="12.75" customHeight="1" spans="1:36" x14ac:dyDescent="0.25">
      <c r="A820" s="16"/>
      <c r="B820" s="16"/>
      <c r="C820" s="16"/>
      <c r="D820" s="16"/>
      <c r="E820" s="16"/>
      <c r="F820" s="16"/>
      <c r="G820" s="16"/>
      <c r="H820" s="16"/>
      <c r="I820" s="16"/>
      <c r="J820" s="16"/>
      <c r="K820" s="16"/>
      <c r="L820" s="16"/>
      <c r="M820" s="16"/>
      <c r="N820" s="16"/>
      <c r="O820" s="16"/>
      <c r="P820" s="16"/>
      <c r="Q820" s="16"/>
      <c r="R820" s="16"/>
      <c r="S820" s="16"/>
      <c r="T820" s="16"/>
      <c r="U820" s="16"/>
      <c r="V820" s="16"/>
      <c r="W820" s="16"/>
      <c r="X820" s="16"/>
      <c r="Y820" s="16"/>
      <c r="Z820" s="16"/>
      <c r="AA820" s="16"/>
      <c r="AB820" s="16"/>
      <c r="AC820" s="16"/>
      <c r="AD820" s="16"/>
      <c r="AE820" s="16"/>
      <c r="AF820" s="16"/>
      <c r="AG820" s="16"/>
      <c r="AH820" s="16"/>
      <c r="AI820" s="16"/>
      <c r="AJ820" s="16"/>
    </row>
    <row r="821" ht="12.75" customHeight="1" spans="1:36" x14ac:dyDescent="0.25">
      <c r="A821" s="16"/>
      <c r="B821" s="16"/>
      <c r="C821" s="16"/>
      <c r="D821" s="16"/>
      <c r="E821" s="16"/>
      <c r="F821" s="16"/>
      <c r="G821" s="16"/>
      <c r="H821" s="16"/>
      <c r="I821" s="16"/>
      <c r="J821" s="16"/>
      <c r="K821" s="16"/>
      <c r="L821" s="16"/>
      <c r="M821" s="16"/>
      <c r="N821" s="16"/>
      <c r="O821" s="16"/>
      <c r="P821" s="16"/>
      <c r="Q821" s="16"/>
      <c r="R821" s="16"/>
      <c r="S821" s="16"/>
      <c r="T821" s="16"/>
      <c r="U821" s="16"/>
      <c r="V821" s="16"/>
      <c r="W821" s="16"/>
      <c r="X821" s="16"/>
      <c r="Y821" s="16"/>
      <c r="Z821" s="16"/>
      <c r="AA821" s="16"/>
      <c r="AB821" s="16"/>
      <c r="AC821" s="16"/>
      <c r="AD821" s="16"/>
      <c r="AE821" s="16"/>
      <c r="AF821" s="16"/>
      <c r="AG821" s="16"/>
      <c r="AH821" s="16"/>
      <c r="AI821" s="16"/>
      <c r="AJ821" s="16"/>
    </row>
    <row r="822" ht="12.75" customHeight="1" spans="1:36" x14ac:dyDescent="0.25">
      <c r="A822" s="16"/>
      <c r="B822" s="16"/>
      <c r="C822" s="16"/>
      <c r="D822" s="16"/>
      <c r="E822" s="16"/>
      <c r="F822" s="16"/>
      <c r="G822" s="16"/>
      <c r="H822" s="16"/>
      <c r="I822" s="16"/>
      <c r="J822" s="16"/>
      <c r="K822" s="16"/>
      <c r="L822" s="16"/>
      <c r="M822" s="16"/>
      <c r="N822" s="16"/>
      <c r="O822" s="16"/>
      <c r="P822" s="16"/>
      <c r="Q822" s="16"/>
      <c r="R822" s="16"/>
      <c r="S822" s="16"/>
      <c r="T822" s="16"/>
      <c r="U822" s="16"/>
      <c r="V822" s="16"/>
      <c r="W822" s="16"/>
      <c r="X822" s="16"/>
      <c r="Y822" s="16"/>
      <c r="Z822" s="16"/>
      <c r="AA822" s="16"/>
      <c r="AB822" s="16"/>
      <c r="AC822" s="16"/>
      <c r="AD822" s="16"/>
      <c r="AE822" s="16"/>
      <c r="AF822" s="16"/>
      <c r="AG822" s="16"/>
      <c r="AH822" s="16"/>
      <c r="AI822" s="16"/>
      <c r="AJ822" s="16"/>
    </row>
    <row r="823" ht="12.75" customHeight="1" spans="1:36" x14ac:dyDescent="0.25">
      <c r="A823" s="16"/>
      <c r="B823" s="16"/>
      <c r="C823" s="16"/>
      <c r="D823" s="16"/>
      <c r="E823" s="16"/>
      <c r="F823" s="16"/>
      <c r="G823" s="16"/>
      <c r="H823" s="16"/>
      <c r="I823" s="16"/>
      <c r="J823" s="16"/>
      <c r="K823" s="16"/>
      <c r="L823" s="16"/>
      <c r="M823" s="16"/>
      <c r="N823" s="16"/>
      <c r="O823" s="16"/>
      <c r="P823" s="16"/>
      <c r="Q823" s="16"/>
      <c r="R823" s="16"/>
      <c r="S823" s="16"/>
      <c r="T823" s="16"/>
      <c r="U823" s="16"/>
      <c r="V823" s="16"/>
      <c r="W823" s="16"/>
      <c r="X823" s="16"/>
      <c r="Y823" s="16"/>
      <c r="Z823" s="16"/>
      <c r="AA823" s="16"/>
      <c r="AB823" s="16"/>
      <c r="AC823" s="16"/>
      <c r="AD823" s="16"/>
      <c r="AE823" s="16"/>
      <c r="AF823" s="16"/>
      <c r="AG823" s="16"/>
      <c r="AH823" s="16"/>
      <c r="AI823" s="16"/>
      <c r="AJ823" s="16"/>
    </row>
    <row r="824" ht="12.75" customHeight="1" spans="1:36" x14ac:dyDescent="0.25">
      <c r="A824" s="16"/>
      <c r="B824" s="16"/>
      <c r="C824" s="16"/>
      <c r="D824" s="16"/>
      <c r="E824" s="16"/>
      <c r="F824" s="16"/>
      <c r="G824" s="16"/>
      <c r="H824" s="16"/>
      <c r="I824" s="16"/>
      <c r="J824" s="16"/>
      <c r="K824" s="16"/>
      <c r="L824" s="16"/>
      <c r="M824" s="16"/>
      <c r="N824" s="16"/>
      <c r="O824" s="16"/>
      <c r="P824" s="16"/>
      <c r="Q824" s="16"/>
      <c r="R824" s="16"/>
      <c r="S824" s="16"/>
      <c r="T824" s="16"/>
      <c r="U824" s="16"/>
      <c r="V824" s="16"/>
      <c r="W824" s="16"/>
      <c r="X824" s="16"/>
      <c r="Y824" s="16"/>
      <c r="Z824" s="16"/>
      <c r="AA824" s="16"/>
      <c r="AB824" s="16"/>
      <c r="AC824" s="16"/>
      <c r="AD824" s="16"/>
      <c r="AE824" s="16"/>
      <c r="AF824" s="16"/>
      <c r="AG824" s="16"/>
      <c r="AH824" s="16"/>
      <c r="AI824" s="16"/>
      <c r="AJ824" s="16"/>
    </row>
    <row r="825" ht="12.75" customHeight="1" spans="1:36" x14ac:dyDescent="0.25">
      <c r="A825" s="16"/>
      <c r="B825" s="16"/>
      <c r="C825" s="16"/>
      <c r="D825" s="16"/>
      <c r="E825" s="16"/>
      <c r="F825" s="16"/>
      <c r="G825" s="16"/>
      <c r="H825" s="16"/>
      <c r="I825" s="16"/>
      <c r="J825" s="16"/>
      <c r="K825" s="16"/>
      <c r="L825" s="16"/>
      <c r="M825" s="16"/>
      <c r="N825" s="16"/>
      <c r="O825" s="16"/>
      <c r="P825" s="16"/>
      <c r="Q825" s="16"/>
      <c r="R825" s="16"/>
      <c r="S825" s="16"/>
      <c r="T825" s="16"/>
      <c r="U825" s="16"/>
      <c r="V825" s="16"/>
      <c r="W825" s="16"/>
      <c r="X825" s="16"/>
      <c r="Y825" s="16"/>
      <c r="Z825" s="16"/>
      <c r="AA825" s="16"/>
      <c r="AB825" s="16"/>
      <c r="AC825" s="16"/>
      <c r="AD825" s="16"/>
      <c r="AE825" s="16"/>
      <c r="AF825" s="16"/>
      <c r="AG825" s="16"/>
      <c r="AH825" s="16"/>
      <c r="AI825" s="16"/>
      <c r="AJ825" s="16"/>
    </row>
    <row r="826" ht="12.75" customHeight="1" spans="1:36" x14ac:dyDescent="0.25">
      <c r="A826" s="16"/>
      <c r="B826" s="16"/>
      <c r="C826" s="16"/>
      <c r="D826" s="16"/>
      <c r="E826" s="16"/>
      <c r="F826" s="16"/>
      <c r="G826" s="16"/>
      <c r="H826" s="16"/>
      <c r="I826" s="16"/>
      <c r="J826" s="16"/>
      <c r="K826" s="16"/>
      <c r="L826" s="16"/>
      <c r="M826" s="16"/>
      <c r="N826" s="16"/>
      <c r="O826" s="16"/>
      <c r="P826" s="16"/>
      <c r="Q826" s="16"/>
      <c r="R826" s="16"/>
      <c r="S826" s="16"/>
      <c r="T826" s="16"/>
      <c r="U826" s="16"/>
      <c r="V826" s="16"/>
      <c r="W826" s="16"/>
      <c r="X826" s="16"/>
      <c r="Y826" s="16"/>
      <c r="Z826" s="16"/>
      <c r="AA826" s="16"/>
      <c r="AB826" s="16"/>
      <c r="AC826" s="16"/>
      <c r="AD826" s="16"/>
      <c r="AE826" s="16"/>
      <c r="AF826" s="16"/>
      <c r="AG826" s="16"/>
      <c r="AH826" s="16"/>
      <c r="AI826" s="16"/>
      <c r="AJ826" s="16"/>
    </row>
    <row r="827" ht="12.75" customHeight="1" spans="1:36" x14ac:dyDescent="0.25">
      <c r="A827" s="16"/>
      <c r="B827" s="16"/>
      <c r="C827" s="16"/>
      <c r="D827" s="16"/>
      <c r="E827" s="16"/>
      <c r="F827" s="16"/>
      <c r="G827" s="16"/>
      <c r="H827" s="16"/>
      <c r="I827" s="16"/>
      <c r="J827" s="16"/>
      <c r="K827" s="16"/>
      <c r="L827" s="16"/>
      <c r="M827" s="16"/>
      <c r="N827" s="16"/>
      <c r="O827" s="16"/>
      <c r="P827" s="16"/>
      <c r="Q827" s="16"/>
      <c r="R827" s="16"/>
      <c r="S827" s="16"/>
      <c r="T827" s="16"/>
      <c r="U827" s="16"/>
      <c r="V827" s="16"/>
      <c r="W827" s="16"/>
      <c r="X827" s="16"/>
      <c r="Y827" s="16"/>
      <c r="Z827" s="16"/>
      <c r="AA827" s="16"/>
      <c r="AB827" s="16"/>
      <c r="AC827" s="16"/>
      <c r="AD827" s="16"/>
      <c r="AE827" s="16"/>
      <c r="AF827" s="16"/>
      <c r="AG827" s="16"/>
      <c r="AH827" s="16"/>
      <c r="AI827" s="16"/>
      <c r="AJ827" s="16"/>
    </row>
    <row r="828" ht="12.75" customHeight="1" spans="1:36" x14ac:dyDescent="0.25">
      <c r="A828" s="16"/>
      <c r="B828" s="16"/>
      <c r="C828" s="16"/>
      <c r="D828" s="16"/>
      <c r="E828" s="16"/>
      <c r="F828" s="16"/>
      <c r="G828" s="16"/>
      <c r="H828" s="16"/>
      <c r="I828" s="16"/>
      <c r="J828" s="16"/>
      <c r="K828" s="16"/>
      <c r="L828" s="16"/>
      <c r="M828" s="16"/>
      <c r="N828" s="16"/>
      <c r="O828" s="16"/>
      <c r="P828" s="16"/>
      <c r="Q828" s="16"/>
      <c r="R828" s="16"/>
      <c r="S828" s="16"/>
      <c r="T828" s="16"/>
      <c r="U828" s="16"/>
      <c r="V828" s="16"/>
      <c r="W828" s="16"/>
      <c r="X828" s="16"/>
      <c r="Y828" s="16"/>
      <c r="Z828" s="16"/>
      <c r="AA828" s="16"/>
      <c r="AB828" s="16"/>
      <c r="AC828" s="16"/>
      <c r="AD828" s="16"/>
      <c r="AE828" s="16"/>
      <c r="AF828" s="16"/>
      <c r="AG828" s="16"/>
      <c r="AH828" s="16"/>
      <c r="AI828" s="16"/>
      <c r="AJ828" s="16"/>
    </row>
    <row r="829" ht="12.75" customHeight="1" spans="1:36" x14ac:dyDescent="0.25">
      <c r="A829" s="16"/>
      <c r="B829" s="16"/>
      <c r="C829" s="16"/>
      <c r="D829" s="16"/>
      <c r="E829" s="16"/>
      <c r="F829" s="16"/>
      <c r="G829" s="16"/>
      <c r="H829" s="16"/>
      <c r="I829" s="16"/>
      <c r="J829" s="16"/>
      <c r="K829" s="16"/>
      <c r="L829" s="16"/>
      <c r="M829" s="16"/>
      <c r="N829" s="16"/>
      <c r="O829" s="16"/>
      <c r="P829" s="16"/>
      <c r="Q829" s="16"/>
      <c r="R829" s="16"/>
      <c r="S829" s="16"/>
      <c r="T829" s="16"/>
      <c r="U829" s="16"/>
      <c r="V829" s="16"/>
      <c r="W829" s="16"/>
      <c r="X829" s="16"/>
      <c r="Y829" s="16"/>
      <c r="Z829" s="16"/>
      <c r="AA829" s="16"/>
      <c r="AB829" s="16"/>
      <c r="AC829" s="16"/>
      <c r="AD829" s="16"/>
      <c r="AE829" s="16"/>
      <c r="AF829" s="16"/>
      <c r="AG829" s="16"/>
      <c r="AH829" s="16"/>
      <c r="AI829" s="16"/>
      <c r="AJ829" s="16"/>
    </row>
    <row r="830" ht="12.75" customHeight="1" spans="1:36" x14ac:dyDescent="0.25">
      <c r="A830" s="16"/>
      <c r="B830" s="16"/>
      <c r="C830" s="16"/>
      <c r="D830" s="16"/>
      <c r="E830" s="16"/>
      <c r="F830" s="16"/>
      <c r="G830" s="16"/>
      <c r="H830" s="16"/>
      <c r="I830" s="16"/>
      <c r="J830" s="16"/>
      <c r="K830" s="16"/>
      <c r="L830" s="16"/>
      <c r="M830" s="16"/>
      <c r="N830" s="16"/>
      <c r="O830" s="16"/>
      <c r="P830" s="16"/>
      <c r="Q830" s="16"/>
      <c r="R830" s="16"/>
      <c r="S830" s="16"/>
      <c r="T830" s="16"/>
      <c r="U830" s="16"/>
      <c r="V830" s="16"/>
      <c r="W830" s="16"/>
      <c r="X830" s="16"/>
      <c r="Y830" s="16"/>
      <c r="Z830" s="16"/>
      <c r="AA830" s="16"/>
      <c r="AB830" s="16"/>
      <c r="AC830" s="16"/>
      <c r="AD830" s="16"/>
      <c r="AE830" s="16"/>
      <c r="AF830" s="16"/>
      <c r="AG830" s="16"/>
      <c r="AH830" s="16"/>
      <c r="AI830" s="16"/>
      <c r="AJ830" s="16"/>
    </row>
    <row r="831" ht="12.75" customHeight="1" spans="1:36" x14ac:dyDescent="0.25">
      <c r="A831" s="16"/>
      <c r="B831" s="16"/>
      <c r="C831" s="16"/>
      <c r="D831" s="16"/>
      <c r="E831" s="16"/>
      <c r="F831" s="16"/>
      <c r="G831" s="16"/>
      <c r="H831" s="16"/>
      <c r="I831" s="16"/>
      <c r="J831" s="16"/>
      <c r="K831" s="16"/>
      <c r="L831" s="16"/>
      <c r="M831" s="16"/>
      <c r="N831" s="16"/>
      <c r="O831" s="16"/>
      <c r="P831" s="16"/>
      <c r="Q831" s="16"/>
      <c r="R831" s="16"/>
      <c r="S831" s="16"/>
      <c r="T831" s="16"/>
      <c r="U831" s="16"/>
      <c r="V831" s="16"/>
      <c r="W831" s="16"/>
      <c r="X831" s="16"/>
      <c r="Y831" s="16"/>
      <c r="Z831" s="16"/>
      <c r="AA831" s="16"/>
      <c r="AB831" s="16"/>
      <c r="AC831" s="16"/>
      <c r="AD831" s="16"/>
      <c r="AE831" s="16"/>
      <c r="AF831" s="16"/>
      <c r="AG831" s="16"/>
      <c r="AH831" s="16"/>
      <c r="AI831" s="16"/>
      <c r="AJ831" s="16"/>
    </row>
    <row r="832" ht="12.75" customHeight="1" spans="1:36" x14ac:dyDescent="0.25">
      <c r="A832" s="16"/>
      <c r="B832" s="16"/>
      <c r="C832" s="16"/>
      <c r="D832" s="16"/>
      <c r="E832" s="16"/>
      <c r="F832" s="16"/>
      <c r="G832" s="16"/>
      <c r="H832" s="16"/>
      <c r="I832" s="16"/>
      <c r="J832" s="16"/>
      <c r="K832" s="16"/>
      <c r="L832" s="16"/>
      <c r="M832" s="16"/>
      <c r="N832" s="16"/>
      <c r="O832" s="16"/>
      <c r="P832" s="16"/>
      <c r="Q832" s="16"/>
      <c r="R832" s="16"/>
      <c r="S832" s="16"/>
      <c r="T832" s="16"/>
      <c r="U832" s="16"/>
      <c r="V832" s="16"/>
      <c r="W832" s="16"/>
      <c r="X832" s="16"/>
      <c r="Y832" s="16"/>
      <c r="Z832" s="16"/>
      <c r="AA832" s="16"/>
      <c r="AB832" s="16"/>
      <c r="AC832" s="16"/>
      <c r="AD832" s="16"/>
      <c r="AE832" s="16"/>
      <c r="AF832" s="16"/>
      <c r="AG832" s="16"/>
      <c r="AH832" s="16"/>
      <c r="AI832" s="16"/>
      <c r="AJ832" s="16"/>
    </row>
    <row r="833" ht="12.75" customHeight="1" spans="1:36" x14ac:dyDescent="0.25">
      <c r="A833" s="16"/>
      <c r="B833" s="16"/>
      <c r="C833" s="16"/>
      <c r="D833" s="16"/>
      <c r="E833" s="16"/>
      <c r="F833" s="16"/>
      <c r="G833" s="16"/>
      <c r="H833" s="16"/>
      <c r="I833" s="16"/>
      <c r="J833" s="16"/>
      <c r="K833" s="16"/>
      <c r="L833" s="16"/>
      <c r="M833" s="16"/>
      <c r="N833" s="16"/>
      <c r="O833" s="16"/>
      <c r="P833" s="16"/>
      <c r="Q833" s="16"/>
      <c r="R833" s="16"/>
      <c r="S833" s="16"/>
      <c r="T833" s="16"/>
      <c r="U833" s="16"/>
      <c r="V833" s="16"/>
      <c r="W833" s="16"/>
      <c r="X833" s="16"/>
      <c r="Y833" s="16"/>
      <c r="Z833" s="16"/>
      <c r="AA833" s="16"/>
      <c r="AB833" s="16"/>
      <c r="AC833" s="16"/>
      <c r="AD833" s="16"/>
      <c r="AE833" s="16"/>
      <c r="AF833" s="16"/>
      <c r="AG833" s="16"/>
      <c r="AH833" s="16"/>
      <c r="AI833" s="16"/>
      <c r="AJ833" s="16"/>
    </row>
    <row r="834" ht="12.75" customHeight="1" spans="1:36" x14ac:dyDescent="0.25">
      <c r="A834" s="16"/>
      <c r="B834" s="16"/>
      <c r="C834" s="16"/>
      <c r="D834" s="16"/>
      <c r="E834" s="16"/>
      <c r="F834" s="16"/>
      <c r="G834" s="16"/>
      <c r="H834" s="16"/>
      <c r="I834" s="16"/>
      <c r="J834" s="16"/>
      <c r="K834" s="16"/>
      <c r="L834" s="16"/>
      <c r="M834" s="16"/>
      <c r="N834" s="16"/>
      <c r="O834" s="16"/>
      <c r="P834" s="16"/>
      <c r="Q834" s="16"/>
      <c r="R834" s="16"/>
      <c r="S834" s="16"/>
      <c r="T834" s="16"/>
      <c r="U834" s="16"/>
      <c r="V834" s="16"/>
      <c r="W834" s="16"/>
      <c r="X834" s="16"/>
      <c r="Y834" s="16"/>
      <c r="Z834" s="16"/>
      <c r="AA834" s="16"/>
      <c r="AB834" s="16"/>
      <c r="AC834" s="16"/>
      <c r="AD834" s="16"/>
      <c r="AE834" s="16"/>
      <c r="AF834" s="16"/>
      <c r="AG834" s="16"/>
      <c r="AH834" s="16"/>
      <c r="AI834" s="16"/>
      <c r="AJ834" s="16"/>
    </row>
    <row r="835" ht="12.75" customHeight="1" spans="1:36" x14ac:dyDescent="0.25">
      <c r="A835" s="16"/>
      <c r="B835" s="16"/>
      <c r="C835" s="16"/>
      <c r="D835" s="16"/>
      <c r="E835" s="16"/>
      <c r="F835" s="16"/>
      <c r="G835" s="16"/>
      <c r="H835" s="16"/>
      <c r="I835" s="16"/>
      <c r="J835" s="16"/>
      <c r="K835" s="16"/>
      <c r="L835" s="16"/>
      <c r="M835" s="16"/>
      <c r="N835" s="16"/>
      <c r="O835" s="16"/>
      <c r="P835" s="16"/>
      <c r="Q835" s="16"/>
      <c r="R835" s="16"/>
      <c r="S835" s="16"/>
      <c r="T835" s="16"/>
      <c r="U835" s="16"/>
      <c r="V835" s="16"/>
      <c r="W835" s="16"/>
      <c r="X835" s="16"/>
      <c r="Y835" s="16"/>
      <c r="Z835" s="16"/>
      <c r="AA835" s="16"/>
      <c r="AB835" s="16"/>
      <c r="AC835" s="16"/>
      <c r="AD835" s="16"/>
      <c r="AE835" s="16"/>
      <c r="AF835" s="16"/>
      <c r="AG835" s="16"/>
      <c r="AH835" s="16"/>
      <c r="AI835" s="16"/>
      <c r="AJ835" s="16"/>
    </row>
    <row r="836" ht="12.75" customHeight="1" spans="1:36" x14ac:dyDescent="0.25">
      <c r="A836" s="16"/>
      <c r="B836" s="16"/>
      <c r="C836" s="16"/>
      <c r="D836" s="16"/>
      <c r="E836" s="16"/>
      <c r="F836" s="16"/>
      <c r="G836" s="16"/>
      <c r="H836" s="16"/>
      <c r="I836" s="16"/>
      <c r="J836" s="16"/>
      <c r="K836" s="16"/>
      <c r="L836" s="16"/>
      <c r="M836" s="16"/>
      <c r="N836" s="16"/>
      <c r="O836" s="16"/>
      <c r="P836" s="16"/>
      <c r="Q836" s="16"/>
      <c r="R836" s="16"/>
      <c r="S836" s="16"/>
      <c r="T836" s="16"/>
      <c r="U836" s="16"/>
      <c r="V836" s="16"/>
      <c r="W836" s="16"/>
      <c r="X836" s="16"/>
      <c r="Y836" s="16"/>
      <c r="Z836" s="16"/>
      <c r="AA836" s="16"/>
      <c r="AB836" s="16"/>
      <c r="AC836" s="16"/>
      <c r="AD836" s="16"/>
      <c r="AE836" s="16"/>
      <c r="AF836" s="16"/>
      <c r="AG836" s="16"/>
      <c r="AH836" s="16"/>
      <c r="AI836" s="16"/>
      <c r="AJ836" s="16"/>
    </row>
    <row r="837" ht="12.75" customHeight="1" spans="1:36" x14ac:dyDescent="0.25">
      <c r="A837" s="16"/>
      <c r="B837" s="16"/>
      <c r="C837" s="16"/>
      <c r="D837" s="16"/>
      <c r="E837" s="16"/>
      <c r="F837" s="16"/>
      <c r="G837" s="16"/>
      <c r="H837" s="16"/>
      <c r="I837" s="16"/>
      <c r="J837" s="16"/>
      <c r="K837" s="16"/>
      <c r="L837" s="16"/>
      <c r="M837" s="16"/>
      <c r="N837" s="16"/>
      <c r="O837" s="16"/>
      <c r="P837" s="16"/>
      <c r="Q837" s="16"/>
      <c r="R837" s="16"/>
      <c r="S837" s="16"/>
      <c r="T837" s="16"/>
      <c r="U837" s="16"/>
      <c r="V837" s="16"/>
      <c r="W837" s="16"/>
      <c r="X837" s="16"/>
      <c r="Y837" s="16"/>
      <c r="Z837" s="16"/>
      <c r="AA837" s="16"/>
      <c r="AB837" s="16"/>
      <c r="AC837" s="16"/>
      <c r="AD837" s="16"/>
      <c r="AE837" s="16"/>
      <c r="AF837" s="16"/>
      <c r="AG837" s="16"/>
      <c r="AH837" s="16"/>
      <c r="AI837" s="16"/>
      <c r="AJ837" s="16"/>
    </row>
    <row r="838" ht="12.75" customHeight="1" spans="1:36" x14ac:dyDescent="0.25">
      <c r="A838" s="16"/>
      <c r="B838" s="16"/>
      <c r="C838" s="16"/>
      <c r="D838" s="16"/>
      <c r="E838" s="16"/>
      <c r="F838" s="16"/>
      <c r="G838" s="16"/>
      <c r="H838" s="16"/>
      <c r="I838" s="16"/>
      <c r="J838" s="16"/>
      <c r="K838" s="16"/>
      <c r="L838" s="16"/>
      <c r="M838" s="16"/>
      <c r="N838" s="16"/>
      <c r="O838" s="16"/>
      <c r="P838" s="16"/>
      <c r="Q838" s="16"/>
      <c r="R838" s="16"/>
      <c r="S838" s="16"/>
      <c r="T838" s="16"/>
      <c r="U838" s="16"/>
      <c r="V838" s="16"/>
      <c r="W838" s="16"/>
      <c r="X838" s="16"/>
      <c r="Y838" s="16"/>
      <c r="Z838" s="16"/>
      <c r="AA838" s="16"/>
      <c r="AB838" s="16"/>
      <c r="AC838" s="16"/>
      <c r="AD838" s="16"/>
      <c r="AE838" s="16"/>
      <c r="AF838" s="16"/>
      <c r="AG838" s="16"/>
      <c r="AH838" s="16"/>
      <c r="AI838" s="16"/>
      <c r="AJ838" s="16"/>
    </row>
    <row r="839" ht="12.75" customHeight="1" spans="1:36" x14ac:dyDescent="0.25">
      <c r="A839" s="16"/>
      <c r="B839" s="16"/>
      <c r="C839" s="16"/>
      <c r="D839" s="16"/>
      <c r="E839" s="16"/>
      <c r="F839" s="16"/>
      <c r="G839" s="16"/>
      <c r="H839" s="16"/>
      <c r="I839" s="16"/>
      <c r="J839" s="16"/>
      <c r="K839" s="16"/>
      <c r="L839" s="16"/>
      <c r="M839" s="16"/>
      <c r="N839" s="16"/>
      <c r="O839" s="16"/>
      <c r="P839" s="16"/>
      <c r="Q839" s="16"/>
      <c r="R839" s="16"/>
      <c r="S839" s="16"/>
      <c r="T839" s="16"/>
      <c r="U839" s="16"/>
      <c r="V839" s="16"/>
      <c r="W839" s="16"/>
      <c r="X839" s="16"/>
      <c r="Y839" s="16"/>
      <c r="Z839" s="16"/>
      <c r="AA839" s="16"/>
      <c r="AB839" s="16"/>
      <c r="AC839" s="16"/>
      <c r="AD839" s="16"/>
      <c r="AE839" s="16"/>
      <c r="AF839" s="16"/>
      <c r="AG839" s="16"/>
      <c r="AH839" s="16"/>
      <c r="AI839" s="16"/>
      <c r="AJ839" s="16"/>
    </row>
    <row r="840" ht="12.75" customHeight="1" spans="1:36" x14ac:dyDescent="0.25">
      <c r="A840" s="16"/>
      <c r="B840" s="16"/>
      <c r="C840" s="16"/>
      <c r="D840" s="16"/>
      <c r="E840" s="16"/>
      <c r="F840" s="16"/>
      <c r="G840" s="16"/>
      <c r="H840" s="16"/>
      <c r="I840" s="16"/>
      <c r="J840" s="16"/>
      <c r="K840" s="16"/>
      <c r="L840" s="16"/>
      <c r="M840" s="16"/>
      <c r="N840" s="16"/>
      <c r="O840" s="16"/>
      <c r="P840" s="16"/>
      <c r="Q840" s="16"/>
      <c r="R840" s="16"/>
      <c r="S840" s="16"/>
      <c r="T840" s="16"/>
      <c r="U840" s="16"/>
      <c r="V840" s="16"/>
      <c r="W840" s="16"/>
      <c r="X840" s="16"/>
      <c r="Y840" s="16"/>
      <c r="Z840" s="16"/>
      <c r="AA840" s="16"/>
      <c r="AB840" s="16"/>
      <c r="AC840" s="16"/>
      <c r="AD840" s="16"/>
      <c r="AE840" s="16"/>
      <c r="AF840" s="16"/>
      <c r="AG840" s="16"/>
      <c r="AH840" s="16"/>
      <c r="AI840" s="16"/>
      <c r="AJ840" s="16"/>
    </row>
    <row r="841" ht="12.75" customHeight="1" spans="1:36" x14ac:dyDescent="0.25">
      <c r="A841" s="16"/>
      <c r="B841" s="16"/>
      <c r="C841" s="16"/>
      <c r="D841" s="16"/>
      <c r="E841" s="16"/>
      <c r="F841" s="16"/>
      <c r="G841" s="16"/>
      <c r="H841" s="16"/>
      <c r="I841" s="16"/>
      <c r="J841" s="16"/>
      <c r="K841" s="16"/>
      <c r="L841" s="16"/>
      <c r="M841" s="16"/>
      <c r="N841" s="16"/>
      <c r="O841" s="16"/>
      <c r="P841" s="16"/>
      <c r="Q841" s="16"/>
      <c r="R841" s="16"/>
      <c r="S841" s="16"/>
      <c r="T841" s="16"/>
      <c r="U841" s="16"/>
      <c r="V841" s="16"/>
      <c r="W841" s="16"/>
      <c r="X841" s="16"/>
      <c r="Y841" s="16"/>
      <c r="Z841" s="16"/>
      <c r="AA841" s="16"/>
      <c r="AB841" s="16"/>
      <c r="AC841" s="16"/>
      <c r="AD841" s="16"/>
      <c r="AE841" s="16"/>
      <c r="AF841" s="16"/>
      <c r="AG841" s="16"/>
      <c r="AH841" s="16"/>
      <c r="AI841" s="16"/>
      <c r="AJ841" s="16"/>
    </row>
    <row r="842" ht="12.75" customHeight="1" spans="1:36" x14ac:dyDescent="0.25">
      <c r="A842" s="16"/>
      <c r="B842" s="16"/>
      <c r="C842" s="16"/>
      <c r="D842" s="16"/>
      <c r="E842" s="16"/>
      <c r="F842" s="16"/>
      <c r="G842" s="16"/>
      <c r="H842" s="16"/>
      <c r="I842" s="16"/>
      <c r="J842" s="16"/>
      <c r="K842" s="16"/>
      <c r="L842" s="16"/>
      <c r="M842" s="16"/>
      <c r="N842" s="16"/>
      <c r="O842" s="16"/>
      <c r="P842" s="16"/>
      <c r="Q842" s="16"/>
      <c r="R842" s="16"/>
      <c r="S842" s="16"/>
      <c r="T842" s="16"/>
      <c r="U842" s="16"/>
      <c r="V842" s="16"/>
      <c r="W842" s="16"/>
      <c r="X842" s="16"/>
      <c r="Y842" s="16"/>
      <c r="Z842" s="16"/>
      <c r="AA842" s="16"/>
      <c r="AB842" s="16"/>
      <c r="AC842" s="16"/>
      <c r="AD842" s="16"/>
      <c r="AE842" s="16"/>
      <c r="AF842" s="16"/>
      <c r="AG842" s="16"/>
      <c r="AH842" s="16"/>
      <c r="AI842" s="16"/>
      <c r="AJ842" s="16"/>
    </row>
    <row r="843" ht="12.75" customHeight="1" spans="1:36" x14ac:dyDescent="0.25">
      <c r="A843" s="16"/>
      <c r="B843" s="16"/>
      <c r="C843" s="16"/>
      <c r="D843" s="16"/>
      <c r="E843" s="16"/>
      <c r="F843" s="16"/>
      <c r="G843" s="16"/>
      <c r="H843" s="16"/>
      <c r="I843" s="16"/>
      <c r="J843" s="16"/>
      <c r="K843" s="16"/>
      <c r="L843" s="16"/>
      <c r="M843" s="16"/>
      <c r="N843" s="16"/>
      <c r="O843" s="16"/>
      <c r="P843" s="16"/>
      <c r="Q843" s="16"/>
      <c r="R843" s="16"/>
      <c r="S843" s="16"/>
      <c r="T843" s="16"/>
      <c r="U843" s="16"/>
      <c r="V843" s="16"/>
      <c r="W843" s="16"/>
      <c r="X843" s="16"/>
      <c r="Y843" s="16"/>
      <c r="Z843" s="16"/>
      <c r="AA843" s="16"/>
      <c r="AB843" s="16"/>
      <c r="AC843" s="16"/>
      <c r="AD843" s="16"/>
      <c r="AE843" s="16"/>
      <c r="AF843" s="16"/>
      <c r="AG843" s="16"/>
      <c r="AH843" s="16"/>
      <c r="AI843" s="16"/>
      <c r="AJ843" s="16"/>
    </row>
    <row r="844" ht="12.75" customHeight="1" spans="1:36" x14ac:dyDescent="0.25">
      <c r="A844" s="16"/>
      <c r="B844" s="16"/>
      <c r="C844" s="16"/>
      <c r="D844" s="16"/>
      <c r="E844" s="16"/>
      <c r="F844" s="16"/>
      <c r="G844" s="16"/>
      <c r="H844" s="16"/>
      <c r="I844" s="16"/>
      <c r="J844" s="16"/>
      <c r="K844" s="16"/>
      <c r="L844" s="16"/>
      <c r="M844" s="16"/>
      <c r="N844" s="16"/>
      <c r="O844" s="16"/>
      <c r="P844" s="16"/>
      <c r="Q844" s="16"/>
      <c r="R844" s="16"/>
      <c r="S844" s="16"/>
      <c r="T844" s="16"/>
      <c r="U844" s="16"/>
      <c r="V844" s="16"/>
      <c r="W844" s="16"/>
      <c r="X844" s="16"/>
      <c r="Y844" s="16"/>
      <c r="Z844" s="16"/>
      <c r="AA844" s="16"/>
      <c r="AB844" s="16"/>
      <c r="AC844" s="16"/>
      <c r="AD844" s="16"/>
      <c r="AE844" s="16"/>
      <c r="AF844" s="16"/>
      <c r="AG844" s="16"/>
      <c r="AH844" s="16"/>
      <c r="AI844" s="16"/>
      <c r="AJ844" s="16"/>
    </row>
    <row r="845" ht="12.75" customHeight="1" spans="1:36" x14ac:dyDescent="0.25">
      <c r="A845" s="16"/>
      <c r="B845" s="16"/>
      <c r="C845" s="16"/>
      <c r="D845" s="16"/>
      <c r="E845" s="16"/>
      <c r="F845" s="16"/>
      <c r="G845" s="16"/>
      <c r="H845" s="16"/>
      <c r="I845" s="16"/>
      <c r="J845" s="16"/>
      <c r="K845" s="16"/>
      <c r="L845" s="16"/>
      <c r="M845" s="16"/>
      <c r="N845" s="16"/>
      <c r="O845" s="16"/>
      <c r="P845" s="16"/>
      <c r="Q845" s="16"/>
      <c r="R845" s="16"/>
      <c r="S845" s="16"/>
      <c r="T845" s="16"/>
      <c r="U845" s="16"/>
      <c r="V845" s="16"/>
      <c r="W845" s="16"/>
      <c r="X845" s="16"/>
      <c r="Y845" s="16"/>
      <c r="Z845" s="16"/>
      <c r="AA845" s="16"/>
      <c r="AB845" s="16"/>
      <c r="AC845" s="16"/>
      <c r="AD845" s="16"/>
      <c r="AE845" s="16"/>
      <c r="AF845" s="16"/>
      <c r="AG845" s="16"/>
      <c r="AH845" s="16"/>
      <c r="AI845" s="16"/>
      <c r="AJ845" s="16"/>
    </row>
    <row r="846" ht="12.75" customHeight="1" spans="1:36" x14ac:dyDescent="0.25">
      <c r="A846" s="16"/>
      <c r="B846" s="16"/>
      <c r="C846" s="16"/>
      <c r="D846" s="16"/>
      <c r="E846" s="16"/>
      <c r="F846" s="16"/>
      <c r="G846" s="16"/>
      <c r="H846" s="16"/>
      <c r="I846" s="16"/>
      <c r="J846" s="16"/>
      <c r="K846" s="16"/>
      <c r="L846" s="16"/>
      <c r="M846" s="16"/>
      <c r="N846" s="16"/>
      <c r="O846" s="16"/>
      <c r="P846" s="16"/>
      <c r="Q846" s="16"/>
      <c r="R846" s="16"/>
      <c r="S846" s="16"/>
      <c r="T846" s="16"/>
      <c r="U846" s="16"/>
      <c r="V846" s="16"/>
      <c r="W846" s="16"/>
      <c r="X846" s="16"/>
      <c r="Y846" s="16"/>
      <c r="Z846" s="16"/>
      <c r="AA846" s="16"/>
      <c r="AB846" s="16"/>
      <c r="AC846" s="16"/>
      <c r="AD846" s="16"/>
      <c r="AE846" s="16"/>
      <c r="AF846" s="16"/>
      <c r="AG846" s="16"/>
      <c r="AH846" s="16"/>
      <c r="AI846" s="16"/>
      <c r="AJ846" s="16"/>
    </row>
    <row r="847" ht="12.75" customHeight="1" spans="1:36" x14ac:dyDescent="0.25">
      <c r="A847" s="16"/>
      <c r="B847" s="16"/>
      <c r="C847" s="16"/>
      <c r="D847" s="16"/>
      <c r="E847" s="16"/>
      <c r="F847" s="16"/>
      <c r="G847" s="16"/>
      <c r="H847" s="16"/>
      <c r="I847" s="16"/>
      <c r="J847" s="16"/>
      <c r="K847" s="16"/>
      <c r="L847" s="16"/>
      <c r="M847" s="16"/>
      <c r="N847" s="16"/>
      <c r="O847" s="16"/>
      <c r="P847" s="16"/>
      <c r="Q847" s="16"/>
      <c r="R847" s="16"/>
      <c r="S847" s="16"/>
      <c r="T847" s="16"/>
      <c r="U847" s="16"/>
      <c r="V847" s="16"/>
      <c r="W847" s="16"/>
      <c r="X847" s="16"/>
      <c r="Y847" s="16"/>
      <c r="Z847" s="16"/>
      <c r="AA847" s="16"/>
      <c r="AB847" s="16"/>
      <c r="AC847" s="16"/>
      <c r="AD847" s="16"/>
      <c r="AE847" s="16"/>
      <c r="AF847" s="16"/>
      <c r="AG847" s="16"/>
      <c r="AH847" s="16"/>
      <c r="AI847" s="16"/>
      <c r="AJ847" s="16"/>
    </row>
    <row r="848" ht="12.75" customHeight="1" spans="1:36" x14ac:dyDescent="0.25">
      <c r="A848" s="16"/>
      <c r="B848" s="16"/>
      <c r="C848" s="16"/>
      <c r="D848" s="16"/>
      <c r="E848" s="16"/>
      <c r="F848" s="16"/>
      <c r="G848" s="16"/>
      <c r="H848" s="16"/>
      <c r="I848" s="16"/>
      <c r="J848" s="16"/>
      <c r="K848" s="16"/>
      <c r="L848" s="16"/>
      <c r="M848" s="16"/>
      <c r="N848" s="16"/>
      <c r="O848" s="16"/>
      <c r="P848" s="16"/>
      <c r="Q848" s="16"/>
      <c r="R848" s="16"/>
      <c r="S848" s="16"/>
      <c r="T848" s="16"/>
      <c r="U848" s="16"/>
      <c r="V848" s="16"/>
      <c r="W848" s="16"/>
      <c r="X848" s="16"/>
      <c r="Y848" s="16"/>
      <c r="Z848" s="16"/>
      <c r="AA848" s="16"/>
      <c r="AB848" s="16"/>
      <c r="AC848" s="16"/>
      <c r="AD848" s="16"/>
      <c r="AE848" s="16"/>
      <c r="AF848" s="16"/>
      <c r="AG848" s="16"/>
      <c r="AH848" s="16"/>
      <c r="AI848" s="16"/>
      <c r="AJ848" s="16"/>
    </row>
    <row r="849" ht="12.75" customHeight="1" spans="1:36" x14ac:dyDescent="0.25">
      <c r="A849" s="16"/>
      <c r="B849" s="16"/>
      <c r="C849" s="16"/>
      <c r="D849" s="16"/>
      <c r="E849" s="16"/>
      <c r="F849" s="16"/>
      <c r="G849" s="16"/>
      <c r="H849" s="16"/>
      <c r="I849" s="16"/>
      <c r="J849" s="16"/>
      <c r="K849" s="16"/>
      <c r="L849" s="16"/>
      <c r="M849" s="16"/>
      <c r="N849" s="16"/>
      <c r="O849" s="16"/>
      <c r="P849" s="16"/>
      <c r="Q849" s="16"/>
      <c r="R849" s="16"/>
      <c r="S849" s="16"/>
      <c r="T849" s="16"/>
      <c r="U849" s="16"/>
      <c r="V849" s="16"/>
      <c r="W849" s="16"/>
      <c r="X849" s="16"/>
      <c r="Y849" s="16"/>
      <c r="Z849" s="16"/>
      <c r="AA849" s="16"/>
      <c r="AB849" s="16"/>
      <c r="AC849" s="16"/>
      <c r="AD849" s="16"/>
      <c r="AE849" s="16"/>
      <c r="AF849" s="16"/>
      <c r="AG849" s="16"/>
      <c r="AH849" s="16"/>
      <c r="AI849" s="16"/>
      <c r="AJ849" s="16"/>
    </row>
    <row r="850" ht="12.75" customHeight="1" spans="1:36" x14ac:dyDescent="0.25">
      <c r="A850" s="16"/>
      <c r="B850" s="16"/>
      <c r="C850" s="16"/>
      <c r="D850" s="16"/>
      <c r="E850" s="16"/>
      <c r="F850" s="16"/>
      <c r="G850" s="16"/>
      <c r="H850" s="16"/>
      <c r="I850" s="16"/>
      <c r="J850" s="16"/>
      <c r="K850" s="16"/>
      <c r="L850" s="16"/>
      <c r="M850" s="16"/>
      <c r="N850" s="16"/>
      <c r="O850" s="16"/>
      <c r="P850" s="16"/>
      <c r="Q850" s="16"/>
      <c r="R850" s="16"/>
      <c r="S850" s="16"/>
      <c r="T850" s="16"/>
      <c r="U850" s="16"/>
      <c r="V850" s="16"/>
      <c r="W850" s="16"/>
      <c r="X850" s="16"/>
      <c r="Y850" s="16"/>
      <c r="Z850" s="16"/>
      <c r="AA850" s="16"/>
      <c r="AB850" s="16"/>
      <c r="AC850" s="16"/>
      <c r="AD850" s="16"/>
      <c r="AE850" s="16"/>
      <c r="AF850" s="16"/>
      <c r="AG850" s="16"/>
      <c r="AH850" s="16"/>
      <c r="AI850" s="16"/>
      <c r="AJ850" s="16"/>
    </row>
    <row r="851" ht="12.75" customHeight="1" spans="1:36" x14ac:dyDescent="0.25">
      <c r="A851" s="16"/>
      <c r="B851" s="16"/>
      <c r="C851" s="16"/>
      <c r="D851" s="16"/>
      <c r="E851" s="16"/>
      <c r="F851" s="16"/>
      <c r="G851" s="16"/>
      <c r="H851" s="16"/>
      <c r="I851" s="16"/>
      <c r="J851" s="16"/>
      <c r="K851" s="16"/>
      <c r="L851" s="16"/>
      <c r="M851" s="16"/>
      <c r="N851" s="16"/>
      <c r="O851" s="16"/>
      <c r="P851" s="16"/>
      <c r="Q851" s="16"/>
      <c r="R851" s="16"/>
      <c r="S851" s="16"/>
      <c r="T851" s="16"/>
      <c r="U851" s="16"/>
      <c r="V851" s="16"/>
      <c r="W851" s="16"/>
      <c r="X851" s="16"/>
      <c r="Y851" s="16"/>
      <c r="Z851" s="16"/>
      <c r="AA851" s="16"/>
      <c r="AB851" s="16"/>
      <c r="AC851" s="16"/>
      <c r="AD851" s="16"/>
      <c r="AE851" s="16"/>
      <c r="AF851" s="16"/>
      <c r="AG851" s="16"/>
      <c r="AH851" s="16"/>
      <c r="AI851" s="16"/>
      <c r="AJ851" s="16"/>
    </row>
    <row r="852" ht="12.75" customHeight="1" spans="1:36" x14ac:dyDescent="0.25">
      <c r="A852" s="16"/>
      <c r="B852" s="16"/>
      <c r="C852" s="16"/>
      <c r="D852" s="16"/>
      <c r="E852" s="16"/>
      <c r="F852" s="16"/>
      <c r="G852" s="16"/>
      <c r="H852" s="16"/>
      <c r="I852" s="16"/>
      <c r="J852" s="16"/>
      <c r="K852" s="16"/>
      <c r="L852" s="16"/>
      <c r="M852" s="16"/>
      <c r="N852" s="16"/>
      <c r="O852" s="16"/>
      <c r="P852" s="16"/>
      <c r="Q852" s="16"/>
      <c r="R852" s="16"/>
      <c r="S852" s="16"/>
      <c r="T852" s="16"/>
      <c r="U852" s="16"/>
      <c r="V852" s="16"/>
      <c r="W852" s="16"/>
      <c r="X852" s="16"/>
      <c r="Y852" s="16"/>
      <c r="Z852" s="16"/>
      <c r="AA852" s="16"/>
      <c r="AB852" s="16"/>
      <c r="AC852" s="16"/>
      <c r="AD852" s="16"/>
      <c r="AE852" s="16"/>
      <c r="AF852" s="16"/>
      <c r="AG852" s="16"/>
      <c r="AH852" s="16"/>
      <c r="AI852" s="16"/>
      <c r="AJ852" s="16"/>
    </row>
    <row r="853" ht="12.75" customHeight="1" spans="1:36" x14ac:dyDescent="0.25">
      <c r="A853" s="16"/>
      <c r="B853" s="16"/>
      <c r="C853" s="16"/>
      <c r="D853" s="16"/>
      <c r="E853" s="16"/>
      <c r="F853" s="16"/>
      <c r="G853" s="16"/>
      <c r="H853" s="16"/>
      <c r="I853" s="16"/>
      <c r="J853" s="16"/>
      <c r="K853" s="16"/>
      <c r="L853" s="16"/>
      <c r="M853" s="16"/>
      <c r="N853" s="16"/>
      <c r="O853" s="16"/>
      <c r="P853" s="16"/>
      <c r="Q853" s="16"/>
      <c r="R853" s="16"/>
      <c r="S853" s="16"/>
      <c r="T853" s="16"/>
      <c r="U853" s="16"/>
      <c r="V853" s="16"/>
      <c r="W853" s="16"/>
      <c r="X853" s="16"/>
      <c r="Y853" s="16"/>
      <c r="Z853" s="16"/>
      <c r="AA853" s="16"/>
      <c r="AB853" s="16"/>
      <c r="AC853" s="16"/>
      <c r="AD853" s="16"/>
      <c r="AE853" s="16"/>
      <c r="AF853" s="16"/>
      <c r="AG853" s="16"/>
      <c r="AH853" s="16"/>
      <c r="AI853" s="16"/>
      <c r="AJ853" s="16"/>
    </row>
    <row r="854" ht="12.75" customHeight="1" spans="1:36" x14ac:dyDescent="0.25">
      <c r="A854" s="16"/>
      <c r="B854" s="16"/>
      <c r="C854" s="16"/>
      <c r="D854" s="16"/>
      <c r="E854" s="16"/>
      <c r="F854" s="16"/>
      <c r="G854" s="16"/>
      <c r="H854" s="16"/>
      <c r="I854" s="16"/>
      <c r="J854" s="16"/>
      <c r="K854" s="16"/>
      <c r="L854" s="16"/>
      <c r="M854" s="16"/>
      <c r="N854" s="16"/>
      <c r="O854" s="16"/>
      <c r="P854" s="16"/>
      <c r="Q854" s="16"/>
      <c r="R854" s="16"/>
      <c r="S854" s="16"/>
      <c r="T854" s="16"/>
      <c r="U854" s="16"/>
      <c r="V854" s="16"/>
      <c r="W854" s="16"/>
      <c r="X854" s="16"/>
      <c r="Y854" s="16"/>
      <c r="Z854" s="16"/>
      <c r="AA854" s="16"/>
      <c r="AB854" s="16"/>
      <c r="AC854" s="16"/>
      <c r="AD854" s="16"/>
      <c r="AE854" s="16"/>
      <c r="AF854" s="16"/>
      <c r="AG854" s="16"/>
      <c r="AH854" s="16"/>
      <c r="AI854" s="16"/>
      <c r="AJ854" s="16"/>
    </row>
    <row r="855" ht="12.75" customHeight="1" spans="1:36" x14ac:dyDescent="0.25">
      <c r="A855" s="16"/>
      <c r="B855" s="16"/>
      <c r="C855" s="16"/>
      <c r="D855" s="16"/>
      <c r="E855" s="16"/>
      <c r="F855" s="16"/>
      <c r="G855" s="16"/>
      <c r="H855" s="16"/>
      <c r="I855" s="16"/>
      <c r="J855" s="16"/>
      <c r="K855" s="16"/>
      <c r="L855" s="16"/>
      <c r="M855" s="16"/>
      <c r="N855" s="16"/>
      <c r="O855" s="16"/>
      <c r="P855" s="16"/>
      <c r="Q855" s="16"/>
      <c r="R855" s="16"/>
      <c r="S855" s="16"/>
      <c r="T855" s="16"/>
      <c r="U855" s="16"/>
      <c r="V855" s="16"/>
      <c r="W855" s="16"/>
      <c r="X855" s="16"/>
      <c r="Y855" s="16"/>
      <c r="Z855" s="16"/>
      <c r="AA855" s="16"/>
      <c r="AB855" s="16"/>
      <c r="AC855" s="16"/>
      <c r="AD855" s="16"/>
      <c r="AE855" s="16"/>
      <c r="AF855" s="16"/>
      <c r="AG855" s="16"/>
      <c r="AH855" s="16"/>
      <c r="AI855" s="16"/>
      <c r="AJ855" s="16"/>
    </row>
    <row r="856" ht="12.75" customHeight="1" spans="1:36" x14ac:dyDescent="0.25">
      <c r="A856" s="16"/>
      <c r="B856" s="16"/>
      <c r="C856" s="16"/>
      <c r="D856" s="16"/>
      <c r="E856" s="16"/>
      <c r="F856" s="16"/>
      <c r="G856" s="16"/>
      <c r="H856" s="16"/>
      <c r="I856" s="16"/>
      <c r="J856" s="16"/>
      <c r="K856" s="16"/>
      <c r="L856" s="16"/>
      <c r="M856" s="16"/>
      <c r="N856" s="16"/>
      <c r="O856" s="16"/>
      <c r="P856" s="16"/>
      <c r="Q856" s="16"/>
      <c r="R856" s="16"/>
      <c r="S856" s="16"/>
      <c r="T856" s="16"/>
      <c r="U856" s="16"/>
      <c r="V856" s="16"/>
      <c r="W856" s="16"/>
      <c r="X856" s="16"/>
      <c r="Y856" s="16"/>
      <c r="Z856" s="16"/>
      <c r="AA856" s="16"/>
      <c r="AB856" s="16"/>
      <c r="AC856" s="16"/>
      <c r="AD856" s="16"/>
      <c r="AE856" s="16"/>
      <c r="AF856" s="16"/>
      <c r="AG856" s="16"/>
      <c r="AH856" s="16"/>
      <c r="AI856" s="16"/>
      <c r="AJ856" s="16"/>
    </row>
    <row r="857" ht="12.75" customHeight="1" spans="1:36" x14ac:dyDescent="0.25">
      <c r="A857" s="16"/>
      <c r="B857" s="16"/>
      <c r="C857" s="16"/>
      <c r="D857" s="16"/>
      <c r="E857" s="16"/>
      <c r="F857" s="16"/>
      <c r="G857" s="16"/>
      <c r="H857" s="16"/>
      <c r="I857" s="16"/>
      <c r="J857" s="16"/>
      <c r="K857" s="16"/>
      <c r="L857" s="16"/>
      <c r="M857" s="16"/>
      <c r="N857" s="16"/>
      <c r="O857" s="16"/>
      <c r="P857" s="16"/>
      <c r="Q857" s="16"/>
      <c r="R857" s="16"/>
      <c r="S857" s="16"/>
      <c r="T857" s="16"/>
      <c r="U857" s="16"/>
      <c r="V857" s="16"/>
      <c r="W857" s="16"/>
      <c r="X857" s="16"/>
      <c r="Y857" s="16"/>
      <c r="Z857" s="16"/>
      <c r="AA857" s="16"/>
      <c r="AB857" s="16"/>
      <c r="AC857" s="16"/>
      <c r="AD857" s="16"/>
      <c r="AE857" s="16"/>
      <c r="AF857" s="16"/>
      <c r="AG857" s="16"/>
      <c r="AH857" s="16"/>
      <c r="AI857" s="16"/>
      <c r="AJ857" s="16"/>
    </row>
    <row r="858" ht="12.75" customHeight="1" spans="1:36" x14ac:dyDescent="0.25">
      <c r="A858" s="16"/>
      <c r="B858" s="16"/>
      <c r="C858" s="16"/>
      <c r="D858" s="16"/>
      <c r="E858" s="16"/>
      <c r="F858" s="16"/>
      <c r="G858" s="16"/>
      <c r="H858" s="16"/>
      <c r="I858" s="16"/>
      <c r="J858" s="16"/>
      <c r="K858" s="16"/>
      <c r="L858" s="16"/>
      <c r="M858" s="16"/>
      <c r="N858" s="16"/>
      <c r="O858" s="16"/>
      <c r="P858" s="16"/>
      <c r="Q858" s="16"/>
      <c r="R858" s="16"/>
      <c r="S858" s="16"/>
      <c r="T858" s="16"/>
      <c r="U858" s="16"/>
      <c r="V858" s="16"/>
      <c r="W858" s="16"/>
      <c r="X858" s="16"/>
      <c r="Y858" s="16"/>
      <c r="Z858" s="16"/>
      <c r="AA858" s="16"/>
      <c r="AB858" s="16"/>
      <c r="AC858" s="16"/>
      <c r="AD858" s="16"/>
      <c r="AE858" s="16"/>
      <c r="AF858" s="16"/>
      <c r="AG858" s="16"/>
      <c r="AH858" s="16"/>
      <c r="AI858" s="16"/>
      <c r="AJ858" s="16"/>
    </row>
    <row r="859" ht="12.75" customHeight="1" spans="1:36" x14ac:dyDescent="0.25">
      <c r="A859" s="16"/>
      <c r="B859" s="16"/>
      <c r="C859" s="16"/>
      <c r="D859" s="16"/>
      <c r="E859" s="16"/>
      <c r="F859" s="16"/>
      <c r="G859" s="16"/>
      <c r="H859" s="16"/>
      <c r="I859" s="16"/>
      <c r="J859" s="16"/>
      <c r="K859" s="16"/>
      <c r="L859" s="16"/>
      <c r="M859" s="16"/>
      <c r="N859" s="16"/>
      <c r="O859" s="16"/>
      <c r="P859" s="16"/>
      <c r="Q859" s="16"/>
      <c r="R859" s="16"/>
      <c r="S859" s="16"/>
      <c r="T859" s="16"/>
      <c r="U859" s="16"/>
      <c r="V859" s="16"/>
      <c r="W859" s="16"/>
      <c r="X859" s="16"/>
      <c r="Y859" s="16"/>
      <c r="Z859" s="16"/>
      <c r="AA859" s="16"/>
      <c r="AB859" s="16"/>
      <c r="AC859" s="16"/>
      <c r="AD859" s="16"/>
      <c r="AE859" s="16"/>
      <c r="AF859" s="16"/>
      <c r="AG859" s="16"/>
      <c r="AH859" s="16"/>
      <c r="AI859" s="16"/>
      <c r="AJ859" s="16"/>
    </row>
    <row r="860" ht="12.75" customHeight="1" spans="1:36" x14ac:dyDescent="0.25">
      <c r="A860" s="16"/>
      <c r="B860" s="16"/>
      <c r="C860" s="16"/>
      <c r="D860" s="16"/>
      <c r="E860" s="16"/>
      <c r="F860" s="16"/>
      <c r="G860" s="16"/>
      <c r="H860" s="16"/>
      <c r="I860" s="16"/>
      <c r="J860" s="16"/>
      <c r="K860" s="16"/>
      <c r="L860" s="16"/>
      <c r="M860" s="16"/>
      <c r="N860" s="16"/>
      <c r="O860" s="16"/>
      <c r="P860" s="16"/>
      <c r="Q860" s="16"/>
      <c r="R860" s="16"/>
      <c r="S860" s="16"/>
      <c r="T860" s="16"/>
      <c r="U860" s="16"/>
      <c r="V860" s="16"/>
      <c r="W860" s="16"/>
      <c r="X860" s="16"/>
      <c r="Y860" s="16"/>
      <c r="Z860" s="16"/>
      <c r="AA860" s="16"/>
      <c r="AB860" s="16"/>
      <c r="AC860" s="16"/>
      <c r="AD860" s="16"/>
      <c r="AE860" s="16"/>
      <c r="AF860" s="16"/>
      <c r="AG860" s="16"/>
      <c r="AH860" s="16"/>
      <c r="AI860" s="16"/>
      <c r="AJ860" s="16"/>
    </row>
    <row r="861" ht="12.75" customHeight="1" spans="1:36" x14ac:dyDescent="0.25">
      <c r="A861" s="16"/>
      <c r="B861" s="16"/>
      <c r="C861" s="16"/>
      <c r="D861" s="16"/>
      <c r="E861" s="16"/>
      <c r="F861" s="16"/>
      <c r="G861" s="16"/>
      <c r="H861" s="16"/>
      <c r="I861" s="16"/>
      <c r="J861" s="16"/>
      <c r="K861" s="16"/>
      <c r="L861" s="16"/>
      <c r="M861" s="16"/>
      <c r="N861" s="16"/>
      <c r="O861" s="16"/>
      <c r="P861" s="16"/>
      <c r="Q861" s="16"/>
      <c r="R861" s="16"/>
      <c r="S861" s="16"/>
      <c r="T861" s="16"/>
      <c r="U861" s="16"/>
      <c r="V861" s="16"/>
      <c r="W861" s="16"/>
      <c r="X861" s="16"/>
      <c r="Y861" s="16"/>
      <c r="Z861" s="16"/>
      <c r="AA861" s="16"/>
      <c r="AB861" s="16"/>
      <c r="AC861" s="16"/>
      <c r="AD861" s="16"/>
      <c r="AE861" s="16"/>
      <c r="AF861" s="16"/>
      <c r="AG861" s="16"/>
      <c r="AH861" s="16"/>
      <c r="AI861" s="16"/>
      <c r="AJ861" s="16"/>
    </row>
    <row r="862" ht="12.75" customHeight="1" spans="1:36" x14ac:dyDescent="0.25">
      <c r="A862" s="16"/>
      <c r="B862" s="16"/>
      <c r="C862" s="16"/>
      <c r="D862" s="16"/>
      <c r="E862" s="16"/>
      <c r="F862" s="16"/>
      <c r="G862" s="16"/>
      <c r="H862" s="16"/>
      <c r="I862" s="16"/>
      <c r="J862" s="16"/>
      <c r="K862" s="16"/>
      <c r="L862" s="16"/>
      <c r="M862" s="16"/>
      <c r="N862" s="16"/>
      <c r="O862" s="16"/>
      <c r="P862" s="16"/>
      <c r="Q862" s="16"/>
      <c r="R862" s="16"/>
      <c r="S862" s="16"/>
      <c r="T862" s="16"/>
      <c r="U862" s="16"/>
      <c r="V862" s="16"/>
      <c r="W862" s="16"/>
      <c r="X862" s="16"/>
      <c r="Y862" s="16"/>
      <c r="Z862" s="16"/>
      <c r="AA862" s="16"/>
      <c r="AB862" s="16"/>
      <c r="AC862" s="16"/>
      <c r="AD862" s="16"/>
      <c r="AE862" s="16"/>
      <c r="AF862" s="16"/>
      <c r="AG862" s="16"/>
      <c r="AH862" s="16"/>
      <c r="AI862" s="16"/>
      <c r="AJ862" s="16"/>
    </row>
    <row r="863" ht="12.75" customHeight="1" spans="1:36" x14ac:dyDescent="0.25">
      <c r="A863" s="16"/>
      <c r="B863" s="16"/>
      <c r="C863" s="16"/>
      <c r="D863" s="16"/>
      <c r="E863" s="16"/>
      <c r="F863" s="16"/>
      <c r="G863" s="16"/>
      <c r="H863" s="16"/>
      <c r="I863" s="16"/>
      <c r="J863" s="16"/>
      <c r="K863" s="16"/>
      <c r="L863" s="16"/>
      <c r="M863" s="16"/>
      <c r="N863" s="16"/>
      <c r="O863" s="16"/>
      <c r="P863" s="16"/>
      <c r="Q863" s="16"/>
      <c r="R863" s="16"/>
      <c r="S863" s="16"/>
      <c r="T863" s="16"/>
      <c r="U863" s="16"/>
      <c r="V863" s="16"/>
      <c r="W863" s="16"/>
      <c r="X863" s="16"/>
      <c r="Y863" s="16"/>
      <c r="Z863" s="16"/>
      <c r="AA863" s="16"/>
      <c r="AB863" s="16"/>
      <c r="AC863" s="16"/>
      <c r="AD863" s="16"/>
      <c r="AE863" s="16"/>
      <c r="AF863" s="16"/>
      <c r="AG863" s="16"/>
      <c r="AH863" s="16"/>
      <c r="AI863" s="16"/>
      <c r="AJ863" s="16"/>
    </row>
    <row r="864" ht="12.75" customHeight="1" spans="1:36" x14ac:dyDescent="0.25">
      <c r="A864" s="16"/>
      <c r="B864" s="16"/>
      <c r="C864" s="16"/>
      <c r="D864" s="16"/>
      <c r="E864" s="16"/>
      <c r="F864" s="16"/>
      <c r="G864" s="16"/>
      <c r="H864" s="16"/>
      <c r="I864" s="16"/>
      <c r="J864" s="16"/>
      <c r="K864" s="16"/>
      <c r="L864" s="16"/>
      <c r="M864" s="16"/>
      <c r="N864" s="16"/>
      <c r="O864" s="16"/>
      <c r="P864" s="16"/>
      <c r="Q864" s="16"/>
      <c r="R864" s="16"/>
      <c r="S864" s="16"/>
      <c r="T864" s="16"/>
      <c r="U864" s="16"/>
      <c r="V864" s="16"/>
      <c r="W864" s="16"/>
      <c r="X864" s="16"/>
      <c r="Y864" s="16"/>
      <c r="Z864" s="16"/>
      <c r="AA864" s="16"/>
      <c r="AB864" s="16"/>
      <c r="AC864" s="16"/>
      <c r="AD864" s="16"/>
      <c r="AE864" s="16"/>
      <c r="AF864" s="16"/>
      <c r="AG864" s="16"/>
      <c r="AH864" s="16"/>
      <c r="AI864" s="16"/>
      <c r="AJ864" s="16"/>
    </row>
    <row r="865" ht="12.75" customHeight="1" spans="1:36" x14ac:dyDescent="0.25">
      <c r="A865" s="16"/>
      <c r="B865" s="16"/>
      <c r="C865" s="16"/>
      <c r="D865" s="16"/>
      <c r="E865" s="16"/>
      <c r="F865" s="16"/>
      <c r="G865" s="16"/>
      <c r="H865" s="16"/>
      <c r="I865" s="16"/>
      <c r="J865" s="16"/>
      <c r="K865" s="16"/>
      <c r="L865" s="16"/>
      <c r="M865" s="16"/>
      <c r="N865" s="16"/>
      <c r="O865" s="16"/>
      <c r="P865" s="16"/>
      <c r="Q865" s="16"/>
      <c r="R865" s="16"/>
      <c r="S865" s="16"/>
      <c r="T865" s="16"/>
      <c r="U865" s="16"/>
      <c r="V865" s="16"/>
      <c r="W865" s="16"/>
      <c r="X865" s="16"/>
      <c r="Y865" s="16"/>
      <c r="Z865" s="16"/>
      <c r="AA865" s="16"/>
      <c r="AB865" s="16"/>
      <c r="AC865" s="16"/>
      <c r="AD865" s="16"/>
      <c r="AE865" s="16"/>
      <c r="AF865" s="16"/>
      <c r="AG865" s="16"/>
      <c r="AH865" s="16"/>
      <c r="AI865" s="16"/>
      <c r="AJ865" s="16"/>
    </row>
    <row r="866" ht="12.75" customHeight="1" spans="1:36" x14ac:dyDescent="0.25">
      <c r="A866" s="16"/>
      <c r="B866" s="16"/>
      <c r="C866" s="16"/>
      <c r="D866" s="16"/>
      <c r="E866" s="16"/>
      <c r="F866" s="16"/>
      <c r="G866" s="16"/>
      <c r="H866" s="16"/>
      <c r="I866" s="16"/>
      <c r="J866" s="16"/>
      <c r="K866" s="16"/>
      <c r="L866" s="16"/>
      <c r="M866" s="16"/>
      <c r="N866" s="16"/>
      <c r="O866" s="16"/>
      <c r="P866" s="16"/>
      <c r="Q866" s="16"/>
      <c r="R866" s="16"/>
      <c r="S866" s="16"/>
      <c r="T866" s="16"/>
      <c r="U866" s="16"/>
      <c r="V866" s="16"/>
      <c r="W866" s="16"/>
      <c r="X866" s="16"/>
      <c r="Y866" s="16"/>
      <c r="Z866" s="16"/>
      <c r="AA866" s="16"/>
      <c r="AB866" s="16"/>
      <c r="AC866" s="16"/>
      <c r="AD866" s="16"/>
      <c r="AE866" s="16"/>
      <c r="AF866" s="16"/>
      <c r="AG866" s="16"/>
      <c r="AH866" s="16"/>
      <c r="AI866" s="16"/>
      <c r="AJ866" s="16"/>
    </row>
    <row r="867" ht="12.75" customHeight="1" spans="1:36" x14ac:dyDescent="0.25">
      <c r="A867" s="16"/>
      <c r="B867" s="16"/>
      <c r="C867" s="16"/>
      <c r="D867" s="16"/>
      <c r="E867" s="16"/>
      <c r="F867" s="16"/>
      <c r="G867" s="16"/>
      <c r="H867" s="16"/>
      <c r="I867" s="16"/>
      <c r="J867" s="16"/>
      <c r="K867" s="16"/>
      <c r="L867" s="16"/>
      <c r="M867" s="16"/>
      <c r="N867" s="16"/>
      <c r="O867" s="16"/>
      <c r="P867" s="16"/>
      <c r="Q867" s="16"/>
      <c r="R867" s="16"/>
      <c r="S867" s="16"/>
      <c r="T867" s="16"/>
      <c r="U867" s="16"/>
      <c r="V867" s="16"/>
      <c r="W867" s="16"/>
      <c r="X867" s="16"/>
      <c r="Y867" s="16"/>
      <c r="Z867" s="16"/>
      <c r="AA867" s="16"/>
      <c r="AB867" s="16"/>
      <c r="AC867" s="16"/>
      <c r="AD867" s="16"/>
      <c r="AE867" s="16"/>
      <c r="AF867" s="16"/>
      <c r="AG867" s="16"/>
      <c r="AH867" s="16"/>
      <c r="AI867" s="16"/>
      <c r="AJ867" s="16"/>
    </row>
    <row r="868" ht="12.75" customHeight="1" spans="1:36" x14ac:dyDescent="0.25">
      <c r="A868" s="16"/>
      <c r="B868" s="16"/>
      <c r="C868" s="16"/>
      <c r="D868" s="16"/>
      <c r="E868" s="16"/>
      <c r="F868" s="16"/>
      <c r="G868" s="16"/>
      <c r="H868" s="16"/>
      <c r="I868" s="16"/>
      <c r="J868" s="16"/>
      <c r="K868" s="16"/>
      <c r="L868" s="16"/>
      <c r="M868" s="16"/>
      <c r="N868" s="16"/>
      <c r="O868" s="16"/>
      <c r="P868" s="16"/>
      <c r="Q868" s="16"/>
      <c r="R868" s="16"/>
      <c r="S868" s="16"/>
      <c r="T868" s="16"/>
      <c r="U868" s="16"/>
      <c r="V868" s="16"/>
      <c r="W868" s="16"/>
      <c r="X868" s="16"/>
      <c r="Y868" s="16"/>
      <c r="Z868" s="16"/>
      <c r="AA868" s="16"/>
      <c r="AB868" s="16"/>
      <c r="AC868" s="16"/>
      <c r="AD868" s="16"/>
      <c r="AE868" s="16"/>
      <c r="AF868" s="16"/>
      <c r="AG868" s="16"/>
      <c r="AH868" s="16"/>
      <c r="AI868" s="16"/>
      <c r="AJ868" s="16"/>
    </row>
    <row r="869" ht="12.75" customHeight="1" spans="1:36" x14ac:dyDescent="0.25">
      <c r="A869" s="16"/>
      <c r="B869" s="16"/>
      <c r="C869" s="16"/>
      <c r="D869" s="16"/>
      <c r="E869" s="16"/>
      <c r="F869" s="16"/>
      <c r="G869" s="16"/>
      <c r="H869" s="16"/>
      <c r="I869" s="16"/>
      <c r="J869" s="16"/>
      <c r="K869" s="16"/>
      <c r="L869" s="16"/>
      <c r="M869" s="16"/>
      <c r="N869" s="16"/>
      <c r="O869" s="16"/>
      <c r="P869" s="16"/>
      <c r="Q869" s="16"/>
      <c r="R869" s="16"/>
      <c r="S869" s="16"/>
      <c r="T869" s="16"/>
      <c r="U869" s="16"/>
      <c r="V869" s="16"/>
      <c r="W869" s="16"/>
      <c r="X869" s="16"/>
      <c r="Y869" s="16"/>
      <c r="Z869" s="16"/>
      <c r="AA869" s="16"/>
      <c r="AB869" s="16"/>
      <c r="AC869" s="16"/>
      <c r="AD869" s="16"/>
      <c r="AE869" s="16"/>
      <c r="AF869" s="16"/>
      <c r="AG869" s="16"/>
      <c r="AH869" s="16"/>
      <c r="AI869" s="16"/>
      <c r="AJ869" s="16"/>
    </row>
    <row r="870" ht="12.75" customHeight="1" spans="1:36" x14ac:dyDescent="0.25">
      <c r="A870" s="16"/>
      <c r="B870" s="16"/>
      <c r="C870" s="16"/>
      <c r="D870" s="16"/>
      <c r="E870" s="16"/>
      <c r="F870" s="16"/>
      <c r="G870" s="16"/>
      <c r="H870" s="16"/>
      <c r="I870" s="16"/>
      <c r="J870" s="16"/>
      <c r="K870" s="16"/>
      <c r="L870" s="16"/>
      <c r="M870" s="16"/>
      <c r="N870" s="16"/>
      <c r="O870" s="16"/>
      <c r="P870" s="16"/>
      <c r="Q870" s="16"/>
      <c r="R870" s="16"/>
      <c r="S870" s="16"/>
      <c r="T870" s="16"/>
      <c r="U870" s="16"/>
      <c r="V870" s="16"/>
      <c r="W870" s="16"/>
      <c r="X870" s="16"/>
      <c r="Y870" s="16"/>
      <c r="Z870" s="16"/>
      <c r="AA870" s="16"/>
      <c r="AB870" s="16"/>
      <c r="AC870" s="16"/>
      <c r="AD870" s="16"/>
      <c r="AE870" s="16"/>
      <c r="AF870" s="16"/>
      <c r="AG870" s="16"/>
      <c r="AH870" s="16"/>
      <c r="AI870" s="16"/>
      <c r="AJ870" s="16"/>
    </row>
    <row r="871" ht="12.75" customHeight="1" spans="1:36" x14ac:dyDescent="0.25">
      <c r="A871" s="16"/>
      <c r="B871" s="16"/>
      <c r="C871" s="16"/>
      <c r="D871" s="16"/>
      <c r="E871" s="16"/>
      <c r="F871" s="16"/>
      <c r="G871" s="16"/>
      <c r="H871" s="16"/>
      <c r="I871" s="16"/>
      <c r="J871" s="16"/>
      <c r="K871" s="16"/>
      <c r="L871" s="16"/>
      <c r="M871" s="16"/>
      <c r="N871" s="16"/>
      <c r="O871" s="16"/>
      <c r="P871" s="16"/>
      <c r="Q871" s="16"/>
      <c r="R871" s="16"/>
      <c r="S871" s="16"/>
      <c r="T871" s="16"/>
      <c r="U871" s="16"/>
      <c r="V871" s="16"/>
      <c r="W871" s="16"/>
      <c r="X871" s="16"/>
      <c r="Y871" s="16"/>
      <c r="Z871" s="16"/>
      <c r="AA871" s="16"/>
      <c r="AB871" s="16"/>
      <c r="AC871" s="16"/>
      <c r="AD871" s="16"/>
      <c r="AE871" s="16"/>
      <c r="AF871" s="16"/>
      <c r="AG871" s="16"/>
      <c r="AH871" s="16"/>
      <c r="AI871" s="16"/>
      <c r="AJ871" s="16"/>
    </row>
    <row r="872" ht="12.75" customHeight="1" spans="1:36" x14ac:dyDescent="0.25">
      <c r="A872" s="16"/>
      <c r="B872" s="16"/>
      <c r="C872" s="16"/>
      <c r="D872" s="16"/>
      <c r="E872" s="16"/>
      <c r="F872" s="16"/>
      <c r="G872" s="16"/>
      <c r="H872" s="16"/>
      <c r="I872" s="16"/>
      <c r="J872" s="16"/>
      <c r="K872" s="16"/>
      <c r="L872" s="16"/>
      <c r="M872" s="16"/>
      <c r="N872" s="16"/>
      <c r="O872" s="16"/>
      <c r="P872" s="16"/>
      <c r="Q872" s="16"/>
      <c r="R872" s="16"/>
      <c r="S872" s="16"/>
      <c r="T872" s="16"/>
      <c r="U872" s="16"/>
      <c r="V872" s="16"/>
      <c r="W872" s="16"/>
      <c r="X872" s="16"/>
      <c r="Y872" s="16"/>
      <c r="Z872" s="16"/>
      <c r="AA872" s="16"/>
      <c r="AB872" s="16"/>
      <c r="AC872" s="16"/>
      <c r="AD872" s="16"/>
      <c r="AE872" s="16"/>
      <c r="AF872" s="16"/>
      <c r="AG872" s="16"/>
      <c r="AH872" s="16"/>
      <c r="AI872" s="16"/>
      <c r="AJ872" s="16"/>
    </row>
    <row r="873" ht="12.75" customHeight="1" spans="1:36" x14ac:dyDescent="0.25">
      <c r="A873" s="16"/>
      <c r="B873" s="16"/>
      <c r="C873" s="16"/>
      <c r="D873" s="16"/>
      <c r="E873" s="16"/>
      <c r="F873" s="16"/>
      <c r="G873" s="16"/>
      <c r="H873" s="16"/>
      <c r="I873" s="16"/>
      <c r="J873" s="16"/>
      <c r="K873" s="16"/>
      <c r="L873" s="16"/>
      <c r="M873" s="16"/>
      <c r="N873" s="16"/>
      <c r="O873" s="16"/>
      <c r="P873" s="16"/>
      <c r="Q873" s="16"/>
      <c r="R873" s="16"/>
      <c r="S873" s="16"/>
      <c r="T873" s="16"/>
      <c r="U873" s="16"/>
      <c r="V873" s="16"/>
      <c r="W873" s="16"/>
      <c r="X873" s="16"/>
      <c r="Y873" s="16"/>
      <c r="Z873" s="16"/>
      <c r="AA873" s="16"/>
      <c r="AB873" s="16"/>
      <c r="AC873" s="16"/>
      <c r="AD873" s="16"/>
      <c r="AE873" s="16"/>
      <c r="AF873" s="16"/>
      <c r="AG873" s="16"/>
      <c r="AH873" s="16"/>
      <c r="AI873" s="16"/>
      <c r="AJ873" s="16"/>
    </row>
    <row r="874" ht="12.75" customHeight="1" spans="1:36" x14ac:dyDescent="0.25">
      <c r="A874" s="16"/>
      <c r="B874" s="16"/>
      <c r="C874" s="16"/>
      <c r="D874" s="16"/>
      <c r="E874" s="16"/>
      <c r="F874" s="16"/>
      <c r="G874" s="16"/>
      <c r="H874" s="16"/>
      <c r="I874" s="16"/>
      <c r="J874" s="16"/>
      <c r="K874" s="16"/>
      <c r="L874" s="16"/>
      <c r="M874" s="16"/>
      <c r="N874" s="16"/>
      <c r="O874" s="16"/>
      <c r="P874" s="16"/>
      <c r="Q874" s="16"/>
      <c r="R874" s="16"/>
      <c r="S874" s="16"/>
      <c r="T874" s="16"/>
      <c r="U874" s="16"/>
      <c r="V874" s="16"/>
      <c r="W874" s="16"/>
      <c r="X874" s="16"/>
      <c r="Y874" s="16"/>
      <c r="Z874" s="16"/>
      <c r="AA874" s="16"/>
      <c r="AB874" s="16"/>
      <c r="AC874" s="16"/>
      <c r="AD874" s="16"/>
      <c r="AE874" s="16"/>
      <c r="AF874" s="16"/>
      <c r="AG874" s="16"/>
      <c r="AH874" s="16"/>
      <c r="AI874" s="16"/>
      <c r="AJ874" s="16"/>
    </row>
    <row r="875" ht="12.75" customHeight="1" spans="1:36" x14ac:dyDescent="0.25">
      <c r="A875" s="16"/>
      <c r="B875" s="16"/>
      <c r="C875" s="16"/>
      <c r="D875" s="16"/>
      <c r="E875" s="16"/>
      <c r="F875" s="16"/>
      <c r="G875" s="16"/>
      <c r="H875" s="16"/>
      <c r="I875" s="16"/>
      <c r="J875" s="16"/>
      <c r="K875" s="16"/>
      <c r="L875" s="16"/>
      <c r="M875" s="16"/>
      <c r="N875" s="16"/>
      <c r="O875" s="16"/>
      <c r="P875" s="16"/>
      <c r="Q875" s="16"/>
      <c r="R875" s="16"/>
      <c r="S875" s="16"/>
      <c r="T875" s="16"/>
      <c r="U875" s="16"/>
      <c r="V875" s="16"/>
      <c r="W875" s="16"/>
      <c r="X875" s="16"/>
      <c r="Y875" s="16"/>
      <c r="Z875" s="16"/>
      <c r="AA875" s="16"/>
      <c r="AB875" s="16"/>
      <c r="AC875" s="16"/>
      <c r="AD875" s="16"/>
      <c r="AE875" s="16"/>
      <c r="AF875" s="16"/>
      <c r="AG875" s="16"/>
      <c r="AH875" s="16"/>
      <c r="AI875" s="16"/>
      <c r="AJ875" s="16"/>
    </row>
    <row r="876" ht="12.75" customHeight="1" spans="1:36" x14ac:dyDescent="0.25">
      <c r="A876" s="16"/>
      <c r="B876" s="16"/>
      <c r="C876" s="16"/>
      <c r="D876" s="16"/>
      <c r="E876" s="16"/>
      <c r="F876" s="16"/>
      <c r="G876" s="16"/>
      <c r="H876" s="16"/>
      <c r="I876" s="16"/>
      <c r="J876" s="16"/>
      <c r="K876" s="16"/>
      <c r="L876" s="16"/>
      <c r="M876" s="16"/>
      <c r="N876" s="16"/>
      <c r="O876" s="16"/>
      <c r="P876" s="16"/>
      <c r="Q876" s="16"/>
      <c r="R876" s="16"/>
      <c r="S876" s="16"/>
      <c r="T876" s="16"/>
      <c r="U876" s="16"/>
      <c r="V876" s="16"/>
      <c r="W876" s="16"/>
      <c r="X876" s="16"/>
      <c r="Y876" s="16"/>
      <c r="Z876" s="16"/>
      <c r="AA876" s="16"/>
      <c r="AB876" s="16"/>
      <c r="AC876" s="16"/>
      <c r="AD876" s="16"/>
      <c r="AE876" s="16"/>
      <c r="AF876" s="16"/>
      <c r="AG876" s="16"/>
      <c r="AH876" s="16"/>
      <c r="AI876" s="16"/>
      <c r="AJ876" s="16"/>
    </row>
    <row r="877" ht="12.75" customHeight="1" spans="1:36" x14ac:dyDescent="0.25">
      <c r="A877" s="16"/>
      <c r="B877" s="16"/>
      <c r="C877" s="16"/>
      <c r="D877" s="16"/>
      <c r="E877" s="16"/>
      <c r="F877" s="16"/>
      <c r="G877" s="16"/>
      <c r="H877" s="16"/>
      <c r="I877" s="16"/>
      <c r="J877" s="16"/>
      <c r="K877" s="16"/>
      <c r="L877" s="16"/>
      <c r="M877" s="16"/>
      <c r="N877" s="16"/>
      <c r="O877" s="16"/>
      <c r="P877" s="16"/>
      <c r="Q877" s="16"/>
      <c r="R877" s="16"/>
      <c r="S877" s="16"/>
      <c r="T877" s="16"/>
      <c r="U877" s="16"/>
      <c r="V877" s="16"/>
      <c r="W877" s="16"/>
      <c r="X877" s="16"/>
      <c r="Y877" s="16"/>
      <c r="Z877" s="16"/>
      <c r="AA877" s="16"/>
      <c r="AB877" s="16"/>
      <c r="AC877" s="16"/>
      <c r="AD877" s="16"/>
      <c r="AE877" s="16"/>
      <c r="AF877" s="16"/>
      <c r="AG877" s="16"/>
      <c r="AH877" s="16"/>
      <c r="AI877" s="16"/>
      <c r="AJ877" s="16"/>
    </row>
    <row r="878" ht="12.75" customHeight="1" spans="1:36" x14ac:dyDescent="0.25">
      <c r="A878" s="16"/>
      <c r="B878" s="16"/>
      <c r="C878" s="16"/>
      <c r="D878" s="16"/>
      <c r="E878" s="16"/>
      <c r="F878" s="16"/>
      <c r="G878" s="16"/>
      <c r="H878" s="16"/>
      <c r="I878" s="16"/>
      <c r="J878" s="16"/>
      <c r="K878" s="16"/>
      <c r="L878" s="16"/>
      <c r="M878" s="16"/>
      <c r="N878" s="16"/>
      <c r="O878" s="16"/>
      <c r="P878" s="16"/>
      <c r="Q878" s="16"/>
      <c r="R878" s="16"/>
      <c r="S878" s="16"/>
      <c r="T878" s="16"/>
      <c r="U878" s="16"/>
      <c r="V878" s="16"/>
      <c r="W878" s="16"/>
      <c r="X878" s="16"/>
      <c r="Y878" s="16"/>
      <c r="Z878" s="16"/>
      <c r="AA878" s="16"/>
      <c r="AB878" s="16"/>
      <c r="AC878" s="16"/>
      <c r="AD878" s="16"/>
      <c r="AE878" s="16"/>
      <c r="AF878" s="16"/>
      <c r="AG878" s="16"/>
      <c r="AH878" s="16"/>
      <c r="AI878" s="16"/>
      <c r="AJ878" s="16"/>
    </row>
    <row r="879" ht="12.75" customHeight="1" spans="1:36" x14ac:dyDescent="0.25">
      <c r="A879" s="16"/>
      <c r="B879" s="16"/>
      <c r="C879" s="16"/>
      <c r="D879" s="16"/>
      <c r="E879" s="16"/>
      <c r="F879" s="16"/>
      <c r="G879" s="16"/>
      <c r="H879" s="16"/>
      <c r="I879" s="16"/>
      <c r="J879" s="16"/>
      <c r="K879" s="16"/>
      <c r="L879" s="16"/>
      <c r="M879" s="16"/>
      <c r="N879" s="16"/>
      <c r="O879" s="16"/>
      <c r="P879" s="16"/>
      <c r="Q879" s="16"/>
      <c r="R879" s="16"/>
      <c r="S879" s="16"/>
      <c r="T879" s="16"/>
      <c r="U879" s="16"/>
      <c r="V879" s="16"/>
      <c r="W879" s="16"/>
      <c r="X879" s="16"/>
      <c r="Y879" s="16"/>
      <c r="Z879" s="16"/>
      <c r="AA879" s="16"/>
      <c r="AB879" s="16"/>
      <c r="AC879" s="16"/>
      <c r="AD879" s="16"/>
      <c r="AE879" s="16"/>
      <c r="AF879" s="16"/>
      <c r="AG879" s="16"/>
      <c r="AH879" s="16"/>
      <c r="AI879" s="16"/>
      <c r="AJ879" s="16"/>
    </row>
    <row r="880" ht="12.75" customHeight="1" spans="1:36" x14ac:dyDescent="0.25">
      <c r="A880" s="16"/>
      <c r="B880" s="16"/>
      <c r="C880" s="16"/>
      <c r="D880" s="16"/>
      <c r="E880" s="16"/>
      <c r="F880" s="16"/>
      <c r="G880" s="16"/>
      <c r="H880" s="16"/>
      <c r="I880" s="16"/>
      <c r="J880" s="16"/>
      <c r="K880" s="16"/>
      <c r="L880" s="16"/>
      <c r="M880" s="16"/>
      <c r="N880" s="16"/>
      <c r="O880" s="16"/>
      <c r="P880" s="16"/>
      <c r="Q880" s="16"/>
      <c r="R880" s="16"/>
      <c r="S880" s="16"/>
      <c r="T880" s="16"/>
      <c r="U880" s="16"/>
      <c r="V880" s="16"/>
      <c r="W880" s="16"/>
      <c r="X880" s="16"/>
      <c r="Y880" s="16"/>
      <c r="Z880" s="16"/>
      <c r="AA880" s="16"/>
      <c r="AB880" s="16"/>
      <c r="AC880" s="16"/>
      <c r="AD880" s="16"/>
      <c r="AE880" s="16"/>
      <c r="AF880" s="16"/>
      <c r="AG880" s="16"/>
      <c r="AH880" s="16"/>
      <c r="AI880" s="16"/>
      <c r="AJ880" s="16"/>
    </row>
    <row r="881" ht="12.75" customHeight="1" spans="1:36" x14ac:dyDescent="0.25">
      <c r="A881" s="16"/>
      <c r="B881" s="16"/>
      <c r="C881" s="16"/>
      <c r="D881" s="16"/>
      <c r="E881" s="16"/>
      <c r="F881" s="16"/>
      <c r="G881" s="16"/>
      <c r="H881" s="16"/>
      <c r="I881" s="16"/>
      <c r="J881" s="16"/>
      <c r="K881" s="16"/>
      <c r="L881" s="16"/>
      <c r="M881" s="16"/>
      <c r="N881" s="16"/>
      <c r="O881" s="16"/>
      <c r="P881" s="16"/>
      <c r="Q881" s="16"/>
      <c r="R881" s="16"/>
      <c r="S881" s="16"/>
      <c r="T881" s="16"/>
      <c r="U881" s="16"/>
      <c r="V881" s="16"/>
      <c r="W881" s="16"/>
      <c r="X881" s="16"/>
      <c r="Y881" s="16"/>
      <c r="Z881" s="16"/>
      <c r="AA881" s="16"/>
      <c r="AB881" s="16"/>
      <c r="AC881" s="16"/>
      <c r="AD881" s="16"/>
      <c r="AE881" s="16"/>
      <c r="AF881" s="16"/>
      <c r="AG881" s="16"/>
      <c r="AH881" s="16"/>
      <c r="AI881" s="16"/>
      <c r="AJ881" s="16"/>
    </row>
    <row r="882" ht="12.75" customHeight="1" spans="1:36" x14ac:dyDescent="0.25">
      <c r="A882" s="16"/>
      <c r="B882" s="16"/>
      <c r="C882" s="16"/>
      <c r="D882" s="16"/>
      <c r="E882" s="16"/>
      <c r="F882" s="16"/>
      <c r="G882" s="16"/>
      <c r="H882" s="16"/>
      <c r="I882" s="16"/>
      <c r="J882" s="16"/>
      <c r="K882" s="16"/>
      <c r="L882" s="16"/>
      <c r="M882" s="16"/>
      <c r="N882" s="16"/>
      <c r="O882" s="16"/>
      <c r="P882" s="16"/>
      <c r="Q882" s="16"/>
      <c r="R882" s="16"/>
      <c r="S882" s="16"/>
      <c r="T882" s="16"/>
      <c r="U882" s="16"/>
      <c r="V882" s="16"/>
      <c r="W882" s="16"/>
      <c r="X882" s="16"/>
      <c r="Y882" s="16"/>
      <c r="Z882" s="16"/>
      <c r="AA882" s="16"/>
      <c r="AB882" s="16"/>
      <c r="AC882" s="16"/>
      <c r="AD882" s="16"/>
      <c r="AE882" s="16"/>
      <c r="AF882" s="16"/>
      <c r="AG882" s="16"/>
      <c r="AH882" s="16"/>
      <c r="AI882" s="16"/>
      <c r="AJ882" s="16"/>
    </row>
    <row r="883" ht="12.75" customHeight="1" spans="1:36" x14ac:dyDescent="0.25">
      <c r="A883" s="16"/>
      <c r="B883" s="16"/>
      <c r="C883" s="16"/>
      <c r="D883" s="16"/>
      <c r="E883" s="16"/>
      <c r="F883" s="16"/>
      <c r="G883" s="16"/>
      <c r="H883" s="16"/>
      <c r="I883" s="16"/>
      <c r="J883" s="16"/>
      <c r="K883" s="16"/>
      <c r="L883" s="16"/>
      <c r="M883" s="16"/>
      <c r="N883" s="16"/>
      <c r="O883" s="16"/>
      <c r="P883" s="16"/>
      <c r="Q883" s="16"/>
      <c r="R883" s="16"/>
      <c r="S883" s="16"/>
      <c r="T883" s="16"/>
      <c r="U883" s="16"/>
      <c r="V883" s="16"/>
      <c r="W883" s="16"/>
      <c r="X883" s="16"/>
      <c r="Y883" s="16"/>
      <c r="Z883" s="16"/>
      <c r="AA883" s="16"/>
      <c r="AB883" s="16"/>
      <c r="AC883" s="16"/>
      <c r="AD883" s="16"/>
      <c r="AE883" s="16"/>
      <c r="AF883" s="16"/>
      <c r="AG883" s="16"/>
      <c r="AH883" s="16"/>
      <c r="AI883" s="16"/>
      <c r="AJ883" s="16"/>
    </row>
    <row r="884" ht="12.75" customHeight="1" spans="1:36" x14ac:dyDescent="0.25">
      <c r="A884" s="16"/>
      <c r="B884" s="16"/>
      <c r="C884" s="16"/>
      <c r="D884" s="16"/>
      <c r="E884" s="16"/>
      <c r="F884" s="16"/>
      <c r="G884" s="16"/>
      <c r="H884" s="16"/>
      <c r="I884" s="16"/>
      <c r="J884" s="16"/>
      <c r="K884" s="16"/>
      <c r="L884" s="16"/>
      <c r="M884" s="16"/>
      <c r="N884" s="16"/>
      <c r="O884" s="16"/>
      <c r="P884" s="16"/>
      <c r="Q884" s="16"/>
      <c r="R884" s="16"/>
      <c r="S884" s="16"/>
      <c r="T884" s="16"/>
      <c r="U884" s="16"/>
      <c r="V884" s="16"/>
      <c r="W884" s="16"/>
      <c r="X884" s="16"/>
      <c r="Y884" s="16"/>
      <c r="Z884" s="16"/>
      <c r="AA884" s="16"/>
      <c r="AB884" s="16"/>
      <c r="AC884" s="16"/>
      <c r="AD884" s="16"/>
      <c r="AE884" s="16"/>
      <c r="AF884" s="16"/>
      <c r="AG884" s="16"/>
      <c r="AH884" s="16"/>
      <c r="AI884" s="16"/>
      <c r="AJ884" s="16"/>
    </row>
    <row r="885" ht="12.75" customHeight="1" spans="1:36" x14ac:dyDescent="0.25">
      <c r="A885" s="16"/>
      <c r="B885" s="16"/>
      <c r="C885" s="16"/>
      <c r="D885" s="16"/>
      <c r="E885" s="16"/>
      <c r="F885" s="16"/>
      <c r="G885" s="16"/>
      <c r="H885" s="16"/>
      <c r="I885" s="16"/>
      <c r="J885" s="16"/>
      <c r="K885" s="16"/>
      <c r="L885" s="16"/>
      <c r="M885" s="16"/>
      <c r="N885" s="16"/>
      <c r="O885" s="16"/>
      <c r="P885" s="16"/>
      <c r="Q885" s="16"/>
      <c r="R885" s="16"/>
      <c r="S885" s="16"/>
      <c r="T885" s="16"/>
      <c r="U885" s="16"/>
      <c r="V885" s="16"/>
      <c r="W885" s="16"/>
      <c r="X885" s="16"/>
      <c r="Y885" s="16"/>
      <c r="Z885" s="16"/>
      <c r="AA885" s="16"/>
      <c r="AB885" s="16"/>
      <c r="AC885" s="16"/>
      <c r="AD885" s="16"/>
      <c r="AE885" s="16"/>
      <c r="AF885" s="16"/>
      <c r="AG885" s="16"/>
      <c r="AH885" s="16"/>
      <c r="AI885" s="16"/>
      <c r="AJ885" s="16"/>
    </row>
    <row r="886" ht="12.75" customHeight="1" spans="1:36" x14ac:dyDescent="0.25">
      <c r="A886" s="16"/>
      <c r="B886" s="16"/>
      <c r="C886" s="16"/>
      <c r="D886" s="16"/>
      <c r="E886" s="16"/>
      <c r="F886" s="16"/>
      <c r="G886" s="16"/>
      <c r="H886" s="16"/>
      <c r="I886" s="16"/>
      <c r="J886" s="16"/>
      <c r="K886" s="16"/>
      <c r="L886" s="16"/>
      <c r="M886" s="16"/>
      <c r="N886" s="16"/>
      <c r="O886" s="16"/>
      <c r="P886" s="16"/>
      <c r="Q886" s="16"/>
      <c r="R886" s="16"/>
      <c r="S886" s="16"/>
      <c r="T886" s="16"/>
      <c r="U886" s="16"/>
      <c r="V886" s="16"/>
      <c r="W886" s="16"/>
      <c r="X886" s="16"/>
      <c r="Y886" s="16"/>
      <c r="Z886" s="16"/>
      <c r="AA886" s="16"/>
      <c r="AB886" s="16"/>
      <c r="AC886" s="16"/>
      <c r="AD886" s="16"/>
      <c r="AE886" s="16"/>
      <c r="AF886" s="16"/>
      <c r="AG886" s="16"/>
      <c r="AH886" s="16"/>
      <c r="AI886" s="16"/>
      <c r="AJ886" s="16"/>
    </row>
    <row r="887" ht="12.75" customHeight="1" spans="1:36" x14ac:dyDescent="0.25">
      <c r="A887" s="16"/>
      <c r="B887" s="16"/>
      <c r="C887" s="16"/>
      <c r="D887" s="16"/>
      <c r="E887" s="16"/>
      <c r="F887" s="16"/>
      <c r="G887" s="16"/>
      <c r="H887" s="16"/>
      <c r="I887" s="16"/>
      <c r="J887" s="16"/>
      <c r="K887" s="16"/>
      <c r="L887" s="16"/>
      <c r="M887" s="16"/>
      <c r="N887" s="16"/>
      <c r="O887" s="16"/>
      <c r="P887" s="16"/>
      <c r="Q887" s="16"/>
      <c r="R887" s="16"/>
      <c r="S887" s="16"/>
      <c r="T887" s="16"/>
      <c r="U887" s="16"/>
      <c r="V887" s="16"/>
      <c r="W887" s="16"/>
      <c r="X887" s="16"/>
      <c r="Y887" s="16"/>
      <c r="Z887" s="16"/>
      <c r="AA887" s="16"/>
      <c r="AB887" s="16"/>
      <c r="AC887" s="16"/>
      <c r="AD887" s="16"/>
      <c r="AE887" s="16"/>
      <c r="AF887" s="16"/>
      <c r="AG887" s="16"/>
      <c r="AH887" s="16"/>
      <c r="AI887" s="16"/>
      <c r="AJ887" s="16"/>
    </row>
    <row r="888" ht="12.75" customHeight="1" spans="1:36" x14ac:dyDescent="0.25">
      <c r="A888" s="16"/>
      <c r="B888" s="16"/>
      <c r="C888" s="16"/>
      <c r="D888" s="16"/>
      <c r="E888" s="16"/>
      <c r="F888" s="16"/>
      <c r="G888" s="16"/>
      <c r="H888" s="16"/>
      <c r="I888" s="16"/>
      <c r="J888" s="16"/>
      <c r="K888" s="16"/>
      <c r="L888" s="16"/>
      <c r="M888" s="16"/>
      <c r="N888" s="16"/>
      <c r="O888" s="16"/>
      <c r="P888" s="16"/>
      <c r="Q888" s="16"/>
      <c r="R888" s="16"/>
      <c r="S888" s="16"/>
      <c r="T888" s="16"/>
      <c r="U888" s="16"/>
      <c r="V888" s="16"/>
      <c r="W888" s="16"/>
      <c r="X888" s="16"/>
      <c r="Y888" s="16"/>
      <c r="Z888" s="16"/>
      <c r="AA888" s="16"/>
      <c r="AB888" s="16"/>
      <c r="AC888" s="16"/>
      <c r="AD888" s="16"/>
      <c r="AE888" s="16"/>
      <c r="AF888" s="16"/>
      <c r="AG888" s="16"/>
      <c r="AH888" s="16"/>
      <c r="AI888" s="16"/>
      <c r="AJ888" s="16"/>
    </row>
    <row r="889" ht="12.75" customHeight="1" spans="1:36" x14ac:dyDescent="0.25">
      <c r="A889" s="16"/>
      <c r="B889" s="16"/>
      <c r="C889" s="16"/>
      <c r="D889" s="16"/>
      <c r="E889" s="16"/>
      <c r="F889" s="16"/>
      <c r="G889" s="16"/>
      <c r="H889" s="16"/>
      <c r="I889" s="16"/>
      <c r="J889" s="16"/>
      <c r="K889" s="16"/>
      <c r="L889" s="16"/>
      <c r="M889" s="16"/>
      <c r="N889" s="16"/>
      <c r="O889" s="16"/>
      <c r="P889" s="16"/>
      <c r="Q889" s="16"/>
      <c r="R889" s="16"/>
      <c r="S889" s="16"/>
      <c r="T889" s="16"/>
      <c r="U889" s="16"/>
      <c r="V889" s="16"/>
      <c r="W889" s="16"/>
      <c r="X889" s="16"/>
      <c r="Y889" s="16"/>
      <c r="Z889" s="16"/>
      <c r="AA889" s="16"/>
      <c r="AB889" s="16"/>
      <c r="AC889" s="16"/>
      <c r="AD889" s="16"/>
      <c r="AE889" s="16"/>
      <c r="AF889" s="16"/>
      <c r="AG889" s="16"/>
      <c r="AH889" s="16"/>
      <c r="AI889" s="16"/>
      <c r="AJ889" s="16"/>
    </row>
    <row r="890" ht="12.75" customHeight="1" spans="1:36" x14ac:dyDescent="0.25">
      <c r="A890" s="16"/>
      <c r="B890" s="16"/>
      <c r="C890" s="16"/>
      <c r="D890" s="16"/>
      <c r="E890" s="16"/>
      <c r="F890" s="16"/>
      <c r="G890" s="16"/>
      <c r="H890" s="16"/>
      <c r="I890" s="16"/>
      <c r="J890" s="16"/>
      <c r="K890" s="16"/>
      <c r="L890" s="16"/>
      <c r="M890" s="16"/>
      <c r="N890" s="16"/>
      <c r="O890" s="16"/>
      <c r="P890" s="16"/>
      <c r="Q890" s="16"/>
      <c r="R890" s="16"/>
      <c r="S890" s="16"/>
      <c r="T890" s="16"/>
      <c r="U890" s="16"/>
      <c r="V890" s="16"/>
      <c r="W890" s="16"/>
      <c r="X890" s="16"/>
      <c r="Y890" s="16"/>
      <c r="Z890" s="16"/>
      <c r="AA890" s="16"/>
      <c r="AB890" s="16"/>
      <c r="AC890" s="16"/>
      <c r="AD890" s="16"/>
      <c r="AE890" s="16"/>
      <c r="AF890" s="16"/>
      <c r="AG890" s="16"/>
      <c r="AH890" s="16"/>
      <c r="AI890" s="16"/>
      <c r="AJ890" s="16"/>
    </row>
    <row r="891" ht="12.75" customHeight="1" spans="1:36" x14ac:dyDescent="0.25">
      <c r="A891" s="16"/>
      <c r="B891" s="16"/>
      <c r="C891" s="16"/>
      <c r="D891" s="16"/>
      <c r="E891" s="16"/>
      <c r="F891" s="16"/>
      <c r="G891" s="16"/>
      <c r="H891" s="16"/>
      <c r="I891" s="16"/>
      <c r="J891" s="16"/>
      <c r="K891" s="16"/>
      <c r="L891" s="16"/>
      <c r="M891" s="16"/>
      <c r="N891" s="16"/>
      <c r="O891" s="16"/>
      <c r="P891" s="16"/>
      <c r="Q891" s="16"/>
      <c r="R891" s="16"/>
      <c r="S891" s="16"/>
      <c r="T891" s="16"/>
      <c r="U891" s="16"/>
      <c r="V891" s="16"/>
      <c r="W891" s="16"/>
      <c r="X891" s="16"/>
      <c r="Y891" s="16"/>
      <c r="Z891" s="16"/>
      <c r="AA891" s="16"/>
      <c r="AB891" s="16"/>
      <c r="AC891" s="16"/>
      <c r="AD891" s="16"/>
      <c r="AE891" s="16"/>
      <c r="AF891" s="16"/>
      <c r="AG891" s="16"/>
      <c r="AH891" s="16"/>
      <c r="AI891" s="16"/>
      <c r="AJ891" s="16"/>
    </row>
    <row r="892" ht="12.75" customHeight="1" spans="1:36" x14ac:dyDescent="0.25">
      <c r="A892" s="16"/>
      <c r="B892" s="16"/>
      <c r="C892" s="16"/>
      <c r="D892" s="16"/>
      <c r="E892" s="16"/>
      <c r="F892" s="16"/>
      <c r="G892" s="16"/>
      <c r="H892" s="16"/>
      <c r="I892" s="16"/>
      <c r="J892" s="16"/>
      <c r="K892" s="16"/>
      <c r="L892" s="16"/>
      <c r="M892" s="16"/>
      <c r="N892" s="16"/>
      <c r="O892" s="16"/>
      <c r="P892" s="16"/>
      <c r="Q892" s="16"/>
      <c r="R892" s="16"/>
      <c r="S892" s="16"/>
      <c r="T892" s="16"/>
      <c r="U892" s="16"/>
      <c r="V892" s="16"/>
      <c r="W892" s="16"/>
      <c r="X892" s="16"/>
      <c r="Y892" s="16"/>
      <c r="Z892" s="16"/>
      <c r="AA892" s="16"/>
      <c r="AB892" s="16"/>
      <c r="AC892" s="16"/>
      <c r="AD892" s="16"/>
      <c r="AE892" s="16"/>
      <c r="AF892" s="16"/>
      <c r="AG892" s="16"/>
      <c r="AH892" s="16"/>
      <c r="AI892" s="16"/>
      <c r="AJ892" s="16"/>
    </row>
    <row r="893" ht="12.75" customHeight="1" spans="1:36" x14ac:dyDescent="0.25">
      <c r="A893" s="16"/>
      <c r="B893" s="16"/>
      <c r="C893" s="16"/>
      <c r="D893" s="16"/>
      <c r="E893" s="16"/>
      <c r="F893" s="16"/>
      <c r="G893" s="16"/>
      <c r="H893" s="16"/>
      <c r="I893" s="16"/>
      <c r="J893" s="16"/>
      <c r="K893" s="16"/>
      <c r="L893" s="16"/>
      <c r="M893" s="16"/>
      <c r="N893" s="16"/>
      <c r="O893" s="16"/>
      <c r="P893" s="16"/>
      <c r="Q893" s="16"/>
      <c r="R893" s="16"/>
      <c r="S893" s="16"/>
      <c r="T893" s="16"/>
      <c r="U893" s="16"/>
      <c r="V893" s="16"/>
      <c r="W893" s="16"/>
      <c r="X893" s="16"/>
      <c r="Y893" s="16"/>
      <c r="Z893" s="16"/>
      <c r="AA893" s="16"/>
      <c r="AB893" s="16"/>
      <c r="AC893" s="16"/>
      <c r="AD893" s="16"/>
      <c r="AE893" s="16"/>
      <c r="AF893" s="16"/>
      <c r="AG893" s="16"/>
      <c r="AH893" s="16"/>
      <c r="AI893" s="16"/>
      <c r="AJ893" s="16"/>
    </row>
    <row r="894" ht="12.75" customHeight="1" spans="1:36" x14ac:dyDescent="0.25">
      <c r="A894" s="16"/>
      <c r="B894" s="16"/>
      <c r="C894" s="16"/>
      <c r="D894" s="16"/>
      <c r="E894" s="16"/>
      <c r="F894" s="16"/>
      <c r="G894" s="16"/>
      <c r="H894" s="16"/>
      <c r="I894" s="16"/>
      <c r="J894" s="16"/>
      <c r="K894" s="16"/>
      <c r="L894" s="16"/>
      <c r="M894" s="16"/>
      <c r="N894" s="16"/>
      <c r="O894" s="16"/>
      <c r="P894" s="16"/>
      <c r="Q894" s="16"/>
      <c r="R894" s="16"/>
      <c r="S894" s="16"/>
      <c r="T894" s="16"/>
      <c r="U894" s="16"/>
      <c r="V894" s="16"/>
      <c r="W894" s="16"/>
      <c r="X894" s="16"/>
      <c r="Y894" s="16"/>
      <c r="Z894" s="16"/>
      <c r="AA894" s="16"/>
      <c r="AB894" s="16"/>
      <c r="AC894" s="16"/>
      <c r="AD894" s="16"/>
      <c r="AE894" s="16"/>
      <c r="AF894" s="16"/>
      <c r="AG894" s="16"/>
      <c r="AH894" s="16"/>
      <c r="AI894" s="16"/>
      <c r="AJ894" s="16"/>
    </row>
    <row r="895" ht="12.75" customHeight="1" spans="1:36" x14ac:dyDescent="0.25">
      <c r="A895" s="16"/>
      <c r="B895" s="16"/>
      <c r="C895" s="16"/>
      <c r="D895" s="16"/>
      <c r="E895" s="16"/>
      <c r="F895" s="16"/>
      <c r="G895" s="16"/>
      <c r="H895" s="16"/>
      <c r="I895" s="16"/>
      <c r="J895" s="16"/>
      <c r="K895" s="16"/>
      <c r="L895" s="16"/>
      <c r="M895" s="16"/>
      <c r="N895" s="16"/>
      <c r="O895" s="16"/>
      <c r="P895" s="16"/>
      <c r="Q895" s="16"/>
      <c r="R895" s="16"/>
      <c r="S895" s="16"/>
      <c r="T895" s="16"/>
      <c r="U895" s="16"/>
      <c r="V895" s="16"/>
      <c r="W895" s="16"/>
      <c r="X895" s="16"/>
      <c r="Y895" s="16"/>
      <c r="Z895" s="16"/>
      <c r="AA895" s="16"/>
      <c r="AB895" s="16"/>
      <c r="AC895" s="16"/>
      <c r="AD895" s="16"/>
      <c r="AE895" s="16"/>
      <c r="AF895" s="16"/>
      <c r="AG895" s="16"/>
      <c r="AH895" s="16"/>
      <c r="AI895" s="16"/>
      <c r="AJ895" s="16"/>
    </row>
    <row r="896" ht="12.75" customHeight="1" spans="1:36" x14ac:dyDescent="0.25">
      <c r="A896" s="16"/>
      <c r="B896" s="16"/>
      <c r="C896" s="16"/>
      <c r="D896" s="16"/>
      <c r="E896" s="16"/>
      <c r="F896" s="16"/>
      <c r="G896" s="16"/>
      <c r="H896" s="16"/>
      <c r="I896" s="16"/>
      <c r="J896" s="16"/>
      <c r="K896" s="16"/>
      <c r="L896" s="16"/>
      <c r="M896" s="16"/>
      <c r="N896" s="16"/>
      <c r="O896" s="16"/>
      <c r="P896" s="16"/>
      <c r="Q896" s="16"/>
      <c r="R896" s="16"/>
      <c r="S896" s="16"/>
      <c r="T896" s="16"/>
      <c r="U896" s="16"/>
      <c r="V896" s="16"/>
      <c r="W896" s="16"/>
      <c r="X896" s="16"/>
      <c r="Y896" s="16"/>
      <c r="Z896" s="16"/>
      <c r="AA896" s="16"/>
      <c r="AB896" s="16"/>
      <c r="AC896" s="16"/>
      <c r="AD896" s="16"/>
      <c r="AE896" s="16"/>
      <c r="AF896" s="16"/>
      <c r="AG896" s="16"/>
      <c r="AH896" s="16"/>
      <c r="AI896" s="16"/>
      <c r="AJ896" s="16"/>
    </row>
    <row r="897" ht="12.75" customHeight="1" spans="1:36" x14ac:dyDescent="0.25">
      <c r="A897" s="16"/>
      <c r="B897" s="16"/>
      <c r="C897" s="16"/>
      <c r="D897" s="16"/>
      <c r="E897" s="16"/>
      <c r="F897" s="16"/>
      <c r="G897" s="16"/>
      <c r="H897" s="16"/>
      <c r="I897" s="16"/>
      <c r="J897" s="16"/>
      <c r="K897" s="16"/>
      <c r="L897" s="16"/>
      <c r="M897" s="16"/>
      <c r="N897" s="16"/>
      <c r="O897" s="16"/>
      <c r="P897" s="16"/>
      <c r="Q897" s="16"/>
      <c r="R897" s="16"/>
      <c r="S897" s="16"/>
      <c r="T897" s="16"/>
      <c r="U897" s="16"/>
      <c r="V897" s="16"/>
      <c r="W897" s="16"/>
      <c r="X897" s="16"/>
      <c r="Y897" s="16"/>
      <c r="Z897" s="16"/>
      <c r="AA897" s="16"/>
      <c r="AB897" s="16"/>
      <c r="AC897" s="16"/>
      <c r="AD897" s="16"/>
      <c r="AE897" s="16"/>
      <c r="AF897" s="16"/>
      <c r="AG897" s="16"/>
      <c r="AH897" s="16"/>
      <c r="AI897" s="16"/>
      <c r="AJ897" s="16"/>
    </row>
    <row r="898" ht="12.75" customHeight="1" spans="1:36" x14ac:dyDescent="0.25">
      <c r="A898" s="16"/>
      <c r="B898" s="16"/>
      <c r="C898" s="16"/>
      <c r="D898" s="16"/>
      <c r="E898" s="16"/>
      <c r="F898" s="16"/>
      <c r="G898" s="16"/>
      <c r="H898" s="16"/>
      <c r="I898" s="16"/>
      <c r="J898" s="16"/>
      <c r="K898" s="16"/>
      <c r="L898" s="16"/>
      <c r="M898" s="16"/>
      <c r="N898" s="16"/>
      <c r="O898" s="16"/>
      <c r="P898" s="16"/>
      <c r="Q898" s="16"/>
      <c r="R898" s="16"/>
      <c r="S898" s="16"/>
      <c r="T898" s="16"/>
      <c r="U898" s="16"/>
      <c r="V898" s="16"/>
      <c r="W898" s="16"/>
      <c r="X898" s="16"/>
      <c r="Y898" s="16"/>
      <c r="Z898" s="16"/>
      <c r="AA898" s="16"/>
      <c r="AB898" s="16"/>
      <c r="AC898" s="16"/>
      <c r="AD898" s="16"/>
      <c r="AE898" s="16"/>
      <c r="AF898" s="16"/>
      <c r="AG898" s="16"/>
      <c r="AH898" s="16"/>
      <c r="AI898" s="16"/>
      <c r="AJ898" s="16"/>
    </row>
    <row r="899" ht="12.75" customHeight="1" spans="1:36" x14ac:dyDescent="0.25">
      <c r="A899" s="16"/>
      <c r="B899" s="16"/>
      <c r="C899" s="16"/>
      <c r="D899" s="16"/>
      <c r="E899" s="16"/>
      <c r="F899" s="16"/>
      <c r="G899" s="16"/>
      <c r="H899" s="16"/>
      <c r="I899" s="16"/>
      <c r="J899" s="16"/>
      <c r="K899" s="16"/>
      <c r="L899" s="16"/>
      <c r="M899" s="16"/>
      <c r="N899" s="16"/>
      <c r="O899" s="16"/>
      <c r="P899" s="16"/>
      <c r="Q899" s="16"/>
      <c r="R899" s="16"/>
      <c r="S899" s="16"/>
      <c r="T899" s="16"/>
      <c r="U899" s="16"/>
      <c r="V899" s="16"/>
      <c r="W899" s="16"/>
      <c r="X899" s="16"/>
      <c r="Y899" s="16"/>
      <c r="Z899" s="16"/>
      <c r="AA899" s="16"/>
      <c r="AB899" s="16"/>
      <c r="AC899" s="16"/>
      <c r="AD899" s="16"/>
      <c r="AE899" s="16"/>
      <c r="AF899" s="16"/>
      <c r="AG899" s="16"/>
      <c r="AH899" s="16"/>
      <c r="AI899" s="16"/>
      <c r="AJ899" s="16"/>
    </row>
    <row r="900" ht="12.75" customHeight="1" spans="1:36" x14ac:dyDescent="0.25">
      <c r="A900" s="16"/>
      <c r="B900" s="16"/>
      <c r="C900" s="16"/>
      <c r="D900" s="16"/>
      <c r="E900" s="16"/>
      <c r="F900" s="16"/>
      <c r="G900" s="16"/>
      <c r="H900" s="16"/>
      <c r="I900" s="16"/>
      <c r="J900" s="16"/>
      <c r="K900" s="16"/>
      <c r="L900" s="16"/>
      <c r="M900" s="16"/>
      <c r="N900" s="16"/>
      <c r="O900" s="16"/>
      <c r="P900" s="16"/>
      <c r="Q900" s="16"/>
      <c r="R900" s="16"/>
      <c r="S900" s="16"/>
      <c r="T900" s="16"/>
      <c r="U900" s="16"/>
      <c r="V900" s="16"/>
      <c r="W900" s="16"/>
      <c r="X900" s="16"/>
      <c r="Y900" s="16"/>
      <c r="Z900" s="16"/>
      <c r="AA900" s="16"/>
      <c r="AB900" s="16"/>
      <c r="AC900" s="16"/>
      <c r="AD900" s="16"/>
      <c r="AE900" s="16"/>
      <c r="AF900" s="16"/>
      <c r="AG900" s="16"/>
      <c r="AH900" s="16"/>
      <c r="AI900" s="16"/>
      <c r="AJ900" s="16"/>
    </row>
    <row r="901" ht="12.75" customHeight="1" spans="1:36" x14ac:dyDescent="0.25">
      <c r="A901" s="16"/>
      <c r="B901" s="16"/>
      <c r="C901" s="16"/>
      <c r="D901" s="16"/>
      <c r="E901" s="16"/>
      <c r="F901" s="16"/>
      <c r="G901" s="16"/>
      <c r="H901" s="16"/>
      <c r="I901" s="16"/>
      <c r="J901" s="16"/>
      <c r="K901" s="16"/>
      <c r="L901" s="16"/>
      <c r="M901" s="16"/>
      <c r="N901" s="16"/>
      <c r="O901" s="16"/>
      <c r="P901" s="16"/>
      <c r="Q901" s="16"/>
      <c r="R901" s="16"/>
      <c r="S901" s="16"/>
      <c r="T901" s="16"/>
      <c r="U901" s="16"/>
      <c r="V901" s="16"/>
      <c r="W901" s="16"/>
      <c r="X901" s="16"/>
      <c r="Y901" s="16"/>
      <c r="Z901" s="16"/>
      <c r="AA901" s="16"/>
      <c r="AB901" s="16"/>
      <c r="AC901" s="16"/>
      <c r="AD901" s="16"/>
      <c r="AE901" s="16"/>
      <c r="AF901" s="16"/>
      <c r="AG901" s="16"/>
      <c r="AH901" s="16"/>
      <c r="AI901" s="16"/>
      <c r="AJ901" s="16"/>
    </row>
    <row r="902" ht="12.75" customHeight="1" spans="1:36" x14ac:dyDescent="0.25">
      <c r="A902" s="16"/>
      <c r="B902" s="16"/>
      <c r="C902" s="16"/>
      <c r="D902" s="16"/>
      <c r="E902" s="16"/>
      <c r="F902" s="16"/>
      <c r="G902" s="16"/>
      <c r="H902" s="16"/>
      <c r="I902" s="16"/>
      <c r="J902" s="16"/>
      <c r="K902" s="16"/>
      <c r="L902" s="16"/>
      <c r="M902" s="16"/>
      <c r="N902" s="16"/>
      <c r="O902" s="16"/>
      <c r="P902" s="16"/>
      <c r="Q902" s="16"/>
      <c r="R902" s="16"/>
      <c r="S902" s="16"/>
      <c r="T902" s="16"/>
      <c r="U902" s="16"/>
      <c r="V902" s="16"/>
      <c r="W902" s="16"/>
      <c r="X902" s="16"/>
      <c r="Y902" s="16"/>
      <c r="Z902" s="16"/>
      <c r="AA902" s="16"/>
      <c r="AB902" s="16"/>
      <c r="AC902" s="16"/>
      <c r="AD902" s="16"/>
      <c r="AE902" s="16"/>
      <c r="AF902" s="16"/>
      <c r="AG902" s="16"/>
      <c r="AH902" s="16"/>
      <c r="AI902" s="16"/>
      <c r="AJ902" s="16"/>
    </row>
    <row r="903" ht="12.75" customHeight="1" spans="1:36" x14ac:dyDescent="0.25">
      <c r="A903" s="16"/>
      <c r="B903" s="16"/>
      <c r="C903" s="16"/>
      <c r="D903" s="16"/>
      <c r="E903" s="16"/>
      <c r="F903" s="16"/>
      <c r="G903" s="16"/>
      <c r="H903" s="16"/>
      <c r="I903" s="16"/>
      <c r="J903" s="16"/>
      <c r="K903" s="16"/>
      <c r="L903" s="16"/>
      <c r="M903" s="16"/>
      <c r="N903" s="16"/>
      <c r="O903" s="16"/>
      <c r="P903" s="16"/>
      <c r="Q903" s="16"/>
      <c r="R903" s="16"/>
      <c r="S903" s="16"/>
      <c r="T903" s="16"/>
      <c r="U903" s="16"/>
      <c r="V903" s="16"/>
      <c r="W903" s="16"/>
      <c r="X903" s="16"/>
      <c r="Y903" s="16"/>
      <c r="Z903" s="16"/>
      <c r="AA903" s="16"/>
      <c r="AB903" s="16"/>
      <c r="AC903" s="16"/>
      <c r="AD903" s="16"/>
      <c r="AE903" s="16"/>
      <c r="AF903" s="16"/>
      <c r="AG903" s="16"/>
      <c r="AH903" s="16"/>
      <c r="AI903" s="16"/>
      <c r="AJ903" s="16"/>
    </row>
    <row r="904" ht="12.75" customHeight="1" spans="1:36" x14ac:dyDescent="0.25">
      <c r="A904" s="16"/>
      <c r="B904" s="16"/>
      <c r="C904" s="16"/>
      <c r="D904" s="16"/>
      <c r="E904" s="16"/>
      <c r="F904" s="16"/>
      <c r="G904" s="16"/>
      <c r="H904" s="16"/>
      <c r="I904" s="16"/>
      <c r="J904" s="16"/>
      <c r="K904" s="16"/>
      <c r="L904" s="16"/>
      <c r="M904" s="16"/>
      <c r="N904" s="16"/>
      <c r="O904" s="16"/>
      <c r="P904" s="16"/>
      <c r="Q904" s="16"/>
      <c r="R904" s="16"/>
      <c r="S904" s="16"/>
      <c r="T904" s="16"/>
      <c r="U904" s="16"/>
      <c r="V904" s="16"/>
      <c r="W904" s="16"/>
      <c r="X904" s="16"/>
      <c r="Y904" s="16"/>
      <c r="Z904" s="16"/>
      <c r="AA904" s="16"/>
      <c r="AB904" s="16"/>
      <c r="AC904" s="16"/>
      <c r="AD904" s="16"/>
      <c r="AE904" s="16"/>
      <c r="AF904" s="16"/>
      <c r="AG904" s="16"/>
      <c r="AH904" s="16"/>
      <c r="AI904" s="16"/>
      <c r="AJ904" s="16"/>
    </row>
    <row r="905" ht="12.75" customHeight="1" spans="1:36" x14ac:dyDescent="0.25">
      <c r="A905" s="16"/>
      <c r="B905" s="16"/>
      <c r="C905" s="16"/>
      <c r="D905" s="16"/>
      <c r="E905" s="16"/>
      <c r="F905" s="16"/>
      <c r="G905" s="16"/>
      <c r="H905" s="16"/>
      <c r="I905" s="16"/>
      <c r="J905" s="16"/>
      <c r="K905" s="16"/>
      <c r="L905" s="16"/>
      <c r="M905" s="16"/>
      <c r="N905" s="16"/>
      <c r="O905" s="16"/>
      <c r="P905" s="16"/>
      <c r="Q905" s="16"/>
      <c r="R905" s="16"/>
      <c r="S905" s="16"/>
      <c r="T905" s="16"/>
      <c r="U905" s="16"/>
      <c r="V905" s="16"/>
      <c r="W905" s="16"/>
      <c r="X905" s="16"/>
      <c r="Y905" s="16"/>
      <c r="Z905" s="16"/>
      <c r="AA905" s="16"/>
      <c r="AB905" s="16"/>
      <c r="AC905" s="16"/>
      <c r="AD905" s="16"/>
      <c r="AE905" s="16"/>
      <c r="AF905" s="16"/>
      <c r="AG905" s="16"/>
      <c r="AH905" s="16"/>
      <c r="AI905" s="16"/>
      <c r="AJ905" s="16"/>
    </row>
    <row r="906" ht="12.75" customHeight="1" spans="1:36" x14ac:dyDescent="0.25">
      <c r="A906" s="16"/>
      <c r="B906" s="16"/>
      <c r="C906" s="16"/>
      <c r="D906" s="16"/>
      <c r="E906" s="16"/>
      <c r="F906" s="16"/>
      <c r="G906" s="16"/>
      <c r="H906" s="16"/>
      <c r="I906" s="16"/>
      <c r="J906" s="16"/>
      <c r="K906" s="16"/>
      <c r="L906" s="16"/>
      <c r="M906" s="16"/>
      <c r="N906" s="16"/>
      <c r="O906" s="16"/>
      <c r="P906" s="16"/>
      <c r="Q906" s="16"/>
      <c r="R906" s="16"/>
      <c r="S906" s="16"/>
      <c r="T906" s="16"/>
      <c r="U906" s="16"/>
      <c r="V906" s="16"/>
      <c r="W906" s="16"/>
      <c r="X906" s="16"/>
      <c r="Y906" s="16"/>
      <c r="Z906" s="16"/>
      <c r="AA906" s="16"/>
      <c r="AB906" s="16"/>
      <c r="AC906" s="16"/>
      <c r="AD906" s="16"/>
      <c r="AE906" s="16"/>
      <c r="AF906" s="16"/>
      <c r="AG906" s="16"/>
      <c r="AH906" s="16"/>
      <c r="AI906" s="16"/>
      <c r="AJ906" s="16"/>
    </row>
    <row r="907" ht="12.75" customHeight="1" spans="1:36" x14ac:dyDescent="0.25">
      <c r="A907" s="16"/>
      <c r="B907" s="16"/>
      <c r="C907" s="16"/>
      <c r="D907" s="16"/>
      <c r="E907" s="16"/>
      <c r="F907" s="16"/>
      <c r="G907" s="16"/>
      <c r="H907" s="16"/>
      <c r="I907" s="16"/>
      <c r="J907" s="16"/>
      <c r="K907" s="16"/>
      <c r="L907" s="16"/>
      <c r="M907" s="16"/>
      <c r="N907" s="16"/>
      <c r="O907" s="16"/>
      <c r="P907" s="16"/>
      <c r="Q907" s="16"/>
      <c r="R907" s="16"/>
      <c r="S907" s="16"/>
      <c r="T907" s="16"/>
      <c r="U907" s="16"/>
      <c r="V907" s="16"/>
      <c r="W907" s="16"/>
      <c r="X907" s="16"/>
      <c r="Y907" s="16"/>
      <c r="Z907" s="16"/>
      <c r="AA907" s="16"/>
      <c r="AB907" s="16"/>
      <c r="AC907" s="16"/>
      <c r="AD907" s="16"/>
      <c r="AE907" s="16"/>
      <c r="AF907" s="16"/>
      <c r="AG907" s="16"/>
      <c r="AH907" s="16"/>
      <c r="AI907" s="16"/>
      <c r="AJ907" s="16"/>
    </row>
    <row r="908" ht="12.75" customHeight="1" spans="1:36" x14ac:dyDescent="0.25">
      <c r="A908" s="16"/>
      <c r="B908" s="16"/>
      <c r="C908" s="16"/>
      <c r="D908" s="16"/>
      <c r="E908" s="16"/>
      <c r="F908" s="16"/>
      <c r="G908" s="16"/>
      <c r="H908" s="16"/>
      <c r="I908" s="16"/>
      <c r="J908" s="16"/>
      <c r="K908" s="16"/>
      <c r="L908" s="16"/>
      <c r="M908" s="16"/>
      <c r="N908" s="16"/>
      <c r="O908" s="16"/>
      <c r="P908" s="16"/>
      <c r="Q908" s="16"/>
      <c r="R908" s="16"/>
      <c r="S908" s="16"/>
      <c r="T908" s="16"/>
      <c r="U908" s="16"/>
      <c r="V908" s="16"/>
      <c r="W908" s="16"/>
      <c r="X908" s="16"/>
      <c r="Y908" s="16"/>
      <c r="Z908" s="16"/>
      <c r="AA908" s="16"/>
      <c r="AB908" s="16"/>
      <c r="AC908" s="16"/>
      <c r="AD908" s="16"/>
      <c r="AE908" s="16"/>
      <c r="AF908" s="16"/>
      <c r="AG908" s="16"/>
      <c r="AH908" s="16"/>
      <c r="AI908" s="16"/>
      <c r="AJ908" s="16"/>
    </row>
    <row r="909" ht="12.75" customHeight="1" spans="1:36" x14ac:dyDescent="0.25">
      <c r="A909" s="16"/>
      <c r="B909" s="16"/>
      <c r="C909" s="16"/>
      <c r="D909" s="16"/>
      <c r="E909" s="16"/>
      <c r="F909" s="16"/>
      <c r="G909" s="16"/>
      <c r="H909" s="16"/>
      <c r="I909" s="16"/>
      <c r="J909" s="16"/>
      <c r="K909" s="16"/>
      <c r="L909" s="16"/>
      <c r="M909" s="16"/>
      <c r="N909" s="16"/>
      <c r="O909" s="16"/>
      <c r="P909" s="16"/>
      <c r="Q909" s="16"/>
      <c r="R909" s="16"/>
      <c r="S909" s="16"/>
      <c r="T909" s="16"/>
      <c r="U909" s="16"/>
      <c r="V909" s="16"/>
      <c r="W909" s="16"/>
      <c r="X909" s="16"/>
      <c r="Y909" s="16"/>
      <c r="Z909" s="16"/>
      <c r="AA909" s="16"/>
      <c r="AB909" s="16"/>
      <c r="AC909" s="16"/>
      <c r="AD909" s="16"/>
      <c r="AE909" s="16"/>
      <c r="AF909" s="16"/>
      <c r="AG909" s="16"/>
      <c r="AH909" s="16"/>
      <c r="AI909" s="16"/>
      <c r="AJ909" s="16"/>
    </row>
    <row r="910" ht="12.75" customHeight="1" spans="1:36" x14ac:dyDescent="0.25">
      <c r="A910" s="16"/>
      <c r="B910" s="16"/>
      <c r="C910" s="16"/>
      <c r="D910" s="16"/>
      <c r="E910" s="16"/>
      <c r="F910" s="16"/>
      <c r="G910" s="16"/>
      <c r="H910" s="16"/>
      <c r="I910" s="16"/>
      <c r="J910" s="16"/>
      <c r="K910" s="16"/>
      <c r="L910" s="16"/>
      <c r="M910" s="16"/>
      <c r="N910" s="16"/>
      <c r="O910" s="16"/>
      <c r="P910" s="16"/>
      <c r="Q910" s="16"/>
      <c r="R910" s="16"/>
      <c r="S910" s="16"/>
      <c r="T910" s="16"/>
      <c r="U910" s="16"/>
      <c r="V910" s="16"/>
      <c r="W910" s="16"/>
      <c r="X910" s="16"/>
      <c r="Y910" s="16"/>
      <c r="Z910" s="16"/>
      <c r="AA910" s="16"/>
      <c r="AB910" s="16"/>
      <c r="AC910" s="16"/>
      <c r="AD910" s="16"/>
      <c r="AE910" s="16"/>
      <c r="AF910" s="16"/>
      <c r="AG910" s="16"/>
      <c r="AH910" s="16"/>
      <c r="AI910" s="16"/>
      <c r="AJ910" s="16"/>
    </row>
    <row r="911" ht="12.75" customHeight="1" spans="1:36" x14ac:dyDescent="0.25">
      <c r="A911" s="16"/>
      <c r="B911" s="16"/>
      <c r="C911" s="16"/>
      <c r="D911" s="16"/>
      <c r="E911" s="16"/>
      <c r="F911" s="16"/>
      <c r="G911" s="16"/>
      <c r="H911" s="16"/>
      <c r="I911" s="16"/>
      <c r="J911" s="16"/>
      <c r="K911" s="16"/>
      <c r="L911" s="16"/>
      <c r="M911" s="16"/>
      <c r="N911" s="16"/>
      <c r="O911" s="16"/>
      <c r="P911" s="16"/>
      <c r="Q911" s="16"/>
      <c r="R911" s="16"/>
      <c r="S911" s="16"/>
      <c r="T911" s="16"/>
      <c r="U911" s="16"/>
      <c r="V911" s="16"/>
      <c r="W911" s="16"/>
      <c r="X911" s="16"/>
      <c r="Y911" s="16"/>
      <c r="Z911" s="16"/>
      <c r="AA911" s="16"/>
      <c r="AB911" s="16"/>
      <c r="AC911" s="16"/>
      <c r="AD911" s="16"/>
      <c r="AE911" s="16"/>
      <c r="AF911" s="16"/>
      <c r="AG911" s="16"/>
      <c r="AH911" s="16"/>
      <c r="AI911" s="16"/>
      <c r="AJ911" s="16"/>
    </row>
    <row r="912" ht="12.75" customHeight="1" spans="1:36" x14ac:dyDescent="0.25">
      <c r="A912" s="16"/>
      <c r="B912" s="16"/>
      <c r="C912" s="16"/>
      <c r="D912" s="16"/>
      <c r="E912" s="16"/>
      <c r="F912" s="16"/>
      <c r="G912" s="16"/>
      <c r="H912" s="16"/>
      <c r="I912" s="16"/>
      <c r="J912" s="16"/>
      <c r="K912" s="16"/>
      <c r="L912" s="16"/>
      <c r="M912" s="16"/>
      <c r="N912" s="16"/>
      <c r="O912" s="16"/>
      <c r="P912" s="16"/>
      <c r="Q912" s="16"/>
      <c r="R912" s="16"/>
      <c r="S912" s="16"/>
      <c r="T912" s="16"/>
      <c r="U912" s="16"/>
      <c r="V912" s="16"/>
      <c r="W912" s="16"/>
      <c r="X912" s="16"/>
      <c r="Y912" s="16"/>
      <c r="Z912" s="16"/>
      <c r="AA912" s="16"/>
      <c r="AB912" s="16"/>
      <c r="AC912" s="16"/>
      <c r="AD912" s="16"/>
      <c r="AE912" s="16"/>
      <c r="AF912" s="16"/>
      <c r="AG912" s="16"/>
      <c r="AH912" s="16"/>
      <c r="AI912" s="16"/>
      <c r="AJ912" s="16"/>
    </row>
    <row r="913" ht="12.75" customHeight="1" spans="1:36" x14ac:dyDescent="0.25">
      <c r="A913" s="16"/>
      <c r="B913" s="16"/>
      <c r="C913" s="16"/>
      <c r="D913" s="16"/>
      <c r="E913" s="16"/>
      <c r="F913" s="16"/>
      <c r="G913" s="16"/>
      <c r="H913" s="16"/>
      <c r="I913" s="16"/>
      <c r="J913" s="16"/>
      <c r="K913" s="16"/>
      <c r="L913" s="16"/>
      <c r="M913" s="16"/>
      <c r="N913" s="16"/>
      <c r="O913" s="16"/>
      <c r="P913" s="16"/>
      <c r="Q913" s="16"/>
      <c r="R913" s="16"/>
      <c r="S913" s="16"/>
      <c r="T913" s="16"/>
      <c r="U913" s="16"/>
      <c r="V913" s="16"/>
      <c r="W913" s="16"/>
      <c r="X913" s="16"/>
      <c r="Y913" s="16"/>
      <c r="Z913" s="16"/>
      <c r="AA913" s="16"/>
      <c r="AB913" s="16"/>
      <c r="AC913" s="16"/>
      <c r="AD913" s="16"/>
      <c r="AE913" s="16"/>
      <c r="AF913" s="16"/>
      <c r="AG913" s="16"/>
      <c r="AH913" s="16"/>
      <c r="AI913" s="16"/>
      <c r="AJ913" s="16"/>
    </row>
    <row r="914" ht="12.75" customHeight="1" spans="1:36" x14ac:dyDescent="0.25">
      <c r="A914" s="16"/>
      <c r="B914" s="16"/>
      <c r="C914" s="16"/>
      <c r="D914" s="16"/>
      <c r="E914" s="16"/>
      <c r="F914" s="16"/>
      <c r="G914" s="16"/>
      <c r="H914" s="16"/>
      <c r="I914" s="16"/>
      <c r="J914" s="16"/>
      <c r="K914" s="16"/>
      <c r="L914" s="16"/>
      <c r="M914" s="16"/>
      <c r="N914" s="16"/>
      <c r="O914" s="16"/>
      <c r="P914" s="16"/>
      <c r="Q914" s="16"/>
      <c r="R914" s="16"/>
      <c r="S914" s="16"/>
      <c r="T914" s="16"/>
      <c r="U914" s="16"/>
      <c r="V914" s="16"/>
      <c r="W914" s="16"/>
      <c r="X914" s="16"/>
      <c r="Y914" s="16"/>
      <c r="Z914" s="16"/>
      <c r="AA914" s="16"/>
      <c r="AB914" s="16"/>
      <c r="AC914" s="16"/>
      <c r="AD914" s="16"/>
      <c r="AE914" s="16"/>
      <c r="AF914" s="16"/>
      <c r="AG914" s="16"/>
      <c r="AH914" s="16"/>
      <c r="AI914" s="16"/>
      <c r="AJ914" s="16"/>
    </row>
    <row r="915" ht="12.75" customHeight="1" spans="1:36" x14ac:dyDescent="0.25">
      <c r="A915" s="16"/>
      <c r="B915" s="16"/>
      <c r="C915" s="16"/>
      <c r="D915" s="16"/>
      <c r="E915" s="16"/>
      <c r="F915" s="16"/>
      <c r="G915" s="16"/>
      <c r="H915" s="16"/>
      <c r="I915" s="16"/>
      <c r="J915" s="16"/>
      <c r="K915" s="16"/>
      <c r="L915" s="16"/>
      <c r="M915" s="16"/>
      <c r="N915" s="16"/>
      <c r="O915" s="16"/>
      <c r="P915" s="16"/>
      <c r="Q915" s="16"/>
      <c r="R915" s="16"/>
      <c r="S915" s="16"/>
      <c r="T915" s="16"/>
      <c r="U915" s="16"/>
      <c r="V915" s="16"/>
      <c r="W915" s="16"/>
      <c r="X915" s="16"/>
      <c r="Y915" s="16"/>
      <c r="Z915" s="16"/>
      <c r="AA915" s="16"/>
      <c r="AB915" s="16"/>
      <c r="AC915" s="16"/>
      <c r="AD915" s="16"/>
      <c r="AE915" s="16"/>
      <c r="AF915" s="16"/>
      <c r="AG915" s="16"/>
      <c r="AH915" s="16"/>
      <c r="AI915" s="16"/>
      <c r="AJ915" s="16"/>
    </row>
    <row r="916" ht="12.75" customHeight="1" spans="1:36" x14ac:dyDescent="0.25">
      <c r="A916" s="16"/>
      <c r="B916" s="16"/>
      <c r="C916" s="16"/>
      <c r="D916" s="16"/>
      <c r="E916" s="16"/>
      <c r="F916" s="16"/>
      <c r="G916" s="16"/>
      <c r="H916" s="16"/>
      <c r="I916" s="16"/>
      <c r="J916" s="16"/>
      <c r="K916" s="16"/>
      <c r="L916" s="16"/>
      <c r="M916" s="16"/>
      <c r="N916" s="16"/>
      <c r="O916" s="16"/>
      <c r="P916" s="16"/>
      <c r="Q916" s="16"/>
      <c r="R916" s="16"/>
      <c r="S916" s="16"/>
      <c r="T916" s="16"/>
      <c r="U916" s="16"/>
      <c r="V916" s="16"/>
      <c r="W916" s="16"/>
      <c r="X916" s="16"/>
      <c r="Y916" s="16"/>
      <c r="Z916" s="16"/>
      <c r="AA916" s="16"/>
      <c r="AB916" s="16"/>
      <c r="AC916" s="16"/>
      <c r="AD916" s="16"/>
      <c r="AE916" s="16"/>
      <c r="AF916" s="16"/>
      <c r="AG916" s="16"/>
      <c r="AH916" s="16"/>
      <c r="AI916" s="16"/>
      <c r="AJ916" s="16"/>
    </row>
    <row r="917" ht="12.75" customHeight="1" spans="1:36" x14ac:dyDescent="0.25">
      <c r="A917" s="16"/>
      <c r="B917" s="16"/>
      <c r="C917" s="16"/>
      <c r="D917" s="16"/>
      <c r="E917" s="16"/>
      <c r="F917" s="16"/>
      <c r="G917" s="16"/>
      <c r="H917" s="16"/>
      <c r="I917" s="16"/>
      <c r="J917" s="16"/>
      <c r="K917" s="16"/>
      <c r="L917" s="16"/>
      <c r="M917" s="16"/>
      <c r="N917" s="16"/>
      <c r="O917" s="16"/>
      <c r="P917" s="16"/>
      <c r="Q917" s="16"/>
      <c r="R917" s="16"/>
      <c r="S917" s="16"/>
      <c r="T917" s="16"/>
      <c r="U917" s="16"/>
      <c r="V917" s="16"/>
      <c r="W917" s="16"/>
      <c r="X917" s="16"/>
      <c r="Y917" s="16"/>
      <c r="Z917" s="16"/>
      <c r="AA917" s="16"/>
      <c r="AB917" s="16"/>
      <c r="AC917" s="16"/>
      <c r="AD917" s="16"/>
      <c r="AE917" s="16"/>
      <c r="AF917" s="16"/>
      <c r="AG917" s="16"/>
      <c r="AH917" s="16"/>
      <c r="AI917" s="16"/>
      <c r="AJ917" s="16"/>
    </row>
    <row r="918" ht="12.75" customHeight="1" spans="1:36" x14ac:dyDescent="0.25">
      <c r="A918" s="16"/>
      <c r="B918" s="16"/>
      <c r="C918" s="16"/>
      <c r="D918" s="16"/>
      <c r="E918" s="16"/>
      <c r="F918" s="16"/>
      <c r="G918" s="16"/>
      <c r="H918" s="16"/>
      <c r="I918" s="16"/>
      <c r="J918" s="16"/>
      <c r="K918" s="16"/>
      <c r="L918" s="16"/>
      <c r="M918" s="16"/>
      <c r="N918" s="16"/>
      <c r="O918" s="16"/>
      <c r="P918" s="16"/>
      <c r="Q918" s="16"/>
      <c r="R918" s="16"/>
      <c r="S918" s="16"/>
      <c r="T918" s="16"/>
      <c r="U918" s="16"/>
      <c r="V918" s="16"/>
      <c r="W918" s="16"/>
      <c r="X918" s="16"/>
      <c r="Y918" s="16"/>
      <c r="Z918" s="16"/>
      <c r="AA918" s="16"/>
      <c r="AB918" s="16"/>
      <c r="AC918" s="16"/>
      <c r="AD918" s="16"/>
      <c r="AE918" s="16"/>
      <c r="AF918" s="16"/>
      <c r="AG918" s="16"/>
      <c r="AH918" s="16"/>
      <c r="AI918" s="16"/>
      <c r="AJ918" s="16"/>
    </row>
    <row r="919" ht="12.75" customHeight="1" spans="1:36" x14ac:dyDescent="0.25">
      <c r="A919" s="16"/>
      <c r="B919" s="16"/>
      <c r="C919" s="16"/>
      <c r="D919" s="16"/>
      <c r="E919" s="16"/>
      <c r="F919" s="16"/>
      <c r="G919" s="16"/>
      <c r="H919" s="16"/>
      <c r="I919" s="16"/>
      <c r="J919" s="16"/>
      <c r="K919" s="16"/>
      <c r="L919" s="16"/>
      <c r="M919" s="16"/>
      <c r="N919" s="16"/>
      <c r="O919" s="16"/>
      <c r="P919" s="16"/>
      <c r="Q919" s="16"/>
      <c r="R919" s="16"/>
      <c r="S919" s="16"/>
      <c r="T919" s="16"/>
      <c r="U919" s="16"/>
      <c r="V919" s="16"/>
      <c r="W919" s="16"/>
      <c r="X919" s="16"/>
      <c r="Y919" s="16"/>
      <c r="Z919" s="16"/>
      <c r="AA919" s="16"/>
      <c r="AB919" s="16"/>
      <c r="AC919" s="16"/>
      <c r="AD919" s="16"/>
      <c r="AE919" s="16"/>
      <c r="AF919" s="16"/>
      <c r="AG919" s="16"/>
      <c r="AH919" s="16"/>
      <c r="AI919" s="16"/>
      <c r="AJ919" s="16"/>
    </row>
    <row r="920" ht="12.75" customHeight="1" spans="1:36" x14ac:dyDescent="0.25">
      <c r="A920" s="16"/>
      <c r="B920" s="16"/>
      <c r="C920" s="16"/>
      <c r="D920" s="16"/>
      <c r="E920" s="16"/>
      <c r="F920" s="16"/>
      <c r="G920" s="16"/>
      <c r="H920" s="16"/>
      <c r="I920" s="16"/>
      <c r="J920" s="16"/>
      <c r="K920" s="16"/>
      <c r="L920" s="16"/>
      <c r="M920" s="16"/>
      <c r="N920" s="16"/>
      <c r="O920" s="16"/>
      <c r="P920" s="16"/>
      <c r="Q920" s="16"/>
      <c r="R920" s="16"/>
      <c r="S920" s="16"/>
      <c r="T920" s="16"/>
      <c r="U920" s="16"/>
      <c r="V920" s="16"/>
      <c r="W920" s="16"/>
      <c r="X920" s="16"/>
      <c r="Y920" s="16"/>
      <c r="Z920" s="16"/>
      <c r="AA920" s="16"/>
      <c r="AB920" s="16"/>
      <c r="AC920" s="16"/>
      <c r="AD920" s="16"/>
      <c r="AE920" s="16"/>
      <c r="AF920" s="16"/>
      <c r="AG920" s="16"/>
      <c r="AH920" s="16"/>
      <c r="AI920" s="16"/>
      <c r="AJ920" s="16"/>
    </row>
    <row r="921" ht="12.75" customHeight="1" spans="1:36" x14ac:dyDescent="0.25">
      <c r="A921" s="16"/>
      <c r="B921" s="16"/>
      <c r="C921" s="16"/>
      <c r="D921" s="16"/>
      <c r="E921" s="16"/>
      <c r="F921" s="16"/>
      <c r="G921" s="16"/>
      <c r="H921" s="16"/>
      <c r="I921" s="16"/>
      <c r="J921" s="16"/>
      <c r="K921" s="16"/>
      <c r="L921" s="16"/>
      <c r="M921" s="16"/>
      <c r="N921" s="16"/>
      <c r="O921" s="16"/>
      <c r="P921" s="16"/>
      <c r="Q921" s="16"/>
      <c r="R921" s="16"/>
      <c r="S921" s="16"/>
      <c r="T921" s="16"/>
      <c r="U921" s="16"/>
      <c r="V921" s="16"/>
      <c r="W921" s="16"/>
      <c r="X921" s="16"/>
      <c r="Y921" s="16"/>
      <c r="Z921" s="16"/>
      <c r="AA921" s="16"/>
      <c r="AB921" s="16"/>
      <c r="AC921" s="16"/>
      <c r="AD921" s="16"/>
      <c r="AE921" s="16"/>
      <c r="AF921" s="16"/>
      <c r="AG921" s="16"/>
      <c r="AH921" s="16"/>
      <c r="AI921" s="16"/>
      <c r="AJ921" s="16"/>
    </row>
    <row r="922" ht="12.75" customHeight="1" spans="1:36" x14ac:dyDescent="0.25">
      <c r="A922" s="16"/>
      <c r="B922" s="16"/>
      <c r="C922" s="16"/>
      <c r="D922" s="16"/>
      <c r="E922" s="16"/>
      <c r="F922" s="16"/>
      <c r="G922" s="16"/>
      <c r="H922" s="16"/>
      <c r="I922" s="16"/>
      <c r="J922" s="16"/>
      <c r="K922" s="16"/>
      <c r="L922" s="16"/>
      <c r="M922" s="16"/>
      <c r="N922" s="16"/>
      <c r="O922" s="16"/>
      <c r="P922" s="16"/>
      <c r="Q922" s="16"/>
      <c r="R922" s="16"/>
      <c r="S922" s="16"/>
      <c r="T922" s="16"/>
      <c r="U922" s="16"/>
      <c r="V922" s="16"/>
      <c r="W922" s="16"/>
      <c r="X922" s="16"/>
      <c r="Y922" s="16"/>
      <c r="Z922" s="16"/>
      <c r="AA922" s="16"/>
      <c r="AB922" s="16"/>
      <c r="AC922" s="16"/>
      <c r="AD922" s="16"/>
      <c r="AE922" s="16"/>
      <c r="AF922" s="16"/>
      <c r="AG922" s="16"/>
      <c r="AH922" s="16"/>
      <c r="AI922" s="16"/>
      <c r="AJ922" s="16"/>
    </row>
    <row r="923" ht="12.75" customHeight="1" spans="1:36" x14ac:dyDescent="0.25">
      <c r="A923" s="16"/>
      <c r="B923" s="16"/>
      <c r="C923" s="16"/>
      <c r="D923" s="16"/>
      <c r="E923" s="16"/>
      <c r="F923" s="16"/>
      <c r="G923" s="16"/>
      <c r="H923" s="16"/>
      <c r="I923" s="16"/>
      <c r="J923" s="16"/>
      <c r="K923" s="16"/>
      <c r="L923" s="16"/>
      <c r="M923" s="16"/>
      <c r="N923" s="16"/>
      <c r="O923" s="16"/>
      <c r="P923" s="16"/>
      <c r="Q923" s="16"/>
      <c r="R923" s="16"/>
      <c r="S923" s="16"/>
      <c r="T923" s="16"/>
      <c r="U923" s="16"/>
      <c r="V923" s="16"/>
      <c r="W923" s="16"/>
      <c r="X923" s="16"/>
      <c r="Y923" s="16"/>
      <c r="Z923" s="16"/>
      <c r="AA923" s="16"/>
      <c r="AB923" s="16"/>
      <c r="AC923" s="16"/>
      <c r="AD923" s="16"/>
      <c r="AE923" s="16"/>
      <c r="AF923" s="16"/>
      <c r="AG923" s="16"/>
      <c r="AH923" s="16"/>
      <c r="AI923" s="16"/>
      <c r="AJ923" s="16"/>
    </row>
    <row r="924" ht="12.75" customHeight="1" spans="1:36" x14ac:dyDescent="0.25">
      <c r="A924" s="16"/>
      <c r="B924" s="16"/>
      <c r="C924" s="16"/>
      <c r="D924" s="16"/>
      <c r="E924" s="16"/>
      <c r="F924" s="16"/>
      <c r="G924" s="16"/>
      <c r="H924" s="16"/>
      <c r="I924" s="16"/>
      <c r="J924" s="16"/>
      <c r="K924" s="16"/>
      <c r="L924" s="16"/>
      <c r="M924" s="16"/>
      <c r="N924" s="16"/>
      <c r="O924" s="16"/>
      <c r="P924" s="16"/>
      <c r="Q924" s="16"/>
      <c r="R924" s="16"/>
      <c r="S924" s="16"/>
      <c r="T924" s="16"/>
      <c r="U924" s="16"/>
      <c r="V924" s="16"/>
      <c r="W924" s="16"/>
      <c r="X924" s="16"/>
      <c r="Y924" s="16"/>
      <c r="Z924" s="16"/>
      <c r="AA924" s="16"/>
      <c r="AB924" s="16"/>
      <c r="AC924" s="16"/>
      <c r="AD924" s="16"/>
      <c r="AE924" s="16"/>
      <c r="AF924" s="16"/>
      <c r="AG924" s="16"/>
      <c r="AH924" s="16"/>
      <c r="AI924" s="16"/>
      <c r="AJ924" s="16"/>
    </row>
    <row r="925" ht="12.75" customHeight="1" spans="1:36" x14ac:dyDescent="0.25">
      <c r="A925" s="16"/>
      <c r="B925" s="16"/>
      <c r="C925" s="16"/>
      <c r="D925" s="16"/>
      <c r="E925" s="16"/>
      <c r="F925" s="16"/>
      <c r="G925" s="16"/>
      <c r="H925" s="16"/>
      <c r="I925" s="16"/>
      <c r="J925" s="16"/>
      <c r="K925" s="16"/>
      <c r="L925" s="16"/>
      <c r="M925" s="16"/>
      <c r="N925" s="16"/>
      <c r="O925" s="16"/>
      <c r="P925" s="16"/>
      <c r="Q925" s="16"/>
      <c r="R925" s="16"/>
      <c r="S925" s="16"/>
      <c r="T925" s="16"/>
      <c r="U925" s="16"/>
      <c r="V925" s="16"/>
      <c r="W925" s="16"/>
      <c r="X925" s="16"/>
      <c r="Y925" s="16"/>
      <c r="Z925" s="16"/>
      <c r="AA925" s="16"/>
      <c r="AB925" s="16"/>
      <c r="AC925" s="16"/>
      <c r="AD925" s="16"/>
      <c r="AE925" s="16"/>
      <c r="AF925" s="16"/>
      <c r="AG925" s="16"/>
      <c r="AH925" s="16"/>
      <c r="AI925" s="16"/>
      <c r="AJ925" s="16"/>
    </row>
    <row r="926" ht="12.75" customHeight="1" spans="1:36" x14ac:dyDescent="0.25">
      <c r="A926" s="16"/>
      <c r="B926" s="16"/>
      <c r="C926" s="16"/>
      <c r="D926" s="16"/>
      <c r="E926" s="16"/>
      <c r="F926" s="16"/>
      <c r="G926" s="16"/>
      <c r="H926" s="16"/>
      <c r="I926" s="16"/>
      <c r="J926" s="16"/>
      <c r="K926" s="16"/>
      <c r="L926" s="16"/>
      <c r="M926" s="16"/>
      <c r="N926" s="16"/>
      <c r="O926" s="16"/>
      <c r="P926" s="16"/>
      <c r="Q926" s="16"/>
      <c r="R926" s="16"/>
      <c r="S926" s="16"/>
      <c r="T926" s="16"/>
      <c r="U926" s="16"/>
      <c r="V926" s="16"/>
      <c r="W926" s="16"/>
      <c r="X926" s="16"/>
      <c r="Y926" s="16"/>
      <c r="Z926" s="16"/>
      <c r="AA926" s="16"/>
      <c r="AB926" s="16"/>
      <c r="AC926" s="16"/>
      <c r="AD926" s="16"/>
      <c r="AE926" s="16"/>
      <c r="AF926" s="16"/>
      <c r="AG926" s="16"/>
      <c r="AH926" s="16"/>
      <c r="AI926" s="16"/>
      <c r="AJ926" s="16"/>
    </row>
    <row r="927" ht="12.75" customHeight="1" spans="1:36" x14ac:dyDescent="0.25">
      <c r="A927" s="16"/>
      <c r="B927" s="16"/>
      <c r="C927" s="16"/>
      <c r="D927" s="16"/>
      <c r="E927" s="16"/>
      <c r="F927" s="16"/>
      <c r="G927" s="16"/>
      <c r="H927" s="16"/>
      <c r="I927" s="16"/>
      <c r="J927" s="16"/>
      <c r="K927" s="16"/>
      <c r="L927" s="16"/>
      <c r="M927" s="16"/>
      <c r="N927" s="16"/>
      <c r="O927" s="16"/>
      <c r="P927" s="16"/>
      <c r="Q927" s="16"/>
      <c r="R927" s="16"/>
      <c r="S927" s="16"/>
      <c r="T927" s="16"/>
      <c r="U927" s="16"/>
      <c r="V927" s="16"/>
      <c r="W927" s="16"/>
      <c r="X927" s="16"/>
      <c r="Y927" s="16"/>
      <c r="Z927" s="16"/>
      <c r="AA927" s="16"/>
      <c r="AB927" s="16"/>
      <c r="AC927" s="16"/>
      <c r="AD927" s="16"/>
      <c r="AE927" s="16"/>
      <c r="AF927" s="16"/>
      <c r="AG927" s="16"/>
      <c r="AH927" s="16"/>
      <c r="AI927" s="16"/>
      <c r="AJ927" s="16"/>
    </row>
    <row r="928" ht="12.75" customHeight="1" spans="1:36" x14ac:dyDescent="0.25">
      <c r="A928" s="16"/>
      <c r="B928" s="16"/>
      <c r="C928" s="16"/>
      <c r="D928" s="16"/>
      <c r="E928" s="16"/>
      <c r="F928" s="16"/>
      <c r="G928" s="16"/>
      <c r="H928" s="16"/>
      <c r="I928" s="16"/>
      <c r="J928" s="16"/>
      <c r="K928" s="16"/>
      <c r="L928" s="16"/>
      <c r="M928" s="16"/>
      <c r="N928" s="16"/>
      <c r="O928" s="16"/>
      <c r="P928" s="16"/>
      <c r="Q928" s="16"/>
      <c r="R928" s="16"/>
      <c r="S928" s="16"/>
      <c r="T928" s="16"/>
      <c r="U928" s="16"/>
      <c r="V928" s="16"/>
      <c r="W928" s="16"/>
      <c r="X928" s="16"/>
      <c r="Y928" s="16"/>
      <c r="Z928" s="16"/>
      <c r="AA928" s="16"/>
      <c r="AB928" s="16"/>
      <c r="AC928" s="16"/>
      <c r="AD928" s="16"/>
      <c r="AE928" s="16"/>
      <c r="AF928" s="16"/>
      <c r="AG928" s="16"/>
      <c r="AH928" s="16"/>
      <c r="AI928" s="16"/>
      <c r="AJ928" s="16"/>
    </row>
    <row r="929" ht="12.75" customHeight="1" spans="1:36" x14ac:dyDescent="0.25">
      <c r="A929" s="16"/>
      <c r="B929" s="16"/>
      <c r="C929" s="16"/>
      <c r="D929" s="16"/>
      <c r="E929" s="16"/>
      <c r="F929" s="16"/>
      <c r="G929" s="16"/>
      <c r="H929" s="16"/>
      <c r="I929" s="16"/>
      <c r="J929" s="16"/>
      <c r="K929" s="16"/>
      <c r="L929" s="16"/>
      <c r="M929" s="16"/>
      <c r="N929" s="16"/>
      <c r="O929" s="16"/>
      <c r="P929" s="16"/>
      <c r="Q929" s="16"/>
      <c r="R929" s="16"/>
      <c r="S929" s="16"/>
      <c r="T929" s="16"/>
      <c r="U929" s="16"/>
      <c r="V929" s="16"/>
      <c r="W929" s="16"/>
      <c r="X929" s="16"/>
      <c r="Y929" s="16"/>
      <c r="Z929" s="16"/>
      <c r="AA929" s="16"/>
      <c r="AB929" s="16"/>
      <c r="AC929" s="16"/>
      <c r="AD929" s="16"/>
      <c r="AE929" s="16"/>
      <c r="AF929" s="16"/>
      <c r="AG929" s="16"/>
      <c r="AH929" s="16"/>
      <c r="AI929" s="16"/>
      <c r="AJ929" s="16"/>
    </row>
    <row r="930" ht="12.75" customHeight="1" spans="1:36" x14ac:dyDescent="0.25">
      <c r="A930" s="16"/>
      <c r="B930" s="16"/>
      <c r="C930" s="16"/>
      <c r="D930" s="16"/>
      <c r="E930" s="16"/>
      <c r="F930" s="16"/>
      <c r="G930" s="16"/>
      <c r="H930" s="16"/>
      <c r="I930" s="16"/>
      <c r="J930" s="16"/>
      <c r="K930" s="16"/>
      <c r="L930" s="16"/>
      <c r="M930" s="16"/>
      <c r="N930" s="16"/>
      <c r="O930" s="16"/>
      <c r="P930" s="16"/>
      <c r="Q930" s="16"/>
      <c r="R930" s="16"/>
      <c r="S930" s="16"/>
      <c r="T930" s="16"/>
      <c r="U930" s="16"/>
      <c r="V930" s="16"/>
      <c r="W930" s="16"/>
      <c r="X930" s="16"/>
      <c r="Y930" s="16"/>
      <c r="Z930" s="16"/>
      <c r="AA930" s="16"/>
      <c r="AB930" s="16"/>
      <c r="AC930" s="16"/>
      <c r="AD930" s="16"/>
      <c r="AE930" s="16"/>
      <c r="AF930" s="16"/>
      <c r="AG930" s="16"/>
      <c r="AH930" s="16"/>
      <c r="AI930" s="16"/>
      <c r="AJ930" s="16"/>
    </row>
    <row r="931" ht="12.75" customHeight="1" spans="1:36" x14ac:dyDescent="0.25">
      <c r="A931" s="16"/>
      <c r="B931" s="16"/>
      <c r="C931" s="16"/>
      <c r="D931" s="16"/>
      <c r="E931" s="16"/>
      <c r="F931" s="16"/>
      <c r="G931" s="16"/>
      <c r="H931" s="16"/>
      <c r="I931" s="16"/>
      <c r="J931" s="16"/>
      <c r="K931" s="16"/>
      <c r="L931" s="16"/>
      <c r="M931" s="16"/>
      <c r="N931" s="16"/>
      <c r="O931" s="16"/>
      <c r="P931" s="16"/>
      <c r="Q931" s="16"/>
      <c r="R931" s="16"/>
      <c r="S931" s="16"/>
      <c r="T931" s="16"/>
      <c r="U931" s="16"/>
      <c r="V931" s="16"/>
      <c r="W931" s="16"/>
      <c r="X931" s="16"/>
      <c r="Y931" s="16"/>
      <c r="Z931" s="16"/>
      <c r="AA931" s="16"/>
      <c r="AB931" s="16"/>
      <c r="AC931" s="16"/>
      <c r="AD931" s="16"/>
      <c r="AE931" s="16"/>
      <c r="AF931" s="16"/>
      <c r="AG931" s="16"/>
      <c r="AH931" s="16"/>
      <c r="AI931" s="16"/>
      <c r="AJ931" s="16"/>
    </row>
    <row r="932" ht="12.75" customHeight="1" spans="1:36" x14ac:dyDescent="0.25">
      <c r="A932" s="16"/>
      <c r="B932" s="16"/>
      <c r="C932" s="16"/>
      <c r="D932" s="16"/>
      <c r="E932" s="16"/>
      <c r="F932" s="16"/>
      <c r="G932" s="16"/>
      <c r="H932" s="16"/>
      <c r="I932" s="16"/>
      <c r="J932" s="16"/>
      <c r="K932" s="16"/>
      <c r="L932" s="16"/>
      <c r="M932" s="16"/>
      <c r="N932" s="16"/>
      <c r="O932" s="16"/>
      <c r="P932" s="16"/>
      <c r="Q932" s="16"/>
      <c r="R932" s="16"/>
      <c r="S932" s="16"/>
      <c r="T932" s="16"/>
      <c r="U932" s="16"/>
      <c r="V932" s="16"/>
      <c r="W932" s="16"/>
      <c r="X932" s="16"/>
      <c r="Y932" s="16"/>
      <c r="Z932" s="16"/>
      <c r="AA932" s="16"/>
      <c r="AB932" s="16"/>
      <c r="AC932" s="16"/>
      <c r="AD932" s="16"/>
      <c r="AE932" s="16"/>
      <c r="AF932" s="16"/>
      <c r="AG932" s="16"/>
      <c r="AH932" s="16"/>
      <c r="AI932" s="16"/>
      <c r="AJ932" s="16"/>
    </row>
    <row r="933" ht="12.75" customHeight="1" spans="1:36" x14ac:dyDescent="0.25">
      <c r="A933" s="16"/>
      <c r="B933" s="16"/>
      <c r="C933" s="16"/>
      <c r="D933" s="16"/>
      <c r="E933" s="16"/>
      <c r="F933" s="16"/>
      <c r="G933" s="16"/>
      <c r="H933" s="16"/>
      <c r="I933" s="16"/>
      <c r="J933" s="16"/>
      <c r="K933" s="16"/>
      <c r="L933" s="16"/>
      <c r="M933" s="16"/>
      <c r="N933" s="16"/>
      <c r="O933" s="16"/>
      <c r="P933" s="16"/>
      <c r="Q933" s="16"/>
      <c r="R933" s="16"/>
      <c r="S933" s="16"/>
      <c r="T933" s="16"/>
      <c r="U933" s="16"/>
      <c r="V933" s="16"/>
      <c r="W933" s="16"/>
      <c r="X933" s="16"/>
      <c r="Y933" s="16"/>
      <c r="Z933" s="16"/>
      <c r="AA933" s="16"/>
      <c r="AB933" s="16"/>
      <c r="AC933" s="16"/>
      <c r="AD933" s="16"/>
      <c r="AE933" s="16"/>
      <c r="AF933" s="16"/>
      <c r="AG933" s="16"/>
      <c r="AH933" s="16"/>
      <c r="AI933" s="16"/>
      <c r="AJ933" s="16"/>
    </row>
    <row r="934" ht="12.75" customHeight="1" spans="1:36" x14ac:dyDescent="0.25">
      <c r="A934" s="16"/>
      <c r="B934" s="16"/>
      <c r="C934" s="16"/>
      <c r="D934" s="16"/>
      <c r="E934" s="16"/>
      <c r="F934" s="16"/>
      <c r="G934" s="16"/>
      <c r="H934" s="16"/>
      <c r="I934" s="16"/>
      <c r="J934" s="16"/>
      <c r="K934" s="16"/>
      <c r="L934" s="16"/>
      <c r="M934" s="16"/>
      <c r="N934" s="16"/>
      <c r="O934" s="16"/>
      <c r="P934" s="16"/>
      <c r="Q934" s="16"/>
      <c r="R934" s="16"/>
      <c r="S934" s="16"/>
      <c r="T934" s="16"/>
      <c r="U934" s="16"/>
      <c r="V934" s="16"/>
      <c r="W934" s="16"/>
      <c r="X934" s="16"/>
      <c r="Y934" s="16"/>
      <c r="Z934" s="16"/>
      <c r="AA934" s="16"/>
      <c r="AB934" s="16"/>
      <c r="AC934" s="16"/>
      <c r="AD934" s="16"/>
      <c r="AE934" s="16"/>
      <c r="AF934" s="16"/>
      <c r="AG934" s="16"/>
      <c r="AH934" s="16"/>
      <c r="AI934" s="16"/>
      <c r="AJ934" s="16"/>
    </row>
    <row r="935" ht="12.75" customHeight="1" spans="1:36" x14ac:dyDescent="0.25">
      <c r="A935" s="16"/>
      <c r="B935" s="16"/>
      <c r="C935" s="16"/>
      <c r="D935" s="16"/>
      <c r="E935" s="16"/>
      <c r="F935" s="16"/>
      <c r="G935" s="16"/>
      <c r="H935" s="16"/>
      <c r="I935" s="16"/>
      <c r="J935" s="16"/>
      <c r="K935" s="16"/>
      <c r="L935" s="16"/>
      <c r="M935" s="16"/>
      <c r="N935" s="16"/>
      <c r="O935" s="16"/>
      <c r="P935" s="16"/>
      <c r="Q935" s="16"/>
      <c r="R935" s="16"/>
      <c r="S935" s="16"/>
      <c r="T935" s="16"/>
      <c r="U935" s="16"/>
      <c r="V935" s="16"/>
      <c r="W935" s="16"/>
      <c r="X935" s="16"/>
      <c r="Y935" s="16"/>
      <c r="Z935" s="16"/>
      <c r="AA935" s="16"/>
      <c r="AB935" s="16"/>
      <c r="AC935" s="16"/>
      <c r="AD935" s="16"/>
      <c r="AE935" s="16"/>
      <c r="AF935" s="16"/>
      <c r="AG935" s="16"/>
      <c r="AH935" s="16"/>
      <c r="AI935" s="16"/>
      <c r="AJ935" s="16"/>
    </row>
    <row r="936" ht="12.75" customHeight="1" spans="1:36" x14ac:dyDescent="0.25">
      <c r="A936" s="16"/>
      <c r="B936" s="16"/>
      <c r="C936" s="16"/>
      <c r="D936" s="16"/>
      <c r="E936" s="16"/>
      <c r="F936" s="16"/>
      <c r="G936" s="16"/>
      <c r="H936" s="16"/>
      <c r="I936" s="16"/>
      <c r="J936" s="16"/>
      <c r="K936" s="16"/>
      <c r="L936" s="16"/>
      <c r="M936" s="16"/>
      <c r="N936" s="16"/>
      <c r="O936" s="16"/>
      <c r="P936" s="16"/>
      <c r="Q936" s="16"/>
      <c r="R936" s="16"/>
      <c r="S936" s="16"/>
      <c r="T936" s="16"/>
      <c r="U936" s="16"/>
      <c r="V936" s="16"/>
      <c r="W936" s="16"/>
      <c r="X936" s="16"/>
      <c r="Y936" s="16"/>
      <c r="Z936" s="16"/>
      <c r="AA936" s="16"/>
      <c r="AB936" s="16"/>
      <c r="AC936" s="16"/>
      <c r="AD936" s="16"/>
      <c r="AE936" s="16"/>
      <c r="AF936" s="16"/>
      <c r="AG936" s="16"/>
      <c r="AH936" s="16"/>
      <c r="AI936" s="16"/>
      <c r="AJ936" s="16"/>
    </row>
    <row r="937" ht="12.75" customHeight="1" spans="1:36" x14ac:dyDescent="0.25">
      <c r="A937" s="16"/>
      <c r="B937" s="16"/>
      <c r="C937" s="16"/>
      <c r="D937" s="16"/>
      <c r="E937" s="16"/>
      <c r="F937" s="16"/>
      <c r="G937" s="16"/>
      <c r="H937" s="16"/>
      <c r="I937" s="16"/>
      <c r="J937" s="16"/>
      <c r="K937" s="16"/>
      <c r="L937" s="16"/>
      <c r="M937" s="16"/>
      <c r="N937" s="16"/>
      <c r="O937" s="16"/>
      <c r="P937" s="16"/>
      <c r="Q937" s="16"/>
      <c r="R937" s="16"/>
      <c r="S937" s="16"/>
      <c r="T937" s="16"/>
      <c r="U937" s="16"/>
      <c r="V937" s="16"/>
      <c r="W937" s="16"/>
      <c r="X937" s="16"/>
      <c r="Y937" s="16"/>
      <c r="Z937" s="16"/>
      <c r="AA937" s="16"/>
      <c r="AB937" s="16"/>
      <c r="AC937" s="16"/>
      <c r="AD937" s="16"/>
      <c r="AE937" s="16"/>
      <c r="AF937" s="16"/>
      <c r="AG937" s="16"/>
      <c r="AH937" s="16"/>
      <c r="AI937" s="16"/>
      <c r="AJ937" s="16"/>
    </row>
    <row r="938" ht="12.75" customHeight="1" spans="1:36" x14ac:dyDescent="0.25">
      <c r="A938" s="16"/>
      <c r="B938" s="16"/>
      <c r="C938" s="16"/>
      <c r="D938" s="16"/>
      <c r="E938" s="16"/>
      <c r="F938" s="16"/>
      <c r="G938" s="16"/>
      <c r="H938" s="16"/>
      <c r="I938" s="16"/>
      <c r="J938" s="16"/>
      <c r="K938" s="16"/>
      <c r="L938" s="16"/>
      <c r="M938" s="16"/>
      <c r="N938" s="16"/>
      <c r="O938" s="16"/>
      <c r="P938" s="16"/>
      <c r="Q938" s="16"/>
      <c r="R938" s="16"/>
      <c r="S938" s="16"/>
      <c r="T938" s="16"/>
      <c r="U938" s="16"/>
      <c r="V938" s="16"/>
      <c r="W938" s="16"/>
      <c r="X938" s="16"/>
      <c r="Y938" s="16"/>
      <c r="Z938" s="16"/>
      <c r="AA938" s="16"/>
      <c r="AB938" s="16"/>
      <c r="AC938" s="16"/>
      <c r="AD938" s="16"/>
      <c r="AE938" s="16"/>
      <c r="AF938" s="16"/>
      <c r="AG938" s="16"/>
      <c r="AH938" s="16"/>
      <c r="AI938" s="16"/>
      <c r="AJ938" s="16"/>
    </row>
    <row r="939" ht="12.75" customHeight="1" spans="1:36" x14ac:dyDescent="0.25">
      <c r="A939" s="16"/>
      <c r="B939" s="16"/>
      <c r="C939" s="16"/>
      <c r="D939" s="16"/>
      <c r="E939" s="16"/>
      <c r="F939" s="16"/>
      <c r="G939" s="16"/>
      <c r="H939" s="16"/>
      <c r="I939" s="16"/>
      <c r="J939" s="16"/>
      <c r="K939" s="16"/>
      <c r="L939" s="16"/>
      <c r="M939" s="16"/>
      <c r="N939" s="16"/>
      <c r="O939" s="16"/>
      <c r="P939" s="16"/>
      <c r="Q939" s="16"/>
      <c r="R939" s="16"/>
      <c r="S939" s="16"/>
      <c r="T939" s="16"/>
      <c r="U939" s="16"/>
      <c r="V939" s="16"/>
      <c r="W939" s="16"/>
      <c r="X939" s="16"/>
      <c r="Y939" s="16"/>
      <c r="Z939" s="16"/>
      <c r="AA939" s="16"/>
      <c r="AB939" s="16"/>
      <c r="AC939" s="16"/>
      <c r="AD939" s="16"/>
      <c r="AE939" s="16"/>
      <c r="AF939" s="16"/>
      <c r="AG939" s="16"/>
      <c r="AH939" s="16"/>
      <c r="AI939" s="16"/>
      <c r="AJ939" s="16"/>
    </row>
    <row r="940" ht="12.75" customHeight="1" spans="1:36" x14ac:dyDescent="0.25">
      <c r="A940" s="16"/>
      <c r="B940" s="16"/>
      <c r="C940" s="16"/>
      <c r="D940" s="16"/>
      <c r="E940" s="16"/>
      <c r="F940" s="16"/>
      <c r="G940" s="16"/>
      <c r="H940" s="16"/>
      <c r="I940" s="16"/>
      <c r="J940" s="16"/>
      <c r="K940" s="16"/>
      <c r="L940" s="16"/>
      <c r="M940" s="16"/>
      <c r="N940" s="16"/>
      <c r="O940" s="16"/>
      <c r="P940" s="16"/>
      <c r="Q940" s="16"/>
      <c r="R940" s="16"/>
      <c r="S940" s="16"/>
      <c r="T940" s="16"/>
      <c r="U940" s="16"/>
      <c r="V940" s="16"/>
      <c r="W940" s="16"/>
      <c r="X940" s="16"/>
      <c r="Y940" s="16"/>
      <c r="Z940" s="16"/>
      <c r="AA940" s="16"/>
      <c r="AB940" s="16"/>
      <c r="AC940" s="16"/>
      <c r="AD940" s="16"/>
      <c r="AE940" s="16"/>
      <c r="AF940" s="16"/>
      <c r="AG940" s="16"/>
      <c r="AH940" s="16"/>
      <c r="AI940" s="16"/>
      <c r="AJ940" s="16"/>
    </row>
    <row r="941" ht="12.75" customHeight="1" spans="1:36" x14ac:dyDescent="0.25">
      <c r="A941" s="16"/>
      <c r="B941" s="16"/>
      <c r="C941" s="16"/>
      <c r="D941" s="16"/>
      <c r="E941" s="16"/>
      <c r="F941" s="16"/>
      <c r="G941" s="16"/>
      <c r="H941" s="16"/>
      <c r="I941" s="16"/>
      <c r="J941" s="16"/>
      <c r="K941" s="16"/>
      <c r="L941" s="16"/>
      <c r="M941" s="16"/>
      <c r="N941" s="16"/>
      <c r="O941" s="16"/>
      <c r="P941" s="16"/>
      <c r="Q941" s="16"/>
      <c r="R941" s="16"/>
      <c r="S941" s="16"/>
      <c r="T941" s="16"/>
      <c r="U941" s="16"/>
      <c r="V941" s="16"/>
      <c r="W941" s="16"/>
      <c r="X941" s="16"/>
      <c r="Y941" s="16"/>
      <c r="Z941" s="16"/>
      <c r="AA941" s="16"/>
      <c r="AB941" s="16"/>
      <c r="AC941" s="16"/>
      <c r="AD941" s="16"/>
      <c r="AE941" s="16"/>
      <c r="AF941" s="16"/>
      <c r="AG941" s="16"/>
      <c r="AH941" s="16"/>
      <c r="AI941" s="16"/>
      <c r="AJ941" s="16"/>
    </row>
    <row r="942" ht="12.75" customHeight="1" spans="1:36" x14ac:dyDescent="0.25">
      <c r="A942" s="16"/>
      <c r="B942" s="16"/>
      <c r="C942" s="16"/>
      <c r="D942" s="16"/>
      <c r="E942" s="16"/>
      <c r="F942" s="16"/>
      <c r="G942" s="16"/>
      <c r="H942" s="16"/>
      <c r="I942" s="16"/>
      <c r="J942" s="16"/>
      <c r="K942" s="16"/>
      <c r="L942" s="16"/>
      <c r="M942" s="16"/>
      <c r="N942" s="16"/>
      <c r="O942" s="16"/>
      <c r="P942" s="16"/>
      <c r="Q942" s="16"/>
      <c r="R942" s="16"/>
      <c r="S942" s="16"/>
      <c r="T942" s="16"/>
      <c r="U942" s="16"/>
      <c r="V942" s="16"/>
      <c r="W942" s="16"/>
      <c r="X942" s="16"/>
      <c r="Y942" s="16"/>
      <c r="Z942" s="16"/>
      <c r="AA942" s="16"/>
      <c r="AB942" s="16"/>
      <c r="AC942" s="16"/>
      <c r="AD942" s="16"/>
      <c r="AE942" s="16"/>
      <c r="AF942" s="16"/>
      <c r="AG942" s="16"/>
      <c r="AH942" s="16"/>
      <c r="AI942" s="16"/>
      <c r="AJ942" s="16"/>
    </row>
    <row r="943" ht="12.75" customHeight="1" spans="1:36" x14ac:dyDescent="0.25">
      <c r="A943" s="16"/>
      <c r="B943" s="16"/>
      <c r="C943" s="16"/>
      <c r="D943" s="16"/>
      <c r="E943" s="16"/>
      <c r="F943" s="16"/>
      <c r="G943" s="16"/>
      <c r="H943" s="16"/>
      <c r="I943" s="16"/>
      <c r="J943" s="16"/>
      <c r="K943" s="16"/>
      <c r="L943" s="16"/>
      <c r="M943" s="16"/>
      <c r="N943" s="16"/>
      <c r="O943" s="16"/>
      <c r="P943" s="16"/>
      <c r="Q943" s="16"/>
      <c r="R943" s="16"/>
      <c r="S943" s="16"/>
      <c r="T943" s="16"/>
      <c r="U943" s="16"/>
      <c r="V943" s="16"/>
      <c r="W943" s="16"/>
      <c r="X943" s="16"/>
      <c r="Y943" s="16"/>
      <c r="Z943" s="16"/>
      <c r="AA943" s="16"/>
      <c r="AB943" s="16"/>
      <c r="AC943" s="16"/>
      <c r="AD943" s="16"/>
      <c r="AE943" s="16"/>
      <c r="AF943" s="16"/>
      <c r="AG943" s="16"/>
      <c r="AH943" s="16"/>
      <c r="AI943" s="16"/>
      <c r="AJ943" s="16"/>
    </row>
    <row r="944" ht="12.75" customHeight="1" spans="1:36" x14ac:dyDescent="0.25">
      <c r="A944" s="16"/>
      <c r="B944" s="16"/>
      <c r="C944" s="16"/>
      <c r="D944" s="16"/>
      <c r="E944" s="16"/>
      <c r="F944" s="16"/>
      <c r="G944" s="16"/>
      <c r="H944" s="16"/>
      <c r="I944" s="16"/>
      <c r="J944" s="16"/>
      <c r="K944" s="16"/>
      <c r="L944" s="16"/>
      <c r="M944" s="16"/>
      <c r="N944" s="16"/>
      <c r="O944" s="16"/>
      <c r="P944" s="16"/>
      <c r="Q944" s="16"/>
      <c r="R944" s="16"/>
      <c r="S944" s="16"/>
      <c r="T944" s="16"/>
      <c r="U944" s="16"/>
      <c r="V944" s="16"/>
      <c r="W944" s="16"/>
      <c r="X944" s="16"/>
      <c r="Y944" s="16"/>
      <c r="Z944" s="16"/>
      <c r="AA944" s="16"/>
      <c r="AB944" s="16"/>
      <c r="AC944" s="16"/>
      <c r="AD944" s="16"/>
      <c r="AE944" s="16"/>
      <c r="AF944" s="16"/>
      <c r="AG944" s="16"/>
      <c r="AH944" s="16"/>
      <c r="AI944" s="16"/>
      <c r="AJ944" s="16"/>
    </row>
    <row r="945" ht="12.75" customHeight="1" spans="1:36" x14ac:dyDescent="0.25">
      <c r="A945" s="16"/>
      <c r="B945" s="16"/>
      <c r="C945" s="16"/>
      <c r="D945" s="16"/>
      <c r="E945" s="16"/>
      <c r="F945" s="16"/>
      <c r="G945" s="16"/>
      <c r="H945" s="16"/>
      <c r="I945" s="16"/>
      <c r="J945" s="16"/>
      <c r="K945" s="16"/>
      <c r="L945" s="16"/>
      <c r="M945" s="16"/>
      <c r="N945" s="16"/>
      <c r="O945" s="16"/>
      <c r="P945" s="16"/>
      <c r="Q945" s="16"/>
      <c r="R945" s="16"/>
      <c r="S945" s="16"/>
      <c r="T945" s="16"/>
      <c r="U945" s="16"/>
      <c r="V945" s="16"/>
      <c r="W945" s="16"/>
      <c r="X945" s="16"/>
      <c r="Y945" s="16"/>
      <c r="Z945" s="16"/>
      <c r="AA945" s="16"/>
      <c r="AB945" s="16"/>
      <c r="AC945" s="16"/>
      <c r="AD945" s="16"/>
      <c r="AE945" s="16"/>
      <c r="AF945" s="16"/>
      <c r="AG945" s="16"/>
      <c r="AH945" s="16"/>
      <c r="AI945" s="16"/>
      <c r="AJ945" s="16"/>
    </row>
    <row r="946" ht="12.75" customHeight="1" spans="1:36" x14ac:dyDescent="0.25">
      <c r="A946" s="16"/>
      <c r="B946" s="16"/>
      <c r="C946" s="16"/>
      <c r="D946" s="16"/>
      <c r="E946" s="16"/>
      <c r="F946" s="16"/>
      <c r="G946" s="16"/>
      <c r="H946" s="16"/>
      <c r="I946" s="16"/>
      <c r="J946" s="16"/>
      <c r="K946" s="16"/>
      <c r="L946" s="16"/>
      <c r="M946" s="16"/>
      <c r="N946" s="16"/>
      <c r="O946" s="16"/>
      <c r="P946" s="16"/>
      <c r="Q946" s="16"/>
      <c r="R946" s="16"/>
      <c r="S946" s="16"/>
      <c r="T946" s="16"/>
      <c r="U946" s="16"/>
      <c r="V946" s="16"/>
      <c r="W946" s="16"/>
      <c r="X946" s="16"/>
      <c r="Y946" s="16"/>
      <c r="Z946" s="16"/>
      <c r="AA946" s="16"/>
      <c r="AB946" s="16"/>
      <c r="AC946" s="16"/>
      <c r="AD946" s="16"/>
      <c r="AE946" s="16"/>
      <c r="AF946" s="16"/>
      <c r="AG946" s="16"/>
      <c r="AH946" s="16"/>
      <c r="AI946" s="16"/>
      <c r="AJ946" s="16"/>
    </row>
    <row r="947" ht="12.75" customHeight="1" spans="1:36" x14ac:dyDescent="0.25">
      <c r="A947" s="16"/>
      <c r="B947" s="16"/>
      <c r="C947" s="16"/>
      <c r="D947" s="16"/>
      <c r="E947" s="16"/>
      <c r="F947" s="16"/>
      <c r="G947" s="16"/>
      <c r="H947" s="16"/>
      <c r="I947" s="16"/>
      <c r="J947" s="16"/>
      <c r="K947" s="16"/>
      <c r="L947" s="16"/>
      <c r="M947" s="16"/>
      <c r="N947" s="16"/>
      <c r="O947" s="16"/>
      <c r="P947" s="16"/>
      <c r="Q947" s="16"/>
      <c r="R947" s="16"/>
      <c r="S947" s="16"/>
      <c r="T947" s="16"/>
      <c r="U947" s="16"/>
      <c r="V947" s="16"/>
      <c r="W947" s="16"/>
      <c r="X947" s="16"/>
      <c r="Y947" s="16"/>
      <c r="Z947" s="16"/>
      <c r="AA947" s="16"/>
      <c r="AB947" s="16"/>
      <c r="AC947" s="16"/>
      <c r="AD947" s="16"/>
      <c r="AE947" s="16"/>
      <c r="AF947" s="16"/>
      <c r="AG947" s="16"/>
      <c r="AH947" s="16"/>
      <c r="AI947" s="16"/>
      <c r="AJ947" s="16"/>
    </row>
    <row r="948" ht="12.75" customHeight="1" spans="1:36" x14ac:dyDescent="0.25">
      <c r="A948" s="16"/>
      <c r="B948" s="16"/>
      <c r="C948" s="16"/>
      <c r="D948" s="16"/>
      <c r="E948" s="16"/>
      <c r="F948" s="16"/>
      <c r="G948" s="16"/>
      <c r="H948" s="16"/>
      <c r="I948" s="16"/>
      <c r="J948" s="16"/>
      <c r="K948" s="16"/>
      <c r="L948" s="16"/>
      <c r="M948" s="16"/>
      <c r="N948" s="16"/>
      <c r="O948" s="16"/>
      <c r="P948" s="16"/>
      <c r="Q948" s="16"/>
      <c r="R948" s="16"/>
      <c r="S948" s="16"/>
      <c r="T948" s="16"/>
      <c r="U948" s="16"/>
      <c r="V948" s="16"/>
      <c r="W948" s="16"/>
      <c r="X948" s="16"/>
      <c r="Y948" s="16"/>
      <c r="Z948" s="16"/>
      <c r="AA948" s="16"/>
      <c r="AB948" s="16"/>
      <c r="AC948" s="16"/>
      <c r="AD948" s="16"/>
      <c r="AE948" s="16"/>
      <c r="AF948" s="16"/>
      <c r="AG948" s="16"/>
      <c r="AH948" s="16"/>
      <c r="AI948" s="16"/>
      <c r="AJ948" s="16"/>
    </row>
    <row r="949" ht="12.75" customHeight="1" spans="1:36" x14ac:dyDescent="0.25">
      <c r="A949" s="16"/>
      <c r="B949" s="16"/>
      <c r="C949" s="16"/>
      <c r="D949" s="16"/>
      <c r="E949" s="16"/>
      <c r="F949" s="16"/>
      <c r="G949" s="16"/>
      <c r="H949" s="16"/>
      <c r="I949" s="16"/>
      <c r="J949" s="16"/>
      <c r="K949" s="16"/>
      <c r="L949" s="16"/>
      <c r="M949" s="16"/>
      <c r="N949" s="16"/>
      <c r="O949" s="16"/>
      <c r="P949" s="16"/>
      <c r="Q949" s="16"/>
      <c r="R949" s="16"/>
      <c r="S949" s="16"/>
      <c r="T949" s="16"/>
      <c r="U949" s="16"/>
      <c r="V949" s="16"/>
      <c r="W949" s="16"/>
      <c r="X949" s="16"/>
      <c r="Y949" s="16"/>
      <c r="Z949" s="16"/>
      <c r="AA949" s="16"/>
      <c r="AB949" s="16"/>
      <c r="AC949" s="16"/>
      <c r="AD949" s="16"/>
      <c r="AE949" s="16"/>
      <c r="AF949" s="16"/>
      <c r="AG949" s="16"/>
      <c r="AH949" s="16"/>
      <c r="AI949" s="16"/>
      <c r="AJ949" s="16"/>
    </row>
    <row r="950" ht="12.75" customHeight="1" spans="1:36" x14ac:dyDescent="0.25">
      <c r="A950" s="16"/>
      <c r="B950" s="16"/>
      <c r="C950" s="16"/>
      <c r="D950" s="16"/>
      <c r="E950" s="16"/>
      <c r="F950" s="16"/>
      <c r="G950" s="16"/>
      <c r="H950" s="16"/>
      <c r="I950" s="16"/>
      <c r="J950" s="16"/>
      <c r="K950" s="16"/>
      <c r="L950" s="16"/>
      <c r="M950" s="16"/>
      <c r="N950" s="16"/>
      <c r="O950" s="16"/>
      <c r="P950" s="16"/>
      <c r="Q950" s="16"/>
      <c r="R950" s="16"/>
      <c r="S950" s="16"/>
      <c r="T950" s="16"/>
      <c r="U950" s="16"/>
      <c r="V950" s="16"/>
      <c r="W950" s="16"/>
      <c r="X950" s="16"/>
      <c r="Y950" s="16"/>
      <c r="Z950" s="16"/>
      <c r="AA950" s="16"/>
      <c r="AB950" s="16"/>
      <c r="AC950" s="16"/>
      <c r="AD950" s="16"/>
      <c r="AE950" s="16"/>
      <c r="AF950" s="16"/>
      <c r="AG950" s="16"/>
      <c r="AH950" s="16"/>
      <c r="AI950" s="16"/>
      <c r="AJ950" s="16"/>
    </row>
    <row r="951" ht="12.75" customHeight="1" spans="1:36" x14ac:dyDescent="0.25">
      <c r="A951" s="16"/>
      <c r="B951" s="16"/>
      <c r="C951" s="16"/>
      <c r="D951" s="16"/>
      <c r="E951" s="16"/>
      <c r="F951" s="16"/>
      <c r="G951" s="16"/>
      <c r="H951" s="16"/>
      <c r="I951" s="16"/>
      <c r="J951" s="16"/>
      <c r="K951" s="16"/>
      <c r="L951" s="16"/>
      <c r="M951" s="16"/>
      <c r="N951" s="16"/>
      <c r="O951" s="16"/>
      <c r="P951" s="16"/>
      <c r="Q951" s="16"/>
      <c r="R951" s="16"/>
      <c r="S951" s="16"/>
      <c r="T951" s="16"/>
      <c r="U951" s="16"/>
      <c r="V951" s="16"/>
      <c r="W951" s="16"/>
      <c r="X951" s="16"/>
      <c r="Y951" s="16"/>
      <c r="Z951" s="16"/>
      <c r="AA951" s="16"/>
      <c r="AB951" s="16"/>
      <c r="AC951" s="16"/>
      <c r="AD951" s="16"/>
      <c r="AE951" s="16"/>
      <c r="AF951" s="16"/>
      <c r="AG951" s="16"/>
      <c r="AH951" s="16"/>
      <c r="AI951" s="16"/>
      <c r="AJ951" s="16"/>
    </row>
    <row r="952" ht="12.75" customHeight="1" spans="1:36" x14ac:dyDescent="0.25">
      <c r="A952" s="16"/>
      <c r="B952" s="16"/>
      <c r="C952" s="16"/>
      <c r="D952" s="16"/>
      <c r="E952" s="16"/>
      <c r="F952" s="16"/>
      <c r="G952" s="16"/>
      <c r="H952" s="16"/>
      <c r="I952" s="16"/>
      <c r="J952" s="16"/>
      <c r="K952" s="16"/>
      <c r="L952" s="16"/>
      <c r="M952" s="16"/>
      <c r="N952" s="16"/>
      <c r="O952" s="16"/>
      <c r="P952" s="16"/>
      <c r="Q952" s="16"/>
      <c r="R952" s="16"/>
      <c r="S952" s="16"/>
      <c r="T952" s="16"/>
      <c r="U952" s="16"/>
      <c r="V952" s="16"/>
      <c r="W952" s="16"/>
      <c r="X952" s="16"/>
      <c r="Y952" s="16"/>
      <c r="Z952" s="16"/>
      <c r="AA952" s="16"/>
      <c r="AB952" s="16"/>
      <c r="AC952" s="16"/>
      <c r="AD952" s="16"/>
      <c r="AE952" s="16"/>
      <c r="AF952" s="16"/>
      <c r="AG952" s="16"/>
      <c r="AH952" s="16"/>
      <c r="AI952" s="16"/>
      <c r="AJ952" s="16"/>
    </row>
    <row r="953" ht="12.75" customHeight="1" spans="1:36" x14ac:dyDescent="0.25">
      <c r="A953" s="16"/>
      <c r="B953" s="16"/>
      <c r="C953" s="16"/>
      <c r="D953" s="16"/>
      <c r="E953" s="16"/>
      <c r="F953" s="16"/>
      <c r="G953" s="16"/>
      <c r="H953" s="16"/>
      <c r="I953" s="16"/>
      <c r="J953" s="16"/>
      <c r="K953" s="16"/>
      <c r="L953" s="16"/>
      <c r="M953" s="16"/>
      <c r="N953" s="16"/>
      <c r="O953" s="16"/>
      <c r="P953" s="16"/>
      <c r="Q953" s="16"/>
      <c r="R953" s="16"/>
      <c r="S953" s="16"/>
      <c r="T953" s="16"/>
      <c r="U953" s="16"/>
      <c r="V953" s="16"/>
      <c r="W953" s="16"/>
      <c r="X953" s="16"/>
      <c r="Y953" s="16"/>
      <c r="Z953" s="16"/>
      <c r="AA953" s="16"/>
      <c r="AB953" s="16"/>
      <c r="AC953" s="16"/>
      <c r="AD953" s="16"/>
      <c r="AE953" s="16"/>
      <c r="AF953" s="16"/>
      <c r="AG953" s="16"/>
      <c r="AH953" s="16"/>
      <c r="AI953" s="16"/>
      <c r="AJ953" s="16"/>
    </row>
    <row r="954" ht="12.75" customHeight="1" spans="1:36" x14ac:dyDescent="0.25">
      <c r="A954" s="16"/>
      <c r="B954" s="16"/>
      <c r="C954" s="16"/>
      <c r="D954" s="16"/>
      <c r="E954" s="16"/>
      <c r="F954" s="16"/>
      <c r="G954" s="16"/>
      <c r="H954" s="16"/>
      <c r="I954" s="16"/>
      <c r="J954" s="16"/>
      <c r="K954" s="16"/>
      <c r="L954" s="16"/>
      <c r="M954" s="16"/>
      <c r="N954" s="16"/>
      <c r="O954" s="16"/>
      <c r="P954" s="16"/>
      <c r="Q954" s="16"/>
      <c r="R954" s="16"/>
      <c r="S954" s="16"/>
      <c r="T954" s="16"/>
      <c r="U954" s="16"/>
      <c r="V954" s="16"/>
      <c r="W954" s="16"/>
      <c r="X954" s="16"/>
      <c r="Y954" s="16"/>
      <c r="Z954" s="16"/>
      <c r="AA954" s="16"/>
      <c r="AB954" s="16"/>
      <c r="AC954" s="16"/>
      <c r="AD954" s="16"/>
      <c r="AE954" s="16"/>
      <c r="AF954" s="16"/>
      <c r="AG954" s="16"/>
      <c r="AH954" s="16"/>
      <c r="AI954" s="16"/>
      <c r="AJ954" s="16"/>
    </row>
    <row r="955" ht="12.75" customHeight="1" spans="1:36" x14ac:dyDescent="0.25">
      <c r="A955" s="16"/>
      <c r="B955" s="16"/>
      <c r="C955" s="16"/>
      <c r="D955" s="16"/>
      <c r="E955" s="16"/>
      <c r="F955" s="16"/>
      <c r="G955" s="16"/>
      <c r="H955" s="16"/>
      <c r="I955" s="16"/>
      <c r="J955" s="16"/>
      <c r="K955" s="16"/>
      <c r="L955" s="16"/>
      <c r="M955" s="16"/>
      <c r="N955" s="16"/>
      <c r="O955" s="16"/>
      <c r="P955" s="16"/>
      <c r="Q955" s="16"/>
      <c r="R955" s="16"/>
      <c r="S955" s="16"/>
      <c r="T955" s="16"/>
      <c r="U955" s="16"/>
      <c r="V955" s="16"/>
      <c r="W955" s="16"/>
      <c r="X955" s="16"/>
      <c r="Y955" s="16"/>
      <c r="Z955" s="16"/>
      <c r="AA955" s="16"/>
      <c r="AB955" s="16"/>
      <c r="AC955" s="16"/>
      <c r="AD955" s="16"/>
      <c r="AE955" s="16"/>
      <c r="AF955" s="16"/>
      <c r="AG955" s="16"/>
      <c r="AH955" s="16"/>
      <c r="AI955" s="16"/>
      <c r="AJ955" s="16"/>
    </row>
    <row r="956" ht="12.75" customHeight="1" spans="1:36" x14ac:dyDescent="0.25">
      <c r="A956" s="16"/>
      <c r="B956" s="16"/>
      <c r="C956" s="16"/>
      <c r="D956" s="16"/>
      <c r="E956" s="16"/>
      <c r="F956" s="16"/>
      <c r="G956" s="16"/>
      <c r="H956" s="16"/>
      <c r="I956" s="16"/>
      <c r="J956" s="16"/>
      <c r="K956" s="16"/>
      <c r="L956" s="16"/>
      <c r="M956" s="16"/>
      <c r="N956" s="16"/>
      <c r="O956" s="16"/>
      <c r="P956" s="16"/>
      <c r="Q956" s="16"/>
      <c r="R956" s="16"/>
      <c r="S956" s="16"/>
      <c r="T956" s="16"/>
      <c r="U956" s="16"/>
      <c r="V956" s="16"/>
      <c r="W956" s="16"/>
      <c r="X956" s="16"/>
      <c r="Y956" s="16"/>
      <c r="Z956" s="16"/>
      <c r="AA956" s="16"/>
      <c r="AB956" s="16"/>
      <c r="AC956" s="16"/>
      <c r="AD956" s="16"/>
      <c r="AE956" s="16"/>
      <c r="AF956" s="16"/>
      <c r="AG956" s="16"/>
      <c r="AH956" s="16"/>
      <c r="AI956" s="16"/>
      <c r="AJ956" s="16"/>
    </row>
    <row r="957" ht="12.75" customHeight="1" spans="1:36" x14ac:dyDescent="0.25">
      <c r="A957" s="16"/>
      <c r="B957" s="16"/>
      <c r="C957" s="16"/>
      <c r="D957" s="16"/>
      <c r="E957" s="16"/>
      <c r="F957" s="16"/>
      <c r="G957" s="16"/>
      <c r="H957" s="16"/>
      <c r="I957" s="16"/>
      <c r="J957" s="16"/>
      <c r="K957" s="16"/>
      <c r="L957" s="16"/>
      <c r="M957" s="16"/>
      <c r="N957" s="16"/>
      <c r="O957" s="16"/>
      <c r="P957" s="16"/>
      <c r="Q957" s="16"/>
      <c r="R957" s="16"/>
      <c r="S957" s="16"/>
      <c r="T957" s="16"/>
      <c r="U957" s="16"/>
      <c r="V957" s="16"/>
      <c r="W957" s="16"/>
      <c r="X957" s="16"/>
      <c r="Y957" s="16"/>
      <c r="Z957" s="16"/>
      <c r="AA957" s="16"/>
      <c r="AB957" s="16"/>
      <c r="AC957" s="16"/>
      <c r="AD957" s="16"/>
      <c r="AE957" s="16"/>
      <c r="AF957" s="16"/>
      <c r="AG957" s="16"/>
      <c r="AH957" s="16"/>
      <c r="AI957" s="16"/>
      <c r="AJ957" s="16"/>
    </row>
    <row r="958" ht="12.75" customHeight="1" spans="1:36" x14ac:dyDescent="0.25">
      <c r="A958" s="16"/>
      <c r="B958" s="16"/>
      <c r="C958" s="16"/>
      <c r="D958" s="16"/>
      <c r="E958" s="16"/>
      <c r="F958" s="16"/>
      <c r="G958" s="16"/>
      <c r="H958" s="16"/>
      <c r="I958" s="16"/>
      <c r="J958" s="16"/>
      <c r="K958" s="16"/>
      <c r="L958" s="16"/>
      <c r="M958" s="16"/>
      <c r="N958" s="16"/>
      <c r="O958" s="16"/>
      <c r="P958" s="16"/>
      <c r="Q958" s="16"/>
      <c r="R958" s="16"/>
      <c r="S958" s="16"/>
      <c r="T958" s="16"/>
      <c r="U958" s="16"/>
      <c r="V958" s="16"/>
      <c r="W958" s="16"/>
      <c r="X958" s="16"/>
      <c r="Y958" s="16"/>
      <c r="Z958" s="16"/>
      <c r="AA958" s="16"/>
      <c r="AB958" s="16"/>
      <c r="AC958" s="16"/>
      <c r="AD958" s="16"/>
      <c r="AE958" s="16"/>
      <c r="AF958" s="16"/>
      <c r="AG958" s="16"/>
      <c r="AH958" s="16"/>
      <c r="AI958" s="16"/>
      <c r="AJ958" s="16"/>
    </row>
    <row r="959" ht="12.75" customHeight="1" spans="1:36" x14ac:dyDescent="0.25">
      <c r="A959" s="16"/>
      <c r="B959" s="16"/>
      <c r="C959" s="16"/>
      <c r="D959" s="16"/>
      <c r="E959" s="16"/>
      <c r="F959" s="16"/>
      <c r="G959" s="16"/>
      <c r="H959" s="16"/>
      <c r="I959" s="16"/>
      <c r="J959" s="16"/>
      <c r="K959" s="16"/>
      <c r="L959" s="16"/>
      <c r="M959" s="16"/>
      <c r="N959" s="16"/>
      <c r="O959" s="16"/>
      <c r="P959" s="16"/>
      <c r="Q959" s="16"/>
      <c r="R959" s="16"/>
      <c r="S959" s="16"/>
      <c r="T959" s="16"/>
      <c r="U959" s="16"/>
      <c r="V959" s="16"/>
      <c r="W959" s="16"/>
      <c r="X959" s="16"/>
      <c r="Y959" s="16"/>
      <c r="Z959" s="16"/>
      <c r="AA959" s="16"/>
      <c r="AB959" s="16"/>
      <c r="AC959" s="16"/>
      <c r="AD959" s="16"/>
      <c r="AE959" s="16"/>
      <c r="AF959" s="16"/>
      <c r="AG959" s="16"/>
      <c r="AH959" s="16"/>
      <c r="AI959" s="16"/>
      <c r="AJ959" s="16"/>
    </row>
    <row r="960" ht="12.75" customHeight="1" spans="1:36" x14ac:dyDescent="0.25">
      <c r="A960" s="16"/>
      <c r="B960" s="16"/>
      <c r="C960" s="16"/>
      <c r="D960" s="16"/>
      <c r="E960" s="16"/>
      <c r="F960" s="16"/>
      <c r="G960" s="16"/>
      <c r="H960" s="16"/>
      <c r="I960" s="16"/>
      <c r="J960" s="16"/>
      <c r="K960" s="16"/>
      <c r="L960" s="16"/>
      <c r="M960" s="16"/>
      <c r="N960" s="16"/>
      <c r="O960" s="16"/>
      <c r="P960" s="16"/>
      <c r="Q960" s="16"/>
      <c r="R960" s="16"/>
      <c r="S960" s="16"/>
      <c r="T960" s="16"/>
      <c r="U960" s="16"/>
      <c r="V960" s="16"/>
      <c r="W960" s="16"/>
      <c r="X960" s="16"/>
      <c r="Y960" s="16"/>
      <c r="Z960" s="16"/>
      <c r="AA960" s="16"/>
      <c r="AB960" s="16"/>
      <c r="AC960" s="16"/>
      <c r="AD960" s="16"/>
      <c r="AE960" s="16"/>
      <c r="AF960" s="16"/>
      <c r="AG960" s="16"/>
      <c r="AH960" s="16"/>
      <c r="AI960" s="16"/>
      <c r="AJ960" s="16"/>
    </row>
    <row r="961" ht="12.75" customHeight="1" spans="1:36" x14ac:dyDescent="0.25">
      <c r="A961" s="16"/>
      <c r="B961" s="16"/>
      <c r="C961" s="16"/>
      <c r="D961" s="16"/>
      <c r="E961" s="16"/>
      <c r="F961" s="16"/>
      <c r="G961" s="16"/>
      <c r="H961" s="16"/>
      <c r="I961" s="16"/>
      <c r="J961" s="16"/>
      <c r="K961" s="16"/>
      <c r="L961" s="16"/>
      <c r="M961" s="16"/>
      <c r="N961" s="16"/>
      <c r="O961" s="16"/>
      <c r="P961" s="16"/>
      <c r="Q961" s="16"/>
      <c r="R961" s="16"/>
      <c r="S961" s="16"/>
      <c r="T961" s="16"/>
      <c r="U961" s="16"/>
      <c r="V961" s="16"/>
      <c r="W961" s="16"/>
      <c r="X961" s="16"/>
      <c r="Y961" s="16"/>
      <c r="Z961" s="16"/>
      <c r="AA961" s="16"/>
      <c r="AB961" s="16"/>
      <c r="AC961" s="16"/>
      <c r="AD961" s="16"/>
      <c r="AE961" s="16"/>
      <c r="AF961" s="16"/>
      <c r="AG961" s="16"/>
      <c r="AH961" s="16"/>
      <c r="AI961" s="16"/>
      <c r="AJ961" s="16"/>
    </row>
    <row r="962" ht="12.75" customHeight="1" spans="1:36" x14ac:dyDescent="0.25">
      <c r="A962" s="16"/>
      <c r="B962" s="16"/>
      <c r="C962" s="16"/>
      <c r="D962" s="16"/>
      <c r="E962" s="16"/>
      <c r="F962" s="16"/>
      <c r="G962" s="16"/>
      <c r="H962" s="16"/>
      <c r="I962" s="16"/>
      <c r="J962" s="16"/>
      <c r="K962" s="16"/>
      <c r="L962" s="16"/>
      <c r="M962" s="16"/>
      <c r="N962" s="16"/>
      <c r="O962" s="16"/>
      <c r="P962" s="16"/>
      <c r="Q962" s="16"/>
      <c r="R962" s="16"/>
      <c r="S962" s="16"/>
      <c r="T962" s="16"/>
      <c r="U962" s="16"/>
      <c r="V962" s="16"/>
      <c r="W962" s="16"/>
      <c r="X962" s="16"/>
      <c r="Y962" s="16"/>
      <c r="Z962" s="16"/>
      <c r="AA962" s="16"/>
      <c r="AB962" s="16"/>
      <c r="AC962" s="16"/>
      <c r="AD962" s="16"/>
      <c r="AE962" s="16"/>
      <c r="AF962" s="16"/>
      <c r="AG962" s="16"/>
      <c r="AH962" s="16"/>
      <c r="AI962" s="16"/>
      <c r="AJ962" s="16"/>
    </row>
    <row r="963" ht="12.75" customHeight="1" spans="1:36" x14ac:dyDescent="0.25">
      <c r="A963" s="16"/>
      <c r="B963" s="16"/>
      <c r="C963" s="16"/>
      <c r="D963" s="16"/>
      <c r="E963" s="16"/>
      <c r="F963" s="16"/>
      <c r="G963" s="16"/>
      <c r="H963" s="16"/>
      <c r="I963" s="16"/>
      <c r="J963" s="16"/>
      <c r="K963" s="16"/>
      <c r="L963" s="16"/>
      <c r="M963" s="16"/>
      <c r="N963" s="16"/>
      <c r="O963" s="16"/>
      <c r="P963" s="16"/>
      <c r="Q963" s="16"/>
      <c r="R963" s="16"/>
      <c r="S963" s="16"/>
      <c r="T963" s="16"/>
      <c r="U963" s="16"/>
      <c r="V963" s="16"/>
      <c r="W963" s="16"/>
      <c r="X963" s="16"/>
      <c r="Y963" s="16"/>
      <c r="Z963" s="16"/>
      <c r="AA963" s="16"/>
      <c r="AB963" s="16"/>
      <c r="AC963" s="16"/>
      <c r="AD963" s="16"/>
      <c r="AE963" s="16"/>
      <c r="AF963" s="16"/>
      <c r="AG963" s="16"/>
      <c r="AH963" s="16"/>
      <c r="AI963" s="16"/>
      <c r="AJ963" s="16"/>
    </row>
    <row r="964" ht="12.75" customHeight="1" spans="1:36" x14ac:dyDescent="0.25">
      <c r="A964" s="16"/>
      <c r="B964" s="16"/>
      <c r="C964" s="16"/>
      <c r="D964" s="16"/>
      <c r="E964" s="16"/>
      <c r="F964" s="16"/>
      <c r="G964" s="16"/>
      <c r="H964" s="16"/>
      <c r="I964" s="16"/>
      <c r="J964" s="16"/>
      <c r="K964" s="16"/>
      <c r="L964" s="16"/>
      <c r="M964" s="16"/>
      <c r="N964" s="16"/>
      <c r="O964" s="16"/>
      <c r="P964" s="16"/>
      <c r="Q964" s="16"/>
      <c r="R964" s="16"/>
      <c r="S964" s="16"/>
      <c r="T964" s="16"/>
      <c r="U964" s="16"/>
      <c r="V964" s="16"/>
      <c r="W964" s="16"/>
      <c r="X964" s="16"/>
      <c r="Y964" s="16"/>
      <c r="Z964" s="16"/>
      <c r="AA964" s="16"/>
      <c r="AB964" s="16"/>
      <c r="AC964" s="16"/>
      <c r="AD964" s="16"/>
      <c r="AE964" s="16"/>
      <c r="AF964" s="16"/>
      <c r="AG964" s="16"/>
      <c r="AH964" s="16"/>
      <c r="AI964" s="16"/>
      <c r="AJ964" s="16"/>
    </row>
    <row r="965" ht="12.75" customHeight="1" spans="1:36" x14ac:dyDescent="0.25">
      <c r="A965" s="16"/>
      <c r="B965" s="16"/>
      <c r="C965" s="16"/>
      <c r="D965" s="16"/>
      <c r="E965" s="16"/>
      <c r="F965" s="16"/>
      <c r="G965" s="16"/>
      <c r="H965" s="16"/>
      <c r="I965" s="16"/>
      <c r="J965" s="16"/>
      <c r="K965" s="16"/>
      <c r="L965" s="16"/>
      <c r="M965" s="16"/>
      <c r="N965" s="16"/>
      <c r="O965" s="16"/>
      <c r="P965" s="16"/>
      <c r="Q965" s="16"/>
      <c r="R965" s="16"/>
      <c r="S965" s="16"/>
      <c r="T965" s="16"/>
      <c r="U965" s="16"/>
      <c r="V965" s="16"/>
      <c r="W965" s="16"/>
      <c r="X965" s="16"/>
      <c r="Y965" s="16"/>
      <c r="Z965" s="16"/>
      <c r="AA965" s="16"/>
      <c r="AB965" s="16"/>
      <c r="AC965" s="16"/>
      <c r="AD965" s="16"/>
      <c r="AE965" s="16"/>
      <c r="AF965" s="16"/>
      <c r="AG965" s="16"/>
      <c r="AH965" s="16"/>
      <c r="AI965" s="16"/>
      <c r="AJ965" s="16"/>
    </row>
    <row r="966" ht="12.75" customHeight="1" spans="1:36" x14ac:dyDescent="0.25">
      <c r="A966" s="16"/>
      <c r="B966" s="16"/>
      <c r="C966" s="16"/>
      <c r="D966" s="16"/>
      <c r="E966" s="16"/>
      <c r="F966" s="16"/>
      <c r="G966" s="16"/>
      <c r="H966" s="16"/>
      <c r="I966" s="16"/>
      <c r="J966" s="16"/>
      <c r="K966" s="16"/>
      <c r="L966" s="16"/>
      <c r="M966" s="16"/>
      <c r="N966" s="16"/>
      <c r="O966" s="16"/>
      <c r="P966" s="16"/>
      <c r="Q966" s="16"/>
      <c r="R966" s="16"/>
      <c r="S966" s="16"/>
      <c r="T966" s="16"/>
      <c r="U966" s="16"/>
      <c r="V966" s="16"/>
      <c r="W966" s="16"/>
      <c r="X966" s="16"/>
      <c r="Y966" s="16"/>
      <c r="Z966" s="16"/>
      <c r="AA966" s="16"/>
      <c r="AB966" s="16"/>
      <c r="AC966" s="16"/>
      <c r="AD966" s="16"/>
      <c r="AE966" s="16"/>
      <c r="AF966" s="16"/>
      <c r="AG966" s="16"/>
      <c r="AH966" s="16"/>
      <c r="AI966" s="16"/>
      <c r="AJ966" s="16"/>
    </row>
    <row r="967" ht="12.75" customHeight="1" spans="1:36" x14ac:dyDescent="0.25">
      <c r="A967" s="16"/>
      <c r="B967" s="16"/>
      <c r="C967" s="16"/>
      <c r="D967" s="16"/>
      <c r="E967" s="16"/>
      <c r="F967" s="16"/>
      <c r="G967" s="16"/>
      <c r="H967" s="16"/>
      <c r="I967" s="16"/>
      <c r="J967" s="16"/>
      <c r="K967" s="16"/>
      <c r="L967" s="16"/>
      <c r="M967" s="16"/>
      <c r="N967" s="16"/>
      <c r="O967" s="16"/>
      <c r="P967" s="16"/>
      <c r="Q967" s="16"/>
      <c r="R967" s="16"/>
      <c r="S967" s="16"/>
      <c r="T967" s="16"/>
      <c r="U967" s="16"/>
      <c r="V967" s="16"/>
      <c r="W967" s="16"/>
      <c r="X967" s="16"/>
      <c r="Y967" s="16"/>
      <c r="Z967" s="16"/>
      <c r="AA967" s="16"/>
      <c r="AB967" s="16"/>
      <c r="AC967" s="16"/>
      <c r="AD967" s="16"/>
      <c r="AE967" s="16"/>
      <c r="AF967" s="16"/>
      <c r="AG967" s="16"/>
      <c r="AH967" s="16"/>
      <c r="AI967" s="16"/>
      <c r="AJ967" s="16"/>
    </row>
    <row r="968" ht="12.75" customHeight="1" spans="1:36" x14ac:dyDescent="0.25">
      <c r="A968" s="16"/>
      <c r="B968" s="16"/>
      <c r="C968" s="16"/>
      <c r="D968" s="16"/>
      <c r="E968" s="16"/>
      <c r="F968" s="16"/>
      <c r="G968" s="16"/>
      <c r="H968" s="16"/>
      <c r="I968" s="16"/>
      <c r="J968" s="16"/>
      <c r="K968" s="16"/>
      <c r="L968" s="16"/>
      <c r="M968" s="16"/>
      <c r="N968" s="16"/>
      <c r="O968" s="16"/>
      <c r="P968" s="16"/>
      <c r="Q968" s="16"/>
      <c r="R968" s="16"/>
      <c r="S968" s="16"/>
      <c r="T968" s="16"/>
      <c r="U968" s="16"/>
      <c r="V968" s="16"/>
      <c r="W968" s="16"/>
      <c r="X968" s="16"/>
      <c r="Y968" s="16"/>
      <c r="Z968" s="16"/>
      <c r="AA968" s="16"/>
      <c r="AB968" s="16"/>
      <c r="AC968" s="16"/>
      <c r="AD968" s="16"/>
      <c r="AE968" s="16"/>
      <c r="AF968" s="16"/>
      <c r="AG968" s="16"/>
      <c r="AH968" s="16"/>
      <c r="AI968" s="16"/>
      <c r="AJ968" s="16"/>
    </row>
    <row r="969" ht="12.75" customHeight="1" spans="1:36" x14ac:dyDescent="0.25">
      <c r="A969" s="16"/>
      <c r="B969" s="16"/>
      <c r="C969" s="16"/>
      <c r="D969" s="16"/>
      <c r="E969" s="16"/>
      <c r="F969" s="16"/>
      <c r="G969" s="16"/>
      <c r="H969" s="16"/>
      <c r="I969" s="16"/>
      <c r="J969" s="16"/>
      <c r="K969" s="16"/>
      <c r="L969" s="16"/>
      <c r="M969" s="16"/>
      <c r="N969" s="16"/>
      <c r="O969" s="16"/>
      <c r="P969" s="16"/>
      <c r="Q969" s="16"/>
      <c r="R969" s="16"/>
      <c r="S969" s="16"/>
      <c r="T969" s="16"/>
      <c r="U969" s="16"/>
      <c r="V969" s="16"/>
      <c r="W969" s="16"/>
      <c r="X969" s="16"/>
      <c r="Y969" s="16"/>
      <c r="Z969" s="16"/>
      <c r="AA969" s="16"/>
      <c r="AB969" s="16"/>
      <c r="AC969" s="16"/>
      <c r="AD969" s="16"/>
      <c r="AE969" s="16"/>
      <c r="AF969" s="16"/>
      <c r="AG969" s="16"/>
      <c r="AH969" s="16"/>
      <c r="AI969" s="16"/>
      <c r="AJ969" s="16"/>
    </row>
    <row r="970" ht="12.75" customHeight="1" spans="1:36" x14ac:dyDescent="0.25">
      <c r="A970" s="16"/>
      <c r="B970" s="16"/>
      <c r="C970" s="16"/>
      <c r="D970" s="16"/>
      <c r="E970" s="16"/>
      <c r="F970" s="16"/>
      <c r="G970" s="16"/>
      <c r="H970" s="16"/>
      <c r="I970" s="16"/>
      <c r="J970" s="16"/>
      <c r="K970" s="16"/>
      <c r="L970" s="16"/>
      <c r="M970" s="16"/>
      <c r="N970" s="16"/>
      <c r="O970" s="16"/>
      <c r="P970" s="16"/>
      <c r="Q970" s="16"/>
      <c r="R970" s="16"/>
      <c r="S970" s="16"/>
      <c r="T970" s="16"/>
      <c r="U970" s="16"/>
      <c r="V970" s="16"/>
      <c r="W970" s="16"/>
      <c r="X970" s="16"/>
      <c r="Y970" s="16"/>
      <c r="Z970" s="16"/>
      <c r="AA970" s="16"/>
      <c r="AB970" s="16"/>
      <c r="AC970" s="16"/>
      <c r="AD970" s="16"/>
      <c r="AE970" s="16"/>
      <c r="AF970" s="16"/>
      <c r="AG970" s="16"/>
      <c r="AH970" s="16"/>
      <c r="AI970" s="16"/>
      <c r="AJ970" s="16"/>
    </row>
    <row r="971" ht="12.75" customHeight="1" spans="1:36" x14ac:dyDescent="0.25">
      <c r="A971" s="16"/>
      <c r="B971" s="16"/>
      <c r="C971" s="16"/>
      <c r="D971" s="16"/>
      <c r="E971" s="16"/>
      <c r="F971" s="16"/>
      <c r="G971" s="16"/>
      <c r="H971" s="16"/>
      <c r="I971" s="16"/>
      <c r="J971" s="16"/>
      <c r="K971" s="16"/>
      <c r="L971" s="16"/>
      <c r="M971" s="16"/>
      <c r="N971" s="16"/>
      <c r="O971" s="16"/>
      <c r="P971" s="16"/>
      <c r="Q971" s="16"/>
      <c r="R971" s="16"/>
      <c r="S971" s="16"/>
      <c r="T971" s="16"/>
      <c r="U971" s="16"/>
      <c r="V971" s="16"/>
      <c r="W971" s="16"/>
      <c r="X971" s="16"/>
      <c r="Y971" s="16"/>
      <c r="Z971" s="16"/>
      <c r="AA971" s="16"/>
      <c r="AB971" s="16"/>
      <c r="AC971" s="16"/>
      <c r="AD971" s="16"/>
      <c r="AE971" s="16"/>
      <c r="AF971" s="16"/>
      <c r="AG971" s="16"/>
      <c r="AH971" s="16"/>
      <c r="AI971" s="16"/>
      <c r="AJ971" s="16"/>
    </row>
    <row r="972" ht="12.75" customHeight="1" spans="1:36" x14ac:dyDescent="0.25">
      <c r="A972" s="16"/>
      <c r="B972" s="16"/>
      <c r="C972" s="16"/>
      <c r="D972" s="16"/>
      <c r="E972" s="16"/>
      <c r="F972" s="16"/>
      <c r="G972" s="16"/>
      <c r="H972" s="16"/>
      <c r="I972" s="16"/>
      <c r="J972" s="16"/>
      <c r="K972" s="16"/>
      <c r="L972" s="16"/>
      <c r="M972" s="16"/>
      <c r="N972" s="16"/>
      <c r="O972" s="16"/>
      <c r="P972" s="16"/>
      <c r="Q972" s="16"/>
      <c r="R972" s="16"/>
      <c r="S972" s="16"/>
      <c r="T972" s="16"/>
      <c r="U972" s="16"/>
      <c r="V972" s="16"/>
      <c r="W972" s="16"/>
      <c r="X972" s="16"/>
      <c r="Y972" s="16"/>
      <c r="Z972" s="16"/>
      <c r="AA972" s="16"/>
      <c r="AB972" s="16"/>
      <c r="AC972" s="16"/>
      <c r="AD972" s="16"/>
      <c r="AE972" s="16"/>
      <c r="AF972" s="16"/>
      <c r="AG972" s="16"/>
      <c r="AH972" s="16"/>
      <c r="AI972" s="16"/>
      <c r="AJ972" s="16"/>
    </row>
    <row r="973" ht="12.75" customHeight="1" spans="1:36" x14ac:dyDescent="0.25">
      <c r="A973" s="16"/>
      <c r="B973" s="16"/>
      <c r="C973" s="16"/>
      <c r="D973" s="16"/>
      <c r="E973" s="16"/>
      <c r="F973" s="16"/>
      <c r="G973" s="16"/>
      <c r="H973" s="16"/>
      <c r="I973" s="16"/>
      <c r="J973" s="16"/>
      <c r="K973" s="16"/>
      <c r="L973" s="16"/>
      <c r="M973" s="16"/>
      <c r="N973" s="16"/>
      <c r="O973" s="16"/>
      <c r="P973" s="16"/>
      <c r="Q973" s="16"/>
      <c r="R973" s="16"/>
      <c r="S973" s="16"/>
      <c r="T973" s="16"/>
      <c r="U973" s="16"/>
      <c r="V973" s="16"/>
      <c r="W973" s="16"/>
      <c r="X973" s="16"/>
      <c r="Y973" s="16"/>
      <c r="Z973" s="16"/>
      <c r="AA973" s="16"/>
      <c r="AB973" s="16"/>
      <c r="AC973" s="16"/>
      <c r="AD973" s="16"/>
      <c r="AE973" s="16"/>
      <c r="AF973" s="16"/>
      <c r="AG973" s="16"/>
      <c r="AH973" s="16"/>
      <c r="AI973" s="16"/>
      <c r="AJ973" s="16"/>
    </row>
    <row r="974" ht="12.75" customHeight="1" spans="1:36" x14ac:dyDescent="0.25">
      <c r="A974" s="16"/>
      <c r="B974" s="16"/>
      <c r="C974" s="16"/>
      <c r="D974" s="16"/>
      <c r="E974" s="16"/>
      <c r="F974" s="16"/>
      <c r="G974" s="16"/>
      <c r="H974" s="16"/>
      <c r="I974" s="16"/>
      <c r="J974" s="16"/>
      <c r="K974" s="16"/>
      <c r="L974" s="16"/>
      <c r="M974" s="16"/>
      <c r="N974" s="16"/>
      <c r="O974" s="16"/>
      <c r="P974" s="16"/>
      <c r="Q974" s="16"/>
      <c r="R974" s="16"/>
      <c r="S974" s="16"/>
      <c r="T974" s="16"/>
      <c r="U974" s="16"/>
      <c r="V974" s="16"/>
      <c r="W974" s="16"/>
      <c r="X974" s="16"/>
      <c r="Y974" s="16"/>
      <c r="Z974" s="16"/>
      <c r="AA974" s="16"/>
      <c r="AB974" s="16"/>
      <c r="AC974" s="16"/>
      <c r="AD974" s="16"/>
      <c r="AE974" s="16"/>
      <c r="AF974" s="16"/>
      <c r="AG974" s="16"/>
      <c r="AH974" s="16"/>
      <c r="AI974" s="16"/>
      <c r="AJ974" s="16"/>
    </row>
    <row r="975" ht="12.75" customHeight="1" spans="1:36" x14ac:dyDescent="0.25">
      <c r="A975" s="16"/>
      <c r="B975" s="16"/>
      <c r="C975" s="16"/>
      <c r="D975" s="16"/>
      <c r="E975" s="16"/>
      <c r="F975" s="16"/>
      <c r="G975" s="16"/>
      <c r="H975" s="16"/>
      <c r="I975" s="16"/>
      <c r="J975" s="16"/>
      <c r="K975" s="16"/>
      <c r="L975" s="16"/>
      <c r="M975" s="16"/>
      <c r="N975" s="16"/>
      <c r="O975" s="16"/>
      <c r="P975" s="16"/>
      <c r="Q975" s="16"/>
      <c r="R975" s="16"/>
      <c r="S975" s="16"/>
      <c r="T975" s="16"/>
      <c r="U975" s="16"/>
      <c r="V975" s="16"/>
      <c r="W975" s="16"/>
      <c r="X975" s="16"/>
      <c r="Y975" s="16"/>
      <c r="Z975" s="16"/>
      <c r="AA975" s="16"/>
      <c r="AB975" s="16"/>
      <c r="AC975" s="16"/>
      <c r="AD975" s="16"/>
      <c r="AE975" s="16"/>
      <c r="AF975" s="16"/>
      <c r="AG975" s="16"/>
      <c r="AH975" s="16"/>
      <c r="AI975" s="16"/>
      <c r="AJ975" s="16"/>
    </row>
    <row r="976" ht="12.75" customHeight="1" spans="1:36" x14ac:dyDescent="0.25">
      <c r="A976" s="16"/>
      <c r="B976" s="16"/>
      <c r="C976" s="16"/>
      <c r="D976" s="16"/>
      <c r="E976" s="16"/>
      <c r="F976" s="16"/>
      <c r="G976" s="16"/>
      <c r="H976" s="16"/>
      <c r="I976" s="16"/>
      <c r="J976" s="16"/>
      <c r="K976" s="16"/>
      <c r="L976" s="16"/>
      <c r="M976" s="16"/>
      <c r="N976" s="16"/>
      <c r="O976" s="16"/>
      <c r="P976" s="16"/>
      <c r="Q976" s="16"/>
      <c r="R976" s="16"/>
      <c r="S976" s="16"/>
      <c r="T976" s="16"/>
      <c r="U976" s="16"/>
      <c r="V976" s="16"/>
      <c r="W976" s="16"/>
      <c r="X976" s="16"/>
      <c r="Y976" s="16"/>
      <c r="Z976" s="16"/>
      <c r="AA976" s="16"/>
      <c r="AB976" s="16"/>
      <c r="AC976" s="16"/>
      <c r="AD976" s="16"/>
      <c r="AE976" s="16"/>
      <c r="AF976" s="16"/>
      <c r="AG976" s="16"/>
      <c r="AH976" s="16"/>
      <c r="AI976" s="16"/>
      <c r="AJ976" s="16"/>
    </row>
    <row r="977" ht="12.75" customHeight="1" spans="1:36" x14ac:dyDescent="0.25">
      <c r="A977" s="16"/>
      <c r="B977" s="16"/>
      <c r="C977" s="16"/>
      <c r="D977" s="16"/>
      <c r="E977" s="16"/>
      <c r="F977" s="16"/>
      <c r="G977" s="16"/>
      <c r="H977" s="16"/>
      <c r="I977" s="16"/>
      <c r="J977" s="16"/>
      <c r="K977" s="16"/>
      <c r="L977" s="16"/>
      <c r="M977" s="16"/>
      <c r="N977" s="16"/>
      <c r="O977" s="16"/>
      <c r="P977" s="16"/>
      <c r="Q977" s="16"/>
      <c r="R977" s="16"/>
      <c r="S977" s="16"/>
      <c r="T977" s="16"/>
      <c r="U977" s="16"/>
      <c r="V977" s="16"/>
      <c r="W977" s="16"/>
      <c r="X977" s="16"/>
      <c r="Y977" s="16"/>
      <c r="Z977" s="16"/>
      <c r="AA977" s="16"/>
      <c r="AB977" s="16"/>
      <c r="AC977" s="16"/>
      <c r="AD977" s="16"/>
      <c r="AE977" s="16"/>
      <c r="AF977" s="16"/>
      <c r="AG977" s="16"/>
      <c r="AH977" s="16"/>
      <c r="AI977" s="16"/>
      <c r="AJ977" s="16"/>
    </row>
    <row r="978" ht="12.75" customHeight="1" spans="1:36" x14ac:dyDescent="0.25">
      <c r="A978" s="16"/>
      <c r="B978" s="16"/>
      <c r="C978" s="16"/>
      <c r="D978" s="16"/>
      <c r="E978" s="16"/>
      <c r="F978" s="16"/>
      <c r="G978" s="16"/>
      <c r="H978" s="16"/>
      <c r="I978" s="16"/>
      <c r="J978" s="16"/>
      <c r="K978" s="16"/>
      <c r="L978" s="16"/>
      <c r="M978" s="16"/>
      <c r="N978" s="16"/>
      <c r="O978" s="16"/>
      <c r="P978" s="16"/>
      <c r="Q978" s="16"/>
      <c r="R978" s="16"/>
      <c r="S978" s="16"/>
      <c r="T978" s="16"/>
      <c r="U978" s="16"/>
      <c r="V978" s="16"/>
      <c r="W978" s="16"/>
      <c r="X978" s="16"/>
      <c r="Y978" s="16"/>
      <c r="Z978" s="16"/>
      <c r="AA978" s="16"/>
      <c r="AB978" s="16"/>
      <c r="AC978" s="16"/>
      <c r="AD978" s="16"/>
      <c r="AE978" s="16"/>
      <c r="AF978" s="16"/>
      <c r="AG978" s="16"/>
      <c r="AH978" s="16"/>
      <c r="AI978" s="16"/>
      <c r="AJ978" s="16"/>
    </row>
    <row r="979" ht="12.75" customHeight="1" spans="1:36" x14ac:dyDescent="0.25">
      <c r="A979" s="16"/>
      <c r="B979" s="16"/>
      <c r="C979" s="16"/>
      <c r="D979" s="16"/>
      <c r="E979" s="16"/>
      <c r="F979" s="16"/>
      <c r="G979" s="16"/>
      <c r="H979" s="16"/>
      <c r="I979" s="16"/>
      <c r="J979" s="16"/>
      <c r="K979" s="16"/>
      <c r="L979" s="16"/>
      <c r="M979" s="16"/>
      <c r="N979" s="16"/>
      <c r="O979" s="16"/>
      <c r="P979" s="16"/>
      <c r="Q979" s="16"/>
      <c r="R979" s="16"/>
      <c r="S979" s="16"/>
      <c r="T979" s="16"/>
      <c r="U979" s="16"/>
      <c r="V979" s="16"/>
      <c r="W979" s="16"/>
      <c r="X979" s="16"/>
      <c r="Y979" s="16"/>
      <c r="Z979" s="16"/>
      <c r="AA979" s="16"/>
      <c r="AB979" s="16"/>
      <c r="AC979" s="16"/>
      <c r="AD979" s="16"/>
      <c r="AE979" s="16"/>
      <c r="AF979" s="16"/>
      <c r="AG979" s="16"/>
      <c r="AH979" s="16"/>
      <c r="AI979" s="16"/>
      <c r="AJ979" s="16"/>
    </row>
    <row r="980" ht="12.75" customHeight="1" spans="1:36" x14ac:dyDescent="0.25">
      <c r="A980" s="16"/>
      <c r="B980" s="16"/>
      <c r="C980" s="16"/>
      <c r="D980" s="16"/>
      <c r="E980" s="16"/>
      <c r="F980" s="16"/>
      <c r="G980" s="16"/>
      <c r="H980" s="16"/>
      <c r="I980" s="16"/>
      <c r="J980" s="16"/>
      <c r="K980" s="16"/>
      <c r="L980" s="16"/>
      <c r="M980" s="16"/>
      <c r="N980" s="16"/>
      <c r="O980" s="16"/>
      <c r="P980" s="16"/>
      <c r="Q980" s="16"/>
      <c r="R980" s="16"/>
      <c r="S980" s="16"/>
      <c r="T980" s="16"/>
      <c r="U980" s="16"/>
      <c r="V980" s="16"/>
      <c r="W980" s="16"/>
      <c r="X980" s="16"/>
      <c r="Y980" s="16"/>
      <c r="Z980" s="16"/>
      <c r="AA980" s="16"/>
      <c r="AB980" s="16"/>
      <c r="AC980" s="16"/>
      <c r="AD980" s="16"/>
      <c r="AE980" s="16"/>
      <c r="AF980" s="16"/>
      <c r="AG980" s="16"/>
      <c r="AH980" s="16"/>
      <c r="AI980" s="16"/>
      <c r="AJ980" s="16"/>
    </row>
    <row r="981" ht="12.75" customHeight="1" spans="1:36" x14ac:dyDescent="0.25">
      <c r="A981" s="16"/>
      <c r="B981" s="16"/>
      <c r="C981" s="16"/>
      <c r="D981" s="16"/>
      <c r="E981" s="16"/>
      <c r="F981" s="16"/>
      <c r="G981" s="16"/>
      <c r="H981" s="16"/>
      <c r="I981" s="16"/>
      <c r="J981" s="16"/>
      <c r="K981" s="16"/>
      <c r="L981" s="16"/>
      <c r="M981" s="16"/>
      <c r="N981" s="16"/>
      <c r="O981" s="16"/>
      <c r="P981" s="16"/>
      <c r="Q981" s="16"/>
      <c r="R981" s="16"/>
      <c r="S981" s="16"/>
      <c r="T981" s="16"/>
      <c r="U981" s="16"/>
      <c r="V981" s="16"/>
      <c r="W981" s="16"/>
      <c r="X981" s="16"/>
      <c r="Y981" s="16"/>
      <c r="Z981" s="16"/>
      <c r="AA981" s="16"/>
      <c r="AB981" s="16"/>
      <c r="AC981" s="16"/>
      <c r="AD981" s="16"/>
      <c r="AE981" s="16"/>
      <c r="AF981" s="16"/>
      <c r="AG981" s="16"/>
      <c r="AH981" s="16"/>
      <c r="AI981" s="16"/>
      <c r="AJ981" s="16"/>
    </row>
    <row r="982" ht="12.75" customHeight="1" spans="1:36" x14ac:dyDescent="0.25">
      <c r="A982" s="16"/>
      <c r="B982" s="16"/>
      <c r="C982" s="16"/>
      <c r="D982" s="16"/>
      <c r="E982" s="16"/>
      <c r="F982" s="16"/>
      <c r="G982" s="16"/>
      <c r="H982" s="16"/>
      <c r="I982" s="16"/>
      <c r="J982" s="16"/>
      <c r="K982" s="16"/>
      <c r="L982" s="16"/>
      <c r="M982" s="16"/>
      <c r="N982" s="16"/>
      <c r="O982" s="16"/>
      <c r="P982" s="16"/>
      <c r="Q982" s="16"/>
      <c r="R982" s="16"/>
      <c r="S982" s="16"/>
      <c r="T982" s="16"/>
      <c r="U982" s="16"/>
      <c r="V982" s="16"/>
      <c r="W982" s="16"/>
      <c r="X982" s="16"/>
      <c r="Y982" s="16"/>
      <c r="Z982" s="16"/>
      <c r="AA982" s="16"/>
      <c r="AB982" s="16"/>
      <c r="AC982" s="16"/>
      <c r="AD982" s="16"/>
      <c r="AE982" s="16"/>
      <c r="AF982" s="16"/>
      <c r="AG982" s="16"/>
      <c r="AH982" s="16"/>
      <c r="AI982" s="16"/>
      <c r="AJ982" s="16"/>
    </row>
    <row r="983" ht="12.75" customHeight="1" spans="1:36" x14ac:dyDescent="0.25">
      <c r="A983" s="16"/>
      <c r="B983" s="16"/>
      <c r="C983" s="16"/>
      <c r="D983" s="16"/>
      <c r="E983" s="16"/>
      <c r="F983" s="16"/>
      <c r="G983" s="16"/>
      <c r="H983" s="16"/>
      <c r="I983" s="16"/>
      <c r="J983" s="16"/>
      <c r="K983" s="16"/>
      <c r="L983" s="16"/>
      <c r="M983" s="16"/>
      <c r="N983" s="16"/>
      <c r="O983" s="16"/>
      <c r="P983" s="16"/>
      <c r="Q983" s="16"/>
      <c r="R983" s="16"/>
      <c r="S983" s="16"/>
      <c r="T983" s="16"/>
      <c r="U983" s="16"/>
      <c r="V983" s="16"/>
      <c r="W983" s="16"/>
      <c r="X983" s="16"/>
      <c r="Y983" s="16"/>
      <c r="Z983" s="16"/>
      <c r="AA983" s="16"/>
      <c r="AB983" s="16"/>
      <c r="AC983" s="16"/>
      <c r="AD983" s="16"/>
      <c r="AE983" s="16"/>
      <c r="AF983" s="16"/>
      <c r="AG983" s="16"/>
      <c r="AH983" s="16"/>
      <c r="AI983" s="16"/>
      <c r="AJ983" s="16"/>
    </row>
    <row r="984" ht="12.75" customHeight="1" spans="1:36" x14ac:dyDescent="0.25">
      <c r="A984" s="16"/>
      <c r="B984" s="16"/>
      <c r="C984" s="16"/>
      <c r="D984" s="16"/>
      <c r="E984" s="16"/>
      <c r="F984" s="16"/>
      <c r="G984" s="16"/>
      <c r="H984" s="16"/>
      <c r="I984" s="16"/>
      <c r="J984" s="16"/>
      <c r="K984" s="16"/>
      <c r="L984" s="16"/>
      <c r="M984" s="16"/>
      <c r="N984" s="16"/>
      <c r="O984" s="16"/>
      <c r="P984" s="16"/>
      <c r="Q984" s="16"/>
      <c r="R984" s="16"/>
      <c r="S984" s="16"/>
      <c r="T984" s="16"/>
      <c r="U984" s="16"/>
      <c r="V984" s="16"/>
      <c r="W984" s="16"/>
      <c r="X984" s="16"/>
      <c r="Y984" s="16"/>
      <c r="Z984" s="16"/>
      <c r="AA984" s="16"/>
      <c r="AB984" s="16"/>
      <c r="AC984" s="16"/>
      <c r="AD984" s="16"/>
      <c r="AE984" s="16"/>
      <c r="AF984" s="16"/>
      <c r="AG984" s="16"/>
      <c r="AH984" s="16"/>
      <c r="AI984" s="16"/>
      <c r="AJ984" s="16"/>
    </row>
    <row r="985" ht="12.75" customHeight="1" spans="1:36" x14ac:dyDescent="0.25">
      <c r="A985" s="16"/>
      <c r="B985" s="16"/>
      <c r="C985" s="16"/>
      <c r="D985" s="16"/>
      <c r="E985" s="16"/>
      <c r="F985" s="16"/>
      <c r="G985" s="16"/>
      <c r="H985" s="16"/>
      <c r="I985" s="16"/>
      <c r="J985" s="16"/>
      <c r="K985" s="16"/>
      <c r="L985" s="16"/>
      <c r="M985" s="16"/>
      <c r="N985" s="16"/>
      <c r="O985" s="16"/>
      <c r="P985" s="16"/>
      <c r="Q985" s="16"/>
      <c r="R985" s="16"/>
      <c r="S985" s="16"/>
      <c r="T985" s="16"/>
      <c r="U985" s="16"/>
      <c r="V985" s="16"/>
      <c r="W985" s="16"/>
      <c r="X985" s="16"/>
      <c r="Y985" s="16"/>
      <c r="Z985" s="16"/>
      <c r="AA985" s="16"/>
      <c r="AB985" s="16"/>
      <c r="AC985" s="16"/>
      <c r="AD985" s="16"/>
      <c r="AE985" s="16"/>
      <c r="AF985" s="16"/>
      <c r="AG985" s="16"/>
      <c r="AH985" s="16"/>
      <c r="AI985" s="16"/>
      <c r="AJ985" s="16"/>
    </row>
    <row r="986" ht="12.75" customHeight="1" spans="1:36" x14ac:dyDescent="0.25">
      <c r="A986" s="16"/>
      <c r="B986" s="16"/>
      <c r="C986" s="16"/>
      <c r="D986" s="16"/>
      <c r="E986" s="16"/>
      <c r="F986" s="16"/>
      <c r="G986" s="16"/>
      <c r="H986" s="16"/>
      <c r="I986" s="16"/>
      <c r="J986" s="16"/>
      <c r="K986" s="16"/>
      <c r="L986" s="16"/>
      <c r="M986" s="16"/>
      <c r="N986" s="16"/>
      <c r="O986" s="16"/>
      <c r="P986" s="16"/>
      <c r="Q986" s="16"/>
      <c r="R986" s="16"/>
      <c r="S986" s="16"/>
      <c r="T986" s="16"/>
      <c r="U986" s="16"/>
      <c r="V986" s="16"/>
      <c r="W986" s="16"/>
      <c r="X986" s="16"/>
      <c r="Y986" s="16"/>
      <c r="Z986" s="16"/>
      <c r="AA986" s="16"/>
      <c r="AB986" s="16"/>
      <c r="AC986" s="16"/>
      <c r="AD986" s="16"/>
      <c r="AE986" s="16"/>
      <c r="AF986" s="16"/>
      <c r="AG986" s="16"/>
      <c r="AH986" s="16"/>
      <c r="AI986" s="16"/>
      <c r="AJ986" s="16"/>
    </row>
    <row r="987" ht="12.75" customHeight="1" spans="1:36" x14ac:dyDescent="0.25">
      <c r="A987" s="16"/>
      <c r="B987" s="16"/>
      <c r="C987" s="16"/>
      <c r="D987" s="16"/>
      <c r="E987" s="16"/>
      <c r="F987" s="16"/>
      <c r="G987" s="16"/>
      <c r="H987" s="16"/>
      <c r="I987" s="16"/>
      <c r="J987" s="16"/>
      <c r="K987" s="16"/>
      <c r="L987" s="16"/>
      <c r="M987" s="16"/>
      <c r="N987" s="16"/>
      <c r="O987" s="16"/>
      <c r="P987" s="16"/>
      <c r="Q987" s="16"/>
      <c r="R987" s="16"/>
      <c r="S987" s="16"/>
      <c r="T987" s="16"/>
      <c r="U987" s="16"/>
      <c r="V987" s="16"/>
      <c r="W987" s="16"/>
      <c r="X987" s="16"/>
      <c r="Y987" s="16"/>
      <c r="Z987" s="16"/>
      <c r="AA987" s="16"/>
      <c r="AB987" s="16"/>
      <c r="AC987" s="16"/>
      <c r="AD987" s="16"/>
      <c r="AE987" s="16"/>
      <c r="AF987" s="16"/>
      <c r="AG987" s="16"/>
      <c r="AH987" s="16"/>
      <c r="AI987" s="16"/>
      <c r="AJ987" s="16"/>
    </row>
    <row r="988" ht="12.75" customHeight="1" spans="1:36" x14ac:dyDescent="0.25">
      <c r="A988" s="16"/>
      <c r="B988" s="16"/>
      <c r="C988" s="16"/>
      <c r="D988" s="16"/>
      <c r="E988" s="16"/>
      <c r="F988" s="16"/>
      <c r="G988" s="16"/>
      <c r="H988" s="16"/>
      <c r="I988" s="16"/>
      <c r="J988" s="16"/>
      <c r="K988" s="16"/>
      <c r="L988" s="16"/>
      <c r="M988" s="16"/>
      <c r="N988" s="16"/>
      <c r="O988" s="16"/>
      <c r="P988" s="16"/>
      <c r="Q988" s="16"/>
      <c r="R988" s="16"/>
      <c r="S988" s="16"/>
      <c r="T988" s="16"/>
      <c r="U988" s="16"/>
      <c r="V988" s="16"/>
      <c r="W988" s="16"/>
      <c r="X988" s="16"/>
      <c r="Y988" s="16"/>
      <c r="Z988" s="16"/>
      <c r="AA988" s="16"/>
      <c r="AB988" s="16"/>
      <c r="AC988" s="16"/>
      <c r="AD988" s="16"/>
      <c r="AE988" s="16"/>
      <c r="AF988" s="16"/>
      <c r="AG988" s="16"/>
      <c r="AH988" s="16"/>
      <c r="AI988" s="16"/>
      <c r="AJ988" s="16"/>
    </row>
    <row r="989" ht="12.75" customHeight="1" spans="1:36" x14ac:dyDescent="0.25">
      <c r="A989" s="16"/>
      <c r="B989" s="16"/>
      <c r="C989" s="16"/>
      <c r="D989" s="16"/>
      <c r="E989" s="16"/>
      <c r="F989" s="16"/>
      <c r="G989" s="16"/>
      <c r="H989" s="16"/>
      <c r="I989" s="16"/>
      <c r="J989" s="16"/>
      <c r="K989" s="16"/>
      <c r="L989" s="16"/>
      <c r="M989" s="16"/>
      <c r="N989" s="16"/>
      <c r="O989" s="16"/>
      <c r="P989" s="16"/>
      <c r="Q989" s="16"/>
      <c r="R989" s="16"/>
      <c r="S989" s="16"/>
      <c r="T989" s="16"/>
      <c r="U989" s="16"/>
      <c r="V989" s="16"/>
      <c r="W989" s="16"/>
      <c r="X989" s="16"/>
      <c r="Y989" s="16"/>
      <c r="Z989" s="16"/>
      <c r="AA989" s="16"/>
      <c r="AB989" s="16"/>
      <c r="AC989" s="16"/>
      <c r="AD989" s="16"/>
      <c r="AE989" s="16"/>
      <c r="AF989" s="16"/>
      <c r="AG989" s="16"/>
      <c r="AH989" s="16"/>
      <c r="AI989" s="16"/>
      <c r="AJ989" s="16"/>
    </row>
    <row r="990" ht="12.75" customHeight="1" spans="1:36" x14ac:dyDescent="0.25">
      <c r="A990" s="16"/>
      <c r="B990" s="16"/>
      <c r="C990" s="16"/>
      <c r="D990" s="16"/>
      <c r="E990" s="16"/>
      <c r="F990" s="16"/>
      <c r="G990" s="16"/>
      <c r="H990" s="16"/>
      <c r="I990" s="16"/>
      <c r="J990" s="16"/>
      <c r="K990" s="16"/>
      <c r="L990" s="16"/>
      <c r="M990" s="16"/>
      <c r="N990" s="16"/>
      <c r="O990" s="16"/>
      <c r="P990" s="16"/>
      <c r="Q990" s="16"/>
      <c r="R990" s="16"/>
      <c r="S990" s="16"/>
      <c r="T990" s="16"/>
      <c r="U990" s="16"/>
      <c r="V990" s="16"/>
      <c r="W990" s="16"/>
      <c r="X990" s="16"/>
      <c r="Y990" s="16"/>
      <c r="Z990" s="16"/>
      <c r="AA990" s="16"/>
      <c r="AB990" s="16"/>
      <c r="AC990" s="16"/>
      <c r="AD990" s="16"/>
      <c r="AE990" s="16"/>
      <c r="AF990" s="16"/>
      <c r="AG990" s="16"/>
      <c r="AH990" s="16"/>
      <c r="AI990" s="16"/>
      <c r="AJ990" s="16"/>
    </row>
    <row r="991" ht="12.75" customHeight="1" spans="1:36" x14ac:dyDescent="0.25">
      <c r="A991" s="16"/>
      <c r="B991" s="16"/>
      <c r="C991" s="16"/>
      <c r="D991" s="16"/>
      <c r="E991" s="16"/>
      <c r="F991" s="16"/>
      <c r="G991" s="16"/>
      <c r="H991" s="16"/>
      <c r="I991" s="16"/>
      <c r="J991" s="16"/>
      <c r="K991" s="16"/>
      <c r="L991" s="16"/>
      <c r="M991" s="16"/>
      <c r="N991" s="16"/>
      <c r="O991" s="16"/>
      <c r="P991" s="16"/>
      <c r="Q991" s="16"/>
      <c r="R991" s="16"/>
      <c r="S991" s="16"/>
      <c r="T991" s="16"/>
      <c r="U991" s="16"/>
      <c r="V991" s="16"/>
      <c r="W991" s="16"/>
      <c r="X991" s="16"/>
      <c r="Y991" s="16"/>
      <c r="Z991" s="16"/>
      <c r="AA991" s="16"/>
      <c r="AB991" s="16"/>
      <c r="AC991" s="16"/>
      <c r="AD991" s="16"/>
      <c r="AE991" s="16"/>
      <c r="AF991" s="16"/>
      <c r="AG991" s="16"/>
      <c r="AH991" s="16"/>
      <c r="AI991" s="16"/>
      <c r="AJ991" s="16"/>
    </row>
    <row r="992" ht="12.75" customHeight="1" spans="1:36" x14ac:dyDescent="0.25">
      <c r="A992" s="16"/>
      <c r="B992" s="16"/>
      <c r="C992" s="16"/>
      <c r="D992" s="16"/>
      <c r="E992" s="16"/>
      <c r="F992" s="16"/>
      <c r="G992" s="16"/>
      <c r="H992" s="16"/>
      <c r="I992" s="16"/>
      <c r="J992" s="16"/>
      <c r="K992" s="16"/>
      <c r="L992" s="16"/>
      <c r="M992" s="16"/>
      <c r="N992" s="16"/>
      <c r="O992" s="16"/>
      <c r="P992" s="16"/>
      <c r="Q992" s="16"/>
      <c r="R992" s="16"/>
      <c r="S992" s="16"/>
      <c r="T992" s="16"/>
      <c r="U992" s="16"/>
      <c r="V992" s="16"/>
      <c r="W992" s="16"/>
      <c r="X992" s="16"/>
      <c r="Y992" s="16"/>
      <c r="Z992" s="16"/>
      <c r="AA992" s="16"/>
      <c r="AB992" s="16"/>
      <c r="AC992" s="16"/>
      <c r="AD992" s="16"/>
      <c r="AE992" s="16"/>
      <c r="AF992" s="16"/>
      <c r="AG992" s="16"/>
      <c r="AH992" s="16"/>
      <c r="AI992" s="16"/>
      <c r="AJ992" s="16"/>
    </row>
    <row r="993" ht="12.75" customHeight="1" spans="1:36" x14ac:dyDescent="0.25">
      <c r="A993" s="16"/>
      <c r="B993" s="16"/>
      <c r="C993" s="16"/>
      <c r="D993" s="16"/>
      <c r="E993" s="16"/>
      <c r="F993" s="16"/>
      <c r="G993" s="16"/>
      <c r="H993" s="16"/>
      <c r="I993" s="16"/>
      <c r="J993" s="16"/>
      <c r="K993" s="16"/>
      <c r="L993" s="16"/>
      <c r="M993" s="16"/>
      <c r="N993" s="16"/>
      <c r="O993" s="16"/>
      <c r="P993" s="16"/>
      <c r="Q993" s="16"/>
      <c r="R993" s="16"/>
      <c r="S993" s="16"/>
      <c r="T993" s="16"/>
      <c r="U993" s="16"/>
      <c r="V993" s="16"/>
      <c r="W993" s="16"/>
      <c r="X993" s="16"/>
      <c r="Y993" s="16"/>
      <c r="Z993" s="16"/>
      <c r="AA993" s="16"/>
      <c r="AB993" s="16"/>
      <c r="AC993" s="16"/>
      <c r="AD993" s="16"/>
      <c r="AE993" s="16"/>
      <c r="AF993" s="16"/>
      <c r="AG993" s="16"/>
      <c r="AH993" s="16"/>
      <c r="AI993" s="16"/>
      <c r="AJ993" s="16"/>
    </row>
    <row r="994" ht="12.75" customHeight="1" spans="1:36" x14ac:dyDescent="0.25">
      <c r="A994" s="16"/>
      <c r="B994" s="16"/>
      <c r="C994" s="16"/>
      <c r="D994" s="16"/>
      <c r="E994" s="16"/>
      <c r="F994" s="16"/>
      <c r="G994" s="16"/>
      <c r="H994" s="16"/>
      <c r="I994" s="16"/>
      <c r="J994" s="16"/>
      <c r="K994" s="16"/>
      <c r="L994" s="16"/>
      <c r="M994" s="16"/>
      <c r="N994" s="16"/>
      <c r="O994" s="16"/>
      <c r="P994" s="16"/>
      <c r="Q994" s="16"/>
      <c r="R994" s="16"/>
      <c r="S994" s="16"/>
      <c r="T994" s="16"/>
      <c r="U994" s="16"/>
      <c r="V994" s="16"/>
      <c r="W994" s="16"/>
      <c r="X994" s="16"/>
      <c r="Y994" s="16"/>
      <c r="Z994" s="16"/>
      <c r="AA994" s="16"/>
      <c r="AB994" s="16"/>
      <c r="AC994" s="16"/>
      <c r="AD994" s="16"/>
      <c r="AE994" s="16"/>
      <c r="AF994" s="16"/>
      <c r="AG994" s="16"/>
      <c r="AH994" s="16"/>
      <c r="AI994" s="16"/>
      <c r="AJ994" s="16"/>
    </row>
    <row r="995" ht="12.75" customHeight="1" spans="1:36" x14ac:dyDescent="0.25">
      <c r="A995" s="16"/>
      <c r="B995" s="16"/>
      <c r="C995" s="16"/>
      <c r="D995" s="16"/>
      <c r="E995" s="16"/>
      <c r="F995" s="16"/>
      <c r="G995" s="16"/>
      <c r="H995" s="16"/>
      <c r="I995" s="16"/>
      <c r="J995" s="16"/>
      <c r="K995" s="16"/>
      <c r="L995" s="16"/>
      <c r="M995" s="16"/>
      <c r="N995" s="16"/>
      <c r="O995" s="16"/>
      <c r="P995" s="16"/>
      <c r="Q995" s="16"/>
      <c r="R995" s="16"/>
      <c r="S995" s="16"/>
      <c r="T995" s="16"/>
      <c r="U995" s="16"/>
      <c r="V995" s="16"/>
      <c r="W995" s="16"/>
      <c r="X995" s="16"/>
      <c r="Y995" s="16"/>
      <c r="Z995" s="16"/>
      <c r="AA995" s="16"/>
      <c r="AB995" s="16"/>
      <c r="AC995" s="16"/>
      <c r="AD995" s="16"/>
      <c r="AE995" s="16"/>
      <c r="AF995" s="16"/>
      <c r="AG995" s="16"/>
      <c r="AH995" s="16"/>
      <c r="AI995" s="16"/>
      <c r="AJ995" s="16"/>
    </row>
    <row r="996" ht="12.75" customHeight="1" spans="1:36" x14ac:dyDescent="0.25">
      <c r="A996" s="16"/>
      <c r="B996" s="16"/>
      <c r="C996" s="16"/>
      <c r="D996" s="16"/>
      <c r="E996" s="16"/>
      <c r="F996" s="16"/>
      <c r="G996" s="16"/>
      <c r="H996" s="16"/>
      <c r="I996" s="16"/>
      <c r="J996" s="16"/>
      <c r="K996" s="16"/>
      <c r="L996" s="16"/>
      <c r="M996" s="16"/>
      <c r="N996" s="16"/>
      <c r="O996" s="16"/>
      <c r="P996" s="16"/>
      <c r="Q996" s="16"/>
      <c r="R996" s="16"/>
      <c r="S996" s="16"/>
      <c r="T996" s="16"/>
      <c r="U996" s="16"/>
      <c r="V996" s="16"/>
      <c r="W996" s="16"/>
      <c r="X996" s="16"/>
      <c r="Y996" s="16"/>
      <c r="Z996" s="16"/>
      <c r="AA996" s="16"/>
      <c r="AB996" s="16"/>
      <c r="AC996" s="16"/>
      <c r="AD996" s="16"/>
      <c r="AE996" s="16"/>
      <c r="AF996" s="16"/>
      <c r="AG996" s="16"/>
      <c r="AH996" s="16"/>
      <c r="AI996" s="16"/>
      <c r="AJ996" s="16"/>
    </row>
    <row r="997" ht="12.75" customHeight="1" spans="1:36" x14ac:dyDescent="0.25">
      <c r="A997" s="16"/>
      <c r="B997" s="16"/>
      <c r="C997" s="16"/>
      <c r="D997" s="16"/>
      <c r="E997" s="16"/>
      <c r="F997" s="16"/>
      <c r="G997" s="16"/>
      <c r="H997" s="16"/>
      <c r="I997" s="16"/>
      <c r="J997" s="16"/>
      <c r="K997" s="16"/>
      <c r="L997" s="16"/>
      <c r="M997" s="16"/>
      <c r="N997" s="16"/>
      <c r="O997" s="16"/>
      <c r="P997" s="16"/>
      <c r="Q997" s="16"/>
      <c r="R997" s="16"/>
      <c r="S997" s="16"/>
      <c r="T997" s="16"/>
      <c r="U997" s="16"/>
      <c r="V997" s="16"/>
      <c r="W997" s="16"/>
      <c r="X997" s="16"/>
      <c r="Y997" s="16"/>
      <c r="Z997" s="16"/>
      <c r="AA997" s="16"/>
      <c r="AB997" s="16"/>
      <c r="AC997" s="16"/>
      <c r="AD997" s="16"/>
      <c r="AE997" s="16"/>
      <c r="AF997" s="16"/>
      <c r="AG997" s="16"/>
      <c r="AH997" s="16"/>
      <c r="AI997" s="16"/>
      <c r="AJ997" s="16"/>
    </row>
    <row r="998" ht="12.75" customHeight="1" spans="1:36" x14ac:dyDescent="0.25">
      <c r="A998" s="16"/>
      <c r="B998" s="16"/>
      <c r="C998" s="16"/>
      <c r="D998" s="16"/>
      <c r="E998" s="16"/>
      <c r="F998" s="16"/>
      <c r="G998" s="16"/>
      <c r="H998" s="16"/>
      <c r="I998" s="16"/>
      <c r="J998" s="16"/>
      <c r="K998" s="16"/>
      <c r="L998" s="16"/>
      <c r="M998" s="16"/>
      <c r="N998" s="16"/>
      <c r="O998" s="16"/>
      <c r="P998" s="16"/>
      <c r="Q998" s="16"/>
      <c r="R998" s="16"/>
      <c r="S998" s="16"/>
      <c r="T998" s="16"/>
      <c r="U998" s="16"/>
      <c r="V998" s="16"/>
      <c r="W998" s="16"/>
      <c r="X998" s="16"/>
      <c r="Y998" s="16"/>
      <c r="Z998" s="16"/>
      <c r="AA998" s="16"/>
      <c r="AB998" s="16"/>
      <c r="AC998" s="16"/>
      <c r="AD998" s="16"/>
      <c r="AE998" s="16"/>
      <c r="AF998" s="16"/>
      <c r="AG998" s="16"/>
      <c r="AH998" s="16"/>
      <c r="AI998" s="16"/>
      <c r="AJ998" s="16"/>
    </row>
    <row r="999" ht="12.75" customHeight="1" spans="1:36" x14ac:dyDescent="0.25">
      <c r="A999" s="16"/>
      <c r="B999" s="16"/>
      <c r="C999" s="16"/>
      <c r="D999" s="16"/>
      <c r="E999" s="16"/>
      <c r="F999" s="16"/>
      <c r="G999" s="16"/>
      <c r="H999" s="16"/>
      <c r="I999" s="16"/>
      <c r="J999" s="16"/>
      <c r="K999" s="16"/>
      <c r="L999" s="16"/>
      <c r="M999" s="16"/>
      <c r="N999" s="16"/>
      <c r="O999" s="16"/>
      <c r="P999" s="16"/>
      <c r="Q999" s="16"/>
      <c r="R999" s="16"/>
      <c r="S999" s="16"/>
      <c r="T999" s="16"/>
      <c r="U999" s="16"/>
      <c r="V999" s="16"/>
      <c r="W999" s="16"/>
      <c r="X999" s="16"/>
      <c r="Y999" s="16"/>
      <c r="Z999" s="16"/>
      <c r="AA999" s="16"/>
      <c r="AB999" s="16"/>
      <c r="AC999" s="16"/>
      <c r="AD999" s="16"/>
      <c r="AE999" s="16"/>
      <c r="AF999" s="16"/>
      <c r="AG999" s="16"/>
      <c r="AH999" s="16"/>
      <c r="AI999" s="16"/>
      <c r="AJ999" s="16"/>
    </row>
    <row r="1000" ht="12.75" customHeight="1" spans="1:36" x14ac:dyDescent="0.25">
      <c r="A1000" s="16"/>
      <c r="B1000" s="16"/>
      <c r="C1000" s="16"/>
      <c r="D1000" s="16"/>
      <c r="E1000" s="16"/>
      <c r="F1000" s="16"/>
      <c r="G1000" s="16"/>
      <c r="H1000" s="16"/>
      <c r="I1000" s="16"/>
      <c r="J1000" s="16"/>
      <c r="K1000" s="16"/>
      <c r="L1000" s="16"/>
      <c r="M1000" s="16"/>
      <c r="N1000" s="16"/>
      <c r="O1000" s="16"/>
      <c r="P1000" s="16"/>
      <c r="Q1000" s="16"/>
      <c r="R1000" s="16"/>
      <c r="S1000" s="16"/>
      <c r="T1000" s="16"/>
      <c r="U1000" s="16"/>
      <c r="V1000" s="16"/>
      <c r="W1000" s="16"/>
      <c r="X1000" s="16"/>
      <c r="Y1000" s="16"/>
      <c r="Z1000" s="16"/>
      <c r="AA1000" s="16"/>
      <c r="AB1000" s="16"/>
      <c r="AC1000" s="16"/>
      <c r="AD1000" s="16"/>
      <c r="AE1000" s="16"/>
      <c r="AF1000" s="16"/>
      <c r="AG1000" s="16"/>
      <c r="AH1000" s="16"/>
      <c r="AI1000" s="16"/>
      <c r="AJ1000" s="16"/>
    </row>
  </sheetData>
  <mergeCells count="1">
    <mergeCell ref="AI27:AJ27"/>
  </mergeCells>
  <conditionalFormatting sqref="F30:AG49">
    <cfRule type="expression" dxfId="18" priority="1">
      <formula>$C$22="Report"</formula>
    </cfRule>
  </conditionalFormatting>
  <dataValidations count="9">
    <dataValidation type="list" allowBlank="1" showErrorMessage="1" sqref="C22">
      <formula1>"Working,Report"</formula1>
    </dataValidation>
    <dataValidation type="list" allowBlank="1" showErrorMessage="1" sqref="C25">
      <formula1>"Quarterly,Annual"</formula1>
    </dataValidation>
    <dataValidation type="list" allowBlank="1" showErrorMessage="1" sqref="C7">
      <formula1>"Segment,Activity-Based,Backlog,Mixed"</formula1>
    </dataValidation>
    <dataValidation type="list" allowBlank="1" showErrorMessage="1" sqref="D11">
      <formula1>"Segment,Activity-Based,Backlog"</formula1>
    </dataValidation>
    <dataValidation type="list" allowBlank="1" showErrorMessage="1" sqref="D13">
      <formula1>"Segment,Activity-Based,Backlog"</formula1>
    </dataValidation>
    <dataValidation type="list" allowBlank="1" showErrorMessage="1" sqref="D15">
      <formula1>"Segment,Activity-Based,Backlog"</formula1>
    </dataValidation>
    <dataValidation type="list" allowBlank="1" showErrorMessage="1" sqref="D17">
      <formula1>"Segment,Activity-Based,Backlog"</formula1>
    </dataValidation>
    <dataValidation type="list" allowBlank="1" showErrorMessage="1" sqref="D19:D20">
      <formula1>"Segment,Activity-Based,Backlog"</formula1>
    </dataValidation>
    <dataValidation type="list" allowBlank="1" showErrorMessage="1" sqref="D9">
      <formula1>"Segment,Activity-Based,Backlog"</formula1>
    </dataValidation>
  </dataValidations>
  <pageMargins left="0.7" right="0.7" top="0.75" bottom="0.75" header="0" footer="0"/>
  <pageSetup orientation="portrait" horizontalDpi="4294967295" verticalDpi="4294967295" scale="100" fitToWidth="1" fitToHeight="1" firstPageNumber="1" useFirstPageNumber="1" copies="1"/>
  <legacy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355F"/>
  </sheetPr>
  <dimension ref="A1:AK1000"/>
  <sheetViews>
    <sheetView workbookViewId="0" showGridLines="0" zoomScale="100" zoomScaleNormal="100">
      <pane xSplit="4" ySplit="2" topLeftCell="E3" activePane="bottomRight" state="frozen"/>
      <selection pane="bottomRight" activeCell="E3" sqref="E3"/>
    </sheetView>
  </sheetViews>
  <sheetFormatPr defaultRowHeight="15" outlineLevelRow="1" outlineLevelCol="1" x14ac:dyDescent="0" defaultColWidth="14.5"/>
  <cols>
    <col min="1" max="2" width="1.6640625" customWidth="1"/>
    <col min="3" max="3" width="51.33203125" customWidth="1"/>
    <col min="4" max="5" width="1.6640625" customWidth="1"/>
    <col min="6" max="9" width="12.6640625" outlineLevel="1" collapsed="1" customWidth="1"/>
    <col min="10" max="10" width="12.83203125" customWidth="1"/>
    <col min="11" max="14" width="12.6640625" outlineLevel="1" collapsed="1" customWidth="1"/>
    <col min="15" max="15" width="12.83203125" customWidth="1"/>
    <col min="16" max="18" width="12.6640625" outlineLevel="1" collapsed="1" customWidth="1"/>
    <col min="19" max="19" width="13.1640625" outlineLevel="1" collapsed="1" customWidth="1"/>
    <col min="20" max="20" width="13.5" customWidth="1"/>
    <col min="21" max="24" width="12.6640625" outlineLevel="1" collapsed="1" customWidth="1"/>
    <col min="25" max="25" width="13.5" customWidth="1"/>
    <col min="26" max="29" width="12.6640625" outlineLevel="1" collapsed="1" customWidth="1"/>
    <col min="30" max="33" width="13.5" customWidth="1"/>
    <col min="34" max="34" width="1.6640625" customWidth="1"/>
    <col min="35" max="37" width="12.6640625" customWidth="1"/>
  </cols>
  <sheetData>
    <row r="1" ht="13.5" customHeight="1" spans="1:37" x14ac:dyDescent="0.25">
      <c r="A1" s="343"/>
      <c r="B1" s="11"/>
      <c r="C1" s="12" t="str">
        <f ca="1">Company_Name&amp;" - "&amp;MID(CELL("filename",A1),FIND("]",CELL("filename",A1))+1,255)&amp;": "&amp;Case_Scenario&amp;" Case"</f>
        <v>Lowe's Companies, Inc. - Model: Base Case</v>
      </c>
      <c r="D1" s="11"/>
      <c r="E1" s="11"/>
      <c r="F1" s="11"/>
      <c r="G1" s="11"/>
      <c r="H1" s="11"/>
      <c r="I1" s="11"/>
      <c r="J1" s="11"/>
      <c r="K1" s="11"/>
      <c r="L1" s="11"/>
      <c r="M1" s="11"/>
      <c r="N1" s="11"/>
      <c r="O1" s="11"/>
      <c r="P1" s="11"/>
      <c r="Q1" s="11"/>
      <c r="R1" s="11"/>
      <c r="S1" s="11"/>
      <c r="T1" s="11"/>
      <c r="U1" s="11"/>
      <c r="V1" s="11"/>
      <c r="W1" s="11"/>
      <c r="X1" s="11"/>
      <c r="Y1" s="11"/>
      <c r="Z1" s="11"/>
      <c r="AA1" s="11"/>
      <c r="AB1" s="11"/>
      <c r="AC1" s="11"/>
      <c r="AD1" s="11"/>
      <c r="AE1" s="11"/>
      <c r="AF1" s="11"/>
      <c r="AG1" s="11"/>
      <c r="AH1" s="11"/>
      <c r="AI1" s="11"/>
      <c r="AJ1" s="11"/>
      <c r="AK1" s="11"/>
    </row>
    <row r="2" ht="13.5" customHeight="1" spans="1:37" x14ac:dyDescent="0.25">
      <c r="A2" s="344"/>
      <c r="B2" s="4"/>
      <c r="C2" s="14" t="str">
        <f ca="1">Cover!C2</f>
        <v>$ in Millions Except Per Share Data</v>
      </c>
      <c r="D2" s="4"/>
      <c r="E2" s="4"/>
      <c r="F2" s="4"/>
      <c r="G2" s="4"/>
      <c r="H2" s="4"/>
      <c r="I2" s="4"/>
      <c r="J2" s="4"/>
      <c r="K2" s="4"/>
      <c r="L2" s="4"/>
      <c r="M2" s="4"/>
      <c r="N2" s="4"/>
      <c r="O2" s="4"/>
      <c r="P2" s="4"/>
      <c r="Q2" s="4"/>
      <c r="R2" s="4"/>
      <c r="S2" s="4"/>
      <c r="T2" s="4"/>
      <c r="U2" s="4"/>
      <c r="V2" s="4"/>
      <c r="W2" s="4"/>
      <c r="X2" s="4"/>
      <c r="Y2" s="4"/>
      <c r="Z2" s="4"/>
      <c r="AA2" s="4"/>
      <c r="AB2" s="4"/>
      <c r="AC2" s="4"/>
      <c r="AD2" s="4"/>
      <c r="AE2" s="4"/>
      <c r="AF2" s="4"/>
      <c r="AG2" s="4"/>
      <c r="AH2" s="4"/>
      <c r="AI2" s="4"/>
      <c r="AJ2" s="4"/>
      <c r="AK2" s="4"/>
    </row>
    <row r="3" ht="13.5" customHeight="1" spans="1:37" x14ac:dyDescent="0.25">
      <c r="A3" s="345"/>
      <c r="B3" s="4"/>
      <c r="C3" s="303"/>
      <c r="D3" s="4"/>
      <c r="E3" s="4"/>
      <c r="F3" s="4"/>
      <c r="G3" s="4"/>
      <c r="H3" s="4"/>
      <c r="I3" s="4"/>
      <c r="J3" s="4"/>
      <c r="K3" s="4"/>
      <c r="L3" s="4"/>
      <c r="M3" s="4"/>
      <c r="N3" s="4"/>
      <c r="O3" s="4"/>
      <c r="P3" s="4"/>
      <c r="Q3" s="4"/>
      <c r="R3" s="4"/>
      <c r="S3" s="4"/>
      <c r="T3" s="4"/>
      <c r="U3" s="4"/>
      <c r="V3" s="4"/>
      <c r="W3" s="4"/>
      <c r="X3" s="4"/>
      <c r="Y3" s="4"/>
      <c r="Z3" s="4"/>
      <c r="AA3" s="4"/>
      <c r="AB3" s="4"/>
      <c r="AC3" s="4"/>
      <c r="AD3" s="4"/>
      <c r="AE3" s="4"/>
      <c r="AF3" s="4"/>
      <c r="AG3" s="4"/>
      <c r="AH3" s="4"/>
      <c r="AI3" s="4"/>
      <c r="AJ3" s="4"/>
      <c r="AK3" s="4"/>
    </row>
    <row r="4" ht="13.5" customHeight="1" spans="1:37" x14ac:dyDescent="0.25">
      <c r="A4" s="344"/>
      <c r="B4" s="4"/>
      <c r="C4" s="266" t="s">
        <v>4</v>
      </c>
      <c r="D4" s="4"/>
      <c r="E4" s="4"/>
      <c r="F4" s="4"/>
      <c r="G4" s="4"/>
      <c r="H4" s="4"/>
      <c r="I4" s="4"/>
      <c r="J4" s="4"/>
      <c r="K4" s="4"/>
      <c r="L4" s="4"/>
      <c r="M4" s="4"/>
      <c r="N4" s="4"/>
      <c r="O4" s="4"/>
      <c r="P4" s="4"/>
      <c r="Q4" s="4"/>
      <c r="R4" s="4"/>
      <c r="S4" s="4"/>
      <c r="T4" s="4"/>
      <c r="U4" s="4"/>
      <c r="V4" s="4"/>
      <c r="W4" s="4"/>
      <c r="X4" s="4"/>
      <c r="Y4" s="4"/>
      <c r="Z4" s="4"/>
      <c r="AA4" s="4"/>
      <c r="AB4" s="4"/>
      <c r="AC4" s="4"/>
      <c r="AD4" s="4"/>
      <c r="AE4" s="4"/>
      <c r="AF4" s="4"/>
      <c r="AG4" s="4"/>
      <c r="AH4" s="4"/>
      <c r="AI4" s="4"/>
      <c r="AJ4" s="4"/>
      <c r="AK4" s="4"/>
    </row>
    <row r="5" ht="13.5" customHeight="1" spans="1:37" x14ac:dyDescent="0.25">
      <c r="A5" s="344"/>
      <c r="B5" s="4"/>
      <c r="C5" s="267" t="s">
        <v>6</v>
      </c>
      <c r="D5" s="4"/>
      <c r="E5" s="4"/>
      <c r="F5" s="4"/>
      <c r="G5" s="4"/>
      <c r="H5" s="4"/>
      <c r="I5" s="4"/>
      <c r="J5" s="4"/>
      <c r="K5" s="4"/>
      <c r="L5" s="4"/>
      <c r="M5" s="4"/>
      <c r="N5" s="4"/>
      <c r="O5" s="4"/>
      <c r="P5" s="4"/>
      <c r="Q5" s="4"/>
      <c r="R5" s="4"/>
      <c r="S5" s="4"/>
      <c r="T5" s="4"/>
      <c r="U5" s="4"/>
      <c r="V5" s="4"/>
      <c r="W5" s="4"/>
      <c r="X5" s="4"/>
      <c r="Y5" s="4"/>
      <c r="Z5" s="4"/>
      <c r="AA5" s="4"/>
      <c r="AB5" s="4"/>
      <c r="AC5" s="4"/>
      <c r="AD5" s="4"/>
      <c r="AE5" s="4"/>
      <c r="AF5" s="4"/>
      <c r="AG5" s="4"/>
      <c r="AH5" s="4"/>
      <c r="AI5" s="4"/>
      <c r="AJ5" s="4"/>
      <c r="AK5" s="4"/>
    </row>
    <row r="6" ht="13.5" customHeight="1" spans="1:37" x14ac:dyDescent="0.25">
      <c r="A6" s="344"/>
      <c r="B6" s="4"/>
      <c r="C6" s="16"/>
      <c r="D6" s="4"/>
      <c r="E6" s="4"/>
      <c r="F6" s="4"/>
      <c r="G6" s="4"/>
      <c r="H6" s="4"/>
      <c r="I6" s="4"/>
      <c r="J6" s="4"/>
      <c r="K6" s="4"/>
      <c r="L6" s="4"/>
      <c r="M6" s="4"/>
      <c r="N6" s="4"/>
      <c r="O6" s="4"/>
      <c r="P6" s="4"/>
      <c r="Q6" s="4"/>
      <c r="R6" s="4"/>
      <c r="S6" s="4"/>
      <c r="T6" s="4"/>
      <c r="U6" s="4"/>
      <c r="V6" s="4"/>
      <c r="W6" s="4"/>
      <c r="X6" s="4"/>
      <c r="Y6" s="4"/>
      <c r="Z6" s="4"/>
      <c r="AA6" s="4"/>
      <c r="AB6" s="4"/>
      <c r="AC6" s="4"/>
      <c r="AD6" s="4"/>
      <c r="AE6" s="4"/>
      <c r="AF6" s="4"/>
      <c r="AG6" s="4"/>
      <c r="AH6" s="4"/>
      <c r="AI6" s="4"/>
      <c r="AJ6" s="4"/>
      <c r="AK6" s="4"/>
    </row>
    <row r="7" ht="13.5" customHeight="1" spans="1:37" x14ac:dyDescent="0.25">
      <c r="A7" s="344"/>
      <c r="B7" s="4"/>
      <c r="C7" s="266" t="s">
        <v>263</v>
      </c>
      <c r="D7" s="4"/>
      <c r="E7" s="4"/>
      <c r="F7" s="4"/>
      <c r="G7" s="4"/>
      <c r="H7" s="4"/>
      <c r="I7" s="4"/>
      <c r="J7" s="4"/>
      <c r="K7" s="4"/>
      <c r="L7" s="4"/>
      <c r="M7" s="4"/>
      <c r="N7" s="4"/>
      <c r="O7" s="4"/>
      <c r="P7" s="4"/>
      <c r="Q7" s="4"/>
      <c r="R7" s="4"/>
      <c r="S7" s="4"/>
      <c r="T7" s="4"/>
      <c r="U7" s="4"/>
      <c r="V7" s="4"/>
      <c r="W7" s="4"/>
      <c r="X7" s="4"/>
      <c r="Y7" s="4"/>
      <c r="Z7" s="4"/>
      <c r="AA7" s="4"/>
      <c r="AB7" s="4"/>
      <c r="AC7" s="4"/>
      <c r="AD7" s="4"/>
      <c r="AE7" s="4"/>
      <c r="AF7" s="4"/>
      <c r="AG7" s="4"/>
      <c r="AH7" s="4"/>
      <c r="AI7" s="4"/>
      <c r="AJ7" s="4"/>
      <c r="AK7" s="4"/>
    </row>
    <row r="8" ht="13.5" customHeight="1" spans="1:37" x14ac:dyDescent="0.25">
      <c r="A8" s="264"/>
      <c r="B8" s="16"/>
      <c r="C8" s="267" t="s">
        <v>264</v>
      </c>
      <c r="D8" s="16"/>
      <c r="E8" s="16"/>
      <c r="F8" s="16"/>
      <c r="G8" s="16"/>
      <c r="H8" s="16"/>
      <c r="I8" s="16"/>
      <c r="J8" s="16"/>
      <c r="K8" s="16"/>
      <c r="L8" s="16"/>
      <c r="M8" s="16"/>
      <c r="N8" s="16"/>
      <c r="O8" s="16"/>
      <c r="P8" s="16"/>
      <c r="Q8" s="16"/>
      <c r="R8" s="16"/>
      <c r="S8" s="16"/>
      <c r="T8" s="16"/>
      <c r="U8" s="16"/>
      <c r="V8" s="16"/>
      <c r="W8" s="16"/>
      <c r="X8" s="16"/>
      <c r="Y8" s="16"/>
      <c r="Z8" s="16"/>
      <c r="AA8" s="16"/>
      <c r="AB8" s="16"/>
      <c r="AC8" s="16"/>
      <c r="AD8" s="16"/>
      <c r="AE8" s="16"/>
      <c r="AF8" s="16"/>
      <c r="AG8" s="16"/>
      <c r="AH8" s="16"/>
      <c r="AI8" s="16"/>
      <c r="AJ8" s="16"/>
      <c r="AK8" s="16"/>
    </row>
    <row r="9" ht="13.5" customHeight="1" spans="1:37" x14ac:dyDescent="0.25">
      <c r="A9" s="264"/>
      <c r="B9" s="16"/>
      <c r="C9" s="34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row>
    <row r="10" ht="13.5" customHeight="1" spans="1:37" x14ac:dyDescent="0.25">
      <c r="A10" s="264" t="s">
        <v>1</v>
      </c>
      <c r="B10" s="47"/>
      <c r="C10" s="194" t="s">
        <v>265</v>
      </c>
      <c r="D10" s="16"/>
      <c r="E10" s="16"/>
      <c r="F10" s="16"/>
      <c r="G10" s="16"/>
      <c r="H10" s="16"/>
      <c r="I10" s="16"/>
      <c r="J10" s="16"/>
      <c r="K10" s="16"/>
      <c r="L10" s="16"/>
      <c r="M10" s="16"/>
      <c r="N10" s="16"/>
      <c r="O10" s="16"/>
      <c r="P10" s="16"/>
      <c r="Q10" s="16"/>
      <c r="R10" s="16"/>
      <c r="S10" s="16"/>
      <c r="T10" s="16"/>
      <c r="U10" s="16"/>
      <c r="V10" s="16"/>
      <c r="W10" s="16"/>
      <c r="X10" s="16"/>
      <c r="Y10" s="16"/>
      <c r="Z10" s="16"/>
      <c r="AA10" s="16"/>
      <c r="AB10" s="16"/>
      <c r="AC10" s="16"/>
      <c r="AD10" s="16"/>
      <c r="AE10" s="16"/>
      <c r="AF10" s="16"/>
      <c r="AG10" s="16"/>
      <c r="AH10" s="16"/>
      <c r="AI10" s="16"/>
      <c r="AJ10" s="16"/>
      <c r="AK10" s="16"/>
    </row>
    <row r="11" ht="13.5" customHeight="1" hidden="1" spans="1:37" x14ac:dyDescent="0.25" outlineLevel="1" collapsed="1">
      <c r="A11" s="264"/>
      <c r="B11" s="16"/>
      <c r="C11" s="347" t="str">
        <f ca="1">$C$25</f>
        <v>Income Statement</v>
      </c>
      <c r="D11" s="16"/>
      <c r="E11" s="16"/>
      <c r="F11" s="16"/>
      <c r="G11" s="16"/>
      <c r="H11" s="16"/>
      <c r="I11" s="16"/>
      <c r="J11" s="16"/>
      <c r="K11" s="16"/>
      <c r="L11" s="16"/>
      <c r="M11" s="16"/>
      <c r="N11" s="16"/>
      <c r="O11" s="16"/>
      <c r="P11" s="16"/>
      <c r="Q11" s="16"/>
      <c r="R11" s="16"/>
      <c r="S11" s="16"/>
      <c r="T11" s="16"/>
      <c r="U11" s="16"/>
      <c r="V11" s="16"/>
      <c r="W11" s="16"/>
      <c r="X11" s="16"/>
      <c r="Y11" s="16"/>
      <c r="Z11" s="16"/>
      <c r="AA11" s="16"/>
      <c r="AB11" s="16"/>
      <c r="AC11" s="16"/>
      <c r="AD11" s="16"/>
      <c r="AE11" s="16"/>
      <c r="AF11" s="16"/>
      <c r="AG11" s="16"/>
      <c r="AH11" s="16"/>
      <c r="AI11" s="16"/>
      <c r="AJ11" s="16"/>
      <c r="AK11" s="16"/>
    </row>
    <row r="12" ht="13.5" customHeight="1" hidden="1" spans="1:37" x14ac:dyDescent="0.25" outlineLevel="1" collapsed="1">
      <c r="A12" s="264"/>
      <c r="B12" s="16"/>
      <c r="C12" s="348" t="str">
        <f ca="1">$C$73</f>
        <v>Cash Flow Statement</v>
      </c>
      <c r="D12" s="16"/>
      <c r="E12" s="16"/>
      <c r="F12" s="16"/>
      <c r="G12" s="16"/>
      <c r="H12" s="16"/>
      <c r="I12" s="16"/>
      <c r="J12" s="16"/>
      <c r="K12" s="16"/>
      <c r="L12" s="16"/>
      <c r="M12" s="16"/>
      <c r="N12" s="16"/>
      <c r="O12" s="16"/>
      <c r="P12" s="16"/>
      <c r="Q12" s="16"/>
      <c r="R12" s="16"/>
      <c r="S12" s="16"/>
      <c r="T12" s="16"/>
      <c r="U12" s="16"/>
      <c r="V12" s="16"/>
      <c r="W12" s="16"/>
      <c r="X12" s="16"/>
      <c r="Y12" s="16"/>
      <c r="Z12" s="16"/>
      <c r="AA12" s="16"/>
      <c r="AB12" s="16"/>
      <c r="AC12" s="16"/>
      <c r="AD12" s="16"/>
      <c r="AE12" s="16"/>
      <c r="AF12" s="16"/>
      <c r="AG12" s="16"/>
      <c r="AH12" s="16"/>
      <c r="AI12" s="16"/>
      <c r="AJ12" s="16"/>
      <c r="AK12" s="16"/>
    </row>
    <row r="13" ht="13.5" customHeight="1" hidden="1" spans="1:37" x14ac:dyDescent="0.25" outlineLevel="1" collapsed="1">
      <c r="A13" s="264"/>
      <c r="B13" s="16"/>
      <c r="C13" s="348" t="str">
        <f ca="1">$C$118</f>
        <v>Balance Sheet</v>
      </c>
      <c r="D13" s="16"/>
      <c r="E13" s="16"/>
      <c r="F13" s="16"/>
      <c r="G13" s="16"/>
      <c r="H13" s="16"/>
      <c r="I13" s="16"/>
      <c r="J13" s="16"/>
      <c r="K13" s="16"/>
      <c r="L13" s="16"/>
      <c r="M13" s="16"/>
      <c r="N13" s="16"/>
      <c r="O13" s="16"/>
      <c r="P13" s="16"/>
      <c r="Q13" s="16"/>
      <c r="R13" s="16"/>
      <c r="S13" s="16"/>
      <c r="T13" s="16"/>
      <c r="U13" s="16"/>
      <c r="V13" s="16"/>
      <c r="W13" s="16"/>
      <c r="X13" s="16"/>
      <c r="Y13" s="16"/>
      <c r="Z13" s="16"/>
      <c r="AA13" s="16"/>
      <c r="AB13" s="16"/>
      <c r="AC13" s="16"/>
      <c r="AD13" s="16"/>
      <c r="AE13" s="16"/>
      <c r="AF13" s="16"/>
      <c r="AG13" s="16"/>
      <c r="AH13" s="16"/>
      <c r="AI13" s="16"/>
      <c r="AJ13" s="16"/>
      <c r="AK13" s="16"/>
    </row>
    <row r="14" ht="13.5" customHeight="1" hidden="1" spans="1:37" x14ac:dyDescent="0.25" outlineLevel="1" collapsed="1">
      <c r="A14" s="264"/>
      <c r="B14" s="16"/>
      <c r="C14" s="348" t="str">
        <f ca="1">$C$160</f>
        <v>Working Capital Schedule</v>
      </c>
      <c r="D14" s="16"/>
      <c r="E14" s="16"/>
      <c r="F14" s="16"/>
      <c r="G14" s="16"/>
      <c r="H14" s="16"/>
      <c r="I14" s="16"/>
      <c r="J14" s="16"/>
      <c r="K14" s="16"/>
      <c r="L14" s="16"/>
      <c r="M14" s="16"/>
      <c r="N14" s="16"/>
      <c r="O14" s="16"/>
      <c r="P14" s="16"/>
      <c r="Q14" s="16"/>
      <c r="R14" s="16"/>
      <c r="S14" s="16"/>
      <c r="T14" s="16"/>
      <c r="U14" s="16"/>
      <c r="V14" s="16"/>
      <c r="W14" s="16"/>
      <c r="X14" s="16"/>
      <c r="Y14" s="16"/>
      <c r="Z14" s="16"/>
      <c r="AA14" s="16"/>
      <c r="AB14" s="16"/>
      <c r="AC14" s="16"/>
      <c r="AD14" s="16"/>
      <c r="AE14" s="16"/>
      <c r="AF14" s="16"/>
      <c r="AG14" s="16"/>
      <c r="AH14" s="16"/>
      <c r="AI14" s="16"/>
      <c r="AJ14" s="16"/>
      <c r="AK14" s="16"/>
    </row>
    <row r="15" ht="13.5" customHeight="1" hidden="1" spans="1:37" x14ac:dyDescent="0.25" outlineLevel="1" collapsed="1">
      <c r="A15" s="264"/>
      <c r="B15" s="16"/>
      <c r="C15" s="348" t="str">
        <f ca="1">$C$190</f>
        <v>PP&amp;E / Depreciation Schedule</v>
      </c>
      <c r="D15" s="16"/>
      <c r="E15" s="16"/>
      <c r="F15" s="16"/>
      <c r="G15" s="16"/>
      <c r="H15" s="16"/>
      <c r="I15" s="16"/>
      <c r="J15" s="16"/>
      <c r="K15" s="16"/>
      <c r="L15" s="16"/>
      <c r="M15" s="16"/>
      <c r="N15" s="16"/>
      <c r="O15" s="16"/>
      <c r="P15" s="16"/>
      <c r="Q15" s="16"/>
      <c r="R15" s="16"/>
      <c r="S15" s="16"/>
      <c r="T15" s="16"/>
      <c r="U15" s="16"/>
      <c r="V15" s="16"/>
      <c r="W15" s="16"/>
      <c r="X15" s="16"/>
      <c r="Y15" s="16"/>
      <c r="Z15" s="16"/>
      <c r="AA15" s="16"/>
      <c r="AB15" s="16"/>
      <c r="AC15" s="16"/>
      <c r="AD15" s="16"/>
      <c r="AE15" s="16"/>
      <c r="AF15" s="16"/>
      <c r="AG15" s="16"/>
      <c r="AH15" s="16"/>
      <c r="AI15" s="16"/>
      <c r="AJ15" s="16"/>
      <c r="AK15" s="16"/>
    </row>
    <row r="16" ht="13.5" customHeight="1" hidden="1" spans="1:37" x14ac:dyDescent="0.25" outlineLevel="1" collapsed="1">
      <c r="A16" s="264"/>
      <c r="B16" s="16"/>
      <c r="C16" s="348" t="str">
        <f ca="1">$C$204</f>
        <v>Amortization Schedule</v>
      </c>
      <c r="D16" s="16"/>
      <c r="E16" s="16"/>
      <c r="F16" s="16"/>
      <c r="G16" s="16"/>
      <c r="H16" s="16"/>
      <c r="I16" s="16"/>
      <c r="J16" s="16"/>
      <c r="K16" s="16"/>
      <c r="L16" s="16"/>
      <c r="M16" s="16"/>
      <c r="N16" s="16"/>
      <c r="O16" s="16"/>
      <c r="P16" s="16"/>
      <c r="Q16" s="16"/>
      <c r="R16" s="16"/>
      <c r="S16" s="16"/>
      <c r="T16" s="16"/>
      <c r="U16" s="16"/>
      <c r="V16" s="16"/>
      <c r="W16" s="16"/>
      <c r="X16" s="16"/>
      <c r="Y16" s="16"/>
      <c r="Z16" s="16"/>
      <c r="AA16" s="16"/>
      <c r="AB16" s="16"/>
      <c r="AC16" s="16"/>
      <c r="AD16" s="16"/>
      <c r="AE16" s="16"/>
      <c r="AF16" s="16"/>
      <c r="AG16" s="16"/>
      <c r="AH16" s="16"/>
      <c r="AI16" s="16"/>
      <c r="AJ16" s="16"/>
      <c r="AK16" s="16"/>
    </row>
    <row r="17" ht="13.5" customHeight="1" hidden="1" spans="1:37" x14ac:dyDescent="0.25" outlineLevel="1" collapsed="1">
      <c r="A17" s="264"/>
      <c r="B17" s="16"/>
      <c r="C17" s="348" t="str">
        <f ca="1">$C$216</f>
        <v>Other Long-Term Items Schedule</v>
      </c>
      <c r="D17" s="16"/>
      <c r="E17" s="16"/>
      <c r="F17" s="16"/>
      <c r="G17" s="16"/>
      <c r="H17" s="16"/>
      <c r="I17" s="16"/>
      <c r="J17" s="16"/>
      <c r="K17" s="16"/>
      <c r="L17" s="16"/>
      <c r="M17" s="16"/>
      <c r="N17" s="16"/>
      <c r="O17" s="16"/>
      <c r="P17" s="16"/>
      <c r="Q17" s="16"/>
      <c r="R17" s="16"/>
      <c r="S17" s="16"/>
      <c r="T17" s="16"/>
      <c r="U17" s="16"/>
      <c r="V17" s="16"/>
      <c r="W17" s="16"/>
      <c r="X17" s="16"/>
      <c r="Y17" s="16"/>
      <c r="Z17" s="16"/>
      <c r="AA17" s="16"/>
      <c r="AB17" s="16"/>
      <c r="AC17" s="16"/>
      <c r="AD17" s="16"/>
      <c r="AE17" s="16"/>
      <c r="AF17" s="16"/>
      <c r="AG17" s="16"/>
      <c r="AH17" s="16"/>
      <c r="AI17" s="16"/>
      <c r="AJ17" s="16"/>
      <c r="AK17" s="16"/>
    </row>
    <row r="18" ht="13.5" customHeight="1" hidden="1" spans="1:37" x14ac:dyDescent="0.25" outlineLevel="1" collapsed="1">
      <c r="A18" s="264"/>
      <c r="B18" s="16"/>
      <c r="C18" s="348" t="str">
        <f ca="1">$C$234</f>
        <v>Shareholder's Equity Schedule</v>
      </c>
      <c r="D18" s="16"/>
      <c r="E18" s="16"/>
      <c r="F18" s="16"/>
      <c r="G18" s="16"/>
      <c r="H18" s="16"/>
      <c r="I18" s="16"/>
      <c r="J18" s="16"/>
      <c r="K18" s="16"/>
      <c r="L18" s="16"/>
      <c r="M18" s="16"/>
      <c r="N18" s="16"/>
      <c r="O18" s="16"/>
      <c r="P18" s="16"/>
      <c r="Q18" s="16"/>
      <c r="R18" s="16"/>
      <c r="S18" s="16"/>
      <c r="T18" s="16"/>
      <c r="U18" s="16"/>
      <c r="V18" s="16"/>
      <c r="W18" s="16"/>
      <c r="X18" s="16"/>
      <c r="Y18" s="16"/>
      <c r="Z18" s="16"/>
      <c r="AA18" s="16"/>
      <c r="AB18" s="16"/>
      <c r="AC18" s="16"/>
      <c r="AD18" s="16"/>
      <c r="AE18" s="16"/>
      <c r="AF18" s="16"/>
      <c r="AG18" s="16"/>
      <c r="AH18" s="16"/>
      <c r="AI18" s="16"/>
      <c r="AJ18" s="16"/>
      <c r="AK18" s="16"/>
    </row>
    <row r="19" ht="13.5" customHeight="1" hidden="1" spans="1:37" x14ac:dyDescent="0.25" outlineLevel="1" collapsed="1">
      <c r="A19" s="264"/>
      <c r="B19" s="16"/>
      <c r="C19" s="348" t="str">
        <f ca="1">$C$275</f>
        <v>Shares Outstanding Schedule</v>
      </c>
      <c r="D19" s="16"/>
      <c r="E19" s="16"/>
      <c r="F19" s="16"/>
      <c r="G19" s="16"/>
      <c r="H19" s="16"/>
      <c r="I19" s="16"/>
      <c r="J19" s="16"/>
      <c r="K19" s="16"/>
      <c r="L19" s="16"/>
      <c r="M19" s="16"/>
      <c r="N19" s="16"/>
      <c r="O19" s="16"/>
      <c r="P19" s="16"/>
      <c r="Q19" s="16"/>
      <c r="R19" s="16"/>
      <c r="S19" s="16"/>
      <c r="T19" s="16"/>
      <c r="U19" s="16"/>
      <c r="V19" s="16"/>
      <c r="W19" s="16"/>
      <c r="X19" s="16"/>
      <c r="Y19" s="16"/>
      <c r="Z19" s="16"/>
      <c r="AA19" s="16"/>
      <c r="AB19" s="16"/>
      <c r="AC19" s="16"/>
      <c r="AD19" s="16"/>
      <c r="AE19" s="16"/>
      <c r="AF19" s="16"/>
      <c r="AG19" s="16"/>
      <c r="AH19" s="16"/>
      <c r="AI19" s="16"/>
      <c r="AJ19" s="16"/>
      <c r="AK19" s="16"/>
    </row>
    <row r="20" ht="13.5" customHeight="1" hidden="1" spans="1:37" x14ac:dyDescent="0.25" outlineLevel="1" collapsed="1">
      <c r="A20" s="264"/>
      <c r="B20" s="16"/>
      <c r="C20" s="349" t="str">
        <f ca="1">$C$286</f>
        <v>Debt and Interest Schedule</v>
      </c>
      <c r="D20" s="16"/>
      <c r="E20" s="16"/>
      <c r="F20" s="16"/>
      <c r="G20" s="16"/>
      <c r="H20" s="16"/>
      <c r="I20" s="16"/>
      <c r="J20" s="16"/>
      <c r="K20" s="16"/>
      <c r="L20" s="16"/>
      <c r="M20" s="16"/>
      <c r="N20" s="16"/>
      <c r="O20" s="16"/>
      <c r="P20" s="16"/>
      <c r="Q20" s="16"/>
      <c r="R20" s="16"/>
      <c r="S20" s="16"/>
      <c r="T20" s="16"/>
      <c r="U20" s="16"/>
      <c r="V20" s="16"/>
      <c r="W20" s="16"/>
      <c r="X20" s="16"/>
      <c r="Y20" s="16"/>
      <c r="Z20" s="16"/>
      <c r="AA20" s="16"/>
      <c r="AB20" s="16"/>
      <c r="AC20" s="16"/>
      <c r="AD20" s="16"/>
      <c r="AE20" s="16"/>
      <c r="AF20" s="16"/>
      <c r="AG20" s="16"/>
      <c r="AH20" s="16"/>
      <c r="AI20" s="16"/>
      <c r="AJ20" s="16"/>
      <c r="AK20" s="16"/>
    </row>
    <row r="21" ht="13.5" customHeight="1" spans="1:37" x14ac:dyDescent="0.25">
      <c r="A21" s="264"/>
      <c r="B21" s="16"/>
      <c r="C21" s="139"/>
      <c r="D21" s="16"/>
      <c r="E21" s="16"/>
      <c r="F21" s="16"/>
      <c r="G21" s="16"/>
      <c r="H21" s="16"/>
      <c r="I21" s="16"/>
      <c r="J21" s="16"/>
      <c r="K21" s="16"/>
      <c r="L21" s="16"/>
      <c r="M21" s="16"/>
      <c r="N21" s="16"/>
      <c r="O21" s="16"/>
      <c r="P21" s="16"/>
      <c r="Q21" s="16"/>
      <c r="R21" s="16"/>
      <c r="S21" s="16"/>
      <c r="T21" s="16"/>
      <c r="U21" s="16"/>
      <c r="V21" s="16"/>
      <c r="W21" s="16"/>
      <c r="X21" s="16"/>
      <c r="Y21" s="16"/>
      <c r="Z21" s="16"/>
      <c r="AA21" s="16"/>
      <c r="AB21" s="16"/>
      <c r="AC21" s="16"/>
      <c r="AD21" s="16"/>
      <c r="AE21" s="16"/>
      <c r="AF21" s="16"/>
      <c r="AG21" s="16"/>
      <c r="AH21" s="16"/>
      <c r="AI21" s="16"/>
      <c r="AJ21" s="16"/>
      <c r="AK21" s="16"/>
    </row>
    <row r="22" ht="13.5" customHeight="1" spans="1:37" x14ac:dyDescent="0.25">
      <c r="A22" s="264"/>
      <c r="B22" s="16"/>
      <c r="C22" s="16"/>
      <c r="D22" s="16"/>
      <c r="E22" s="16"/>
      <c r="F22" s="16"/>
      <c r="G22" s="16"/>
      <c r="H22" s="16"/>
      <c r="I22" s="16"/>
      <c r="J22" s="16"/>
      <c r="K22" s="16"/>
      <c r="L22" s="16"/>
      <c r="M22" s="16"/>
      <c r="N22" s="16"/>
      <c r="O22" s="16"/>
      <c r="P22" s="16"/>
      <c r="Q22" s="16"/>
      <c r="R22" s="16"/>
      <c r="S22" s="16"/>
      <c r="T22" s="16"/>
      <c r="U22" s="16"/>
      <c r="V22" s="16"/>
      <c r="W22" s="16"/>
      <c r="X22" s="16"/>
      <c r="Y22" s="16"/>
      <c r="Z22" s="16"/>
      <c r="AA22" s="16"/>
      <c r="AB22" s="16"/>
      <c r="AC22" s="16"/>
      <c r="AD22" s="16"/>
      <c r="AE22" s="16"/>
      <c r="AF22" s="16"/>
      <c r="AG22" s="16"/>
      <c r="AH22" s="16"/>
      <c r="AI22" s="16"/>
      <c r="AJ22" s="16"/>
      <c r="AK22" s="16"/>
    </row>
    <row r="23" ht="13.5" customHeight="1" spans="1:37" x14ac:dyDescent="0.25" outlineLevel="1" collapsed="1">
      <c r="A23" s="264"/>
      <c r="B23" s="16"/>
      <c r="C23" s="16"/>
      <c r="D23" s="16"/>
      <c r="E23" s="16"/>
      <c r="F23" s="16"/>
      <c r="G23" s="16"/>
      <c r="H23" s="16"/>
      <c r="I23" s="16"/>
      <c r="J23" s="16">
        <v>1</v>
      </c>
      <c r="K23" s="16"/>
      <c r="L23" s="16"/>
      <c r="M23" s="16"/>
      <c r="N23" s="16"/>
      <c r="O23" s="16">
        <v>2</v>
      </c>
      <c r="P23" s="16"/>
      <c r="Q23" s="16"/>
      <c r="R23" s="16"/>
      <c r="S23" s="16"/>
      <c r="T23" s="16">
        <v>3</v>
      </c>
      <c r="U23" s="16"/>
      <c r="V23" s="16"/>
      <c r="W23" s="16"/>
      <c r="X23" s="16"/>
      <c r="Y23" s="16">
        <v>4</v>
      </c>
      <c r="Z23" s="16"/>
      <c r="AA23" s="16"/>
      <c r="AB23" s="16"/>
      <c r="AC23" s="16"/>
      <c r="AD23" s="16">
        <v>5</v>
      </c>
      <c r="AE23" s="16">
        <v>6</v>
      </c>
      <c r="AF23" s="16">
        <v>7</v>
      </c>
      <c r="AG23" s="16">
        <v>8</v>
      </c>
      <c r="AH23" s="16"/>
      <c r="AI23" s="16"/>
      <c r="AJ23" s="16"/>
      <c r="AK23" s="16"/>
    </row>
    <row r="24" ht="13.5" customHeight="1" spans="1:37" x14ac:dyDescent="0.25" outlineLevel="1" collapsed="1">
      <c r="A24" s="264"/>
      <c r="B24" s="16"/>
      <c r="C24" s="16"/>
      <c r="D24" s="16"/>
      <c r="E24" s="16"/>
      <c r="F24" s="16">
        <f t="shared" ref="F24:I24" si="0" ca="1">G24</f>
        <v>2023</v>
      </c>
      <c r="G24" s="16">
        <f ca="1">H24</f>
        <v>2023</v>
      </c>
      <c r="H24" s="16">
        <f ca="1">I24</f>
        <v>2023</v>
      </c>
      <c r="I24" s="16">
        <f ca="1">J24</f>
        <v>2023</v>
      </c>
      <c r="J24" s="16">
        <f ca="1">O24-1</f>
        <v>2023</v>
      </c>
      <c r="K24" s="16">
        <f t="shared" ref="K24:N24" si="1" ca="1">L24</f>
        <v>2024</v>
      </c>
      <c r="L24" s="16">
        <f ca="1">M24</f>
        <v>2024</v>
      </c>
      <c r="M24" s="16">
        <f ca="1">N24</f>
        <v>2024</v>
      </c>
      <c r="N24" s="16">
        <f ca="1">O24</f>
        <v>2024</v>
      </c>
      <c r="O24" s="16">
        <f ca="1">T24-1</f>
        <v>2024</v>
      </c>
      <c r="P24" s="16">
        <f t="shared" ref="P24:S24" si="2" ca="1">Q24</f>
        <v>2025</v>
      </c>
      <c r="Q24" s="16">
        <f ca="1">R24</f>
        <v>2025</v>
      </c>
      <c r="R24" s="16">
        <f ca="1">S24</f>
        <v>2025</v>
      </c>
      <c r="S24" s="16">
        <f ca="1">T24</f>
        <v>2025</v>
      </c>
      <c r="T24" s="16">
        <f ca="1">YEAR(Last_FYE)</f>
        <v>2025</v>
      </c>
      <c r="U24" s="16">
        <f t="shared" ref="U24:X24" si="3" ca="1">V24</f>
        <v>2026</v>
      </c>
      <c r="V24" s="16">
        <f ca="1">W24</f>
        <v>2026</v>
      </c>
      <c r="W24" s="16">
        <f ca="1">X24</f>
        <v>2026</v>
      </c>
      <c r="X24" s="16">
        <f ca="1">Y24</f>
        <v>2026</v>
      </c>
      <c r="Y24" s="16">
        <f ca="1">T24+1</f>
        <v>2026</v>
      </c>
      <c r="Z24" s="16">
        <f t="shared" ref="Z24:AC24" si="4" ca="1">AA24</f>
        <v>2027</v>
      </c>
      <c r="AA24" s="16">
        <f ca="1">AB24</f>
        <v>2027</v>
      </c>
      <c r="AB24" s="16">
        <f ca="1">AC24</f>
        <v>2027</v>
      </c>
      <c r="AC24" s="16">
        <f ca="1">AD24</f>
        <v>2027</v>
      </c>
      <c r="AD24" s="16">
        <f ca="1">Y24+1</f>
        <v>2027</v>
      </c>
      <c r="AE24" s="16">
        <f t="shared" ref="AE24:AG24" si="5" ca="1">AD24+1</f>
        <v>2028</v>
      </c>
      <c r="AF24" s="16">
        <f ca="1">AE24+1</f>
        <v>2029</v>
      </c>
      <c r="AG24" s="16">
        <f ca="1">AF24+1</f>
        <v>2030</v>
      </c>
      <c r="AH24" s="16"/>
      <c r="AI24" s="16"/>
      <c r="AJ24" s="16"/>
      <c r="AK24" s="16"/>
    </row>
    <row r="25" ht="13.5" customHeight="1" spans="1:37" x14ac:dyDescent="0.25">
      <c r="A25" s="264" t="s">
        <v>1</v>
      </c>
      <c r="B25" s="16"/>
      <c r="C25" s="350" t="s">
        <v>266</v>
      </c>
      <c r="D25" s="194"/>
      <c r="E25" s="194"/>
      <c r="F25" s="194" t="str">
        <f ca="1">"1Q"&amp;RIGHT(F24,2)</f>
        <v>1Q23</v>
      </c>
      <c r="G25" s="194" t="str">
        <f ca="1">"2Q"&amp;RIGHT(G24,2)</f>
        <v>2Q23</v>
      </c>
      <c r="H25" s="194" t="str">
        <f ca="1">"3Q"&amp;RIGHT(H24,2)</f>
        <v>3Q23</v>
      </c>
      <c r="I25" s="194" t="str">
        <f ca="1">"4Q"&amp;RIGHT(I24,2)</f>
        <v>4Q23</v>
      </c>
      <c r="J25" s="194">
        <f ca="1">J24</f>
        <v>2023</v>
      </c>
      <c r="K25" s="194" t="str">
        <f ca="1">"1Q"&amp;RIGHT(K24,2)</f>
        <v>1Q24</v>
      </c>
      <c r="L25" s="194" t="str">
        <f ca="1">"2Q"&amp;RIGHT(L24,2)</f>
        <v>2Q24</v>
      </c>
      <c r="M25" s="194" t="str">
        <f ca="1">"3Q"&amp;RIGHT(M24,2)</f>
        <v>3Q24</v>
      </c>
      <c r="N25" s="194" t="str">
        <f ca="1">"4Q"&amp;RIGHT(N24,2)</f>
        <v>4Q24</v>
      </c>
      <c r="O25" s="194">
        <f ca="1">O24</f>
        <v>2024</v>
      </c>
      <c r="P25" s="194" t="str">
        <f ca="1">"1Q"&amp;RIGHT(P24,2)</f>
        <v>1Q25</v>
      </c>
      <c r="Q25" s="194" t="str">
        <f ca="1">"2Q"&amp;RIGHT(Q24,2)</f>
        <v>2Q25</v>
      </c>
      <c r="R25" s="194" t="str">
        <f ca="1">"3Q"&amp;RIGHT(R24,2)</f>
        <v>3Q25</v>
      </c>
      <c r="S25" s="194" t="str">
        <f ca="1">"4Q"&amp;RIGHT(S24,2)</f>
        <v>4Q25</v>
      </c>
      <c r="T25" s="194">
        <f ca="1">T24</f>
        <v>2025</v>
      </c>
      <c r="U25" s="351" t="str">
        <f ca="1">IF(Last_FQR="4Q","1Q"&amp;RIGHT(U24,2)&amp;"e","1Q"&amp;RIGHT(U24,2))</f>
        <v>1Q26</v>
      </c>
      <c r="V25" s="351" t="str">
        <f ca="1">IF(Last_FQR="4Q","2Q"&amp;RIGHT(W24,2)&amp;"e",IF(Last_FQR="1Q","2Q"&amp;RIGHT(W24,2)&amp;"e","2Q"&amp;RIGHT(W24,2)))</f>
        <v>2Q26</v>
      </c>
      <c r="W25" s="351" t="str">
        <f ca="1">IF(Last_FQR="4Q","3Q"&amp;RIGHT(W24,2)&amp;"e",IF(Last_FQR="1Q","3Q"&amp;RIGHT(W24,2)&amp;"e",IF(Last_FQR="2Q","3Q"&amp;RIGHT(W24,2)&amp;"e","3Q"&amp;RIGHT(W24,2))))</f>
        <v>3Q26e</v>
      </c>
      <c r="X25" s="351" t="str">
        <f ca="1">"4Q"&amp;RIGHT(U24,2)&amp;"e"</f>
        <v>4Q26e</v>
      </c>
      <c r="Y25" s="194" t="str">
        <f ca="1">Y24&amp;"e"</f>
        <v>2026e</v>
      </c>
      <c r="Z25" s="194" t="str">
        <f ca="1">"1Q"&amp;RIGHT(Z24,2)&amp;"e"</f>
        <v>1Q27e</v>
      </c>
      <c r="AA25" s="194" t="str">
        <f ca="1">"2Q"&amp;RIGHT(AA24,2)&amp;"e"</f>
        <v>2Q27e</v>
      </c>
      <c r="AB25" s="194" t="str">
        <f ca="1">"3Q"&amp;RIGHT(AB24,2)&amp;"e"</f>
        <v>3Q27e</v>
      </c>
      <c r="AC25" s="194" t="str">
        <f ca="1">"4Q"&amp;RIGHT(AC24,2)&amp;"e"</f>
        <v>4Q27e</v>
      </c>
      <c r="AD25" s="194" t="str">
        <f t="shared" ref="AD25:AG25" si="6" ca="1">AD24&amp;"e"</f>
        <v>2027e</v>
      </c>
      <c r="AE25" s="194" t="str">
        <f ca="1">AE24&amp;"e"</f>
        <v>2028e</v>
      </c>
      <c r="AF25" s="194" t="str">
        <f ca="1">AF24&amp;"e"</f>
        <v>2029e</v>
      </c>
      <c r="AG25" s="352" t="str">
        <f ca="1">AG24&amp;"e"</f>
        <v>2030e</v>
      </c>
      <c r="AH25" s="264" t="s">
        <v>1</v>
      </c>
      <c r="AI25" s="16"/>
      <c r="AJ25" s="16"/>
      <c r="AK25" s="16"/>
    </row>
    <row r="26" ht="13.5" customHeight="1" spans="1:37" x14ac:dyDescent="0.25">
      <c r="A26" s="264"/>
      <c r="B26" s="16"/>
      <c r="C26" s="274" t="s">
        <v>267</v>
      </c>
      <c r="D26" s="201"/>
      <c r="E26" s="201"/>
      <c r="F26" s="201">
        <v>91</v>
      </c>
      <c r="G26" s="201">
        <v>91</v>
      </c>
      <c r="H26" s="201">
        <v>92</v>
      </c>
      <c r="I26" s="201">
        <v>92</v>
      </c>
      <c r="J26" s="201">
        <f ca="1">SUM(F26:I26)</f>
        <v>366</v>
      </c>
      <c r="K26" s="201">
        <v>90</v>
      </c>
      <c r="L26" s="201">
        <v>91</v>
      </c>
      <c r="M26" s="201">
        <v>92</v>
      </c>
      <c r="N26" s="201">
        <v>92</v>
      </c>
      <c r="O26" s="201">
        <f ca="1">SUM(K26:N26)</f>
        <v>365</v>
      </c>
      <c r="P26" s="201">
        <v>90</v>
      </c>
      <c r="Q26" s="201">
        <v>91</v>
      </c>
      <c r="R26" s="201">
        <v>92</v>
      </c>
      <c r="S26" s="201">
        <v>92</v>
      </c>
      <c r="T26" s="201">
        <f ca="1">SUM(P26:S26)</f>
        <v>365</v>
      </c>
      <c r="U26" s="201">
        <v>90</v>
      </c>
      <c r="V26" s="201">
        <v>91</v>
      </c>
      <c r="W26" s="201">
        <v>92</v>
      </c>
      <c r="X26" s="201">
        <v>92</v>
      </c>
      <c r="Y26" s="201">
        <f ca="1">SUM(U26:X26)</f>
        <v>365</v>
      </c>
      <c r="Z26" s="201">
        <v>91</v>
      </c>
      <c r="AA26" s="201">
        <v>91</v>
      </c>
      <c r="AB26" s="201">
        <v>92</v>
      </c>
      <c r="AC26" s="201">
        <v>92</v>
      </c>
      <c r="AD26" s="201">
        <f ca="1">SUM(Z26:AC26)</f>
        <v>366</v>
      </c>
      <c r="AE26" s="201">
        <v>365</v>
      </c>
      <c r="AF26" s="201">
        <v>365</v>
      </c>
      <c r="AG26" s="202">
        <v>365</v>
      </c>
      <c r="AH26" s="16"/>
      <c r="AI26" s="16"/>
      <c r="AJ26" s="16"/>
      <c r="AK26" s="16"/>
    </row>
    <row r="27" ht="13.5" customHeight="1" spans="1:37" x14ac:dyDescent="0.25">
      <c r="A27" s="264"/>
      <c r="B27" s="16"/>
      <c r="C27" s="139"/>
      <c r="D27" s="16"/>
      <c r="E27" s="16"/>
      <c r="F27" s="315"/>
      <c r="G27" s="315"/>
      <c r="H27" s="315"/>
      <c r="I27" s="315"/>
      <c r="J27" s="16"/>
      <c r="K27" s="315"/>
      <c r="L27" s="315"/>
      <c r="M27" s="315"/>
      <c r="N27" s="315"/>
      <c r="O27" s="16"/>
      <c r="P27" s="315"/>
      <c r="Q27" s="315"/>
      <c r="R27" s="315"/>
      <c r="S27" s="315"/>
      <c r="T27" s="16"/>
      <c r="U27" s="315"/>
      <c r="V27" s="315"/>
      <c r="W27" s="315"/>
      <c r="X27" s="316"/>
      <c r="Y27" s="16"/>
      <c r="Z27" s="316"/>
      <c r="AA27" s="316"/>
      <c r="AB27" s="316"/>
      <c r="AC27" s="316"/>
      <c r="AD27" s="16"/>
      <c r="AE27" s="16"/>
      <c r="AF27" s="16"/>
      <c r="AG27" s="16"/>
      <c r="AH27" s="16"/>
      <c r="AI27" s="16"/>
      <c r="AJ27" s="16"/>
      <c r="AK27" s="16"/>
    </row>
    <row r="28" ht="13.5" customHeight="1" spans="1:37" x14ac:dyDescent="0.25">
      <c r="A28" s="264"/>
      <c r="B28" s="16"/>
      <c r="C28" s="139" t="s">
        <v>268</v>
      </c>
      <c r="D28" s="16"/>
      <c r="E28" s="16"/>
      <c r="F28" s="353">
        <f ca="1">'Segment Analysis'!F7</f>
        <v>8288</v>
      </c>
      <c r="G28" s="353">
        <f ca="1">'Segment Analysis'!G7</f>
        <v>6704</v>
      </c>
      <c r="H28" s="353">
        <f ca="1">'Segment Analysis'!H7</f>
        <v>5931</v>
      </c>
      <c r="I28" s="353">
        <f ca="1">'Segment Analysis'!I7</f>
        <v>6051</v>
      </c>
      <c r="J28" s="282">
        <f ca="1">SUM(F28:I28)</f>
        <v>26974</v>
      </c>
      <c r="K28" s="353">
        <f ca="1">'Segment Analysis'!K7</f>
        <v>7192</v>
      </c>
      <c r="L28" s="353">
        <f ca="1">'Segment Analysis'!L7</f>
        <v>13507</v>
      </c>
      <c r="M28" s="353">
        <f ca="1">'Segment Analysis'!M7</f>
        <v>18120</v>
      </c>
      <c r="N28" s="353">
        <f ca="1">'Segment Analysis'!N7</f>
        <v>22103</v>
      </c>
      <c r="O28" s="282">
        <f ca="1">SUM(K28:N28)</f>
        <v>60922</v>
      </c>
      <c r="P28" s="353">
        <f ca="1">'Segment Analysis'!P7</f>
        <v>26044</v>
      </c>
      <c r="Q28" s="353">
        <f ca="1">'Segment Analysis'!Q7</f>
        <v>30040</v>
      </c>
      <c r="R28" s="353">
        <f ca="1">'Segment Analysis'!R7</f>
        <v>35082</v>
      </c>
      <c r="S28" s="353">
        <f ca="1">'Segment Analysis'!S7</f>
        <v>39331</v>
      </c>
      <c r="T28" s="282">
        <f ca="1">SUM(P28:S28)</f>
        <v>130497</v>
      </c>
      <c r="U28" s="353">
        <f ca="1">'Segment Analysis'!U7</f>
        <v>44062</v>
      </c>
      <c r="V28" s="353">
        <f ca="1">'Segment Analysis'!V7</f>
        <v>46743</v>
      </c>
      <c r="W28" s="353">
        <f ca="1">'Segment Analysis'!W7</f>
        <v>22918</v>
      </c>
      <c r="X28" s="281">
        <f ca="1">'Segment Analysis'!X7</f>
        <v>21772.1</v>
      </c>
      <c r="Y28" s="282">
        <f t="shared" ref="Y28:Y30" si="7" ca="1">SUM(U28:X28)</f>
        <v>96682.1</v>
      </c>
      <c r="Z28" s="281">
        <f ca="1">'Segment Analysis'!Z7</f>
        <v>25691.077999999998</v>
      </c>
      <c r="AA28" s="281">
        <f ca="1">'Segment Analysis'!AA7</f>
        <v>29287.82892</v>
      </c>
      <c r="AB28" s="281">
        <f ca="1">'Segment Analysis'!AB7</f>
        <v>25773.2894496</v>
      </c>
      <c r="AC28" s="281">
        <f ca="1">'Segment Analysis'!AC7</f>
        <v>24484.62497712</v>
      </c>
      <c r="AD28" s="282">
        <f t="shared" ref="AD28:AD30" si="8" ca="1">SUM(Z28:AC28)</f>
        <v>105236.82134671998</v>
      </c>
      <c r="AE28" s="282">
        <f ca="1">'Segment Analysis'!AE7</f>
        <v>107341.55777365438</v>
      </c>
      <c r="AF28" s="282">
        <f ca="1">'Segment Analysis'!AF7</f>
        <v>109488.38892912747</v>
      </c>
      <c r="AG28" s="282">
        <f ca="1">'Segment Analysis'!AG7</f>
        <v>111678.15670771002</v>
      </c>
      <c r="AH28" s="16"/>
      <c r="AI28" s="16"/>
      <c r="AJ28" s="16"/>
      <c r="AK28" s="16"/>
    </row>
    <row r="29" ht="13.5" customHeight="1" spans="1:37" x14ac:dyDescent="0.25">
      <c r="A29" s="264"/>
      <c r="B29" s="16"/>
      <c r="C29" s="139" t="s">
        <v>269</v>
      </c>
      <c r="D29" s="16"/>
      <c r="E29" s="16"/>
      <c r="F29" s="354">
        <v>-2857</v>
      </c>
      <c r="G29" s="354">
        <v>-3789</v>
      </c>
      <c r="H29" s="354">
        <v>-2754</v>
      </c>
      <c r="I29" s="354">
        <f ca="1">-11618-SUM(F29:H29)</f>
        <v>-2218</v>
      </c>
      <c r="J29" s="355">
        <f ca="1">SUM(F29:I29)</f>
        <v>-11618</v>
      </c>
      <c r="K29" s="354">
        <v>-2544</v>
      </c>
      <c r="L29" s="354">
        <v>-4045</v>
      </c>
      <c r="M29" s="354">
        <v>-4720</v>
      </c>
      <c r="N29" s="354">
        <v>-5312</v>
      </c>
      <c r="O29" s="355">
        <f ca="1">SUM(K29:N29)</f>
        <v>-16621</v>
      </c>
      <c r="P29" s="354">
        <v>-5638</v>
      </c>
      <c r="Q29" s="354">
        <v>-7466</v>
      </c>
      <c r="R29" s="354">
        <v>-8926</v>
      </c>
      <c r="S29" s="354">
        <v>-10608</v>
      </c>
      <c r="T29" s="355">
        <f ca="1">SUM(P29:S29)</f>
        <v>-32638</v>
      </c>
      <c r="U29" s="354">
        <v>-17394</v>
      </c>
      <c r="V29" s="354">
        <v>-12890</v>
      </c>
      <c r="W29" s="354">
        <v>-15331</v>
      </c>
      <c r="X29" s="356">
        <f ca="1">IF(Cover!$F$37="Bottom Up",(X30-X28),(-X28*(1-X66)))</f>
        <v>-18941.727</v>
      </c>
      <c r="Y29" s="355">
        <f ca="1">SUM(U29:X29)</f>
        <v>-68822.727</v>
      </c>
      <c r="Z29" s="356">
        <f ca="1">IF(Cover!$F$37="Bottom Up",(Z30-Z28),(-Z28*(1-Z66)))</f>
        <v>-22094.32708</v>
      </c>
      <c r="AA29" s="356">
        <f ca="1">IF(Cover!$F$37="Bottom Up",(AA30-AA28),(-AA28*(1-AA66)))</f>
        <v>-25041.0937266</v>
      </c>
      <c r="AB29" s="356">
        <f ca="1">IF(Cover!$F$37="Bottom Up",(AB30-AB28),(-AB28*(1-AB66)))</f>
        <v>-22680.494715648</v>
      </c>
      <c r="AC29" s="356">
        <f ca="1">IF(Cover!$F$37="Bottom Up",(AC30-AC28),(-AC28*(1-AC66)))</f>
        <v>-21179.2006052088</v>
      </c>
      <c r="AD29" s="355">
        <f ca="1">SUM(Z29:AC29)</f>
        <v>-90995.1161274568</v>
      </c>
      <c r="AE29" s="355">
        <f ca="1">IF(Cover!$F$37="Bottom Up",(AE30-AE28),(-AE28*(1-AE66)))</f>
        <v>-92421.08124311642</v>
      </c>
      <c r="AF29" s="355">
        <f ca="1">IF(Cover!$F$37="Bottom Up",(AF30-AF28),(-AF28*(1-AF66)))</f>
        <v>-94160.01447904963</v>
      </c>
      <c r="AG29" s="355">
        <f ca="1">IF(Cover!$F$37="Bottom Up",(AG30-AG28),(-AG28*(1-AG66)))</f>
        <v>-95819.85845521519</v>
      </c>
      <c r="AH29" s="16"/>
      <c r="AI29" s="16"/>
      <c r="AJ29" s="16"/>
      <c r="AK29" s="16"/>
    </row>
    <row r="30" ht="13.5" customHeight="1" spans="1:37" x14ac:dyDescent="0.25">
      <c r="A30" s="264"/>
      <c r="B30" s="16"/>
      <c r="C30" s="139" t="s">
        <v>270</v>
      </c>
      <c r="D30" s="16"/>
      <c r="E30" s="16"/>
      <c r="F30" s="353">
        <f ca="1">SUM(F28:F29)</f>
        <v>5431</v>
      </c>
      <c r="G30" s="353">
        <f ca="1">SUM(G28:G29)</f>
        <v>2915</v>
      </c>
      <c r="H30" s="353">
        <f ca="1">SUM(H28:H29)</f>
        <v>3177</v>
      </c>
      <c r="I30" s="353">
        <f ca="1">SUM(I28:I29)</f>
        <v>3833</v>
      </c>
      <c r="J30" s="282">
        <f ca="1">SUM(F30:I30)</f>
        <v>15356</v>
      </c>
      <c r="K30" s="353">
        <f ca="1">SUM(K28:K29)</f>
        <v>4648</v>
      </c>
      <c r="L30" s="353">
        <f ca="1">SUM(L28:L29)</f>
        <v>9462</v>
      </c>
      <c r="M30" s="353">
        <f ca="1">SUM(M28:M29)</f>
        <v>13400</v>
      </c>
      <c r="N30" s="353">
        <f ca="1">SUM(N28:N29)</f>
        <v>16791</v>
      </c>
      <c r="O30" s="282">
        <f ca="1">SUM(K30:N30)</f>
        <v>44301</v>
      </c>
      <c r="P30" s="353">
        <f ca="1">SUM(P28:P29)</f>
        <v>20406</v>
      </c>
      <c r="Q30" s="353">
        <f ca="1">SUM(Q28:Q29)</f>
        <v>22574</v>
      </c>
      <c r="R30" s="353">
        <f ca="1">SUM(R28:R29)</f>
        <v>26156</v>
      </c>
      <c r="S30" s="353">
        <f ca="1">SUM(S28:S29)</f>
        <v>28723</v>
      </c>
      <c r="T30" s="282">
        <v>97858</v>
      </c>
      <c r="U30" s="353">
        <f ca="1">SUM(U28:U29)</f>
        <v>26668</v>
      </c>
      <c r="V30" s="353">
        <f ca="1">SUM(V28:V29)</f>
        <v>33853</v>
      </c>
      <c r="W30" s="353">
        <f ca="1">SUM(W28:W29)</f>
        <v>7587</v>
      </c>
      <c r="X30" s="281">
        <f ca="1">IF(Cover!$F$37="Bottom Up",(X36-SUM(X32:X33,X35)),X28+X29)</f>
        <v>2830.3729999999996</v>
      </c>
      <c r="Y30" s="282">
        <f ca="1">SUM(U30:X30)</f>
        <v>27859.373</v>
      </c>
      <c r="Z30" s="281">
        <f ca="1">IF(Cover!$F$37="Bottom Up",(Z36-SUM(Z32:Z33,Z35)),Z28+Z29)</f>
        <v>3596.7509199999986</v>
      </c>
      <c r="AA30" s="281">
        <f ca="1">IF(Cover!$F$37="Bottom Up",(AA36-SUM(AA32:AA33,AA35)),AA28+AA29)</f>
        <v>4246.7351934</v>
      </c>
      <c r="AB30" s="281">
        <f ca="1">IF(Cover!$F$37="Bottom Up",(AB36-SUM(AB32:AB33,AB35)),AB28+AB29)</f>
        <v>3092.7947339519997</v>
      </c>
      <c r="AC30" s="281">
        <f ca="1">IF(Cover!$F$37="Bottom Up",(AC36-SUM(AC32:AC33,AC35)),AC28+AC29)</f>
        <v>3305.4243719111983</v>
      </c>
      <c r="AD30" s="282">
        <f ca="1">SUM(Z30:AC30)</f>
        <v>14241.705219263196</v>
      </c>
      <c r="AE30" s="282">
        <f ca="1">IF(Cover!$F$37="Bottom Up",(AE36-SUM(AE32:AE33,AE35)),AE28+AE29)</f>
        <v>14920.476530537955</v>
      </c>
      <c r="AF30" s="282">
        <f ca="1">IF(Cover!$F$37="Bottom Up",(AF36-SUM(AF32:AF33,AF35)),AF28+AF29)</f>
        <v>15328.374450077841</v>
      </c>
      <c r="AG30" s="282">
        <f ca="1">IF(Cover!$F$37="Bottom Up",(AG36-SUM(AG32:AG33,AG35)),AG28+AG29)</f>
        <v>15858.298252494831</v>
      </c>
      <c r="AH30" s="16"/>
      <c r="AI30" s="16"/>
      <c r="AJ30" s="16"/>
      <c r="AK30" s="16"/>
    </row>
    <row r="31" ht="13.5" customHeight="1" spans="1:37" x14ac:dyDescent="0.25">
      <c r="A31" s="264"/>
      <c r="B31" s="16"/>
      <c r="C31" s="139"/>
      <c r="D31" s="16"/>
      <c r="E31" s="16"/>
      <c r="F31" s="357"/>
      <c r="G31" s="315"/>
      <c r="H31" s="315"/>
      <c r="I31" s="315"/>
      <c r="J31" s="16"/>
      <c r="K31" s="357"/>
      <c r="L31" s="315"/>
      <c r="M31" s="315"/>
      <c r="N31" s="315"/>
      <c r="O31" s="16"/>
      <c r="P31" s="357"/>
      <c r="Q31" s="315"/>
      <c r="R31" s="315"/>
      <c r="S31" s="315"/>
      <c r="T31" s="16"/>
      <c r="U31" s="357"/>
      <c r="V31" s="315"/>
      <c r="W31" s="315"/>
      <c r="X31" s="316"/>
      <c r="Y31" s="16"/>
      <c r="Z31" s="316"/>
      <c r="AA31" s="316"/>
      <c r="AB31" s="316"/>
      <c r="AC31" s="316"/>
      <c r="AD31" s="16"/>
      <c r="AE31" s="16"/>
      <c r="AF31" s="16"/>
      <c r="AG31" s="16"/>
      <c r="AH31" s="16"/>
      <c r="AI31" s="16"/>
      <c r="AJ31" s="16"/>
      <c r="AK31" s="16"/>
    </row>
    <row r="32" ht="13.5" customHeight="1" spans="1:37" x14ac:dyDescent="0.25">
      <c r="A32" s="264"/>
      <c r="B32" s="16"/>
      <c r="C32" s="139" t="s">
        <v>271</v>
      </c>
      <c r="D32" s="16"/>
      <c r="E32" s="16"/>
      <c r="F32" s="358">
        <v>-592</v>
      </c>
      <c r="G32" s="358">
        <v>-592</v>
      </c>
      <c r="H32" s="358">
        <v>-631</v>
      </c>
      <c r="I32" s="358">
        <f ca="1">-2440-SUM(F32:H32)</f>
        <v>-625</v>
      </c>
      <c r="J32" s="162">
        <f t="shared" ref="J32:J36" si="9" ca="1">SUM(F32:I32)</f>
        <v>-2440</v>
      </c>
      <c r="K32" s="358">
        <v>-633</v>
      </c>
      <c r="L32" s="358">
        <v>-622</v>
      </c>
      <c r="M32" s="358">
        <v>-689</v>
      </c>
      <c r="N32" s="358">
        <v>-712</v>
      </c>
      <c r="O32" s="162">
        <f t="shared" ref="O32:O36" si="10" ca="1">SUM(K32:N32)</f>
        <v>-2656</v>
      </c>
      <c r="P32" s="358">
        <v>-777</v>
      </c>
      <c r="Q32" s="358">
        <v>-842</v>
      </c>
      <c r="R32" s="358">
        <v>-897</v>
      </c>
      <c r="S32" s="358">
        <v>-975</v>
      </c>
      <c r="T32" s="162">
        <f t="shared" ref="T32:T36" si="11" ca="1">SUM(P32:S32)</f>
        <v>-3491</v>
      </c>
      <c r="U32" s="358">
        <v>-1041</v>
      </c>
      <c r="V32" s="358">
        <v>-1122</v>
      </c>
      <c r="W32" s="358">
        <v>-4373</v>
      </c>
      <c r="X32" s="359">
        <f t="shared" ref="X32:X33" si="12" ca="1">X67*X$28</f>
        <v>-4789.862</v>
      </c>
      <c r="Y32" s="162">
        <f t="shared" ref="Y32:Y36" si="13" ca="1">SUM(U32:X32)</f>
        <v>-18349.862</v>
      </c>
      <c r="Z32" s="359">
        <f t="shared" ref="Z32:AC32" si="14" ca="1">Z67*Z$28</f>
        <v>-5780.49255</v>
      </c>
      <c r="AA32" s="359">
        <f ca="1">AA67*AA$28</f>
        <v>-6589.761507</v>
      </c>
      <c r="AB32" s="359">
        <f ca="1">AB67*AB$28</f>
        <v>-5670.123678912</v>
      </c>
      <c r="AC32" s="359">
        <f ca="1">AC67*AC$28</f>
        <v>-5386.6174949664</v>
      </c>
      <c r="AD32" s="162">
        <f t="shared" ref="AD32:AD36" si="15" ca="1">SUM(Z32:AC32)</f>
        <v>-23426.995230878398</v>
      </c>
      <c r="AE32" s="162">
        <f t="shared" ref="AE32:AG32" si="16" ca="1">AE67*AE$28</f>
        <v>-23078.43492133569</v>
      </c>
      <c r="AF32" s="162">
        <f ca="1">AF67*AF$28</f>
        <v>-23102.050064045896</v>
      </c>
      <c r="AG32" s="162">
        <f ca="1">AG67*AG$28</f>
        <v>-23005.700281788264</v>
      </c>
      <c r="AH32" s="16"/>
      <c r="AI32" s="16"/>
      <c r="AJ32" s="16"/>
      <c r="AK32" s="16"/>
    </row>
    <row r="33" ht="13.5" customHeight="1" spans="1:37" x14ac:dyDescent="0.25">
      <c r="A33" s="264"/>
      <c r="B33" s="16"/>
      <c r="C33" s="139" t="s">
        <v>272</v>
      </c>
      <c r="D33" s="16"/>
      <c r="E33" s="16"/>
      <c r="F33" s="358">
        <v>-1618</v>
      </c>
      <c r="G33" s="358">
        <v>-1824</v>
      </c>
      <c r="H33" s="358">
        <v>-1945</v>
      </c>
      <c r="I33" s="358">
        <v>-1952</v>
      </c>
      <c r="J33" s="162">
        <f ca="1">SUM(F33:I33)</f>
        <v>-7339</v>
      </c>
      <c r="K33" s="358">
        <v>-1875</v>
      </c>
      <c r="L33" s="358">
        <v>-2040</v>
      </c>
      <c r="M33" s="358">
        <v>-2294</v>
      </c>
      <c r="N33" s="358">
        <v>-2465</v>
      </c>
      <c r="O33" s="162">
        <f ca="1">SUM(K33:N33)</f>
        <v>-8674</v>
      </c>
      <c r="P33" s="358">
        <v>-2720</v>
      </c>
      <c r="Q33" s="358">
        <v>-3090</v>
      </c>
      <c r="R33" s="358">
        <v>-3390</v>
      </c>
      <c r="S33" s="358">
        <v>-3714</v>
      </c>
      <c r="T33" s="162">
        <f ca="1">SUM(P33:S33)</f>
        <v>-12914</v>
      </c>
      <c r="U33" s="358">
        <v>-3989</v>
      </c>
      <c r="V33" s="358">
        <v>-4291</v>
      </c>
      <c r="W33" s="358">
        <v>0</v>
      </c>
      <c r="X33" s="359">
        <f ca="1">X68*X$28</f>
        <v>1e-12</v>
      </c>
      <c r="Y33" s="162">
        <f ca="1">SUM(U33:X33)</f>
        <v>-8280</v>
      </c>
      <c r="Z33" s="359">
        <f t="shared" ref="Z33:AC33" si="17" ca="1">Z68*Z$28</f>
        <v>1e-12</v>
      </c>
      <c r="AA33" s="359">
        <f ca="1">AA68*AA$28</f>
        <v>1e-12</v>
      </c>
      <c r="AB33" s="359">
        <f ca="1">AB68*AB$28</f>
        <v>1e-12</v>
      </c>
      <c r="AC33" s="359">
        <f ca="1">AC68*AC$28</f>
        <v>1e-12</v>
      </c>
      <c r="AD33" s="162">
        <f ca="1">SUM(Z33:AC33)</f>
        <v>1e-12</v>
      </c>
      <c r="AE33" s="162">
        <f t="shared" ref="AE33:AG33" si="18" ca="1">AE68*AE$28</f>
        <v>1e-12</v>
      </c>
      <c r="AF33" s="162">
        <f ca="1">AF68*AF$28</f>
        <v>1e-12</v>
      </c>
      <c r="AG33" s="162">
        <f ca="1">AG68*AG$28</f>
        <v>1e-12</v>
      </c>
      <c r="AH33" s="16"/>
      <c r="AI33" s="16"/>
      <c r="AJ33" s="16"/>
      <c r="AK33" s="16"/>
    </row>
    <row r="34" ht="13.5" customHeight="1" spans="1:37" x14ac:dyDescent="0.25">
      <c r="A34" s="264"/>
      <c r="B34" s="16"/>
      <c r="C34" s="139" t="s">
        <v>273</v>
      </c>
      <c r="D34" s="16"/>
      <c r="E34" s="16"/>
      <c r="F34" s="358">
        <v>-334</v>
      </c>
      <c r="G34" s="358">
        <v>-378</v>
      </c>
      <c r="H34" s="358">
        <v>-406</v>
      </c>
      <c r="I34" s="358">
        <v>-426</v>
      </c>
      <c r="J34" s="162">
        <f ca="1">SUM(F34:I34)</f>
        <v>-1544</v>
      </c>
      <c r="K34" s="358">
        <v>-384</v>
      </c>
      <c r="L34" s="358">
        <v>-365</v>
      </c>
      <c r="M34" s="358">
        <v>-372</v>
      </c>
      <c r="N34" s="358">
        <v>-387</v>
      </c>
      <c r="O34" s="162">
        <f ca="1">SUM(K34:N34)</f>
        <v>-1508</v>
      </c>
      <c r="P34" s="358">
        <v>-410</v>
      </c>
      <c r="Q34" s="358">
        <v>-433</v>
      </c>
      <c r="R34" s="358">
        <v>-478</v>
      </c>
      <c r="S34" s="358">
        <v>-543</v>
      </c>
      <c r="T34" s="162">
        <f ca="1">SUM(P34:S34)</f>
        <v>-1864</v>
      </c>
      <c r="U34" s="358">
        <v>-611</v>
      </c>
      <c r="V34" s="358">
        <v>-669</v>
      </c>
      <c r="W34" s="358">
        <v>-425</v>
      </c>
      <c r="X34" s="359">
        <f ca="1">-X76</f>
        <v>-331.18750000000006</v>
      </c>
      <c r="Y34" s="162">
        <f ca="1">SUM(U34:X34)</f>
        <v>-1556.1875</v>
      </c>
      <c r="Z34" s="359">
        <f t="shared" ref="Z34:AC34" si="19" ca="1">-Z76</f>
        <v>-331.86891850000006</v>
      </c>
      <c r="AA34" s="359">
        <f ca="1">-AA76</f>
        <v>-336.85146518625004</v>
      </c>
      <c r="AB34" s="359">
        <f ca="1">-AB76</f>
        <v>-342.23237867969067</v>
      </c>
      <c r="AC34" s="359">
        <f ca="1">-AC76</f>
        <v>-343.91086566405204</v>
      </c>
      <c r="AD34" s="162">
        <f ca="1">SUM(Z34:AC34)</f>
        <v>-1354.863628029993</v>
      </c>
      <c r="AE34" s="162">
        <f t="shared" ref="AE34:AG34" si="20" ca="1">-AE76</f>
        <v>-1420.1551602334257</v>
      </c>
      <c r="AF34" s="162">
        <f ca="1">-AF76</f>
        <v>-1472.475831890681</v>
      </c>
      <c r="AG34" s="162">
        <f ca="1">-AG76</f>
        <v>-1524.1208520524956</v>
      </c>
      <c r="AH34" s="16"/>
      <c r="AI34" s="16"/>
      <c r="AJ34" s="16"/>
      <c r="AK34" s="16"/>
    </row>
    <row r="35" ht="13.5" customHeight="1" spans="1:37" x14ac:dyDescent="0.25">
      <c r="A35" s="264"/>
      <c r="B35" s="16"/>
      <c r="C35" s="139" t="s">
        <v>274</v>
      </c>
      <c r="D35" s="16"/>
      <c r="E35" s="16"/>
      <c r="F35" s="354">
        <v>0</v>
      </c>
      <c r="G35" s="354">
        <v>0</v>
      </c>
      <c r="H35" s="354">
        <v>0</v>
      </c>
      <c r="I35" s="354">
        <v>0</v>
      </c>
      <c r="J35" s="355">
        <f ca="1">SUM(F35:I35)</f>
        <v>1e-12</v>
      </c>
      <c r="K35" s="354">
        <v>0</v>
      </c>
      <c r="L35" s="354">
        <v>0</v>
      </c>
      <c r="M35" s="354">
        <v>0</v>
      </c>
      <c r="N35" s="354">
        <v>0</v>
      </c>
      <c r="O35" s="355">
        <f ca="1">SUM(K35:N35)</f>
        <v>1e-12</v>
      </c>
      <c r="P35" s="354">
        <v>0</v>
      </c>
      <c r="Q35" s="354">
        <v>0</v>
      </c>
      <c r="R35" s="354">
        <v>0</v>
      </c>
      <c r="S35" s="354">
        <v>0</v>
      </c>
      <c r="T35" s="355">
        <f ca="1">SUM(P35:S35)</f>
        <v>1e-12</v>
      </c>
      <c r="U35" s="354">
        <v>0</v>
      </c>
      <c r="V35" s="354">
        <v>0</v>
      </c>
      <c r="W35" s="354">
        <v>0</v>
      </c>
      <c r="X35" s="356">
        <f ca="1">X69*X$28</f>
        <v>1e-12</v>
      </c>
      <c r="Y35" s="355">
        <f ca="1">SUM(U35:X35)</f>
        <v>1e-12</v>
      </c>
      <c r="Z35" s="356">
        <f t="shared" ref="Z35:AC35" si="21" ca="1">Z69*Z$28</f>
        <v>1e-12</v>
      </c>
      <c r="AA35" s="356">
        <f ca="1">AA69*AA$28</f>
        <v>1e-12</v>
      </c>
      <c r="AB35" s="356">
        <f ca="1">AB69*AB$28</f>
        <v>1e-12</v>
      </c>
      <c r="AC35" s="356">
        <f ca="1">AC69*AC$28</f>
        <v>1e-12</v>
      </c>
      <c r="AD35" s="355">
        <f ca="1">SUM(Z35:AC35)</f>
        <v>1e-12</v>
      </c>
      <c r="AE35" s="355">
        <f t="shared" ref="AE35:AG35" si="22" ca="1">AE69*AE$28</f>
        <v>1e-12</v>
      </c>
      <c r="AF35" s="355">
        <f ca="1">AF69*AF$28</f>
        <v>1e-12</v>
      </c>
      <c r="AG35" s="355">
        <f ca="1">AG69*AG$28</f>
        <v>1e-12</v>
      </c>
      <c r="AH35" s="16"/>
      <c r="AI35" s="16"/>
      <c r="AJ35" s="16"/>
      <c r="AK35" s="16"/>
    </row>
    <row r="36" ht="13.5" customHeight="1" spans="1:37" x14ac:dyDescent="0.25">
      <c r="A36" s="264"/>
      <c r="B36" s="16"/>
      <c r="C36" s="139" t="s">
        <v>275</v>
      </c>
      <c r="D36" s="16"/>
      <c r="E36" s="16"/>
      <c r="F36" s="353">
        <v>1868</v>
      </c>
      <c r="G36" s="353">
        <v>499</v>
      </c>
      <c r="H36" s="353">
        <v>601</v>
      </c>
      <c r="I36" s="353">
        <v>1256</v>
      </c>
      <c r="J36" s="282">
        <v>4224</v>
      </c>
      <c r="K36" s="353">
        <v>2140</v>
      </c>
      <c r="L36" s="353">
        <v>6800</v>
      </c>
      <c r="M36" s="353">
        <v>10417</v>
      </c>
      <c r="N36" s="353">
        <v>13614</v>
      </c>
      <c r="O36" s="282">
        <v>32972</v>
      </c>
      <c r="P36" s="353">
        <v>16909</v>
      </c>
      <c r="Q36" s="353">
        <v>18642</v>
      </c>
      <c r="R36" s="353">
        <v>21869</v>
      </c>
      <c r="S36" s="353">
        <v>24034</v>
      </c>
      <c r="T36" s="282">
        <v>81453</v>
      </c>
      <c r="U36" s="353">
        <v>21638</v>
      </c>
      <c r="V36" s="353">
        <v>28440</v>
      </c>
      <c r="W36" s="353">
        <f ca="1">IF($C$34="Depreciation &amp; Amortization (incl. in SG&amp;A)",W30+SUM(W32:W33,W35),W30+SUM(W32:W35))</f>
        <v>2789</v>
      </c>
      <c r="X36" s="281">
        <f ca="1">IF(Cover!$F$37="Bottom Up",'Segment Analysis'!X33,IF($C$34="Depreciation &amp; Amortization (incl. in SG&amp;A)",X30+SUM(X32:X33,X35),X30+SUM(X32:X35)))</f>
        <v>-2290.6765000000005</v>
      </c>
      <c r="Y36" s="282">
        <f ca="1">SUM(U36:X36)</f>
        <v>7953.3234999999995</v>
      </c>
      <c r="Z36" s="281">
        <f ca="1">IF(Cover!$F$37="Bottom Up",'Segment Analysis'!Z33,IF($C$34="Depreciation &amp; Amortization (incl. in SG&amp;A)",Z30+SUM(Z32:Z33,Z35),Z30+SUM(Z32:Z35)))</f>
        <v>-2515.6105485000016</v>
      </c>
      <c r="AA36" s="281">
        <f ca="1">IF(Cover!$F$37="Bottom Up",'Segment Analysis'!AA33,IF($C$34="Depreciation &amp; Amortization (incl. in SG&amp;A)",AA30+SUM(AA32:AA33,AA35),AA30+SUM(AA32:AA35)))</f>
        <v>-2679.87777878625</v>
      </c>
      <c r="AB36" s="281">
        <f ca="1">IF(Cover!$F$37="Bottom Up",'Segment Analysis'!AB33,IF($C$34="Depreciation &amp; Amortization (incl. in SG&amp;A)",AB30+SUM(AB32:AB33,AB35),AB30+SUM(AB32:AB35)))</f>
        <v>-2919.561323639691</v>
      </c>
      <c r="AC36" s="281">
        <f ca="1">IF(Cover!$F$37="Bottom Up",'Segment Analysis'!AC33,IF($C$34="Depreciation &amp; Amortization (incl. in SG&amp;A)",AC30+SUM(AC32:AC33,AC35),AC30+SUM(AC32:AC35)))</f>
        <v>-2425.1039887192537</v>
      </c>
      <c r="AD36" s="282">
        <f ca="1">SUM(Z36:AC36)</f>
        <v>-10540.153639645196</v>
      </c>
      <c r="AE36" s="282">
        <f ca="1">IF(Cover!$F$37="Bottom Up",'Segment Analysis'!AE33,IF($C$34="Depreciation &amp; Amortization (incl. in SG&amp;A)",AE30+SUM(AE32:AE33,AE35),AE30+SUM(AE32:AE35)))</f>
        <v>-9578.113551031161</v>
      </c>
      <c r="AF36" s="282">
        <f ca="1">IF(Cover!$F$37="Bottom Up",'Segment Analysis'!AF33,IF($C$34="Depreciation &amp; Amortization (incl. in SG&amp;A)",AF30+SUM(AF32:AF33,AF35),AF30+SUM(AF32:AF35)))</f>
        <v>-9246.151445858737</v>
      </c>
      <c r="AG36" s="282">
        <f ca="1">IF(Cover!$F$37="Bottom Up",'Segment Analysis'!AG33,IF($C$34="Depreciation &amp; Amortization (incl. in SG&amp;A)",AG30+SUM(AG32:AG33,AG35),AG30+SUM(AG32:AG35)))</f>
        <v>-8671.522881345929</v>
      </c>
      <c r="AH36" s="16"/>
      <c r="AI36" s="16"/>
      <c r="AJ36" s="16"/>
      <c r="AK36" s="16"/>
    </row>
    <row r="37" ht="13.5" customHeight="1" spans="1:37" x14ac:dyDescent="0.25">
      <c r="A37" s="264"/>
      <c r="B37" s="16"/>
      <c r="C37" s="139"/>
      <c r="D37" s="16"/>
      <c r="E37" s="16"/>
      <c r="F37" s="357"/>
      <c r="G37" s="357"/>
      <c r="H37" s="357"/>
      <c r="I37" s="357"/>
      <c r="J37" s="16"/>
      <c r="K37" s="357"/>
      <c r="L37" s="357"/>
      <c r="M37" s="357"/>
      <c r="N37" s="357"/>
      <c r="O37" s="16"/>
      <c r="P37" s="357"/>
      <c r="Q37" s="357"/>
      <c r="R37" s="357"/>
      <c r="S37" s="357"/>
      <c r="T37" s="16"/>
      <c r="U37" s="357"/>
      <c r="V37" s="357"/>
      <c r="W37" s="357"/>
      <c r="X37" s="360"/>
      <c r="Y37" s="16"/>
      <c r="Z37" s="360"/>
      <c r="AA37" s="360"/>
      <c r="AB37" s="360"/>
      <c r="AC37" s="360"/>
      <c r="AD37" s="16"/>
      <c r="AE37" s="16"/>
      <c r="AF37" s="16"/>
      <c r="AG37" s="16"/>
      <c r="AH37" s="16"/>
      <c r="AI37" s="16"/>
      <c r="AJ37" s="16"/>
      <c r="AK37" s="16"/>
    </row>
    <row r="38" ht="13.5" customHeight="1" spans="1:37" x14ac:dyDescent="0.25">
      <c r="A38" s="264"/>
      <c r="B38" s="16"/>
      <c r="C38" s="139" t="s">
        <v>276</v>
      </c>
      <c r="D38" s="16"/>
      <c r="E38" s="16"/>
      <c r="F38" s="358">
        <v>18</v>
      </c>
      <c r="G38" s="358">
        <v>46</v>
      </c>
      <c r="H38" s="358">
        <v>88</v>
      </c>
      <c r="I38" s="358">
        <v>115</v>
      </c>
      <c r="J38" s="162">
        <f t="shared" ref="J38:J42" si="23" ca="1">SUM(F38:I38)</f>
        <v>267</v>
      </c>
      <c r="K38" s="358">
        <v>150</v>
      </c>
      <c r="L38" s="358">
        <v>187</v>
      </c>
      <c r="M38" s="358">
        <v>234</v>
      </c>
      <c r="N38" s="358">
        <v>294</v>
      </c>
      <c r="O38" s="162">
        <f t="shared" ref="O38:O42" si="24" ca="1">SUM(K38:N38)</f>
        <v>865</v>
      </c>
      <c r="P38" s="358">
        <v>359</v>
      </c>
      <c r="Q38" s="358">
        <v>444</v>
      </c>
      <c r="R38" s="358">
        <v>472</v>
      </c>
      <c r="S38" s="358">
        <v>511</v>
      </c>
      <c r="T38" s="162">
        <f t="shared" ref="T38:T42" si="25" ca="1">SUM(P38:S38)</f>
        <v>1786</v>
      </c>
      <c r="U38" s="358">
        <v>515</v>
      </c>
      <c r="V38" s="358">
        <v>592</v>
      </c>
      <c r="W38" s="358">
        <v>0</v>
      </c>
      <c r="X38" s="359">
        <f ca="1">X329</f>
        <v>1e-12</v>
      </c>
      <c r="Y38" s="162">
        <f ca="1">SUM(U38:X38)</f>
        <v>1107</v>
      </c>
      <c r="Z38" s="359">
        <f ca="1">Z329</f>
        <v>1e-12</v>
      </c>
      <c r="AA38" s="359">
        <f ca="1">AA329</f>
        <v>1e-12</v>
      </c>
      <c r="AB38" s="359">
        <f ca="1">AB329</f>
        <v>1e-12</v>
      </c>
      <c r="AC38" s="359">
        <f ca="1">AC329</f>
        <v>1e-12</v>
      </c>
      <c r="AD38" s="162">
        <f ca="1">SUM(Z38:AC38)</f>
        <v>1e-12</v>
      </c>
      <c r="AE38" s="162">
        <f ca="1">AE329</f>
        <v>1e-12</v>
      </c>
      <c r="AF38" s="162">
        <f ca="1">AF329</f>
        <v>1e-12</v>
      </c>
      <c r="AG38" s="162">
        <f ca="1">AG329</f>
        <v>1e-12</v>
      </c>
      <c r="AH38" s="16"/>
      <c r="AI38" s="16"/>
      <c r="AJ38" s="16"/>
      <c r="AK38" s="16"/>
    </row>
    <row r="39" ht="13.5" customHeight="1" spans="1:37" x14ac:dyDescent="0.25">
      <c r="A39" s="264"/>
      <c r="B39" s="16"/>
      <c r="C39" s="139" t="s">
        <v>277</v>
      </c>
      <c r="D39" s="16"/>
      <c r="E39" s="16"/>
      <c r="F39" s="358">
        <v>-68</v>
      </c>
      <c r="G39" s="358">
        <v>-65</v>
      </c>
      <c r="H39" s="358">
        <v>-65</v>
      </c>
      <c r="I39" s="358">
        <f ca="1">-262-SUM(F39:H39)</f>
        <v>-64</v>
      </c>
      <c r="J39" s="162">
        <f ca="1">SUM(F39:I39)</f>
        <v>-262</v>
      </c>
      <c r="K39" s="358">
        <v>-66</v>
      </c>
      <c r="L39" s="358">
        <v>-65</v>
      </c>
      <c r="M39" s="358">
        <v>-63</v>
      </c>
      <c r="N39" s="358">
        <v>-63</v>
      </c>
      <c r="O39" s="162">
        <f ca="1">SUM(K39:N39)</f>
        <v>-257</v>
      </c>
      <c r="P39" s="358">
        <v>-64</v>
      </c>
      <c r="Q39" s="358">
        <v>-61</v>
      </c>
      <c r="R39" s="358">
        <v>-61</v>
      </c>
      <c r="S39" s="358">
        <v>-61</v>
      </c>
      <c r="T39" s="162">
        <f ca="1">SUM(P39:S39)</f>
        <v>-247</v>
      </c>
      <c r="U39" s="358">
        <v>-63</v>
      </c>
      <c r="V39" s="358">
        <v>-62</v>
      </c>
      <c r="W39" s="358">
        <v>-223</v>
      </c>
      <c r="X39" s="359">
        <f ca="1">X322</f>
        <v>-217.976675</v>
      </c>
      <c r="Y39" s="162">
        <f ca="1">SUM(U39:X39)</f>
        <v>-565.976675</v>
      </c>
      <c r="Z39" s="359">
        <f ca="1">Z322</f>
        <v>-213.614175</v>
      </c>
      <c r="AA39" s="359">
        <f ca="1">AA322</f>
        <v>-230.25405371255135</v>
      </c>
      <c r="AB39" s="359">
        <f ca="1">AB322</f>
        <v>-264.70515509074767</v>
      </c>
      <c r="AC39" s="359">
        <f ca="1">AC322</f>
        <v>-293.92805743314585</v>
      </c>
      <c r="AD39" s="162">
        <f ca="1">SUM(Z39:AC39)</f>
        <v>-1002.5014412364449</v>
      </c>
      <c r="AE39" s="162">
        <f ca="1">AE322</f>
        <v>-1448.7827961524304</v>
      </c>
      <c r="AF39" s="162">
        <f ca="1">AF322</f>
        <v>-2013.0617107029975</v>
      </c>
      <c r="AG39" s="162">
        <f ca="1">AG322</f>
        <v>-2735.6860397961445</v>
      </c>
      <c r="AH39" s="16"/>
      <c r="AI39" s="16"/>
      <c r="AJ39" s="16"/>
      <c r="AK39" s="16"/>
    </row>
    <row r="40" ht="13.5" customHeight="1" spans="1:37" x14ac:dyDescent="0.25">
      <c r="A40" s="264"/>
      <c r="B40" s="16"/>
      <c r="C40" s="139" t="s">
        <v>278</v>
      </c>
      <c r="D40" s="16"/>
      <c r="E40" s="16"/>
      <c r="F40" s="358">
        <v>0</v>
      </c>
      <c r="G40" s="358">
        <v>0</v>
      </c>
      <c r="H40" s="358">
        <v>0</v>
      </c>
      <c r="I40" s="358">
        <v>0</v>
      </c>
      <c r="J40" s="162">
        <f ca="1">SUM(F40:I40)</f>
        <v>1e-12</v>
      </c>
      <c r="K40" s="358">
        <v>0</v>
      </c>
      <c r="L40" s="358">
        <v>0</v>
      </c>
      <c r="M40" s="358">
        <v>0</v>
      </c>
      <c r="N40" s="358">
        <v>0</v>
      </c>
      <c r="O40" s="162">
        <f ca="1">SUM(K40:N40)</f>
        <v>1e-12</v>
      </c>
      <c r="P40" s="358">
        <v>0</v>
      </c>
      <c r="Q40" s="358">
        <v>0</v>
      </c>
      <c r="R40" s="358">
        <v>0</v>
      </c>
      <c r="S40" s="358">
        <v>0</v>
      </c>
      <c r="T40" s="162">
        <f ca="1">SUM(P40:S40)</f>
        <v>1e-12</v>
      </c>
      <c r="U40" s="358">
        <v>0</v>
      </c>
      <c r="V40" s="358">
        <v>0</v>
      </c>
      <c r="W40" s="358">
        <v>0</v>
      </c>
      <c r="X40" s="361">
        <f ca="1">Drivers!X62</f>
        <v>1e-12</v>
      </c>
      <c r="Y40" s="162">
        <f ca="1">SUM(U40:X40)</f>
        <v>1e-12</v>
      </c>
      <c r="Z40" s="361">
        <f ca="1">Drivers!Z62</f>
        <v>1e-12</v>
      </c>
      <c r="AA40" s="361">
        <f ca="1">Drivers!AA62</f>
        <v>1e-12</v>
      </c>
      <c r="AB40" s="361">
        <f ca="1">Drivers!AB62</f>
        <v>1e-12</v>
      </c>
      <c r="AC40" s="361">
        <f ca="1">Drivers!AC62</f>
        <v>1e-12</v>
      </c>
      <c r="AD40" s="162">
        <f ca="1">SUM(Z40:AC40)</f>
        <v>1e-12</v>
      </c>
      <c r="AE40" s="362">
        <f ca="1">Drivers!AE62</f>
        <v>1e-12</v>
      </c>
      <c r="AF40" s="362">
        <f ca="1">Drivers!AF62</f>
        <v>1e-12</v>
      </c>
      <c r="AG40" s="362">
        <f ca="1">Drivers!AG62</f>
        <v>1e-12</v>
      </c>
      <c r="AH40" s="16"/>
      <c r="AI40" s="16"/>
      <c r="AJ40" s="16"/>
      <c r="AK40" s="16"/>
    </row>
    <row r="41" ht="13.5" customHeight="1" spans="1:37" x14ac:dyDescent="0.25">
      <c r="A41" s="264"/>
      <c r="B41" s="16"/>
      <c r="C41" s="139" t="s">
        <v>279</v>
      </c>
      <c r="D41" s="16"/>
      <c r="E41" s="16"/>
      <c r="F41" s="354">
        <v>-13</v>
      </c>
      <c r="G41" s="354">
        <v>-5</v>
      </c>
      <c r="H41" s="354">
        <v>-11</v>
      </c>
      <c r="I41" s="354">
        <v>-19</v>
      </c>
      <c r="J41" s="355">
        <f ca="1">SUM(F41:I41)</f>
        <v>-48</v>
      </c>
      <c r="K41" s="354">
        <v>-15</v>
      </c>
      <c r="L41" s="354">
        <v>59</v>
      </c>
      <c r="M41" s="354">
        <v>-66</v>
      </c>
      <c r="N41" s="354">
        <v>261</v>
      </c>
      <c r="O41" s="355">
        <f ca="1">SUM(K41:N41)</f>
        <v>239</v>
      </c>
      <c r="P41" s="354">
        <v>75</v>
      </c>
      <c r="Q41" s="354">
        <v>189</v>
      </c>
      <c r="R41" s="354">
        <v>36</v>
      </c>
      <c r="S41" s="354">
        <v>733</v>
      </c>
      <c r="T41" s="355">
        <f ca="1">SUM(P41:S41)</f>
        <v>1033</v>
      </c>
      <c r="U41" s="354">
        <v>-180</v>
      </c>
      <c r="V41" s="354">
        <v>2236</v>
      </c>
      <c r="W41" s="354">
        <v>0</v>
      </c>
      <c r="X41" s="356">
        <f ca="1">X70*X28</f>
        <v>1e-12</v>
      </c>
      <c r="Y41" s="355">
        <f ca="1">SUM(U41:X41)</f>
        <v>2056</v>
      </c>
      <c r="Z41" s="356">
        <f t="shared" ref="Z41:AC41" si="26" ca="1">Z70*Z28</f>
        <v>1e-12</v>
      </c>
      <c r="AA41" s="356">
        <f ca="1">AA70*AA28</f>
        <v>1e-12</v>
      </c>
      <c r="AB41" s="356">
        <f ca="1">AB70*AB28</f>
        <v>1e-12</v>
      </c>
      <c r="AC41" s="356">
        <f ca="1">AC70*AC28</f>
        <v>1e-12</v>
      </c>
      <c r="AD41" s="355">
        <f ca="1">SUM(Z41:AC41)</f>
        <v>1e-12</v>
      </c>
      <c r="AE41" s="355">
        <f t="shared" ref="AE41:AG41" si="27" ca="1">AE70*AE28</f>
        <v>1e-12</v>
      </c>
      <c r="AF41" s="355">
        <f ca="1">AF70*AF28</f>
        <v>1e-12</v>
      </c>
      <c r="AG41" s="355">
        <f ca="1">AG70*AG28</f>
        <v>1e-12</v>
      </c>
      <c r="AH41" s="16"/>
      <c r="AI41" s="16"/>
      <c r="AJ41" s="16"/>
      <c r="AK41" s="16"/>
    </row>
    <row r="42" ht="13.5" customHeight="1" spans="1:37" x14ac:dyDescent="0.25">
      <c r="A42" s="264"/>
      <c r="B42" s="16"/>
      <c r="C42" s="139" t="s">
        <v>280</v>
      </c>
      <c r="D42" s="16"/>
      <c r="E42" s="16"/>
      <c r="F42" s="353">
        <v>1805</v>
      </c>
      <c r="G42" s="353">
        <v>475</v>
      </c>
      <c r="H42" s="353">
        <v>613</v>
      </c>
      <c r="I42" s="353">
        <v>1288</v>
      </c>
      <c r="J42" s="282">
        <v>4181</v>
      </c>
      <c r="K42" s="353">
        <v>2209</v>
      </c>
      <c r="L42" s="353">
        <v>6981</v>
      </c>
      <c r="M42" s="353">
        <v>10522</v>
      </c>
      <c r="N42" s="353">
        <v>14106</v>
      </c>
      <c r="O42" s="282">
        <v>33818</v>
      </c>
      <c r="P42" s="353">
        <v>17279</v>
      </c>
      <c r="Q42" s="353">
        <v>19214</v>
      </c>
      <c r="R42" s="353">
        <v>22316</v>
      </c>
      <c r="S42" s="353">
        <v>25217</v>
      </c>
      <c r="T42" s="282">
        <v>84026</v>
      </c>
      <c r="U42" s="353">
        <v>21910</v>
      </c>
      <c r="V42" s="353">
        <v>31206</v>
      </c>
      <c r="W42" s="353">
        <f ca="1">IF($C$8="On",W36+SUM(W38:W41),IF($C$8="off",W36+SUM(W40:W41),"N/A"))</f>
        <v>2566</v>
      </c>
      <c r="X42" s="281">
        <f ca="1">IF($C$8="On",X36+SUM(X38:X41),IF($C$8="off",X36+SUM(X40:X41),"N/A"))</f>
        <v>-2508.6531750000004</v>
      </c>
      <c r="Y42" s="282">
        <f ca="1">SUM(U42:X42)</f>
        <v>53173.346825</v>
      </c>
      <c r="Z42" s="281">
        <f ca="1">IF($C$8="On",Z36+SUM(Z38:Z41),IF($C$8="off",Z36+SUM(Z40:Z41),"N/A"))</f>
        <v>-2729.224723500002</v>
      </c>
      <c r="AA42" s="281">
        <f ca="1">IF($C$8="On",AA36+SUM(AA38:AA41),IF($C$8="off",AA36+SUM(AA40:AA41),"N/A"))</f>
        <v>-2910.1318324988015</v>
      </c>
      <c r="AB42" s="281">
        <f ca="1">IF($C$8="On",AB36+SUM(AB38:AB41),IF($C$8="off",AB36+SUM(AB40:AB41),"N/A"))</f>
        <v>-3184.266478730439</v>
      </c>
      <c r="AC42" s="281">
        <f ca="1">IF($C$8="On",AC36+SUM(AC38:AC41),IF($C$8="off",AC36+SUM(AC40:AC41),"N/A"))</f>
        <v>-2719.0320461523997</v>
      </c>
      <c r="AD42" s="282">
        <f ca="1">SUM(Z42:AC42)</f>
        <v>-11542.655080881643</v>
      </c>
      <c r="AE42" s="282">
        <f ca="1">IF($C$8="On",AE36+SUM(AE38:AE41),IF($C$8="off",AE36+SUM(AE40:AE41),"N/A"))</f>
        <v>-11026.896347183592</v>
      </c>
      <c r="AF42" s="282">
        <f ca="1">IF($C$8="On",AF36+SUM(AF38:AF41),IF($C$8="off",AF36+SUM(AF40:AF41),"N/A"))</f>
        <v>-11259.213156561735</v>
      </c>
      <c r="AG42" s="282">
        <f ca="1">IF($C$8="On",AG36+SUM(AG38:AG41),IF($C$8="off",AG36+SUM(AG40:AG41),"N/A"))</f>
        <v>-11407.208921142073</v>
      </c>
      <c r="AH42" s="16"/>
      <c r="AI42" s="16"/>
      <c r="AJ42" s="16"/>
      <c r="AK42" s="16"/>
    </row>
    <row r="43" ht="13.5" customHeight="1" spans="1:37" x14ac:dyDescent="0.25">
      <c r="A43" s="264"/>
      <c r="B43" s="16"/>
      <c r="C43" s="139"/>
      <c r="D43" s="16"/>
      <c r="E43" s="16"/>
      <c r="F43" s="357"/>
      <c r="G43" s="357"/>
      <c r="H43" s="357"/>
      <c r="I43" s="357"/>
      <c r="J43" s="16"/>
      <c r="K43" s="357"/>
      <c r="L43" s="357"/>
      <c r="M43" s="357"/>
      <c r="N43" s="357"/>
      <c r="O43" s="16"/>
      <c r="P43" s="357"/>
      <c r="Q43" s="357"/>
      <c r="R43" s="357"/>
      <c r="S43" s="357"/>
      <c r="T43" s="16"/>
      <c r="U43" s="357"/>
      <c r="V43" s="357"/>
      <c r="W43" s="357"/>
      <c r="X43" s="360"/>
      <c r="Y43" s="16"/>
      <c r="Z43" s="360"/>
      <c r="AA43" s="360"/>
      <c r="AB43" s="360"/>
      <c r="AC43" s="360"/>
      <c r="AD43" s="16"/>
      <c r="AE43" s="16"/>
      <c r="AF43" s="16"/>
      <c r="AG43" s="16"/>
      <c r="AH43" s="16"/>
      <c r="AI43" s="16"/>
      <c r="AJ43" s="16"/>
      <c r="AK43" s="16"/>
    </row>
    <row r="44" ht="13.5" customHeight="1" spans="1:37" x14ac:dyDescent="0.25">
      <c r="A44" s="264"/>
      <c r="B44" s="16"/>
      <c r="C44" s="139" t="s">
        <v>281</v>
      </c>
      <c r="D44" s="16"/>
      <c r="E44" s="16"/>
      <c r="F44" s="354">
        <v>-187</v>
      </c>
      <c r="G44" s="354">
        <v>181</v>
      </c>
      <c r="H44" s="354">
        <v>67</v>
      </c>
      <c r="I44" s="354">
        <f ca="1">187-SUM(F44:H44)</f>
        <v>126</v>
      </c>
      <c r="J44" s="355">
        <f ca="1">SUM(F44:I44)</f>
        <v>187</v>
      </c>
      <c r="K44" s="354">
        <v>-166</v>
      </c>
      <c r="L44" s="354">
        <v>-793</v>
      </c>
      <c r="M44" s="354">
        <v>-1279</v>
      </c>
      <c r="N44" s="354">
        <v>-1821</v>
      </c>
      <c r="O44" s="355">
        <v>-4058</v>
      </c>
      <c r="P44" s="354">
        <v>-2398</v>
      </c>
      <c r="Q44" s="354">
        <v>-2615</v>
      </c>
      <c r="R44" s="354">
        <v>-3007</v>
      </c>
      <c r="S44" s="354">
        <v>-3126</v>
      </c>
      <c r="T44" s="355">
        <f ca="1">SUM(P44:S44)</f>
        <v>-11146</v>
      </c>
      <c r="U44" s="354">
        <v>-3135</v>
      </c>
      <c r="V44" s="354">
        <v>-4784</v>
      </c>
      <c r="W44" s="354">
        <v>-670</v>
      </c>
      <c r="X44" s="356">
        <f ca="1">-X71*X42</f>
        <v>602.076762</v>
      </c>
      <c r="Y44" s="355">
        <f ca="1">SUM(U44:X44)</f>
        <v>-7986.923238</v>
      </c>
      <c r="Z44" s="356">
        <f ca="1">-Z71*Z42</f>
        <v>655.0139336400005</v>
      </c>
      <c r="AA44" s="356">
        <f ca="1">-AA71*AA42</f>
        <v>698.4316397997123</v>
      </c>
      <c r="AB44" s="356">
        <f ca="1">-AB71*AB42</f>
        <v>764.2239548953053</v>
      </c>
      <c r="AC44" s="356">
        <f ca="1">-AC71*AC42</f>
        <v>652.5676910765759</v>
      </c>
      <c r="AD44" s="355">
        <f ca="1">SUM(Z44:AC44)</f>
        <v>2770.237219411594</v>
      </c>
      <c r="AE44" s="355">
        <f ca="1">-AE71*AE42</f>
        <v>2646.4551233240622</v>
      </c>
      <c r="AF44" s="355">
        <f ca="1">-AF71*AF42</f>
        <v>2702.2111575748163</v>
      </c>
      <c r="AG44" s="355">
        <f ca="1">-AG71*AG42</f>
        <v>2737.7301410740974</v>
      </c>
      <c r="AH44" s="16"/>
      <c r="AI44" s="16"/>
      <c r="AJ44" s="16"/>
      <c r="AK44" s="16"/>
    </row>
    <row r="45" ht="13.5" customHeight="1" spans="1:37" x14ac:dyDescent="0.25">
      <c r="A45" s="264"/>
      <c r="B45" s="16"/>
      <c r="C45" s="139" t="s">
        <v>282</v>
      </c>
      <c r="D45" s="16"/>
      <c r="E45" s="16"/>
      <c r="F45" s="353">
        <v>1618</v>
      </c>
      <c r="G45" s="353">
        <v>656</v>
      </c>
      <c r="H45" s="353">
        <v>680</v>
      </c>
      <c r="I45" s="353">
        <v>1414</v>
      </c>
      <c r="J45" s="282">
        <v>4368</v>
      </c>
      <c r="K45" s="353">
        <v>2043</v>
      </c>
      <c r="L45" s="353">
        <v>6188</v>
      </c>
      <c r="M45" s="353">
        <v>9243</v>
      </c>
      <c r="N45" s="353">
        <v>12285</v>
      </c>
      <c r="O45" s="282">
        <v>29760</v>
      </c>
      <c r="P45" s="353">
        <v>14881</v>
      </c>
      <c r="Q45" s="353">
        <v>16599</v>
      </c>
      <c r="R45" s="353">
        <v>19309</v>
      </c>
      <c r="S45" s="353">
        <v>22091</v>
      </c>
      <c r="T45" s="282">
        <v>72880</v>
      </c>
      <c r="U45" s="353">
        <v>18775</v>
      </c>
      <c r="V45" s="353">
        <v>26422</v>
      </c>
      <c r="W45" s="353">
        <f ca="1">W42+W44</f>
        <v>1896</v>
      </c>
      <c r="X45" s="281">
        <f ca="1">X42+X44</f>
        <v>-1906.5764130000002</v>
      </c>
      <c r="Y45" s="282">
        <f ca="1">SUM(U45:X45)</f>
        <v>45186.423587</v>
      </c>
      <c r="Z45" s="281">
        <f ca="1">Z42+Z44</f>
        <v>-2074.2107898600016</v>
      </c>
      <c r="AA45" s="281">
        <f ca="1">AA42+AA44</f>
        <v>-2211.7001926990893</v>
      </c>
      <c r="AB45" s="281">
        <f ca="1">AB42+AB44</f>
        <v>-2420.0425238351336</v>
      </c>
      <c r="AC45" s="281">
        <f ca="1">AC42+AC44</f>
        <v>-2066.4643550758237</v>
      </c>
      <c r="AD45" s="282">
        <f ca="1">SUM(Z45:AC45)</f>
        <v>-8772.417861470049</v>
      </c>
      <c r="AE45" s="282">
        <f ca="1">AE42+AE44</f>
        <v>-8380.44122385953</v>
      </c>
      <c r="AF45" s="282">
        <f ca="1">AF42+AF44</f>
        <v>-8557.001998986918</v>
      </c>
      <c r="AG45" s="282">
        <f ca="1">AG42+AG44</f>
        <v>-8669.478780067977</v>
      </c>
      <c r="AH45" s="16"/>
      <c r="AI45" s="16"/>
      <c r="AJ45" s="16"/>
      <c r="AK45" s="16"/>
    </row>
    <row r="46" ht="13.5" customHeight="1" spans="1:37" x14ac:dyDescent="0.25">
      <c r="A46" s="264"/>
      <c r="B46" s="16"/>
      <c r="C46" s="139"/>
      <c r="D46" s="16"/>
      <c r="E46" s="16"/>
      <c r="F46" s="363"/>
      <c r="G46" s="363"/>
      <c r="H46" s="363"/>
      <c r="I46" s="363"/>
      <c r="J46" s="16"/>
      <c r="K46" s="363"/>
      <c r="L46" s="363"/>
      <c r="M46" s="363"/>
      <c r="N46" s="363"/>
      <c r="O46" s="16"/>
      <c r="P46" s="363"/>
      <c r="Q46" s="363"/>
      <c r="R46" s="363"/>
      <c r="S46" s="363"/>
      <c r="T46" s="16"/>
      <c r="U46" s="363"/>
      <c r="V46" s="363"/>
      <c r="W46" s="363"/>
      <c r="X46" s="364"/>
      <c r="Y46" s="16"/>
      <c r="Z46" s="364"/>
      <c r="AA46" s="364"/>
      <c r="AB46" s="364"/>
      <c r="AC46" s="364"/>
      <c r="AD46" s="16"/>
      <c r="AE46" s="16"/>
      <c r="AF46" s="16"/>
      <c r="AG46" s="16"/>
      <c r="AH46" s="16"/>
      <c r="AI46" s="16"/>
      <c r="AJ46" s="16"/>
      <c r="AK46" s="16"/>
    </row>
    <row r="47" ht="13.5" customHeight="1" spans="1:37" x14ac:dyDescent="0.25">
      <c r="A47" s="264"/>
      <c r="B47" s="16"/>
      <c r="C47" s="139" t="s">
        <v>283</v>
      </c>
      <c r="D47" s="16"/>
      <c r="E47" s="16"/>
      <c r="F47" s="358">
        <v>0</v>
      </c>
      <c r="G47" s="358">
        <v>0</v>
      </c>
      <c r="H47" s="358">
        <v>0</v>
      </c>
      <c r="I47" s="358">
        <v>0</v>
      </c>
      <c r="J47" s="162">
        <f ca="1">SUM(F47:I47)</f>
        <v>1e-12</v>
      </c>
      <c r="K47" s="358">
        <v>0</v>
      </c>
      <c r="L47" s="358">
        <v>0</v>
      </c>
      <c r="M47" s="358">
        <v>0</v>
      </c>
      <c r="N47" s="358">
        <v>0</v>
      </c>
      <c r="O47" s="162">
        <f ca="1">SUM(K47:N47)</f>
        <v>1e-12</v>
      </c>
      <c r="P47" s="358">
        <v>0</v>
      </c>
      <c r="Q47" s="358">
        <v>0</v>
      </c>
      <c r="R47" s="358">
        <v>0</v>
      </c>
      <c r="S47" s="358">
        <v>0</v>
      </c>
      <c r="T47" s="162">
        <f ca="1">SUM(P47:S47)</f>
        <v>1e-12</v>
      </c>
      <c r="U47" s="358">
        <v>0</v>
      </c>
      <c r="V47" s="358">
        <v>0</v>
      </c>
      <c r="W47" s="358">
        <v>0</v>
      </c>
      <c r="X47" s="365">
        <v>0</v>
      </c>
      <c r="Y47" s="162">
        <f t="shared" ref="Y47:Y51" si="28" ca="1">SUM(U47:X47)</f>
        <v>1e-12</v>
      </c>
      <c r="Z47" s="365">
        <v>0</v>
      </c>
      <c r="AA47" s="365">
        <v>0</v>
      </c>
      <c r="AB47" s="365">
        <v>0</v>
      </c>
      <c r="AC47" s="365">
        <v>0</v>
      </c>
      <c r="AD47" s="162">
        <f t="shared" ref="AD47:AD51" si="29" ca="1">SUM(Z47:AC47)</f>
        <v>1e-12</v>
      </c>
      <c r="AE47" s="366">
        <v>0</v>
      </c>
      <c r="AF47" s="366">
        <v>0</v>
      </c>
      <c r="AG47" s="366">
        <v>0</v>
      </c>
      <c r="AH47" s="16"/>
      <c r="AI47" s="16"/>
      <c r="AJ47" s="16"/>
      <c r="AK47" s="16"/>
    </row>
    <row r="48" ht="13.5" customHeight="1" spans="1:37" x14ac:dyDescent="0.25">
      <c r="A48" s="264"/>
      <c r="B48" s="16"/>
      <c r="C48" s="139" t="s">
        <v>284</v>
      </c>
      <c r="D48" s="16"/>
      <c r="E48" s="16"/>
      <c r="F48" s="358">
        <v>0</v>
      </c>
      <c r="G48" s="358">
        <v>0</v>
      </c>
      <c r="H48" s="358">
        <v>0</v>
      </c>
      <c r="I48" s="358">
        <v>0</v>
      </c>
      <c r="J48" s="162">
        <f ca="1">SUM(F48:I48)</f>
        <v>1e-12</v>
      </c>
      <c r="K48" s="358">
        <v>0</v>
      </c>
      <c r="L48" s="358">
        <v>0</v>
      </c>
      <c r="M48" s="358">
        <v>0</v>
      </c>
      <c r="N48" s="358">
        <v>0</v>
      </c>
      <c r="O48" s="162">
        <f ca="1">SUM(K48:N48)</f>
        <v>1e-12</v>
      </c>
      <c r="P48" s="358">
        <v>0</v>
      </c>
      <c r="Q48" s="358">
        <v>0</v>
      </c>
      <c r="R48" s="358">
        <v>0</v>
      </c>
      <c r="S48" s="358">
        <v>0</v>
      </c>
      <c r="T48" s="162">
        <f ca="1">SUM(P48:S48)</f>
        <v>1e-12</v>
      </c>
      <c r="U48" s="358">
        <v>0</v>
      </c>
      <c r="V48" s="358">
        <v>0</v>
      </c>
      <c r="W48" s="358">
        <v>0</v>
      </c>
      <c r="X48" s="365">
        <v>0</v>
      </c>
      <c r="Y48" s="162">
        <f ca="1">SUM(U48:X48)</f>
        <v>1e-12</v>
      </c>
      <c r="Z48" s="365">
        <v>0</v>
      </c>
      <c r="AA48" s="365">
        <v>0</v>
      </c>
      <c r="AB48" s="365">
        <v>0</v>
      </c>
      <c r="AC48" s="365">
        <v>0</v>
      </c>
      <c r="AD48" s="162">
        <f ca="1">SUM(Z48:AC48)</f>
        <v>1e-12</v>
      </c>
      <c r="AE48" s="366">
        <v>0</v>
      </c>
      <c r="AF48" s="366">
        <v>0</v>
      </c>
      <c r="AG48" s="366">
        <v>0</v>
      </c>
      <c r="AH48" s="16"/>
      <c r="AI48" s="16"/>
      <c r="AJ48" s="16"/>
      <c r="AK48" s="16"/>
    </row>
    <row r="49" ht="13.5" customHeight="1" spans="1:37" x14ac:dyDescent="0.25">
      <c r="A49" s="264"/>
      <c r="B49" s="16"/>
      <c r="C49" s="139" t="s">
        <v>285</v>
      </c>
      <c r="D49" s="16"/>
      <c r="E49" s="16"/>
      <c r="F49" s="358">
        <v>0</v>
      </c>
      <c r="G49" s="358">
        <v>0</v>
      </c>
      <c r="H49" s="358">
        <v>0</v>
      </c>
      <c r="I49" s="358">
        <v>0</v>
      </c>
      <c r="J49" s="162">
        <f ca="1">SUM(F49:I49)</f>
        <v>1e-12</v>
      </c>
      <c r="K49" s="358">
        <v>0</v>
      </c>
      <c r="L49" s="358">
        <v>0</v>
      </c>
      <c r="M49" s="358">
        <v>0</v>
      </c>
      <c r="N49" s="358">
        <v>0</v>
      </c>
      <c r="O49" s="162">
        <f ca="1">SUM(K49:N49)</f>
        <v>1e-12</v>
      </c>
      <c r="P49" s="358">
        <v>0</v>
      </c>
      <c r="Q49" s="358">
        <v>0</v>
      </c>
      <c r="R49" s="358">
        <v>0</v>
      </c>
      <c r="S49" s="358">
        <v>0</v>
      </c>
      <c r="T49" s="162">
        <f ca="1">SUM(P49:S49)</f>
        <v>1e-12</v>
      </c>
      <c r="U49" s="358">
        <v>0</v>
      </c>
      <c r="V49" s="358">
        <v>0</v>
      </c>
      <c r="W49" s="358">
        <v>0</v>
      </c>
      <c r="X49" s="365">
        <v>0</v>
      </c>
      <c r="Y49" s="162">
        <f ca="1">SUM(U49:X49)</f>
        <v>1e-12</v>
      </c>
      <c r="Z49" s="365">
        <v>0</v>
      </c>
      <c r="AA49" s="365">
        <v>0</v>
      </c>
      <c r="AB49" s="365">
        <v>0</v>
      </c>
      <c r="AC49" s="365">
        <v>0</v>
      </c>
      <c r="AD49" s="162">
        <f ca="1">SUM(Z49:AC49)</f>
        <v>1e-12</v>
      </c>
      <c r="AE49" s="366">
        <v>0</v>
      </c>
      <c r="AF49" s="366">
        <v>0</v>
      </c>
      <c r="AG49" s="366">
        <v>0</v>
      </c>
      <c r="AH49" s="16"/>
      <c r="AI49" s="16"/>
      <c r="AJ49" s="16"/>
      <c r="AK49" s="16"/>
    </row>
    <row r="50" ht="13.5" customHeight="1" spans="1:37" x14ac:dyDescent="0.25">
      <c r="A50" s="264"/>
      <c r="B50" s="16"/>
      <c r="C50" s="139" t="s">
        <v>286</v>
      </c>
      <c r="D50" s="16"/>
      <c r="E50" s="16"/>
      <c r="F50" s="354">
        <v>0</v>
      </c>
      <c r="G50" s="367">
        <v>0</v>
      </c>
      <c r="H50" s="354">
        <v>0</v>
      </c>
      <c r="I50" s="354">
        <v>0</v>
      </c>
      <c r="J50" s="355">
        <f ca="1">SUM(F50:I50)</f>
        <v>1e-12</v>
      </c>
      <c r="K50" s="354">
        <v>0</v>
      </c>
      <c r="L50" s="354">
        <v>0</v>
      </c>
      <c r="M50" s="354">
        <v>0</v>
      </c>
      <c r="N50" s="354">
        <v>0</v>
      </c>
      <c r="O50" s="355">
        <f ca="1">SUM(K50:N50)</f>
        <v>1e-12</v>
      </c>
      <c r="P50" s="354">
        <v>0</v>
      </c>
      <c r="Q50" s="354">
        <v>0</v>
      </c>
      <c r="R50" s="354">
        <v>0</v>
      </c>
      <c r="S50" s="354">
        <v>0</v>
      </c>
      <c r="T50" s="355">
        <f ca="1">SUM(P50:S50)</f>
        <v>1e-12</v>
      </c>
      <c r="U50" s="354">
        <v>0</v>
      </c>
      <c r="V50" s="354">
        <v>0</v>
      </c>
      <c r="W50" s="354">
        <v>-7</v>
      </c>
      <c r="X50" s="368">
        <v>0</v>
      </c>
      <c r="Y50" s="355">
        <f ca="1">SUM(U50:X50)</f>
        <v>-7</v>
      </c>
      <c r="Z50" s="368">
        <v>0</v>
      </c>
      <c r="AA50" s="368">
        <v>0</v>
      </c>
      <c r="AB50" s="368">
        <v>0</v>
      </c>
      <c r="AC50" s="368">
        <v>0</v>
      </c>
      <c r="AD50" s="355">
        <f ca="1">SUM(Z50:AC50)</f>
        <v>1e-12</v>
      </c>
      <c r="AE50" s="369">
        <v>0</v>
      </c>
      <c r="AF50" s="369">
        <v>0</v>
      </c>
      <c r="AG50" s="369">
        <v>0</v>
      </c>
      <c r="AH50" s="16"/>
      <c r="AI50" s="16"/>
      <c r="AJ50" s="16"/>
      <c r="AK50" s="16"/>
    </row>
    <row r="51" ht="13.5" customHeight="1" spans="1:37" x14ac:dyDescent="0.25">
      <c r="A51" s="264"/>
      <c r="B51" s="16"/>
      <c r="C51" s="139" t="s">
        <v>287</v>
      </c>
      <c r="D51" s="16"/>
      <c r="E51" s="16"/>
      <c r="F51" s="353">
        <f ca="1">SUM(F45:F50)</f>
        <v>1618</v>
      </c>
      <c r="G51" s="353">
        <f ca="1">SUM(G45:G50)</f>
        <v>656</v>
      </c>
      <c r="H51" s="353">
        <f ca="1">SUM(H45:H50)</f>
        <v>680</v>
      </c>
      <c r="I51" s="353">
        <f ca="1">SUM(I45:I50)</f>
        <v>1414</v>
      </c>
      <c r="J51" s="282">
        <f ca="1">SUM(F51:I51)</f>
        <v>4368</v>
      </c>
      <c r="K51" s="353">
        <f ca="1">SUM(K45:K50)</f>
        <v>2043</v>
      </c>
      <c r="L51" s="353">
        <f ca="1">SUM(L45:L50)</f>
        <v>6188</v>
      </c>
      <c r="M51" s="353">
        <f ca="1">SUM(M45:M50)</f>
        <v>9243</v>
      </c>
      <c r="N51" s="353">
        <f ca="1">SUM(N45:N50)</f>
        <v>12285</v>
      </c>
      <c r="O51" s="282">
        <f ca="1">SUM(K51:N51)</f>
        <v>29759</v>
      </c>
      <c r="P51" s="353">
        <f ca="1">SUM(P45:P50)</f>
        <v>14881</v>
      </c>
      <c r="Q51" s="353">
        <f ca="1">SUM(Q45:Q50)</f>
        <v>16599</v>
      </c>
      <c r="R51" s="353">
        <f ca="1">SUM(R45:R50)</f>
        <v>19309</v>
      </c>
      <c r="S51" s="353">
        <f ca="1">SUM(S45:S50)</f>
        <v>22091</v>
      </c>
      <c r="T51" s="282">
        <f ca="1">SUM(P51:S51)</f>
        <v>72880</v>
      </c>
      <c r="U51" s="353">
        <f ca="1">SUM(U45:U50)</f>
        <v>18775</v>
      </c>
      <c r="V51" s="353">
        <f ca="1">SUM(V45:V50)</f>
        <v>26422</v>
      </c>
      <c r="W51" s="353">
        <f ca="1">SUM(W45:W50)</f>
        <v>1889</v>
      </c>
      <c r="X51" s="281">
        <f ca="1">SUM(X45:X50)</f>
        <v>-1906.5764130000002</v>
      </c>
      <c r="Y51" s="282">
        <f ca="1">SUM(U51:X51)</f>
        <v>45179.423587</v>
      </c>
      <c r="Z51" s="281">
        <f ca="1">SUM(Z45:Z50)</f>
        <v>-2074.2107898600016</v>
      </c>
      <c r="AA51" s="281">
        <f ca="1">SUM(AA45:AA50)</f>
        <v>-2211.7001926990893</v>
      </c>
      <c r="AB51" s="281">
        <f ca="1">SUM(AB45:AB50)</f>
        <v>-2420.0425238351336</v>
      </c>
      <c r="AC51" s="281">
        <f ca="1">SUM(AC45:AC50)</f>
        <v>-2066.4643550758237</v>
      </c>
      <c r="AD51" s="282">
        <f ca="1">SUM(Z51:AC51)</f>
        <v>-8772.417861470049</v>
      </c>
      <c r="AE51" s="282">
        <f ca="1">SUM(AE45:AE50)</f>
        <v>-8380.44122385953</v>
      </c>
      <c r="AF51" s="282">
        <f ca="1">SUM(AF45:AF50)</f>
        <v>-8557.001998986918</v>
      </c>
      <c r="AG51" s="282">
        <f ca="1">SUM(AG45:AG50)</f>
        <v>-8669.478780067977</v>
      </c>
      <c r="AH51" s="16"/>
      <c r="AI51" s="16"/>
      <c r="AJ51" s="16"/>
      <c r="AK51" s="16"/>
    </row>
    <row r="52" ht="13.5" customHeight="1" spans="1:37" x14ac:dyDescent="0.25">
      <c r="A52" s="264"/>
      <c r="B52" s="16"/>
      <c r="C52" s="139"/>
      <c r="D52" s="16"/>
      <c r="E52" s="16"/>
      <c r="F52" s="315"/>
      <c r="G52" s="315"/>
      <c r="H52" s="315"/>
      <c r="I52" s="315"/>
      <c r="J52" s="16"/>
      <c r="K52" s="370"/>
      <c r="L52" s="315"/>
      <c r="M52" s="315"/>
      <c r="N52" s="315"/>
      <c r="O52" s="16"/>
      <c r="P52" s="315"/>
      <c r="Q52" s="315"/>
      <c r="R52" s="315"/>
      <c r="S52" s="315"/>
      <c r="T52" s="16"/>
      <c r="U52" s="315"/>
      <c r="V52" s="315"/>
      <c r="W52" s="315"/>
      <c r="X52" s="316"/>
      <c r="Y52" s="16"/>
      <c r="Z52" s="316"/>
      <c r="AA52" s="316"/>
      <c r="AB52" s="316"/>
      <c r="AC52" s="316"/>
      <c r="AD52" s="16"/>
      <c r="AE52" s="16"/>
      <c r="AF52" s="16"/>
      <c r="AG52" s="16"/>
      <c r="AH52" s="16"/>
      <c r="AI52" s="16"/>
      <c r="AJ52" s="16"/>
      <c r="AK52" s="16"/>
    </row>
    <row r="53" ht="13.5" customHeight="1" spans="1:37" x14ac:dyDescent="0.25">
      <c r="A53" s="264"/>
      <c r="B53" s="16"/>
      <c r="C53" s="139" t="s">
        <v>288</v>
      </c>
      <c r="D53" s="16"/>
      <c r="E53" s="16"/>
      <c r="F53" s="370">
        <f t="shared" ref="F53:I53" si="30" ca="1">(F45)/F282</f>
        <v>1.9612121212121212</v>
      </c>
      <c r="G53" s="370">
        <f ca="1">(G45)/G282</f>
        <v>0.8068880688806888</v>
      </c>
      <c r="H53" s="370">
        <f ca="1">(H45)/H282</f>
        <v>0.8436724565756824</v>
      </c>
      <c r="I53" s="370">
        <f ca="1">(I45)/I282</f>
        <v>1.7652933832709115</v>
      </c>
      <c r="J53" s="127">
        <f ca="1">J45/J282</f>
        <v>5.453183520599251</v>
      </c>
      <c r="K53" s="370">
        <f t="shared" ref="K53:N53" si="31" ca="1">(K45)/K282</f>
        <v>2.4763636363636365</v>
      </c>
      <c r="L53" s="370">
        <f ca="1">(L45)/L282</f>
        <v>7.6113161131611315</v>
      </c>
      <c r="M53" s="370">
        <f ca="1">(M45)/M282</f>
        <v>11.46774193548387</v>
      </c>
      <c r="N53" s="370">
        <f ca="1">(N45)/N282</f>
        <v>15.337078651685394</v>
      </c>
      <c r="O53" s="127">
        <f ca="1">O45/O282</f>
        <v>37.153558052434455</v>
      </c>
      <c r="P53" s="370">
        <f t="shared" ref="P53:S53" si="32" ca="1">(P45)/P282</f>
        <v>19.709933774834436</v>
      </c>
      <c r="Q53" s="370">
        <f ca="1">(Q45)/Q282</f>
        <v>22.07313829787234</v>
      </c>
      <c r="R53" s="370">
        <f ca="1">(R45)/R282</f>
        <v>25.67686170212766</v>
      </c>
      <c r="S53" s="370">
        <f ca="1">(S45)/S282</f>
        <v>29.53342245989305</v>
      </c>
      <c r="T53" s="127">
        <f ca="1">T45/T282</f>
        <v>97.43315508021391</v>
      </c>
      <c r="U53" s="370">
        <f t="shared" ref="U53:W53" si="33" ca="1">(U45)/U282</f>
        <v>26.149025069637883</v>
      </c>
      <c r="V53" s="370">
        <f ca="1">(V45)/V282</f>
        <v>37.47801418439716</v>
      </c>
      <c r="W53" s="370">
        <f ca="1">(W45)/W282</f>
        <v>2.747826086956522</v>
      </c>
      <c r="X53" s="371">
        <f ca="1">X45/X282</f>
        <v>-2.834320072259252</v>
      </c>
      <c r="Y53" s="127">
        <f ca="1">Y45/Y282</f>
        <v>64.8839834948537</v>
      </c>
      <c r="Z53" s="371">
        <f ca="1">Z45/Z282</f>
        <v>-3.093386346862524</v>
      </c>
      <c r="AA53" s="371">
        <f ca="1">AA45/AA282</f>
        <v>-3.3090137445965406</v>
      </c>
      <c r="AB53" s="371">
        <f ca="1">AB45/AB282</f>
        <v>-3.6323762080937154</v>
      </c>
      <c r="AC53" s="371">
        <f ca="1">AC45/AC282</f>
        <v>-3.1116859006038955</v>
      </c>
      <c r="AD53" s="127">
        <f ca="1">AD45/AD282</f>
        <v>-13.1458544711998</v>
      </c>
      <c r="AE53" s="127">
        <f ca="1">AE45/AE282</f>
        <v>-12.763523931847292</v>
      </c>
      <c r="AF53" s="127">
        <f ca="1">AF45/AF282</f>
        <v>-13.292895685567792</v>
      </c>
      <c r="AG53" s="127">
        <f ca="1">AG45/AG282</f>
        <v>-13.742277461785152</v>
      </c>
      <c r="AH53" s="16"/>
      <c r="AI53" s="16"/>
      <c r="AJ53" s="16"/>
      <c r="AK53" s="16"/>
    </row>
    <row r="54" ht="13.5" customHeight="1" spans="1:37" x14ac:dyDescent="0.25">
      <c r="A54" s="264"/>
      <c r="B54" s="16"/>
      <c r="C54" s="139" t="s">
        <v>289</v>
      </c>
      <c r="D54" s="16"/>
      <c r="E54" s="16"/>
      <c r="F54" s="370">
        <f t="shared" ref="F54:I54" si="34" ca="1">(F45)/F284</f>
        <v>1.9588377723970944</v>
      </c>
      <c r="G54" s="370">
        <f ca="1">(G45)/G284</f>
        <v>0.8058968058968059</v>
      </c>
      <c r="H54" s="370">
        <f ca="1">(H45)/H284</f>
        <v>0.8426270136307311</v>
      </c>
      <c r="I54" s="370">
        <f ca="1">(I45)/I284</f>
        <v>1.7652933832709115</v>
      </c>
      <c r="J54" s="127">
        <f ca="1">J45/J284</f>
        <v>5.453183520599251</v>
      </c>
      <c r="K54" s="370">
        <f t="shared" ref="K54:N54" si="35" ca="1">(K45)/K284</f>
        <v>2.473365617433414</v>
      </c>
      <c r="L54" s="370">
        <f ca="1">(L45)/L284</f>
        <v>7.601965601965602</v>
      </c>
      <c r="M54" s="370">
        <f ca="1">(M45)/M284</f>
        <v>11.453531598513012</v>
      </c>
      <c r="N54" s="370">
        <f ca="1">(N45)/N284</f>
        <v>15.337078651685394</v>
      </c>
      <c r="O54" s="127">
        <f ca="1">O45/O284</f>
        <v>37.153558052434455</v>
      </c>
      <c r="P54" s="370">
        <f t="shared" ref="P54:S54" si="36" ca="1">(P45)/P284</f>
        <v>19.683862433862434</v>
      </c>
      <c r="Q54" s="370">
        <f ca="1">(Q45)/Q284</f>
        <v>22.04382470119522</v>
      </c>
      <c r="R54" s="370">
        <f ca="1">(R45)/R284</f>
        <v>25.608753315649867</v>
      </c>
      <c r="S54" s="370">
        <f ca="1">(S45)/S284</f>
        <v>29.454666666666668</v>
      </c>
      <c r="T54" s="127">
        <f ca="1">T45/T284</f>
        <v>97.17333333333333</v>
      </c>
      <c r="U54" s="370">
        <f t="shared" ref="U54:W54" si="37" ca="1">(U45)/U284</f>
        <v>26.07638888888889</v>
      </c>
      <c r="V54" s="370">
        <f ca="1">(V45)/V284</f>
        <v>37.37199434229137</v>
      </c>
      <c r="W54" s="370">
        <f ca="1">(W45)/W284</f>
        <v>2.739884393063584</v>
      </c>
      <c r="X54" s="371">
        <f ca="1">X45/X284</f>
        <v>-2.8259180421336656</v>
      </c>
      <c r="Y54" s="127">
        <f ca="1">Y45/Y284</f>
        <v>64.69818097395364</v>
      </c>
      <c r="Z54" s="371">
        <f ca="1">Z45/Z284</f>
        <v>-3.084187106041256</v>
      </c>
      <c r="AA54" s="371">
        <f ca="1">AA45/AA284</f>
        <v>-3.299141786766253</v>
      </c>
      <c r="AB54" s="371">
        <f ca="1">AB45/AB284</f>
        <v>-3.6215047728648786</v>
      </c>
      <c r="AC54" s="371">
        <f ca="1">AC45/AC284</f>
        <v>-3.1023428731729314</v>
      </c>
      <c r="AD54" s="127">
        <f ca="1">AD45/AD284</f>
        <v>-13.106572917832228</v>
      </c>
      <c r="AE54" s="127">
        <f ca="1">AE45/AE284</f>
        <v>-12.724763960861715</v>
      </c>
      <c r="AF54" s="127">
        <f ca="1">AF45/AF284</f>
        <v>-13.251723839942615</v>
      </c>
      <c r="AG54" s="127">
        <f ca="1">AG45/AG284</f>
        <v>-13.698848466499667</v>
      </c>
      <c r="AH54" s="16"/>
      <c r="AI54" s="16"/>
      <c r="AJ54" s="16"/>
      <c r="AK54" s="16"/>
    </row>
    <row r="55" ht="13.5" customHeight="1" spans="1:37" x14ac:dyDescent="0.25">
      <c r="A55" s="264"/>
      <c r="B55" s="16"/>
      <c r="C55" s="139"/>
      <c r="D55" s="16"/>
      <c r="E55" s="16"/>
      <c r="F55" s="370"/>
      <c r="G55" s="370"/>
      <c r="H55" s="370"/>
      <c r="I55" s="370"/>
      <c r="J55" s="127"/>
      <c r="K55" s="370"/>
      <c r="L55" s="370"/>
      <c r="M55" s="370"/>
      <c r="N55" s="370"/>
      <c r="O55" s="127"/>
      <c r="P55" s="370"/>
      <c r="Q55" s="370"/>
      <c r="R55" s="370"/>
      <c r="S55" s="370"/>
      <c r="T55" s="127"/>
      <c r="U55" s="370"/>
      <c r="V55" s="370"/>
      <c r="W55" s="370"/>
      <c r="X55" s="371"/>
      <c r="Y55" s="127"/>
      <c r="Z55" s="371"/>
      <c r="AA55" s="371"/>
      <c r="AB55" s="371"/>
      <c r="AC55" s="371"/>
      <c r="AD55" s="127"/>
      <c r="AE55" s="127"/>
      <c r="AF55" s="127"/>
      <c r="AG55" s="127"/>
      <c r="AH55" s="16"/>
      <c r="AI55" s="16"/>
      <c r="AJ55" s="16"/>
      <c r="AK55" s="16"/>
    </row>
    <row r="56" ht="13.5" customHeight="1" spans="1:37" x14ac:dyDescent="0.25">
      <c r="A56" s="264"/>
      <c r="B56" s="16"/>
      <c r="C56" s="139" t="s">
        <v>290</v>
      </c>
      <c r="D56" s="16"/>
      <c r="E56" s="16"/>
      <c r="F56" s="370">
        <f t="shared" ref="F56:AG56" si="38" ca="1">F51/F282</f>
        <v>1.9612121212121212</v>
      </c>
      <c r="G56" s="370">
        <f ca="1">G51/G282</f>
        <v>0.8068880688806888</v>
      </c>
      <c r="H56" s="370">
        <f ca="1">H51/H282</f>
        <v>0.8436724565756824</v>
      </c>
      <c r="I56" s="370">
        <f ca="1">I51/I282</f>
        <v>1.7652933832709115</v>
      </c>
      <c r="J56" s="127">
        <f ca="1">J51/J282</f>
        <v>5.453183520599251</v>
      </c>
      <c r="K56" s="370">
        <f ca="1">K51/K282</f>
        <v>2.4763636363636365</v>
      </c>
      <c r="L56" s="370">
        <f ca="1">L51/L282</f>
        <v>7.6113161131611315</v>
      </c>
      <c r="M56" s="370">
        <f ca="1">M51/M282</f>
        <v>11.46774193548387</v>
      </c>
      <c r="N56" s="370">
        <f ca="1">N51/N282</f>
        <v>15.337078651685394</v>
      </c>
      <c r="O56" s="127">
        <f ca="1">O51/O282</f>
        <v>37.15230961298377</v>
      </c>
      <c r="P56" s="370">
        <f ca="1">P51/P282</f>
        <v>19.709933774834436</v>
      </c>
      <c r="Q56" s="370">
        <f ca="1">Q51/Q282</f>
        <v>22.07313829787234</v>
      </c>
      <c r="R56" s="370">
        <f ca="1">R51/R282</f>
        <v>25.67686170212766</v>
      </c>
      <c r="S56" s="370">
        <f ca="1">S51/S282</f>
        <v>29.53342245989305</v>
      </c>
      <c r="T56" s="127">
        <f ca="1">T51/T282</f>
        <v>97.43315508021391</v>
      </c>
      <c r="U56" s="370">
        <f ca="1">U51/U282</f>
        <v>26.149025069637883</v>
      </c>
      <c r="V56" s="370">
        <f ca="1">V51/V282</f>
        <v>37.47801418439716</v>
      </c>
      <c r="W56" s="370">
        <f ca="1">W51/W282</f>
        <v>2.7376811594202897</v>
      </c>
      <c r="X56" s="371">
        <f ca="1">X51/X282</f>
        <v>-2.834320072259252</v>
      </c>
      <c r="Y56" s="127">
        <f ca="1">Y51/Y282</f>
        <v>64.87393207125321</v>
      </c>
      <c r="Z56" s="371">
        <f ca="1">Z51/Z282</f>
        <v>-3.093386346862524</v>
      </c>
      <c r="AA56" s="371">
        <f ca="1">AA51/AA282</f>
        <v>-3.3090137445965406</v>
      </c>
      <c r="AB56" s="371">
        <f ca="1">AB51/AB282</f>
        <v>-3.6323762080937154</v>
      </c>
      <c r="AC56" s="371">
        <f ca="1">AC51/AC282</f>
        <v>-3.1116859006038955</v>
      </c>
      <c r="AD56" s="127">
        <f ca="1">AD51/AD282</f>
        <v>-13.1458544711998</v>
      </c>
      <c r="AE56" s="127">
        <f ca="1">AE51/AE282</f>
        <v>-12.763523931847292</v>
      </c>
      <c r="AF56" s="127">
        <f ca="1">AF51/AF282</f>
        <v>-13.292895685567792</v>
      </c>
      <c r="AG56" s="127">
        <f ca="1">AG51/AG282</f>
        <v>-13.742277461785152</v>
      </c>
      <c r="AH56" s="16"/>
      <c r="AI56" s="16"/>
      <c r="AJ56" s="16"/>
      <c r="AK56" s="16"/>
    </row>
    <row r="57" ht="13.5" customHeight="1" spans="1:37" x14ac:dyDescent="0.25">
      <c r="A57" s="264"/>
      <c r="B57" s="16"/>
      <c r="C57" s="139" t="s">
        <v>291</v>
      </c>
      <c r="D57" s="16"/>
      <c r="E57" s="16"/>
      <c r="F57" s="370">
        <f t="shared" ref="F57:AG57" si="39" ca="1">F51/F284</f>
        <v>1.9588377723970944</v>
      </c>
      <c r="G57" s="370">
        <f ca="1">G51/G284</f>
        <v>0.8058968058968059</v>
      </c>
      <c r="H57" s="370">
        <f ca="1">H51/H284</f>
        <v>0.8426270136307311</v>
      </c>
      <c r="I57" s="370">
        <f ca="1">I51/I284</f>
        <v>1.7652933832709115</v>
      </c>
      <c r="J57" s="127">
        <f ca="1">J51/J284</f>
        <v>5.453183520599251</v>
      </c>
      <c r="K57" s="370">
        <f ca="1">K51/K284</f>
        <v>2.473365617433414</v>
      </c>
      <c r="L57" s="370">
        <f ca="1">L51/L284</f>
        <v>7.601965601965602</v>
      </c>
      <c r="M57" s="370">
        <f ca="1">M51/M284</f>
        <v>11.453531598513012</v>
      </c>
      <c r="N57" s="370">
        <f ca="1">N51/N284</f>
        <v>15.337078651685394</v>
      </c>
      <c r="O57" s="127">
        <f ca="1">O51/O284</f>
        <v>37.15230961298377</v>
      </c>
      <c r="P57" s="370">
        <f ca="1">P51/P284</f>
        <v>19.683862433862434</v>
      </c>
      <c r="Q57" s="370">
        <f ca="1">Q51/Q284</f>
        <v>22.04382470119522</v>
      </c>
      <c r="R57" s="370">
        <f ca="1">R51/R284</f>
        <v>25.608753315649867</v>
      </c>
      <c r="S57" s="370">
        <f ca="1">S51/S284</f>
        <v>29.454666666666668</v>
      </c>
      <c r="T57" s="127">
        <f ca="1">T51/T284</f>
        <v>97.17333333333333</v>
      </c>
      <c r="U57" s="370">
        <f ca="1">U51/U284</f>
        <v>26.07638888888889</v>
      </c>
      <c r="V57" s="370">
        <f ca="1">V51/V284</f>
        <v>37.37199434229137</v>
      </c>
      <c r="W57" s="370">
        <f ca="1">W51/W284</f>
        <v>2.729768786127168</v>
      </c>
      <c r="X57" s="371">
        <f ca="1">X51/X284</f>
        <v>-2.8259180421336656</v>
      </c>
      <c r="Y57" s="127">
        <f ca="1">Y51/Y284</f>
        <v>64.68815833372531</v>
      </c>
      <c r="Z57" s="371">
        <f ca="1">Z51/Z284</f>
        <v>-3.084187106041256</v>
      </c>
      <c r="AA57" s="371">
        <f ca="1">AA51/AA284</f>
        <v>-3.299141786766253</v>
      </c>
      <c r="AB57" s="371">
        <f ca="1">AB51/AB284</f>
        <v>-3.6215047728648786</v>
      </c>
      <c r="AC57" s="371">
        <f ca="1">AC51/AC284</f>
        <v>-3.1023428731729314</v>
      </c>
      <c r="AD57" s="127">
        <f ca="1">AD51/AD284</f>
        <v>-13.106572917832228</v>
      </c>
      <c r="AE57" s="127">
        <f ca="1">AE51/AE284</f>
        <v>-12.724763960861715</v>
      </c>
      <c r="AF57" s="127">
        <f ca="1">AF51/AF284</f>
        <v>-13.251723839942615</v>
      </c>
      <c r="AG57" s="127">
        <f ca="1">AG51/AG284</f>
        <v>-13.698848466499667</v>
      </c>
      <c r="AH57" s="16"/>
      <c r="AI57" s="16"/>
      <c r="AJ57" s="16"/>
      <c r="AK57" s="16"/>
    </row>
    <row r="58" ht="13.5" customHeight="1" spans="1:37" x14ac:dyDescent="0.25">
      <c r="A58" s="264"/>
      <c r="B58" s="16"/>
      <c r="C58" s="139"/>
      <c r="D58" s="16"/>
      <c r="E58" s="16"/>
      <c r="F58" s="315"/>
      <c r="G58" s="315"/>
      <c r="H58" s="315"/>
      <c r="I58" s="315"/>
      <c r="J58" s="16"/>
      <c r="K58" s="315"/>
      <c r="L58" s="315"/>
      <c r="M58" s="315"/>
      <c r="N58" s="315"/>
      <c r="O58" s="16"/>
      <c r="P58" s="315"/>
      <c r="Q58" s="315"/>
      <c r="R58" s="315"/>
      <c r="S58" s="315"/>
      <c r="T58" s="16"/>
      <c r="U58" s="315"/>
      <c r="V58" s="315"/>
      <c r="W58" s="315"/>
      <c r="X58" s="316"/>
      <c r="Y58" s="16"/>
      <c r="Z58" s="316"/>
      <c r="AA58" s="316"/>
      <c r="AB58" s="316"/>
      <c r="AC58" s="316"/>
      <c r="AD58" s="16"/>
      <c r="AE58" s="16"/>
      <c r="AF58" s="16"/>
      <c r="AG58" s="16"/>
      <c r="AH58" s="16"/>
      <c r="AI58" s="16"/>
      <c r="AJ58" s="16"/>
      <c r="AK58" s="16"/>
    </row>
    <row r="59" ht="13.5" customHeight="1" spans="1:37" x14ac:dyDescent="0.25">
      <c r="A59" s="264"/>
      <c r="B59" s="16"/>
      <c r="C59" s="139" t="s">
        <v>275</v>
      </c>
      <c r="D59" s="16"/>
      <c r="E59" s="16"/>
      <c r="F59" s="353">
        <f t="shared" ref="F59:I59" si="40" ca="1">F51-F44-F41-F40-F39-F38</f>
        <v>1868</v>
      </c>
      <c r="G59" s="353">
        <f ca="1">G51-G44-G41-G40-G39-G38</f>
        <v>499</v>
      </c>
      <c r="H59" s="353">
        <f ca="1">H51-H44-H41-H40-H39-H38</f>
        <v>601</v>
      </c>
      <c r="I59" s="353">
        <f ca="1">I51-I44-I41-I40-I39-I38</f>
        <v>1256</v>
      </c>
      <c r="J59" s="282">
        <f t="shared" ref="J59:J61" si="41" ca="1">SUM(F59:I59)</f>
        <v>4224</v>
      </c>
      <c r="K59" s="353">
        <f t="shared" ref="K59:N59" si="42" ca="1">K51-K44-K41-K40-K39-K38</f>
        <v>2140</v>
      </c>
      <c r="L59" s="353">
        <f ca="1">L51-L44-L41-L40-L39-L38</f>
        <v>6800</v>
      </c>
      <c r="M59" s="353">
        <f ca="1">M51-M44-M41-M40-M39-M38</f>
        <v>10417</v>
      </c>
      <c r="N59" s="353">
        <f ca="1">N51-N44-N41-N40-N39-N38</f>
        <v>13614</v>
      </c>
      <c r="O59" s="282">
        <f t="shared" ref="O59:O61" si="43" ca="1">SUM(K59:N59)</f>
        <v>32971</v>
      </c>
      <c r="P59" s="353">
        <f t="shared" ref="P59:S59" si="44" ca="1">P51-P44-P41-P40-P39-P38</f>
        <v>16909</v>
      </c>
      <c r="Q59" s="353">
        <f ca="1">Q51-Q44-Q41-Q40-Q39-Q38</f>
        <v>18642</v>
      </c>
      <c r="R59" s="353">
        <f ca="1">R51-R44-R41-R40-R39-R38</f>
        <v>21869</v>
      </c>
      <c r="S59" s="353">
        <f ca="1">S51-S44-S41-S40-S39-S38</f>
        <v>24034</v>
      </c>
      <c r="T59" s="282">
        <f t="shared" ref="T59:T61" si="45" ca="1">SUM(P59:S59)</f>
        <v>81454</v>
      </c>
      <c r="U59" s="353">
        <f t="shared" ref="U59:X59" si="46" ca="1">U51-U44-U41-U40-U39-U38</f>
        <v>21638</v>
      </c>
      <c r="V59" s="353">
        <f ca="1">V51-V44-V41-V40-V39-V38</f>
        <v>28440</v>
      </c>
      <c r="W59" s="353">
        <f ca="1">W51-W44-W41-W40-W39-W38</f>
        <v>2782</v>
      </c>
      <c r="X59" s="281">
        <f ca="1">X51-X44-X41-X40-X39-X38</f>
        <v>-2290.6765000000005</v>
      </c>
      <c r="Y59" s="282">
        <f ca="1">SUM(U59:X59)</f>
        <v>50569.3235</v>
      </c>
      <c r="Z59" s="281">
        <f ca="1">Z51-Z44-Z41-Z40-Z39-Z38</f>
        <v>-2515.610548500002</v>
      </c>
      <c r="AA59" s="281">
        <f ca="1">AA51-AA44-AA41-AA40-AA39-AA38</f>
        <v>-2679.87777878625</v>
      </c>
      <c r="AB59" s="281">
        <f ca="1">AB51-AB44-AB41-AB40-AB39-AB38</f>
        <v>-2919.561323639691</v>
      </c>
      <c r="AC59" s="281">
        <f ca="1">AC51-AC44-AC41-AC40-AC39-AC38</f>
        <v>-2425.1039887192537</v>
      </c>
      <c r="AD59" s="282">
        <f ca="1">SUM(Z59:AC59)</f>
        <v>-10540.153639645196</v>
      </c>
      <c r="AE59" s="282">
        <f ca="1">AE51-AE44-AE41-AE40-AE39-AE38</f>
        <v>-9578.113551031161</v>
      </c>
      <c r="AF59" s="282">
        <f ca="1">AF51-AF44-AF41-AF40-AF39-AF38</f>
        <v>-9246.151445858737</v>
      </c>
      <c r="AG59" s="282">
        <f ca="1">AG51-AG44-AG41-AG40-AG39-AG38</f>
        <v>-8671.52288134593</v>
      </c>
      <c r="AH59" s="16"/>
      <c r="AI59" s="16"/>
      <c r="AJ59" s="16"/>
      <c r="AK59" s="16"/>
    </row>
    <row r="60" ht="13.5" customHeight="1" spans="1:37" x14ac:dyDescent="0.25">
      <c r="A60" s="264"/>
      <c r="B60" s="16"/>
      <c r="C60" s="139" t="s">
        <v>273</v>
      </c>
      <c r="D60" s="16"/>
      <c r="E60" s="16"/>
      <c r="F60" s="372">
        <f t="shared" ref="F60:I60" si="47" ca="1">-F34</f>
        <v>334</v>
      </c>
      <c r="G60" s="372">
        <f ca="1">-G34</f>
        <v>378</v>
      </c>
      <c r="H60" s="372">
        <f ca="1">-H34</f>
        <v>406</v>
      </c>
      <c r="I60" s="372">
        <f ca="1">-I34</f>
        <v>426</v>
      </c>
      <c r="J60" s="355">
        <f ca="1">SUM(F60:I60)</f>
        <v>1544</v>
      </c>
      <c r="K60" s="372">
        <f t="shared" ref="K60:N60" si="48" ca="1">-K34</f>
        <v>384</v>
      </c>
      <c r="L60" s="372">
        <f ca="1">-L34</f>
        <v>365</v>
      </c>
      <c r="M60" s="372">
        <f ca="1">-M34</f>
        <v>372</v>
      </c>
      <c r="N60" s="372">
        <f ca="1">-N34</f>
        <v>387</v>
      </c>
      <c r="O60" s="355">
        <f ca="1">SUM(K60:N60)</f>
        <v>1508</v>
      </c>
      <c r="P60" s="372">
        <f t="shared" ref="P60:S60" si="49" ca="1">-P34</f>
        <v>410</v>
      </c>
      <c r="Q60" s="372">
        <f ca="1">-Q34</f>
        <v>433</v>
      </c>
      <c r="R60" s="372">
        <f ca="1">-R34</f>
        <v>478</v>
      </c>
      <c r="S60" s="372">
        <f ca="1">-S34</f>
        <v>543</v>
      </c>
      <c r="T60" s="355">
        <f ca="1">SUM(P60:S60)</f>
        <v>1864</v>
      </c>
      <c r="U60" s="372">
        <f t="shared" ref="U60:X60" si="50" ca="1">-U34</f>
        <v>611</v>
      </c>
      <c r="V60" s="372">
        <f ca="1">-V34</f>
        <v>669</v>
      </c>
      <c r="W60" s="372">
        <f ca="1">-W34</f>
        <v>425</v>
      </c>
      <c r="X60" s="356">
        <f ca="1">-X34</f>
        <v>331.18750000000006</v>
      </c>
      <c r="Y60" s="355">
        <f ca="1">SUM(U60:X60)</f>
        <v>1556.1875</v>
      </c>
      <c r="Z60" s="356">
        <f t="shared" ref="Z60:AC60" si="51" ca="1">-Z34</f>
        <v>331.86891850000006</v>
      </c>
      <c r="AA60" s="356">
        <f ca="1">-AA34</f>
        <v>336.85146518625004</v>
      </c>
      <c r="AB60" s="356">
        <f ca="1">-AB34</f>
        <v>342.23237867969067</v>
      </c>
      <c r="AC60" s="356">
        <f ca="1">-AC34</f>
        <v>343.91086566405204</v>
      </c>
      <c r="AD60" s="355">
        <f ca="1">SUM(Z60:AC60)</f>
        <v>1354.863628029993</v>
      </c>
      <c r="AE60" s="355">
        <f t="shared" ref="AE60:AG60" si="52" ca="1">-AE34</f>
        <v>1420.1551602334257</v>
      </c>
      <c r="AF60" s="355">
        <f ca="1">-AF34</f>
        <v>1472.475831890681</v>
      </c>
      <c r="AG60" s="355">
        <f ca="1">-AG34</f>
        <v>1524.1208520524956</v>
      </c>
      <c r="AH60" s="16"/>
      <c r="AI60" s="16"/>
      <c r="AJ60" s="16"/>
      <c r="AK60" s="16"/>
    </row>
    <row r="61" ht="13.5" customHeight="1" spans="1:37" x14ac:dyDescent="0.25">
      <c r="A61" s="264"/>
      <c r="B61" s="16"/>
      <c r="C61" s="139" t="s">
        <v>292</v>
      </c>
      <c r="D61" s="16"/>
      <c r="E61" s="16"/>
      <c r="F61" s="353">
        <f t="shared" ref="F61:I61" si="53" ca="1">SUM(F59:F60)</f>
        <v>2202</v>
      </c>
      <c r="G61" s="353">
        <f ca="1">SUM(G59:G60)</f>
        <v>877</v>
      </c>
      <c r="H61" s="353">
        <f ca="1">SUM(H59:H60)</f>
        <v>1007</v>
      </c>
      <c r="I61" s="353">
        <f ca="1">SUM(I59:I60)</f>
        <v>1682</v>
      </c>
      <c r="J61" s="282">
        <f ca="1">SUM(F61:I61)</f>
        <v>5768</v>
      </c>
      <c r="K61" s="353">
        <f t="shared" ref="K61:N61" si="54" ca="1">SUM(K59:K60)</f>
        <v>2524</v>
      </c>
      <c r="L61" s="353">
        <f ca="1">SUM(L59:L60)</f>
        <v>7165</v>
      </c>
      <c r="M61" s="353">
        <f ca="1">SUM(M59:M60)</f>
        <v>10789</v>
      </c>
      <c r="N61" s="353">
        <f ca="1">SUM(N59:N60)</f>
        <v>14001</v>
      </c>
      <c r="O61" s="282">
        <f ca="1">SUM(K61:N61)</f>
        <v>34479</v>
      </c>
      <c r="P61" s="353">
        <f t="shared" ref="P61:S61" si="55" ca="1">SUM(P59:P60)</f>
        <v>17319</v>
      </c>
      <c r="Q61" s="353">
        <f ca="1">SUM(Q59:Q60)</f>
        <v>19075</v>
      </c>
      <c r="R61" s="353">
        <f ca="1">SUM(R59:R60)</f>
        <v>22347</v>
      </c>
      <c r="S61" s="353">
        <f ca="1">SUM(S59:S60)</f>
        <v>24577</v>
      </c>
      <c r="T61" s="282">
        <f ca="1">SUM(P61:S61)</f>
        <v>83318</v>
      </c>
      <c r="U61" s="353">
        <f t="shared" ref="U61:X61" si="56" ca="1">SUM(U59:U60)</f>
        <v>22249</v>
      </c>
      <c r="V61" s="353">
        <f ca="1">SUM(V59:V60)</f>
        <v>29109</v>
      </c>
      <c r="W61" s="353">
        <f ca="1">SUM(W59:W60)</f>
        <v>3207</v>
      </c>
      <c r="X61" s="281">
        <f ca="1">SUM(X59:X60)</f>
        <v>-1959.4890000000005</v>
      </c>
      <c r="Y61" s="282">
        <f ca="1">SUM(U61:X61)</f>
        <v>52605.511</v>
      </c>
      <c r="Z61" s="281">
        <f ca="1">SUM(Z59:Z60)</f>
        <v>-2183.7416300000023</v>
      </c>
      <c r="AA61" s="281">
        <f ca="1">SUM(AA59:AA60)</f>
        <v>-2343.0263136</v>
      </c>
      <c r="AB61" s="281">
        <f ca="1">SUM(AB59:AB60)</f>
        <v>-2577.3289449600006</v>
      </c>
      <c r="AC61" s="281">
        <f ca="1">SUM(AC59:AC60)</f>
        <v>-2081.193123055202</v>
      </c>
      <c r="AD61" s="282">
        <f ca="1">SUM(Z61:AC61)</f>
        <v>-9185.290011615205</v>
      </c>
      <c r="AE61" s="282">
        <f ca="1">SUM(AE59:AE60)</f>
        <v>-8157.958390797736</v>
      </c>
      <c r="AF61" s="282">
        <f ca="1">SUM(AF59:AF60)</f>
        <v>-7773.6756139680565</v>
      </c>
      <c r="AG61" s="282">
        <f ca="1">SUM(AG59:AG60)</f>
        <v>-7147.402029293435</v>
      </c>
      <c r="AH61" s="16"/>
      <c r="AI61" s="16"/>
      <c r="AJ61" s="16"/>
      <c r="AK61" s="16"/>
    </row>
    <row r="62" ht="13.5" customHeight="1" spans="1:37" x14ac:dyDescent="0.25">
      <c r="A62" s="264"/>
      <c r="B62" s="16"/>
      <c r="C62" s="16"/>
      <c r="D62" s="16"/>
      <c r="E62" s="16"/>
      <c r="F62" s="315"/>
      <c r="G62" s="315"/>
      <c r="H62" s="315"/>
      <c r="I62" s="315"/>
      <c r="J62" s="16"/>
      <c r="K62" s="315"/>
      <c r="L62" s="315"/>
      <c r="M62" s="315"/>
      <c r="N62" s="315"/>
      <c r="O62" s="16"/>
      <c r="P62" s="315"/>
      <c r="Q62" s="315"/>
      <c r="R62" s="315"/>
      <c r="S62" s="315"/>
      <c r="T62" s="16"/>
      <c r="U62" s="315"/>
      <c r="V62" s="315"/>
      <c r="W62" s="315"/>
      <c r="X62" s="316"/>
      <c r="Y62" s="16"/>
      <c r="Z62" s="316"/>
      <c r="AA62" s="316"/>
      <c r="AB62" s="316"/>
      <c r="AC62" s="316"/>
      <c r="AD62" s="16"/>
      <c r="AE62" s="16"/>
      <c r="AF62" s="16"/>
      <c r="AG62" s="16"/>
      <c r="AH62" s="16"/>
      <c r="AI62" s="16"/>
      <c r="AJ62" s="16"/>
      <c r="AK62" s="16"/>
    </row>
    <row r="63" ht="13.5" customHeight="1" spans="1:37" x14ac:dyDescent="0.25">
      <c r="A63" s="264"/>
      <c r="B63" s="47"/>
      <c r="C63" s="350" t="s">
        <v>293</v>
      </c>
      <c r="D63" s="373"/>
      <c r="E63" s="373"/>
      <c r="F63" s="351">
        <f t="shared" ref="F63:AG63" si="57" ca="1">F$25</f>
        <v>1e-12</v>
      </c>
      <c r="G63" s="194">
        <f ca="1">G$25</f>
        <v>1e-12</v>
      </c>
      <c r="H63" s="194">
        <f ca="1">H$25</f>
        <v>1e-12</v>
      </c>
      <c r="I63" s="194">
        <f ca="1">I$25</f>
        <v>1e-12</v>
      </c>
      <c r="J63" s="194">
        <f ca="1">J$25</f>
        <v>2023</v>
      </c>
      <c r="K63" s="194">
        <f ca="1">K$25</f>
        <v>1e-12</v>
      </c>
      <c r="L63" s="194">
        <f ca="1">L$25</f>
        <v>1e-12</v>
      </c>
      <c r="M63" s="194">
        <f ca="1">M$25</f>
        <v>1e-12</v>
      </c>
      <c r="N63" s="194">
        <f ca="1">N$25</f>
        <v>1e-12</v>
      </c>
      <c r="O63" s="194">
        <f ca="1">O$25</f>
        <v>2024</v>
      </c>
      <c r="P63" s="194">
        <f ca="1">P$25</f>
        <v>1e-12</v>
      </c>
      <c r="Q63" s="194">
        <f ca="1">Q$25</f>
        <v>1e-12</v>
      </c>
      <c r="R63" s="194">
        <f ca="1">R$25</f>
        <v>1e-12</v>
      </c>
      <c r="S63" s="194">
        <f ca="1">S$25</f>
        <v>1e-12</v>
      </c>
      <c r="T63" s="194">
        <f ca="1">T$25</f>
        <v>2025</v>
      </c>
      <c r="U63" s="194">
        <f ca="1">U$25</f>
        <v>1e-12</v>
      </c>
      <c r="V63" s="194">
        <f ca="1">V$25</f>
        <v>1e-12</v>
      </c>
      <c r="W63" s="194" t="str">
        <f ca="1">W$25</f>
        <v>3Q26e</v>
      </c>
      <c r="X63" s="194" t="str">
        <f ca="1">X$25</f>
        <v>4Q26e</v>
      </c>
      <c r="Y63" s="194" t="str">
        <f ca="1">Y$25</f>
        <v>2026e</v>
      </c>
      <c r="Z63" s="194" t="str">
        <f ca="1">Z$25</f>
        <v>1Q27e</v>
      </c>
      <c r="AA63" s="194" t="str">
        <f ca="1">AA$25</f>
        <v>2Q27e</v>
      </c>
      <c r="AB63" s="194" t="str">
        <f ca="1">AB$25</f>
        <v>3Q27e</v>
      </c>
      <c r="AC63" s="194" t="str">
        <f ca="1">AC$25</f>
        <v>4Q27e</v>
      </c>
      <c r="AD63" s="194" t="str">
        <f ca="1">AD$25</f>
        <v>2027e</v>
      </c>
      <c r="AE63" s="194" t="str">
        <f ca="1">AE$25</f>
        <v>2028e</v>
      </c>
      <c r="AF63" s="194" t="str">
        <f ca="1">AF$25</f>
        <v>2029e</v>
      </c>
      <c r="AG63" s="352" t="str">
        <f ca="1">AG$25</f>
        <v>2030e</v>
      </c>
      <c r="AH63" s="264" t="s">
        <v>1</v>
      </c>
      <c r="AI63" s="16"/>
      <c r="AJ63" s="16"/>
      <c r="AK63" s="16"/>
    </row>
    <row r="64" ht="13.5" customHeight="1" spans="1:37" x14ac:dyDescent="0.25">
      <c r="A64" s="264" t="s">
        <v>1</v>
      </c>
      <c r="B64" s="16"/>
      <c r="C64" s="374" t="s">
        <v>46</v>
      </c>
      <c r="D64" s="375"/>
      <c r="E64" s="375"/>
      <c r="F64" s="375"/>
      <c r="G64" s="375"/>
      <c r="H64" s="375"/>
      <c r="I64" s="375"/>
      <c r="J64" s="375"/>
      <c r="K64" s="375"/>
      <c r="L64" s="375"/>
      <c r="M64" s="375"/>
      <c r="N64" s="375"/>
      <c r="O64" s="375"/>
      <c r="P64" s="375"/>
      <c r="Q64" s="375"/>
      <c r="R64" s="375"/>
      <c r="S64" s="375"/>
      <c r="T64" s="375"/>
      <c r="U64" s="375"/>
      <c r="V64" s="375"/>
      <c r="W64" s="375"/>
      <c r="X64" s="375"/>
      <c r="Y64" s="375"/>
      <c r="Z64" s="375"/>
      <c r="AA64" s="375"/>
      <c r="AB64" s="375"/>
      <c r="AC64" s="375"/>
      <c r="AD64" s="375"/>
      <c r="AE64" s="375"/>
      <c r="AF64" s="375"/>
      <c r="AG64" s="376"/>
      <c r="AH64" s="16"/>
      <c r="AI64" s="16"/>
      <c r="AJ64" s="16"/>
      <c r="AK64" s="16"/>
    </row>
    <row r="65" ht="13.5" customHeight="1" spans="1:37" x14ac:dyDescent="0.25">
      <c r="A65" s="264"/>
      <c r="B65" s="47"/>
      <c r="C65" s="16"/>
      <c r="D65" s="47"/>
      <c r="E65" s="47"/>
      <c r="F65" s="315"/>
      <c r="G65" s="315"/>
      <c r="H65" s="315"/>
      <c r="I65" s="315"/>
      <c r="J65" s="16"/>
      <c r="K65" s="315"/>
      <c r="L65" s="315"/>
      <c r="M65" s="315"/>
      <c r="N65" s="315"/>
      <c r="O65" s="16"/>
      <c r="P65" s="315"/>
      <c r="Q65" s="315"/>
      <c r="R65" s="315"/>
      <c r="S65" s="315"/>
      <c r="T65" s="16"/>
      <c r="U65" s="315"/>
      <c r="V65" s="315"/>
      <c r="W65" s="315"/>
      <c r="X65" s="316"/>
      <c r="Y65" s="16"/>
      <c r="Z65" s="316"/>
      <c r="AA65" s="316"/>
      <c r="AB65" s="316"/>
      <c r="AC65" s="316"/>
      <c r="AD65" s="16"/>
      <c r="AE65" s="16"/>
      <c r="AF65" s="16"/>
      <c r="AG65" s="16"/>
      <c r="AH65" s="16"/>
      <c r="AI65" s="16"/>
      <c r="AJ65" s="16"/>
      <c r="AK65" s="16"/>
    </row>
    <row r="66" ht="13.5" customHeight="1" spans="1:37" x14ac:dyDescent="0.25">
      <c r="A66" s="264"/>
      <c r="B66" s="47"/>
      <c r="C66" s="16" t="s">
        <v>112</v>
      </c>
      <c r="D66" s="47"/>
      <c r="E66" s="47"/>
      <c r="F66" s="377">
        <f t="shared" ref="F66:W66" si="58" ca="1">F30/F28</f>
        <v>0.655284749034749</v>
      </c>
      <c r="G66" s="377">
        <f ca="1">G30/G28</f>
        <v>0.4348150357995227</v>
      </c>
      <c r="H66" s="377">
        <f ca="1">H30/H28</f>
        <v>0.5356600910470409</v>
      </c>
      <c r="I66" s="377">
        <f ca="1">I30/I28</f>
        <v>0.6334490166914559</v>
      </c>
      <c r="J66" s="378">
        <f ca="1">J30/J28</f>
        <v>0.5692889449099132</v>
      </c>
      <c r="K66" s="377">
        <f ca="1">K30/K28</f>
        <v>0.646273637374861</v>
      </c>
      <c r="L66" s="377">
        <f ca="1">L30/L28</f>
        <v>0.7005256533649219</v>
      </c>
      <c r="M66" s="377">
        <f ca="1">M30/M28</f>
        <v>0.739514348785872</v>
      </c>
      <c r="N66" s="377">
        <f ca="1">N30/N28</f>
        <v>0.759670632945754</v>
      </c>
      <c r="O66" s="378">
        <f ca="1">O30/O28</f>
        <v>0.7271757329043695</v>
      </c>
      <c r="P66" s="377">
        <f ca="1">P30/P28</f>
        <v>0.7835201965903855</v>
      </c>
      <c r="Q66" s="377">
        <f ca="1">Q30/Q28</f>
        <v>0.7514647137150466</v>
      </c>
      <c r="R66" s="377">
        <f ca="1">R30/R28</f>
        <v>0.7455675275069836</v>
      </c>
      <c r="S66" s="377">
        <f ca="1">S30/S28</f>
        <v>0.7302890849457171</v>
      </c>
      <c r="T66" s="378">
        <f ca="1">T30/T28</f>
        <v>0.7498869705816992</v>
      </c>
      <c r="U66" s="377">
        <f ca="1">U30/U28</f>
        <v>0.6052380736235304</v>
      </c>
      <c r="V66" s="377">
        <f ca="1">V30/V28</f>
        <v>0.724236784117408</v>
      </c>
      <c r="W66" s="377">
        <f ca="1">W30/W28</f>
        <v>0.33104982982808273</v>
      </c>
      <c r="X66" s="379">
        <f ca="1">IF(Cover!$F$37="Bottom Up",(X30/X28),Drivers!X7)</f>
        <v>0.13</v>
      </c>
      <c r="Y66" s="378">
        <f ca="1">Y30/Y28</f>
        <v>0.28815440500361494</v>
      </c>
      <c r="Z66" s="379">
        <f ca="1">IF(Cover!$F$37="Bottom Up",(Z30/Z28),Drivers!Z7)</f>
        <v>0.14</v>
      </c>
      <c r="AA66" s="379">
        <f ca="1">IF(Cover!$F$37="Bottom Up",(AA30/AA28),Drivers!AA7)</f>
        <v>0.145</v>
      </c>
      <c r="AB66" s="379">
        <f ca="1">IF(Cover!$F$37="Bottom Up",(AB30/AB28),Drivers!AB7)</f>
        <v>0.12</v>
      </c>
      <c r="AC66" s="379">
        <f ca="1">IF(Cover!$F$37="Bottom Up",(AC30/AC28),Drivers!AC7)</f>
        <v>0.135</v>
      </c>
      <c r="AD66" s="378">
        <f ca="1">AD30/AD28</f>
        <v>0.13533005878561802</v>
      </c>
      <c r="AE66" s="378">
        <f ca="1">IF(Cover!$F$37="Bottom Up",(AE30/AE28),Drivers!AE7)</f>
        <v>0.139</v>
      </c>
      <c r="AF66" s="378">
        <f ca="1">IF(Cover!$F$37="Bottom Up",(AF30/AF28),Drivers!AF7)</f>
        <v>0.14</v>
      </c>
      <c r="AG66" s="378">
        <f ca="1">IF(Cover!$F$37="Bottom Up",(AG30/AG28),Drivers!AG7)</f>
        <v>0.142</v>
      </c>
      <c r="AH66" s="16"/>
      <c r="AI66" s="16"/>
      <c r="AJ66" s="16"/>
      <c r="AK66" s="16"/>
    </row>
    <row r="67" ht="13.5" customHeight="1" spans="1:37" x14ac:dyDescent="0.25">
      <c r="A67" s="264"/>
      <c r="B67" s="47"/>
      <c r="C67" s="16" t="s">
        <v>294</v>
      </c>
      <c r="D67" s="47"/>
      <c r="E67" s="47"/>
      <c r="F67" s="377">
        <f t="shared" ref="F67:W67" si="59" ca="1">F32/F28</f>
        <v>-0.07142857142857142</v>
      </c>
      <c r="G67" s="377">
        <f ca="1">G32/G28</f>
        <v>-0.0883054892601432</v>
      </c>
      <c r="H67" s="377">
        <f ca="1">H32/H28</f>
        <v>-0.1063901534311246</v>
      </c>
      <c r="I67" s="377">
        <f ca="1">I32/I28</f>
        <v>-0.10328871260948604</v>
      </c>
      <c r="J67" s="378">
        <f ca="1">J32/J28</f>
        <v>-0.09045747757099429</v>
      </c>
      <c r="K67" s="377">
        <f ca="1">K32/K28</f>
        <v>-0.08801446051167965</v>
      </c>
      <c r="L67" s="377">
        <f ca="1">L32/L28</f>
        <v>-0.04605019619456578</v>
      </c>
      <c r="M67" s="377">
        <f ca="1">M32/M28</f>
        <v>-0.038024282560706404</v>
      </c>
      <c r="N67" s="377">
        <f ca="1">N32/N28</f>
        <v>-0.032212821788897436</v>
      </c>
      <c r="O67" s="378">
        <f ca="1">O32/O28</f>
        <v>-0.043596730245231606</v>
      </c>
      <c r="P67" s="377">
        <f ca="1">P32/P28</f>
        <v>-0.029834126862233145</v>
      </c>
      <c r="Q67" s="377">
        <f ca="1">Q32/Q28</f>
        <v>-0.028029294274300932</v>
      </c>
      <c r="R67" s="377">
        <f ca="1">R32/R28</f>
        <v>-0.025568667692833932</v>
      </c>
      <c r="S67" s="377">
        <f ca="1">S32/S28</f>
        <v>-0.02478960616307747</v>
      </c>
      <c r="T67" s="378">
        <f ca="1">T32/T28</f>
        <v>-0.026751572833091947</v>
      </c>
      <c r="U67" s="377">
        <f ca="1">U32/U28</f>
        <v>-0.023625800009078116</v>
      </c>
      <c r="V67" s="377">
        <f ca="1">V32/V28</f>
        <v>-0.02400359412104486</v>
      </c>
      <c r="W67" s="377">
        <f ca="1">W32/W28</f>
        <v>-0.19081071646740552</v>
      </c>
      <c r="X67" s="380">
        <f ca="1">Drivers!X40</f>
        <v>-0.22</v>
      </c>
      <c r="Y67" s="378">
        <f ca="1">Y32/Y28</f>
        <v>-0.18979585673045993</v>
      </c>
      <c r="Z67" s="380">
        <f ca="1">Drivers!Z40</f>
        <v>-0.225</v>
      </c>
      <c r="AA67" s="380">
        <f ca="1">Drivers!AA40</f>
        <v>-0.225</v>
      </c>
      <c r="AB67" s="380">
        <f ca="1">Drivers!AB40</f>
        <v>-0.22</v>
      </c>
      <c r="AC67" s="380">
        <f ca="1">Drivers!AC40</f>
        <v>-0.22</v>
      </c>
      <c r="AD67" s="378">
        <f ca="1">AD32/AD28</f>
        <v>-0.22261215163174033</v>
      </c>
      <c r="AE67" s="381">
        <f ca="1">Drivers!AE40</f>
        <v>-0.215</v>
      </c>
      <c r="AF67" s="381">
        <f ca="1">Drivers!AF40</f>
        <v>-0.211</v>
      </c>
      <c r="AG67" s="381">
        <f ca="1">Drivers!AG40</f>
        <v>-0.206</v>
      </c>
      <c r="AH67" s="16"/>
      <c r="AI67" s="16"/>
      <c r="AJ67" s="16"/>
      <c r="AK67" s="16"/>
    </row>
    <row r="68" ht="13.5" customHeight="1" spans="1:37" x14ac:dyDescent="0.25">
      <c r="A68" s="264"/>
      <c r="B68" s="47"/>
      <c r="C68" s="16" t="s">
        <v>295</v>
      </c>
      <c r="D68" s="47"/>
      <c r="E68" s="47"/>
      <c r="F68" s="377">
        <f t="shared" ref="F68:W68" si="60" ca="1">F33/F28</f>
        <v>-0.19522200772200773</v>
      </c>
      <c r="G68" s="377">
        <f ca="1">G33/G28</f>
        <v>-0.2720763723150358</v>
      </c>
      <c r="H68" s="377">
        <f ca="1">H33/H28</f>
        <v>-0.32793795312763446</v>
      </c>
      <c r="I68" s="377">
        <f ca="1">I33/I28</f>
        <v>-0.3225913072219468</v>
      </c>
      <c r="J68" s="378">
        <f ca="1">J33/J28</f>
        <v>-0.2720768147104619</v>
      </c>
      <c r="K68" s="377">
        <f ca="1">K33/K28</f>
        <v>-0.260706340378198</v>
      </c>
      <c r="L68" s="377">
        <f ca="1">L33/L28</f>
        <v>-0.15103279780854373</v>
      </c>
      <c r="M68" s="377">
        <f ca="1">M33/M28</f>
        <v>-0.12660044150110375</v>
      </c>
      <c r="N68" s="377">
        <f ca="1">N33/N28</f>
        <v>-0.11152332262588789</v>
      </c>
      <c r="O68" s="378">
        <f ca="1">O33/O28</f>
        <v>-0.14237877942286858</v>
      </c>
      <c r="P68" s="377">
        <f ca="1">P33/P28</f>
        <v>-0.10443864229765012</v>
      </c>
      <c r="Q68" s="377">
        <f ca="1">Q33/Q28</f>
        <v>-0.10286284953395473</v>
      </c>
      <c r="R68" s="377">
        <f ca="1">R33/R28</f>
        <v>-0.09663075081238241</v>
      </c>
      <c r="S68" s="377">
        <f ca="1">S33/S28</f>
        <v>-0.09442933055350741</v>
      </c>
      <c r="T68" s="378">
        <f ca="1">T33/T28</f>
        <v>-0.0989601293516326</v>
      </c>
      <c r="U68" s="377">
        <f ca="1">U33/U28</f>
        <v>-0.09053152376197177</v>
      </c>
      <c r="V68" s="377">
        <f ca="1">V33/V28</f>
        <v>-0.0917998416875254</v>
      </c>
      <c r="W68" s="377">
        <f ca="1">W33/W28</f>
        <v>1e-12</v>
      </c>
      <c r="X68" s="380">
        <f ca="1">Drivers!X45</f>
        <v>1e-12</v>
      </c>
      <c r="Y68" s="378">
        <f ca="1">Y33/Y28</f>
        <v>-0.06110922092385628</v>
      </c>
      <c r="Z68" s="380">
        <f ca="1">Drivers!Z45</f>
        <v>1e-12</v>
      </c>
      <c r="AA68" s="380">
        <f ca="1">Drivers!AA45</f>
        <v>1e-12</v>
      </c>
      <c r="AB68" s="380">
        <f ca="1">Drivers!AB45</f>
        <v>1e-12</v>
      </c>
      <c r="AC68" s="380">
        <f ca="1">Drivers!AC45</f>
        <v>1e-12</v>
      </c>
      <c r="AD68" s="378">
        <f ca="1">AD33/AD28</f>
        <v>1e-12</v>
      </c>
      <c r="AE68" s="381">
        <f ca="1">Drivers!AE45</f>
        <v>1e-12</v>
      </c>
      <c r="AF68" s="381">
        <f ca="1">Drivers!AF45</f>
        <v>1e-12</v>
      </c>
      <c r="AG68" s="381">
        <f ca="1">Drivers!AG45</f>
        <v>1e-12</v>
      </c>
      <c r="AH68" s="16"/>
      <c r="AI68" s="16"/>
      <c r="AJ68" s="16"/>
      <c r="AK68" s="16"/>
    </row>
    <row r="69" ht="13.5" customHeight="1" spans="1:37" x14ac:dyDescent="0.25">
      <c r="A69" s="264"/>
      <c r="B69" s="47"/>
      <c r="C69" s="16" t="s">
        <v>296</v>
      </c>
      <c r="D69" s="47"/>
      <c r="E69" s="47"/>
      <c r="F69" s="377">
        <f t="shared" ref="F69:W69" si="61" ca="1">F35/F28</f>
        <v>1e-12</v>
      </c>
      <c r="G69" s="377">
        <f ca="1">G35/G28</f>
        <v>1e-12</v>
      </c>
      <c r="H69" s="377">
        <f ca="1">H35/H28</f>
        <v>1e-12</v>
      </c>
      <c r="I69" s="377">
        <f ca="1">I35/I28</f>
        <v>1e-12</v>
      </c>
      <c r="J69" s="378">
        <f ca="1">J35/J28</f>
        <v>1e-12</v>
      </c>
      <c r="K69" s="377">
        <f ca="1">K35/K28</f>
        <v>1e-12</v>
      </c>
      <c r="L69" s="377">
        <f ca="1">L35/L28</f>
        <v>1e-12</v>
      </c>
      <c r="M69" s="377">
        <f ca="1">M35/M28</f>
        <v>1e-12</v>
      </c>
      <c r="N69" s="377">
        <f ca="1">N35/N28</f>
        <v>1e-12</v>
      </c>
      <c r="O69" s="378">
        <f ca="1">O35/O28</f>
        <v>1e-12</v>
      </c>
      <c r="P69" s="377">
        <f ca="1">P35/P28</f>
        <v>1e-12</v>
      </c>
      <c r="Q69" s="377">
        <f ca="1">Q35/Q28</f>
        <v>1e-12</v>
      </c>
      <c r="R69" s="377">
        <f ca="1">R35/R28</f>
        <v>1e-12</v>
      </c>
      <c r="S69" s="377">
        <f ca="1">S35/S28</f>
        <v>1e-12</v>
      </c>
      <c r="T69" s="378">
        <f ca="1">T35/T28</f>
        <v>1e-12</v>
      </c>
      <c r="U69" s="377">
        <f ca="1">U35/U28</f>
        <v>1e-12</v>
      </c>
      <c r="V69" s="377">
        <f ca="1">V35/V28</f>
        <v>1e-12</v>
      </c>
      <c r="W69" s="377">
        <f ca="1">W35/W28</f>
        <v>1e-12</v>
      </c>
      <c r="X69" s="380">
        <f ca="1">Drivers!X50</f>
        <v>1e-12</v>
      </c>
      <c r="Y69" s="378">
        <f ca="1">Y35/Y28</f>
        <v>1e-12</v>
      </c>
      <c r="Z69" s="380">
        <f ca="1">Drivers!Z50</f>
        <v>1e-12</v>
      </c>
      <c r="AA69" s="380">
        <f ca="1">Drivers!AA50</f>
        <v>1e-12</v>
      </c>
      <c r="AB69" s="380">
        <f ca="1">Drivers!AB50</f>
        <v>1e-12</v>
      </c>
      <c r="AC69" s="380">
        <f ca="1">Drivers!AC50</f>
        <v>1e-12</v>
      </c>
      <c r="AD69" s="378">
        <f ca="1">AD35/AD28</f>
        <v>1e-12</v>
      </c>
      <c r="AE69" s="381">
        <f ca="1">Drivers!AE50</f>
        <v>1e-12</v>
      </c>
      <c r="AF69" s="381">
        <f ca="1">Drivers!AF50</f>
        <v>1e-12</v>
      </c>
      <c r="AG69" s="381">
        <f ca="1">Drivers!AG50</f>
        <v>1e-12</v>
      </c>
      <c r="AH69" s="16"/>
      <c r="AI69" s="16"/>
      <c r="AJ69" s="16"/>
      <c r="AK69" s="16"/>
    </row>
    <row r="70" ht="13.5" customHeight="1" spans="1:37" x14ac:dyDescent="0.25">
      <c r="A70" s="264"/>
      <c r="B70" s="47"/>
      <c r="C70" s="16" t="s">
        <v>297</v>
      </c>
      <c r="D70" s="47"/>
      <c r="E70" s="47"/>
      <c r="F70" s="377">
        <f t="shared" ref="F70:W70" si="62" ca="1">F41/F28</f>
        <v>-0.0015685328185328184</v>
      </c>
      <c r="G70" s="377">
        <f ca="1">G41/G28</f>
        <v>-0.0007458233890214797</v>
      </c>
      <c r="H70" s="377">
        <f ca="1">H41/H28</f>
        <v>-0.0018546619457089867</v>
      </c>
      <c r="I70" s="377">
        <f ca="1">I41/I28</f>
        <v>-0.0031399768633283754</v>
      </c>
      <c r="J70" s="378">
        <f ca="1">J41/J28</f>
        <v>-0.0017794913620523467</v>
      </c>
      <c r="K70" s="377">
        <f ca="1">K41/K28</f>
        <v>-0.002085650723025584</v>
      </c>
      <c r="L70" s="377">
        <f ca="1">L41/L28</f>
        <v>0.004368105426815725</v>
      </c>
      <c r="M70" s="377">
        <f ca="1">M41/M28</f>
        <v>-0.003642384105960265</v>
      </c>
      <c r="N70" s="377">
        <f ca="1">N41/N28</f>
        <v>0.011808351807446953</v>
      </c>
      <c r="O70" s="378">
        <f ca="1">O41/O28</f>
        <v>0.003923049144808116</v>
      </c>
      <c r="P70" s="377">
        <f ca="1">P41/P28</f>
        <v>0.0028797419751190293</v>
      </c>
      <c r="Q70" s="377">
        <f ca="1">Q41/Q28</f>
        <v>0.006291611185086551</v>
      </c>
      <c r="R70" s="377">
        <f ca="1">R41/R28</f>
        <v>0.001026167265264238</v>
      </c>
      <c r="S70" s="377">
        <f ca="1">S41/S28</f>
        <v>0.01863669878721619</v>
      </c>
      <c r="T70" s="378">
        <f ca="1">T41/T28</f>
        <v>0.007915890786761382</v>
      </c>
      <c r="U70" s="377">
        <f ca="1">U41/U28</f>
        <v>-0.004085152739321865</v>
      </c>
      <c r="V70" s="377">
        <f ca="1">V41/V28</f>
        <v>0.0478360396209058</v>
      </c>
      <c r="W70" s="377">
        <f ca="1">W41/W28</f>
        <v>1e-12</v>
      </c>
      <c r="X70" s="380">
        <f ca="1">Drivers!X57</f>
        <v>1e-12</v>
      </c>
      <c r="Y70" s="378">
        <f ca="1">Y41/Y28</f>
        <v>0.015173980461286053</v>
      </c>
      <c r="Z70" s="380">
        <f ca="1">Drivers!Z57</f>
        <v>1e-12</v>
      </c>
      <c r="AA70" s="380">
        <f ca="1">Drivers!AA57</f>
        <v>1e-12</v>
      </c>
      <c r="AB70" s="380">
        <f ca="1">Drivers!AB57</f>
        <v>1e-12</v>
      </c>
      <c r="AC70" s="380">
        <f ca="1">Drivers!AC57</f>
        <v>1e-12</v>
      </c>
      <c r="AD70" s="378">
        <f ca="1">AD41/AD28</f>
        <v>1e-12</v>
      </c>
      <c r="AE70" s="381">
        <f ca="1">Drivers!AE57</f>
        <v>1e-12</v>
      </c>
      <c r="AF70" s="381">
        <f ca="1">Drivers!AF57</f>
        <v>1e-12</v>
      </c>
      <c r="AG70" s="381">
        <f ca="1">Drivers!AG57</f>
        <v>1e-12</v>
      </c>
      <c r="AH70" s="16"/>
      <c r="AI70" s="16"/>
      <c r="AJ70" s="16"/>
      <c r="AK70" s="16"/>
    </row>
    <row r="71" ht="13.5" customHeight="1" spans="1:37" x14ac:dyDescent="0.25">
      <c r="A71" s="264"/>
      <c r="B71" s="47"/>
      <c r="C71" s="16" t="s">
        <v>298</v>
      </c>
      <c r="D71" s="47"/>
      <c r="E71" s="47"/>
      <c r="F71" s="377">
        <f t="shared" ref="F71:W71" si="63" ca="1">-F44/F42</f>
        <v>0.10360110803324099</v>
      </c>
      <c r="G71" s="377">
        <f ca="1">-G44/G42</f>
        <v>-0.38105263157894737</v>
      </c>
      <c r="H71" s="377">
        <f ca="1">-H44/H42</f>
        <v>-0.10929853181076672</v>
      </c>
      <c r="I71" s="377">
        <f ca="1">-I44/I42</f>
        <v>-0.09782608695652174</v>
      </c>
      <c r="J71" s="378">
        <f ca="1">-J44/J42</f>
        <v>-0.044726142071274816</v>
      </c>
      <c r="K71" s="377">
        <f ca="1">-K44/K42</f>
        <v>0.07514712539610684</v>
      </c>
      <c r="L71" s="377">
        <f ca="1">-L44/L42</f>
        <v>0.11359404096834265</v>
      </c>
      <c r="M71" s="377">
        <f ca="1">-M44/M42</f>
        <v>0.12155483748336818</v>
      </c>
      <c r="N71" s="377">
        <f ca="1">-N44/N42</f>
        <v>0.12909400255210549</v>
      </c>
      <c r="O71" s="378">
        <f ca="1">-O44/O42</f>
        <v>0.1199952687917677</v>
      </c>
      <c r="P71" s="377">
        <f ca="1">-P44/P42</f>
        <v>0.1387811794664043</v>
      </c>
      <c r="Q71" s="377">
        <f ca="1">-Q44/Q42</f>
        <v>0.1360986780472572</v>
      </c>
      <c r="R71" s="377">
        <f ca="1">-R44/R42</f>
        <v>0.13474637031726117</v>
      </c>
      <c r="S71" s="377">
        <f ca="1">-S44/S42</f>
        <v>0.1239639925447119</v>
      </c>
      <c r="T71" s="378">
        <f ca="1">-T44/T42</f>
        <v>0.13264941803727417</v>
      </c>
      <c r="U71" s="377">
        <f ca="1">-U44/U42</f>
        <v>0.1430853491556367</v>
      </c>
      <c r="V71" s="377">
        <f ca="1">-V44/V42</f>
        <v>0.1533038518233673</v>
      </c>
      <c r="W71" s="377">
        <f ca="1">-W44/W42</f>
        <v>0.26110678098207324</v>
      </c>
      <c r="X71" s="380">
        <f ca="1">Drivers!X64</f>
        <v>0.24</v>
      </c>
      <c r="Y71" s="378">
        <f ca="1">-Y44/Y42</f>
        <v>0.15020538888187615</v>
      </c>
      <c r="Z71" s="380">
        <f ca="1">Drivers!Z64</f>
        <v>0.24</v>
      </c>
      <c r="AA71" s="380">
        <f ca="1">Drivers!AA64</f>
        <v>0.24</v>
      </c>
      <c r="AB71" s="380">
        <f ca="1">Drivers!AB64</f>
        <v>0.24</v>
      </c>
      <c r="AC71" s="380">
        <f ca="1">Drivers!AC64</f>
        <v>0.24</v>
      </c>
      <c r="AD71" s="378">
        <f ca="1">-AD44/AD42</f>
        <v>0.24</v>
      </c>
      <c r="AE71" s="381">
        <f ca="1">Drivers!AE64</f>
        <v>0.24</v>
      </c>
      <c r="AF71" s="381">
        <f ca="1">Drivers!AF64</f>
        <v>0.24</v>
      </c>
      <c r="AG71" s="381">
        <f ca="1">Drivers!AG64</f>
        <v>0.24</v>
      </c>
      <c r="AH71" s="16"/>
      <c r="AI71" s="16"/>
      <c r="AJ71" s="16"/>
      <c r="AK71" s="16"/>
    </row>
    <row r="72" ht="13.5" customHeight="1" spans="1:37" x14ac:dyDescent="0.25">
      <c r="A72" s="264"/>
      <c r="B72" s="47"/>
      <c r="C72" s="16"/>
      <c r="D72" s="47"/>
      <c r="E72" s="47"/>
      <c r="F72" s="319"/>
      <c r="G72" s="319"/>
      <c r="H72" s="319"/>
      <c r="I72" s="319"/>
      <c r="J72" s="168"/>
      <c r="K72" s="319"/>
      <c r="L72" s="319"/>
      <c r="M72" s="319"/>
      <c r="N72" s="319"/>
      <c r="O72" s="168"/>
      <c r="P72" s="319"/>
      <c r="Q72" s="319"/>
      <c r="R72" s="319"/>
      <c r="S72" s="319"/>
      <c r="T72" s="168"/>
      <c r="U72" s="319"/>
      <c r="V72" s="319"/>
      <c r="W72" s="319"/>
      <c r="X72" s="322"/>
      <c r="Y72" s="168"/>
      <c r="Z72" s="322"/>
      <c r="AA72" s="322"/>
      <c r="AB72" s="322"/>
      <c r="AC72" s="322"/>
      <c r="AD72" s="168"/>
      <c r="AE72" s="168"/>
      <c r="AF72" s="168"/>
      <c r="AG72" s="168"/>
      <c r="AH72" s="16"/>
      <c r="AI72" s="16"/>
      <c r="AJ72" s="16"/>
      <c r="AK72" s="16"/>
    </row>
    <row r="73" ht="13.5" customHeight="1" spans="1:37" x14ac:dyDescent="0.25">
      <c r="A73" s="264" t="s">
        <v>1</v>
      </c>
      <c r="B73" s="47"/>
      <c r="C73" s="62" t="s">
        <v>299</v>
      </c>
      <c r="D73" s="19"/>
      <c r="E73" s="19"/>
      <c r="F73" s="313">
        <f ca="1">F$25</f>
        <v>1e-12</v>
      </c>
      <c r="G73" s="63">
        <f t="shared" ref="G73:AG73" si="64" ca="1">G$63</f>
        <v>1e-12</v>
      </c>
      <c r="H73" s="63">
        <f ca="1">H$63</f>
        <v>1e-12</v>
      </c>
      <c r="I73" s="63">
        <f ca="1">I$63</f>
        <v>1e-12</v>
      </c>
      <c r="J73" s="63">
        <f ca="1">J$63</f>
        <v>2023</v>
      </c>
      <c r="K73" s="63">
        <f ca="1">K$63</f>
        <v>1e-12</v>
      </c>
      <c r="L73" s="63">
        <f ca="1">L$63</f>
        <v>1e-12</v>
      </c>
      <c r="M73" s="63">
        <f ca="1">M$63</f>
        <v>1e-12</v>
      </c>
      <c r="N73" s="63">
        <f ca="1">N$63</f>
        <v>1e-12</v>
      </c>
      <c r="O73" s="63">
        <f ca="1">O$63</f>
        <v>2024</v>
      </c>
      <c r="P73" s="63">
        <f ca="1">P$63</f>
        <v>1e-12</v>
      </c>
      <c r="Q73" s="63">
        <f ca="1">Q$63</f>
        <v>1e-12</v>
      </c>
      <c r="R73" s="63">
        <f ca="1">R$63</f>
        <v>1e-12</v>
      </c>
      <c r="S73" s="63">
        <f ca="1">S$63</f>
        <v>1e-12</v>
      </c>
      <c r="T73" s="63">
        <f ca="1">T$63</f>
        <v>2025</v>
      </c>
      <c r="U73" s="63">
        <f ca="1">U$63</f>
        <v>1e-12</v>
      </c>
      <c r="V73" s="63">
        <f ca="1">V$63</f>
        <v>1e-12</v>
      </c>
      <c r="W73" s="63" t="str">
        <f ca="1">W$63</f>
        <v>3Q26e</v>
      </c>
      <c r="X73" s="63" t="str">
        <f ca="1">X$63</f>
        <v>4Q26e</v>
      </c>
      <c r="Y73" s="63" t="str">
        <f ca="1">Y$63</f>
        <v>2026e</v>
      </c>
      <c r="Z73" s="63" t="str">
        <f ca="1">Z$63</f>
        <v>1Q27e</v>
      </c>
      <c r="AA73" s="63" t="str">
        <f ca="1">AA$63</f>
        <v>2Q27e</v>
      </c>
      <c r="AB73" s="63" t="str">
        <f ca="1">AB$63</f>
        <v>3Q27e</v>
      </c>
      <c r="AC73" s="63" t="str">
        <f ca="1">AC$63</f>
        <v>4Q27e</v>
      </c>
      <c r="AD73" s="63" t="str">
        <f ca="1">AD$63</f>
        <v>2027e</v>
      </c>
      <c r="AE73" s="63" t="str">
        <f ca="1">AE$63</f>
        <v>2028e</v>
      </c>
      <c r="AF73" s="63" t="str">
        <f ca="1">AF$63</f>
        <v>2029e</v>
      </c>
      <c r="AG73" s="64" t="str">
        <f ca="1">AG$63</f>
        <v>2030e</v>
      </c>
      <c r="AH73" s="264" t="s">
        <v>1</v>
      </c>
      <c r="AI73" s="16"/>
      <c r="AJ73" s="16"/>
      <c r="AK73" s="16"/>
    </row>
    <row r="74" ht="13.5" customHeight="1" spans="1:37" x14ac:dyDescent="0.25">
      <c r="A74" s="264"/>
      <c r="B74" s="16"/>
      <c r="C74" s="16"/>
      <c r="D74" s="16"/>
      <c r="E74" s="16"/>
      <c r="F74" s="315"/>
      <c r="G74" s="315"/>
      <c r="H74" s="382"/>
      <c r="I74" s="315"/>
      <c r="J74" s="16"/>
      <c r="K74" s="315"/>
      <c r="L74" s="315"/>
      <c r="M74" s="382"/>
      <c r="N74" s="315"/>
      <c r="O74" s="16"/>
      <c r="P74" s="315"/>
      <c r="Q74" s="315"/>
      <c r="R74" s="382"/>
      <c r="S74" s="315"/>
      <c r="T74" s="16"/>
      <c r="U74" s="315"/>
      <c r="V74" s="315"/>
      <c r="W74" s="382"/>
      <c r="X74" s="316"/>
      <c r="Y74" s="16"/>
      <c r="Z74" s="316"/>
      <c r="AA74" s="316"/>
      <c r="AB74" s="383"/>
      <c r="AC74" s="316"/>
      <c r="AD74" s="16"/>
      <c r="AE74" s="16"/>
      <c r="AF74" s="16"/>
      <c r="AG74" s="16"/>
      <c r="AH74" s="16"/>
      <c r="AI74" s="16"/>
      <c r="AJ74" s="16"/>
      <c r="AK74" s="16"/>
    </row>
    <row r="75" ht="13.5" customHeight="1" spans="1:37" x14ac:dyDescent="0.25">
      <c r="A75" s="264"/>
      <c r="B75" s="16"/>
      <c r="C75" s="139" t="s">
        <v>300</v>
      </c>
      <c r="D75" s="16"/>
      <c r="E75" s="16"/>
      <c r="F75" s="384"/>
      <c r="G75" s="384"/>
      <c r="H75" s="384"/>
      <c r="I75" s="384"/>
      <c r="J75" s="162"/>
      <c r="K75" s="384"/>
      <c r="L75" s="384"/>
      <c r="M75" s="384"/>
      <c r="N75" s="384"/>
      <c r="O75" s="162"/>
      <c r="P75" s="384"/>
      <c r="Q75" s="384"/>
      <c r="R75" s="384"/>
      <c r="S75" s="384"/>
      <c r="T75" s="162"/>
      <c r="U75" s="384"/>
      <c r="V75" s="384"/>
      <c r="W75" s="384"/>
      <c r="X75" s="359">
        <f ca="1">X45</f>
        <v>-1906.5764130000002</v>
      </c>
      <c r="Y75" s="162">
        <f ca="1">SUM(U75:X75)</f>
        <v>-1906.5764130000002</v>
      </c>
      <c r="Z75" s="359">
        <f ca="1">Z45</f>
        <v>-2074.2107898600016</v>
      </c>
      <c r="AA75" s="359">
        <f ca="1">AA45</f>
        <v>-2211.7001926990893</v>
      </c>
      <c r="AB75" s="359">
        <f ca="1">AB45</f>
        <v>-2420.0425238351336</v>
      </c>
      <c r="AC75" s="359">
        <f ca="1">AC45</f>
        <v>-2066.4643550758237</v>
      </c>
      <c r="AD75" s="162">
        <f ca="1">SUM(Z75:AC75)</f>
        <v>-8772.417861470049</v>
      </c>
      <c r="AE75" s="162">
        <f ca="1">AE45</f>
        <v>-8380.44122385953</v>
      </c>
      <c r="AF75" s="162">
        <f ca="1">AF45</f>
        <v>-8557.001998986918</v>
      </c>
      <c r="AG75" s="162">
        <f ca="1">AG45</f>
        <v>-8669.478780067977</v>
      </c>
      <c r="AH75" s="16"/>
      <c r="AI75" s="16"/>
      <c r="AJ75" s="16"/>
      <c r="AK75" s="16"/>
    </row>
    <row r="76" ht="13.5" customHeight="1" spans="1:37" x14ac:dyDescent="0.25">
      <c r="A76" s="264"/>
      <c r="B76" s="16"/>
      <c r="C76" s="139" t="s">
        <v>273</v>
      </c>
      <c r="D76" s="16"/>
      <c r="E76" s="16"/>
      <c r="F76" s="384"/>
      <c r="G76" s="384"/>
      <c r="H76" s="384"/>
      <c r="I76" s="384"/>
      <c r="J76" s="162"/>
      <c r="K76" s="384"/>
      <c r="L76" s="384"/>
      <c r="M76" s="384"/>
      <c r="N76" s="384"/>
      <c r="O76" s="162"/>
      <c r="P76" s="384"/>
      <c r="Q76" s="384"/>
      <c r="R76" s="384"/>
      <c r="S76" s="384"/>
      <c r="T76" s="162"/>
      <c r="U76" s="384"/>
      <c r="V76" s="384"/>
      <c r="W76" s="384"/>
      <c r="X76" s="359">
        <f ca="1">-(X194+X208)</f>
        <v>331.18750000000006</v>
      </c>
      <c r="Y76" s="162">
        <f ca="1">SUM(U76:X76)</f>
        <v>331.18750000000006</v>
      </c>
      <c r="Z76" s="359">
        <f t="shared" ref="Z76:AC76" si="65" ca="1">-(Z194+Z208)</f>
        <v>331.86891850000006</v>
      </c>
      <c r="AA76" s="359">
        <f ca="1">-(AA194+AA208)</f>
        <v>336.85146518625004</v>
      </c>
      <c r="AB76" s="359">
        <f ca="1">-(AB194+AB208)</f>
        <v>342.23237867969067</v>
      </c>
      <c r="AC76" s="359">
        <f ca="1">-(AC194+AC208)</f>
        <v>343.91086566405204</v>
      </c>
      <c r="AD76" s="162">
        <f ca="1">SUM(Z76:AC76)</f>
        <v>1354.863628029993</v>
      </c>
      <c r="AE76" s="162">
        <f t="shared" ref="AE76:AG76" si="66" ca="1">-(AE194+AE208)</f>
        <v>1420.1551602334257</v>
      </c>
      <c r="AF76" s="162">
        <f ca="1">-(AF194+AF208)</f>
        <v>1472.475831890681</v>
      </c>
      <c r="AG76" s="162">
        <f ca="1">-(AG194+AG208)</f>
        <v>1524.1208520524956</v>
      </c>
      <c r="AH76" s="16"/>
      <c r="AI76" s="16"/>
      <c r="AJ76" s="16"/>
      <c r="AK76" s="16"/>
    </row>
    <row r="77" ht="13.5" customHeight="1" spans="1:37" x14ac:dyDescent="0.25">
      <c r="A77" s="264"/>
      <c r="B77" s="16"/>
      <c r="C77" s="139" t="s">
        <v>301</v>
      </c>
      <c r="D77" s="16"/>
      <c r="E77" s="16"/>
      <c r="F77" s="358"/>
      <c r="G77" s="358"/>
      <c r="H77" s="358"/>
      <c r="I77" s="358"/>
      <c r="J77" s="162"/>
      <c r="K77" s="358"/>
      <c r="L77" s="358"/>
      <c r="M77" s="358"/>
      <c r="N77" s="358"/>
      <c r="O77" s="162"/>
      <c r="P77" s="358"/>
      <c r="Q77" s="358"/>
      <c r="R77" s="358"/>
      <c r="S77" s="358"/>
      <c r="T77" s="162"/>
      <c r="U77" s="358"/>
      <c r="V77" s="358"/>
      <c r="W77" s="358"/>
      <c r="X77" s="359">
        <f ca="1">X246</f>
        <v>51.3</v>
      </c>
      <c r="Y77" s="162">
        <f ca="1">SUM(U77:X77)</f>
        <v>51.3</v>
      </c>
      <c r="Z77" s="359">
        <f t="shared" ref="Z77:AC77" si="67" ca="1">Z246</f>
        <v>60.534</v>
      </c>
      <c r="AA77" s="359">
        <f ca="1">AA246</f>
        <v>69.00876</v>
      </c>
      <c r="AB77" s="359">
        <f ca="1">AB246</f>
        <v>60.7277088</v>
      </c>
      <c r="AC77" s="359">
        <f ca="1">AC246</f>
        <v>57.69132336</v>
      </c>
      <c r="AD77" s="162">
        <f ca="1">SUM(Z77:AC77)</f>
        <v>247.96179216000002</v>
      </c>
      <c r="AE77" s="162">
        <f t="shared" ref="AE77:AG77" si="68" ca="1">AE246</f>
        <v>252.92102800319995</v>
      </c>
      <c r="AF77" s="162">
        <f ca="1">AF246</f>
        <v>257.979448563264</v>
      </c>
      <c r="AG77" s="162">
        <f ca="1">AG246</f>
        <v>263.1390375345292</v>
      </c>
      <c r="AH77" s="16"/>
      <c r="AI77" s="16"/>
      <c r="AJ77" s="16"/>
      <c r="AK77" s="16"/>
    </row>
    <row r="78" ht="13.5" customHeight="1" spans="1:37" x14ac:dyDescent="0.25">
      <c r="A78" s="264"/>
      <c r="B78" s="16"/>
      <c r="C78" s="139" t="s">
        <v>302</v>
      </c>
      <c r="D78" s="16"/>
      <c r="E78" s="16"/>
      <c r="F78" s="358"/>
      <c r="G78" s="358"/>
      <c r="H78" s="358"/>
      <c r="I78" s="358"/>
      <c r="J78" s="162"/>
      <c r="K78" s="358"/>
      <c r="L78" s="358"/>
      <c r="M78" s="358"/>
      <c r="N78" s="358"/>
      <c r="O78" s="162"/>
      <c r="P78" s="358"/>
      <c r="Q78" s="358"/>
      <c r="R78" s="358"/>
      <c r="S78" s="358"/>
      <c r="T78" s="162"/>
      <c r="U78" s="358"/>
      <c r="V78" s="358"/>
      <c r="W78" s="358"/>
      <c r="X78" s="359">
        <f ca="1">X174</f>
        <v>1905.858056521738</v>
      </c>
      <c r="Y78" s="162">
        <f ca="1">SUM(U78:X78)</f>
        <v>1905.858056521738</v>
      </c>
      <c r="Z78" s="359">
        <f t="shared" ref="Z78:AC78" si="69" ca="1">Z174</f>
        <v>-3218.803117167892</v>
      </c>
      <c r="AA78" s="359">
        <f ca="1">AA174</f>
        <v>1362.6979720093877</v>
      </c>
      <c r="AB78" s="359">
        <f ca="1">AB174</f>
        <v>1373.9746146900507</v>
      </c>
      <c r="AC78" s="359">
        <f ca="1">AC174</f>
        <v>-901.3647696096486</v>
      </c>
      <c r="AD78" s="162">
        <f ca="1">SUM(Z78:AC78)</f>
        <v>-1383.4953000781024</v>
      </c>
      <c r="AE78" s="162">
        <f t="shared" ref="AE78:AG78" si="70" ca="1">AE174</f>
        <v>935.2397561061916</v>
      </c>
      <c r="AF78" s="162">
        <f ca="1">AF174</f>
        <v>49.709140188824676</v>
      </c>
      <c r="AG78" s="162">
        <f ca="1">AG174</f>
        <v>44.91789652794978</v>
      </c>
      <c r="AH78" s="16"/>
      <c r="AI78" s="16"/>
      <c r="AJ78" s="16"/>
      <c r="AK78" s="16"/>
    </row>
    <row r="79" ht="13.5" customHeight="1" spans="1:37" x14ac:dyDescent="0.25">
      <c r="A79" s="264"/>
      <c r="B79" s="16"/>
      <c r="C79" s="139" t="s">
        <v>303</v>
      </c>
      <c r="D79" s="16"/>
      <c r="E79" s="16"/>
      <c r="F79" s="354"/>
      <c r="G79" s="354"/>
      <c r="H79" s="354"/>
      <c r="I79" s="354"/>
      <c r="J79" s="355"/>
      <c r="K79" s="354"/>
      <c r="L79" s="354"/>
      <c r="M79" s="354"/>
      <c r="N79" s="354"/>
      <c r="O79" s="355"/>
      <c r="P79" s="354"/>
      <c r="Q79" s="354"/>
      <c r="R79" s="354"/>
      <c r="S79" s="354"/>
      <c r="T79" s="355"/>
      <c r="U79" s="354"/>
      <c r="V79" s="354"/>
      <c r="W79" s="354"/>
      <c r="X79" s="356">
        <f ca="1">X228</f>
        <v>-112.52000000000044</v>
      </c>
      <c r="Y79" s="355">
        <f ca="1">SUM(U79:X79)</f>
        <v>-112.52000000000044</v>
      </c>
      <c r="Z79" s="356">
        <f t="shared" ref="Z79:AC79" si="71" ca="1">Z228</f>
        <v>-114.77040000000034</v>
      </c>
      <c r="AA79" s="356">
        <f ca="1">AA228</f>
        <v>-117.06580800000029</v>
      </c>
      <c r="AB79" s="356">
        <f ca="1">AB228</f>
        <v>-119.40712416000042</v>
      </c>
      <c r="AC79" s="356">
        <f ca="1">AC228</f>
        <v>-121.7952666432002</v>
      </c>
      <c r="AD79" s="355">
        <f ca="1">SUM(Z79:AC79)</f>
        <v>-473.03859880320124</v>
      </c>
      <c r="AE79" s="355">
        <f t="shared" ref="AE79:AG79" si="72" ca="1">AE228</f>
        <v>-124.2311719760637</v>
      </c>
      <c r="AF79" s="355">
        <f ca="1">AF228</f>
        <v>-126.71579541558549</v>
      </c>
      <c r="AG79" s="355">
        <f ca="1">AG228</f>
        <v>-129.25011132389682</v>
      </c>
      <c r="AH79" s="16"/>
      <c r="AI79" s="16"/>
      <c r="AJ79" s="16"/>
      <c r="AK79" s="16"/>
    </row>
    <row r="80" ht="13.5" customHeight="1" spans="1:37" x14ac:dyDescent="0.25">
      <c r="A80" s="264"/>
      <c r="B80" s="16"/>
      <c r="C80" s="139" t="s">
        <v>304</v>
      </c>
      <c r="D80" s="16"/>
      <c r="E80" s="16"/>
      <c r="F80" s="353"/>
      <c r="G80" s="353"/>
      <c r="H80" s="353"/>
      <c r="I80" s="353"/>
      <c r="J80" s="282"/>
      <c r="K80" s="353"/>
      <c r="L80" s="353"/>
      <c r="M80" s="353"/>
      <c r="N80" s="353"/>
      <c r="O80" s="282"/>
      <c r="P80" s="353"/>
      <c r="Q80" s="353"/>
      <c r="R80" s="353"/>
      <c r="S80" s="353"/>
      <c r="T80" s="282"/>
      <c r="U80" s="353"/>
      <c r="V80" s="353"/>
      <c r="W80" s="353"/>
      <c r="X80" s="281">
        <f ca="1">SUM(X75:X79)</f>
        <v>269.2491435217373</v>
      </c>
      <c r="Y80" s="282">
        <f ca="1">SUM(U80:X80)</f>
        <v>269.2491435217373</v>
      </c>
      <c r="Z80" s="281">
        <f ca="1">SUM(Z75:Z79)</f>
        <v>-5015.381388527894</v>
      </c>
      <c r="AA80" s="281">
        <f ca="1">SUM(AA75:AA79)</f>
        <v>-560.2078035034517</v>
      </c>
      <c r="AB80" s="281">
        <f ca="1">SUM(AB75:AB79)</f>
        <v>-762.5149458253927</v>
      </c>
      <c r="AC80" s="281">
        <f ca="1">SUM(AC75:AC79)</f>
        <v>-2688.022202304621</v>
      </c>
      <c r="AD80" s="282">
        <f ca="1">SUM(Z80:AC80)</f>
        <v>-9026.12634016136</v>
      </c>
      <c r="AE80" s="282">
        <f ca="1">SUM(AE75:AE79)</f>
        <v>-5896.356451492777</v>
      </c>
      <c r="AF80" s="282">
        <f ca="1">SUM(AF75:AF79)</f>
        <v>-6903.553373759734</v>
      </c>
      <c r="AG80" s="282">
        <f ca="1">SUM(AG75:AG79)</f>
        <v>-6966.551105276899</v>
      </c>
      <c r="AH80" s="16"/>
      <c r="AI80" s="16"/>
      <c r="AJ80" s="16"/>
      <c r="AK80" s="16"/>
    </row>
    <row r="81" ht="13.5" customHeight="1" spans="1:37" x14ac:dyDescent="0.25">
      <c r="A81" s="264"/>
      <c r="B81" s="16"/>
      <c r="C81" s="16"/>
      <c r="D81" s="16"/>
      <c r="E81" s="16"/>
      <c r="F81" s="315"/>
      <c r="G81" s="353"/>
      <c r="H81" s="353"/>
      <c r="I81" s="315"/>
      <c r="J81" s="16"/>
      <c r="K81" s="315"/>
      <c r="L81" s="353"/>
      <c r="M81" s="353"/>
      <c r="N81" s="315"/>
      <c r="O81" s="16"/>
      <c r="P81" s="315"/>
      <c r="Q81" s="353"/>
      <c r="R81" s="353"/>
      <c r="S81" s="315"/>
      <c r="T81" s="16"/>
      <c r="U81" s="315"/>
      <c r="V81" s="353"/>
      <c r="W81" s="353"/>
      <c r="X81" s="281"/>
      <c r="Y81" s="16"/>
      <c r="Z81" s="281"/>
      <c r="AA81" s="281"/>
      <c r="AB81" s="281"/>
      <c r="AC81" s="281"/>
      <c r="AD81" s="16"/>
      <c r="AE81" s="282"/>
      <c r="AF81" s="282"/>
      <c r="AG81" s="282"/>
      <c r="AH81" s="16"/>
      <c r="AI81" s="16"/>
      <c r="AJ81" s="16"/>
      <c r="AK81" s="16"/>
    </row>
    <row r="82" ht="13.5" customHeight="1" spans="1:37" x14ac:dyDescent="0.25">
      <c r="A82" s="264"/>
      <c r="B82" s="16"/>
      <c r="C82" s="139" t="s">
        <v>121</v>
      </c>
      <c r="D82" s="16"/>
      <c r="E82" s="16"/>
      <c r="F82" s="358"/>
      <c r="G82" s="358"/>
      <c r="H82" s="358"/>
      <c r="I82" s="358"/>
      <c r="J82" s="162"/>
      <c r="K82" s="358"/>
      <c r="L82" s="358"/>
      <c r="M82" s="358"/>
      <c r="N82" s="358"/>
      <c r="O82" s="162"/>
      <c r="P82" s="358"/>
      <c r="Q82" s="358"/>
      <c r="R82" s="358"/>
      <c r="S82" s="358"/>
      <c r="T82" s="162"/>
      <c r="U82" s="358"/>
      <c r="V82" s="358"/>
      <c r="W82" s="358"/>
      <c r="X82" s="359">
        <f ca="1">-X193</f>
        <v>-370.1257</v>
      </c>
      <c r="Y82" s="162">
        <f t="shared" ref="Y82:Y85" si="73" ca="1">SUM(U82:X82)</f>
        <v>-370.1257</v>
      </c>
      <c r="Z82" s="359">
        <f t="shared" ref="Z82:AC82" si="74" ca="1">-Z193</f>
        <v>-616.585872</v>
      </c>
      <c r="AA82" s="359">
        <f ca="1">-AA193</f>
        <v>-644.3322362399999</v>
      </c>
      <c r="AB82" s="359">
        <f ca="1">-AB193</f>
        <v>-438.14592064320004</v>
      </c>
      <c r="AC82" s="359">
        <f ca="1">-AC193</f>
        <v>-416.23862461104</v>
      </c>
      <c r="AD82" s="162">
        <f t="shared" ref="AD82:AD85" si="75" ca="1">SUM(Z82:AC82)</f>
        <v>-2115.30265349424</v>
      </c>
      <c r="AE82" s="162">
        <f t="shared" ref="AE82:AG82" si="76" ca="1">-AE193</f>
        <v>-2146.8311554730876</v>
      </c>
      <c r="AF82" s="162">
        <f ca="1">-AF193</f>
        <v>-2189.7677785825495</v>
      </c>
      <c r="AG82" s="162">
        <f ca="1">-AG193</f>
        <v>-2345.2412908619103</v>
      </c>
      <c r="AH82" s="16"/>
      <c r="AI82" s="16"/>
      <c r="AJ82" s="16"/>
      <c r="AK82" s="16"/>
    </row>
    <row r="83" ht="13.5" customHeight="1" spans="1:37" x14ac:dyDescent="0.25">
      <c r="A83" s="264"/>
      <c r="B83" s="16"/>
      <c r="C83" s="139" t="s">
        <v>305</v>
      </c>
      <c r="D83" s="16"/>
      <c r="E83" s="16"/>
      <c r="F83" s="358"/>
      <c r="G83" s="358"/>
      <c r="H83" s="358"/>
      <c r="I83" s="358"/>
      <c r="J83" s="162"/>
      <c r="K83" s="358"/>
      <c r="L83" s="358"/>
      <c r="M83" s="358"/>
      <c r="N83" s="358"/>
      <c r="O83" s="162"/>
      <c r="P83" s="358"/>
      <c r="Q83" s="358"/>
      <c r="R83" s="358"/>
      <c r="S83" s="358"/>
      <c r="T83" s="162"/>
      <c r="U83" s="358"/>
      <c r="V83" s="358"/>
      <c r="W83" s="358"/>
      <c r="X83" s="359">
        <f ca="1">-X207</f>
        <v>1e-12</v>
      </c>
      <c r="Y83" s="162">
        <f ca="1">SUM(U83:X83)</f>
        <v>1e-12</v>
      </c>
      <c r="Z83" s="359">
        <f t="shared" ref="Z83:AC83" si="77" ca="1">-Z207</f>
        <v>1e-12</v>
      </c>
      <c r="AA83" s="359">
        <f ca="1">-AA207</f>
        <v>1e-12</v>
      </c>
      <c r="AB83" s="359">
        <f ca="1">-AB207</f>
        <v>1e-12</v>
      </c>
      <c r="AC83" s="359">
        <f ca="1">-AC207</f>
        <v>1e-12</v>
      </c>
      <c r="AD83" s="162">
        <f ca="1">SUM(Z83:AC83)</f>
        <v>1e-12</v>
      </c>
      <c r="AE83" s="162">
        <f t="shared" ref="AE83:AG83" si="78" ca="1">-AE207</f>
        <v>1e-12</v>
      </c>
      <c r="AF83" s="162">
        <f ca="1">-AF207</f>
        <v>1e-12</v>
      </c>
      <c r="AG83" s="162">
        <f ca="1">-AG207</f>
        <v>1e-12</v>
      </c>
      <c r="AH83" s="16"/>
      <c r="AI83" s="16"/>
      <c r="AJ83" s="16"/>
      <c r="AK83" s="16"/>
    </row>
    <row r="84" ht="13.5" customHeight="1" spans="1:37" x14ac:dyDescent="0.25">
      <c r="A84" s="264"/>
      <c r="B84" s="16"/>
      <c r="C84" s="139" t="s">
        <v>306</v>
      </c>
      <c r="D84" s="16"/>
      <c r="E84" s="16"/>
      <c r="F84" s="354"/>
      <c r="G84" s="354"/>
      <c r="H84" s="354"/>
      <c r="I84" s="354"/>
      <c r="J84" s="355"/>
      <c r="K84" s="354"/>
      <c r="L84" s="354"/>
      <c r="M84" s="354"/>
      <c r="N84" s="354"/>
      <c r="O84" s="355"/>
      <c r="P84" s="354"/>
      <c r="Q84" s="354"/>
      <c r="R84" s="354"/>
      <c r="S84" s="354"/>
      <c r="T84" s="355"/>
      <c r="U84" s="354"/>
      <c r="V84" s="354"/>
      <c r="W84" s="354"/>
      <c r="X84" s="385">
        <f ca="1">Drivers!X97</f>
        <v>1e-12</v>
      </c>
      <c r="Y84" s="355">
        <f ca="1">SUM(U84:X84)</f>
        <v>1e-12</v>
      </c>
      <c r="Z84" s="385">
        <f ca="1">Drivers!Z97</f>
        <v>1e-12</v>
      </c>
      <c r="AA84" s="385">
        <f ca="1">Drivers!AA97</f>
        <v>1e-12</v>
      </c>
      <c r="AB84" s="385">
        <f ca="1">Drivers!AB97</f>
        <v>1e-12</v>
      </c>
      <c r="AC84" s="385">
        <f ca="1">Drivers!AC97</f>
        <v>1e-12</v>
      </c>
      <c r="AD84" s="355">
        <f ca="1">SUM(Z84:AC84)</f>
        <v>1e-12</v>
      </c>
      <c r="AE84" s="355">
        <f ca="1">Drivers!AE97</f>
        <v>1e-12</v>
      </c>
      <c r="AF84" s="355">
        <f ca="1">Drivers!AF97</f>
        <v>1e-12</v>
      </c>
      <c r="AG84" s="355">
        <f ca="1">Drivers!AG97</f>
        <v>1e-12</v>
      </c>
      <c r="AH84" s="16"/>
      <c r="AI84" s="16"/>
      <c r="AJ84" s="16"/>
      <c r="AK84" s="16"/>
    </row>
    <row r="85" ht="13.5" customHeight="1" spans="1:37" x14ac:dyDescent="0.25">
      <c r="A85" s="264"/>
      <c r="B85" s="16"/>
      <c r="C85" s="139" t="s">
        <v>307</v>
      </c>
      <c r="D85" s="16"/>
      <c r="E85" s="16"/>
      <c r="F85" s="353"/>
      <c r="G85" s="353"/>
      <c r="H85" s="353"/>
      <c r="I85" s="353"/>
      <c r="J85" s="282"/>
      <c r="K85" s="353"/>
      <c r="L85" s="353"/>
      <c r="M85" s="353"/>
      <c r="N85" s="353"/>
      <c r="O85" s="282"/>
      <c r="P85" s="353"/>
      <c r="Q85" s="353"/>
      <c r="R85" s="353"/>
      <c r="S85" s="353"/>
      <c r="T85" s="282"/>
      <c r="U85" s="353"/>
      <c r="V85" s="353"/>
      <c r="W85" s="353"/>
      <c r="X85" s="281">
        <f ca="1">SUM(X82:X84)</f>
        <v>-370.1257</v>
      </c>
      <c r="Y85" s="282">
        <f ca="1">SUM(U85:X85)</f>
        <v>-370.1257</v>
      </c>
      <c r="Z85" s="281">
        <f t="shared" ref="Z85:AC85" si="79" ca="1">SUM(Z82:Z84)</f>
        <v>-616.585872</v>
      </c>
      <c r="AA85" s="281">
        <f ca="1">SUM(AA82:AA84)</f>
        <v>-644.3322362399999</v>
      </c>
      <c r="AB85" s="281">
        <f ca="1">SUM(AB82:AB84)</f>
        <v>-438.14592064320004</v>
      </c>
      <c r="AC85" s="281">
        <f ca="1">SUM(AC82:AC84)</f>
        <v>-416.23862461104</v>
      </c>
      <c r="AD85" s="282">
        <f ca="1">SUM(Z85:AC85)</f>
        <v>-2115.30265349424</v>
      </c>
      <c r="AE85" s="282">
        <f t="shared" ref="AE85:AG85" si="80" ca="1">SUM(AE82:AE84)</f>
        <v>-2146.8311554730876</v>
      </c>
      <c r="AF85" s="282">
        <f ca="1">SUM(AF82:AF84)</f>
        <v>-2189.7677785825495</v>
      </c>
      <c r="AG85" s="282">
        <f ca="1">SUM(AG82:AG84)</f>
        <v>-2345.2412908619103</v>
      </c>
      <c r="AH85" s="16"/>
      <c r="AI85" s="16"/>
      <c r="AJ85" s="16"/>
      <c r="AK85" s="16"/>
    </row>
    <row r="86" ht="13.5" customHeight="1" spans="1:37" x14ac:dyDescent="0.25">
      <c r="A86" s="264"/>
      <c r="B86" s="16"/>
      <c r="C86" s="16"/>
      <c r="D86" s="16"/>
      <c r="E86" s="16"/>
      <c r="F86" s="315"/>
      <c r="G86" s="353"/>
      <c r="H86" s="315"/>
      <c r="I86" s="315"/>
      <c r="J86" s="16"/>
      <c r="K86" s="315"/>
      <c r="L86" s="353"/>
      <c r="M86" s="315"/>
      <c r="N86" s="315"/>
      <c r="O86" s="16"/>
      <c r="P86" s="315"/>
      <c r="Q86" s="353"/>
      <c r="R86" s="353"/>
      <c r="S86" s="315"/>
      <c r="T86" s="16"/>
      <c r="U86" s="315"/>
      <c r="V86" s="353"/>
      <c r="W86" s="353"/>
      <c r="X86" s="316"/>
      <c r="Y86" s="16"/>
      <c r="Z86" s="316"/>
      <c r="AA86" s="316"/>
      <c r="AB86" s="316"/>
      <c r="AC86" s="316"/>
      <c r="AD86" s="16"/>
      <c r="AE86" s="16"/>
      <c r="AF86" s="16"/>
      <c r="AG86" s="16"/>
      <c r="AH86" s="16"/>
      <c r="AI86" s="16"/>
      <c r="AJ86" s="16"/>
      <c r="AK86" s="16"/>
    </row>
    <row r="87" ht="13.5" customHeight="1" spans="1:37" x14ac:dyDescent="0.25">
      <c r="A87" s="264"/>
      <c r="B87" s="386"/>
      <c r="C87" s="387" t="s">
        <v>308</v>
      </c>
      <c r="D87" s="100"/>
      <c r="E87" s="100"/>
      <c r="F87" s="388"/>
      <c r="G87" s="388"/>
      <c r="H87" s="388"/>
      <c r="I87" s="388"/>
      <c r="J87" s="389"/>
      <c r="K87" s="388"/>
      <c r="L87" s="388"/>
      <c r="M87" s="388"/>
      <c r="N87" s="388"/>
      <c r="O87" s="389"/>
      <c r="P87" s="388"/>
      <c r="Q87" s="388"/>
      <c r="R87" s="388"/>
      <c r="S87" s="388"/>
      <c r="T87" s="389"/>
      <c r="U87" s="388"/>
      <c r="V87" s="388"/>
      <c r="W87" s="388"/>
      <c r="X87" s="390">
        <f ca="1">SUM(X80,X85)</f>
        <v>-100.87655647826267</v>
      </c>
      <c r="Y87" s="389">
        <f ca="1">SUM(U87:X87)</f>
        <v>-100.87655647826267</v>
      </c>
      <c r="Z87" s="390">
        <f ca="1">SUM(Z80,Z85)</f>
        <v>-5631.967260527894</v>
      </c>
      <c r="AA87" s="390">
        <f ca="1">SUM(AA80,AA85)</f>
        <v>-1204.5400397434516</v>
      </c>
      <c r="AB87" s="390">
        <f ca="1">SUM(AB80,AB85)</f>
        <v>-1200.6608664685928</v>
      </c>
      <c r="AC87" s="390">
        <f ca="1">SUM(AC80,AC85)</f>
        <v>-3104.260826915661</v>
      </c>
      <c r="AD87" s="389">
        <f ca="1">SUM(Z87:AC87)</f>
        <v>-11141.428993655598</v>
      </c>
      <c r="AE87" s="389">
        <f ca="1">SUM(AE80,AE85)</f>
        <v>-8043.187606965865</v>
      </c>
      <c r="AF87" s="389">
        <f ca="1">SUM(AF80,AF85)</f>
        <v>-9093.321152342283</v>
      </c>
      <c r="AG87" s="389">
        <f ca="1">SUM(AG80,AG85)</f>
        <v>-9311.79239613881</v>
      </c>
      <c r="AH87" s="16"/>
      <c r="AI87" s="16"/>
      <c r="AJ87" s="16"/>
      <c r="AK87" s="16"/>
    </row>
    <row r="88" ht="13.5" customHeight="1" spans="1:37" x14ac:dyDescent="0.25">
      <c r="A88" s="264"/>
      <c r="B88" s="16"/>
      <c r="C88" s="16"/>
      <c r="D88" s="16"/>
      <c r="E88" s="16"/>
      <c r="F88" s="315"/>
      <c r="G88" s="315"/>
      <c r="H88" s="315"/>
      <c r="I88" s="315"/>
      <c r="J88" s="16"/>
      <c r="K88" s="315"/>
      <c r="L88" s="315"/>
      <c r="M88" s="315"/>
      <c r="N88" s="315"/>
      <c r="O88" s="16"/>
      <c r="P88" s="315"/>
      <c r="Q88" s="315"/>
      <c r="R88" s="315"/>
      <c r="S88" s="315"/>
      <c r="T88" s="16"/>
      <c r="U88" s="315"/>
      <c r="V88" s="315"/>
      <c r="W88" s="315"/>
      <c r="X88" s="316"/>
      <c r="Y88" s="16"/>
      <c r="Z88" s="316"/>
      <c r="AA88" s="316"/>
      <c r="AB88" s="316"/>
      <c r="AC88" s="316"/>
      <c r="AD88" s="16"/>
      <c r="AE88" s="16"/>
      <c r="AF88" s="16"/>
      <c r="AG88" s="16"/>
      <c r="AH88" s="16"/>
      <c r="AI88" s="16"/>
      <c r="AJ88" s="16"/>
      <c r="AK88" s="16"/>
    </row>
    <row r="89" ht="13.5" customHeight="1" spans="1:37" x14ac:dyDescent="0.25">
      <c r="A89" s="264"/>
      <c r="B89" s="16"/>
      <c r="C89" s="139" t="s">
        <v>309</v>
      </c>
      <c r="D89" s="16"/>
      <c r="E89" s="16"/>
      <c r="F89" s="358"/>
      <c r="G89" s="358"/>
      <c r="H89" s="358"/>
      <c r="I89" s="358"/>
      <c r="J89" s="162"/>
      <c r="K89" s="358"/>
      <c r="L89" s="358"/>
      <c r="M89" s="358"/>
      <c r="N89" s="358"/>
      <c r="O89" s="162"/>
      <c r="P89" s="358"/>
      <c r="Q89" s="358"/>
      <c r="R89" s="358"/>
      <c r="S89" s="358"/>
      <c r="T89" s="162"/>
      <c r="U89" s="358"/>
      <c r="V89" s="358"/>
      <c r="W89" s="358"/>
      <c r="X89" s="359">
        <f ca="1">X303</f>
        <v>1e-12</v>
      </c>
      <c r="Y89" s="162">
        <f ca="1">SUM(U89:X89)</f>
        <v>1e-12</v>
      </c>
      <c r="Z89" s="359">
        <f ca="1">Z303</f>
        <v>1e-12</v>
      </c>
      <c r="AA89" s="359">
        <f ca="1">AA303</f>
        <v>3360.380594008213</v>
      </c>
      <c r="AB89" s="359">
        <f ca="1">AB303</f>
        <v>2849.795626503205</v>
      </c>
      <c r="AC89" s="359">
        <f ca="1">AC303</f>
        <v>2523.868748280502</v>
      </c>
      <c r="AD89" s="162">
        <f ca="1">SUM(Z89:AC89)</f>
        <v>8734.044968791919</v>
      </c>
      <c r="AE89" s="162">
        <f ca="1">AE303</f>
        <v>9725.15390851338</v>
      </c>
      <c r="AF89" s="162">
        <f ca="1">AF303</f>
        <v>14730.602673509293</v>
      </c>
      <c r="AG89" s="162">
        <f ca="1">AG303</f>
        <v>15919.370490216581</v>
      </c>
      <c r="AH89" s="16"/>
      <c r="AI89" s="16"/>
      <c r="AJ89" s="16"/>
      <c r="AK89" s="16"/>
    </row>
    <row r="90" ht="13.5" customHeight="1" spans="1:37" x14ac:dyDescent="0.25">
      <c r="A90" s="264"/>
      <c r="B90" s="16"/>
      <c r="C90" s="139" t="s">
        <v>310</v>
      </c>
      <c r="D90" s="16"/>
      <c r="E90" s="16"/>
      <c r="F90" s="358"/>
      <c r="G90" s="358"/>
      <c r="H90" s="358"/>
      <c r="I90" s="358"/>
      <c r="J90" s="162"/>
      <c r="K90" s="358"/>
      <c r="L90" s="358"/>
      <c r="M90" s="358"/>
      <c r="N90" s="358"/>
      <c r="O90" s="162"/>
      <c r="P90" s="358"/>
      <c r="Q90" s="358"/>
      <c r="R90" s="358"/>
      <c r="S90" s="358"/>
      <c r="T90" s="162"/>
      <c r="U90" s="358"/>
      <c r="V90" s="358"/>
      <c r="W90" s="358"/>
      <c r="X90" s="359">
        <f t="shared" ref="X90:X91" si="81" ca="1">X308</f>
        <v>1e-12</v>
      </c>
      <c r="Y90" s="162">
        <f ca="1">SUM(U90:X90)</f>
        <v>1e-12</v>
      </c>
      <c r="Z90" s="359">
        <f t="shared" ref="Z90:AC90" si="82" ca="1">Z308</f>
        <v>1e-12</v>
      </c>
      <c r="AA90" s="359">
        <f ca="1">AA308</f>
        <v>1e-12</v>
      </c>
      <c r="AB90" s="359">
        <f ca="1">AB308</f>
        <v>1e-12</v>
      </c>
      <c r="AC90" s="359">
        <f ca="1">AC308</f>
        <v>1e-12</v>
      </c>
      <c r="AD90" s="162">
        <f ca="1">SUM(Z90:AC90)</f>
        <v>1e-12</v>
      </c>
      <c r="AE90" s="162">
        <f t="shared" ref="AE90:AG90" si="83" ca="1">AE308</f>
        <v>1e-12</v>
      </c>
      <c r="AF90" s="162">
        <f ca="1">AF308</f>
        <v>1e-12</v>
      </c>
      <c r="AG90" s="162">
        <f ca="1">AG308</f>
        <v>1e-12</v>
      </c>
      <c r="AH90" s="16"/>
      <c r="AI90" s="16"/>
      <c r="AJ90" s="16"/>
      <c r="AK90" s="16"/>
    </row>
    <row r="91" ht="13.5" customHeight="1" spans="1:37" x14ac:dyDescent="0.25">
      <c r="A91" s="264"/>
      <c r="B91" s="16"/>
      <c r="C91" s="139" t="s">
        <v>311</v>
      </c>
      <c r="D91" s="16"/>
      <c r="E91" s="16"/>
      <c r="F91" s="358"/>
      <c r="G91" s="358"/>
      <c r="H91" s="358"/>
      <c r="I91" s="358"/>
      <c r="J91" s="162"/>
      <c r="K91" s="358"/>
      <c r="L91" s="358"/>
      <c r="M91" s="358"/>
      <c r="N91" s="358"/>
      <c r="O91" s="162"/>
      <c r="P91" s="358"/>
      <c r="Q91" s="358"/>
      <c r="R91" s="358"/>
      <c r="S91" s="358"/>
      <c r="T91" s="162"/>
      <c r="U91" s="358"/>
      <c r="V91" s="358"/>
      <c r="W91" s="358"/>
      <c r="X91" s="359">
        <f ca="1">X309</f>
        <v>-500</v>
      </c>
      <c r="Y91" s="162">
        <f ca="1">SUM(U91:X91)</f>
        <v>-500</v>
      </c>
      <c r="Z91" s="359">
        <f t="shared" ref="Z91:AC91" si="84" ca="1">Z309</f>
        <v>-500</v>
      </c>
      <c r="AA91" s="359">
        <f ca="1">AA309</f>
        <v>-500</v>
      </c>
      <c r="AB91" s="359">
        <f ca="1">AB309</f>
        <v>-500</v>
      </c>
      <c r="AC91" s="359">
        <f ca="1">AC309</f>
        <v>-500</v>
      </c>
      <c r="AD91" s="162">
        <f ca="1">SUM(Z91:AC91)</f>
        <v>-2000</v>
      </c>
      <c r="AE91" s="162">
        <f t="shared" ref="AE91:AG91" si="85" ca="1">AE309</f>
        <v>-1400</v>
      </c>
      <c r="AF91" s="162">
        <f ca="1">AF309</f>
        <v>-1300</v>
      </c>
      <c r="AG91" s="162">
        <f ca="1">AG309</f>
        <v>-1200</v>
      </c>
      <c r="AH91" s="16"/>
      <c r="AI91" s="16"/>
      <c r="AJ91" s="16"/>
      <c r="AK91" s="16"/>
    </row>
    <row r="92" ht="13.5" customHeight="1" spans="1:37" x14ac:dyDescent="0.25">
      <c r="A92" s="264"/>
      <c r="B92" s="16"/>
      <c r="C92" s="139" t="s">
        <v>312</v>
      </c>
      <c r="D92" s="16"/>
      <c r="E92" s="16"/>
      <c r="F92" s="358"/>
      <c r="G92" s="358"/>
      <c r="H92" s="358"/>
      <c r="I92" s="358"/>
      <c r="J92" s="162"/>
      <c r="K92" s="358"/>
      <c r="L92" s="358"/>
      <c r="M92" s="358"/>
      <c r="N92" s="358"/>
      <c r="O92" s="162"/>
      <c r="P92" s="358"/>
      <c r="Q92" s="358"/>
      <c r="R92" s="358"/>
      <c r="S92" s="358"/>
      <c r="T92" s="162"/>
      <c r="U92" s="358"/>
      <c r="V92" s="358"/>
      <c r="W92" s="358"/>
      <c r="X92" s="359">
        <f ca="1">X245</f>
        <v>1e-12</v>
      </c>
      <c r="Y92" s="162">
        <f ca="1">SUM(U92:X92)</f>
        <v>1e-12</v>
      </c>
      <c r="Z92" s="359">
        <f t="shared" ref="Z92:AC92" si="86" ca="1">Z245</f>
        <v>1e-12</v>
      </c>
      <c r="AA92" s="359">
        <f ca="1">AA245</f>
        <v>1e-12</v>
      </c>
      <c r="AB92" s="359">
        <f ca="1">AB245</f>
        <v>1e-12</v>
      </c>
      <c r="AC92" s="359">
        <f ca="1">AC245</f>
        <v>1e-12</v>
      </c>
      <c r="AD92" s="162">
        <f ca="1">SUM(Z92:AC92)</f>
        <v>1e-12</v>
      </c>
      <c r="AE92" s="162">
        <f t="shared" ref="AE92:AG92" si="87" ca="1">AE245</f>
        <v>1e-12</v>
      </c>
      <c r="AF92" s="162">
        <f ca="1">AF245</f>
        <v>1e-12</v>
      </c>
      <c r="AG92" s="162">
        <f ca="1">AG245</f>
        <v>1e-12</v>
      </c>
      <c r="AH92" s="16"/>
      <c r="AI92" s="16"/>
      <c r="AJ92" s="16"/>
      <c r="AK92" s="16"/>
    </row>
    <row r="93" ht="13.5" customHeight="1" spans="1:37" x14ac:dyDescent="0.25">
      <c r="A93" s="264"/>
      <c r="B93" s="16"/>
      <c r="C93" s="139" t="s">
        <v>313</v>
      </c>
      <c r="D93" s="16"/>
      <c r="E93" s="16"/>
      <c r="F93" s="358"/>
      <c r="G93" s="358"/>
      <c r="H93" s="358"/>
      <c r="I93" s="358"/>
      <c r="J93" s="162"/>
      <c r="K93" s="358"/>
      <c r="L93" s="358"/>
      <c r="M93" s="358"/>
      <c r="N93" s="358"/>
      <c r="O93" s="162"/>
      <c r="P93" s="358"/>
      <c r="Q93" s="358"/>
      <c r="R93" s="358"/>
      <c r="S93" s="358"/>
      <c r="T93" s="162"/>
      <c r="U93" s="358"/>
      <c r="V93" s="358"/>
      <c r="W93" s="358"/>
      <c r="X93" s="359">
        <f ca="1">-X241</f>
        <v>-500</v>
      </c>
      <c r="Y93" s="162">
        <f ca="1">SUM(U93:X93)</f>
        <v>-500</v>
      </c>
      <c r="Z93" s="359">
        <f t="shared" ref="Z93:AC93" si="88" ca="1">-Z241</f>
        <v>-500</v>
      </c>
      <c r="AA93" s="359">
        <f ca="1">-AA241</f>
        <v>-500</v>
      </c>
      <c r="AB93" s="359">
        <f ca="1">-AB241</f>
        <v>-500</v>
      </c>
      <c r="AC93" s="359">
        <f ca="1">-AC241</f>
        <v>-500</v>
      </c>
      <c r="AD93" s="162">
        <f ca="1">SUM(Z93:AC93)</f>
        <v>-2000</v>
      </c>
      <c r="AE93" s="162">
        <f t="shared" ref="AE93:AG93" si="89" ca="1">-AE241</f>
        <v>-3000</v>
      </c>
      <c r="AF93" s="162">
        <f ca="1">-AF241</f>
        <v>-3000</v>
      </c>
      <c r="AG93" s="162">
        <f ca="1">-AG241</f>
        <v>-3000</v>
      </c>
      <c r="AH93" s="16"/>
      <c r="AI93" s="16"/>
      <c r="AJ93" s="16"/>
      <c r="AK93" s="16"/>
    </row>
    <row r="94" ht="13.5" customHeight="1" spans="1:37" x14ac:dyDescent="0.25">
      <c r="A94" s="264"/>
      <c r="B94" s="16"/>
      <c r="C94" s="139" t="s">
        <v>314</v>
      </c>
      <c r="D94" s="16"/>
      <c r="E94" s="16"/>
      <c r="F94" s="358"/>
      <c r="G94" s="358"/>
      <c r="H94" s="358"/>
      <c r="I94" s="358"/>
      <c r="J94" s="162"/>
      <c r="K94" s="358"/>
      <c r="L94" s="358"/>
      <c r="M94" s="358"/>
      <c r="N94" s="358"/>
      <c r="O94" s="162"/>
      <c r="P94" s="358"/>
      <c r="Q94" s="358"/>
      <c r="R94" s="358"/>
      <c r="S94" s="358"/>
      <c r="T94" s="162"/>
      <c r="U94" s="358"/>
      <c r="V94" s="358"/>
      <c r="W94" s="358"/>
      <c r="X94" s="359">
        <f ca="1">-X267</f>
        <v>-519.8</v>
      </c>
      <c r="Y94" s="162">
        <f ca="1">SUM(U94:X94)</f>
        <v>-519.8</v>
      </c>
      <c r="Z94" s="359">
        <f t="shared" ref="Z94:AC94" si="90" ca="1">-Z267</f>
        <v>-505.99999999999994</v>
      </c>
      <c r="AA94" s="359">
        <f ca="1">-AA267</f>
        <v>-494.49999999999994</v>
      </c>
      <c r="AB94" s="359">
        <f ca="1">-AB267</f>
        <v>-647.4499999999999</v>
      </c>
      <c r="AC94" s="359">
        <f ca="1">-AC267</f>
        <v>-597.7699999999999</v>
      </c>
      <c r="AD94" s="162">
        <f ca="1">SUM(Z94:AC94)</f>
        <v>-2245.72</v>
      </c>
      <c r="AE94" s="162">
        <f t="shared" ref="AE94:AG94" si="91" ca="1">-AE267</f>
        <v>-2470.292</v>
      </c>
      <c r="AF94" s="162">
        <f ca="1">-AF267</f>
        <v>-2717.3212000000003</v>
      </c>
      <c r="AG94" s="162">
        <f ca="1">-AG267</f>
        <v>-2989.0533200000004</v>
      </c>
      <c r="AH94" s="16"/>
      <c r="AI94" s="16"/>
      <c r="AJ94" s="16"/>
      <c r="AK94" s="16"/>
    </row>
    <row r="95" ht="13.5" customHeight="1" spans="1:37" x14ac:dyDescent="0.25">
      <c r="A95" s="264"/>
      <c r="B95" s="16"/>
      <c r="C95" s="139" t="s">
        <v>315</v>
      </c>
      <c r="D95" s="16"/>
      <c r="E95" s="16"/>
      <c r="F95" s="354"/>
      <c r="G95" s="354"/>
      <c r="H95" s="354"/>
      <c r="I95" s="354"/>
      <c r="J95" s="355"/>
      <c r="K95" s="354"/>
      <c r="L95" s="354"/>
      <c r="M95" s="354"/>
      <c r="N95" s="354"/>
      <c r="O95" s="355"/>
      <c r="P95" s="354"/>
      <c r="Q95" s="354"/>
      <c r="R95" s="354"/>
      <c r="S95" s="354"/>
      <c r="T95" s="355"/>
      <c r="U95" s="354"/>
      <c r="V95" s="354"/>
      <c r="W95" s="354"/>
      <c r="X95" s="385">
        <f ca="1">Drivers!X106</f>
        <v>1e-12</v>
      </c>
      <c r="Y95" s="355">
        <f ca="1">SUM(U95:X95)</f>
        <v>1e-12</v>
      </c>
      <c r="Z95" s="385">
        <f ca="1">Drivers!Z106</f>
        <v>1e-12</v>
      </c>
      <c r="AA95" s="385">
        <f ca="1">Drivers!AA106</f>
        <v>1e-12</v>
      </c>
      <c r="AB95" s="385">
        <f ca="1">Drivers!AB106</f>
        <v>1e-12</v>
      </c>
      <c r="AC95" s="385">
        <f ca="1">Drivers!AC106</f>
        <v>1e-12</v>
      </c>
      <c r="AD95" s="355">
        <f ca="1">SUM(Z95:AC95)</f>
        <v>1e-12</v>
      </c>
      <c r="AE95" s="391">
        <f ca="1">Drivers!AE106</f>
        <v>1e-12</v>
      </c>
      <c r="AF95" s="391">
        <f ca="1">Drivers!AF106</f>
        <v>1e-12</v>
      </c>
      <c r="AG95" s="391">
        <f ca="1">Drivers!AG106</f>
        <v>1e-12</v>
      </c>
      <c r="AH95" s="16"/>
      <c r="AI95" s="16"/>
      <c r="AJ95" s="16"/>
      <c r="AK95" s="16"/>
    </row>
    <row r="96" ht="13.5" customHeight="1" spans="1:37" x14ac:dyDescent="0.25">
      <c r="A96" s="264"/>
      <c r="B96" s="16"/>
      <c r="C96" s="139" t="s">
        <v>316</v>
      </c>
      <c r="D96" s="16"/>
      <c r="E96" s="16"/>
      <c r="F96" s="353"/>
      <c r="G96" s="353"/>
      <c r="H96" s="353"/>
      <c r="I96" s="353"/>
      <c r="J96" s="282"/>
      <c r="K96" s="353"/>
      <c r="L96" s="353"/>
      <c r="M96" s="353"/>
      <c r="N96" s="353"/>
      <c r="O96" s="282"/>
      <c r="P96" s="353"/>
      <c r="Q96" s="353"/>
      <c r="R96" s="353"/>
      <c r="S96" s="353"/>
      <c r="T96" s="282"/>
      <c r="U96" s="353"/>
      <c r="V96" s="353"/>
      <c r="W96" s="353"/>
      <c r="X96" s="281">
        <f ca="1">SUM(X89:X95)</f>
        <v>-1281.75</v>
      </c>
      <c r="Y96" s="282">
        <f ca="1">SUM(U96:X96)</f>
        <v>-1281.75</v>
      </c>
      <c r="Z96" s="281">
        <f ca="1">SUM(Z89:Z95)</f>
        <v>-1280.6</v>
      </c>
      <c r="AA96" s="281">
        <f ca="1">SUM(AA89:AA95)</f>
        <v>1640.4805940082128</v>
      </c>
      <c r="AB96" s="281">
        <f ca="1">SUM(AB89:AB95)</f>
        <v>1202.345626503205</v>
      </c>
      <c r="AC96" s="281">
        <f ca="1">SUM(AC89:AC95)</f>
        <v>1199.856248280502</v>
      </c>
      <c r="AD96" s="282">
        <f ca="1">SUM(Z96:AC96)</f>
        <v>2762.0824687919203</v>
      </c>
      <c r="AE96" s="282">
        <f ca="1">SUM(AE89:AE95)</f>
        <v>3155.995158513381</v>
      </c>
      <c r="AF96" s="282">
        <f ca="1">SUM(AF89:AF95)</f>
        <v>8044.528048509293</v>
      </c>
      <c r="AG96" s="282">
        <f ca="1">SUM(AG89:AG95)</f>
        <v>9094.68840271658</v>
      </c>
      <c r="AH96" s="16"/>
      <c r="AI96" s="16"/>
      <c r="AJ96" s="16"/>
      <c r="AK96" s="16"/>
    </row>
    <row r="97" ht="13.5" customHeight="1" spans="1:37" x14ac:dyDescent="0.25">
      <c r="A97" s="264"/>
      <c r="B97" s="16"/>
      <c r="C97" s="139"/>
      <c r="D97" s="16"/>
      <c r="E97" s="16"/>
      <c r="F97" s="315"/>
      <c r="G97" s="315"/>
      <c r="H97" s="353"/>
      <c r="I97" s="315"/>
      <c r="J97" s="16"/>
      <c r="K97" s="315"/>
      <c r="L97" s="315"/>
      <c r="M97" s="353"/>
      <c r="N97" s="315"/>
      <c r="O97" s="16"/>
      <c r="P97" s="315"/>
      <c r="Q97" s="315"/>
      <c r="R97" s="353"/>
      <c r="S97" s="315"/>
      <c r="T97" s="16"/>
      <c r="U97" s="315"/>
      <c r="V97" s="315"/>
      <c r="W97" s="353"/>
      <c r="X97" s="281"/>
      <c r="Y97" s="16"/>
      <c r="Z97" s="281"/>
      <c r="AA97" s="281"/>
      <c r="AB97" s="281"/>
      <c r="AC97" s="281"/>
      <c r="AD97" s="16"/>
      <c r="AE97" s="16"/>
      <c r="AF97" s="16"/>
      <c r="AG97" s="16"/>
      <c r="AH97" s="16"/>
      <c r="AI97" s="16"/>
      <c r="AJ97" s="16"/>
      <c r="AK97" s="16"/>
    </row>
    <row r="98" ht="13.5" customHeight="1" spans="1:37" x14ac:dyDescent="0.25">
      <c r="A98" s="264"/>
      <c r="B98" s="16"/>
      <c r="C98" s="139" t="s">
        <v>317</v>
      </c>
      <c r="D98" s="16"/>
      <c r="E98" s="16"/>
      <c r="F98" s="358"/>
      <c r="G98" s="358"/>
      <c r="H98" s="358"/>
      <c r="I98" s="358"/>
      <c r="J98" s="162"/>
      <c r="K98" s="358"/>
      <c r="L98" s="358"/>
      <c r="M98" s="358"/>
      <c r="N98" s="358"/>
      <c r="O98" s="162"/>
      <c r="P98" s="358"/>
      <c r="Q98" s="358"/>
      <c r="R98" s="358"/>
      <c r="S98" s="358"/>
      <c r="T98" s="162"/>
      <c r="U98" s="358"/>
      <c r="V98" s="358"/>
      <c r="W98" s="358"/>
      <c r="X98" s="361">
        <f ca="1">Drivers!X108</f>
        <v>1e-12</v>
      </c>
      <c r="Y98" s="162">
        <f t="shared" ref="Y98:Y100" si="92" ca="1">SUM(U98:X98)</f>
        <v>1e-12</v>
      </c>
      <c r="Z98" s="361">
        <f ca="1">Drivers!Z108</f>
        <v>1e-12</v>
      </c>
      <c r="AA98" s="361">
        <f ca="1">Drivers!AA108</f>
        <v>1e-12</v>
      </c>
      <c r="AB98" s="361">
        <f ca="1">Drivers!AB108</f>
        <v>1e-12</v>
      </c>
      <c r="AC98" s="361">
        <f ca="1">Drivers!AC108</f>
        <v>1e-12</v>
      </c>
      <c r="AD98" s="162">
        <f t="shared" ref="AD98:AD100" si="93" ca="1">SUM(Z98:AC98)</f>
        <v>1e-12</v>
      </c>
      <c r="AE98" s="362">
        <f ca="1">Drivers!AE108</f>
        <v>1e-12</v>
      </c>
      <c r="AF98" s="362">
        <f ca="1">Drivers!AF108</f>
        <v>1e-12</v>
      </c>
      <c r="AG98" s="362">
        <f ca="1">Drivers!AG108</f>
        <v>1e-12</v>
      </c>
      <c r="AH98" s="16"/>
      <c r="AI98" s="16"/>
      <c r="AJ98" s="16"/>
      <c r="AK98" s="16"/>
    </row>
    <row r="99" ht="13.5" customHeight="1" spans="1:37" x14ac:dyDescent="0.25">
      <c r="A99" s="264"/>
      <c r="B99" s="16"/>
      <c r="C99" s="139" t="s">
        <v>318</v>
      </c>
      <c r="D99" s="16"/>
      <c r="E99" s="16"/>
      <c r="F99" s="358"/>
      <c r="G99" s="358"/>
      <c r="H99" s="358"/>
      <c r="I99" s="358"/>
      <c r="J99" s="162"/>
      <c r="K99" s="358"/>
      <c r="L99" s="358"/>
      <c r="M99" s="358"/>
      <c r="N99" s="358"/>
      <c r="O99" s="162"/>
      <c r="P99" s="358"/>
      <c r="Q99" s="358"/>
      <c r="R99" s="358"/>
      <c r="S99" s="358"/>
      <c r="T99" s="162"/>
      <c r="U99" s="358"/>
      <c r="V99" s="358"/>
      <c r="W99" s="358"/>
      <c r="X99" s="365">
        <v>0</v>
      </c>
      <c r="Y99" s="162">
        <f ca="1">SUM(U99:X99)</f>
        <v>1e-12</v>
      </c>
      <c r="Z99" s="365">
        <v>0</v>
      </c>
      <c r="AA99" s="365">
        <v>0</v>
      </c>
      <c r="AB99" s="365">
        <v>0</v>
      </c>
      <c r="AC99" s="365">
        <v>0</v>
      </c>
      <c r="AD99" s="162">
        <f ca="1">SUM(Z99:AC99)</f>
        <v>1e-12</v>
      </c>
      <c r="AE99" s="366">
        <v>0</v>
      </c>
      <c r="AF99" s="366">
        <v>0</v>
      </c>
      <c r="AG99" s="366">
        <v>0</v>
      </c>
      <c r="AH99" s="16"/>
      <c r="AI99" s="16"/>
      <c r="AJ99" s="16"/>
      <c r="AK99" s="16"/>
    </row>
    <row r="100" ht="13.5" customHeight="1" spans="1:37" x14ac:dyDescent="0.25">
      <c r="A100" s="264"/>
      <c r="B100" s="16"/>
      <c r="C100" s="139" t="s">
        <v>319</v>
      </c>
      <c r="D100" s="16"/>
      <c r="E100" s="16"/>
      <c r="F100" s="358"/>
      <c r="G100" s="358"/>
      <c r="H100" s="358"/>
      <c r="I100" s="358"/>
      <c r="J100" s="162"/>
      <c r="K100" s="358"/>
      <c r="L100" s="358"/>
      <c r="M100" s="358"/>
      <c r="N100" s="358"/>
      <c r="O100" s="162"/>
      <c r="P100" s="358"/>
      <c r="Q100" s="358"/>
      <c r="R100" s="358"/>
      <c r="S100" s="358"/>
      <c r="T100" s="162"/>
      <c r="U100" s="358"/>
      <c r="V100" s="358"/>
      <c r="W100" s="358"/>
      <c r="X100" s="365">
        <v>0</v>
      </c>
      <c r="Y100" s="162">
        <f ca="1">SUM(U100:X100)</f>
        <v>1e-12</v>
      </c>
      <c r="Z100" s="365">
        <v>0</v>
      </c>
      <c r="AA100" s="365">
        <v>0</v>
      </c>
      <c r="AB100" s="365">
        <v>0</v>
      </c>
      <c r="AC100" s="365">
        <v>0</v>
      </c>
      <c r="AD100" s="162">
        <f ca="1">SUM(Z100:AC100)</f>
        <v>1e-12</v>
      </c>
      <c r="AE100" s="366">
        <v>0</v>
      </c>
      <c r="AF100" s="366">
        <v>0</v>
      </c>
      <c r="AG100" s="366">
        <v>0</v>
      </c>
      <c r="AH100" s="16"/>
      <c r="AI100" s="16"/>
      <c r="AJ100" s="16"/>
      <c r="AK100" s="16"/>
    </row>
    <row r="101" ht="13.5" customHeight="1" spans="1:37" x14ac:dyDescent="0.25">
      <c r="A101" s="264"/>
      <c r="B101" s="16"/>
      <c r="C101" s="139"/>
      <c r="D101" s="16"/>
      <c r="E101" s="16"/>
      <c r="F101" s="315"/>
      <c r="G101" s="315"/>
      <c r="H101" s="315"/>
      <c r="I101" s="315"/>
      <c r="J101" s="16"/>
      <c r="K101" s="315"/>
      <c r="L101" s="315"/>
      <c r="M101" s="315"/>
      <c r="N101" s="315"/>
      <c r="O101" s="16"/>
      <c r="P101" s="315"/>
      <c r="Q101" s="315"/>
      <c r="R101" s="315"/>
      <c r="S101" s="315"/>
      <c r="T101" s="16"/>
      <c r="U101" s="315"/>
      <c r="V101" s="315"/>
      <c r="W101" s="315"/>
      <c r="X101" s="316"/>
      <c r="Y101" s="16"/>
      <c r="Z101" s="316"/>
      <c r="AA101" s="316"/>
      <c r="AB101" s="316"/>
      <c r="AC101" s="316"/>
      <c r="AD101" s="16"/>
      <c r="AE101" s="16"/>
      <c r="AF101" s="16"/>
      <c r="AG101" s="16"/>
      <c r="AH101" s="16"/>
      <c r="AI101" s="16"/>
      <c r="AJ101" s="16"/>
      <c r="AK101" s="16"/>
    </row>
    <row r="102" ht="13.5" customHeight="1" spans="1:37" x14ac:dyDescent="0.25">
      <c r="A102" s="264"/>
      <c r="B102" s="16"/>
      <c r="C102" s="139" t="s">
        <v>320</v>
      </c>
      <c r="D102" s="16"/>
      <c r="E102" s="16"/>
      <c r="F102" s="392"/>
      <c r="G102" s="393"/>
      <c r="H102" s="393"/>
      <c r="I102" s="393"/>
      <c r="J102" s="282"/>
      <c r="K102" s="393"/>
      <c r="L102" s="393"/>
      <c r="M102" s="393"/>
      <c r="N102" s="393"/>
      <c r="O102" s="282"/>
      <c r="P102" s="393"/>
      <c r="Q102" s="393"/>
      <c r="R102" s="393"/>
      <c r="S102" s="393"/>
      <c r="T102" s="282"/>
      <c r="U102" s="393"/>
      <c r="V102" s="393"/>
      <c r="W102" s="393"/>
      <c r="X102" s="281">
        <f ca="1">W104+X99</f>
        <v>6673</v>
      </c>
      <c r="Y102" s="282">
        <f ca="1">X102</f>
        <v>6673</v>
      </c>
      <c r="Z102" s="281">
        <f ca="1">Y104+Z99</f>
        <v>5290.3734435217375</v>
      </c>
      <c r="AA102" s="281">
        <f ca="1">Z104+AA99</f>
        <v>-1622.1938170061567</v>
      </c>
      <c r="AB102" s="281">
        <f ca="1">AA104+AB99</f>
        <v>-1186.2532627413955</v>
      </c>
      <c r="AC102" s="281">
        <f ca="1">AB104+AC99</f>
        <v>-1184.5685027067832</v>
      </c>
      <c r="AD102" s="282">
        <f ca="1">Z102</f>
        <v>5290.3734435217375</v>
      </c>
      <c r="AE102" s="282">
        <f ca="1">AD104+AE99</f>
        <v>-3088.973081341941</v>
      </c>
      <c r="AF102" s="282">
        <f ca="1">AE104+AF99</f>
        <v>-7976.165529794425</v>
      </c>
      <c r="AG102" s="282">
        <f ca="1">AF104+AG99</f>
        <v>-9024.958633627415</v>
      </c>
      <c r="AH102" s="16"/>
      <c r="AI102" s="16"/>
      <c r="AJ102" s="16"/>
      <c r="AK102" s="16"/>
    </row>
    <row r="103" ht="13.5" customHeight="1" spans="1:37" x14ac:dyDescent="0.25">
      <c r="A103" s="264"/>
      <c r="B103" s="16"/>
      <c r="C103" s="139" t="s">
        <v>321</v>
      </c>
      <c r="D103" s="16"/>
      <c r="E103" s="16"/>
      <c r="F103" s="394"/>
      <c r="G103" s="394"/>
      <c r="H103" s="394"/>
      <c r="I103" s="394"/>
      <c r="J103" s="355"/>
      <c r="K103" s="394"/>
      <c r="L103" s="394"/>
      <c r="M103" s="394"/>
      <c r="N103" s="394"/>
      <c r="O103" s="355"/>
      <c r="P103" s="394"/>
      <c r="Q103" s="394"/>
      <c r="R103" s="394"/>
      <c r="S103" s="394"/>
      <c r="T103" s="355"/>
      <c r="U103" s="394"/>
      <c r="V103" s="394"/>
      <c r="W103" s="394"/>
      <c r="X103" s="356">
        <f ca="1">SUM(X87,X96,X98,X100)</f>
        <v>-1382.6265564782627</v>
      </c>
      <c r="Y103" s="355">
        <f ca="1">SUM(U103:X103)</f>
        <v>-1382.6265564782627</v>
      </c>
      <c r="Z103" s="356">
        <f ca="1">SUM(Z87,Z96,Z98,Z100)</f>
        <v>-6912.567260527894</v>
      </c>
      <c r="AA103" s="356">
        <f ca="1">SUM(AA87,AA96,AA98,AA100)</f>
        <v>435.9405542647612</v>
      </c>
      <c r="AB103" s="356">
        <f ca="1">SUM(AB87,AB96,AB98,AB100)</f>
        <v>1.6847600346122817</v>
      </c>
      <c r="AC103" s="356">
        <f ca="1">SUM(AC87,AC96,AC98,AC100)</f>
        <v>-1904.4045786351587</v>
      </c>
      <c r="AD103" s="355">
        <f ca="1">SUM(Z103:AC103)</f>
        <v>-8379.346524863678</v>
      </c>
      <c r="AE103" s="355">
        <f ca="1">SUM(AE87,AE96,AE98,AE100)</f>
        <v>-4887.192448452484</v>
      </c>
      <c r="AF103" s="355">
        <f ca="1">SUM(AF87,AF96,AF98,AF100)</f>
        <v>-1048.7931038329907</v>
      </c>
      <c r="AG103" s="355">
        <f ca="1">SUM(AG87,AG96,AG98,AG100)</f>
        <v>-217.1039934222299</v>
      </c>
      <c r="AH103" s="16"/>
      <c r="AI103" s="16"/>
      <c r="AJ103" s="16"/>
      <c r="AK103" s="16"/>
    </row>
    <row r="104" ht="13.5" customHeight="1" spans="1:37" x14ac:dyDescent="0.25">
      <c r="A104" s="264"/>
      <c r="B104" s="16"/>
      <c r="C104" s="139" t="s">
        <v>322</v>
      </c>
      <c r="D104" s="16"/>
      <c r="E104" s="16"/>
      <c r="F104" s="393"/>
      <c r="G104" s="393"/>
      <c r="H104" s="393"/>
      <c r="I104" s="393"/>
      <c r="J104" s="282"/>
      <c r="K104" s="393"/>
      <c r="L104" s="393"/>
      <c r="M104" s="393"/>
      <c r="N104" s="393"/>
      <c r="O104" s="282"/>
      <c r="P104" s="393"/>
      <c r="Q104" s="393"/>
      <c r="R104" s="393"/>
      <c r="S104" s="393"/>
      <c r="T104" s="395"/>
      <c r="U104" s="393"/>
      <c r="V104" s="392"/>
      <c r="W104" s="392">
        <v>6673</v>
      </c>
      <c r="X104" s="281">
        <f ca="1">SUM(X102:X103)</f>
        <v>5290.3734435217375</v>
      </c>
      <c r="Y104" s="282">
        <f ca="1">SUM(Y102:Y103)</f>
        <v>5290.3734435217375</v>
      </c>
      <c r="Z104" s="281">
        <f ca="1">SUM(Z102:Z103)</f>
        <v>-1622.1938170061567</v>
      </c>
      <c r="AA104" s="281">
        <f ca="1">SUM(AA102:AA103)</f>
        <v>-1186.2532627413955</v>
      </c>
      <c r="AB104" s="281">
        <f ca="1">SUM(AB102:AB103)</f>
        <v>-1184.5685027067832</v>
      </c>
      <c r="AC104" s="281">
        <f ca="1">SUM(AC102:AC103)</f>
        <v>-3088.973081341942</v>
      </c>
      <c r="AD104" s="282">
        <f ca="1">SUM(AD102:AD103)</f>
        <v>-3088.973081341941</v>
      </c>
      <c r="AE104" s="282">
        <f ca="1">SUM(AE102:AE103)</f>
        <v>-7976.165529794425</v>
      </c>
      <c r="AF104" s="282">
        <f ca="1">SUM(AF102:AF103)</f>
        <v>-9024.958633627415</v>
      </c>
      <c r="AG104" s="282">
        <f ca="1">SUM(AG102:AG103)</f>
        <v>-9242.062627049645</v>
      </c>
      <c r="AH104" s="16"/>
      <c r="AI104" s="16"/>
      <c r="AJ104" s="16"/>
      <c r="AK104" s="16"/>
    </row>
    <row r="105" ht="13.5" customHeight="1" spans="1:37" x14ac:dyDescent="0.25">
      <c r="A105" s="264"/>
      <c r="B105" s="16"/>
      <c r="C105" s="139"/>
      <c r="D105" s="16"/>
      <c r="E105" s="16"/>
      <c r="F105" s="315"/>
      <c r="G105" s="315"/>
      <c r="H105" s="315"/>
      <c r="I105" s="315"/>
      <c r="J105" s="16"/>
      <c r="K105" s="315"/>
      <c r="L105" s="315"/>
      <c r="M105" s="315"/>
      <c r="N105" s="315"/>
      <c r="O105" s="16"/>
      <c r="P105" s="315"/>
      <c r="Q105" s="315"/>
      <c r="R105" s="315"/>
      <c r="S105" s="315"/>
      <c r="T105" s="16"/>
      <c r="U105" s="315"/>
      <c r="V105" s="315"/>
      <c r="W105" s="315"/>
      <c r="X105" s="316"/>
      <c r="Y105" s="16"/>
      <c r="Z105" s="316"/>
      <c r="AA105" s="316"/>
      <c r="AB105" s="316"/>
      <c r="AC105" s="316"/>
      <c r="AD105" s="16"/>
      <c r="AE105" s="16"/>
      <c r="AF105" s="16"/>
      <c r="AG105" s="16"/>
      <c r="AH105" s="16"/>
      <c r="AI105" s="16"/>
      <c r="AJ105" s="16"/>
      <c r="AK105" s="16"/>
    </row>
    <row r="106" ht="13.5" customHeight="1" spans="1:37" x14ac:dyDescent="0.25">
      <c r="A106" s="264" t="s">
        <v>1</v>
      </c>
      <c r="B106" s="16"/>
      <c r="C106" s="43" t="s">
        <v>323</v>
      </c>
      <c r="D106" s="44"/>
      <c r="E106" s="44"/>
      <c r="F106" s="44"/>
      <c r="G106" s="44"/>
      <c r="H106" s="44"/>
      <c r="I106" s="44"/>
      <c r="J106" s="44"/>
      <c r="K106" s="44"/>
      <c r="L106" s="44"/>
      <c r="M106" s="44"/>
      <c r="N106" s="44"/>
      <c r="O106" s="44"/>
      <c r="P106" s="44"/>
      <c r="Q106" s="44"/>
      <c r="R106" s="44"/>
      <c r="S106" s="44"/>
      <c r="T106" s="44"/>
      <c r="U106" s="44"/>
      <c r="V106" s="44"/>
      <c r="W106" s="44"/>
      <c r="X106" s="44"/>
      <c r="Y106" s="44"/>
      <c r="Z106" s="44"/>
      <c r="AA106" s="44"/>
      <c r="AB106" s="44"/>
      <c r="AC106" s="44"/>
      <c r="AD106" s="44"/>
      <c r="AE106" s="44"/>
      <c r="AF106" s="44"/>
      <c r="AG106" s="396"/>
      <c r="AH106" s="264" t="s">
        <v>1</v>
      </c>
      <c r="AI106" s="16"/>
      <c r="AJ106" s="16"/>
      <c r="AK106" s="16"/>
    </row>
    <row r="107" ht="13.5" customHeight="1" spans="1:37" x14ac:dyDescent="0.25">
      <c r="A107" s="264"/>
      <c r="B107" s="16"/>
      <c r="C107" s="16"/>
      <c r="D107" s="16"/>
      <c r="E107" s="16"/>
      <c r="F107" s="315"/>
      <c r="G107" s="315"/>
      <c r="H107" s="315"/>
      <c r="I107" s="315"/>
      <c r="J107" s="16"/>
      <c r="K107" s="315"/>
      <c r="L107" s="315"/>
      <c r="M107" s="315"/>
      <c r="N107" s="315"/>
      <c r="O107" s="16"/>
      <c r="P107" s="315"/>
      <c r="Q107" s="315"/>
      <c r="R107" s="315"/>
      <c r="S107" s="315"/>
      <c r="T107" s="16"/>
      <c r="U107" s="315"/>
      <c r="V107" s="315"/>
      <c r="W107" s="315"/>
      <c r="X107" s="316"/>
      <c r="Y107" s="16"/>
      <c r="Z107" s="316"/>
      <c r="AA107" s="316"/>
      <c r="AB107" s="316"/>
      <c r="AC107" s="316"/>
      <c r="AD107" s="16"/>
      <c r="AE107" s="16"/>
      <c r="AF107" s="16"/>
      <c r="AG107" s="16"/>
      <c r="AH107" s="16"/>
      <c r="AI107" s="16"/>
      <c r="AJ107" s="16"/>
      <c r="AK107" s="16"/>
    </row>
    <row r="108" ht="13.5" customHeight="1" spans="1:37" x14ac:dyDescent="0.25">
      <c r="A108" s="264"/>
      <c r="B108" s="16"/>
      <c r="C108" s="16" t="s">
        <v>300</v>
      </c>
      <c r="D108" s="16"/>
      <c r="E108" s="16"/>
      <c r="F108" s="384">
        <f t="shared" ref="F108:AG108" si="94" ca="1">F45</f>
        <v>1618</v>
      </c>
      <c r="G108" s="384">
        <f ca="1">G45</f>
        <v>656</v>
      </c>
      <c r="H108" s="384">
        <f ca="1">H45</f>
        <v>680</v>
      </c>
      <c r="I108" s="384">
        <f ca="1">I45</f>
        <v>1414</v>
      </c>
      <c r="J108" s="162">
        <f ca="1">J45</f>
        <v>4368</v>
      </c>
      <c r="K108" s="384">
        <f ca="1">K45</f>
        <v>2043</v>
      </c>
      <c r="L108" s="384">
        <f ca="1">L45</f>
        <v>6188</v>
      </c>
      <c r="M108" s="384">
        <f ca="1">M45</f>
        <v>9243</v>
      </c>
      <c r="N108" s="384">
        <f ca="1">N45</f>
        <v>12285</v>
      </c>
      <c r="O108" s="162">
        <f ca="1">O45</f>
        <v>29760</v>
      </c>
      <c r="P108" s="384">
        <f ca="1">P45</f>
        <v>14881</v>
      </c>
      <c r="Q108" s="384">
        <f ca="1">Q45</f>
        <v>16599</v>
      </c>
      <c r="R108" s="384">
        <f ca="1">R45</f>
        <v>19309</v>
      </c>
      <c r="S108" s="384">
        <f ca="1">S45</f>
        <v>22091</v>
      </c>
      <c r="T108" s="162">
        <f ca="1">T45</f>
        <v>72880</v>
      </c>
      <c r="U108" s="384">
        <f ca="1">U45</f>
        <v>18775</v>
      </c>
      <c r="V108" s="384">
        <f ca="1">V45</f>
        <v>26422</v>
      </c>
      <c r="W108" s="384">
        <f ca="1">W45</f>
        <v>1896</v>
      </c>
      <c r="X108" s="359">
        <f ca="1">X45</f>
        <v>-1906.5764130000002</v>
      </c>
      <c r="Y108" s="162">
        <f ca="1">Y45</f>
        <v>45186.423587</v>
      </c>
      <c r="Z108" s="359">
        <f ca="1">Z45</f>
        <v>-2074.2107898600016</v>
      </c>
      <c r="AA108" s="359">
        <f ca="1">AA45</f>
        <v>-2211.7001926990893</v>
      </c>
      <c r="AB108" s="359">
        <f ca="1">AB45</f>
        <v>-2420.0425238351336</v>
      </c>
      <c r="AC108" s="359">
        <f ca="1">AC45</f>
        <v>-2066.4643550758237</v>
      </c>
      <c r="AD108" s="162">
        <f ca="1">AD45</f>
        <v>-8772.417861470049</v>
      </c>
      <c r="AE108" s="162">
        <f ca="1">AE45</f>
        <v>-8380.44122385953</v>
      </c>
      <c r="AF108" s="162">
        <f ca="1">AF45</f>
        <v>-8557.001998986918</v>
      </c>
      <c r="AG108" s="162">
        <f ca="1">AG45</f>
        <v>-8669.478780067977</v>
      </c>
      <c r="AH108" s="16"/>
      <c r="AI108" s="16"/>
      <c r="AJ108" s="16"/>
      <c r="AK108" s="16"/>
    </row>
    <row r="109" ht="13.5" customHeight="1" spans="1:37" x14ac:dyDescent="0.25">
      <c r="A109" s="264"/>
      <c r="B109" s="16"/>
      <c r="C109" s="16" t="s">
        <v>273</v>
      </c>
      <c r="D109" s="16"/>
      <c r="E109" s="16"/>
      <c r="F109" s="384">
        <f t="shared" ref="F109:I109" si="95" ca="1">-F194+-F208</f>
        <v>334</v>
      </c>
      <c r="G109" s="384">
        <f ca="1">-G194+-G208</f>
        <v>378</v>
      </c>
      <c r="H109" s="384">
        <f ca="1">-H194+-H208</f>
        <v>406</v>
      </c>
      <c r="I109" s="384">
        <f ca="1">-I194+-I208</f>
        <v>426</v>
      </c>
      <c r="J109" s="162">
        <f t="shared" ref="J109:J111" si="96" ca="1">SUM(F109:I109)</f>
        <v>1544</v>
      </c>
      <c r="K109" s="384">
        <f t="shared" ref="K109:N109" si="97" ca="1">-K194+-K208</f>
        <v>384</v>
      </c>
      <c r="L109" s="384">
        <f ca="1">-L194+-L208</f>
        <v>365</v>
      </c>
      <c r="M109" s="384">
        <f ca="1">-M194+-M208</f>
        <v>372</v>
      </c>
      <c r="N109" s="384">
        <f ca="1">-N194+-N208</f>
        <v>387</v>
      </c>
      <c r="O109" s="162">
        <f t="shared" ref="O109:O111" si="98" ca="1">SUM(K109:N109)</f>
        <v>1508</v>
      </c>
      <c r="P109" s="384">
        <f t="shared" ref="P109:S109" si="99" ca="1">-P194+-P208</f>
        <v>410</v>
      </c>
      <c r="Q109" s="384">
        <f ca="1">-Q194+-Q208</f>
        <v>433</v>
      </c>
      <c r="R109" s="384">
        <f ca="1">-R194+-R208</f>
        <v>478</v>
      </c>
      <c r="S109" s="384">
        <f ca="1">-S194+-S208</f>
        <v>543</v>
      </c>
      <c r="T109" s="162">
        <f t="shared" ref="T109:T111" si="100" ca="1">SUM(P109:S109)</f>
        <v>1864</v>
      </c>
      <c r="U109" s="384">
        <f t="shared" ref="U109:X109" si="101" ca="1">-U194+-U208</f>
        <v>611</v>
      </c>
      <c r="V109" s="384">
        <f ca="1">-V194+-V208</f>
        <v>669</v>
      </c>
      <c r="W109" s="384">
        <f ca="1">-W194+-W208</f>
        <v>425</v>
      </c>
      <c r="X109" s="359">
        <f ca="1">-X194+-X208</f>
        <v>331.18750000000006</v>
      </c>
      <c r="Y109" s="162">
        <f t="shared" ref="Y109:Y111" si="102" ca="1">SUM(U109:X109)</f>
        <v>1556.1875</v>
      </c>
      <c r="Z109" s="359">
        <f t="shared" ref="Z109:AC109" si="103" ca="1">-Z194+-Z208</f>
        <v>331.86891850000006</v>
      </c>
      <c r="AA109" s="359">
        <f ca="1">-AA194+-AA208</f>
        <v>336.85146518625004</v>
      </c>
      <c r="AB109" s="359">
        <f ca="1">-AB194+-AB208</f>
        <v>342.23237867969067</v>
      </c>
      <c r="AC109" s="359">
        <f ca="1">-AC194+-AC208</f>
        <v>343.91086566405204</v>
      </c>
      <c r="AD109" s="162">
        <f t="shared" ref="AD109:AD111" si="104" ca="1">SUM(Z109:AC109)</f>
        <v>1354.863628029993</v>
      </c>
      <c r="AE109" s="162">
        <f t="shared" ref="AE109:AG109" si="105" ca="1">-AE194+-AE208</f>
        <v>1420.1551602334257</v>
      </c>
      <c r="AF109" s="162">
        <f ca="1">-AF194+-AF208</f>
        <v>1472.475831890681</v>
      </c>
      <c r="AG109" s="162">
        <f ca="1">-AG194+-AG208</f>
        <v>1524.1208520524956</v>
      </c>
      <c r="AH109" s="16"/>
      <c r="AI109" s="16"/>
      <c r="AJ109" s="16"/>
      <c r="AK109" s="16"/>
    </row>
    <row r="110" ht="13.5" customHeight="1" spans="1:37" x14ac:dyDescent="0.25">
      <c r="A110" s="264"/>
      <c r="B110" s="16"/>
      <c r="C110" s="16" t="s">
        <v>324</v>
      </c>
      <c r="D110" s="16"/>
      <c r="E110" s="16"/>
      <c r="F110" s="384">
        <f t="shared" ref="F110:I110" si="106" ca="1">F178</f>
        <v>1e-12</v>
      </c>
      <c r="G110" s="384">
        <f ca="1">G178</f>
        <v>183</v>
      </c>
      <c r="H110" s="384">
        <f ca="1">H178</f>
        <v>1086</v>
      </c>
      <c r="I110" s="384">
        <f ca="1">I178</f>
        <v>-78</v>
      </c>
      <c r="J110" s="162">
        <f ca="1">SUM(F110:I110)</f>
        <v>1191</v>
      </c>
      <c r="K110" s="384">
        <f t="shared" ref="K110:N110" si="107" ca="1">K178</f>
        <v>243</v>
      </c>
      <c r="L110" s="384">
        <f ca="1">L178</f>
        <v>-1906</v>
      </c>
      <c r="M110" s="384">
        <f ca="1">M178</f>
        <v>-1252</v>
      </c>
      <c r="N110" s="384">
        <f ca="1">N178</f>
        <v>-1874</v>
      </c>
      <c r="O110" s="162">
        <f ca="1">SUM(K110:N110)</f>
        <v>-4789</v>
      </c>
      <c r="P110" s="384">
        <f t="shared" ref="P110:S110" si="108" ca="1">P178</f>
        <v>-2932</v>
      </c>
      <c r="Q110" s="384">
        <f ca="1">Q178</f>
        <v>-1613</v>
      </c>
      <c r="R110" s="384">
        <f ca="1">R178</f>
        <v>-2867</v>
      </c>
      <c r="S110" s="384">
        <f ca="1">S178</f>
        <v>-6841</v>
      </c>
      <c r="T110" s="162">
        <f ca="1">SUM(P110:S110)</f>
        <v>-14253</v>
      </c>
      <c r="U110" s="384">
        <f t="shared" ref="U110:X110" si="109" ca="1">U178</f>
        <v>701</v>
      </c>
      <c r="V110" s="384">
        <f ca="1">V178</f>
        <v>-7572</v>
      </c>
      <c r="W110" s="384">
        <f ca="1">W178</f>
        <v>-40</v>
      </c>
      <c r="X110" s="359">
        <f ca="1">X178</f>
        <v>-1855.091793478261</v>
      </c>
      <c r="Y110" s="162">
        <f ca="1">SUM(U110:X110)</f>
        <v>-1897.091793478261</v>
      </c>
      <c r="Z110" s="359">
        <f t="shared" ref="Z110:AC110" si="110" ca="1">Z178</f>
        <v>-1777.3159203678952</v>
      </c>
      <c r="AA110" s="359">
        <f ca="1">AA178</f>
        <v>177.7483814153893</v>
      </c>
      <c r="AB110" s="359">
        <f ca="1">AB178</f>
        <v>916.7916052488508</v>
      </c>
      <c r="AC110" s="359">
        <f ca="1">AC178</f>
        <v>-168.43685088664824</v>
      </c>
      <c r="AD110" s="162">
        <f ca="1">SUM(Z110:AC110)</f>
        <v>-851.2127845903033</v>
      </c>
      <c r="AE110" s="162">
        <f t="shared" ref="AE110:AG110" si="111" ca="1">AE178</f>
        <v>461.05132520968255</v>
      </c>
      <c r="AF110" s="162">
        <f ca="1">AF178</f>
        <v>-142.92601939177257</v>
      </c>
      <c r="AG110" s="162">
        <f ca="1">AG178</f>
        <v>-136.42553228758334</v>
      </c>
      <c r="AH110" s="16"/>
      <c r="AI110" s="16"/>
      <c r="AJ110" s="16"/>
      <c r="AK110" s="16"/>
    </row>
    <row r="111" ht="13.5" customHeight="1" spans="1:37" x14ac:dyDescent="0.25">
      <c r="A111" s="264"/>
      <c r="B111" s="16"/>
      <c r="C111" s="16" t="s">
        <v>121</v>
      </c>
      <c r="D111" s="16"/>
      <c r="E111" s="16"/>
      <c r="F111" s="372">
        <f t="shared" ref="F111:I111" si="112" ca="1">-F193</f>
        <v>-224</v>
      </c>
      <c r="G111" s="372">
        <f ca="1">-G193</f>
        <v>-319</v>
      </c>
      <c r="H111" s="372">
        <f ca="1">-H193</f>
        <v>-303</v>
      </c>
      <c r="I111" s="372">
        <f ca="1">-I193</f>
        <v>-328</v>
      </c>
      <c r="J111" s="355">
        <f ca="1">SUM(F111:I111)</f>
        <v>-1174</v>
      </c>
      <c r="K111" s="372">
        <f t="shared" ref="K111:N111" si="113" ca="1">-K193</f>
        <v>-205</v>
      </c>
      <c r="L111" s="372">
        <f ca="1">-L193</f>
        <v>-321</v>
      </c>
      <c r="M111" s="372">
        <f ca="1">-M193</f>
        <v>-401</v>
      </c>
      <c r="N111" s="372">
        <f ca="1">-N193</f>
        <v>-557</v>
      </c>
      <c r="O111" s="355">
        <f ca="1">SUM(K111:N111)</f>
        <v>-1484</v>
      </c>
      <c r="P111" s="372">
        <f t="shared" ref="P111:S111" si="114" ca="1">-P193</f>
        <v>-328</v>
      </c>
      <c r="Q111" s="372">
        <f ca="1">-Q193</f>
        <v>-382</v>
      </c>
      <c r="R111" s="372">
        <f ca="1">-R193</f>
        <v>-462</v>
      </c>
      <c r="S111" s="372">
        <f ca="1">-S193</f>
        <v>-557</v>
      </c>
      <c r="T111" s="355">
        <f ca="1">SUM(P111:S111)</f>
        <v>-1729</v>
      </c>
      <c r="U111" s="372">
        <f t="shared" ref="U111:X111" si="115" ca="1">-U193</f>
        <v>-461</v>
      </c>
      <c r="V111" s="372">
        <f ca="1">-V193</f>
        <v>-385</v>
      </c>
      <c r="W111" s="372">
        <f ca="1">-W193</f>
        <v>-410</v>
      </c>
      <c r="X111" s="356">
        <f ca="1">-X193</f>
        <v>-370.1257</v>
      </c>
      <c r="Y111" s="355">
        <f ca="1">SUM(U111:X111)</f>
        <v>-1626.1257</v>
      </c>
      <c r="Z111" s="356">
        <f t="shared" ref="Z111:AC111" si="116" ca="1">-Z193</f>
        <v>-616.585872</v>
      </c>
      <c r="AA111" s="356">
        <f ca="1">-AA193</f>
        <v>-644.3322362399999</v>
      </c>
      <c r="AB111" s="356">
        <f ca="1">-AB193</f>
        <v>-438.14592064320004</v>
      </c>
      <c r="AC111" s="356">
        <f ca="1">-AC193</f>
        <v>-416.23862461104</v>
      </c>
      <c r="AD111" s="355">
        <f ca="1">SUM(Z111:AC111)</f>
        <v>-2115.30265349424</v>
      </c>
      <c r="AE111" s="355">
        <f t="shared" ref="AE111:AG111" si="117" ca="1">-AE193</f>
        <v>-2146.8311554730876</v>
      </c>
      <c r="AF111" s="355">
        <f ca="1">-AF193</f>
        <v>-2189.7677785825495</v>
      </c>
      <c r="AG111" s="355">
        <f ca="1">-AG193</f>
        <v>-2345.2412908619103</v>
      </c>
      <c r="AH111" s="16"/>
      <c r="AI111" s="16"/>
      <c r="AJ111" s="16"/>
      <c r="AK111" s="16"/>
    </row>
    <row r="112" ht="13.5" customHeight="1" spans="1:37" x14ac:dyDescent="0.25">
      <c r="A112" s="264"/>
      <c r="B112" s="16"/>
      <c r="C112" s="16" t="s">
        <v>325</v>
      </c>
      <c r="D112" s="16"/>
      <c r="E112" s="16"/>
      <c r="F112" s="353">
        <f t="shared" ref="F112:AG112" si="118" ca="1">SUM(F108:F111)</f>
        <v>1728</v>
      </c>
      <c r="G112" s="353">
        <f ca="1">SUM(G108:G111)</f>
        <v>898</v>
      </c>
      <c r="H112" s="353">
        <f ca="1">SUM(H108:H111)</f>
        <v>1869</v>
      </c>
      <c r="I112" s="353">
        <f ca="1">SUM(I108:I111)</f>
        <v>1434</v>
      </c>
      <c r="J112" s="282">
        <f ca="1">SUM(J108:J111)</f>
        <v>5929</v>
      </c>
      <c r="K112" s="353">
        <f ca="1">SUM(K108:K111)</f>
        <v>2465</v>
      </c>
      <c r="L112" s="353">
        <f ca="1">SUM(L108:L111)</f>
        <v>4326</v>
      </c>
      <c r="M112" s="353">
        <f ca="1">SUM(M108:M111)</f>
        <v>7962</v>
      </c>
      <c r="N112" s="353">
        <f ca="1">SUM(N108:N111)</f>
        <v>10241</v>
      </c>
      <c r="O112" s="282">
        <f ca="1">SUM(O108:O111)</f>
        <v>24995</v>
      </c>
      <c r="P112" s="353">
        <f ca="1">SUM(P108:P111)</f>
        <v>12031</v>
      </c>
      <c r="Q112" s="353">
        <f ca="1">SUM(Q108:Q111)</f>
        <v>15037</v>
      </c>
      <c r="R112" s="353">
        <f ca="1">SUM(R108:R111)</f>
        <v>16458</v>
      </c>
      <c r="S112" s="353">
        <f ca="1">SUM(S108:S111)</f>
        <v>15236</v>
      </c>
      <c r="T112" s="282">
        <f ca="1">SUM(T108:T111)</f>
        <v>58762</v>
      </c>
      <c r="U112" s="353">
        <f ca="1">SUM(U108:U111)</f>
        <v>19626</v>
      </c>
      <c r="V112" s="353">
        <f ca="1">SUM(V108:V111)</f>
        <v>19134</v>
      </c>
      <c r="W112" s="353">
        <f ca="1">SUM(W108:W111)</f>
        <v>1871</v>
      </c>
      <c r="X112" s="281">
        <f ca="1">SUM(X108:X111)</f>
        <v>-3800.6064064782613</v>
      </c>
      <c r="Y112" s="282">
        <f ca="1">SUM(Y108:Y111)</f>
        <v>65225.39359352174</v>
      </c>
      <c r="Z112" s="281">
        <f ca="1">SUM(Z108:Z111)</f>
        <v>-4136.243663727896</v>
      </c>
      <c r="AA112" s="281">
        <f ca="1">SUM(AA108:AA111)</f>
        <v>-2341.4325823374497</v>
      </c>
      <c r="AB112" s="281">
        <f ca="1">SUM(AB108:AB111)</f>
        <v>-1599.1644605497922</v>
      </c>
      <c r="AC112" s="281">
        <f ca="1">SUM(AC108:AC111)</f>
        <v>-2307.22896490946</v>
      </c>
      <c r="AD112" s="282">
        <f ca="1">SUM(AD108:AD111)</f>
        <v>-10384.0696715246</v>
      </c>
      <c r="AE112" s="282">
        <f ca="1">SUM(AE108:AE111)</f>
        <v>-8646.06589388951</v>
      </c>
      <c r="AF112" s="282">
        <f ca="1">SUM(AF108:AF111)</f>
        <v>-9417.219965070559</v>
      </c>
      <c r="AG112" s="282">
        <f ca="1">SUM(AG108:AG111)</f>
        <v>-9627.024751164974</v>
      </c>
      <c r="AH112" s="16"/>
      <c r="AI112" s="16"/>
      <c r="AJ112" s="16"/>
      <c r="AK112" s="16"/>
    </row>
    <row r="113" ht="13.5" customHeight="1" spans="1:37" x14ac:dyDescent="0.25">
      <c r="A113" s="264"/>
      <c r="B113" s="16"/>
      <c r="C113" s="16"/>
      <c r="D113" s="16"/>
      <c r="E113" s="16"/>
      <c r="F113" s="315"/>
      <c r="G113" s="315"/>
      <c r="H113" s="315"/>
      <c r="I113" s="315"/>
      <c r="J113" s="16"/>
      <c r="K113" s="315"/>
      <c r="L113" s="315"/>
      <c r="M113" s="315"/>
      <c r="N113" s="315"/>
      <c r="O113" s="16"/>
      <c r="P113" s="315"/>
      <c r="Q113" s="315"/>
      <c r="R113" s="315"/>
      <c r="S113" s="315"/>
      <c r="T113" s="16"/>
      <c r="U113" s="315"/>
      <c r="V113" s="315"/>
      <c r="W113" s="315"/>
      <c r="X113" s="316"/>
      <c r="Y113" s="16"/>
      <c r="Z113" s="316"/>
      <c r="AA113" s="316"/>
      <c r="AB113" s="316"/>
      <c r="AC113" s="316"/>
      <c r="AD113" s="16"/>
      <c r="AE113" s="16"/>
      <c r="AF113" s="16"/>
      <c r="AG113" s="16"/>
      <c r="AH113" s="16"/>
      <c r="AI113" s="16"/>
      <c r="AJ113" s="16"/>
      <c r="AK113" s="16"/>
    </row>
    <row r="114" ht="13.5" customHeight="1" spans="1:37" x14ac:dyDescent="0.25">
      <c r="A114" s="264"/>
      <c r="B114" s="16"/>
      <c r="C114" s="16" t="s">
        <v>326</v>
      </c>
      <c r="D114" s="16"/>
      <c r="E114" s="16"/>
      <c r="F114" s="397">
        <f t="shared" ref="F114:AG114" si="119" ca="1">F112/F28</f>
        <v>0.2084942084942085</v>
      </c>
      <c r="G114" s="397">
        <f ca="1">G112/G28</f>
        <v>0.13394988066825775</v>
      </c>
      <c r="H114" s="397">
        <f ca="1">H112/H28</f>
        <v>0.31512392513909965</v>
      </c>
      <c r="I114" s="397">
        <f ca="1">I112/I28</f>
        <v>0.23698562221120476</v>
      </c>
      <c r="J114" s="398">
        <f ca="1">J112/J28</f>
        <v>0.21980425595017425</v>
      </c>
      <c r="K114" s="397">
        <f ca="1">K112/K28</f>
        <v>0.34274193548387094</v>
      </c>
      <c r="L114" s="397">
        <f ca="1">L112/L28</f>
        <v>0.320278374176353</v>
      </c>
      <c r="M114" s="397">
        <f ca="1">M112/M28</f>
        <v>0.43940397350993377</v>
      </c>
      <c r="N114" s="397">
        <f ca="1">N112/N28</f>
        <v>0.4633307695787902</v>
      </c>
      <c r="O114" s="398">
        <f ca="1">O112/O28</f>
        <v>0.41027871704802865</v>
      </c>
      <c r="P114" s="397">
        <f ca="1">P112/P28</f>
        <v>0.46194900936876054</v>
      </c>
      <c r="Q114" s="397">
        <f ca="1">Q112/Q28</f>
        <v>0.500565912117177</v>
      </c>
      <c r="R114" s="397">
        <f ca="1">R112/R28</f>
        <v>0.46912946810330086</v>
      </c>
      <c r="S114" s="397">
        <f ca="1">S112/S28</f>
        <v>0.38737891230835725</v>
      </c>
      <c r="T114" s="398">
        <f ca="1">T112/T28</f>
        <v>0.45029387648758207</v>
      </c>
      <c r="U114" s="397">
        <f ca="1">U112/U28</f>
        <v>0.44541782034406063</v>
      </c>
      <c r="V114" s="397">
        <f ca="1">V112/V28</f>
        <v>0.4093447147166421</v>
      </c>
      <c r="W114" s="397">
        <f ca="1">W112/W28</f>
        <v>0.08163888646478751</v>
      </c>
      <c r="X114" s="399">
        <f ca="1">X112/X28</f>
        <v>-0.17456315222134114</v>
      </c>
      <c r="Y114" s="398">
        <f ca="1">Y112/Y28</f>
        <v>0.48138562644347827</v>
      </c>
      <c r="Z114" s="399">
        <f ca="1">Z112/Z28</f>
        <v>-0.160999225634981</v>
      </c>
      <c r="AA114" s="399">
        <f ca="1">AA112/AA28</f>
        <v>-0.07994558383733723</v>
      </c>
      <c r="AB114" s="399">
        <f ca="1">AB112/AB28</f>
        <v>-0.06204735579744211</v>
      </c>
      <c r="AC114" s="399">
        <f ca="1">AC112/AC28</f>
        <v>-0.09423174612907008</v>
      </c>
      <c r="AD114" s="398">
        <f ca="1">AD112/AD28</f>
        <v>-0.09867334967589507</v>
      </c>
      <c r="AE114" s="398">
        <f ca="1">AE112/AE28</f>
        <v>-0.08054723699949487</v>
      </c>
      <c r="AF114" s="398">
        <f ca="1">AF112/AF28</f>
        <v>-0.08601112919075268</v>
      </c>
      <c r="AG114" s="398">
        <f ca="1">AG112/AG28</f>
        <v>-0.08620329198628639</v>
      </c>
      <c r="AH114" s="16"/>
      <c r="AI114" s="16"/>
      <c r="AJ114" s="16"/>
      <c r="AK114" s="16"/>
    </row>
    <row r="115" ht="13.5" customHeight="1" spans="1:37" x14ac:dyDescent="0.25">
      <c r="A115" s="264"/>
      <c r="B115" s="16"/>
      <c r="C115" s="16" t="s">
        <v>327</v>
      </c>
      <c r="D115" s="16"/>
      <c r="E115" s="16"/>
      <c r="F115" s="370">
        <f t="shared" ref="F115:AG115" si="120" ca="1">F112/F282</f>
        <v>2.0945454545454547</v>
      </c>
      <c r="G115" s="370">
        <f ca="1">G112/G282</f>
        <v>1.104551045510455</v>
      </c>
      <c r="H115" s="370">
        <f ca="1">H112/H282</f>
        <v>2.3188585607940446</v>
      </c>
      <c r="I115" s="370">
        <f ca="1">I112/I282</f>
        <v>1.7902621722846441</v>
      </c>
      <c r="J115" s="127">
        <f ca="1">J112/J282</f>
        <v>7.401997503121098</v>
      </c>
      <c r="K115" s="370">
        <f ca="1">K112/K282</f>
        <v>2.987878787878788</v>
      </c>
      <c r="L115" s="370">
        <f ca="1">L112/L282</f>
        <v>5.321033210332104</v>
      </c>
      <c r="M115" s="370">
        <f ca="1">M112/M282</f>
        <v>9.878411910669975</v>
      </c>
      <c r="N115" s="370">
        <f ca="1">N112/N282</f>
        <v>12.785268414481898</v>
      </c>
      <c r="O115" s="127">
        <f ca="1">O112/O282</f>
        <v>31.20474406991261</v>
      </c>
      <c r="P115" s="370">
        <f ca="1">P112/P282</f>
        <v>15.935099337748344</v>
      </c>
      <c r="Q115" s="370">
        <f ca="1">Q112/Q282</f>
        <v>19.99601063829787</v>
      </c>
      <c r="R115" s="370">
        <f ca="1">R112/R282</f>
        <v>21.88563829787234</v>
      </c>
      <c r="S115" s="370">
        <f ca="1">S112/S282</f>
        <v>20.36898395721925</v>
      </c>
      <c r="T115" s="127">
        <f ca="1">T112/T282</f>
        <v>78.55882352941177</v>
      </c>
      <c r="U115" s="370">
        <f ca="1">U112/U282</f>
        <v>27.33426183844011</v>
      </c>
      <c r="V115" s="370">
        <f ca="1">V112/V282</f>
        <v>27.140425531914893</v>
      </c>
      <c r="W115" s="370">
        <f ca="1">W112/W282</f>
        <v>2.7115942028985507</v>
      </c>
      <c r="X115" s="371">
        <f ca="1">X112/X282</f>
        <v>-5.6499886137206925</v>
      </c>
      <c r="Y115" s="127">
        <f ca="1">Y112/Y282</f>
        <v>93.65829435956861</v>
      </c>
      <c r="Z115" s="371">
        <f ca="1">Z112/Z282</f>
        <v>-6.1686110877555</v>
      </c>
      <c r="AA115" s="371">
        <f ca="1">AA112/AA282</f>
        <v>-3.5031115982974086</v>
      </c>
      <c r="AB115" s="371">
        <f ca="1">AB112/AB282</f>
        <v>-2.4002747398523856</v>
      </c>
      <c r="AC115" s="371">
        <f ca="1">AC112/AC282</f>
        <v>-3.474229701537851</v>
      </c>
      <c r="AD115" s="127">
        <f ca="1">AD112/AD282</f>
        <v>-15.560985679925933</v>
      </c>
      <c r="AE115" s="127">
        <f ca="1">AE112/AE282</f>
        <v>-13.168073852579905</v>
      </c>
      <c r="AF115" s="127">
        <f ca="1">AF112/AF282</f>
        <v>-14.629203389054938</v>
      </c>
      <c r="AG115" s="127">
        <f ca="1">AG112/AG282</f>
        <v>-15.260115240854756</v>
      </c>
      <c r="AH115" s="16"/>
      <c r="AI115" s="16"/>
      <c r="AJ115" s="16"/>
      <c r="AK115" s="16"/>
    </row>
    <row r="116" ht="13.5" customHeight="1" spans="1:37" x14ac:dyDescent="0.25">
      <c r="A116" s="264"/>
      <c r="B116" s="16"/>
      <c r="C116" s="16" t="s">
        <v>328</v>
      </c>
      <c r="D116" s="16"/>
      <c r="E116" s="16"/>
      <c r="F116" s="397">
        <f t="shared" ref="F116:I116" si="121" ca="1">F115*4/F239</f>
        <v>0.09744338006724608</v>
      </c>
      <c r="G116" s="397">
        <f ca="1">G115*4/G239</f>
        <v>0.048128585861022005</v>
      </c>
      <c r="H116" s="397">
        <f ca="1">H115*4/H239</f>
        <v>0.09695238050774724</v>
      </c>
      <c r="I116" s="397">
        <f ca="1">I115*4/I239</f>
        <v>0.06435740711007976</v>
      </c>
      <c r="J116" s="398">
        <f ca="1">J115/J239</f>
        <v>0.07873585693834328</v>
      </c>
      <c r="K116" s="397">
        <f t="shared" ref="K116:N116" si="122" ca="1">K115*4/K239</f>
        <v>0.11677103225710944</v>
      </c>
      <c r="L116" s="397">
        <f ca="1">L115*4/L239</f>
        <v>0.2074679095557892</v>
      </c>
      <c r="M116" s="397">
        <f ca="1">M115*4/M239</f>
        <v>0.364483420742366</v>
      </c>
      <c r="N116" s="397">
        <f ca="1">N115*4/N239</f>
        <v>0.48534757196476785</v>
      </c>
      <c r="O116" s="398">
        <f ca="1">O115/O239</f>
        <v>0.2997426146363373</v>
      </c>
      <c r="P116" s="397">
        <f t="shared" ref="P116:S116" si="123" ca="1">P115*4/P239</f>
        <v>0.6452763449179325</v>
      </c>
      <c r="Q116" s="397">
        <f ca="1">Q115*4/Q239</f>
        <v>0.8097189972989622</v>
      </c>
      <c r="R116" s="397">
        <f ca="1">R115*4/R239</f>
        <v>0.5172631588073059</v>
      </c>
      <c r="S116" s="397">
        <f ca="1">S115*4/S239</f>
        <v>0.388871974198846</v>
      </c>
      <c r="T116" s="398">
        <f ca="1">T115/T239</f>
        <v>0.4667210158738783</v>
      </c>
      <c r="U116" s="397">
        <f t="shared" ref="U116:X116" si="124" ca="1">U115*4/U239</f>
        <v>0.6000935639613636</v>
      </c>
      <c r="V116" s="397">
        <f ca="1">V115*4/V239</f>
        <v>0.5686339883595729</v>
      </c>
      <c r="W116" s="397">
        <f ca="1">W115*4/W239</f>
        <v>0.052559610830215334</v>
      </c>
      <c r="X116" s="399">
        <f ca="1">X115*4/X239</f>
        <v>-0.09692063836899721</v>
      </c>
      <c r="Y116" s="398">
        <f ca="1">Y115/Y239</f>
        <v>0.4824769048093674</v>
      </c>
      <c r="Z116" s="399">
        <f ca="1">Z115*4/Z239</f>
        <v>-0.105817155635226</v>
      </c>
      <c r="AA116" s="399">
        <f ca="1">AA115*4/AA239</f>
        <v>-0.060092831259926385</v>
      </c>
      <c r="AB116" s="399">
        <f ca="1">AB115*4/AB239</f>
        <v>-0.041174624579335885</v>
      </c>
      <c r="AC116" s="399">
        <f ca="1">AC115*4/AC239</f>
        <v>-0.05959738745240331</v>
      </c>
      <c r="AD116" s="398">
        <f ca="1">AD115/AD239</f>
        <v>-0.06673379226316979</v>
      </c>
      <c r="AE116" s="398">
        <f ca="1">AE115/AE239</f>
        <v>-0.056471712207650335</v>
      </c>
      <c r="AF116" s="398">
        <f ca="1">AF115/AF239</f>
        <v>-0.0627378136592115</v>
      </c>
      <c r="AG116" s="398">
        <f ca="1">AG115/AG239</f>
        <v>-0.06544349961769773</v>
      </c>
      <c r="AH116" s="16"/>
      <c r="AI116" s="16"/>
      <c r="AJ116" s="16"/>
      <c r="AK116" s="16"/>
    </row>
    <row r="117" ht="13.5" customHeight="1" spans="1:37" x14ac:dyDescent="0.25">
      <c r="A117" s="264"/>
      <c r="B117" s="16"/>
      <c r="C117" s="16"/>
      <c r="D117" s="16"/>
      <c r="E117" s="16"/>
      <c r="F117" s="315"/>
      <c r="G117" s="315"/>
      <c r="H117" s="315"/>
      <c r="I117" s="315"/>
      <c r="J117" s="16"/>
      <c r="K117" s="315"/>
      <c r="L117" s="315"/>
      <c r="M117" s="315"/>
      <c r="N117" s="315"/>
      <c r="O117" s="16"/>
      <c r="P117" s="315"/>
      <c r="Q117" s="315"/>
      <c r="R117" s="315"/>
      <c r="S117" s="315"/>
      <c r="T117" s="16"/>
      <c r="U117" s="315"/>
      <c r="V117" s="315"/>
      <c r="W117" s="315"/>
      <c r="X117" s="316"/>
      <c r="Y117" s="16"/>
      <c r="Z117" s="316"/>
      <c r="AA117" s="316"/>
      <c r="AB117" s="316"/>
      <c r="AC117" s="316"/>
      <c r="AD117" s="16"/>
      <c r="AE117" s="16"/>
      <c r="AF117" s="16"/>
      <c r="AG117" s="16"/>
      <c r="AH117" s="16"/>
      <c r="AI117" s="16"/>
      <c r="AJ117" s="16"/>
      <c r="AK117" s="16"/>
    </row>
    <row r="118" ht="13.5" customHeight="1" spans="1:37" x14ac:dyDescent="0.25">
      <c r="A118" s="264" t="s">
        <v>1</v>
      </c>
      <c r="B118" s="47"/>
      <c r="C118" s="62" t="s">
        <v>329</v>
      </c>
      <c r="D118" s="19"/>
      <c r="E118" s="19"/>
      <c r="F118" s="313">
        <f ca="1">F$25</f>
        <v>1e-12</v>
      </c>
      <c r="G118" s="63">
        <f t="shared" ref="G118:AG118" si="125" ca="1">G$63</f>
        <v>1e-12</v>
      </c>
      <c r="H118" s="63">
        <f ca="1">H$63</f>
        <v>1e-12</v>
      </c>
      <c r="I118" s="63">
        <f ca="1">I$63</f>
        <v>1e-12</v>
      </c>
      <c r="J118" s="63">
        <f ca="1">J$63</f>
        <v>2023</v>
      </c>
      <c r="K118" s="63">
        <f ca="1">K$63</f>
        <v>1e-12</v>
      </c>
      <c r="L118" s="63">
        <f ca="1">L$63</f>
        <v>1e-12</v>
      </c>
      <c r="M118" s="63">
        <f ca="1">M$63</f>
        <v>1e-12</v>
      </c>
      <c r="N118" s="63">
        <f ca="1">N$63</f>
        <v>1e-12</v>
      </c>
      <c r="O118" s="63">
        <f ca="1">O$63</f>
        <v>2024</v>
      </c>
      <c r="P118" s="63">
        <f ca="1">P$63</f>
        <v>1e-12</v>
      </c>
      <c r="Q118" s="63">
        <f ca="1">Q$63</f>
        <v>1e-12</v>
      </c>
      <c r="R118" s="63">
        <f ca="1">R$63</f>
        <v>1e-12</v>
      </c>
      <c r="S118" s="63">
        <f ca="1">S$63</f>
        <v>1e-12</v>
      </c>
      <c r="T118" s="63">
        <f ca="1">T$63</f>
        <v>2025</v>
      </c>
      <c r="U118" s="63">
        <f ca="1">U$63</f>
        <v>1e-12</v>
      </c>
      <c r="V118" s="63">
        <f ca="1">V$63</f>
        <v>1e-12</v>
      </c>
      <c r="W118" s="63" t="str">
        <f ca="1">W$63</f>
        <v>3Q26e</v>
      </c>
      <c r="X118" s="63" t="str">
        <f ca="1">X$63</f>
        <v>4Q26e</v>
      </c>
      <c r="Y118" s="63" t="str">
        <f ca="1">Y$63</f>
        <v>2026e</v>
      </c>
      <c r="Z118" s="63" t="str">
        <f ca="1">Z$63</f>
        <v>1Q27e</v>
      </c>
      <c r="AA118" s="63" t="str">
        <f ca="1">AA$63</f>
        <v>2Q27e</v>
      </c>
      <c r="AB118" s="63" t="str">
        <f ca="1">AB$63</f>
        <v>3Q27e</v>
      </c>
      <c r="AC118" s="63" t="str">
        <f ca="1">AC$63</f>
        <v>4Q27e</v>
      </c>
      <c r="AD118" s="63" t="str">
        <f ca="1">AD$63</f>
        <v>2027e</v>
      </c>
      <c r="AE118" s="63" t="str">
        <f ca="1">AE$63</f>
        <v>2028e</v>
      </c>
      <c r="AF118" s="63" t="str">
        <f ca="1">AF$63</f>
        <v>2029e</v>
      </c>
      <c r="AG118" s="64" t="str">
        <f ca="1">AG$63</f>
        <v>2030e</v>
      </c>
      <c r="AH118" s="264" t="s">
        <v>1</v>
      </c>
      <c r="AI118" s="16"/>
      <c r="AJ118" s="16"/>
      <c r="AK118" s="16"/>
    </row>
    <row r="119" ht="13.5" customHeight="1" spans="1:37" x14ac:dyDescent="0.25">
      <c r="A119" s="264"/>
      <c r="B119" s="16"/>
      <c r="C119" s="16"/>
      <c r="D119" s="16"/>
      <c r="E119" s="16"/>
      <c r="F119" s="315"/>
      <c r="G119" s="315"/>
      <c r="H119" s="315"/>
      <c r="I119" s="315"/>
      <c r="J119" s="16"/>
      <c r="K119" s="315"/>
      <c r="L119" s="315"/>
      <c r="M119" s="315"/>
      <c r="N119" s="315"/>
      <c r="O119" s="16"/>
      <c r="P119" s="315"/>
      <c r="Q119" s="315"/>
      <c r="R119" s="315"/>
      <c r="S119" s="315"/>
      <c r="T119" s="16"/>
      <c r="U119" s="315"/>
      <c r="V119" s="315"/>
      <c r="W119" s="315"/>
      <c r="X119" s="316"/>
      <c r="Y119" s="16"/>
      <c r="Z119" s="316"/>
      <c r="AA119" s="316"/>
      <c r="AB119" s="316"/>
      <c r="AC119" s="316"/>
      <c r="AD119" s="16"/>
      <c r="AE119" s="16"/>
      <c r="AF119" s="16"/>
      <c r="AG119" s="16"/>
      <c r="AH119" s="16"/>
      <c r="AI119" s="16"/>
      <c r="AJ119" s="16"/>
      <c r="AK119" s="16"/>
    </row>
    <row r="120" ht="13.5" customHeight="1" spans="1:37" x14ac:dyDescent="0.25">
      <c r="A120" s="264"/>
      <c r="B120" s="16"/>
      <c r="C120" s="16" t="s">
        <v>330</v>
      </c>
      <c r="D120" s="16"/>
      <c r="E120" s="16"/>
      <c r="F120" s="392">
        <v>20338</v>
      </c>
      <c r="G120" s="392">
        <v>17037</v>
      </c>
      <c r="H120" s="392">
        <v>13143</v>
      </c>
      <c r="I120" s="392">
        <v>13296</v>
      </c>
      <c r="J120" s="282">
        <v>13296</v>
      </c>
      <c r="K120" s="392">
        <v>15320</v>
      </c>
      <c r="L120" s="392">
        <v>16023</v>
      </c>
      <c r="M120" s="392">
        <v>18281</v>
      </c>
      <c r="N120" s="392">
        <v>25984</v>
      </c>
      <c r="O120" s="282">
        <v>25984</v>
      </c>
      <c r="P120" s="392">
        <v>31438</v>
      </c>
      <c r="Q120" s="392">
        <v>34800</v>
      </c>
      <c r="R120" s="392">
        <v>38487</v>
      </c>
      <c r="S120" s="392">
        <v>43210</v>
      </c>
      <c r="T120" s="282">
        <v>43210</v>
      </c>
      <c r="U120" s="392">
        <v>53691</v>
      </c>
      <c r="V120" s="392">
        <v>56791</v>
      </c>
      <c r="W120" s="392">
        <f ca="1">6121+552</f>
        <v>6673</v>
      </c>
      <c r="X120" s="281">
        <f ca="1">X104</f>
        <v>5290.3734435217375</v>
      </c>
      <c r="Y120" s="282">
        <f t="shared" ref="Y120:Y124" si="126" ca="1">X120</f>
        <v>5290.3734435217375</v>
      </c>
      <c r="Z120" s="281">
        <f t="shared" ref="Z120:AC120" si="127" ca="1">Z104</f>
        <v>-1622.1938170061567</v>
      </c>
      <c r="AA120" s="281">
        <f t="shared" si="127" ca="1"/>
        <v>-1186.2532627413955</v>
      </c>
      <c r="AB120" s="281">
        <f t="shared" si="127" ca="1"/>
        <v>-1184.5685027067832</v>
      </c>
      <c r="AC120" s="281">
        <f t="shared" si="127" ca="1"/>
        <v>-3088.973081341942</v>
      </c>
      <c r="AD120" s="282">
        <f t="shared" ref="AD120:AD124" si="128" ca="1">AC120</f>
        <v>-3088.973081341942</v>
      </c>
      <c r="AE120" s="282">
        <f t="shared" ref="AE120:AG120" si="129" ca="1">AE104</f>
        <v>-7976.165529794425</v>
      </c>
      <c r="AF120" s="282">
        <f t="shared" si="129" ca="1"/>
        <v>-9024.958633627415</v>
      </c>
      <c r="AG120" s="282">
        <f t="shared" si="129" ca="1"/>
        <v>-9242.062627049645</v>
      </c>
      <c r="AH120" s="16"/>
      <c r="AI120" s="16"/>
      <c r="AJ120" s="16"/>
      <c r="AK120" s="16"/>
    </row>
    <row r="121" ht="13.5" customHeight="1" spans="1:37" x14ac:dyDescent="0.25">
      <c r="A121" s="264"/>
      <c r="B121" s="16"/>
      <c r="C121" s="16" t="s">
        <v>331</v>
      </c>
      <c r="D121" s="16"/>
      <c r="E121" s="16"/>
      <c r="F121" s="358">
        <v>5438</v>
      </c>
      <c r="G121" s="358">
        <v>5317</v>
      </c>
      <c r="H121" s="358">
        <v>4908</v>
      </c>
      <c r="I121" s="358">
        <v>3827</v>
      </c>
      <c r="J121" s="162">
        <v>3827</v>
      </c>
      <c r="K121" s="358">
        <v>4080</v>
      </c>
      <c r="L121" s="358">
        <v>7066</v>
      </c>
      <c r="M121" s="358">
        <v>8309</v>
      </c>
      <c r="N121" s="358">
        <v>9999</v>
      </c>
      <c r="O121" s="162">
        <v>9999</v>
      </c>
      <c r="P121" s="358">
        <v>12365</v>
      </c>
      <c r="Q121" s="358">
        <v>14132</v>
      </c>
      <c r="R121" s="358">
        <v>17693</v>
      </c>
      <c r="S121" s="358">
        <v>23065</v>
      </c>
      <c r="T121" s="162">
        <v>23065</v>
      </c>
      <c r="U121" s="358">
        <v>22132</v>
      </c>
      <c r="V121" s="358">
        <v>27808</v>
      </c>
      <c r="W121" s="358">
        <v>0</v>
      </c>
      <c r="X121" s="359">
        <f t="shared" ref="X121:X123" si="130" ca="1">X162</f>
        <v>1e-12</v>
      </c>
      <c r="Y121" s="162">
        <f t="shared" si="126" ca="1"/>
        <v>1e-12</v>
      </c>
      <c r="Z121" s="359">
        <f t="shared" ref="Z121:AC121" si="131" ca="1">Z162</f>
        <v>1e-12</v>
      </c>
      <c r="AA121" s="359">
        <f t="shared" si="131" ca="1"/>
        <v>1e-12</v>
      </c>
      <c r="AB121" s="359">
        <f t="shared" si="131" ca="1"/>
        <v>1e-12</v>
      </c>
      <c r="AC121" s="359">
        <f t="shared" si="131" ca="1"/>
        <v>1e-12</v>
      </c>
      <c r="AD121" s="162">
        <f t="shared" si="128" ca="1"/>
        <v>1e-12</v>
      </c>
      <c r="AE121" s="162">
        <f t="shared" ref="AE121:AG121" si="132" ca="1">AE162</f>
        <v>1e-12</v>
      </c>
      <c r="AF121" s="162">
        <f t="shared" si="132" ca="1"/>
        <v>1e-12</v>
      </c>
      <c r="AG121" s="162">
        <f t="shared" si="132" ca="1"/>
        <v>1e-12</v>
      </c>
      <c r="AH121" s="16"/>
      <c r="AI121" s="16"/>
      <c r="AJ121" s="16"/>
      <c r="AK121" s="16"/>
    </row>
    <row r="122" ht="13.5" customHeight="1" spans="1:37" x14ac:dyDescent="0.25">
      <c r="A122" s="264"/>
      <c r="B122" s="16"/>
      <c r="C122" s="16" t="s">
        <v>332</v>
      </c>
      <c r="D122" s="16"/>
      <c r="E122" s="16"/>
      <c r="F122" s="358">
        <v>3163</v>
      </c>
      <c r="G122" s="358">
        <v>3889</v>
      </c>
      <c r="H122" s="358">
        <v>4454</v>
      </c>
      <c r="I122" s="358">
        <v>5159</v>
      </c>
      <c r="J122" s="162">
        <v>5159</v>
      </c>
      <c r="K122" s="358">
        <v>4611</v>
      </c>
      <c r="L122" s="358">
        <v>4319</v>
      </c>
      <c r="M122" s="358">
        <v>4779</v>
      </c>
      <c r="N122" s="358">
        <v>5282</v>
      </c>
      <c r="O122" s="162">
        <v>5282</v>
      </c>
      <c r="P122" s="358">
        <v>5864</v>
      </c>
      <c r="Q122" s="358">
        <v>6675</v>
      </c>
      <c r="R122" s="358">
        <v>7654</v>
      </c>
      <c r="S122" s="358">
        <v>10080</v>
      </c>
      <c r="T122" s="162">
        <v>10080</v>
      </c>
      <c r="U122" s="358">
        <v>11333</v>
      </c>
      <c r="V122" s="358">
        <v>14962</v>
      </c>
      <c r="W122" s="358">
        <v>16685</v>
      </c>
      <c r="X122" s="359">
        <f t="shared" si="130" ca="1"/>
        <v>18529.950326086957</v>
      </c>
      <c r="Y122" s="162">
        <f t="shared" si="126" ca="1"/>
        <v>18529.950326086957</v>
      </c>
      <c r="Z122" s="359">
        <f t="shared" ref="Z122:AC122" si="133" ca="1">Z163</f>
        <v>23065.506292307695</v>
      </c>
      <c r="AA122" s="359">
        <f t="shared" si="133" ca="1"/>
        <v>22014.14833107692</v>
      </c>
      <c r="AB122" s="359">
        <f t="shared" si="133" ca="1"/>
        <v>20954.80490032696</v>
      </c>
      <c r="AC122" s="359">
        <f t="shared" si="133" ca="1"/>
        <v>20718.783200747737</v>
      </c>
      <c r="AD122" s="162">
        <f t="shared" si="128" ca="1"/>
        <v>20718.783200747737</v>
      </c>
      <c r="AE122" s="162">
        <f t="shared" ref="AE122:AG122" si="134" ca="1">AE163</f>
        <v>21269.509108004873</v>
      </c>
      <c r="AF122" s="162">
        <f t="shared" si="134" ca="1"/>
        <v>21669.70196230183</v>
      </c>
      <c r="AG122" s="162">
        <f t="shared" si="134" ca="1"/>
        <v>22051.69345270706</v>
      </c>
      <c r="AH122" s="16"/>
      <c r="AI122" s="16"/>
      <c r="AJ122" s="16"/>
      <c r="AK122" s="16"/>
    </row>
    <row r="123" ht="13.5" customHeight="1" spans="1:37" x14ac:dyDescent="0.25">
      <c r="A123" s="264"/>
      <c r="B123" s="16"/>
      <c r="C123" s="16" t="s">
        <v>333</v>
      </c>
      <c r="D123" s="16"/>
      <c r="E123" s="16"/>
      <c r="F123" s="354">
        <v>636</v>
      </c>
      <c r="G123" s="354">
        <v>1175</v>
      </c>
      <c r="H123" s="354">
        <v>718</v>
      </c>
      <c r="I123" s="354">
        <v>791</v>
      </c>
      <c r="J123" s="355">
        <v>791</v>
      </c>
      <c r="K123" s="354">
        <v>872</v>
      </c>
      <c r="L123" s="354">
        <v>1389</v>
      </c>
      <c r="M123" s="354">
        <v>1289</v>
      </c>
      <c r="N123" s="354">
        <v>3080</v>
      </c>
      <c r="O123" s="355">
        <v>3080</v>
      </c>
      <c r="P123" s="354">
        <v>4062</v>
      </c>
      <c r="Q123" s="354">
        <v>4026</v>
      </c>
      <c r="R123" s="354">
        <v>3806</v>
      </c>
      <c r="S123" s="354">
        <v>3771</v>
      </c>
      <c r="T123" s="355">
        <v>3771</v>
      </c>
      <c r="U123" s="354">
        <v>2779</v>
      </c>
      <c r="V123" s="354">
        <v>2658</v>
      </c>
      <c r="W123" s="354">
        <v>1491</v>
      </c>
      <c r="X123" s="356">
        <f t="shared" si="130" ca="1"/>
        <v>1e-12</v>
      </c>
      <c r="Y123" s="355">
        <f t="shared" si="126" ca="1"/>
        <v>1e-12</v>
      </c>
      <c r="Z123" s="356">
        <f t="shared" ref="Z123:AC123" si="135" ca="1">Z164</f>
        <v>1849.7576159999996</v>
      </c>
      <c r="AA123" s="356">
        <f t="shared" si="135" ca="1"/>
        <v>2108.72368224</v>
      </c>
      <c r="AB123" s="356">
        <f t="shared" si="135" ca="1"/>
        <v>1855.6768403712</v>
      </c>
      <c r="AC123" s="356">
        <f t="shared" si="135" ca="1"/>
        <v>1762.8929983526398</v>
      </c>
      <c r="AD123" s="355">
        <f t="shared" si="128" ca="1"/>
        <v>1762.8929983526398</v>
      </c>
      <c r="AE123" s="355">
        <f t="shared" ref="AE123:AG123" si="136" ca="1">AE164</f>
        <v>1932.1480399257787</v>
      </c>
      <c r="AF123" s="355">
        <f t="shared" si="136" ca="1"/>
        <v>1970.7910007242942</v>
      </c>
      <c r="AG123" s="355">
        <f t="shared" si="136" ca="1"/>
        <v>2010.2068207387802</v>
      </c>
      <c r="AH123" s="16"/>
      <c r="AI123" s="16"/>
      <c r="AJ123" s="16"/>
      <c r="AK123" s="16"/>
    </row>
    <row r="124" ht="13.5" customHeight="1" spans="1:37" x14ac:dyDescent="0.25">
      <c r="A124" s="264"/>
      <c r="B124" s="16"/>
      <c r="C124" s="139" t="s">
        <v>334</v>
      </c>
      <c r="D124" s="16"/>
      <c r="E124" s="16"/>
      <c r="F124" s="353">
        <f t="shared" ref="F124:I124" si="137" ca="1">SUM(F120:F123)</f>
        <v>29575</v>
      </c>
      <c r="G124" s="353">
        <f ca="1">SUM(G120:G123)</f>
        <v>27418</v>
      </c>
      <c r="H124" s="353">
        <f ca="1">SUM(H120:H123)</f>
        <v>23223</v>
      </c>
      <c r="I124" s="353">
        <f ca="1">SUM(I120:I123)</f>
        <v>23073</v>
      </c>
      <c r="J124" s="282">
        <f ca="1">I124</f>
        <v>23073</v>
      </c>
      <c r="K124" s="353">
        <f t="shared" ref="K124:N124" si="138" ca="1">SUM(K120:K123)</f>
        <v>24883</v>
      </c>
      <c r="L124" s="353">
        <f ca="1">SUM(L120:L123)</f>
        <v>28797</v>
      </c>
      <c r="M124" s="353">
        <f ca="1">SUM(M120:M123)</f>
        <v>32658</v>
      </c>
      <c r="N124" s="353">
        <f ca="1">SUM(N120:N123)</f>
        <v>44345</v>
      </c>
      <c r="O124" s="282">
        <f ca="1">N124</f>
        <v>44345</v>
      </c>
      <c r="P124" s="353">
        <f t="shared" ref="P124:S124" si="139" ca="1">SUM(P120:P123)</f>
        <v>53729</v>
      </c>
      <c r="Q124" s="353">
        <f ca="1">SUM(Q120:Q123)</f>
        <v>59633</v>
      </c>
      <c r="R124" s="353">
        <f ca="1">SUM(R120:R123)</f>
        <v>67640</v>
      </c>
      <c r="S124" s="353">
        <f ca="1">SUM(S120:S123)</f>
        <v>80126</v>
      </c>
      <c r="T124" s="282">
        <f ca="1">S124</f>
        <v>80126</v>
      </c>
      <c r="U124" s="353">
        <f t="shared" ref="U124:X124" si="140" ca="1">SUM(U120:U123)</f>
        <v>89935</v>
      </c>
      <c r="V124" s="353">
        <f ca="1">SUM(V120:V123)</f>
        <v>102219</v>
      </c>
      <c r="W124" s="353">
        <f t="shared" si="140" ca="1"/>
        <v>24849</v>
      </c>
      <c r="X124" s="281">
        <f t="shared" si="140" ca="1"/>
        <v>23820.323769608694</v>
      </c>
      <c r="Y124" s="282">
        <f t="shared" si="126" ca="1"/>
        <v>23820.323769608694</v>
      </c>
      <c r="Z124" s="281">
        <f t="shared" ref="Z124:AC124" si="141" ca="1">SUM(Z120:Z123)</f>
        <v>23293.070091301535</v>
      </c>
      <c r="AA124" s="281">
        <f t="shared" si="141" ca="1"/>
        <v>22936.618750575526</v>
      </c>
      <c r="AB124" s="281">
        <f t="shared" si="141" ca="1"/>
        <v>21625.913237991375</v>
      </c>
      <c r="AC124" s="281">
        <f t="shared" si="141" ca="1"/>
        <v>19392.703117758436</v>
      </c>
      <c r="AD124" s="282">
        <f t="shared" si="128" ca="1"/>
        <v>19392.703117758436</v>
      </c>
      <c r="AE124" s="282">
        <f t="shared" ref="AE124:AG124" si="142" ca="1">SUM(AE120:AE123)</f>
        <v>15225.491618136226</v>
      </c>
      <c r="AF124" s="282">
        <f t="shared" si="142" ca="1"/>
        <v>14615.53432939871</v>
      </c>
      <c r="AG124" s="282">
        <f t="shared" si="142" ca="1"/>
        <v>14819.837646396194</v>
      </c>
      <c r="AH124" s="16"/>
      <c r="AI124" s="16"/>
      <c r="AJ124" s="16"/>
      <c r="AK124" s="16"/>
    </row>
    <row r="125" ht="13.5" customHeight="1" spans="1:37" x14ac:dyDescent="0.25">
      <c r="A125" s="264"/>
      <c r="B125" s="16"/>
      <c r="C125" s="16"/>
      <c r="D125" s="16"/>
      <c r="E125" s="16"/>
      <c r="F125" s="315"/>
      <c r="G125" s="315"/>
      <c r="H125" s="315"/>
      <c r="I125" s="315"/>
      <c r="J125" s="16"/>
      <c r="K125" s="315"/>
      <c r="L125" s="315"/>
      <c r="M125" s="315"/>
      <c r="N125" s="315"/>
      <c r="O125" s="16"/>
      <c r="P125" s="315"/>
      <c r="Q125" s="315"/>
      <c r="R125" s="315"/>
      <c r="S125" s="315"/>
      <c r="T125" s="16"/>
      <c r="U125" s="315"/>
      <c r="V125" s="315"/>
      <c r="W125" s="315"/>
      <c r="X125" s="281"/>
      <c r="Y125" s="16"/>
      <c r="Z125" s="281"/>
      <c r="AA125" s="281"/>
      <c r="AB125" s="281"/>
      <c r="AC125" s="281"/>
      <c r="AD125" s="16"/>
      <c r="AE125" s="282"/>
      <c r="AF125" s="282"/>
      <c r="AG125" s="282"/>
      <c r="AH125" s="16"/>
      <c r="AI125" s="16"/>
      <c r="AJ125" s="16"/>
      <c r="AK125" s="16"/>
    </row>
    <row r="126" ht="13.5" customHeight="1" spans="1:37" x14ac:dyDescent="0.25">
      <c r="A126" s="264"/>
      <c r="B126" s="16"/>
      <c r="C126" s="16" t="s">
        <v>335</v>
      </c>
      <c r="D126" s="16"/>
      <c r="E126" s="16"/>
      <c r="F126" s="392">
        <v>2916</v>
      </c>
      <c r="G126" s="392">
        <v>3233</v>
      </c>
      <c r="H126" s="392">
        <v>3774</v>
      </c>
      <c r="I126" s="392">
        <v>3807</v>
      </c>
      <c r="J126" s="282">
        <v>3807</v>
      </c>
      <c r="K126" s="392">
        <v>3740</v>
      </c>
      <c r="L126" s="392">
        <v>3799</v>
      </c>
      <c r="M126" s="392">
        <v>3844</v>
      </c>
      <c r="N126" s="392">
        <v>3914</v>
      </c>
      <c r="O126" s="282">
        <v>3914</v>
      </c>
      <c r="P126" s="392">
        <v>4006</v>
      </c>
      <c r="Q126" s="392">
        <v>4885</v>
      </c>
      <c r="R126" s="392">
        <v>5343</v>
      </c>
      <c r="S126" s="392">
        <v>6283</v>
      </c>
      <c r="T126" s="282">
        <v>6283</v>
      </c>
      <c r="U126" s="392">
        <v>7136</v>
      </c>
      <c r="V126" s="392">
        <v>9141</v>
      </c>
      <c r="W126" s="392">
        <v>18925</v>
      </c>
      <c r="X126" s="281">
        <f ca="1">X196</f>
        <v>18963.9382</v>
      </c>
      <c r="Y126" s="282">
        <f t="shared" ref="Y126:Y130" si="143" ca="1">X126</f>
        <v>18963.9382</v>
      </c>
      <c r="Z126" s="281">
        <f t="shared" ref="Z126:AC126" si="144" ca="1">Z196</f>
        <v>19248.6551535</v>
      </c>
      <c r="AA126" s="281">
        <f t="shared" si="144" ca="1"/>
        <v>19556.13592455375</v>
      </c>
      <c r="AB126" s="281">
        <f t="shared" si="144" ca="1"/>
        <v>19652.04946651726</v>
      </c>
      <c r="AC126" s="281">
        <f t="shared" si="144" ca="1"/>
        <v>19724.377225464246</v>
      </c>
      <c r="AD126" s="282">
        <f t="shared" ref="AD126:AD130" si="145" ca="1">AC126</f>
        <v>19724.377225464246</v>
      </c>
      <c r="AE126" s="282">
        <f t="shared" ref="AE126:AG126" si="146" ca="1">AE196</f>
        <v>20451.053220703907</v>
      </c>
      <c r="AF126" s="282">
        <f t="shared" si="146" ca="1"/>
        <v>21168.345167395775</v>
      </c>
      <c r="AG126" s="282">
        <f t="shared" si="146" ca="1"/>
        <v>21989.46560620519</v>
      </c>
      <c r="AH126" s="16"/>
      <c r="AI126" s="16"/>
      <c r="AJ126" s="16"/>
      <c r="AK126" s="16"/>
    </row>
    <row r="127" ht="13.5" customHeight="1" spans="1:37" x14ac:dyDescent="0.25">
      <c r="A127" s="264"/>
      <c r="B127" s="16"/>
      <c r="C127" s="16" t="s">
        <v>336</v>
      </c>
      <c r="D127" s="16"/>
      <c r="E127" s="16"/>
      <c r="F127" s="358">
        <v>2211</v>
      </c>
      <c r="G127" s="358">
        <v>2036</v>
      </c>
      <c r="H127" s="358">
        <v>1850</v>
      </c>
      <c r="I127" s="358">
        <v>1676</v>
      </c>
      <c r="J127" s="162">
        <v>1676</v>
      </c>
      <c r="K127" s="358">
        <v>1541</v>
      </c>
      <c r="L127" s="358">
        <v>1395</v>
      </c>
      <c r="M127" s="358">
        <v>1251</v>
      </c>
      <c r="N127" s="358">
        <v>1112</v>
      </c>
      <c r="O127" s="162">
        <v>1112</v>
      </c>
      <c r="P127" s="358">
        <v>986</v>
      </c>
      <c r="Q127" s="358">
        <v>952</v>
      </c>
      <c r="R127" s="358">
        <v>838</v>
      </c>
      <c r="S127" s="358">
        <v>807</v>
      </c>
      <c r="T127" s="162">
        <v>807</v>
      </c>
      <c r="U127" s="358">
        <v>769</v>
      </c>
      <c r="V127" s="358">
        <v>755</v>
      </c>
      <c r="W127" s="358">
        <v>0</v>
      </c>
      <c r="X127" s="359">
        <f ca="1">X210</f>
        <v>1e-12</v>
      </c>
      <c r="Y127" s="162">
        <f t="shared" si="143" ca="1"/>
        <v>1e-12</v>
      </c>
      <c r="Z127" s="359">
        <f t="shared" ref="Z127:AC127" si="147" ca="1">Z210</f>
        <v>1e-12</v>
      </c>
      <c r="AA127" s="359">
        <f t="shared" si="147" ca="1"/>
        <v>1e-12</v>
      </c>
      <c r="AB127" s="359">
        <f t="shared" si="147" ca="1"/>
        <v>1e-12</v>
      </c>
      <c r="AC127" s="359">
        <f t="shared" si="147" ca="1"/>
        <v>1e-12</v>
      </c>
      <c r="AD127" s="162">
        <f t="shared" si="145" ca="1"/>
        <v>1e-12</v>
      </c>
      <c r="AE127" s="162">
        <f t="shared" ref="AE127:AG127" si="148" ca="1">AE210</f>
        <v>1e-12</v>
      </c>
      <c r="AF127" s="162">
        <f t="shared" si="148" ca="1"/>
        <v>1e-12</v>
      </c>
      <c r="AG127" s="162">
        <f t="shared" si="148" ca="1"/>
        <v>1e-12</v>
      </c>
      <c r="AH127" s="16"/>
      <c r="AI127" s="16"/>
      <c r="AJ127" s="16"/>
      <c r="AK127" s="16"/>
    </row>
    <row r="128" ht="13.5" customHeight="1" spans="1:37" x14ac:dyDescent="0.25">
      <c r="A128" s="264"/>
      <c r="B128" s="16"/>
      <c r="C128" s="16" t="s">
        <v>337</v>
      </c>
      <c r="D128" s="16"/>
      <c r="E128" s="16"/>
      <c r="F128" s="358">
        <v>4365</v>
      </c>
      <c r="G128" s="358">
        <v>4372</v>
      </c>
      <c r="H128" s="358">
        <v>4372</v>
      </c>
      <c r="I128" s="358">
        <v>4372</v>
      </c>
      <c r="J128" s="162">
        <v>4372</v>
      </c>
      <c r="K128" s="358">
        <v>4430</v>
      </c>
      <c r="L128" s="358">
        <v>4430</v>
      </c>
      <c r="M128" s="358">
        <v>4430</v>
      </c>
      <c r="N128" s="358">
        <v>4430</v>
      </c>
      <c r="O128" s="162">
        <v>4430</v>
      </c>
      <c r="P128" s="358">
        <v>4453</v>
      </c>
      <c r="Q128" s="358">
        <v>4622</v>
      </c>
      <c r="R128" s="358">
        <v>4724</v>
      </c>
      <c r="S128" s="358">
        <v>5188</v>
      </c>
      <c r="T128" s="162">
        <v>5188</v>
      </c>
      <c r="U128" s="358">
        <v>5498</v>
      </c>
      <c r="V128" s="358">
        <v>5755</v>
      </c>
      <c r="W128" s="358">
        <v>0</v>
      </c>
      <c r="X128" s="359">
        <f t="shared" ref="X128:X129" si="149" ca="1">X218</f>
        <v>1e-12</v>
      </c>
      <c r="Y128" s="162">
        <f t="shared" si="143" ca="1"/>
        <v>1e-12</v>
      </c>
      <c r="Z128" s="359">
        <f t="shared" ref="Z128:AC128" si="150" ca="1">Z218</f>
        <v>1e-12</v>
      </c>
      <c r="AA128" s="359">
        <f t="shared" si="150" ca="1"/>
        <v>1e-12</v>
      </c>
      <c r="AB128" s="359">
        <f t="shared" si="150" ca="1"/>
        <v>1e-12</v>
      </c>
      <c r="AC128" s="359">
        <f t="shared" si="150" ca="1"/>
        <v>1e-12</v>
      </c>
      <c r="AD128" s="162">
        <f t="shared" si="145" ca="1"/>
        <v>1e-12</v>
      </c>
      <c r="AE128" s="162">
        <f t="shared" ref="AE128:AG128" si="151" ca="1">AE218</f>
        <v>1e-12</v>
      </c>
      <c r="AF128" s="162">
        <f t="shared" si="151" ca="1"/>
        <v>1e-12</v>
      </c>
      <c r="AG128" s="162">
        <f t="shared" si="151" ca="1"/>
        <v>1e-12</v>
      </c>
      <c r="AH128" s="16"/>
      <c r="AI128" s="16"/>
      <c r="AJ128" s="16"/>
      <c r="AK128" s="16"/>
    </row>
    <row r="129" ht="13.5" customHeight="1" spans="1:37" x14ac:dyDescent="0.25">
      <c r="A129" s="264"/>
      <c r="B129" s="16"/>
      <c r="C129" s="16" t="s">
        <v>338</v>
      </c>
      <c r="D129" s="16"/>
      <c r="E129" s="16"/>
      <c r="F129" s="354">
        <v>6145</v>
      </c>
      <c r="G129" s="354">
        <v>6417</v>
      </c>
      <c r="H129" s="354">
        <v>7269</v>
      </c>
      <c r="I129" s="354">
        <v>8254</v>
      </c>
      <c r="J129" s="355">
        <v>8254</v>
      </c>
      <c r="K129" s="354">
        <v>9866</v>
      </c>
      <c r="L129" s="354">
        <v>11134</v>
      </c>
      <c r="M129" s="354">
        <v>11965</v>
      </c>
      <c r="N129" s="354">
        <v>11927</v>
      </c>
      <c r="O129" s="355">
        <v>11927</v>
      </c>
      <c r="P129" s="354">
        <v>13898</v>
      </c>
      <c r="Q129" s="354">
        <v>15135</v>
      </c>
      <c r="R129" s="354">
        <v>17468</v>
      </c>
      <c r="S129" s="354">
        <v>19197</v>
      </c>
      <c r="T129" s="355">
        <v>19197</v>
      </c>
      <c r="U129" s="354">
        <v>21916</v>
      </c>
      <c r="V129" s="354">
        <v>22870</v>
      </c>
      <c r="W129" s="354">
        <f ca="1">4161+213+220+1032</f>
        <v>5626</v>
      </c>
      <c r="X129" s="356">
        <f t="shared" si="149" ca="1"/>
        <v>5738.52</v>
      </c>
      <c r="Y129" s="355">
        <f t="shared" si="143" ca="1"/>
        <v>5738.52</v>
      </c>
      <c r="Z129" s="356">
        <f t="shared" ref="Z129:AC129" si="152" ca="1">Z219</f>
        <v>5853.290400000001</v>
      </c>
      <c r="AA129" s="356">
        <f t="shared" si="152" ca="1"/>
        <v>5970.356208000001</v>
      </c>
      <c r="AB129" s="356">
        <f t="shared" si="152" ca="1"/>
        <v>6089.7633321600015</v>
      </c>
      <c r="AC129" s="356">
        <f t="shared" si="152" ca="1"/>
        <v>6211.558598803202</v>
      </c>
      <c r="AD129" s="355">
        <f t="shared" si="145" ca="1"/>
        <v>6211.558598803202</v>
      </c>
      <c r="AE129" s="355">
        <f t="shared" ref="AE129:AG129" si="153" ca="1">AE219</f>
        <v>6335.789770779265</v>
      </c>
      <c r="AF129" s="355">
        <f t="shared" si="153" ca="1"/>
        <v>6462.505566194851</v>
      </c>
      <c r="AG129" s="355">
        <f t="shared" si="153" ca="1"/>
        <v>6591.755677518748</v>
      </c>
      <c r="AH129" s="16"/>
      <c r="AI129" s="16"/>
      <c r="AJ129" s="16"/>
      <c r="AK129" s="16"/>
    </row>
    <row r="130" ht="13.5" customHeight="1" spans="1:37" x14ac:dyDescent="0.25">
      <c r="A130" s="264"/>
      <c r="B130" s="16"/>
      <c r="C130" s="139" t="s">
        <v>339</v>
      </c>
      <c r="D130" s="16"/>
      <c r="E130" s="16"/>
      <c r="F130" s="353">
        <f t="shared" ref="F130:I130" si="154" ca="1">SUM(F126:F129)</f>
        <v>15637</v>
      </c>
      <c r="G130" s="353">
        <f ca="1">SUM(G126:G129)</f>
        <v>16058</v>
      </c>
      <c r="H130" s="353">
        <f ca="1">SUM(H126:H129)</f>
        <v>17265</v>
      </c>
      <c r="I130" s="353">
        <f ca="1">SUM(I126:I129)</f>
        <v>18109</v>
      </c>
      <c r="J130" s="282">
        <f ca="1">I130</f>
        <v>18109</v>
      </c>
      <c r="K130" s="353">
        <f t="shared" ref="K130:N130" si="155" ca="1">SUM(K126:K129)</f>
        <v>19577</v>
      </c>
      <c r="L130" s="353">
        <f ca="1">SUM(L126:L129)</f>
        <v>20758</v>
      </c>
      <c r="M130" s="353">
        <f ca="1">SUM(M126:M129)</f>
        <v>21490</v>
      </c>
      <c r="N130" s="353">
        <f ca="1">SUM(N126:N129)</f>
        <v>21383</v>
      </c>
      <c r="O130" s="282">
        <f ca="1">N130</f>
        <v>21383</v>
      </c>
      <c r="P130" s="353">
        <f t="shared" ref="P130:S130" si="156" ca="1">SUM(P126:P129)</f>
        <v>23343</v>
      </c>
      <c r="Q130" s="353">
        <f ca="1">SUM(Q126:Q129)</f>
        <v>25594</v>
      </c>
      <c r="R130" s="353">
        <f ca="1">SUM(R126:R129)</f>
        <v>28373</v>
      </c>
      <c r="S130" s="353">
        <f ca="1">SUM(S126:S129)</f>
        <v>31475</v>
      </c>
      <c r="T130" s="282">
        <f ca="1">S130</f>
        <v>31475</v>
      </c>
      <c r="U130" s="353">
        <f t="shared" ref="U130:X130" si="157" ca="1">SUM(U126:U129)</f>
        <v>35319</v>
      </c>
      <c r="V130" s="353">
        <f ca="1">SUM(V126:V129)</f>
        <v>38521</v>
      </c>
      <c r="W130" s="353">
        <f t="shared" si="157" ca="1"/>
        <v>24551</v>
      </c>
      <c r="X130" s="281">
        <f t="shared" si="157" ca="1"/>
        <v>24702.4582</v>
      </c>
      <c r="Y130" s="282">
        <f t="shared" si="143" ca="1"/>
        <v>24702.4582</v>
      </c>
      <c r="Z130" s="281">
        <f t="shared" ref="Z130:AC130" si="158" ca="1">SUM(Z126:Z129)</f>
        <v>25101.9455535</v>
      </c>
      <c r="AA130" s="281">
        <f t="shared" si="158" ca="1"/>
        <v>25526.49213255375</v>
      </c>
      <c r="AB130" s="281">
        <f t="shared" si="158" ca="1"/>
        <v>25741.81279867726</v>
      </c>
      <c r="AC130" s="281">
        <f t="shared" si="158" ca="1"/>
        <v>25935.93582426745</v>
      </c>
      <c r="AD130" s="282">
        <f t="shared" si="145" ca="1"/>
        <v>25935.93582426745</v>
      </c>
      <c r="AE130" s="282">
        <f t="shared" ref="AE130:AG130" si="159" ca="1">SUM(AE126:AE129)</f>
        <v>26786.842991483172</v>
      </c>
      <c r="AF130" s="282">
        <f t="shared" si="159" ca="1"/>
        <v>27630.850733590625</v>
      </c>
      <c r="AG130" s="282">
        <f t="shared" si="159" ca="1"/>
        <v>28581.22128372394</v>
      </c>
      <c r="AH130" s="16"/>
      <c r="AI130" s="16"/>
      <c r="AJ130" s="16"/>
      <c r="AK130" s="16"/>
    </row>
    <row r="131" ht="13.5" customHeight="1" spans="1:37" x14ac:dyDescent="0.25">
      <c r="A131" s="264"/>
      <c r="B131" s="16"/>
      <c r="C131" s="16"/>
      <c r="D131" s="16"/>
      <c r="E131" s="16"/>
      <c r="F131" s="315"/>
      <c r="G131" s="315"/>
      <c r="H131" s="315"/>
      <c r="I131" s="315"/>
      <c r="J131" s="16"/>
      <c r="K131" s="315"/>
      <c r="L131" s="315"/>
      <c r="M131" s="315"/>
      <c r="N131" s="315"/>
      <c r="O131" s="16"/>
      <c r="P131" s="315"/>
      <c r="Q131" s="315"/>
      <c r="R131" s="315"/>
      <c r="S131" s="315"/>
      <c r="T131" s="16"/>
      <c r="U131" s="315"/>
      <c r="V131" s="315"/>
      <c r="W131" s="315"/>
      <c r="X131" s="281"/>
      <c r="Y131" s="16"/>
      <c r="Z131" s="281"/>
      <c r="AA131" s="281"/>
      <c r="AB131" s="281"/>
      <c r="AC131" s="281"/>
      <c r="AD131" s="16"/>
      <c r="AE131" s="282"/>
      <c r="AF131" s="282"/>
      <c r="AG131" s="282"/>
      <c r="AH131" s="16"/>
      <c r="AI131" s="16"/>
      <c r="AJ131" s="16"/>
      <c r="AK131" s="16"/>
    </row>
    <row r="132" ht="13.5" customHeight="1" spans="1:37" x14ac:dyDescent="0.25">
      <c r="A132" s="264"/>
      <c r="B132" s="16"/>
      <c r="C132" s="139" t="s">
        <v>340</v>
      </c>
      <c r="D132" s="16"/>
      <c r="E132" s="16"/>
      <c r="F132" s="353">
        <f t="shared" ref="F132:AG132" si="160" ca="1">SUM(F124,F130)</f>
        <v>45212</v>
      </c>
      <c r="G132" s="353">
        <f ca="1">SUM(G124,G130)</f>
        <v>43476</v>
      </c>
      <c r="H132" s="353">
        <f ca="1">SUM(H124,H130)</f>
        <v>40488</v>
      </c>
      <c r="I132" s="353">
        <f ca="1">SUM(I124,I130)</f>
        <v>41182</v>
      </c>
      <c r="J132" s="282">
        <f ca="1">SUM(J124,J130)</f>
        <v>41182</v>
      </c>
      <c r="K132" s="353">
        <f ca="1">SUM(K124,K130)</f>
        <v>44460</v>
      </c>
      <c r="L132" s="353">
        <f ca="1">SUM(L124,L130)</f>
        <v>49555</v>
      </c>
      <c r="M132" s="353">
        <f ca="1">SUM(M124,M130)</f>
        <v>54148</v>
      </c>
      <c r="N132" s="353">
        <f ca="1">SUM(N124,N130)</f>
        <v>65728</v>
      </c>
      <c r="O132" s="282">
        <f ca="1">SUM(O124,O130)</f>
        <v>65728</v>
      </c>
      <c r="P132" s="353">
        <f ca="1">SUM(P124,P130)</f>
        <v>77072</v>
      </c>
      <c r="Q132" s="353">
        <f ca="1">SUM(Q124,Q130)</f>
        <v>85227</v>
      </c>
      <c r="R132" s="353">
        <f ca="1">SUM(R124,R130)</f>
        <v>96013</v>
      </c>
      <c r="S132" s="353">
        <f ca="1">SUM(S124,S130)</f>
        <v>111601</v>
      </c>
      <c r="T132" s="282">
        <f ca="1">SUM(T124,T130)</f>
        <v>111601</v>
      </c>
      <c r="U132" s="353">
        <f ca="1">SUM(U124,U130)</f>
        <v>125254</v>
      </c>
      <c r="V132" s="353">
        <f ca="1">SUM(V124,V130)</f>
        <v>140740</v>
      </c>
      <c r="W132" s="353">
        <f t="shared" si="160" ca="1"/>
        <v>49400</v>
      </c>
      <c r="X132" s="281">
        <f t="shared" si="160" ca="1"/>
        <v>48522.781969608695</v>
      </c>
      <c r="Y132" s="282">
        <f t="shared" si="160" ca="1"/>
        <v>48522.781969608695</v>
      </c>
      <c r="Z132" s="281">
        <f t="shared" si="160" ca="1"/>
        <v>48395.01564480153</v>
      </c>
      <c r="AA132" s="281">
        <f t="shared" si="160" ca="1"/>
        <v>48463.11088312928</v>
      </c>
      <c r="AB132" s="281">
        <f t="shared" si="160" ca="1"/>
        <v>47367.72603666864</v>
      </c>
      <c r="AC132" s="281">
        <f t="shared" si="160" ca="1"/>
        <v>45328.638942025886</v>
      </c>
      <c r="AD132" s="282">
        <f t="shared" si="160" ca="1"/>
        <v>45328.638942025886</v>
      </c>
      <c r="AE132" s="282">
        <f t="shared" si="160" ca="1"/>
        <v>42012.3346096194</v>
      </c>
      <c r="AF132" s="282">
        <f t="shared" si="160" ca="1"/>
        <v>42246.385062989335</v>
      </c>
      <c r="AG132" s="282">
        <f t="shared" si="160" ca="1"/>
        <v>43401.05893012013</v>
      </c>
      <c r="AH132" s="16"/>
      <c r="AI132" s="16"/>
      <c r="AJ132" s="16"/>
      <c r="AK132" s="16"/>
    </row>
    <row r="133" ht="13.5" customHeight="1" spans="1:37" x14ac:dyDescent="0.25">
      <c r="A133" s="264"/>
      <c r="B133" s="16"/>
      <c r="C133" s="16"/>
      <c r="D133" s="16"/>
      <c r="E133" s="16"/>
      <c r="F133" s="315"/>
      <c r="G133" s="315"/>
      <c r="H133" s="315"/>
      <c r="I133" s="315"/>
      <c r="J133" s="16"/>
      <c r="K133" s="315"/>
      <c r="L133" s="315"/>
      <c r="M133" s="315"/>
      <c r="N133" s="315"/>
      <c r="O133" s="16"/>
      <c r="P133" s="315"/>
      <c r="Q133" s="315"/>
      <c r="R133" s="315"/>
      <c r="S133" s="315"/>
      <c r="T133" s="16"/>
      <c r="U133" s="315"/>
      <c r="V133" s="315"/>
      <c r="W133" s="315"/>
      <c r="X133" s="316"/>
      <c r="Y133" s="16"/>
      <c r="Z133" s="316"/>
      <c r="AA133" s="316"/>
      <c r="AB133" s="316"/>
      <c r="AC133" s="316"/>
      <c r="AD133" s="16"/>
      <c r="AE133" s="16"/>
      <c r="AF133" s="16"/>
      <c r="AG133" s="16"/>
      <c r="AH133" s="16"/>
      <c r="AI133" s="16"/>
      <c r="AJ133" s="16"/>
      <c r="AK133" s="16"/>
    </row>
    <row r="134" ht="13.5" customHeight="1" spans="1:37" x14ac:dyDescent="0.25">
      <c r="A134" s="264"/>
      <c r="B134" s="16"/>
      <c r="C134" s="16" t="s">
        <v>341</v>
      </c>
      <c r="D134" s="16"/>
      <c r="E134" s="16"/>
      <c r="F134" s="392">
        <v>1999</v>
      </c>
      <c r="G134" s="392">
        <v>2421</v>
      </c>
      <c r="H134" s="392">
        <v>1491</v>
      </c>
      <c r="I134" s="392">
        <v>1193</v>
      </c>
      <c r="J134" s="282">
        <v>1193</v>
      </c>
      <c r="K134" s="392">
        <v>1141</v>
      </c>
      <c r="L134" s="392">
        <v>1929</v>
      </c>
      <c r="M134" s="392">
        <v>2380</v>
      </c>
      <c r="N134" s="392">
        <v>2699</v>
      </c>
      <c r="O134" s="282">
        <v>2699</v>
      </c>
      <c r="P134" s="392">
        <v>2715</v>
      </c>
      <c r="Q134" s="392">
        <v>3680</v>
      </c>
      <c r="R134" s="392">
        <v>5353</v>
      </c>
      <c r="S134" s="392">
        <v>6310</v>
      </c>
      <c r="T134" s="282">
        <v>6310</v>
      </c>
      <c r="U134" s="392">
        <v>7331</v>
      </c>
      <c r="V134" s="392">
        <v>9064</v>
      </c>
      <c r="W134" s="392">
        <v>11334</v>
      </c>
      <c r="X134" s="281">
        <f t="shared" ref="X134:X136" si="161" ca="1">X167</f>
        <v>11323.858532608696</v>
      </c>
      <c r="Y134" s="282">
        <f t="shared" ref="Y134:Y137" si="162" ca="1">X134</f>
        <v>11323.858532608696</v>
      </c>
      <c r="Z134" s="281">
        <f t="shared" ref="Z134:AC134" si="163" ca="1">Z167</f>
        <v>14082.098578461539</v>
      </c>
      <c r="AA134" s="281">
        <f t="shared" si="163" ca="1"/>
        <v>13208.488998646155</v>
      </c>
      <c r="AB134" s="281">
        <f t="shared" si="163" ca="1"/>
        <v>13065.937173145043</v>
      </c>
      <c r="AC134" s="281">
        <f t="shared" si="163" ca="1"/>
        <v>12661.478622679173</v>
      </c>
      <c r="AD134" s="282">
        <f t="shared" ref="AD134:AD137" si="164" ca="1">AC134</f>
        <v>12661.478622679173</v>
      </c>
      <c r="AE134" s="282">
        <f t="shared" ref="AE134:AG134" si="165" ca="1">AE167</f>
        <v>13673.255855145992</v>
      </c>
      <c r="AF134" s="282">
        <f t="shared" si="165" ca="1"/>
        <v>13930.522690051177</v>
      </c>
      <c r="AG134" s="282">
        <f t="shared" si="165" ca="1"/>
        <v>14176.088648168821</v>
      </c>
      <c r="AH134" s="16"/>
      <c r="AI134" s="16"/>
      <c r="AJ134" s="16"/>
      <c r="AK134" s="16"/>
    </row>
    <row r="135" ht="13.5" customHeight="1" spans="1:37" x14ac:dyDescent="0.25">
      <c r="A135" s="264"/>
      <c r="B135" s="16"/>
      <c r="C135" s="16" t="s">
        <v>342</v>
      </c>
      <c r="D135" s="16"/>
      <c r="E135" s="16"/>
      <c r="F135" s="358">
        <v>3229</v>
      </c>
      <c r="G135" s="358">
        <v>3544</v>
      </c>
      <c r="H135" s="358">
        <v>3777</v>
      </c>
      <c r="I135" s="358">
        <v>3766</v>
      </c>
      <c r="J135" s="162">
        <v>3766</v>
      </c>
      <c r="K135" s="358">
        <v>4502</v>
      </c>
      <c r="L135" s="358">
        <v>6735</v>
      </c>
      <c r="M135" s="358">
        <v>4959</v>
      </c>
      <c r="N135" s="358">
        <v>5918</v>
      </c>
      <c r="O135" s="162">
        <v>5918</v>
      </c>
      <c r="P135" s="358">
        <v>10413</v>
      </c>
      <c r="Q135" s="358">
        <v>9341</v>
      </c>
      <c r="R135" s="358">
        <v>10374</v>
      </c>
      <c r="S135" s="358">
        <v>10900</v>
      </c>
      <c r="T135" s="162">
        <v>10900</v>
      </c>
      <c r="U135" s="358">
        <v>18137</v>
      </c>
      <c r="V135" s="358">
        <v>14213</v>
      </c>
      <c r="W135" s="358">
        <v>1353</v>
      </c>
      <c r="X135" s="281">
        <f t="shared" si="161" ca="1"/>
        <v>947.08635</v>
      </c>
      <c r="Y135" s="162">
        <f t="shared" si="162" ca="1"/>
        <v>947.08635</v>
      </c>
      <c r="Z135" s="281">
        <f t="shared" ref="Z135:AC135" si="166" ca="1">Z168</f>
        <v>1104.716354</v>
      </c>
      <c r="AA135" s="281">
        <f t="shared" si="166" ca="1"/>
        <v>1252.05468633</v>
      </c>
      <c r="AB135" s="281">
        <f t="shared" si="166" ca="1"/>
        <v>1134.0247357824</v>
      </c>
      <c r="AC135" s="281">
        <f t="shared" si="166" ca="1"/>
        <v>1058.9600302604401</v>
      </c>
      <c r="AD135" s="162">
        <f t="shared" si="164" ca="1"/>
        <v>1058.9600302604401</v>
      </c>
      <c r="AE135" s="282">
        <f t="shared" ref="AE135:AG135" si="167" ca="1">AE168</f>
        <v>1201.4740561605136</v>
      </c>
      <c r="AF135" s="282">
        <f t="shared" si="167" ca="1"/>
        <v>1224.080188227645</v>
      </c>
      <c r="AG135" s="282">
        <f t="shared" si="167" ca="1"/>
        <v>1245.6581599177973</v>
      </c>
      <c r="AH135" s="16"/>
      <c r="AI135" s="16"/>
      <c r="AJ135" s="16"/>
      <c r="AK135" s="16"/>
    </row>
    <row r="136" ht="13.5" customHeight="1" spans="1:37" x14ac:dyDescent="0.25">
      <c r="A136" s="264"/>
      <c r="B136" s="16"/>
      <c r="C136" s="16" t="s">
        <v>343</v>
      </c>
      <c r="D136" s="16"/>
      <c r="E136" s="16"/>
      <c r="F136" s="354">
        <v>334</v>
      </c>
      <c r="G136" s="354">
        <v>359</v>
      </c>
      <c r="H136" s="354">
        <v>338</v>
      </c>
      <c r="I136" s="354">
        <v>354</v>
      </c>
      <c r="J136" s="355">
        <v>354</v>
      </c>
      <c r="K136" s="354">
        <v>367</v>
      </c>
      <c r="L136" s="354">
        <v>421</v>
      </c>
      <c r="M136" s="354">
        <v>513</v>
      </c>
      <c r="N136" s="354">
        <v>764</v>
      </c>
      <c r="O136" s="355">
        <v>764</v>
      </c>
      <c r="P136" s="354">
        <v>845</v>
      </c>
      <c r="Q136" s="354">
        <v>948</v>
      </c>
      <c r="R136" s="354">
        <v>752</v>
      </c>
      <c r="S136" s="354">
        <v>837</v>
      </c>
      <c r="T136" s="355">
        <v>837</v>
      </c>
      <c r="U136" s="354">
        <v>1074</v>
      </c>
      <c r="V136" s="354">
        <v>980</v>
      </c>
      <c r="W136" s="354">
        <f ca="1">1000+573+1954+3268</f>
        <v>6795</v>
      </c>
      <c r="X136" s="356">
        <f t="shared" si="161" ca="1"/>
        <v>9470.8635</v>
      </c>
      <c r="Y136" s="355">
        <f t="shared" si="162" ca="1"/>
        <v>9470.8635</v>
      </c>
      <c r="Z136" s="356">
        <f t="shared" ref="Z136:AC136" si="168" ca="1">Z169</f>
        <v>9721.503915199999</v>
      </c>
      <c r="AA136" s="356">
        <f t="shared" si="168" ca="1"/>
        <v>11018.081239704</v>
      </c>
      <c r="AB136" s="356">
        <f t="shared" si="168" ca="1"/>
        <v>11340.247357824</v>
      </c>
      <c r="AC136" s="356">
        <f t="shared" si="168" ca="1"/>
        <v>10589.6003026044</v>
      </c>
      <c r="AD136" s="355">
        <f t="shared" si="164" ca="1"/>
        <v>10589.6003026044</v>
      </c>
      <c r="AE136" s="355">
        <f t="shared" ref="AE136:AG136" si="169" ca="1">AE169</f>
        <v>11090.529749173971</v>
      </c>
      <c r="AF136" s="355">
        <f t="shared" si="169" ca="1"/>
        <v>11299.201737485955</v>
      </c>
      <c r="AG136" s="355">
        <f t="shared" si="169" ca="1"/>
        <v>11498.383014625822</v>
      </c>
      <c r="AH136" s="16"/>
      <c r="AI136" s="16"/>
      <c r="AJ136" s="16"/>
      <c r="AK136" s="16"/>
    </row>
    <row r="137" ht="13.5" customHeight="1" spans="1:37" x14ac:dyDescent="0.25">
      <c r="A137" s="264"/>
      <c r="B137" s="16"/>
      <c r="C137" s="139" t="s">
        <v>344</v>
      </c>
      <c r="D137" s="16"/>
      <c r="E137" s="16"/>
      <c r="F137" s="353">
        <f t="shared" ref="F137:I137" si="170" ca="1">SUM(F134:F136)</f>
        <v>5562</v>
      </c>
      <c r="G137" s="353">
        <f ca="1">SUM(G134:G136)</f>
        <v>6324</v>
      </c>
      <c r="H137" s="353">
        <f ca="1">SUM(H134:H136)</f>
        <v>5606</v>
      </c>
      <c r="I137" s="353">
        <f ca="1">SUM(I134:I136)</f>
        <v>5313</v>
      </c>
      <c r="J137" s="282">
        <f ca="1">I137</f>
        <v>5313</v>
      </c>
      <c r="K137" s="353">
        <f t="shared" ref="K137:N137" si="171" ca="1">SUM(K134:K136)</f>
        <v>6010</v>
      </c>
      <c r="L137" s="353">
        <f ca="1">SUM(L134:L136)</f>
        <v>9085</v>
      </c>
      <c r="M137" s="353">
        <f ca="1">SUM(M134:M136)</f>
        <v>7852</v>
      </c>
      <c r="N137" s="353">
        <f ca="1">SUM(N134:N136)</f>
        <v>9381</v>
      </c>
      <c r="O137" s="282">
        <f ca="1">N137</f>
        <v>9381</v>
      </c>
      <c r="P137" s="353">
        <f t="shared" ref="P137:S137" si="172" ca="1">SUM(P134:P136)</f>
        <v>13973</v>
      </c>
      <c r="Q137" s="353">
        <f ca="1">SUM(Q134:Q136)</f>
        <v>13969</v>
      </c>
      <c r="R137" s="353">
        <f ca="1">SUM(R134:R136)</f>
        <v>16479</v>
      </c>
      <c r="S137" s="353">
        <f ca="1">SUM(S134:S136)</f>
        <v>18047</v>
      </c>
      <c r="T137" s="282">
        <f ca="1">S137</f>
        <v>18047</v>
      </c>
      <c r="U137" s="353">
        <f t="shared" ref="U137:X137" si="173" ca="1">SUM(U134:U136)</f>
        <v>26542</v>
      </c>
      <c r="V137" s="353">
        <f ca="1">SUM(V134:V136)</f>
        <v>24257</v>
      </c>
      <c r="W137" s="353">
        <f t="shared" si="173" ca="1"/>
        <v>19482</v>
      </c>
      <c r="X137" s="281">
        <f t="shared" si="173" ca="1"/>
        <v>21741.808382608695</v>
      </c>
      <c r="Y137" s="282">
        <f t="shared" si="162" ca="1"/>
        <v>21741.808382608695</v>
      </c>
      <c r="Z137" s="281">
        <f t="shared" ref="Z137:AC137" si="174" ca="1">SUM(Z134:Z136)</f>
        <v>24908.31884766154</v>
      </c>
      <c r="AA137" s="281">
        <f t="shared" si="174" ca="1"/>
        <v>25478.624924680156</v>
      </c>
      <c r="AB137" s="281">
        <f t="shared" si="174" ca="1"/>
        <v>25540.209266751444</v>
      </c>
      <c r="AC137" s="281">
        <f t="shared" si="174" ca="1"/>
        <v>24310.038955544012</v>
      </c>
      <c r="AD137" s="282">
        <f t="shared" si="164" ca="1"/>
        <v>24310.038955544012</v>
      </c>
      <c r="AE137" s="282">
        <f t="shared" ref="AE137:AG137" si="175" ca="1">SUM(AE134:AE136)</f>
        <v>25965.25966048048</v>
      </c>
      <c r="AF137" s="282">
        <f t="shared" si="175" ca="1"/>
        <v>26453.804615764777</v>
      </c>
      <c r="AG137" s="282">
        <f t="shared" si="175" ca="1"/>
        <v>26920.129822712443</v>
      </c>
      <c r="AH137" s="16"/>
      <c r="AI137" s="16"/>
      <c r="AJ137" s="16"/>
      <c r="AK137" s="16"/>
    </row>
    <row r="138" ht="13.5" customHeight="1" spans="1:37" x14ac:dyDescent="0.25">
      <c r="A138" s="264"/>
      <c r="B138" s="16"/>
      <c r="C138" s="16"/>
      <c r="D138" s="16"/>
      <c r="E138" s="16"/>
      <c r="F138" s="384"/>
      <c r="G138" s="384"/>
      <c r="H138" s="384"/>
      <c r="I138" s="384"/>
      <c r="J138" s="16"/>
      <c r="K138" s="384"/>
      <c r="L138" s="384"/>
      <c r="M138" s="384"/>
      <c r="N138" s="384"/>
      <c r="O138" s="16"/>
      <c r="P138" s="384"/>
      <c r="Q138" s="384"/>
      <c r="R138" s="384"/>
      <c r="S138" s="384"/>
      <c r="T138" s="16"/>
      <c r="U138" s="384"/>
      <c r="V138" s="384"/>
      <c r="W138" s="384"/>
      <c r="X138" s="316"/>
      <c r="Y138" s="16"/>
      <c r="Z138" s="316"/>
      <c r="AA138" s="316"/>
      <c r="AB138" s="316"/>
      <c r="AC138" s="316"/>
      <c r="AD138" s="16"/>
      <c r="AE138" s="16"/>
      <c r="AF138" s="16"/>
      <c r="AG138" s="16"/>
      <c r="AH138" s="16"/>
      <c r="AI138" s="16"/>
      <c r="AJ138" s="16"/>
      <c r="AK138" s="16"/>
    </row>
    <row r="139" ht="13.5" customHeight="1" spans="1:37" x14ac:dyDescent="0.25">
      <c r="A139" s="264"/>
      <c r="B139" s="16"/>
      <c r="C139" s="16" t="s">
        <v>345</v>
      </c>
      <c r="D139" s="16"/>
      <c r="E139" s="16"/>
      <c r="F139" s="392">
        <v>0</v>
      </c>
      <c r="G139" s="392">
        <v>0</v>
      </c>
      <c r="H139" s="392">
        <v>0</v>
      </c>
      <c r="I139" s="392">
        <v>0</v>
      </c>
      <c r="J139" s="282">
        <f t="shared" ref="J139:J143" si="176" ca="1">I139</f>
        <v>1e-12</v>
      </c>
      <c r="K139" s="392">
        <v>0</v>
      </c>
      <c r="L139" s="392">
        <v>0</v>
      </c>
      <c r="M139" s="392">
        <v>0</v>
      </c>
      <c r="N139" s="392">
        <v>0</v>
      </c>
      <c r="O139" s="282">
        <f t="shared" ref="O139:O143" si="177" ca="1">N139</f>
        <v>1e-12</v>
      </c>
      <c r="P139" s="392">
        <v>0</v>
      </c>
      <c r="Q139" s="392">
        <v>0</v>
      </c>
      <c r="R139" s="392">
        <v>0</v>
      </c>
      <c r="S139" s="392">
        <v>0</v>
      </c>
      <c r="T139" s="282">
        <f t="shared" ref="T139:T143" si="178" ca="1">S139</f>
        <v>1e-12</v>
      </c>
      <c r="U139" s="392">
        <v>0</v>
      </c>
      <c r="V139" s="392">
        <v>0</v>
      </c>
      <c r="W139" s="392">
        <v>0</v>
      </c>
      <c r="X139" s="281">
        <f ca="1">X304</f>
        <v>1e-12</v>
      </c>
      <c r="Y139" s="282">
        <f t="shared" ref="Y139:Y143" si="179" ca="1">X139</f>
        <v>1e-12</v>
      </c>
      <c r="Z139" s="281">
        <f t="shared" ref="Z139:AC139" si="180" ca="1">Z304</f>
        <v>1e-12</v>
      </c>
      <c r="AA139" s="281">
        <f t="shared" si="180" ca="1"/>
        <v>3360.380594008213</v>
      </c>
      <c r="AB139" s="281">
        <f t="shared" si="180" ca="1"/>
        <v>6210.176220511417</v>
      </c>
      <c r="AC139" s="281">
        <f t="shared" si="180" ca="1"/>
        <v>8734.044968791919</v>
      </c>
      <c r="AD139" s="282">
        <f t="shared" ref="AD139:AD143" si="181" ca="1">AC139</f>
        <v>8734.044968791919</v>
      </c>
      <c r="AE139" s="282">
        <f t="shared" ref="AE139:AG139" si="182" ca="1">AE304</f>
        <v>18459.1988773053</v>
      </c>
      <c r="AF139" s="282">
        <f t="shared" si="182" ca="1"/>
        <v>33189.80155081459</v>
      </c>
      <c r="AG139" s="282">
        <f t="shared" si="182" ca="1"/>
        <v>49109.17204103117</v>
      </c>
      <c r="AH139" s="16"/>
      <c r="AI139" s="16"/>
      <c r="AJ139" s="16"/>
      <c r="AK139" s="16"/>
    </row>
    <row r="140" ht="13.5" customHeight="1" spans="1:37" x14ac:dyDescent="0.25">
      <c r="A140" s="264"/>
      <c r="B140" s="16"/>
      <c r="C140" s="16" t="s">
        <v>346</v>
      </c>
      <c r="D140" s="16"/>
      <c r="E140" s="16"/>
      <c r="F140" s="358">
        <v>10947</v>
      </c>
      <c r="G140" s="358">
        <v>10949</v>
      </c>
      <c r="H140" s="358">
        <v>10950</v>
      </c>
      <c r="I140" s="358">
        <v>10953</v>
      </c>
      <c r="J140" s="162">
        <v>10953</v>
      </c>
      <c r="K140" s="358">
        <v>10954</v>
      </c>
      <c r="L140" s="358">
        <v>9705</v>
      </c>
      <c r="M140" s="358">
        <v>9706</v>
      </c>
      <c r="N140" s="358">
        <v>9709</v>
      </c>
      <c r="O140" s="162">
        <v>9709</v>
      </c>
      <c r="P140" s="358">
        <v>9710</v>
      </c>
      <c r="Q140" s="358">
        <v>8461</v>
      </c>
      <c r="R140" s="358">
        <v>8462</v>
      </c>
      <c r="S140" s="358">
        <v>8463</v>
      </c>
      <c r="T140" s="162">
        <v>8463</v>
      </c>
      <c r="U140" s="358">
        <v>8464</v>
      </c>
      <c r="V140" s="358">
        <v>8466</v>
      </c>
      <c r="W140" s="358">
        <f ca="1">23881+1352</f>
        <v>25233</v>
      </c>
      <c r="X140" s="359">
        <f ca="1">X310</f>
        <v>24733</v>
      </c>
      <c r="Y140" s="162">
        <f t="shared" si="179" ca="1"/>
        <v>24733</v>
      </c>
      <c r="Z140" s="359">
        <f t="shared" ref="Z140:AC140" si="183" ca="1">Z310</f>
        <v>24233</v>
      </c>
      <c r="AA140" s="359">
        <f t="shared" si="183" ca="1"/>
        <v>23733</v>
      </c>
      <c r="AB140" s="359">
        <f t="shared" si="183" ca="1"/>
        <v>23233</v>
      </c>
      <c r="AC140" s="359">
        <f t="shared" si="183" ca="1"/>
        <v>22733</v>
      </c>
      <c r="AD140" s="162">
        <f t="shared" si="181" ca="1"/>
        <v>22733</v>
      </c>
      <c r="AE140" s="162">
        <f t="shared" ref="AE140:AG140" si="184" ca="1">AE310</f>
        <v>21333</v>
      </c>
      <c r="AF140" s="162">
        <f t="shared" si="184" ca="1"/>
        <v>20033</v>
      </c>
      <c r="AG140" s="162">
        <f t="shared" si="184" ca="1"/>
        <v>18833</v>
      </c>
      <c r="AH140" s="16"/>
      <c r="AI140" s="16"/>
      <c r="AJ140" s="16"/>
      <c r="AK140" s="16"/>
    </row>
    <row r="141" ht="13.5" customHeight="1" spans="1:37" x14ac:dyDescent="0.25">
      <c r="A141" s="264"/>
      <c r="B141" s="16"/>
      <c r="C141" s="16" t="s">
        <v>347</v>
      </c>
      <c r="D141" s="16"/>
      <c r="E141" s="16"/>
      <c r="F141" s="358">
        <v>257</v>
      </c>
      <c r="G141" s="358">
        <v>252</v>
      </c>
      <c r="H141" s="358">
        <v>246</v>
      </c>
      <c r="I141" s="358">
        <v>247</v>
      </c>
      <c r="J141" s="162">
        <v>247</v>
      </c>
      <c r="K141" s="358">
        <v>290</v>
      </c>
      <c r="L141" s="358">
        <v>373</v>
      </c>
      <c r="M141" s="358">
        <v>424</v>
      </c>
      <c r="N141" s="358">
        <v>462</v>
      </c>
      <c r="O141" s="162">
        <v>462</v>
      </c>
      <c r="P141" s="358">
        <v>583</v>
      </c>
      <c r="Q141" s="358">
        <v>697</v>
      </c>
      <c r="R141" s="358">
        <v>790</v>
      </c>
      <c r="S141" s="358">
        <v>886</v>
      </c>
      <c r="T141" s="162">
        <v>886</v>
      </c>
      <c r="U141" s="358">
        <v>1082</v>
      </c>
      <c r="V141" s="358">
        <v>1351</v>
      </c>
      <c r="W141" s="358">
        <v>0</v>
      </c>
      <c r="X141" s="359">
        <f t="shared" ref="X141:X142" si="185" ca="1">X223</f>
        <v>1e-12</v>
      </c>
      <c r="Y141" s="162">
        <f t="shared" si="179" ca="1"/>
        <v>1e-12</v>
      </c>
      <c r="Z141" s="359">
        <f t="shared" ref="Z141:AC141" si="186" ca="1">Z223</f>
        <v>1e-12</v>
      </c>
      <c r="AA141" s="359">
        <f t="shared" si="186" ca="1"/>
        <v>1e-12</v>
      </c>
      <c r="AB141" s="359">
        <f t="shared" si="186" ca="1"/>
        <v>1e-12</v>
      </c>
      <c r="AC141" s="359">
        <f t="shared" si="186" ca="1"/>
        <v>1e-12</v>
      </c>
      <c r="AD141" s="162">
        <f t="shared" si="181" ca="1"/>
        <v>1e-12</v>
      </c>
      <c r="AE141" s="162">
        <f t="shared" ref="AE141:AG141" si="187" ca="1">AE223</f>
        <v>1e-12</v>
      </c>
      <c r="AF141" s="162">
        <f t="shared" si="187" ca="1"/>
        <v>1e-12</v>
      </c>
      <c r="AG141" s="162">
        <f t="shared" si="187" ca="1"/>
        <v>1e-12</v>
      </c>
      <c r="AH141" s="16"/>
      <c r="AI141" s="16"/>
      <c r="AJ141" s="16"/>
      <c r="AK141" s="16"/>
    </row>
    <row r="142" ht="13.5" customHeight="1" spans="1:37" x14ac:dyDescent="0.25">
      <c r="A142" s="264"/>
      <c r="B142" s="16"/>
      <c r="C142" s="16" t="s">
        <v>348</v>
      </c>
      <c r="D142" s="16"/>
      <c r="E142" s="16"/>
      <c r="F142" s="354">
        <v>2126</v>
      </c>
      <c r="G142" s="354">
        <v>2100</v>
      </c>
      <c r="H142" s="354">
        <v>2337</v>
      </c>
      <c r="I142" s="354">
        <v>2568</v>
      </c>
      <c r="J142" s="355">
        <v>2568</v>
      </c>
      <c r="K142" s="354">
        <v>2686</v>
      </c>
      <c r="L142" s="354">
        <v>2891</v>
      </c>
      <c r="M142" s="354">
        <v>2901</v>
      </c>
      <c r="N142" s="354">
        <v>3198</v>
      </c>
      <c r="O142" s="355">
        <v>3198</v>
      </c>
      <c r="P142" s="354">
        <v>3664</v>
      </c>
      <c r="Q142" s="354">
        <v>3943</v>
      </c>
      <c r="R142" s="354">
        <v>4383</v>
      </c>
      <c r="S142" s="354">
        <v>4878</v>
      </c>
      <c r="T142" s="355">
        <v>4878</v>
      </c>
      <c r="U142" s="354">
        <v>5323</v>
      </c>
      <c r="V142" s="354">
        <v>6535</v>
      </c>
      <c r="W142" s="354">
        <f ca="1">4136+1119+1006</f>
        <v>6261</v>
      </c>
      <c r="X142" s="356">
        <f t="shared" si="185" ca="1"/>
        <v>6261</v>
      </c>
      <c r="Y142" s="355">
        <f t="shared" si="179" ca="1"/>
        <v>6261</v>
      </c>
      <c r="Z142" s="356">
        <f t="shared" ref="Z142:AC142" si="188" ca="1">Z224</f>
        <v>6261</v>
      </c>
      <c r="AA142" s="356">
        <f t="shared" si="188" ca="1"/>
        <v>6261</v>
      </c>
      <c r="AB142" s="356">
        <f t="shared" si="188" ca="1"/>
        <v>6261</v>
      </c>
      <c r="AC142" s="356">
        <f t="shared" si="188" ca="1"/>
        <v>6261</v>
      </c>
      <c r="AD142" s="355">
        <f t="shared" si="181" ca="1"/>
        <v>6261</v>
      </c>
      <c r="AE142" s="355">
        <f t="shared" ref="AE142:AG142" si="189" ca="1">AE224</f>
        <v>6261</v>
      </c>
      <c r="AF142" s="355">
        <f t="shared" si="189" ca="1"/>
        <v>6261</v>
      </c>
      <c r="AG142" s="355">
        <f t="shared" si="189" ca="1"/>
        <v>6261</v>
      </c>
      <c r="AH142" s="16"/>
      <c r="AI142" s="16"/>
      <c r="AJ142" s="16"/>
      <c r="AK142" s="16"/>
    </row>
    <row r="143" ht="13.5" customHeight="1" spans="1:37" x14ac:dyDescent="0.25">
      <c r="A143" s="264"/>
      <c r="B143" s="16"/>
      <c r="C143" s="139" t="s">
        <v>349</v>
      </c>
      <c r="D143" s="16"/>
      <c r="E143" s="16"/>
      <c r="F143" s="353">
        <f t="shared" ref="F143:I143" si="190" ca="1">SUM(F139:F142)</f>
        <v>13330</v>
      </c>
      <c r="G143" s="353">
        <f ca="1">SUM(G139:G142)</f>
        <v>13301</v>
      </c>
      <c r="H143" s="353">
        <f ca="1">SUM(H139:H142)</f>
        <v>13533</v>
      </c>
      <c r="I143" s="353">
        <f ca="1">SUM(I139:I142)</f>
        <v>13768</v>
      </c>
      <c r="J143" s="282">
        <f ca="1">I143</f>
        <v>13768</v>
      </c>
      <c r="K143" s="353">
        <f t="shared" ref="K143:N143" si="191" ca="1">SUM(K139:K142)</f>
        <v>13930</v>
      </c>
      <c r="L143" s="353">
        <f ca="1">SUM(L139:L142)</f>
        <v>12969</v>
      </c>
      <c r="M143" s="353">
        <f ca="1">SUM(M139:M142)</f>
        <v>13031</v>
      </c>
      <c r="N143" s="353">
        <f ca="1">SUM(N139:N142)</f>
        <v>13369</v>
      </c>
      <c r="O143" s="282">
        <f ca="1">N143</f>
        <v>13369</v>
      </c>
      <c r="P143" s="353">
        <f t="shared" ref="P143:S143" si="192" ca="1">SUM(P139:P142)</f>
        <v>13957</v>
      </c>
      <c r="Q143" s="353">
        <f ca="1">SUM(Q139:Q142)</f>
        <v>13101</v>
      </c>
      <c r="R143" s="353">
        <f ca="1">SUM(R139:R142)</f>
        <v>13635</v>
      </c>
      <c r="S143" s="353">
        <f ca="1">SUM(S139:S142)</f>
        <v>14227</v>
      </c>
      <c r="T143" s="282">
        <f ca="1">S143</f>
        <v>14227</v>
      </c>
      <c r="U143" s="353">
        <f t="shared" ref="U143:X143" si="193" ca="1">SUM(U139:U142)</f>
        <v>14869</v>
      </c>
      <c r="V143" s="353">
        <f ca="1">SUM(V139:V142)</f>
        <v>16352</v>
      </c>
      <c r="W143" s="353">
        <f t="shared" si="193" ca="1"/>
        <v>31494</v>
      </c>
      <c r="X143" s="281">
        <f t="shared" si="193" ca="1"/>
        <v>30994</v>
      </c>
      <c r="Y143" s="282">
        <f t="shared" si="179" ca="1"/>
        <v>30994</v>
      </c>
      <c r="Z143" s="281">
        <f t="shared" ref="Z143:AC143" si="194" ca="1">SUM(Z139:Z142)</f>
        <v>30494</v>
      </c>
      <c r="AA143" s="281">
        <f t="shared" si="194" ca="1"/>
        <v>33354.38059400821</v>
      </c>
      <c r="AB143" s="281">
        <f t="shared" si="194" ca="1"/>
        <v>35704.17622051142</v>
      </c>
      <c r="AC143" s="281">
        <f t="shared" si="194" ca="1"/>
        <v>37728.04496879192</v>
      </c>
      <c r="AD143" s="282">
        <f t="shared" si="181" ca="1"/>
        <v>37728.04496879192</v>
      </c>
      <c r="AE143" s="282">
        <f t="shared" ref="AE143:AG143" si="195" ca="1">SUM(AE139:AE142)</f>
        <v>46053.1988773053</v>
      </c>
      <c r="AF143" s="282">
        <f t="shared" si="195" ca="1"/>
        <v>59483.80155081459</v>
      </c>
      <c r="AG143" s="282">
        <f t="shared" si="195" ca="1"/>
        <v>74203.17204103117</v>
      </c>
      <c r="AH143" s="16"/>
      <c r="AI143" s="16"/>
      <c r="AJ143" s="16"/>
      <c r="AK143" s="16"/>
    </row>
    <row r="144" ht="13.5" customHeight="1" spans="1:37" x14ac:dyDescent="0.25">
      <c r="A144" s="264"/>
      <c r="B144" s="16"/>
      <c r="C144" s="16"/>
      <c r="D144" s="16"/>
      <c r="E144" s="16"/>
      <c r="F144" s="315"/>
      <c r="G144" s="315"/>
      <c r="H144" s="315"/>
      <c r="I144" s="315"/>
      <c r="J144" s="16"/>
      <c r="K144" s="315"/>
      <c r="L144" s="315"/>
      <c r="M144" s="315"/>
      <c r="N144" s="315"/>
      <c r="O144" s="16"/>
      <c r="P144" s="315"/>
      <c r="Q144" s="315"/>
      <c r="R144" s="315"/>
      <c r="S144" s="315"/>
      <c r="T144" s="16"/>
      <c r="U144" s="315"/>
      <c r="V144" s="315"/>
      <c r="W144" s="315"/>
      <c r="X144" s="316"/>
      <c r="Y144" s="16"/>
      <c r="Z144" s="316"/>
      <c r="AA144" s="316"/>
      <c r="AB144" s="316"/>
      <c r="AC144" s="316"/>
      <c r="AD144" s="16"/>
      <c r="AE144" s="16"/>
      <c r="AF144" s="16"/>
      <c r="AG144" s="16"/>
      <c r="AH144" s="16"/>
      <c r="AI144" s="16"/>
      <c r="AJ144" s="16"/>
      <c r="AK144" s="16"/>
    </row>
    <row r="145" ht="13.5" customHeight="1" spans="1:37" x14ac:dyDescent="0.25">
      <c r="A145" s="264"/>
      <c r="B145" s="16"/>
      <c r="C145" s="139" t="s">
        <v>350</v>
      </c>
      <c r="D145" s="16"/>
      <c r="E145" s="16"/>
      <c r="F145" s="353">
        <f t="shared" ref="F145:AG145" si="196" ca="1">SUM(F137,F143)</f>
        <v>18892</v>
      </c>
      <c r="G145" s="353">
        <f ca="1">SUM(G137,G143)</f>
        <v>19625</v>
      </c>
      <c r="H145" s="353">
        <f ca="1">SUM(H137,H143)</f>
        <v>19139</v>
      </c>
      <c r="I145" s="353">
        <f ca="1">SUM(I137,I143)</f>
        <v>19081</v>
      </c>
      <c r="J145" s="282">
        <f ca="1">SUM(J137,J143)</f>
        <v>19081</v>
      </c>
      <c r="K145" s="353">
        <f ca="1">SUM(K137,K143)</f>
        <v>19940</v>
      </c>
      <c r="L145" s="353">
        <f ca="1">SUM(L137,L143)</f>
        <v>22054</v>
      </c>
      <c r="M145" s="353">
        <f ca="1">SUM(M137,M143)</f>
        <v>20883</v>
      </c>
      <c r="N145" s="353">
        <f ca="1">SUM(N137,N143)</f>
        <v>22750</v>
      </c>
      <c r="O145" s="282">
        <f ca="1">SUM(O137,O143)</f>
        <v>22750</v>
      </c>
      <c r="P145" s="353">
        <f ca="1">SUM(P137,P143)</f>
        <v>27930</v>
      </c>
      <c r="Q145" s="353">
        <f ca="1">SUM(Q137,Q143)</f>
        <v>27070</v>
      </c>
      <c r="R145" s="353">
        <f ca="1">SUM(R137,R143)</f>
        <v>30114</v>
      </c>
      <c r="S145" s="353">
        <f ca="1">SUM(S137,S143)</f>
        <v>32274</v>
      </c>
      <c r="T145" s="282">
        <f ca="1">SUM(T137,T143)</f>
        <v>32274</v>
      </c>
      <c r="U145" s="353">
        <f ca="1">SUM(U137,U143)</f>
        <v>41411</v>
      </c>
      <c r="V145" s="353">
        <f ca="1">SUM(V137,V143)</f>
        <v>40609</v>
      </c>
      <c r="W145" s="353">
        <f t="shared" si="196" ca="1"/>
        <v>50976</v>
      </c>
      <c r="X145" s="281">
        <f t="shared" si="196" ca="1"/>
        <v>52735.808382608695</v>
      </c>
      <c r="Y145" s="282">
        <f t="shared" si="196" ca="1"/>
        <v>52735.808382608695</v>
      </c>
      <c r="Z145" s="281">
        <f t="shared" si="196" ca="1"/>
        <v>55402.31884766154</v>
      </c>
      <c r="AA145" s="281">
        <f t="shared" si="196" ca="1"/>
        <v>58833.00551868837</v>
      </c>
      <c r="AB145" s="281">
        <f t="shared" si="196" ca="1"/>
        <v>61244.385487262865</v>
      </c>
      <c r="AC145" s="281">
        <f t="shared" si="196" ca="1"/>
        <v>62038.08392433593</v>
      </c>
      <c r="AD145" s="282">
        <f t="shared" si="196" ca="1"/>
        <v>62038.08392433593</v>
      </c>
      <c r="AE145" s="282">
        <f t="shared" si="196" ca="1"/>
        <v>72018.45853778577</v>
      </c>
      <c r="AF145" s="282">
        <f t="shared" si="196" ca="1"/>
        <v>85937.60616657937</v>
      </c>
      <c r="AG145" s="282">
        <f t="shared" si="196" ca="1"/>
        <v>101123.3018637436</v>
      </c>
      <c r="AH145" s="16"/>
      <c r="AI145" s="16"/>
      <c r="AJ145" s="16"/>
      <c r="AK145" s="16"/>
    </row>
    <row r="146" ht="13.5" customHeight="1" spans="1:37" x14ac:dyDescent="0.25">
      <c r="A146" s="264"/>
      <c r="B146" s="16"/>
      <c r="C146" s="16"/>
      <c r="D146" s="16"/>
      <c r="E146" s="16"/>
      <c r="F146" s="315"/>
      <c r="G146" s="315"/>
      <c r="H146" s="315"/>
      <c r="I146" s="315"/>
      <c r="J146" s="16"/>
      <c r="K146" s="315"/>
      <c r="L146" s="315"/>
      <c r="M146" s="315"/>
      <c r="N146" s="315"/>
      <c r="O146" s="16"/>
      <c r="P146" s="315"/>
      <c r="Q146" s="315"/>
      <c r="R146" s="315"/>
      <c r="S146" s="315"/>
      <c r="T146" s="16"/>
      <c r="U146" s="315"/>
      <c r="V146" s="315"/>
      <c r="W146" s="315"/>
      <c r="X146" s="316"/>
      <c r="Y146" s="16"/>
      <c r="Z146" s="316"/>
      <c r="AA146" s="316"/>
      <c r="AB146" s="316"/>
      <c r="AC146" s="316"/>
      <c r="AD146" s="16"/>
      <c r="AE146" s="16"/>
      <c r="AF146" s="16"/>
      <c r="AG146" s="16"/>
      <c r="AH146" s="16"/>
      <c r="AI146" s="16"/>
      <c r="AJ146" s="16"/>
      <c r="AK146" s="16"/>
    </row>
    <row r="147" ht="13.5" customHeight="1" spans="1:37" x14ac:dyDescent="0.25">
      <c r="A147" s="264"/>
      <c r="B147" s="16"/>
      <c r="C147" s="16" t="s">
        <v>351</v>
      </c>
      <c r="D147" s="16"/>
      <c r="E147" s="16"/>
      <c r="F147" s="392">
        <v>10626</v>
      </c>
      <c r="G147" s="392">
        <v>10970</v>
      </c>
      <c r="H147" s="392">
        <v>11567</v>
      </c>
      <c r="I147" s="392">
        <v>11973</v>
      </c>
      <c r="J147" s="282">
        <v>11973</v>
      </c>
      <c r="K147" s="392">
        <v>12455</v>
      </c>
      <c r="L147" s="392">
        <v>12631</v>
      </c>
      <c r="M147" s="392">
        <v>12993</v>
      </c>
      <c r="N147" s="392">
        <v>13134</v>
      </c>
      <c r="O147" s="282">
        <v>13134</v>
      </c>
      <c r="P147" s="392">
        <v>12653</v>
      </c>
      <c r="Q147" s="392">
        <v>12140</v>
      </c>
      <c r="R147" s="392">
        <v>11846</v>
      </c>
      <c r="S147" s="392">
        <v>11261</v>
      </c>
      <c r="T147" s="282">
        <v>11261</v>
      </c>
      <c r="U147" s="392">
        <v>11499</v>
      </c>
      <c r="V147" s="392">
        <v>11224</v>
      </c>
      <c r="W147" s="392">
        <v>343</v>
      </c>
      <c r="X147" s="281">
        <f ca="1">X247</f>
        <v>394.3</v>
      </c>
      <c r="Y147" s="282">
        <f t="shared" ref="Y147:Y151" si="197" ca="1">X147</f>
        <v>394.3</v>
      </c>
      <c r="Z147" s="281">
        <f t="shared" ref="Z147:AC147" si="198" ca="1">Z247</f>
        <v>454.834</v>
      </c>
      <c r="AA147" s="281">
        <f t="shared" si="198" ca="1"/>
        <v>523.84276</v>
      </c>
      <c r="AB147" s="281">
        <f t="shared" si="198" ca="1"/>
        <v>584.5704688</v>
      </c>
      <c r="AC147" s="281">
        <f t="shared" si="198" ca="1"/>
        <v>642.2617921599999</v>
      </c>
      <c r="AD147" s="282">
        <f t="shared" ref="AD147:AD151" si="199" ca="1">AC147</f>
        <v>642.2617921599999</v>
      </c>
      <c r="AE147" s="282">
        <f t="shared" ref="AE147:AG147" si="200" ca="1">AE247</f>
        <v>895.1828201632</v>
      </c>
      <c r="AF147" s="282">
        <f t="shared" si="200" ca="1"/>
        <v>1153.162268726464</v>
      </c>
      <c r="AG147" s="282">
        <f t="shared" si="200" ca="1"/>
        <v>1416.3013062609932</v>
      </c>
      <c r="AH147" s="16"/>
      <c r="AI147" s="16"/>
      <c r="AJ147" s="16"/>
      <c r="AK147" s="16"/>
    </row>
    <row r="148" ht="13.5" customHeight="1" spans="1:37" x14ac:dyDescent="0.25">
      <c r="A148" s="264"/>
      <c r="B148" s="16"/>
      <c r="C148" s="16" t="s">
        <v>352</v>
      </c>
      <c r="D148" s="16"/>
      <c r="E148" s="16"/>
      <c r="F148" s="358">
        <v>15758</v>
      </c>
      <c r="G148" s="358">
        <v>12971</v>
      </c>
      <c r="H148" s="358">
        <v>9905</v>
      </c>
      <c r="I148" s="358">
        <v>10171</v>
      </c>
      <c r="J148" s="162">
        <v>10171</v>
      </c>
      <c r="K148" s="358">
        <v>12115</v>
      </c>
      <c r="L148" s="358">
        <v>14921</v>
      </c>
      <c r="M148" s="358">
        <v>20360</v>
      </c>
      <c r="N148" s="358">
        <v>29817</v>
      </c>
      <c r="O148" s="162">
        <v>29817</v>
      </c>
      <c r="P148" s="358">
        <v>36598</v>
      </c>
      <c r="Q148" s="358">
        <v>45961</v>
      </c>
      <c r="R148" s="358">
        <v>53950</v>
      </c>
      <c r="S148" s="358">
        <v>68038</v>
      </c>
      <c r="T148" s="162">
        <v>68038</v>
      </c>
      <c r="U148" s="358">
        <v>72158</v>
      </c>
      <c r="V148" s="358">
        <v>88737</v>
      </c>
      <c r="W148" s="358">
        <f ca="1">-1913</f>
        <v>-1913</v>
      </c>
      <c r="X148" s="359">
        <f ca="1">X256</f>
        <v>-4101.326413000001</v>
      </c>
      <c r="Y148" s="162">
        <f t="shared" si="197" ca="1"/>
        <v>-4101.326413000001</v>
      </c>
      <c r="Z148" s="359">
        <f t="shared" ref="Z148:AC148" si="201" ca="1">Z256</f>
        <v>-6456.137202860004</v>
      </c>
      <c r="AA148" s="359">
        <f t="shared" si="201" ca="1"/>
        <v>-9387.737395559094</v>
      </c>
      <c r="AB148" s="359">
        <f t="shared" si="201" ca="1"/>
        <v>-12455.229919394227</v>
      </c>
      <c r="AC148" s="359">
        <f t="shared" si="201" ca="1"/>
        <v>-14845.70677447005</v>
      </c>
      <c r="AD148" s="162">
        <f t="shared" si="199" ca="1"/>
        <v>-14845.70677447005</v>
      </c>
      <c r="AE148" s="162">
        <f t="shared" ref="AE148:AG148" si="202" ca="1">AE256</f>
        <v>-25395.306748329578</v>
      </c>
      <c r="AF148" s="162">
        <f t="shared" si="202" ca="1"/>
        <v>-36338.38337231649</v>
      </c>
      <c r="AG148" s="162">
        <f t="shared" si="202" ca="1"/>
        <v>-47632.54423988447</v>
      </c>
      <c r="AH148" s="16"/>
      <c r="AI148" s="16"/>
      <c r="AJ148" s="16"/>
      <c r="AK148" s="16"/>
    </row>
    <row r="149" ht="13.5" customHeight="1" spans="1:37" x14ac:dyDescent="0.25">
      <c r="A149" s="264"/>
      <c r="B149" s="16"/>
      <c r="C149" s="16" t="s">
        <v>353</v>
      </c>
      <c r="D149" s="16"/>
      <c r="E149" s="16"/>
      <c r="F149" s="358">
        <v>0</v>
      </c>
      <c r="G149" s="358">
        <v>0</v>
      </c>
      <c r="H149" s="358">
        <v>0</v>
      </c>
      <c r="I149" s="358">
        <v>0</v>
      </c>
      <c r="J149" s="162">
        <v>0</v>
      </c>
      <c r="K149" s="358">
        <v>0</v>
      </c>
      <c r="L149" s="358">
        <v>0</v>
      </c>
      <c r="M149" s="358">
        <v>0</v>
      </c>
      <c r="N149" s="358">
        <v>0</v>
      </c>
      <c r="O149" s="162">
        <v>0</v>
      </c>
      <c r="P149" s="358">
        <v>0</v>
      </c>
      <c r="Q149" s="358">
        <v>0</v>
      </c>
      <c r="R149" s="358">
        <v>0</v>
      </c>
      <c r="S149" s="358">
        <v>0</v>
      </c>
      <c r="T149" s="162">
        <v>0</v>
      </c>
      <c r="U149" s="358">
        <v>0</v>
      </c>
      <c r="V149" s="358">
        <v>0</v>
      </c>
      <c r="W149" s="358">
        <v>0</v>
      </c>
      <c r="X149" s="359">
        <f ca="1">-X241+W149</f>
        <v>-500</v>
      </c>
      <c r="Y149" s="162">
        <f t="shared" si="197" ca="1"/>
        <v>-500</v>
      </c>
      <c r="Z149" s="359">
        <f t="shared" ref="Z149:AC149" si="203" ca="1">-Z241+Y149</f>
        <v>-1000</v>
      </c>
      <c r="AA149" s="359">
        <f t="shared" si="203" ca="1"/>
        <v>-1500</v>
      </c>
      <c r="AB149" s="359">
        <f t="shared" si="203" ca="1"/>
        <v>-2000</v>
      </c>
      <c r="AC149" s="359">
        <f t="shared" si="203" ca="1"/>
        <v>-2500</v>
      </c>
      <c r="AD149" s="162">
        <f t="shared" si="199" ca="1"/>
        <v>-2500</v>
      </c>
      <c r="AE149" s="162">
        <f t="shared" ref="AE149:AG149" si="204" ca="1">-AE241+AD149</f>
        <v>-5500</v>
      </c>
      <c r="AF149" s="162">
        <f t="shared" si="204" ca="1"/>
        <v>-8500</v>
      </c>
      <c r="AG149" s="162">
        <f t="shared" si="204" ca="1"/>
        <v>-11500</v>
      </c>
      <c r="AH149" s="16"/>
      <c r="AI149" s="16"/>
      <c r="AJ149" s="16"/>
      <c r="AK149" s="16"/>
    </row>
    <row r="150" ht="13.5" customHeight="1" spans="1:37" x14ac:dyDescent="0.25">
      <c r="A150" s="264"/>
      <c r="B150" s="16"/>
      <c r="C150" s="16" t="s">
        <v>354</v>
      </c>
      <c r="D150" s="16"/>
      <c r="E150" s="16"/>
      <c r="F150" s="354">
        <v>-64</v>
      </c>
      <c r="G150" s="354">
        <v>-90</v>
      </c>
      <c r="H150" s="354">
        <v>-123</v>
      </c>
      <c r="I150" s="354">
        <v>-43</v>
      </c>
      <c r="J150" s="355">
        <v>-43</v>
      </c>
      <c r="K150" s="354">
        <v>-50</v>
      </c>
      <c r="L150" s="354">
        <v>-51</v>
      </c>
      <c r="M150" s="354">
        <v>-88</v>
      </c>
      <c r="N150" s="354">
        <v>27</v>
      </c>
      <c r="O150" s="355">
        <v>27</v>
      </c>
      <c r="P150" s="354">
        <v>-109</v>
      </c>
      <c r="Q150" s="354">
        <v>56</v>
      </c>
      <c r="R150" s="354">
        <v>103</v>
      </c>
      <c r="S150" s="354">
        <v>28</v>
      </c>
      <c r="T150" s="355">
        <v>28</v>
      </c>
      <c r="U150" s="354">
        <v>186</v>
      </c>
      <c r="V150" s="354">
        <v>170</v>
      </c>
      <c r="W150" s="354">
        <v>-6</v>
      </c>
      <c r="X150" s="356">
        <f ca="1">X261</f>
        <v>-6</v>
      </c>
      <c r="Y150" s="355">
        <f t="shared" si="197" ca="1"/>
        <v>-6</v>
      </c>
      <c r="Z150" s="356">
        <f t="shared" ref="Z150:AC150" si="205" ca="1">Z261</f>
        <v>-6</v>
      </c>
      <c r="AA150" s="356">
        <f t="shared" si="205" ca="1"/>
        <v>-6</v>
      </c>
      <c r="AB150" s="356">
        <f t="shared" si="205" ca="1"/>
        <v>-6</v>
      </c>
      <c r="AC150" s="356">
        <f t="shared" si="205" ca="1"/>
        <v>-6</v>
      </c>
      <c r="AD150" s="355">
        <f t="shared" si="199" ca="1"/>
        <v>-6</v>
      </c>
      <c r="AE150" s="355">
        <f t="shared" ref="AE150:AG150" si="206" ca="1">AE261</f>
        <v>-6</v>
      </c>
      <c r="AF150" s="355">
        <f t="shared" si="206" ca="1"/>
        <v>-6</v>
      </c>
      <c r="AG150" s="355">
        <f t="shared" si="206" ca="1"/>
        <v>-6</v>
      </c>
      <c r="AH150" s="16"/>
      <c r="AI150" s="16"/>
      <c r="AJ150" s="16"/>
      <c r="AK150" s="16"/>
    </row>
    <row r="151" ht="13.5" customHeight="1" spans="1:37" x14ac:dyDescent="0.25">
      <c r="A151" s="264"/>
      <c r="B151" s="16"/>
      <c r="C151" s="139" t="s">
        <v>355</v>
      </c>
      <c r="D151" s="16"/>
      <c r="E151" s="16"/>
      <c r="F151" s="353">
        <f ca="1">SUM(F147:F150)</f>
        <v>26320</v>
      </c>
      <c r="G151" s="353">
        <f ca="1">SUM(G147:G150)</f>
        <v>23851</v>
      </c>
      <c r="H151" s="353">
        <f ca="1">SUM(H147:H150)</f>
        <v>21349</v>
      </c>
      <c r="I151" s="353">
        <f ca="1">SUM(I147:I150)</f>
        <v>22101</v>
      </c>
      <c r="J151" s="282">
        <f ca="1">I151</f>
        <v>22101</v>
      </c>
      <c r="K151" s="353">
        <f ca="1">SUM(K147:K150)</f>
        <v>24520</v>
      </c>
      <c r="L151" s="353">
        <f ca="1">SUM(L147:L150)</f>
        <v>27501</v>
      </c>
      <c r="M151" s="353">
        <f ca="1">SUM(M147:M150)</f>
        <v>33265</v>
      </c>
      <c r="N151" s="353">
        <f ca="1">SUM(N147:N150)</f>
        <v>42978</v>
      </c>
      <c r="O151" s="282">
        <f ca="1">N151</f>
        <v>42978</v>
      </c>
      <c r="P151" s="353">
        <f ca="1">SUM(P147:P150)</f>
        <v>49142</v>
      </c>
      <c r="Q151" s="353">
        <f ca="1">SUM(Q147:Q150)</f>
        <v>58157</v>
      </c>
      <c r="R151" s="353">
        <f ca="1">SUM(R147:R150)</f>
        <v>65899</v>
      </c>
      <c r="S151" s="353">
        <f ca="1">SUM(S147:S150)</f>
        <v>79327</v>
      </c>
      <c r="T151" s="282">
        <f ca="1">S151</f>
        <v>79327</v>
      </c>
      <c r="U151" s="353">
        <f t="shared" ref="U151:X151" si="207" ca="1">SUM(U147:U150)</f>
        <v>83843</v>
      </c>
      <c r="V151" s="353">
        <f ca="1">SUM(V147:V150)</f>
        <v>100131</v>
      </c>
      <c r="W151" s="353">
        <f t="shared" si="207" ca="1"/>
        <v>-1576</v>
      </c>
      <c r="X151" s="281">
        <f t="shared" si="207" ca="1"/>
        <v>-4213.0264130000005</v>
      </c>
      <c r="Y151" s="282">
        <f t="shared" si="197" ca="1"/>
        <v>-4213.0264130000005</v>
      </c>
      <c r="Z151" s="281">
        <f t="shared" ref="Z151:AC151" si="208" ca="1">SUM(Z147:Z150)</f>
        <v>-7007.303202860005</v>
      </c>
      <c r="AA151" s="281">
        <f t="shared" si="208" ca="1"/>
        <v>-10369.894635559094</v>
      </c>
      <c r="AB151" s="281">
        <f t="shared" si="208" ca="1"/>
        <v>-13876.659450594227</v>
      </c>
      <c r="AC151" s="281">
        <f t="shared" si="208" ca="1"/>
        <v>-16709.44498231005</v>
      </c>
      <c r="AD151" s="282">
        <f t="shared" si="199" ca="1"/>
        <v>-16709.44498231005</v>
      </c>
      <c r="AE151" s="282">
        <f t="shared" ref="AE151:AG151" si="209" ca="1">SUM(AE147:AE150)</f>
        <v>-30006.123928166377</v>
      </c>
      <c r="AF151" s="282">
        <f t="shared" si="209" ca="1"/>
        <v>-43691.22110359003</v>
      </c>
      <c r="AG151" s="282">
        <f t="shared" si="209" ca="1"/>
        <v>-57722.24293362348</v>
      </c>
      <c r="AH151" s="16"/>
      <c r="AI151" s="16"/>
      <c r="AJ151" s="16"/>
      <c r="AK151" s="16"/>
    </row>
    <row r="152" ht="13.5" customHeight="1" spans="1:37" x14ac:dyDescent="0.25">
      <c r="A152" s="264"/>
      <c r="B152" s="16"/>
      <c r="C152" s="16"/>
      <c r="D152" s="16"/>
      <c r="E152" s="16"/>
      <c r="F152" s="315"/>
      <c r="G152" s="315"/>
      <c r="H152" s="315"/>
      <c r="I152" s="315"/>
      <c r="J152" s="16"/>
      <c r="K152" s="315"/>
      <c r="L152" s="315"/>
      <c r="M152" s="315"/>
      <c r="N152" s="315"/>
      <c r="O152" s="16"/>
      <c r="P152" s="315"/>
      <c r="Q152" s="315"/>
      <c r="R152" s="315"/>
      <c r="S152" s="315"/>
      <c r="T152" s="16"/>
      <c r="U152" s="315"/>
      <c r="V152" s="315"/>
      <c r="W152" s="315"/>
      <c r="X152" s="316"/>
      <c r="Y152" s="16"/>
      <c r="Z152" s="316"/>
      <c r="AA152" s="316"/>
      <c r="AB152" s="316"/>
      <c r="AC152" s="316"/>
      <c r="AD152" s="16"/>
      <c r="AE152" s="16"/>
      <c r="AF152" s="16"/>
      <c r="AG152" s="16"/>
      <c r="AH152" s="16"/>
      <c r="AI152" s="16"/>
      <c r="AJ152" s="16"/>
      <c r="AK152" s="16"/>
    </row>
    <row r="153" ht="13.5" customHeight="1" spans="1:37" x14ac:dyDescent="0.25">
      <c r="A153" s="264"/>
      <c r="B153" s="16"/>
      <c r="C153" s="16" t="s">
        <v>356</v>
      </c>
      <c r="D153" s="16"/>
      <c r="E153" s="16"/>
      <c r="F153" s="354">
        <v>0</v>
      </c>
      <c r="G153" s="354">
        <v>0</v>
      </c>
      <c r="H153" s="354">
        <v>0</v>
      </c>
      <c r="I153" s="354">
        <v>0</v>
      </c>
      <c r="J153" s="355">
        <v>0</v>
      </c>
      <c r="K153" s="354">
        <v>0</v>
      </c>
      <c r="L153" s="354">
        <v>0</v>
      </c>
      <c r="M153" s="354">
        <v>0</v>
      </c>
      <c r="N153" s="354">
        <v>0</v>
      </c>
      <c r="O153" s="355">
        <v>0</v>
      </c>
      <c r="P153" s="354">
        <v>0</v>
      </c>
      <c r="Q153" s="354">
        <v>0</v>
      </c>
      <c r="R153" s="354">
        <v>0</v>
      </c>
      <c r="S153" s="354">
        <v>0</v>
      </c>
      <c r="T153" s="355">
        <v>0</v>
      </c>
      <c r="U153" s="354">
        <v>0</v>
      </c>
      <c r="V153" s="354">
        <v>0</v>
      </c>
      <c r="W153" s="354">
        <v>0</v>
      </c>
      <c r="X153" s="356">
        <f ca="1">W153+Drivers!X106</f>
        <v>1e-12</v>
      </c>
      <c r="Y153" s="355">
        <f t="shared" ref="Y153:Y154" si="210" ca="1">X153</f>
        <v>1e-12</v>
      </c>
      <c r="Z153" s="356">
        <f ca="1">Y153+Drivers!Z106</f>
        <v>1e-12</v>
      </c>
      <c r="AA153" s="356">
        <f ca="1">Z153+Drivers!AA106</f>
        <v>1e-12</v>
      </c>
      <c r="AB153" s="356">
        <f ca="1">AA153+Drivers!AB106</f>
        <v>1e-12</v>
      </c>
      <c r="AC153" s="356">
        <f ca="1">AB153+Drivers!AC106</f>
        <v>1e-12</v>
      </c>
      <c r="AD153" s="355">
        <f t="shared" ref="AD153:AD154" si="211" ca="1">AC153</f>
        <v>1e-12</v>
      </c>
      <c r="AE153" s="355">
        <f ca="1">AD153+Drivers!AE106</f>
        <v>1e-12</v>
      </c>
      <c r="AF153" s="355">
        <f ca="1">AE153+Drivers!AF106</f>
        <v>1e-12</v>
      </c>
      <c r="AG153" s="355">
        <f ca="1">AF153+Drivers!AG106</f>
        <v>1e-12</v>
      </c>
      <c r="AH153" s="16"/>
      <c r="AI153" s="16"/>
      <c r="AJ153" s="16"/>
      <c r="AK153" s="16"/>
    </row>
    <row r="154" ht="13.5" customHeight="1" spans="1:37" x14ac:dyDescent="0.25">
      <c r="A154" s="264"/>
      <c r="B154" s="16"/>
      <c r="C154" s="139" t="s">
        <v>357</v>
      </c>
      <c r="D154" s="16"/>
      <c r="E154" s="16"/>
      <c r="F154" s="353">
        <f ca="1">SUM(F151:F153)</f>
        <v>26320</v>
      </c>
      <c r="G154" s="353">
        <f ca="1">SUM(G151:G153)</f>
        <v>23851</v>
      </c>
      <c r="H154" s="353">
        <f ca="1">SUM(H151:H153)</f>
        <v>21349</v>
      </c>
      <c r="I154" s="353">
        <f ca="1">SUM(I151:I153)</f>
        <v>22101</v>
      </c>
      <c r="J154" s="282">
        <f ca="1">I154</f>
        <v>22101</v>
      </c>
      <c r="K154" s="353">
        <f ca="1">SUM(K151:K153)</f>
        <v>24520</v>
      </c>
      <c r="L154" s="353">
        <f ca="1">SUM(L151:L153)</f>
        <v>27501</v>
      </c>
      <c r="M154" s="353">
        <f ca="1">SUM(M151:M153)</f>
        <v>33265</v>
      </c>
      <c r="N154" s="353">
        <f ca="1">SUM(N151:N153)</f>
        <v>42978</v>
      </c>
      <c r="O154" s="282">
        <f ca="1">N154</f>
        <v>42978</v>
      </c>
      <c r="P154" s="353">
        <f ca="1">SUM(P151:P153)</f>
        <v>49142</v>
      </c>
      <c r="Q154" s="353">
        <f ca="1">SUM(Q151:Q153)</f>
        <v>58157</v>
      </c>
      <c r="R154" s="353">
        <f ca="1">SUM(R151:R153)</f>
        <v>65899</v>
      </c>
      <c r="S154" s="353">
        <f ca="1">SUM(S151:S153)</f>
        <v>79327</v>
      </c>
      <c r="T154" s="282">
        <f ca="1">S154</f>
        <v>79327</v>
      </c>
      <c r="U154" s="353">
        <f t="shared" ref="U154:X154" si="212" ca="1">SUM(U151:U153)</f>
        <v>83843</v>
      </c>
      <c r="V154" s="353">
        <f ca="1">SUM(V151:V153)</f>
        <v>100131</v>
      </c>
      <c r="W154" s="353">
        <f t="shared" si="212" ca="1"/>
        <v>-1576</v>
      </c>
      <c r="X154" s="281">
        <f t="shared" si="212" ca="1"/>
        <v>-4213.0264130000005</v>
      </c>
      <c r="Y154" s="282">
        <f t="shared" si="210" ca="1"/>
        <v>-4213.0264130000005</v>
      </c>
      <c r="Z154" s="281">
        <f t="shared" ref="Z154:AC154" si="213" ca="1">SUM(Z151:Z153)</f>
        <v>-7007.303202860005</v>
      </c>
      <c r="AA154" s="281">
        <f t="shared" si="213" ca="1"/>
        <v>-10369.894635559094</v>
      </c>
      <c r="AB154" s="281">
        <f t="shared" si="213" ca="1"/>
        <v>-13876.659450594227</v>
      </c>
      <c r="AC154" s="281">
        <f t="shared" si="213" ca="1"/>
        <v>-16709.44498231005</v>
      </c>
      <c r="AD154" s="282">
        <f t="shared" si="211" ca="1"/>
        <v>-16709.44498231005</v>
      </c>
      <c r="AE154" s="282">
        <f t="shared" ref="AE154:AG154" si="214" ca="1">SUM(AE151:AE153)</f>
        <v>-30006.123928166377</v>
      </c>
      <c r="AF154" s="282">
        <f t="shared" si="214" ca="1"/>
        <v>-43691.22110359003</v>
      </c>
      <c r="AG154" s="282">
        <f t="shared" si="214" ca="1"/>
        <v>-57722.24293362348</v>
      </c>
      <c r="AH154" s="16"/>
      <c r="AI154" s="16"/>
      <c r="AJ154" s="16"/>
      <c r="AK154" s="16"/>
    </row>
    <row r="155" ht="13.5" customHeight="1" spans="1:37" x14ac:dyDescent="0.25">
      <c r="A155" s="264"/>
      <c r="B155" s="16"/>
      <c r="C155" s="139"/>
      <c r="D155" s="16"/>
      <c r="E155" s="16"/>
      <c r="F155" s="315"/>
      <c r="G155" s="315"/>
      <c r="H155" s="315"/>
      <c r="I155" s="315"/>
      <c r="J155" s="16"/>
      <c r="K155" s="315"/>
      <c r="L155" s="315"/>
      <c r="M155" s="315"/>
      <c r="N155" s="315"/>
      <c r="O155" s="16"/>
      <c r="P155" s="315"/>
      <c r="Q155" s="315"/>
      <c r="R155" s="315"/>
      <c r="S155" s="315"/>
      <c r="T155" s="16"/>
      <c r="U155" s="315"/>
      <c r="V155" s="315"/>
      <c r="W155" s="315"/>
      <c r="X155" s="316"/>
      <c r="Y155" s="16"/>
      <c r="Z155" s="316"/>
      <c r="AA155" s="316"/>
      <c r="AB155" s="316"/>
      <c r="AC155" s="316"/>
      <c r="AD155" s="16"/>
      <c r="AE155" s="16"/>
      <c r="AF155" s="16"/>
      <c r="AG155" s="16"/>
      <c r="AH155" s="16"/>
      <c r="AI155" s="16"/>
      <c r="AJ155" s="16"/>
      <c r="AK155" s="16"/>
    </row>
    <row r="156" ht="13.5" customHeight="1" spans="1:37" x14ac:dyDescent="0.25">
      <c r="A156" s="264"/>
      <c r="B156" s="16"/>
      <c r="C156" s="139" t="s">
        <v>358</v>
      </c>
      <c r="D156" s="16"/>
      <c r="E156" s="16"/>
      <c r="F156" s="353">
        <f t="shared" ref="F156:AG156" si="215" ca="1">SUM(F145,F154)</f>
        <v>45212</v>
      </c>
      <c r="G156" s="353">
        <f ca="1">SUM(G145,G154)</f>
        <v>43476</v>
      </c>
      <c r="H156" s="353">
        <f ca="1">SUM(H145,H154)</f>
        <v>40488</v>
      </c>
      <c r="I156" s="353">
        <f ca="1">SUM(I145,I154)</f>
        <v>41182</v>
      </c>
      <c r="J156" s="282">
        <f ca="1">SUM(J145,J154)</f>
        <v>41182</v>
      </c>
      <c r="K156" s="353">
        <f ca="1">SUM(K145,K154)</f>
        <v>44460</v>
      </c>
      <c r="L156" s="353">
        <f ca="1">SUM(L145,L154)</f>
        <v>49555</v>
      </c>
      <c r="M156" s="353">
        <f ca="1">SUM(M145,M154)</f>
        <v>54148</v>
      </c>
      <c r="N156" s="353">
        <f ca="1">SUM(N145,N154)</f>
        <v>65728</v>
      </c>
      <c r="O156" s="282">
        <f ca="1">SUM(O145,O154)</f>
        <v>65728</v>
      </c>
      <c r="P156" s="353">
        <f ca="1">SUM(P145,P154)</f>
        <v>77072</v>
      </c>
      <c r="Q156" s="353">
        <f ca="1">SUM(Q145,Q154)</f>
        <v>85227</v>
      </c>
      <c r="R156" s="353">
        <f ca="1">SUM(R145,R154)</f>
        <v>96013</v>
      </c>
      <c r="S156" s="353">
        <f ca="1">SUM(S145,S154)</f>
        <v>111601</v>
      </c>
      <c r="T156" s="282">
        <f ca="1">SUM(T145,T154)</f>
        <v>111601</v>
      </c>
      <c r="U156" s="353">
        <f ca="1">SUM(U145,U154)</f>
        <v>125254</v>
      </c>
      <c r="V156" s="353">
        <f ca="1">SUM(V145,V154)</f>
        <v>140740</v>
      </c>
      <c r="W156" s="353">
        <f t="shared" si="215" ca="1"/>
        <v>49400</v>
      </c>
      <c r="X156" s="281">
        <f t="shared" si="215" ca="1"/>
        <v>48522.781969608695</v>
      </c>
      <c r="Y156" s="282">
        <f t="shared" si="215" ca="1"/>
        <v>48522.781969608695</v>
      </c>
      <c r="Z156" s="281">
        <f t="shared" si="215" ca="1"/>
        <v>48395.01564480153</v>
      </c>
      <c r="AA156" s="281">
        <f t="shared" si="215" ca="1"/>
        <v>48463.11088312927</v>
      </c>
      <c r="AB156" s="281">
        <f t="shared" si="215" ca="1"/>
        <v>47367.72603666864</v>
      </c>
      <c r="AC156" s="281">
        <f t="shared" si="215" ca="1"/>
        <v>45328.63894202588</v>
      </c>
      <c r="AD156" s="282">
        <f t="shared" si="215" ca="1"/>
        <v>45328.63894202588</v>
      </c>
      <c r="AE156" s="282">
        <f t="shared" si="215" ca="1"/>
        <v>42012.3346096194</v>
      </c>
      <c r="AF156" s="282">
        <f t="shared" si="215" ca="1"/>
        <v>42246.385062989335</v>
      </c>
      <c r="AG156" s="282">
        <f t="shared" si="215" ca="1"/>
        <v>43401.058930120125</v>
      </c>
      <c r="AH156" s="16"/>
      <c r="AI156" s="16"/>
      <c r="AJ156" s="16"/>
      <c r="AK156" s="16"/>
    </row>
    <row r="157" ht="13.5" customHeight="1" spans="1:37" x14ac:dyDescent="0.25">
      <c r="A157" s="264"/>
      <c r="B157" s="16"/>
      <c r="C157" s="139"/>
      <c r="D157" s="16"/>
      <c r="E157" s="16"/>
      <c r="F157" s="315"/>
      <c r="G157" s="315"/>
      <c r="H157" s="315"/>
      <c r="I157" s="315"/>
      <c r="J157" s="16"/>
      <c r="K157" s="315"/>
      <c r="L157" s="315"/>
      <c r="M157" s="315"/>
      <c r="N157" s="315"/>
      <c r="O157" s="16"/>
      <c r="P157" s="315"/>
      <c r="Q157" s="315"/>
      <c r="R157" s="315"/>
      <c r="S157" s="315"/>
      <c r="T157" s="16"/>
      <c r="U157" s="315"/>
      <c r="V157" s="315"/>
      <c r="W157" s="315"/>
      <c r="X157" s="316"/>
      <c r="Y157" s="16"/>
      <c r="Z157" s="316"/>
      <c r="AA157" s="316"/>
      <c r="AB157" s="316"/>
      <c r="AC157" s="316"/>
      <c r="AD157" s="16"/>
      <c r="AE157" s="16"/>
      <c r="AF157" s="16"/>
      <c r="AG157" s="16"/>
      <c r="AH157" s="16"/>
      <c r="AI157" s="16"/>
      <c r="AJ157" s="16"/>
      <c r="AK157" s="16"/>
    </row>
    <row r="158" ht="13.5" customHeight="1" spans="1:37" x14ac:dyDescent="0.25">
      <c r="A158" s="264"/>
      <c r="B158" s="386"/>
      <c r="C158" s="400" t="s">
        <v>359</v>
      </c>
      <c r="D158" s="401"/>
      <c r="E158" s="401"/>
      <c r="F158" s="402">
        <f t="shared" ref="F158:AG158" si="216" ca="1">F132-F156</f>
        <v>1e-12</v>
      </c>
      <c r="G158" s="402">
        <f ca="1">G132-G156</f>
        <v>1e-12</v>
      </c>
      <c r="H158" s="402">
        <f ca="1">H132-H156</f>
        <v>1e-12</v>
      </c>
      <c r="I158" s="402">
        <f ca="1">I132-I156</f>
        <v>1e-12</v>
      </c>
      <c r="J158" s="403">
        <f ca="1">J132-J156</f>
        <v>1e-12</v>
      </c>
      <c r="K158" s="402">
        <f ca="1">K132-K156</f>
        <v>1e-12</v>
      </c>
      <c r="L158" s="402">
        <f ca="1">L132-L156</f>
        <v>1e-12</v>
      </c>
      <c r="M158" s="402">
        <f ca="1">M132-M156</f>
        <v>1e-12</v>
      </c>
      <c r="N158" s="402">
        <f ca="1">N132-N156</f>
        <v>1e-12</v>
      </c>
      <c r="O158" s="403">
        <f ca="1">O132-O156</f>
        <v>1e-12</v>
      </c>
      <c r="P158" s="402">
        <f ca="1">P132-P156</f>
        <v>1e-12</v>
      </c>
      <c r="Q158" s="402">
        <f ca="1">Q132-Q156</f>
        <v>1e-12</v>
      </c>
      <c r="R158" s="402">
        <f ca="1">R132-R156</f>
        <v>1e-12</v>
      </c>
      <c r="S158" s="402">
        <f ca="1">S132-S156</f>
        <v>1e-12</v>
      </c>
      <c r="T158" s="403">
        <f ca="1">T132-T156</f>
        <v>1e-12</v>
      </c>
      <c r="U158" s="402">
        <f ca="1">U132-U156</f>
        <v>1e-12</v>
      </c>
      <c r="V158" s="402">
        <f ca="1">V132-V156</f>
        <v>1e-12</v>
      </c>
      <c r="W158" s="402">
        <f t="shared" si="216" ca="1"/>
        <v>1e-12</v>
      </c>
      <c r="X158" s="404">
        <f t="shared" si="216" ca="1"/>
        <v>1e-12</v>
      </c>
      <c r="Y158" s="403">
        <f t="shared" si="216" ca="1"/>
        <v>1e-12</v>
      </c>
      <c r="Z158" s="404">
        <f t="shared" si="216" ca="1"/>
        <v>1e-12</v>
      </c>
      <c r="AA158" s="404">
        <f t="shared" si="216" ca="1"/>
        <v>7.275957614183426e-12</v>
      </c>
      <c r="AB158" s="404">
        <f t="shared" si="216" ca="1"/>
        <v>1e-12</v>
      </c>
      <c r="AC158" s="404">
        <f t="shared" si="216" ca="1"/>
        <v>7.275957614183426e-12</v>
      </c>
      <c r="AD158" s="403">
        <f t="shared" si="216" ca="1"/>
        <v>7.275957614183426e-12</v>
      </c>
      <c r="AE158" s="403">
        <f t="shared" si="216" ca="1"/>
        <v>1e-12</v>
      </c>
      <c r="AF158" s="403">
        <f t="shared" si="216" ca="1"/>
        <v>1e-12</v>
      </c>
      <c r="AG158" s="405">
        <f t="shared" si="216" ca="1"/>
        <v>7.275957614183426e-12</v>
      </c>
      <c r="AH158" s="303"/>
      <c r="AI158" s="303"/>
      <c r="AJ158" s="303"/>
      <c r="AK158" s="303"/>
    </row>
    <row r="159" ht="13.5" customHeight="1" spans="1:37" x14ac:dyDescent="0.25">
      <c r="A159" s="264"/>
      <c r="B159" s="16"/>
      <c r="C159" s="16"/>
      <c r="D159" s="16"/>
      <c r="E159" s="16"/>
      <c r="F159" s="315"/>
      <c r="G159" s="315"/>
      <c r="H159" s="315"/>
      <c r="I159" s="315"/>
      <c r="J159" s="16"/>
      <c r="K159" s="315"/>
      <c r="L159" s="315"/>
      <c r="M159" s="315"/>
      <c r="N159" s="315"/>
      <c r="O159" s="16"/>
      <c r="P159" s="315"/>
      <c r="Q159" s="315"/>
      <c r="R159" s="315"/>
      <c r="S159" s="315"/>
      <c r="T159" s="16"/>
      <c r="U159" s="315"/>
      <c r="V159" s="315"/>
      <c r="W159" s="315"/>
      <c r="X159" s="316"/>
      <c r="Y159" s="16"/>
      <c r="Z159" s="316"/>
      <c r="AA159" s="316"/>
      <c r="AB159" s="316"/>
      <c r="AC159" s="316"/>
      <c r="AD159" s="16"/>
      <c r="AE159" s="16"/>
      <c r="AF159" s="16"/>
      <c r="AG159" s="16"/>
      <c r="AH159" s="16"/>
      <c r="AI159" s="16"/>
      <c r="AJ159" s="16"/>
      <c r="AK159" s="16"/>
    </row>
    <row r="160" ht="13.5" customHeight="1" spans="1:37" x14ac:dyDescent="0.25">
      <c r="A160" s="264" t="s">
        <v>1</v>
      </c>
      <c r="B160" s="47"/>
      <c r="C160" s="62" t="s">
        <v>360</v>
      </c>
      <c r="D160" s="19"/>
      <c r="E160" s="19"/>
      <c r="F160" s="313">
        <f ca="1">F$25</f>
        <v>1e-12</v>
      </c>
      <c r="G160" s="63">
        <f t="shared" ref="G160:AG160" si="217" ca="1">G$63</f>
        <v>1e-12</v>
      </c>
      <c r="H160" s="63">
        <f ca="1">H$63</f>
        <v>1e-12</v>
      </c>
      <c r="I160" s="63">
        <f ca="1">I$63</f>
        <v>1e-12</v>
      </c>
      <c r="J160" s="63">
        <f ca="1">J$63</f>
        <v>2023</v>
      </c>
      <c r="K160" s="63">
        <f ca="1">K$63</f>
        <v>1e-12</v>
      </c>
      <c r="L160" s="63">
        <f ca="1">L$63</f>
        <v>1e-12</v>
      </c>
      <c r="M160" s="63">
        <f ca="1">M$63</f>
        <v>1e-12</v>
      </c>
      <c r="N160" s="63">
        <f ca="1">N$63</f>
        <v>1e-12</v>
      </c>
      <c r="O160" s="63">
        <f ca="1">O$63</f>
        <v>2024</v>
      </c>
      <c r="P160" s="63">
        <f ca="1">P$63</f>
        <v>1e-12</v>
      </c>
      <c r="Q160" s="63">
        <f ca="1">Q$63</f>
        <v>1e-12</v>
      </c>
      <c r="R160" s="63">
        <f ca="1">R$63</f>
        <v>1e-12</v>
      </c>
      <c r="S160" s="63">
        <f ca="1">S$63</f>
        <v>1e-12</v>
      </c>
      <c r="T160" s="63">
        <f ca="1">T$63</f>
        <v>2025</v>
      </c>
      <c r="U160" s="63">
        <f ca="1">U$63</f>
        <v>1e-12</v>
      </c>
      <c r="V160" s="63">
        <f ca="1">V$63</f>
        <v>1e-12</v>
      </c>
      <c r="W160" s="63" t="str">
        <f ca="1">W$63</f>
        <v>3Q26e</v>
      </c>
      <c r="X160" s="63" t="str">
        <f ca="1">X$63</f>
        <v>4Q26e</v>
      </c>
      <c r="Y160" s="63" t="str">
        <f ca="1">Y$63</f>
        <v>2026e</v>
      </c>
      <c r="Z160" s="63" t="str">
        <f ca="1">Z$63</f>
        <v>1Q27e</v>
      </c>
      <c r="AA160" s="63" t="str">
        <f ca="1">AA$63</f>
        <v>2Q27e</v>
      </c>
      <c r="AB160" s="63" t="str">
        <f ca="1">AB$63</f>
        <v>3Q27e</v>
      </c>
      <c r="AC160" s="63" t="str">
        <f ca="1">AC$63</f>
        <v>4Q27e</v>
      </c>
      <c r="AD160" s="63" t="str">
        <f ca="1">AD$63</f>
        <v>2027e</v>
      </c>
      <c r="AE160" s="63" t="str">
        <f ca="1">AE$63</f>
        <v>2028e</v>
      </c>
      <c r="AF160" s="63" t="str">
        <f ca="1">AF$63</f>
        <v>2029e</v>
      </c>
      <c r="AG160" s="64" t="str">
        <f ca="1">AG$63</f>
        <v>2030e</v>
      </c>
      <c r="AH160" s="264" t="s">
        <v>1</v>
      </c>
      <c r="AI160" s="16"/>
      <c r="AJ160" s="16"/>
      <c r="AK160" s="16"/>
    </row>
    <row r="161" ht="13.5" customHeight="1" spans="1:37" x14ac:dyDescent="0.25">
      <c r="A161" s="264"/>
      <c r="B161" s="16"/>
      <c r="C161" s="16"/>
      <c r="D161" s="16"/>
      <c r="E161" s="16"/>
      <c r="F161" s="315"/>
      <c r="G161" s="315"/>
      <c r="H161" s="315"/>
      <c r="I161" s="315"/>
      <c r="J161" s="16"/>
      <c r="K161" s="315"/>
      <c r="L161" s="315"/>
      <c r="M161" s="315"/>
      <c r="N161" s="315"/>
      <c r="O161" s="16"/>
      <c r="P161" s="315"/>
      <c r="Q161" s="315"/>
      <c r="R161" s="315"/>
      <c r="S161" s="315"/>
      <c r="T161" s="16"/>
      <c r="U161" s="315"/>
      <c r="V161" s="315"/>
      <c r="W161" s="315"/>
      <c r="X161" s="316"/>
      <c r="Y161" s="16"/>
      <c r="Z161" s="316"/>
      <c r="AA161" s="316"/>
      <c r="AB161" s="316"/>
      <c r="AC161" s="316"/>
      <c r="AD161" s="16"/>
      <c r="AE161" s="16"/>
      <c r="AF161" s="16"/>
      <c r="AG161" s="16"/>
      <c r="AH161" s="16"/>
      <c r="AI161" s="16"/>
      <c r="AJ161" s="16"/>
      <c r="AK161" s="16"/>
    </row>
    <row r="162" ht="13.5" customHeight="1" spans="1:37" x14ac:dyDescent="0.25">
      <c r="A162" s="264"/>
      <c r="B162" s="16"/>
      <c r="C162" s="139" t="str">
        <f t="shared" ref="C162:C164" si="218" ca="1">C121</f>
        <v>Accounts Receivable</v>
      </c>
      <c r="D162" s="16"/>
      <c r="E162" s="16"/>
      <c r="F162" s="353">
        <f t="shared" ref="F162:W162" si="219" ca="1">F121</f>
        <v>5438</v>
      </c>
      <c r="G162" s="353">
        <f ca="1">G121</f>
        <v>5317</v>
      </c>
      <c r="H162" s="353">
        <f ca="1">H121</f>
        <v>4908</v>
      </c>
      <c r="I162" s="353">
        <f ca="1">I121</f>
        <v>3827</v>
      </c>
      <c r="J162" s="282">
        <f ca="1">J121</f>
        <v>3827</v>
      </c>
      <c r="K162" s="353">
        <f ca="1">K121</f>
        <v>4080</v>
      </c>
      <c r="L162" s="353">
        <f ca="1">L121</f>
        <v>7066</v>
      </c>
      <c r="M162" s="353">
        <f ca="1">M121</f>
        <v>8309</v>
      </c>
      <c r="N162" s="353">
        <f ca="1">N121</f>
        <v>9999</v>
      </c>
      <c r="O162" s="282">
        <f ca="1">O121</f>
        <v>9999</v>
      </c>
      <c r="P162" s="353">
        <f ca="1">P121</f>
        <v>12365</v>
      </c>
      <c r="Q162" s="353">
        <f ca="1">Q121</f>
        <v>14132</v>
      </c>
      <c r="R162" s="353">
        <f ca="1">R121</f>
        <v>17693</v>
      </c>
      <c r="S162" s="353">
        <f ca="1">S121</f>
        <v>23065</v>
      </c>
      <c r="T162" s="282">
        <f ca="1">T121</f>
        <v>23065</v>
      </c>
      <c r="U162" s="353">
        <f ca="1">U121</f>
        <v>22132</v>
      </c>
      <c r="V162" s="353">
        <f ca="1">V121</f>
        <v>27808</v>
      </c>
      <c r="W162" s="353">
        <f ca="1">W121</f>
        <v>1e-12</v>
      </c>
      <c r="X162" s="281">
        <f ca="1">X182*X28/X$26</f>
        <v>1e-12</v>
      </c>
      <c r="Y162" s="282">
        <f t="shared" ref="Y162:Y164" si="220" ca="1">X162</f>
        <v>1e-12</v>
      </c>
      <c r="Z162" s="281">
        <f t="shared" ref="Z162:AC162" si="221" ca="1">Z182*Z28/Z$26</f>
        <v>1e-12</v>
      </c>
      <c r="AA162" s="281">
        <f ca="1">AA182*AA28/AA$26</f>
        <v>1e-12</v>
      </c>
      <c r="AB162" s="281">
        <f ca="1">AB182*AB28/AB$26</f>
        <v>1e-12</v>
      </c>
      <c r="AC162" s="281">
        <f ca="1">AC182*AC28/AC$26</f>
        <v>1e-12</v>
      </c>
      <c r="AD162" s="282">
        <f t="shared" ref="AD162:AD164" si="222" ca="1">AC162</f>
        <v>1e-12</v>
      </c>
      <c r="AE162" s="282">
        <f t="shared" ref="AE162:AG162" si="223" ca="1">AE182*AE28/AE$26</f>
        <v>1e-12</v>
      </c>
      <c r="AF162" s="282">
        <f ca="1">AF182*AF28/AF$26</f>
        <v>1e-12</v>
      </c>
      <c r="AG162" s="282">
        <f ca="1">AG182*AG28/AG$26</f>
        <v>1e-12</v>
      </c>
      <c r="AH162" s="16"/>
      <c r="AI162" s="16"/>
      <c r="AJ162" s="16"/>
      <c r="AK162" s="16"/>
    </row>
    <row r="163" ht="13.5" customHeight="1" spans="1:37" x14ac:dyDescent="0.25">
      <c r="A163" s="264"/>
      <c r="B163" s="16"/>
      <c r="C163" s="139" t="str">
        <f ca="1">C122</f>
        <v>Inventory</v>
      </c>
      <c r="D163" s="16"/>
      <c r="E163" s="16"/>
      <c r="F163" s="384">
        <f t="shared" ref="F163:W163" si="224" ca="1">F122</f>
        <v>3163</v>
      </c>
      <c r="G163" s="384">
        <f ca="1">G122</f>
        <v>3889</v>
      </c>
      <c r="H163" s="384">
        <f ca="1">H122</f>
        <v>4454</v>
      </c>
      <c r="I163" s="384">
        <f ca="1">I122</f>
        <v>5159</v>
      </c>
      <c r="J163" s="162">
        <f ca="1">J122</f>
        <v>5159</v>
      </c>
      <c r="K163" s="384">
        <f ca="1">K122</f>
        <v>4611</v>
      </c>
      <c r="L163" s="384">
        <f ca="1">L122</f>
        <v>4319</v>
      </c>
      <c r="M163" s="384">
        <f ca="1">M122</f>
        <v>4779</v>
      </c>
      <c r="N163" s="384">
        <f ca="1">N122</f>
        <v>5282</v>
      </c>
      <c r="O163" s="162">
        <f ca="1">O122</f>
        <v>5282</v>
      </c>
      <c r="P163" s="384">
        <f ca="1">P122</f>
        <v>5864</v>
      </c>
      <c r="Q163" s="384">
        <f ca="1">Q122</f>
        <v>6675</v>
      </c>
      <c r="R163" s="384">
        <f ca="1">R122</f>
        <v>7654</v>
      </c>
      <c r="S163" s="384">
        <f ca="1">S122</f>
        <v>10080</v>
      </c>
      <c r="T163" s="162">
        <f ca="1">T122</f>
        <v>10080</v>
      </c>
      <c r="U163" s="384">
        <f ca="1">U122</f>
        <v>11333</v>
      </c>
      <c r="V163" s="384">
        <f ca="1">V122</f>
        <v>14962</v>
      </c>
      <c r="W163" s="384">
        <f ca="1">W122</f>
        <v>16685</v>
      </c>
      <c r="X163" s="359">
        <f ca="1">X183*-X29/X$26</f>
        <v>18529.950326086957</v>
      </c>
      <c r="Y163" s="162">
        <f ca="1">X163</f>
        <v>18529.950326086957</v>
      </c>
      <c r="Z163" s="359">
        <f t="shared" ref="Z163:AC163" si="225" ca="1">Z183*-Z29/Z$26</f>
        <v>23065.506292307695</v>
      </c>
      <c r="AA163" s="359">
        <f ca="1">AA183*-AA29/AA$26</f>
        <v>22014.14833107692</v>
      </c>
      <c r="AB163" s="359">
        <f ca="1">AB183*-AB29/AB$26</f>
        <v>20954.80490032696</v>
      </c>
      <c r="AC163" s="359">
        <f ca="1">AC183*-AC29/AC$26</f>
        <v>20718.783200747737</v>
      </c>
      <c r="AD163" s="162">
        <f ca="1">AC163</f>
        <v>20718.783200747737</v>
      </c>
      <c r="AE163" s="162">
        <f t="shared" ref="AE163:AG163" si="226" ca="1">AE183*-AE29/AE$26</f>
        <v>21269.509108004873</v>
      </c>
      <c r="AF163" s="162">
        <f ca="1">AF183*-AF29/AF$26</f>
        <v>21669.70196230183</v>
      </c>
      <c r="AG163" s="162">
        <f ca="1">AG183*-AG29/AG$26</f>
        <v>22051.69345270706</v>
      </c>
      <c r="AH163" s="16"/>
      <c r="AI163" s="16"/>
      <c r="AJ163" s="16"/>
      <c r="AK163" s="16"/>
    </row>
    <row r="164" ht="13.5" customHeight="1" spans="1:37" x14ac:dyDescent="0.25">
      <c r="A164" s="264"/>
      <c r="B164" s="16"/>
      <c r="C164" s="139" t="str">
        <f ca="1">C123</f>
        <v>Prepaid &amp; Other Current Assets</v>
      </c>
      <c r="D164" s="16"/>
      <c r="E164" s="16"/>
      <c r="F164" s="372">
        <f t="shared" ref="F164:W164" si="227" ca="1">F123</f>
        <v>636</v>
      </c>
      <c r="G164" s="372">
        <f ca="1">G123</f>
        <v>1175</v>
      </c>
      <c r="H164" s="372">
        <f ca="1">H123</f>
        <v>718</v>
      </c>
      <c r="I164" s="372">
        <f ca="1">I123</f>
        <v>791</v>
      </c>
      <c r="J164" s="355">
        <f ca="1">J123</f>
        <v>791</v>
      </c>
      <c r="K164" s="372">
        <f ca="1">K123</f>
        <v>872</v>
      </c>
      <c r="L164" s="372">
        <f ca="1">L123</f>
        <v>1389</v>
      </c>
      <c r="M164" s="372">
        <f ca="1">M123</f>
        <v>1289</v>
      </c>
      <c r="N164" s="372">
        <f ca="1">N123</f>
        <v>3080</v>
      </c>
      <c r="O164" s="355">
        <f ca="1">O123</f>
        <v>3080</v>
      </c>
      <c r="P164" s="372">
        <f ca="1">P123</f>
        <v>4062</v>
      </c>
      <c r="Q164" s="372">
        <f ca="1">Q123</f>
        <v>4026</v>
      </c>
      <c r="R164" s="372">
        <f ca="1">R123</f>
        <v>3806</v>
      </c>
      <c r="S164" s="372">
        <f ca="1">S123</f>
        <v>3771</v>
      </c>
      <c r="T164" s="355">
        <f ca="1">T123</f>
        <v>3771</v>
      </c>
      <c r="U164" s="372">
        <f ca="1">U123</f>
        <v>2779</v>
      </c>
      <c r="V164" s="372">
        <f ca="1">V123</f>
        <v>2658</v>
      </c>
      <c r="W164" s="372">
        <f ca="1">W123</f>
        <v>1491</v>
      </c>
      <c r="X164" s="356">
        <f ca="1">X186*X28*4</f>
        <v>1e-12</v>
      </c>
      <c r="Y164" s="355">
        <f ca="1">X164</f>
        <v>1e-12</v>
      </c>
      <c r="Z164" s="356">
        <f t="shared" ref="Z164:AC164" si="228" ca="1">Z186*Z28*4</f>
        <v>1849.7576159999996</v>
      </c>
      <c r="AA164" s="356">
        <f ca="1">AA186*AA28*4</f>
        <v>2108.72368224</v>
      </c>
      <c r="AB164" s="356">
        <f ca="1">AB186*AB28*4</f>
        <v>1855.6768403712</v>
      </c>
      <c r="AC164" s="356">
        <f ca="1">AC186*AC28*4</f>
        <v>1762.8929983526398</v>
      </c>
      <c r="AD164" s="355">
        <f ca="1">AC164</f>
        <v>1762.8929983526398</v>
      </c>
      <c r="AE164" s="355">
        <f t="shared" ref="AE164:AG164" si="229" ca="1">AE186*AE28</f>
        <v>1932.1480399257787</v>
      </c>
      <c r="AF164" s="355">
        <f ca="1">AF186*AF28</f>
        <v>1970.7910007242942</v>
      </c>
      <c r="AG164" s="355">
        <f ca="1">AG186*AG28</f>
        <v>2010.2068207387802</v>
      </c>
      <c r="AH164" s="16"/>
      <c r="AI164" s="16"/>
      <c r="AJ164" s="16"/>
      <c r="AK164" s="16"/>
    </row>
    <row r="165" ht="13.5" customHeight="1" spans="1:37" x14ac:dyDescent="0.25">
      <c r="A165" s="264"/>
      <c r="B165" s="16"/>
      <c r="C165" s="16" t="s">
        <v>361</v>
      </c>
      <c r="D165" s="16"/>
      <c r="E165" s="16"/>
      <c r="F165" s="353">
        <f t="shared" ref="F165:AG165" si="230" ca="1">SUM(F162:F164)</f>
        <v>9237</v>
      </c>
      <c r="G165" s="353">
        <f ca="1">SUM(G162:G164)</f>
        <v>10381</v>
      </c>
      <c r="H165" s="353">
        <f ca="1">SUM(H162:H164)</f>
        <v>10080</v>
      </c>
      <c r="I165" s="353">
        <f ca="1">SUM(I162:I164)</f>
        <v>9777</v>
      </c>
      <c r="J165" s="282">
        <f ca="1">SUM(J162:J164)</f>
        <v>9777</v>
      </c>
      <c r="K165" s="353">
        <f ca="1">SUM(K162:K164)</f>
        <v>9563</v>
      </c>
      <c r="L165" s="353">
        <f ca="1">SUM(L162:L164)</f>
        <v>12774</v>
      </c>
      <c r="M165" s="353">
        <f ca="1">SUM(M162:M164)</f>
        <v>14377</v>
      </c>
      <c r="N165" s="353">
        <f ca="1">SUM(N162:N164)</f>
        <v>18361</v>
      </c>
      <c r="O165" s="282">
        <f ca="1">SUM(O162:O164)</f>
        <v>18361</v>
      </c>
      <c r="P165" s="353">
        <f ca="1">SUM(P162:P164)</f>
        <v>22291</v>
      </c>
      <c r="Q165" s="353">
        <f ca="1">SUM(Q162:Q164)</f>
        <v>24833</v>
      </c>
      <c r="R165" s="353">
        <f ca="1">SUM(R162:R164)</f>
        <v>29153</v>
      </c>
      <c r="S165" s="353">
        <f ca="1">SUM(S162:S164)</f>
        <v>36916</v>
      </c>
      <c r="T165" s="282">
        <f ca="1">SUM(T162:T164)</f>
        <v>36916</v>
      </c>
      <c r="U165" s="353">
        <f ca="1">SUM(U162:U164)</f>
        <v>36244</v>
      </c>
      <c r="V165" s="353">
        <f ca="1">SUM(V162:V164)</f>
        <v>45428</v>
      </c>
      <c r="W165" s="353">
        <f ca="1">SUM(W162:W164)</f>
        <v>18176</v>
      </c>
      <c r="X165" s="281">
        <f ca="1">SUM(X162:X164)</f>
        <v>18529.950326086957</v>
      </c>
      <c r="Y165" s="282">
        <f ca="1">SUM(Y162:Y164)</f>
        <v>18529.950326086957</v>
      </c>
      <c r="Z165" s="281">
        <f ca="1">SUM(Z162:Z164)</f>
        <v>24915.263908307694</v>
      </c>
      <c r="AA165" s="281">
        <f ca="1">SUM(AA162:AA164)</f>
        <v>24122.872013316923</v>
      </c>
      <c r="AB165" s="281">
        <f ca="1">SUM(AB162:AB164)</f>
        <v>22810.48174069816</v>
      </c>
      <c r="AC165" s="281">
        <f ca="1">SUM(AC162:AC164)</f>
        <v>22481.676199100377</v>
      </c>
      <c r="AD165" s="282">
        <f ca="1">SUM(AD162:AD164)</f>
        <v>22481.676199100377</v>
      </c>
      <c r="AE165" s="282">
        <f ca="1">SUM(AE162:AE164)</f>
        <v>23201.65714793065</v>
      </c>
      <c r="AF165" s="282">
        <f ca="1">SUM(AF162:AF164)</f>
        <v>23640.492963026125</v>
      </c>
      <c r="AG165" s="282">
        <f ca="1">SUM(AG162:AG164)</f>
        <v>24061.90027344584</v>
      </c>
      <c r="AH165" s="16"/>
      <c r="AI165" s="16"/>
      <c r="AJ165" s="16"/>
      <c r="AK165" s="16"/>
    </row>
    <row r="166" ht="13.5" customHeight="1" spans="1:37" x14ac:dyDescent="0.25">
      <c r="A166" s="264"/>
      <c r="B166" s="16"/>
      <c r="C166" s="16"/>
      <c r="D166" s="16"/>
      <c r="E166" s="16"/>
      <c r="F166" s="315"/>
      <c r="G166" s="315"/>
      <c r="H166" s="315"/>
      <c r="I166" s="315"/>
      <c r="J166" s="16"/>
      <c r="K166" s="315"/>
      <c r="L166" s="315"/>
      <c r="M166" s="315"/>
      <c r="N166" s="315"/>
      <c r="O166" s="16"/>
      <c r="P166" s="315"/>
      <c r="Q166" s="315"/>
      <c r="R166" s="315"/>
      <c r="S166" s="315"/>
      <c r="T166" s="16"/>
      <c r="U166" s="315"/>
      <c r="V166" s="315"/>
      <c r="W166" s="315"/>
      <c r="X166" s="316"/>
      <c r="Y166" s="16"/>
      <c r="Z166" s="316"/>
      <c r="AA166" s="316"/>
      <c r="AB166" s="316"/>
      <c r="AC166" s="316"/>
      <c r="AD166" s="16"/>
      <c r="AE166" s="16"/>
      <c r="AF166" s="16"/>
      <c r="AG166" s="16"/>
      <c r="AH166" s="16"/>
      <c r="AI166" s="16"/>
      <c r="AJ166" s="16"/>
      <c r="AK166" s="16"/>
    </row>
    <row r="167" ht="13.5" customHeight="1" spans="1:37" x14ac:dyDescent="0.25">
      <c r="A167" s="264"/>
      <c r="B167" s="16"/>
      <c r="C167" s="139" t="str">
        <f t="shared" ref="C167:C169" si="231" ca="1">C134</f>
        <v>Accounts Payable</v>
      </c>
      <c r="D167" s="16"/>
      <c r="E167" s="16"/>
      <c r="F167" s="353">
        <f t="shared" ref="F167:W167" si="232" ca="1">F134</f>
        <v>1999</v>
      </c>
      <c r="G167" s="353">
        <f ca="1">G134</f>
        <v>2421</v>
      </c>
      <c r="H167" s="353">
        <f ca="1">H134</f>
        <v>1491</v>
      </c>
      <c r="I167" s="353">
        <f ca="1">I134</f>
        <v>1193</v>
      </c>
      <c r="J167" s="282">
        <f ca="1">J134</f>
        <v>1193</v>
      </c>
      <c r="K167" s="353">
        <f ca="1">K134</f>
        <v>1141</v>
      </c>
      <c r="L167" s="353">
        <f ca="1">L134</f>
        <v>1929</v>
      </c>
      <c r="M167" s="353">
        <f ca="1">M134</f>
        <v>2380</v>
      </c>
      <c r="N167" s="353">
        <f ca="1">N134</f>
        <v>2699</v>
      </c>
      <c r="O167" s="282">
        <f ca="1">O134</f>
        <v>2699</v>
      </c>
      <c r="P167" s="353">
        <f ca="1">P134</f>
        <v>2715</v>
      </c>
      <c r="Q167" s="353">
        <f ca="1">Q134</f>
        <v>3680</v>
      </c>
      <c r="R167" s="353">
        <f ca="1">R134</f>
        <v>5353</v>
      </c>
      <c r="S167" s="353">
        <f ca="1">S134</f>
        <v>6310</v>
      </c>
      <c r="T167" s="282">
        <f ca="1">T134</f>
        <v>6310</v>
      </c>
      <c r="U167" s="353">
        <f ca="1">U134</f>
        <v>7331</v>
      </c>
      <c r="V167" s="353">
        <f ca="1">V134</f>
        <v>9064</v>
      </c>
      <c r="W167" s="353">
        <f ca="1">W134</f>
        <v>11334</v>
      </c>
      <c r="X167" s="281">
        <f ca="1">X184*-X29/X26</f>
        <v>11323.858532608696</v>
      </c>
      <c r="Y167" s="282">
        <f t="shared" ref="Y167:Y169" si="233" ca="1">X167</f>
        <v>11323.858532608696</v>
      </c>
      <c r="Z167" s="281">
        <f t="shared" ref="Z167:AC167" si="234" ca="1">Z184*-Z29/Z26</f>
        <v>14082.098578461539</v>
      </c>
      <c r="AA167" s="281">
        <f ca="1">AA184*-AA29/AA26</f>
        <v>13208.488998646155</v>
      </c>
      <c r="AB167" s="281">
        <f ca="1">AB184*-AB29/AB26</f>
        <v>13065.937173145043</v>
      </c>
      <c r="AC167" s="281">
        <f ca="1">AC184*-AC29/AC26</f>
        <v>12661.478622679173</v>
      </c>
      <c r="AD167" s="282">
        <f t="shared" ref="AD167:AD169" si="235" ca="1">AC167</f>
        <v>12661.478622679173</v>
      </c>
      <c r="AE167" s="282">
        <f t="shared" ref="AE167:AG167" si="236" ca="1">AE184*-AE29/AE26</f>
        <v>13673.255855145992</v>
      </c>
      <c r="AF167" s="282">
        <f ca="1">AF184*-AF29/AF26</f>
        <v>13930.522690051177</v>
      </c>
      <c r="AG167" s="282">
        <f ca="1">AG184*-AG29/AG26</f>
        <v>14176.088648168821</v>
      </c>
      <c r="AH167" s="16"/>
      <c r="AI167" s="16"/>
      <c r="AJ167" s="16"/>
      <c r="AK167" s="16"/>
    </row>
    <row r="168" ht="13.5" customHeight="1" spans="1:37" x14ac:dyDescent="0.25">
      <c r="A168" s="264"/>
      <c r="B168" s="16"/>
      <c r="C168" s="139" t="str">
        <f ca="1">C135</f>
        <v>Accrued Liabilities</v>
      </c>
      <c r="D168" s="16"/>
      <c r="E168" s="16"/>
      <c r="F168" s="384">
        <f t="shared" ref="F168:W168" si="237" ca="1">F135</f>
        <v>3229</v>
      </c>
      <c r="G168" s="384">
        <f ca="1">G135</f>
        <v>3544</v>
      </c>
      <c r="H168" s="384">
        <f ca="1">H135</f>
        <v>3777</v>
      </c>
      <c r="I168" s="384">
        <f ca="1">I135</f>
        <v>3766</v>
      </c>
      <c r="J168" s="162">
        <f ca="1">J135</f>
        <v>3766</v>
      </c>
      <c r="K168" s="384">
        <f ca="1">K135</f>
        <v>4502</v>
      </c>
      <c r="L168" s="384">
        <f ca="1">L135</f>
        <v>6735</v>
      </c>
      <c r="M168" s="384">
        <f ca="1">M135</f>
        <v>4959</v>
      </c>
      <c r="N168" s="384">
        <f ca="1">N135</f>
        <v>5918</v>
      </c>
      <c r="O168" s="162">
        <f ca="1">O135</f>
        <v>5918</v>
      </c>
      <c r="P168" s="384">
        <f ca="1">P135</f>
        <v>10413</v>
      </c>
      <c r="Q168" s="384">
        <f ca="1">Q135</f>
        <v>9341</v>
      </c>
      <c r="R168" s="384">
        <f ca="1">R135</f>
        <v>10374</v>
      </c>
      <c r="S168" s="384">
        <f ca="1">S135</f>
        <v>10900</v>
      </c>
      <c r="T168" s="162">
        <f ca="1">T135</f>
        <v>10900</v>
      </c>
      <c r="U168" s="384">
        <f ca="1">U135</f>
        <v>18137</v>
      </c>
      <c r="V168" s="384">
        <f ca="1">V135</f>
        <v>14213</v>
      </c>
      <c r="W168" s="384">
        <f ca="1">W135</f>
        <v>1353</v>
      </c>
      <c r="X168" s="359">
        <f ca="1">X187*-X29*4</f>
        <v>947.08635</v>
      </c>
      <c r="Y168" s="162">
        <f ca="1">X168</f>
        <v>947.08635</v>
      </c>
      <c r="Z168" s="359">
        <f t="shared" ref="Z168:AC168" si="238" ca="1">Z187*-Z29*4</f>
        <v>1104.716354</v>
      </c>
      <c r="AA168" s="359">
        <f ca="1">AA187*-AA29*4</f>
        <v>1252.05468633</v>
      </c>
      <c r="AB168" s="359">
        <f ca="1">AB187*-AB29*4</f>
        <v>1134.0247357824</v>
      </c>
      <c r="AC168" s="359">
        <f ca="1">AC187*-AC29*4</f>
        <v>1058.9600302604401</v>
      </c>
      <c r="AD168" s="162">
        <f ca="1">AC168</f>
        <v>1058.9600302604401</v>
      </c>
      <c r="AE168" s="162">
        <f t="shared" ref="AE168:AG168" si="239" ca="1">AE187*-AE29</f>
        <v>1201.4740561605136</v>
      </c>
      <c r="AF168" s="162">
        <f ca="1">AF187*-AF29</f>
        <v>1224.080188227645</v>
      </c>
      <c r="AG168" s="162">
        <f ca="1">AG187*-AG29</f>
        <v>1245.6581599177973</v>
      </c>
      <c r="AH168" s="16"/>
      <c r="AI168" s="16"/>
      <c r="AJ168" s="16"/>
      <c r="AK168" s="16"/>
    </row>
    <row r="169" ht="13.5" customHeight="1" spans="1:37" x14ac:dyDescent="0.25">
      <c r="A169" s="264"/>
      <c r="B169" s="16"/>
      <c r="C169" s="139" t="str">
        <f ca="1">C136</f>
        <v>Other Current Liabilities</v>
      </c>
      <c r="D169" s="16"/>
      <c r="E169" s="16"/>
      <c r="F169" s="372">
        <f t="shared" ref="F169:W169" si="240" ca="1">F136</f>
        <v>334</v>
      </c>
      <c r="G169" s="372">
        <f ca="1">G136</f>
        <v>359</v>
      </c>
      <c r="H169" s="372">
        <f ca="1">H136</f>
        <v>338</v>
      </c>
      <c r="I169" s="372">
        <f ca="1">I136</f>
        <v>354</v>
      </c>
      <c r="J169" s="355">
        <f ca="1">J136</f>
        <v>354</v>
      </c>
      <c r="K169" s="372">
        <f ca="1">K136</f>
        <v>367</v>
      </c>
      <c r="L169" s="372">
        <f ca="1">L136</f>
        <v>421</v>
      </c>
      <c r="M169" s="372">
        <f ca="1">M136</f>
        <v>513</v>
      </c>
      <c r="N169" s="372">
        <f ca="1">N136</f>
        <v>764</v>
      </c>
      <c r="O169" s="355">
        <f ca="1">O136</f>
        <v>764</v>
      </c>
      <c r="P169" s="372">
        <f ca="1">P136</f>
        <v>845</v>
      </c>
      <c r="Q169" s="372">
        <f ca="1">Q136</f>
        <v>948</v>
      </c>
      <c r="R169" s="372">
        <f ca="1">R136</f>
        <v>752</v>
      </c>
      <c r="S169" s="372">
        <f ca="1">S136</f>
        <v>837</v>
      </c>
      <c r="T169" s="355">
        <f ca="1">T136</f>
        <v>837</v>
      </c>
      <c r="U169" s="372">
        <f ca="1">U136</f>
        <v>1074</v>
      </c>
      <c r="V169" s="372">
        <f ca="1">V136</f>
        <v>980</v>
      </c>
      <c r="W169" s="372">
        <f ca="1">W136</f>
        <v>6795</v>
      </c>
      <c r="X169" s="356">
        <f ca="1">X188*-X29*4</f>
        <v>9470.8635</v>
      </c>
      <c r="Y169" s="355">
        <f ca="1">X169</f>
        <v>9470.8635</v>
      </c>
      <c r="Z169" s="356">
        <f t="shared" ref="Z169:AC169" si="241" ca="1">Z188*-Z29*4</f>
        <v>9721.503915199999</v>
      </c>
      <c r="AA169" s="356">
        <f ca="1">AA188*-AA29*4</f>
        <v>11018.081239704</v>
      </c>
      <c r="AB169" s="356">
        <f ca="1">AB188*-AB29*4</f>
        <v>11340.247357824</v>
      </c>
      <c r="AC169" s="356">
        <f ca="1">AC188*-AC29*4</f>
        <v>10589.6003026044</v>
      </c>
      <c r="AD169" s="355">
        <f ca="1">AC169</f>
        <v>10589.6003026044</v>
      </c>
      <c r="AE169" s="355">
        <f t="shared" ref="AE169:AG169" si="242" ca="1">AE188*-AE29</f>
        <v>11090.529749173971</v>
      </c>
      <c r="AF169" s="355">
        <f ca="1">AF188*-AF29</f>
        <v>11299.201737485955</v>
      </c>
      <c r="AG169" s="355">
        <f ca="1">AG188*-AG29</f>
        <v>11498.383014625822</v>
      </c>
      <c r="AH169" s="16"/>
      <c r="AI169" s="16"/>
      <c r="AJ169" s="16"/>
      <c r="AK169" s="16"/>
    </row>
    <row r="170" ht="13.5" customHeight="1" spans="1:37" x14ac:dyDescent="0.25">
      <c r="A170" s="264"/>
      <c r="B170" s="16"/>
      <c r="C170" s="16" t="s">
        <v>362</v>
      </c>
      <c r="D170" s="16"/>
      <c r="E170" s="16"/>
      <c r="F170" s="353">
        <f t="shared" ref="F170:AG170" si="243" ca="1">SUM(F167:F169)</f>
        <v>5562</v>
      </c>
      <c r="G170" s="353">
        <f ca="1">SUM(G167:G169)</f>
        <v>6324</v>
      </c>
      <c r="H170" s="353">
        <f ca="1">SUM(H167:H169)</f>
        <v>5606</v>
      </c>
      <c r="I170" s="353">
        <f ca="1">SUM(I167:I169)</f>
        <v>5313</v>
      </c>
      <c r="J170" s="282">
        <f ca="1">SUM(J167:J169)</f>
        <v>5313</v>
      </c>
      <c r="K170" s="353">
        <f ca="1">SUM(K167:K169)</f>
        <v>6010</v>
      </c>
      <c r="L170" s="353">
        <f ca="1">SUM(L167:L169)</f>
        <v>9085</v>
      </c>
      <c r="M170" s="353">
        <f ca="1">SUM(M167:M169)</f>
        <v>7852</v>
      </c>
      <c r="N170" s="353">
        <f ca="1">SUM(N167:N169)</f>
        <v>9381</v>
      </c>
      <c r="O170" s="282">
        <f ca="1">SUM(O167:O169)</f>
        <v>9381</v>
      </c>
      <c r="P170" s="353">
        <f ca="1">SUM(P167:P169)</f>
        <v>13973</v>
      </c>
      <c r="Q170" s="353">
        <f ca="1">SUM(Q167:Q169)</f>
        <v>13969</v>
      </c>
      <c r="R170" s="353">
        <f ca="1">SUM(R167:R169)</f>
        <v>16479</v>
      </c>
      <c r="S170" s="353">
        <f ca="1">SUM(S167:S169)</f>
        <v>18047</v>
      </c>
      <c r="T170" s="282">
        <f ca="1">SUM(T167:T169)</f>
        <v>18047</v>
      </c>
      <c r="U170" s="353">
        <f ca="1">SUM(U167:U169)</f>
        <v>26542</v>
      </c>
      <c r="V170" s="353">
        <f ca="1">SUM(V167:V169)</f>
        <v>24257</v>
      </c>
      <c r="W170" s="353">
        <f ca="1">SUM(W167:W169)</f>
        <v>19482</v>
      </c>
      <c r="X170" s="281">
        <f ca="1">SUM(X167:X169)</f>
        <v>21741.808382608695</v>
      </c>
      <c r="Y170" s="282">
        <f ca="1">SUM(Y167:Y169)</f>
        <v>21741.808382608695</v>
      </c>
      <c r="Z170" s="281">
        <f ca="1">SUM(Z167:Z169)</f>
        <v>24908.31884766154</v>
      </c>
      <c r="AA170" s="281">
        <f ca="1">SUM(AA167:AA169)</f>
        <v>25478.624924680156</v>
      </c>
      <c r="AB170" s="281">
        <f ca="1">SUM(AB167:AB169)</f>
        <v>25540.209266751444</v>
      </c>
      <c r="AC170" s="281">
        <f ca="1">SUM(AC167:AC169)</f>
        <v>24310.038955544012</v>
      </c>
      <c r="AD170" s="282">
        <f ca="1">SUM(AD167:AD169)</f>
        <v>24310.038955544012</v>
      </c>
      <c r="AE170" s="282">
        <f ca="1">SUM(AE167:AE169)</f>
        <v>25965.25966048048</v>
      </c>
      <c r="AF170" s="282">
        <f ca="1">SUM(AF167:AF169)</f>
        <v>26453.804615764777</v>
      </c>
      <c r="AG170" s="282">
        <f ca="1">SUM(AG167:AG169)</f>
        <v>26920.129822712443</v>
      </c>
      <c r="AH170" s="16"/>
      <c r="AI170" s="16"/>
      <c r="AJ170" s="16"/>
      <c r="AK170" s="16"/>
    </row>
    <row r="171" ht="13.5" customHeight="1" spans="1:37" x14ac:dyDescent="0.25">
      <c r="A171" s="264"/>
      <c r="B171" s="16"/>
      <c r="C171" s="16"/>
      <c r="D171" s="16"/>
      <c r="E171" s="16"/>
      <c r="F171" s="315"/>
      <c r="G171" s="315"/>
      <c r="H171" s="315"/>
      <c r="I171" s="315"/>
      <c r="J171" s="16"/>
      <c r="K171" s="315"/>
      <c r="L171" s="315"/>
      <c r="M171" s="315"/>
      <c r="N171" s="315"/>
      <c r="O171" s="16"/>
      <c r="P171" s="315"/>
      <c r="Q171" s="315"/>
      <c r="R171" s="315"/>
      <c r="S171" s="315"/>
      <c r="T171" s="16"/>
      <c r="U171" s="315"/>
      <c r="V171" s="315"/>
      <c r="W171" s="315"/>
      <c r="X171" s="316"/>
      <c r="Y171" s="16"/>
      <c r="Z171" s="316"/>
      <c r="AA171" s="316"/>
      <c r="AB171" s="316"/>
      <c r="AC171" s="316"/>
      <c r="AD171" s="16"/>
      <c r="AE171" s="16"/>
      <c r="AF171" s="16"/>
      <c r="AG171" s="16"/>
      <c r="AH171" s="16"/>
      <c r="AI171" s="16"/>
      <c r="AJ171" s="16"/>
      <c r="AK171" s="16"/>
    </row>
    <row r="172" ht="13.5" customHeight="1" spans="1:37" x14ac:dyDescent="0.25">
      <c r="A172" s="264"/>
      <c r="B172" s="16"/>
      <c r="C172" s="16" t="s">
        <v>363</v>
      </c>
      <c r="D172" s="16"/>
      <c r="E172" s="16"/>
      <c r="F172" s="353">
        <f t="shared" ref="F172:AG172" si="244" ca="1">F165-F170</f>
        <v>3675</v>
      </c>
      <c r="G172" s="353">
        <f ca="1">G165-G170</f>
        <v>4057</v>
      </c>
      <c r="H172" s="353">
        <f ca="1">H165-H170</f>
        <v>4474</v>
      </c>
      <c r="I172" s="353">
        <f ca="1">I165-I170</f>
        <v>4464</v>
      </c>
      <c r="J172" s="282">
        <f ca="1">J165-J170</f>
        <v>4464</v>
      </c>
      <c r="K172" s="353">
        <f ca="1">K165-K170</f>
        <v>3553</v>
      </c>
      <c r="L172" s="353">
        <f ca="1">L165-L170</f>
        <v>3689</v>
      </c>
      <c r="M172" s="353">
        <f ca="1">M165-M170</f>
        <v>6525</v>
      </c>
      <c r="N172" s="353">
        <f ca="1">N165-N170</f>
        <v>8980</v>
      </c>
      <c r="O172" s="282">
        <f ca="1">O165-O170</f>
        <v>8980</v>
      </c>
      <c r="P172" s="353">
        <f ca="1">P165-P170</f>
        <v>8318</v>
      </c>
      <c r="Q172" s="353">
        <f ca="1">Q165-Q170</f>
        <v>10864</v>
      </c>
      <c r="R172" s="353">
        <f ca="1">R165-R170</f>
        <v>12674</v>
      </c>
      <c r="S172" s="353">
        <f ca="1">S165-S170</f>
        <v>18869</v>
      </c>
      <c r="T172" s="282">
        <f ca="1">T165-T170</f>
        <v>18869</v>
      </c>
      <c r="U172" s="353">
        <f ca="1">U165-U170</f>
        <v>9702</v>
      </c>
      <c r="V172" s="353">
        <f ca="1">V165-V170</f>
        <v>21171</v>
      </c>
      <c r="W172" s="353">
        <f ca="1">W165-W170</f>
        <v>-1306</v>
      </c>
      <c r="X172" s="281">
        <f ca="1">X165-X170</f>
        <v>-3211.858056521738</v>
      </c>
      <c r="Y172" s="282">
        <f ca="1">Y165-Y170</f>
        <v>-3211.858056521738</v>
      </c>
      <c r="Z172" s="281">
        <f ca="1">Z165-Z170</f>
        <v>6.945060646154161</v>
      </c>
      <c r="AA172" s="281">
        <f ca="1">AA165-AA170</f>
        <v>-1355.7529113632336</v>
      </c>
      <c r="AB172" s="281">
        <f ca="1">AB165-AB170</f>
        <v>-2729.7275260532842</v>
      </c>
      <c r="AC172" s="281">
        <f ca="1">AC165-AC170</f>
        <v>-1828.3627564436356</v>
      </c>
      <c r="AD172" s="282">
        <f ca="1">AD165-AD170</f>
        <v>-1828.3627564436356</v>
      </c>
      <c r="AE172" s="282">
        <f ca="1">AE165-AE170</f>
        <v>-2763.602512549827</v>
      </c>
      <c r="AF172" s="282">
        <f ca="1">AF165-AF170</f>
        <v>-2813.311652738652</v>
      </c>
      <c r="AG172" s="282">
        <f ca="1">AG165-AG170</f>
        <v>-2858.2295492666017</v>
      </c>
      <c r="AH172" s="16"/>
      <c r="AI172" s="16"/>
      <c r="AJ172" s="16"/>
      <c r="AK172" s="16"/>
    </row>
    <row r="173" ht="13.5" customHeight="1" spans="1:37" x14ac:dyDescent="0.25">
      <c r="A173" s="264"/>
      <c r="B173" s="16"/>
      <c r="C173" s="16"/>
      <c r="D173" s="16"/>
      <c r="E173" s="16"/>
      <c r="F173" s="315"/>
      <c r="G173" s="315"/>
      <c r="H173" s="315"/>
      <c r="I173" s="315"/>
      <c r="J173" s="16"/>
      <c r="K173" s="315"/>
      <c r="L173" s="315"/>
      <c r="M173" s="315"/>
      <c r="N173" s="315"/>
      <c r="O173" s="16"/>
      <c r="P173" s="315"/>
      <c r="Q173" s="315"/>
      <c r="R173" s="315"/>
      <c r="S173" s="315"/>
      <c r="T173" s="16"/>
      <c r="U173" s="315"/>
      <c r="V173" s="315"/>
      <c r="W173" s="315"/>
      <c r="X173" s="316"/>
      <c r="Y173" s="16"/>
      <c r="Z173" s="316"/>
      <c r="AA173" s="316"/>
      <c r="AB173" s="316"/>
      <c r="AC173" s="316"/>
      <c r="AD173" s="16"/>
      <c r="AE173" s="16"/>
      <c r="AF173" s="16"/>
      <c r="AG173" s="16"/>
      <c r="AH173" s="16"/>
      <c r="AI173" s="16"/>
      <c r="AJ173" s="16"/>
      <c r="AK173" s="16"/>
    </row>
    <row r="174" ht="13.5" customHeight="1" spans="1:37" x14ac:dyDescent="0.25">
      <c r="A174" s="264"/>
      <c r="B174" s="16"/>
      <c r="C174" s="406" t="s">
        <v>364</v>
      </c>
      <c r="D174" s="100"/>
      <c r="E174" s="100"/>
      <c r="F174" s="388"/>
      <c r="G174" s="388">
        <f t="shared" ref="G174:I174" si="245" ca="1">G172-F172</f>
        <v>382</v>
      </c>
      <c r="H174" s="388">
        <f ca="1">H172-G172</f>
        <v>417</v>
      </c>
      <c r="I174" s="388">
        <f ca="1">I172-H172</f>
        <v>-10</v>
      </c>
      <c r="J174" s="100"/>
      <c r="K174" s="388">
        <f t="shared" ref="K174:N174" si="246" ca="1">-(K172-J172)</f>
        <v>911</v>
      </c>
      <c r="L174" s="388">
        <f ca="1">-(L172-K172)</f>
        <v>-136</v>
      </c>
      <c r="M174" s="388">
        <f ca="1">-(M172-L172)</f>
        <v>-2836</v>
      </c>
      <c r="N174" s="388">
        <f ca="1">-(N172-M172)</f>
        <v>-2455</v>
      </c>
      <c r="O174" s="389">
        <f ca="1">-(O172-J172)</f>
        <v>-4516</v>
      </c>
      <c r="P174" s="388">
        <f t="shared" ref="P174:S174" si="247" ca="1">-(P172-O172)</f>
        <v>662</v>
      </c>
      <c r="Q174" s="388">
        <f ca="1">-(Q172-P172)</f>
        <v>-2546</v>
      </c>
      <c r="R174" s="388">
        <f ca="1">-(R172-Q172)</f>
        <v>-1810</v>
      </c>
      <c r="S174" s="388">
        <f ca="1">-(S172-R172)</f>
        <v>-6195</v>
      </c>
      <c r="T174" s="389">
        <f ca="1">-(T172-O172)</f>
        <v>-9889</v>
      </c>
      <c r="U174" s="388">
        <f t="shared" ref="U174:X174" si="248" ca="1">-(U172-T172)</f>
        <v>9167</v>
      </c>
      <c r="V174" s="388">
        <f ca="1">-(V172-U172)</f>
        <v>-11469</v>
      </c>
      <c r="W174" s="388">
        <f ca="1">-(W172-V172)</f>
        <v>-186</v>
      </c>
      <c r="X174" s="390">
        <f ca="1">-(X172-W172)</f>
        <v>1905.858056521738</v>
      </c>
      <c r="Y174" s="389">
        <f ca="1">-(Y172-T172)</f>
        <v>3432.858056521738</v>
      </c>
      <c r="Z174" s="390">
        <f t="shared" ref="Z174:AC174" si="249" ca="1">-(Z172-Y172)</f>
        <v>-3218.803117167892</v>
      </c>
      <c r="AA174" s="390">
        <f ca="1">-(AA172-Z172)</f>
        <v>1362.6979720093877</v>
      </c>
      <c r="AB174" s="390">
        <f ca="1">-(AB172-AA172)</f>
        <v>1373.9746146900507</v>
      </c>
      <c r="AC174" s="390">
        <f ca="1">-(AC172-AB172)</f>
        <v>-901.3647696096486</v>
      </c>
      <c r="AD174" s="389">
        <f ca="1">-(AD172-Y172)</f>
        <v>-1383.4953000781024</v>
      </c>
      <c r="AE174" s="389">
        <f t="shared" ref="AE174:AG174" si="250" ca="1">-(AE172-AD172)</f>
        <v>935.2397561061916</v>
      </c>
      <c r="AF174" s="389">
        <f ca="1">-(AF172-AE172)</f>
        <v>49.709140188824676</v>
      </c>
      <c r="AG174" s="407">
        <f ca="1">-(AG172-AF172)</f>
        <v>44.91789652794978</v>
      </c>
      <c r="AH174" s="16"/>
      <c r="AI174" s="16"/>
      <c r="AJ174" s="16"/>
      <c r="AK174" s="16"/>
    </row>
    <row r="175" ht="13.5" customHeight="1" spans="1:37" x14ac:dyDescent="0.25">
      <c r="A175" s="264"/>
      <c r="B175" s="16"/>
      <c r="C175" s="16"/>
      <c r="D175" s="16"/>
      <c r="E175" s="16"/>
      <c r="F175" s="315"/>
      <c r="G175" s="315"/>
      <c r="H175" s="315"/>
      <c r="I175" s="315"/>
      <c r="J175" s="16"/>
      <c r="K175" s="315"/>
      <c r="L175" s="315"/>
      <c r="M175" s="315"/>
      <c r="N175" s="315"/>
      <c r="O175" s="16"/>
      <c r="P175" s="315"/>
      <c r="Q175" s="315"/>
      <c r="R175" s="315"/>
      <c r="S175" s="315"/>
      <c r="T175" s="16"/>
      <c r="U175" s="315"/>
      <c r="V175" s="315"/>
      <c r="W175" s="315"/>
      <c r="X175" s="316"/>
      <c r="Y175" s="16"/>
      <c r="Z175" s="316"/>
      <c r="AA175" s="316"/>
      <c r="AB175" s="316"/>
      <c r="AC175" s="316"/>
      <c r="AD175" s="16"/>
      <c r="AE175" s="16"/>
      <c r="AF175" s="16"/>
      <c r="AG175" s="16"/>
      <c r="AH175" s="16"/>
      <c r="AI175" s="16"/>
      <c r="AJ175" s="16"/>
      <c r="AK175" s="16"/>
    </row>
    <row r="176" ht="13.5" customHeight="1" spans="1:37" x14ac:dyDescent="0.25">
      <c r="A176" s="264"/>
      <c r="B176" s="16"/>
      <c r="C176" s="16" t="s">
        <v>365</v>
      </c>
      <c r="D176" s="16"/>
      <c r="E176" s="16"/>
      <c r="F176" s="353">
        <f t="shared" ref="F176:AG176" si="251" ca="1">F162+F163-F167</f>
        <v>6602</v>
      </c>
      <c r="G176" s="353">
        <f ca="1">G162+G163-G167</f>
        <v>6785</v>
      </c>
      <c r="H176" s="353">
        <f ca="1">H162+H163-H167</f>
        <v>7871</v>
      </c>
      <c r="I176" s="353">
        <f ca="1">I162+I163-I167</f>
        <v>7793</v>
      </c>
      <c r="J176" s="282">
        <f ca="1">J162+J163-J167</f>
        <v>7793</v>
      </c>
      <c r="K176" s="353">
        <f ca="1">K162+K163-K167</f>
        <v>7550</v>
      </c>
      <c r="L176" s="353">
        <f ca="1">L162+L163-L167</f>
        <v>9456</v>
      </c>
      <c r="M176" s="353">
        <f ca="1">M162+M163-M167</f>
        <v>10708</v>
      </c>
      <c r="N176" s="353">
        <f ca="1">N162+N163-N167</f>
        <v>12582</v>
      </c>
      <c r="O176" s="282">
        <f ca="1">O162+O163-O167</f>
        <v>12582</v>
      </c>
      <c r="P176" s="353">
        <f ca="1">P162+P163-P167</f>
        <v>15514</v>
      </c>
      <c r="Q176" s="353">
        <f ca="1">Q162+Q163-Q167</f>
        <v>17127</v>
      </c>
      <c r="R176" s="353">
        <f ca="1">R162+R163-R167</f>
        <v>19994</v>
      </c>
      <c r="S176" s="353">
        <f ca="1">S162+S163-S167</f>
        <v>26835</v>
      </c>
      <c r="T176" s="282">
        <f ca="1">T162+T163-T167</f>
        <v>26835</v>
      </c>
      <c r="U176" s="353">
        <f ca="1">U162+U163-U167</f>
        <v>26134</v>
      </c>
      <c r="V176" s="353">
        <f ca="1">V162+V163-V167</f>
        <v>33706</v>
      </c>
      <c r="W176" s="353">
        <f ca="1">W162+W163-W167</f>
        <v>5351</v>
      </c>
      <c r="X176" s="281">
        <f ca="1">X162+X163-X167</f>
        <v>7206.091793478261</v>
      </c>
      <c r="Y176" s="282">
        <f ca="1">Y162+Y163-Y167</f>
        <v>7206.091793478261</v>
      </c>
      <c r="Z176" s="281">
        <f ca="1">Z162+Z163-Z167</f>
        <v>8983.407713846156</v>
      </c>
      <c r="AA176" s="281">
        <f ca="1">AA162+AA163-AA167</f>
        <v>8805.659332430767</v>
      </c>
      <c r="AB176" s="281">
        <f ca="1">AB162+AB163-AB167</f>
        <v>7888.867727181916</v>
      </c>
      <c r="AC176" s="281">
        <f ca="1">AC162+AC163-AC167</f>
        <v>8057.304578068564</v>
      </c>
      <c r="AD176" s="282">
        <f ca="1">AD162+AD163-AD167</f>
        <v>8057.304578068564</v>
      </c>
      <c r="AE176" s="282">
        <f ca="1">AE162+AE163-AE167</f>
        <v>7596.253252858882</v>
      </c>
      <c r="AF176" s="282">
        <f ca="1">AF162+AF163-AF167</f>
        <v>7739.179272250654</v>
      </c>
      <c r="AG176" s="282">
        <f ca="1">AG162+AG163-AG167</f>
        <v>7875.604804538238</v>
      </c>
      <c r="AH176" s="16"/>
      <c r="AI176" s="16"/>
      <c r="AJ176" s="16"/>
      <c r="AK176" s="16"/>
    </row>
    <row r="177" ht="13.5" customHeight="1" spans="1:37" x14ac:dyDescent="0.25">
      <c r="A177" s="264"/>
      <c r="B177" s="16"/>
      <c r="C177" s="16"/>
      <c r="D177" s="16"/>
      <c r="E177" s="16"/>
      <c r="F177" s="408"/>
      <c r="G177" s="408"/>
      <c r="H177" s="408"/>
      <c r="I177" s="408"/>
      <c r="J177" s="16"/>
      <c r="K177" s="408"/>
      <c r="L177" s="408"/>
      <c r="M177" s="408"/>
      <c r="N177" s="408"/>
      <c r="O177" s="16"/>
      <c r="P177" s="408"/>
      <c r="Q177" s="408"/>
      <c r="R177" s="408"/>
      <c r="S177" s="408"/>
      <c r="T177" s="16"/>
      <c r="U177" s="408"/>
      <c r="V177" s="408"/>
      <c r="W177" s="408"/>
      <c r="X177" s="409"/>
      <c r="Y177" s="16"/>
      <c r="Z177" s="409"/>
      <c r="AA177" s="409"/>
      <c r="AB177" s="409"/>
      <c r="AC177" s="409"/>
      <c r="AD177" s="16"/>
      <c r="AE177" s="93"/>
      <c r="AF177" s="93"/>
      <c r="AG177" s="93"/>
      <c r="AH177" s="16"/>
      <c r="AI177" s="16"/>
      <c r="AJ177" s="16"/>
      <c r="AK177" s="16"/>
    </row>
    <row r="178" ht="13.5" customHeight="1" spans="1:37" x14ac:dyDescent="0.25">
      <c r="A178" s="264"/>
      <c r="B178" s="16"/>
      <c r="C178" s="406" t="s">
        <v>366</v>
      </c>
      <c r="D178" s="100"/>
      <c r="E178" s="100"/>
      <c r="F178" s="388"/>
      <c r="G178" s="388">
        <f t="shared" ref="G178:I178" si="252" ca="1">G176-F176</f>
        <v>183</v>
      </c>
      <c r="H178" s="388">
        <f ca="1">H176-G176</f>
        <v>1086</v>
      </c>
      <c r="I178" s="388">
        <f ca="1">I176-H176</f>
        <v>-78</v>
      </c>
      <c r="J178" s="100"/>
      <c r="K178" s="388">
        <f t="shared" ref="K178:N178" si="253" ca="1">-(K176-J176)</f>
        <v>243</v>
      </c>
      <c r="L178" s="388">
        <f ca="1">-(L176-K176)</f>
        <v>-1906</v>
      </c>
      <c r="M178" s="388">
        <f ca="1">-(M176-L176)</f>
        <v>-1252</v>
      </c>
      <c r="N178" s="388">
        <f ca="1">-(N176-M176)</f>
        <v>-1874</v>
      </c>
      <c r="O178" s="389">
        <f ca="1">-(O176-J176)</f>
        <v>-4789</v>
      </c>
      <c r="P178" s="388">
        <f t="shared" ref="P178:S178" si="254" ca="1">-(P176-O176)</f>
        <v>-2932</v>
      </c>
      <c r="Q178" s="388">
        <f ca="1">-(Q176-P176)</f>
        <v>-1613</v>
      </c>
      <c r="R178" s="388">
        <f ca="1">-(R176-Q176)</f>
        <v>-2867</v>
      </c>
      <c r="S178" s="388">
        <f ca="1">-(S176-R176)</f>
        <v>-6841</v>
      </c>
      <c r="T178" s="389">
        <f ca="1">-(T176-O176)</f>
        <v>-14253</v>
      </c>
      <c r="U178" s="388">
        <f t="shared" ref="U178:X178" si="255" ca="1">-(U176-T176)</f>
        <v>701</v>
      </c>
      <c r="V178" s="388">
        <f ca="1">-(V176-U176)</f>
        <v>-7572</v>
      </c>
      <c r="W178" s="388">
        <f ca="1">-(W176-V176)</f>
        <v>-40</v>
      </c>
      <c r="X178" s="390">
        <f ca="1">-(X176-W176)</f>
        <v>-1855.091793478261</v>
      </c>
      <c r="Y178" s="389">
        <f ca="1">-(Y176-T176)</f>
        <v>-1897.091793478261</v>
      </c>
      <c r="Z178" s="390">
        <f t="shared" ref="Z178:AC178" si="256" ca="1">-(Z176-Y176)</f>
        <v>-1777.3159203678952</v>
      </c>
      <c r="AA178" s="390">
        <f ca="1">-(AA176-Z176)</f>
        <v>177.7483814153893</v>
      </c>
      <c r="AB178" s="390">
        <f ca="1">-(AB176-AA176)</f>
        <v>916.7916052488508</v>
      </c>
      <c r="AC178" s="390">
        <f ca="1">-(AC176-AB176)</f>
        <v>-168.43685088664824</v>
      </c>
      <c r="AD178" s="389">
        <f ca="1">-(AD176-Y176)</f>
        <v>-851.2127845903033</v>
      </c>
      <c r="AE178" s="389">
        <f t="shared" ref="AE178:AG178" si="257" ca="1">-(AE176-AD176)</f>
        <v>461.05132520968255</v>
      </c>
      <c r="AF178" s="389">
        <f ca="1">-(AF176-AE176)</f>
        <v>-142.92601939177257</v>
      </c>
      <c r="AG178" s="407">
        <f ca="1">-(AG176-AF176)</f>
        <v>-136.42553228758334</v>
      </c>
      <c r="AH178" s="16"/>
      <c r="AI178" s="16"/>
      <c r="AJ178" s="16"/>
      <c r="AK178" s="16"/>
    </row>
    <row r="179" ht="13.5" customHeight="1" spans="1:37" x14ac:dyDescent="0.25">
      <c r="A179" s="264"/>
      <c r="B179" s="16"/>
      <c r="C179" s="16"/>
      <c r="D179" s="16"/>
      <c r="E179" s="16"/>
      <c r="F179" s="315"/>
      <c r="G179" s="315"/>
      <c r="H179" s="315"/>
      <c r="I179" s="315"/>
      <c r="J179" s="16"/>
      <c r="K179" s="315"/>
      <c r="L179" s="315"/>
      <c r="M179" s="315"/>
      <c r="N179" s="315"/>
      <c r="O179" s="16"/>
      <c r="P179" s="315"/>
      <c r="Q179" s="315"/>
      <c r="R179" s="315"/>
      <c r="S179" s="315"/>
      <c r="T179" s="16"/>
      <c r="U179" s="315"/>
      <c r="V179" s="315"/>
      <c r="W179" s="315"/>
      <c r="X179" s="316"/>
      <c r="Y179" s="16"/>
      <c r="Z179" s="316"/>
      <c r="AA179" s="316"/>
      <c r="AB179" s="316"/>
      <c r="AC179" s="316"/>
      <c r="AD179" s="16"/>
      <c r="AE179" s="16"/>
      <c r="AF179" s="16"/>
      <c r="AG179" s="16"/>
      <c r="AH179" s="16"/>
      <c r="AI179" s="16"/>
      <c r="AJ179" s="16"/>
      <c r="AK179" s="16"/>
    </row>
    <row r="180" ht="13.5" customHeight="1" spans="1:37" x14ac:dyDescent="0.25">
      <c r="A180" s="264" t="s">
        <v>1</v>
      </c>
      <c r="B180" s="16"/>
      <c r="C180" s="43" t="s">
        <v>46</v>
      </c>
      <c r="D180" s="44"/>
      <c r="E180" s="44"/>
      <c r="F180" s="44"/>
      <c r="G180" s="44"/>
      <c r="H180" s="44"/>
      <c r="I180" s="44"/>
      <c r="J180" s="44"/>
      <c r="K180" s="44"/>
      <c r="L180" s="44"/>
      <c r="M180" s="44"/>
      <c r="N180" s="44"/>
      <c r="O180" s="44"/>
      <c r="P180" s="44"/>
      <c r="Q180" s="44"/>
      <c r="R180" s="44"/>
      <c r="S180" s="44"/>
      <c r="T180" s="44"/>
      <c r="U180" s="44"/>
      <c r="V180" s="44"/>
      <c r="W180" s="44"/>
      <c r="X180" s="44"/>
      <c r="Y180" s="44"/>
      <c r="Z180" s="44"/>
      <c r="AA180" s="44"/>
      <c r="AB180" s="44"/>
      <c r="AC180" s="44"/>
      <c r="AD180" s="44"/>
      <c r="AE180" s="44"/>
      <c r="AF180" s="44"/>
      <c r="AG180" s="396"/>
      <c r="AH180" s="264" t="s">
        <v>1</v>
      </c>
      <c r="AI180" s="16"/>
      <c r="AJ180" s="16"/>
      <c r="AK180" s="16"/>
    </row>
    <row r="181" ht="13.5" customHeight="1" spans="1:37" x14ac:dyDescent="0.25">
      <c r="A181" s="264"/>
      <c r="B181" s="16"/>
      <c r="C181" s="16"/>
      <c r="D181" s="16"/>
      <c r="E181" s="16"/>
      <c r="F181" s="315"/>
      <c r="G181" s="315"/>
      <c r="H181" s="315"/>
      <c r="I181" s="315"/>
      <c r="J181" s="16"/>
      <c r="K181" s="315"/>
      <c r="L181" s="315"/>
      <c r="M181" s="315"/>
      <c r="N181" s="315"/>
      <c r="O181" s="16"/>
      <c r="P181" s="315"/>
      <c r="Q181" s="315"/>
      <c r="R181" s="315"/>
      <c r="S181" s="315"/>
      <c r="T181" s="16"/>
      <c r="U181" s="315"/>
      <c r="V181" s="315"/>
      <c r="W181" s="315"/>
      <c r="X181" s="316"/>
      <c r="Y181" s="16"/>
      <c r="Z181" s="316"/>
      <c r="AA181" s="316"/>
      <c r="AB181" s="316"/>
      <c r="AC181" s="316"/>
      <c r="AD181" s="16"/>
      <c r="AE181" s="16"/>
      <c r="AF181" s="16"/>
      <c r="AG181" s="16"/>
      <c r="AH181" s="16"/>
      <c r="AI181" s="16"/>
      <c r="AJ181" s="16"/>
      <c r="AK181" s="16"/>
    </row>
    <row r="182" ht="13.5" customHeight="1" spans="1:37" x14ac:dyDescent="0.25">
      <c r="A182" s="264"/>
      <c r="B182" s="16"/>
      <c r="C182" s="16" t="s">
        <v>367</v>
      </c>
      <c r="D182" s="16"/>
      <c r="E182" s="16"/>
      <c r="F182" s="382"/>
      <c r="G182" s="384">
        <f t="shared" ref="G182:I182" si="258" ca="1">AVERAGE(F162:G162)/G$28*G$26</f>
        <v>1e-12</v>
      </c>
      <c r="H182" s="384">
        <f ca="1">AVERAGE(G162:H162)/H$28*H$26</f>
        <v>1e-12</v>
      </c>
      <c r="I182" s="384">
        <f ca="1">AVERAGE(H162:I162)/I$28*I$26</f>
        <v>1e-12</v>
      </c>
      <c r="J182" s="162">
        <f ca="1">AVERAGE(F162:I162)/J$28*J$26</f>
        <v>1e-12</v>
      </c>
      <c r="K182" s="382">
        <f ca="1">AVERAGE(I162,K162)/K$28*K$26</f>
        <v>1e-12</v>
      </c>
      <c r="L182" s="384">
        <f t="shared" ref="L182:N182" si="259" ca="1">AVERAGE(K162:L162)/L$28*L$26</f>
        <v>1e-12</v>
      </c>
      <c r="M182" s="384">
        <f ca="1">AVERAGE(L162:M162)/M$28*M$26</f>
        <v>1e-12</v>
      </c>
      <c r="N182" s="384">
        <f ca="1">AVERAGE(M162:N162)/N$28*N$26</f>
        <v>1e-12</v>
      </c>
      <c r="O182" s="162">
        <f ca="1">AVERAGE(J162,O162)/O$28*O$26</f>
        <v>1e-12</v>
      </c>
      <c r="P182" s="382">
        <f ca="1">AVERAGE(N162,P162)/P$28*P$26</f>
        <v>1e-12</v>
      </c>
      <c r="Q182" s="384">
        <f t="shared" ref="Q182:S182" si="260" ca="1">AVERAGE(P162:Q162)/Q$28*Q$26</f>
        <v>1e-12</v>
      </c>
      <c r="R182" s="384">
        <f ca="1">AVERAGE(Q162:R162)/R$28*R$26</f>
        <v>1e-12</v>
      </c>
      <c r="S182" s="384">
        <f ca="1">AVERAGE(R162:S162)/S$28*S$26</f>
        <v>1e-12</v>
      </c>
      <c r="T182" s="162">
        <f ca="1">AVERAGE(O162,T162)/T$28*T$26</f>
        <v>1e-12</v>
      </c>
      <c r="U182" s="382">
        <f ca="1">AVERAGE(S162,U162)/U$28*U$26</f>
        <v>1e-12</v>
      </c>
      <c r="V182" s="384">
        <f t="shared" ref="V182:W182" si="261" ca="1">AVERAGE(U162:V162)/V$28*V$26</f>
        <v>1e-12</v>
      </c>
      <c r="W182" s="384">
        <f ca="1">AVERAGE(V162:W162)/W$28*W$26</f>
      </c>
      <c r="X182" s="361">
        <f ca="1">Drivers!X113</f>
        <v>1e-12</v>
      </c>
      <c r="Y182" s="162">
        <f ca="1">AVERAGE(T162,Y162)/Y$28*Y$26</f>
        <v>0</v>
      </c>
      <c r="Z182" s="361">
        <f ca="1">Drivers!Z113</f>
        <v>1e-12</v>
      </c>
      <c r="AA182" s="361">
        <f ca="1">Drivers!AA113</f>
        <v>1e-12</v>
      </c>
      <c r="AB182" s="361">
        <f ca="1">Drivers!AB113</f>
        <v>1e-12</v>
      </c>
      <c r="AC182" s="361">
        <f ca="1">Drivers!AC113</f>
        <v>1e-12</v>
      </c>
      <c r="AD182" s="162">
        <f ca="1">AVERAGE(Y162,AD162)/AD$28*AD$26</f>
        <v>0</v>
      </c>
      <c r="AE182" s="362">
        <f ca="1">Drivers!AE113</f>
        <v>1e-12</v>
      </c>
      <c r="AF182" s="362">
        <f ca="1">Drivers!AF113</f>
        <v>1e-12</v>
      </c>
      <c r="AG182" s="362">
        <f ca="1">Drivers!AG113</f>
        <v>1e-12</v>
      </c>
      <c r="AH182" s="16"/>
      <c r="AI182" s="16"/>
      <c r="AJ182" s="16"/>
      <c r="AK182" s="16"/>
    </row>
    <row r="183" ht="13.5" customHeight="1" spans="1:37" x14ac:dyDescent="0.25">
      <c r="A183" s="264"/>
      <c r="B183" s="16"/>
      <c r="C183" s="16" t="s">
        <v>368</v>
      </c>
      <c r="D183" s="16"/>
      <c r="E183" s="16"/>
      <c r="F183" s="382"/>
      <c r="G183" s="384">
        <f t="shared" ref="G183:I183" si="262" ca="1">AVERAGE(F163:G163)/-G$29*G$26</f>
        <v>83.39173789173789</v>
      </c>
      <c r="H183" s="384">
        <f ca="1">AVERAGE(G163:H163)/-H$29*H$26</f>
        <v>94.8957890259464</v>
      </c>
      <c r="I183" s="384">
        <f ca="1">AVERAGE(H163:I163)/-I$29*I$26</f>
        <v>98.76785252821087</v>
      </c>
      <c r="J183" s="162">
        <f ca="1">AVERAGE(F163:I163)/-J$29*J$26</f>
        <v>94.5511972893122</v>
      </c>
      <c r="K183" s="382">
        <f ca="1">AVERAGE(I163,K163)/-K$29*K$26</f>
        <v>102.09004934210527</v>
      </c>
      <c r="L183" s="384">
        <f t="shared" ref="L183:N183" si="263" ca="1">AVERAGE(K163:L163)/-L$29*L$26</f>
        <v>91.80451866404715</v>
      </c>
      <c r="M183" s="384">
        <f ca="1">AVERAGE(L163:M163)/-M$29*M$26</f>
        <v>107.46646237657474</v>
      </c>
      <c r="N183" s="384">
        <f ca="1">AVERAGE(M163:N163)/-N$29*N$26</f>
        <v>112.01177003168854</v>
      </c>
      <c r="O183" s="162">
        <f ca="1">AVERAGE(J163,O163)/-O$29*O$26</f>
        <v>95.46895640686921</v>
      </c>
      <c r="P183" s="382">
        <f ca="1">AVERAGE(N163,P163)/-P$29*P$26</f>
        <v>93.89074608722079</v>
      </c>
      <c r="Q183" s="384">
        <f t="shared" ref="Q183:S183" si="264" ca="1">AVERAGE(P163:Q163)/-Q$29*Q$26</f>
        <v>71.07384153794867</v>
      </c>
      <c r="R183" s="384">
        <f ca="1">AVERAGE(Q163:R163)/-R$29*R$26</f>
        <v>90.54420680924778</v>
      </c>
      <c r="S183" s="384">
        <f ca="1">AVERAGE(R163:S163)/-S$29*S$26</f>
        <v>106.00433369447454</v>
      </c>
      <c r="T183" s="162">
        <f ca="1">AVERAGE(O163,T163)/-T$29*T$26</f>
        <v>89.31899223514513</v>
      </c>
      <c r="U183" s="382">
        <f ca="1">AVERAGE(S163,U163)/-U$29*U$26</f>
        <v>95.49932482199853</v>
      </c>
      <c r="V183" s="384">
        <f t="shared" ref="V183:W183" si="265" ca="1">AVERAGE(U163:V163)/-V$29*V$26</f>
        <v>88.97644868003067</v>
      </c>
      <c r="W183" s="384">
        <f ca="1">AVERAGE(V163:W163)/-W$29*W$26</f>
        <v>102.03652729763225</v>
      </c>
      <c r="X183" s="361">
        <f ca="1">Drivers!X118</f>
        <v>90</v>
      </c>
      <c r="Y183" s="162">
        <f ca="1">AVERAGE(T163,Y163)/-Y$29*Y$26</f>
        <v>92.07624734938022</v>
      </c>
      <c r="Z183" s="361">
        <f ca="1">Drivers!Z118</f>
        <v>95</v>
      </c>
      <c r="AA183" s="361">
        <f ca="1">Drivers!AA118</f>
        <v>80</v>
      </c>
      <c r="AB183" s="361">
        <f ca="1">Drivers!AB118</f>
        <v>85</v>
      </c>
      <c r="AC183" s="361">
        <f ca="1">Drivers!AC118</f>
        <v>90</v>
      </c>
      <c r="AD183" s="162">
        <f ca="1">AVERAGE(Y163,AD163)/-AD$29*AD$26</f>
        <v>78.93300806770992</v>
      </c>
      <c r="AE183" s="362">
        <f ca="1">Drivers!AE118</f>
        <v>84</v>
      </c>
      <c r="AF183" s="362">
        <f ca="1">Drivers!AF118</f>
        <v>84</v>
      </c>
      <c r="AG183" s="362">
        <f ca="1">Drivers!AG118</f>
        <v>84</v>
      </c>
      <c r="AH183" s="16"/>
      <c r="AI183" s="16"/>
      <c r="AJ183" s="16"/>
      <c r="AK183" s="16"/>
    </row>
    <row r="184" ht="13.5" customHeight="1" spans="1:37" x14ac:dyDescent="0.25">
      <c r="A184" s="264"/>
      <c r="B184" s="16"/>
      <c r="C184" s="16" t="s">
        <v>369</v>
      </c>
      <c r="D184" s="16"/>
      <c r="E184" s="16"/>
      <c r="F184" s="382"/>
      <c r="G184" s="384">
        <f t="shared" ref="G184:I184" si="266" ca="1">AVERAGE(F167:G167)/-G$29*G$26</f>
        <v>63.44539411206078</v>
      </c>
      <c r="H184" s="384">
        <f ca="1">AVERAGE(G167:H167)/-H$29*H$26</f>
        <v>71.48294342832837</v>
      </c>
      <c r="I184" s="384">
        <f ca="1">AVERAGE(H167:I167)/-I$29*I$26</f>
        <v>69.58842277543286</v>
      </c>
      <c r="J184" s="162">
        <f ca="1">AVERAGE(F167:I167)/-J$29*J$26</f>
        <v>69.28524204045371</v>
      </c>
      <c r="K184" s="382">
        <f ca="1">AVERAGE(I167,K167)/-K$29*K$26</f>
        <v>73.13980263157895</v>
      </c>
      <c r="L184" s="384">
        <f t="shared" ref="L184:N184" si="267" ca="1">AVERAGE(K167:L167)/-L$29*L$26</f>
        <v>66.99214145383104</v>
      </c>
      <c r="M184" s="384">
        <f ca="1">AVERAGE(L167:M167)/-M$29*M$26</f>
        <v>71.73697650663944</v>
      </c>
      <c r="N184" s="384">
        <f ca="1">AVERAGE(M167:N167)/-N$29*N$26</f>
        <v>68.63974649162517</v>
      </c>
      <c r="O184" s="162">
        <f ca="1">AVERAGE(J167,O167)/-O$29*O$26</f>
        <v>59.11360634081902</v>
      </c>
      <c r="P184" s="382">
        <f ca="1">AVERAGE(N167,P167)/-P$29*P$26</f>
        <v>63.250265917033886</v>
      </c>
      <c r="Q184" s="384">
        <f t="shared" ref="Q184:S184" si="268" ca="1">AVERAGE(P167:Q167)/-Q$29*Q$26</f>
        <v>60.05908989887765</v>
      </c>
      <c r="R184" s="384">
        <f ca="1">AVERAGE(Q167:R167)/-R$29*R$26</f>
        <v>78.68945299486974</v>
      </c>
      <c r="S184" s="384">
        <f ca="1">AVERAGE(R167:S167)/-S$29*S$26</f>
        <v>78.55384615384615</v>
      </c>
      <c r="T184" s="162">
        <f ca="1">AVERAGE(O167,T167)/-T$29*T$26</f>
        <v>56.38846769087213</v>
      </c>
      <c r="U184" s="382">
        <f ca="1">AVERAGE(S167,U167)/-U$29*U$26</f>
        <v>68.63245764792536</v>
      </c>
      <c r="V184" s="384">
        <f t="shared" ref="V184:W184" si="269" ca="1">AVERAGE(U167:V167)/-V$29*V$26</f>
        <v>64.7312137145361</v>
      </c>
      <c r="W184" s="384">
        <f ca="1">AVERAGE(V167:W167)/-W$29*W$26</f>
        <v>70.04565912204032</v>
      </c>
      <c r="X184" s="361">
        <f ca="1">Drivers!X135</f>
        <v>55</v>
      </c>
      <c r="Y184" s="162">
        <f ca="1">AVERAGE(T167,Y167)/-Y$29*Y$26</f>
        <v>58.889473853616515</v>
      </c>
      <c r="Z184" s="361">
        <f ca="1">Drivers!Z135</f>
        <v>58</v>
      </c>
      <c r="AA184" s="361">
        <f ca="1">Drivers!AA135</f>
        <v>48</v>
      </c>
      <c r="AB184" s="361">
        <f ca="1">Drivers!AB135</f>
        <v>53</v>
      </c>
      <c r="AC184" s="361">
        <f ca="1">Drivers!AC135</f>
        <v>55</v>
      </c>
      <c r="AD184" s="162">
        <f ca="1">AVERAGE(Y167,AD167)/-AD$29*AD$26</f>
        <v>48.236838263600504</v>
      </c>
      <c r="AE184" s="362">
        <f ca="1">Drivers!AE135</f>
        <v>54</v>
      </c>
      <c r="AF184" s="362">
        <f ca="1">Drivers!AF135</f>
        <v>54</v>
      </c>
      <c r="AG184" s="362">
        <f ca="1">Drivers!AG135</f>
        <v>54</v>
      </c>
      <c r="AH184" s="16"/>
      <c r="AI184" s="16"/>
      <c r="AJ184" s="16"/>
      <c r="AK184" s="16"/>
    </row>
    <row r="185" ht="13.5" customHeight="1" spans="1:37" x14ac:dyDescent="0.25">
      <c r="A185" s="264"/>
      <c r="B185" s="16"/>
      <c r="C185" s="16" t="s">
        <v>131</v>
      </c>
      <c r="D185" s="16"/>
      <c r="E185" s="16"/>
      <c r="F185" s="382"/>
      <c r="G185" s="384">
        <f t="shared" ref="G185:AG185" si="270" ca="1">SUM(G182:G183)-G184</f>
        <v>19.946343779678102</v>
      </c>
      <c r="H185" s="384">
        <f ca="1">SUM(H182:H183)-H184</f>
        <v>23.412845597619025</v>
      </c>
      <c r="I185" s="384">
        <f ca="1">SUM(I182:I183)-I184</f>
        <v>29.179429752779</v>
      </c>
      <c r="J185" s="162">
        <f ca="1">SUM(J182:J183)-J184</f>
        <v>25.265955248859484</v>
      </c>
      <c r="K185" s="382">
        <f ca="1">SUM(K182:K183)-K184</f>
        <v>28.950246710527324</v>
      </c>
      <c r="L185" s="384">
        <f ca="1">SUM(L182:L183)-L184</f>
        <v>24.812377210217107</v>
      </c>
      <c r="M185" s="384">
        <f ca="1">SUM(M182:M183)-M184</f>
        <v>35.7294858699363</v>
      </c>
      <c r="N185" s="384">
        <f ca="1">SUM(N182:N183)-N184</f>
        <v>43.37202354006436</v>
      </c>
      <c r="O185" s="162">
        <f ca="1">SUM(O182:O183)-O184</f>
        <v>36.35535006605119</v>
      </c>
      <c r="P185" s="382">
        <f ca="1">SUM(P182:P183)-P184</f>
        <v>30.6404801701879</v>
      </c>
      <c r="Q185" s="384">
        <f ca="1">SUM(Q182:Q183)-Q184</f>
        <v>11.01475163907201</v>
      </c>
      <c r="R185" s="384">
        <f ca="1">SUM(R182:R183)-R184</f>
        <v>11.854753814379038</v>
      </c>
      <c r="S185" s="384">
        <f ca="1">SUM(S182:S183)-S184</f>
        <v>27.450487540629382</v>
      </c>
      <c r="T185" s="162">
        <f ca="1">SUM(T182:T183)-T184</f>
        <v>32.93052454427399</v>
      </c>
      <c r="U185" s="382">
        <f ca="1">SUM(U182:U183)-U184</f>
        <v>26.86686717407416</v>
      </c>
      <c r="V185" s="384">
        <f ca="1">SUM(V182:V183)-V184</f>
        <v>24.24523496549557</v>
      </c>
      <c r="W185" s="384">
        <f ca="1">SUM(W182:W183)-W184</f>
        <v>31.990868175591928</v>
      </c>
      <c r="X185" s="359">
        <f ca="1">SUM(X182:X183)-X184</f>
        <v>35</v>
      </c>
      <c r="Y185" s="162">
        <f ca="1">SUM(Y182:Y183)-Y184</f>
        <v>33.18677349576371</v>
      </c>
      <c r="Z185" s="359">
        <f ca="1">SUM(Z182:Z183)-Z184</f>
        <v>37</v>
      </c>
      <c r="AA185" s="359">
        <f ca="1">SUM(AA182:AA183)-AA184</f>
        <v>32</v>
      </c>
      <c r="AB185" s="359">
        <f ca="1">SUM(AB182:AB183)-AB184</f>
        <v>32</v>
      </c>
      <c r="AC185" s="359">
        <f ca="1">SUM(AC182:AC183)-AC184</f>
        <v>35</v>
      </c>
      <c r="AD185" s="162">
        <f ca="1">SUM(AD182:AD183)-AD184</f>
        <v>30.696169804109417</v>
      </c>
      <c r="AE185" s="162">
        <f ca="1">SUM(AE182:AE183)-AE184</f>
        <v>30</v>
      </c>
      <c r="AF185" s="162">
        <f ca="1">SUM(AF182:AF183)-AF184</f>
        <v>30</v>
      </c>
      <c r="AG185" s="162">
        <f ca="1">SUM(AG182:AG183)-AG184</f>
        <v>30</v>
      </c>
      <c r="AH185" s="16"/>
      <c r="AI185" s="16"/>
      <c r="AJ185" s="16"/>
      <c r="AK185" s="16"/>
    </row>
    <row r="186" ht="13.5" customHeight="1" spans="1:37" x14ac:dyDescent="0.25">
      <c r="A186" s="264"/>
      <c r="B186" s="16"/>
      <c r="C186" s="139" t="s">
        <v>370</v>
      </c>
      <c r="D186" s="16"/>
      <c r="E186" s="16"/>
      <c r="F186" s="410">
        <f t="shared" ref="F186:I186" si="271" ca="1">F164/(4*F28)</f>
        <v>0.019184362934362934</v>
      </c>
      <c r="G186" s="410">
        <f ca="1">G164/(4*G28)</f>
        <v>0.043817124105011936</v>
      </c>
      <c r="H186" s="410">
        <f ca="1">H164/(4*H28)</f>
        <v>0.0302647108413421</v>
      </c>
      <c r="I186" s="410">
        <f ca="1">I164/(4*I28)</f>
        <v>0.03268054866964138</v>
      </c>
      <c r="J186" s="214">
        <f ca="1">J164/(J28)</f>
        <v>0.029324534737154295</v>
      </c>
      <c r="K186" s="410">
        <f t="shared" ref="K186:N186" si="272" ca="1">K164/(4*K28)</f>
        <v>0.030311457174638488</v>
      </c>
      <c r="L186" s="410">
        <f ca="1">L164/(4*L28)</f>
        <v>0.025708891685792552</v>
      </c>
      <c r="M186" s="410">
        <f ca="1">M164/(4*M28)</f>
        <v>0.01778421633554084</v>
      </c>
      <c r="N186" s="410">
        <f ca="1">N164/(4*N28)</f>
        <v>0.034836899968330094</v>
      </c>
      <c r="O186" s="214">
        <f ca="1">O164/(O28)</f>
        <v>0.05055644923016316</v>
      </c>
      <c r="P186" s="410">
        <f t="shared" ref="P186:S186" si="273" ca="1">P164/(4*P28)</f>
        <v>0.03899170634311166</v>
      </c>
      <c r="Q186" s="410">
        <f ca="1">Q164/(4*Q28)</f>
        <v>0.03350532623169108</v>
      </c>
      <c r="R186" s="410">
        <f ca="1">R164/(4*R28)</f>
        <v>0.027122170913858958</v>
      </c>
      <c r="S186" s="410">
        <f ca="1">S164/(4*S28)</f>
        <v>0.02396964226691414</v>
      </c>
      <c r="T186" s="214">
        <f ca="1">T164/(T28)</f>
        <v>0.028897216027954666</v>
      </c>
      <c r="U186" s="410">
        <f t="shared" ref="U186:W186" si="274" ca="1">U164/(4*U28)</f>
        <v>0.015767554809132587</v>
      </c>
      <c r="V186" s="410">
        <f ca="1">V164/(4*V28)</f>
        <v>0.014216032347089404</v>
      </c>
      <c r="W186" s="410">
        <f ca="1">W164/(4*W28)</f>
        <v>0.016264508246792913</v>
      </c>
      <c r="X186" s="411">
        <f ca="1">Drivers!X123</f>
        <v>1e-12</v>
      </c>
      <c r="Y186" s="214">
        <f ca="1">Y164/(Y28)</f>
        <v>1e-12</v>
      </c>
      <c r="Z186" s="411">
        <f ca="1">Drivers!Z123</f>
        <v>0.018</v>
      </c>
      <c r="AA186" s="411">
        <f ca="1">Drivers!AA123</f>
        <v>0.018</v>
      </c>
      <c r="AB186" s="411">
        <f ca="1">Drivers!AB123</f>
        <v>0.018</v>
      </c>
      <c r="AC186" s="411">
        <f ca="1">Drivers!AC123</f>
        <v>0.018</v>
      </c>
      <c r="AD186" s="214">
        <f ca="1">AD164/(AD28)</f>
        <v>0.016751674706560162</v>
      </c>
      <c r="AE186" s="412">
        <f ca="1">Drivers!AE123</f>
        <v>0.018</v>
      </c>
      <c r="AF186" s="412">
        <f ca="1">Drivers!AF123</f>
        <v>0.018</v>
      </c>
      <c r="AG186" s="412">
        <f ca="1">Drivers!AG123</f>
        <v>0.018</v>
      </c>
      <c r="AH186" s="16"/>
      <c r="AI186" s="16"/>
      <c r="AJ186" s="16"/>
      <c r="AK186" s="16"/>
    </row>
    <row r="187" ht="13.5" customHeight="1" spans="1:37" x14ac:dyDescent="0.25">
      <c r="A187" s="264"/>
      <c r="B187" s="16"/>
      <c r="C187" s="16" t="s">
        <v>371</v>
      </c>
      <c r="D187" s="16"/>
      <c r="E187" s="16"/>
      <c r="F187" s="410">
        <f t="shared" ref="F187:I187" si="275" ca="1">F168/(4*-F29)</f>
        <v>0.2825516275813791</v>
      </c>
      <c r="G187" s="410">
        <f ca="1">G168/(4*-G29)</f>
        <v>0.23383478490366852</v>
      </c>
      <c r="H187" s="410">
        <f ca="1">H168/(4*-H29)</f>
        <v>0.3428649237472767</v>
      </c>
      <c r="I187" s="410">
        <f ca="1">I168/(4*-I29)</f>
        <v>0.4244815148782687</v>
      </c>
      <c r="J187" s="214">
        <f ca="1">J168/(-J29)</f>
        <v>0.32415217765536236</v>
      </c>
      <c r="K187" s="410">
        <f t="shared" ref="K187:N187" si="276" ca="1">K168/(4*-K29)</f>
        <v>0.4424135220125786</v>
      </c>
      <c r="L187" s="410">
        <f ca="1">L168/(4*-L29)</f>
        <v>0.4162546353522868</v>
      </c>
      <c r="M187" s="410">
        <f ca="1">M168/(4*-M29)</f>
        <v>0.26265889830508476</v>
      </c>
      <c r="N187" s="410">
        <f ca="1">N168/(4*-N29)</f>
        <v>0.2785203313253012</v>
      </c>
      <c r="O187" s="214">
        <f ca="1">O168/(-O29)</f>
        <v>0.3560555923229649</v>
      </c>
      <c r="P187" s="410">
        <f t="shared" ref="P187:S187" si="277" ca="1">P168/(4*-P29)</f>
        <v>0.46173288400141893</v>
      </c>
      <c r="Q187" s="410">
        <f ca="1">Q168/(4*-Q29)</f>
        <v>0.31278462362710957</v>
      </c>
      <c r="R187" s="410">
        <f ca="1">R168/(4*-R29)</f>
        <v>0.2905556800358503</v>
      </c>
      <c r="S187" s="410">
        <f ca="1">S168/(4*-S29)</f>
        <v>0.2568815987933635</v>
      </c>
      <c r="T187" s="214">
        <f ca="1">T168/(-T29)</f>
        <v>0.3339665420675286</v>
      </c>
      <c r="U187" s="410">
        <f t="shared" ref="U187:W187" si="278" ca="1">U168/(4*-U29)</f>
        <v>0.26067896975968724</v>
      </c>
      <c r="V187" s="410">
        <f ca="1">V168/(4*-V29)</f>
        <v>0.27565942591155934</v>
      </c>
      <c r="W187" s="410">
        <f ca="1">W168/(4*-W29)</f>
        <v>0.02206314004305003</v>
      </c>
      <c r="X187" s="411">
        <f ca="1">Drivers!X140</f>
        <v>0.0125</v>
      </c>
      <c r="Y187" s="214">
        <f ca="1">Y168/(-Y29)</f>
        <v>0.013761244159941528</v>
      </c>
      <c r="Z187" s="411">
        <f ca="1">Drivers!Z140</f>
        <v>0.0125</v>
      </c>
      <c r="AA187" s="411">
        <f ca="1">Drivers!AA140</f>
        <v>0.0125</v>
      </c>
      <c r="AB187" s="411">
        <f ca="1">Drivers!AB140</f>
        <v>0.0125</v>
      </c>
      <c r="AC187" s="411">
        <f ca="1">Drivers!AC140</f>
        <v>0.0125</v>
      </c>
      <c r="AD187" s="214">
        <f ca="1">AD168/(-AD29)</f>
        <v>0.01163754798419242</v>
      </c>
      <c r="AE187" s="412">
        <f ca="1">Drivers!AE140</f>
        <v>0.013</v>
      </c>
      <c r="AF187" s="412">
        <f ca="1">Drivers!AF140</f>
        <v>0.013</v>
      </c>
      <c r="AG187" s="412">
        <f ca="1">Drivers!AG140</f>
        <v>0.013</v>
      </c>
      <c r="AH187" s="16"/>
      <c r="AI187" s="16"/>
      <c r="AJ187" s="16"/>
      <c r="AK187" s="16"/>
    </row>
    <row r="188" ht="13.5" customHeight="1" spans="1:37" x14ac:dyDescent="0.25">
      <c r="A188" s="264"/>
      <c r="B188" s="16"/>
      <c r="C188" s="16" t="s">
        <v>372</v>
      </c>
      <c r="D188" s="16"/>
      <c r="E188" s="16"/>
      <c r="F188" s="410">
        <f t="shared" ref="F188:I188" si="279" ca="1">F169/(4*-F29)</f>
        <v>0.029226461323066152</v>
      </c>
      <c r="G188" s="410">
        <f ca="1">G169/(4*-G29)</f>
        <v>0.0236869886513592</v>
      </c>
      <c r="H188" s="410">
        <f ca="1">H169/(4*-H29)</f>
        <v>0.030682643427741466</v>
      </c>
      <c r="I188" s="410">
        <f ca="1">I169/(4*-I29)</f>
        <v>0.03990081154192967</v>
      </c>
      <c r="J188" s="214">
        <f ca="1">J169/(-J29)</f>
        <v>0.03046996040626614</v>
      </c>
      <c r="K188" s="410">
        <f t="shared" ref="K188:N188" si="280" ca="1">K169/(4*-K29)</f>
        <v>0.036065251572327046</v>
      </c>
      <c r="L188" s="410">
        <f ca="1">L169/(4*-L29)</f>
        <v>0.026019777503090234</v>
      </c>
      <c r="M188" s="410">
        <f ca="1">M169/(4*-M29)</f>
        <v>0.027171610169491524</v>
      </c>
      <c r="N188" s="410">
        <f ca="1">N169/(4*-N29)</f>
        <v>0.03595632530120482</v>
      </c>
      <c r="O188" s="214">
        <f ca="1">O169/(-O29)</f>
        <v>0.0459659466939414</v>
      </c>
      <c r="P188" s="410">
        <f t="shared" ref="P188:S188" si="281" ca="1">P169/(4*-P29)</f>
        <v>0.03746896062433487</v>
      </c>
      <c r="Q188" s="410">
        <f ca="1">Q169/(4*-Q29)</f>
        <v>0.0317439057058666</v>
      </c>
      <c r="R188" s="410">
        <f ca="1">R169/(4*-R29)</f>
        <v>0.021062065874971992</v>
      </c>
      <c r="S188" s="410">
        <f ca="1">S169/(4*-S29)</f>
        <v>0.019725678733031674</v>
      </c>
      <c r="T188" s="214">
        <f ca="1">T169/(-T29)</f>
        <v>0.025644953734910228</v>
      </c>
      <c r="U188" s="410">
        <f t="shared" ref="U188:W188" si="282" ca="1">U169/(4*-U29)</f>
        <v>0.015436357364608485</v>
      </c>
      <c r="V188" s="410">
        <f ca="1">V169/(4*-V29)</f>
        <v>0.01900698215671063</v>
      </c>
      <c r="W188" s="410">
        <f ca="1">W169/(4*-W29)</f>
        <v>0.11080490509425348</v>
      </c>
      <c r="X188" s="411">
        <f ca="1">Drivers!X145</f>
        <v>0.125</v>
      </c>
      <c r="Y188" s="214">
        <f ca="1">Y169/(-Y29)</f>
        <v>0.13761244159941527</v>
      </c>
      <c r="Z188" s="411">
        <f ca="1">Drivers!Z145</f>
        <v>0.11</v>
      </c>
      <c r="AA188" s="411">
        <f ca="1">Drivers!AA145</f>
        <v>0.11</v>
      </c>
      <c r="AB188" s="411">
        <f ca="1">Drivers!AB145</f>
        <v>0.125</v>
      </c>
      <c r="AC188" s="411">
        <f ca="1">Drivers!AC145</f>
        <v>0.125</v>
      </c>
      <c r="AD188" s="214">
        <f ca="1">AD169/(-AD29)</f>
        <v>0.11637547984192419</v>
      </c>
      <c r="AE188" s="412">
        <f ca="1">Drivers!AE145</f>
        <v>0.12</v>
      </c>
      <c r="AF188" s="412">
        <f ca="1">Drivers!AF145</f>
        <v>0.12</v>
      </c>
      <c r="AG188" s="412">
        <f ca="1">Drivers!AG145</f>
        <v>0.12</v>
      </c>
      <c r="AH188" s="16"/>
      <c r="AI188" s="16"/>
      <c r="AJ188" s="16"/>
      <c r="AK188" s="16"/>
    </row>
    <row r="189" ht="13.5" customHeight="1" spans="1:37" x14ac:dyDescent="0.25">
      <c r="A189" s="264"/>
      <c r="B189" s="16"/>
      <c r="C189" s="16"/>
      <c r="D189" s="16"/>
      <c r="E189" s="16"/>
      <c r="F189" s="315"/>
      <c r="G189" s="315"/>
      <c r="H189" s="315"/>
      <c r="I189" s="315"/>
      <c r="J189" s="16"/>
      <c r="K189" s="315"/>
      <c r="L189" s="315"/>
      <c r="M189" s="315"/>
      <c r="N189" s="315"/>
      <c r="O189" s="16"/>
      <c r="P189" s="315"/>
      <c r="Q189" s="315"/>
      <c r="R189" s="315"/>
      <c r="S189" s="315"/>
      <c r="T189" s="16"/>
      <c r="U189" s="315"/>
      <c r="V189" s="315"/>
      <c r="W189" s="315"/>
      <c r="X189" s="316"/>
      <c r="Y189" s="16"/>
      <c r="Z189" s="316"/>
      <c r="AA189" s="316"/>
      <c r="AB189" s="316"/>
      <c r="AC189" s="316"/>
      <c r="AD189" s="16"/>
      <c r="AE189" s="16"/>
      <c r="AF189" s="16"/>
      <c r="AG189" s="16"/>
      <c r="AH189" s="16"/>
      <c r="AI189" s="16"/>
      <c r="AJ189" s="16"/>
      <c r="AK189" s="16"/>
    </row>
    <row r="190" ht="13.5" customHeight="1" spans="1:37" x14ac:dyDescent="0.25">
      <c r="A190" s="264" t="s">
        <v>1</v>
      </c>
      <c r="B190" s="47"/>
      <c r="C190" s="62" t="s">
        <v>373</v>
      </c>
      <c r="D190" s="19"/>
      <c r="E190" s="19"/>
      <c r="F190" s="313">
        <f ca="1">F$25</f>
        <v>1e-12</v>
      </c>
      <c r="G190" s="63">
        <f t="shared" ref="G190:AG190" si="283" ca="1">G$63</f>
        <v>1e-12</v>
      </c>
      <c r="H190" s="63">
        <f ca="1">H$63</f>
        <v>1e-12</v>
      </c>
      <c r="I190" s="63">
        <f ca="1">I$63</f>
        <v>1e-12</v>
      </c>
      <c r="J190" s="63">
        <f ca="1">J$63</f>
        <v>2023</v>
      </c>
      <c r="K190" s="63">
        <f ca="1">K$63</f>
        <v>1e-12</v>
      </c>
      <c r="L190" s="63">
        <f ca="1">L$63</f>
        <v>1e-12</v>
      </c>
      <c r="M190" s="63">
        <f ca="1">M$63</f>
        <v>1e-12</v>
      </c>
      <c r="N190" s="63">
        <f ca="1">N$63</f>
        <v>1e-12</v>
      </c>
      <c r="O190" s="63">
        <f ca="1">O$63</f>
        <v>2024</v>
      </c>
      <c r="P190" s="63">
        <f ca="1">P$63</f>
        <v>1e-12</v>
      </c>
      <c r="Q190" s="63">
        <f ca="1">Q$63</f>
        <v>1e-12</v>
      </c>
      <c r="R190" s="63">
        <f ca="1">R$63</f>
        <v>1e-12</v>
      </c>
      <c r="S190" s="63">
        <f ca="1">S$63</f>
        <v>1e-12</v>
      </c>
      <c r="T190" s="63">
        <f ca="1">T$63</f>
        <v>2025</v>
      </c>
      <c r="U190" s="63">
        <f ca="1">U$63</f>
        <v>1e-12</v>
      </c>
      <c r="V190" s="63">
        <f ca="1">V$63</f>
        <v>1e-12</v>
      </c>
      <c r="W190" s="63" t="str">
        <f ca="1">W$63</f>
        <v>3Q26e</v>
      </c>
      <c r="X190" s="63" t="str">
        <f ca="1">X$63</f>
        <v>4Q26e</v>
      </c>
      <c r="Y190" s="63" t="str">
        <f ca="1">Y$63</f>
        <v>2026e</v>
      </c>
      <c r="Z190" s="63" t="str">
        <f ca="1">Z$63</f>
        <v>1Q27e</v>
      </c>
      <c r="AA190" s="63" t="str">
        <f ca="1">AA$63</f>
        <v>2Q27e</v>
      </c>
      <c r="AB190" s="63" t="str">
        <f ca="1">AB$63</f>
        <v>3Q27e</v>
      </c>
      <c r="AC190" s="63" t="str">
        <f ca="1">AC$63</f>
        <v>4Q27e</v>
      </c>
      <c r="AD190" s="63" t="str">
        <f ca="1">AD$63</f>
        <v>2027e</v>
      </c>
      <c r="AE190" s="63" t="str">
        <f ca="1">AE$63</f>
        <v>2028e</v>
      </c>
      <c r="AF190" s="63" t="str">
        <f ca="1">AF$63</f>
        <v>2029e</v>
      </c>
      <c r="AG190" s="64" t="str">
        <f ca="1">AG$63</f>
        <v>2030e</v>
      </c>
      <c r="AH190" s="264" t="s">
        <v>1</v>
      </c>
      <c r="AI190" s="16"/>
      <c r="AJ190" s="16"/>
      <c r="AK190" s="16"/>
    </row>
    <row r="191" ht="13.5" customHeight="1" spans="1:37" x14ac:dyDescent="0.25">
      <c r="A191" s="264"/>
      <c r="B191" s="16"/>
      <c r="C191" s="16"/>
      <c r="D191" s="16"/>
      <c r="E191" s="16"/>
      <c r="F191" s="315"/>
      <c r="G191" s="315"/>
      <c r="H191" s="315"/>
      <c r="I191" s="315"/>
      <c r="J191" s="16"/>
      <c r="K191" s="315"/>
      <c r="L191" s="315"/>
      <c r="M191" s="315"/>
      <c r="N191" s="315"/>
      <c r="O191" s="16"/>
      <c r="P191" s="315"/>
      <c r="Q191" s="315"/>
      <c r="R191" s="315"/>
      <c r="S191" s="315"/>
      <c r="T191" s="16"/>
      <c r="U191" s="315"/>
      <c r="V191" s="315"/>
      <c r="W191" s="315"/>
      <c r="X191" s="316"/>
      <c r="Y191" s="16"/>
      <c r="Z191" s="316"/>
      <c r="AA191" s="316"/>
      <c r="AB191" s="316"/>
      <c r="AC191" s="316"/>
      <c r="AD191" s="16"/>
      <c r="AE191" s="16"/>
      <c r="AF191" s="16"/>
      <c r="AG191" s="16"/>
      <c r="AH191" s="16"/>
      <c r="AI191" s="16"/>
      <c r="AJ191" s="16"/>
      <c r="AK191" s="16"/>
    </row>
    <row r="192" ht="13.5" customHeight="1" spans="1:37" x14ac:dyDescent="0.25">
      <c r="A192" s="264"/>
      <c r="B192" s="16"/>
      <c r="C192" s="16" t="s">
        <v>374</v>
      </c>
      <c r="D192" s="16"/>
      <c r="E192" s="16"/>
      <c r="F192" s="315"/>
      <c r="G192" s="315"/>
      <c r="H192" s="315"/>
      <c r="I192" s="315"/>
      <c r="J192" s="16"/>
      <c r="K192" s="315"/>
      <c r="L192" s="315"/>
      <c r="M192" s="315"/>
      <c r="N192" s="315"/>
      <c r="O192" s="16"/>
      <c r="P192" s="315"/>
      <c r="Q192" s="315"/>
      <c r="R192" s="315"/>
      <c r="S192" s="315"/>
      <c r="T192" s="16"/>
      <c r="U192" s="315"/>
      <c r="V192" s="315"/>
      <c r="W192" s="315"/>
      <c r="X192" s="281">
        <f ca="1">W196</f>
        <v>18925</v>
      </c>
      <c r="Y192" s="282">
        <f ca="1">U192</f>
        <v>1e-12</v>
      </c>
      <c r="Z192" s="281">
        <f t="shared" ref="Z192:AC192" si="284" ca="1">Y196</f>
        <v>18963.9382</v>
      </c>
      <c r="AA192" s="281">
        <f ca="1">Z196</f>
        <v>19248.6551535</v>
      </c>
      <c r="AB192" s="281">
        <f ca="1">AA196</f>
        <v>19556.13592455375</v>
      </c>
      <c r="AC192" s="281">
        <f ca="1">AB196</f>
        <v>19652.04946651726</v>
      </c>
      <c r="AD192" s="282">
        <f ca="1">Y196</f>
        <v>18963.9382</v>
      </c>
      <c r="AE192" s="282">
        <f t="shared" ref="AE192:AG192" si="285" ca="1">AD196</f>
        <v>19724.377225464246</v>
      </c>
      <c r="AF192" s="282">
        <f ca="1">AE196</f>
        <v>20451.053220703907</v>
      </c>
      <c r="AG192" s="282">
        <f ca="1">AF196</f>
        <v>21168.345167395775</v>
      </c>
      <c r="AH192" s="16"/>
      <c r="AI192" s="16"/>
      <c r="AJ192" s="16"/>
      <c r="AK192" s="16"/>
    </row>
    <row r="193" ht="13.5" customHeight="1" spans="1:37" x14ac:dyDescent="0.25">
      <c r="A193" s="264"/>
      <c r="B193" s="16"/>
      <c r="C193" s="139" t="s">
        <v>121</v>
      </c>
      <c r="D193" s="16"/>
      <c r="E193" s="16"/>
      <c r="F193" s="413">
        <v>224</v>
      </c>
      <c r="G193" s="413">
        <v>319</v>
      </c>
      <c r="H193" s="413">
        <v>303</v>
      </c>
      <c r="I193" s="413">
        <v>328</v>
      </c>
      <c r="J193" s="329">
        <f t="shared" ref="J193:J195" si="286" ca="1">SUM(F193:I193)</f>
        <v>1174</v>
      </c>
      <c r="K193" s="413">
        <v>205</v>
      </c>
      <c r="L193" s="413">
        <v>321</v>
      </c>
      <c r="M193" s="413">
        <v>401</v>
      </c>
      <c r="N193" s="413">
        <v>557</v>
      </c>
      <c r="O193" s="329">
        <f t="shared" ref="O193:O195" si="287" ca="1">SUM(K193:N193)</f>
        <v>1484</v>
      </c>
      <c r="P193" s="413">
        <v>328</v>
      </c>
      <c r="Q193" s="413">
        <v>382</v>
      </c>
      <c r="R193" s="413">
        <v>462</v>
      </c>
      <c r="S193" s="413">
        <v>557</v>
      </c>
      <c r="T193" s="329">
        <f t="shared" ref="T193:T195" si="288" ca="1">SUM(P193:S193)</f>
        <v>1729</v>
      </c>
      <c r="U193" s="413">
        <v>461</v>
      </c>
      <c r="V193" s="413">
        <f ca="1">846-U193</f>
        <v>385</v>
      </c>
      <c r="W193" s="413">
        <f ca="1">1256-SUM(U193:V193)</f>
        <v>410</v>
      </c>
      <c r="X193" s="330">
        <f ca="1">X200*X28</f>
        <v>370.1257</v>
      </c>
      <c r="Y193" s="329">
        <f t="shared" ref="Y193:Y195" si="289" ca="1">SUM(U193:X193)</f>
        <v>1626.1257</v>
      </c>
      <c r="Z193" s="330">
        <f t="shared" ref="Z193:AC193" si="290" ca="1">Z200*Z28</f>
        <v>616.585872</v>
      </c>
      <c r="AA193" s="330">
        <f ca="1">AA200*AA28</f>
        <v>644.3322362399999</v>
      </c>
      <c r="AB193" s="330">
        <f ca="1">AB200*AB28</f>
        <v>438.14592064320004</v>
      </c>
      <c r="AC193" s="330">
        <f ca="1">AC200*AC28</f>
        <v>416.23862461104</v>
      </c>
      <c r="AD193" s="329">
        <f t="shared" ref="AD193:AD195" si="291" ca="1">SUM(Z193:AC193)</f>
        <v>2115.30265349424</v>
      </c>
      <c r="AE193" s="329">
        <f t="shared" ref="AE193:AG193" si="292" ca="1">AE200*AE28</f>
        <v>2146.8311554730876</v>
      </c>
      <c r="AF193" s="329">
        <f ca="1">AF200*AF28</f>
        <v>2189.7677785825495</v>
      </c>
      <c r="AG193" s="329">
        <f ca="1">AG200*AG28</f>
        <v>2345.2412908619103</v>
      </c>
      <c r="AH193" s="16"/>
      <c r="AI193" s="16"/>
      <c r="AJ193" s="16"/>
      <c r="AK193" s="16"/>
    </row>
    <row r="194" ht="13.5" customHeight="1" spans="1:37" x14ac:dyDescent="0.25">
      <c r="A194" s="264"/>
      <c r="B194" s="16"/>
      <c r="C194" s="139" t="s">
        <v>375</v>
      </c>
      <c r="D194" s="16"/>
      <c r="E194" s="16"/>
      <c r="F194" s="358"/>
      <c r="G194" s="358"/>
      <c r="H194" s="358"/>
      <c r="I194" s="358"/>
      <c r="J194" s="366">
        <f ca="1">SUM(F194:I194)</f>
        <v>1e-12</v>
      </c>
      <c r="K194" s="358"/>
      <c r="L194" s="358"/>
      <c r="M194" s="358"/>
      <c r="N194" s="358"/>
      <c r="O194" s="366">
        <f ca="1">SUM(K194:N194)</f>
        <v>1e-12</v>
      </c>
      <c r="P194" s="358"/>
      <c r="Q194" s="358"/>
      <c r="R194" s="358"/>
      <c r="S194" s="358"/>
      <c r="T194" s="366">
        <f ca="1">SUM(P194:S194)</f>
        <v>1e-12</v>
      </c>
      <c r="U194" s="358"/>
      <c r="V194" s="358">
        <f ca="1">-409+207</f>
        <v>-202</v>
      </c>
      <c r="W194" s="358">
        <f ca="1">-425+216</f>
        <v>-209</v>
      </c>
      <c r="X194" s="359">
        <f ca="1">-X201*X192/4</f>
        <v>-331.18750000000006</v>
      </c>
      <c r="Y194" s="329">
        <f ca="1">SUM(U194:X194)</f>
        <v>-1133.1875</v>
      </c>
      <c r="Z194" s="359">
        <f t="shared" ref="Z194:AC194" si="293" ca="1">-Z201*Z192/4</f>
        <v>-331.86891850000006</v>
      </c>
      <c r="AA194" s="359">
        <f ca="1">-AA201*AA192/4</f>
        <v>-336.85146518625004</v>
      </c>
      <c r="AB194" s="359">
        <f ca="1">-AB201*AB192/4</f>
        <v>-342.23237867969067</v>
      </c>
      <c r="AC194" s="359">
        <f ca="1">-AC201*AC192/4</f>
        <v>-343.91086566405204</v>
      </c>
      <c r="AD194" s="329">
        <f ca="1">SUM(Z194:AC194)</f>
        <v>-1354.863628029993</v>
      </c>
      <c r="AE194" s="162">
        <f t="shared" ref="AE194:AG194" si="294" ca="1">-AE201*AE192</f>
        <v>-1420.1551602334257</v>
      </c>
      <c r="AF194" s="162">
        <f ca="1">-AF201*AF192</f>
        <v>-1472.475831890681</v>
      </c>
      <c r="AG194" s="162">
        <f ca="1">-AG201*AG192</f>
        <v>-1524.1208520524956</v>
      </c>
      <c r="AH194" s="16"/>
      <c r="AI194" s="16"/>
      <c r="AJ194" s="16"/>
      <c r="AK194" s="16"/>
    </row>
    <row r="195" ht="13.5" customHeight="1" spans="1:37" x14ac:dyDescent="0.25">
      <c r="A195" s="264"/>
      <c r="B195" s="16"/>
      <c r="C195" s="139" t="s">
        <v>376</v>
      </c>
      <c r="D195" s="16"/>
      <c r="E195" s="16"/>
      <c r="F195" s="354">
        <v>0</v>
      </c>
      <c r="G195" s="367">
        <v>0</v>
      </c>
      <c r="H195" s="354">
        <v>0</v>
      </c>
      <c r="I195" s="354">
        <v>0</v>
      </c>
      <c r="J195" s="414">
        <f ca="1">SUM(F195:I195)</f>
        <v>1e-12</v>
      </c>
      <c r="K195" s="354">
        <v>0</v>
      </c>
      <c r="L195" s="354">
        <v>0</v>
      </c>
      <c r="M195" s="354">
        <v>0</v>
      </c>
      <c r="N195" s="354">
        <v>0</v>
      </c>
      <c r="O195" s="414">
        <f ca="1">SUM(K195:N195)</f>
        <v>1e-12</v>
      </c>
      <c r="P195" s="354">
        <v>0</v>
      </c>
      <c r="Q195" s="354">
        <v>0</v>
      </c>
      <c r="R195" s="354">
        <v>0</v>
      </c>
      <c r="S195" s="354">
        <v>0</v>
      </c>
      <c r="T195" s="414">
        <f ca="1">SUM(P195:S195)</f>
        <v>1e-12</v>
      </c>
      <c r="U195" s="354">
        <v>-64</v>
      </c>
      <c r="V195" s="354">
        <f ca="1">-78-U195</f>
        <v>-14</v>
      </c>
      <c r="W195" s="354">
        <v>0</v>
      </c>
      <c r="X195" s="385">
        <f ca="1">-Drivers!X97</f>
        <v>1e-12</v>
      </c>
      <c r="Y195" s="414">
        <f ca="1">SUM(U195:X195)</f>
        <v>-78</v>
      </c>
      <c r="Z195" s="385">
        <f ca="1">-Drivers!Z97</f>
        <v>1e-12</v>
      </c>
      <c r="AA195" s="385">
        <f ca="1">-Drivers!AA97</f>
        <v>1e-12</v>
      </c>
      <c r="AB195" s="385">
        <f ca="1">-Drivers!AB97</f>
        <v>1e-12</v>
      </c>
      <c r="AC195" s="385">
        <f ca="1">-Drivers!AC97</f>
        <v>1e-12</v>
      </c>
      <c r="AD195" s="414">
        <f ca="1">SUM(Z195:AC195)</f>
        <v>1e-12</v>
      </c>
      <c r="AE195" s="391">
        <f ca="1">-Drivers!AE97</f>
        <v>1e-12</v>
      </c>
      <c r="AF195" s="391">
        <f ca="1">-Drivers!AF97</f>
        <v>1e-12</v>
      </c>
      <c r="AG195" s="391">
        <f ca="1">-Drivers!AG97</f>
        <v>1e-12</v>
      </c>
      <c r="AH195" s="16"/>
      <c r="AI195" s="16"/>
      <c r="AJ195" s="16"/>
      <c r="AK195" s="16"/>
    </row>
    <row r="196" ht="13.5" customHeight="1" spans="1:37" x14ac:dyDescent="0.25">
      <c r="A196" s="264"/>
      <c r="B196" s="16"/>
      <c r="C196" s="16" t="s">
        <v>377</v>
      </c>
      <c r="D196" s="16"/>
      <c r="E196" s="16"/>
      <c r="F196" s="353">
        <f t="shared" ref="F196:W196" si="295" ca="1">F126</f>
        <v>2916</v>
      </c>
      <c r="G196" s="353">
        <f ca="1">G126</f>
        <v>3233</v>
      </c>
      <c r="H196" s="353">
        <f ca="1">H126</f>
        <v>3774</v>
      </c>
      <c r="I196" s="353">
        <f ca="1">I126</f>
        <v>3807</v>
      </c>
      <c r="J196" s="282">
        <f ca="1">J126</f>
        <v>3807</v>
      </c>
      <c r="K196" s="353">
        <f ca="1">K126</f>
        <v>3740</v>
      </c>
      <c r="L196" s="353">
        <f ca="1">L126</f>
        <v>3799</v>
      </c>
      <c r="M196" s="353">
        <f ca="1">M126</f>
        <v>3844</v>
      </c>
      <c r="N196" s="353">
        <f ca="1">N126</f>
        <v>3914</v>
      </c>
      <c r="O196" s="282">
        <f ca="1">O126</f>
        <v>3914</v>
      </c>
      <c r="P196" s="353">
        <f ca="1">P126</f>
        <v>4006</v>
      </c>
      <c r="Q196" s="353">
        <f ca="1">Q126</f>
        <v>4885</v>
      </c>
      <c r="R196" s="353">
        <f ca="1">R126</f>
        <v>5343</v>
      </c>
      <c r="S196" s="353">
        <f ca="1">S126</f>
        <v>6283</v>
      </c>
      <c r="T196" s="282">
        <f ca="1">T126</f>
        <v>6283</v>
      </c>
      <c r="U196" s="353">
        <f ca="1">U126</f>
        <v>7136</v>
      </c>
      <c r="V196" s="353">
        <f ca="1">V126</f>
        <v>9141</v>
      </c>
      <c r="W196" s="353">
        <f ca="1">W126</f>
        <v>18925</v>
      </c>
      <c r="X196" s="281">
        <f ca="1">SUM(X192:X195)</f>
        <v>18963.9382</v>
      </c>
      <c r="Y196" s="282">
        <f ca="1">X196</f>
        <v>18963.9382</v>
      </c>
      <c r="Z196" s="281">
        <f t="shared" ref="Z196:AG196" si="296" ca="1">SUM(Z192:Z195)</f>
        <v>19248.6551535</v>
      </c>
      <c r="AA196" s="281">
        <f ca="1">SUM(AA192:AA195)</f>
        <v>19556.13592455375</v>
      </c>
      <c r="AB196" s="281">
        <f ca="1">SUM(AB192:AB195)</f>
        <v>19652.04946651726</v>
      </c>
      <c r="AC196" s="281">
        <f ca="1">SUM(AC192:AC195)</f>
        <v>19724.377225464246</v>
      </c>
      <c r="AD196" s="282">
        <f ca="1">SUM(AD192:AD195)</f>
        <v>19724.377225464246</v>
      </c>
      <c r="AE196" s="282">
        <f ca="1">SUM(AE192:AE195)</f>
        <v>20451.053220703907</v>
      </c>
      <c r="AF196" s="282">
        <f ca="1">SUM(AF192:AF195)</f>
        <v>21168.345167395775</v>
      </c>
      <c r="AG196" s="282">
        <f ca="1">SUM(AG192:AG195)</f>
        <v>21989.46560620519</v>
      </c>
      <c r="AH196" s="16"/>
      <c r="AI196" s="16"/>
      <c r="AJ196" s="16"/>
      <c r="AK196" s="16"/>
    </row>
    <row r="197" ht="13.5" customHeight="1" spans="1:37" x14ac:dyDescent="0.25">
      <c r="A197" s="264"/>
      <c r="B197" s="16"/>
      <c r="C197" s="16"/>
      <c r="D197" s="16"/>
      <c r="E197" s="16"/>
      <c r="F197" s="353"/>
      <c r="G197" s="353"/>
      <c r="H197" s="353"/>
      <c r="I197" s="353"/>
      <c r="J197" s="282"/>
      <c r="K197" s="353"/>
      <c r="L197" s="353"/>
      <c r="M197" s="353"/>
      <c r="N197" s="353"/>
      <c r="O197" s="282"/>
      <c r="P197" s="353"/>
      <c r="Q197" s="353"/>
      <c r="R197" s="353"/>
      <c r="S197" s="353"/>
      <c r="T197" s="282"/>
      <c r="U197" s="353"/>
      <c r="V197" s="353"/>
      <c r="W197" s="353"/>
      <c r="X197" s="281"/>
      <c r="Y197" s="282"/>
      <c r="Z197" s="281"/>
      <c r="AA197" s="281"/>
      <c r="AB197" s="281"/>
      <c r="AC197" s="281"/>
      <c r="AD197" s="282"/>
      <c r="AE197" s="16"/>
      <c r="AF197" s="16"/>
      <c r="AG197" s="16"/>
      <c r="AH197" s="16"/>
      <c r="AI197" s="16"/>
      <c r="AJ197" s="16"/>
      <c r="AK197" s="16"/>
    </row>
    <row r="198" ht="13.5" customHeight="1" spans="1:37" x14ac:dyDescent="0.25">
      <c r="A198" s="264" t="s">
        <v>1</v>
      </c>
      <c r="B198" s="16"/>
      <c r="C198" s="43" t="s">
        <v>46</v>
      </c>
      <c r="D198" s="44"/>
      <c r="E198" s="44"/>
      <c r="F198" s="44"/>
      <c r="G198" s="44"/>
      <c r="H198" s="44"/>
      <c r="I198" s="44"/>
      <c r="J198" s="44"/>
      <c r="K198" s="44"/>
      <c r="L198" s="44"/>
      <c r="M198" s="44"/>
      <c r="N198" s="44"/>
      <c r="O198" s="44"/>
      <c r="P198" s="44"/>
      <c r="Q198" s="44"/>
      <c r="R198" s="44"/>
      <c r="S198" s="44"/>
      <c r="T198" s="44"/>
      <c r="U198" s="44"/>
      <c r="V198" s="44"/>
      <c r="W198" s="44"/>
      <c r="X198" s="44"/>
      <c r="Y198" s="44"/>
      <c r="Z198" s="44"/>
      <c r="AA198" s="44"/>
      <c r="AB198" s="44"/>
      <c r="AC198" s="44"/>
      <c r="AD198" s="44"/>
      <c r="AE198" s="44"/>
      <c r="AF198" s="44"/>
      <c r="AG198" s="396"/>
      <c r="AH198" s="264" t="s">
        <v>1</v>
      </c>
      <c r="AI198" s="16"/>
      <c r="AJ198" s="16"/>
      <c r="AK198" s="16"/>
    </row>
    <row r="199" ht="13.5" customHeight="1" spans="1:37" x14ac:dyDescent="0.25">
      <c r="A199" s="264"/>
      <c r="B199" s="16"/>
      <c r="C199" s="16"/>
      <c r="D199" s="16"/>
      <c r="E199" s="16"/>
      <c r="F199" s="315"/>
      <c r="G199" s="315"/>
      <c r="H199" s="315"/>
      <c r="I199" s="315"/>
      <c r="J199" s="16"/>
      <c r="K199" s="315"/>
      <c r="L199" s="315"/>
      <c r="M199" s="315"/>
      <c r="N199" s="315"/>
      <c r="O199" s="16"/>
      <c r="P199" s="315"/>
      <c r="Q199" s="315"/>
      <c r="R199" s="315"/>
      <c r="S199" s="315"/>
      <c r="T199" s="16"/>
      <c r="U199" s="315"/>
      <c r="V199" s="315"/>
      <c r="W199" s="315"/>
      <c r="X199" s="316"/>
      <c r="Y199" s="16"/>
      <c r="Z199" s="316"/>
      <c r="AA199" s="316"/>
      <c r="AB199" s="316"/>
      <c r="AC199" s="316"/>
      <c r="AD199" s="16"/>
      <c r="AE199" s="16"/>
      <c r="AF199" s="16"/>
      <c r="AG199" s="16"/>
      <c r="AH199" s="16"/>
      <c r="AI199" s="16"/>
      <c r="AJ199" s="16"/>
      <c r="AK199" s="16"/>
    </row>
    <row r="200" ht="13.5" customHeight="1" spans="1:37" x14ac:dyDescent="0.25">
      <c r="A200" s="264"/>
      <c r="B200" s="16"/>
      <c r="C200" s="16" t="s">
        <v>378</v>
      </c>
      <c r="D200" s="16"/>
      <c r="E200" s="16"/>
      <c r="F200" s="410">
        <f t="shared" ref="F200:W200" si="297" ca="1">F193/F28</f>
        <v>0.02702702702702703</v>
      </c>
      <c r="G200" s="410">
        <f ca="1">G193/G28</f>
        <v>0.04758353221957041</v>
      </c>
      <c r="H200" s="410">
        <f ca="1">H193/H28</f>
        <v>0.05108750632271118</v>
      </c>
      <c r="I200" s="410">
        <f ca="1">I193/I28</f>
        <v>0.05420591637745827</v>
      </c>
      <c r="J200" s="214">
        <f ca="1">J193/J28</f>
        <v>0.04352339289686365</v>
      </c>
      <c r="K200" s="410">
        <f ca="1">K193/K28</f>
        <v>0.028503893214682982</v>
      </c>
      <c r="L200" s="410">
        <f ca="1">L193/L28</f>
        <v>0.023765454949285555</v>
      </c>
      <c r="M200" s="410">
        <f ca="1">M193/M28</f>
        <v>0.022130242825607063</v>
      </c>
      <c r="N200" s="410">
        <f ca="1">N193/N28</f>
        <v>0.02520019906799982</v>
      </c>
      <c r="O200" s="214">
        <f ca="1">O193/O28</f>
        <v>0.02435901644726043</v>
      </c>
      <c r="P200" s="410">
        <f ca="1">P193/P28</f>
        <v>0.012594071571187221</v>
      </c>
      <c r="Q200" s="410">
        <f ca="1">Q193/Q28</f>
        <v>0.012716378162450066</v>
      </c>
      <c r="R200" s="410">
        <f ca="1">R193/R28</f>
        <v>0.013169146570891055</v>
      </c>
      <c r="S200" s="410">
        <f ca="1">S193/S28</f>
        <v>0.014161857059317079</v>
      </c>
      <c r="T200" s="214">
        <f ca="1">T193/T28</f>
        <v>0.01324934672827728</v>
      </c>
      <c r="U200" s="410">
        <f ca="1">U193/U28</f>
        <v>0.01046253007126322</v>
      </c>
      <c r="V200" s="410">
        <f ca="1">V193/V28</f>
        <v>0.008236527394476178</v>
      </c>
      <c r="W200" s="410">
        <f ca="1">W193/W28</f>
        <v>0.017889868225848676</v>
      </c>
      <c r="X200" s="411">
        <f ca="1">Drivers!X92</f>
        <v>0.017</v>
      </c>
      <c r="Y200" s="214">
        <f ca="1">Y193/Y28</f>
        <v>0.016819304711006483</v>
      </c>
      <c r="Z200" s="411">
        <f ca="1">Drivers!Z92</f>
        <v>0.024</v>
      </c>
      <c r="AA200" s="411">
        <f ca="1">Drivers!AA92</f>
        <v>0.022</v>
      </c>
      <c r="AB200" s="411">
        <f ca="1">Drivers!AB92</f>
        <v>0.017</v>
      </c>
      <c r="AC200" s="411">
        <f ca="1">Drivers!AC92</f>
        <v>0.017</v>
      </c>
      <c r="AD200" s="214">
        <f ca="1">AD193/AD28</f>
        <v>0.02010040427318712</v>
      </c>
      <c r="AE200" s="412">
        <f ca="1">Drivers!AE92</f>
        <v>0.02</v>
      </c>
      <c r="AF200" s="412">
        <f ca="1">Drivers!AF92</f>
        <v>0.02</v>
      </c>
      <c r="AG200" s="412">
        <f ca="1">Drivers!AG92</f>
        <v>0.021</v>
      </c>
      <c r="AH200" s="16"/>
      <c r="AI200" s="16"/>
      <c r="AJ200" s="16"/>
      <c r="AK200" s="16"/>
    </row>
    <row r="201" ht="13.5" customHeight="1" spans="1:37" x14ac:dyDescent="0.25">
      <c r="A201" s="264"/>
      <c r="B201" s="16"/>
      <c r="C201" s="16" t="s">
        <v>379</v>
      </c>
      <c r="D201" s="16"/>
      <c r="E201" s="16"/>
      <c r="F201" s="410"/>
      <c r="G201" s="410">
        <f t="shared" ref="G201:I201" si="298" ca="1">-G194*4/AVERAGE(F196:G196)</f>
        <v>0.07136946628051304</v>
      </c>
      <c r="H201" s="410">
        <f ca="1">-H194*4/AVERAGE(G196:H196)</f>
        <v>0.09093056831605198</v>
      </c>
      <c r="I201" s="410">
        <f ca="1">-I194*4/AVERAGE(H196:I196)</f>
        <v>0.07260072279480659</v>
      </c>
      <c r="J201" s="214">
        <f ca="1">-J194/AVERAGE(F196:I196)</f>
        <v>0.07770923487708314</v>
      </c>
      <c r="K201" s="410">
        <f t="shared" ref="K201:N201" si="299" ca="1">-K194*4/AVERAGE(J196:K196)</f>
        <v>0.06604340932699142</v>
      </c>
      <c r="L201" s="410">
        <f ca="1">-L194*4/AVERAGE(K196:L196)</f>
        <v>0.06844001870547135</v>
      </c>
      <c r="M201" s="410">
        <f ca="1">-M194*4/AVERAGE(L196:M196)</f>
        <v>0.06780773226882485</v>
      </c>
      <c r="N201" s="410">
        <f ca="1">-N194*4/AVERAGE(M196:N196)</f>
        <v>0.07321814254859611</v>
      </c>
      <c r="O201" s="214">
        <f ca="1">-O194/AVERAGE(J196,O196)</f>
        <v>0.06803051130697285</v>
      </c>
      <c r="P201" s="410">
        <f t="shared" ref="P201:S201" si="300" ca="1">-P194*4/AVERAGE(O196:P196)</f>
        <v>0.07016411084207694</v>
      </c>
      <c r="Q201" s="410">
        <f ca="1">-Q194*4/AVERAGE(P196:Q196)</f>
        <v>0.0704874302804947</v>
      </c>
      <c r="R201" s="410">
        <f ca="1">-R194*4/AVERAGE(Q196:R196)</f>
        <v>0.07614961791124816</v>
      </c>
      <c r="S201" s="410">
        <f ca="1">-S194*4/AVERAGE(R196:S196)</f>
        <v>0.07487401007919367</v>
      </c>
      <c r="T201" s="214">
        <f ca="1">-T194/AVERAGE(O196,T196)</f>
        <v>0.06712118302285384</v>
      </c>
      <c r="U201" s="410">
        <f t="shared" ref="U201:W201" si="301" ca="1">-U194*4/AVERAGE(T196:U196)</f>
        <v>0.07439471055510631</v>
      </c>
      <c r="V201" s="410">
        <f ca="1">-V194*4/AVERAGE(U196:V196)</f>
        <v>0.042425833552113414</v>
      </c>
      <c r="W201" s="410">
        <f ca="1">-W194*4/AVERAGE(V196:W196)</f>
        <v>0.04405100642849615</v>
      </c>
      <c r="X201" s="411">
        <f ca="1">Drivers!X72</f>
        <v>0.07</v>
      </c>
      <c r="Y201" s="214">
        <f ca="1">-Y194/AVERAGE(T196,Y196)</f>
        <v>0.054024417503968955</v>
      </c>
      <c r="Z201" s="411">
        <f ca="1">Drivers!Z72</f>
        <v>0.07</v>
      </c>
      <c r="AA201" s="411">
        <f ca="1">Drivers!AA72</f>
        <v>0.07</v>
      </c>
      <c r="AB201" s="411">
        <f ca="1">Drivers!AB72</f>
        <v>0.07</v>
      </c>
      <c r="AC201" s="411">
        <f ca="1">Drivers!AC72</f>
        <v>0.07</v>
      </c>
      <c r="AD201" s="214">
        <f ca="1">-AD194/AVERAGE(Y196,AD196)</f>
        <v>0.07003993909428458</v>
      </c>
      <c r="AE201" s="412">
        <f ca="1">Drivers!AE72</f>
        <v>0.072</v>
      </c>
      <c r="AF201" s="412">
        <f ca="1">Drivers!AF72</f>
        <v>0.072</v>
      </c>
      <c r="AG201" s="412">
        <f ca="1">Drivers!AG72</f>
        <v>0.072</v>
      </c>
      <c r="AH201" s="16"/>
      <c r="AI201" s="16"/>
      <c r="AJ201" s="16"/>
      <c r="AK201" s="16"/>
    </row>
    <row r="202" ht="13.5" customHeight="1" spans="1:37" x14ac:dyDescent="0.25">
      <c r="A202" s="264"/>
      <c r="B202" s="16"/>
      <c r="C202" s="16" t="s">
        <v>380</v>
      </c>
      <c r="D202" s="16"/>
      <c r="E202" s="16"/>
      <c r="F202" s="410">
        <f t="shared" ref="F202:AG202" si="302" ca="1">-F194/F28</f>
        <v>1e-12</v>
      </c>
      <c r="G202" s="410">
        <f ca="1">-G194/G28</f>
        <v>1e-12</v>
      </c>
      <c r="H202" s="410">
        <f ca="1">-H194/H28</f>
        <v>1e-12</v>
      </c>
      <c r="I202" s="410">
        <f ca="1">-I194/I28</f>
        <v>1e-12</v>
      </c>
      <c r="J202" s="214">
        <f ca="1">-J194/J28</f>
        <v>1e-12</v>
      </c>
      <c r="K202" s="410">
        <f ca="1">-K194/K28</f>
        <v>1e-12</v>
      </c>
      <c r="L202" s="410">
        <f ca="1">-L194/L28</f>
        <v>1e-12</v>
      </c>
      <c r="M202" s="410">
        <f ca="1">-M194/M28</f>
        <v>1e-12</v>
      </c>
      <c r="N202" s="410">
        <f ca="1">-N194/N28</f>
        <v>1e-12</v>
      </c>
      <c r="O202" s="214">
        <f ca="1">-O194/O28</f>
        <v>1e-12</v>
      </c>
      <c r="P202" s="410">
        <f ca="1">-P194/P28</f>
        <v>1e-12</v>
      </c>
      <c r="Q202" s="410">
        <f ca="1">-Q194/Q28</f>
        <v>1e-12</v>
      </c>
      <c r="R202" s="410">
        <f ca="1">-R194/R28</f>
        <v>1e-12</v>
      </c>
      <c r="S202" s="410">
        <f ca="1">-S194/S28</f>
        <v>1e-12</v>
      </c>
      <c r="T202" s="214">
        <f ca="1">-T194/T28</f>
        <v>1e-12</v>
      </c>
      <c r="U202" s="410">
        <f ca="1">-U194/U28</f>
        <v>1e-12</v>
      </c>
      <c r="V202" s="410">
        <f ca="1">-V194/V28</f>
        <v>0.0043215026848939945</v>
      </c>
      <c r="W202" s="410">
        <f ca="1">-W194/W28</f>
        <v>0.009119469412688716</v>
      </c>
      <c r="X202" s="415">
        <f ca="1">-X194/X28</f>
        <v>0.015211555155451245</v>
      </c>
      <c r="Y202" s="214">
        <f ca="1">-Y194/Y28</f>
        <v>0.011720758030700615</v>
      </c>
      <c r="Z202" s="415">
        <f ca="1">-Z194/Z28</f>
        <v>0.012917671983246483</v>
      </c>
      <c r="AA202" s="415">
        <f ca="1">-AA194/AA28</f>
        <v>0.011501414669771639</v>
      </c>
      <c r="AB202" s="415">
        <f ca="1">-AB194/AB28</f>
        <v>0.013278568083012084</v>
      </c>
      <c r="AC202" s="415">
        <f ca="1">-AC194/AC28</f>
        <v>0.014045992780588814</v>
      </c>
      <c r="AD202" s="214">
        <f ca="1">-AD194/AD28</f>
        <v>0.012874425611603874</v>
      </c>
      <c r="AE202" s="214">
        <f ca="1">-AE194/AE28</f>
        <v>0.013230245486357053</v>
      </c>
      <c r="AF202" s="214">
        <f ca="1">-AF194/AF28</f>
        <v>0.01344869393268563</v>
      </c>
      <c r="AG202" s="214">
        <f ca="1">-AG194/AG28</f>
        <v>0.013647439185815945</v>
      </c>
      <c r="AH202" s="16"/>
      <c r="AI202" s="16"/>
      <c r="AJ202" s="16"/>
      <c r="AK202" s="16"/>
    </row>
    <row r="203" ht="13.5" customHeight="1" spans="1:37" x14ac:dyDescent="0.25">
      <c r="A203" s="264"/>
      <c r="B203" s="16"/>
      <c r="C203" s="16"/>
      <c r="D203" s="16"/>
      <c r="E203" s="16"/>
      <c r="F203" s="315"/>
      <c r="G203" s="315"/>
      <c r="H203" s="315"/>
      <c r="I203" s="315"/>
      <c r="J203" s="16"/>
      <c r="K203" s="315"/>
      <c r="L203" s="315"/>
      <c r="M203" s="315"/>
      <c r="N203" s="315"/>
      <c r="O203" s="16"/>
      <c r="P203" s="315"/>
      <c r="Q203" s="315"/>
      <c r="R203" s="315"/>
      <c r="S203" s="315"/>
      <c r="T203" s="16"/>
      <c r="U203" s="315"/>
      <c r="V203" s="315"/>
      <c r="W203" s="315"/>
      <c r="X203" s="316"/>
      <c r="Y203" s="16"/>
      <c r="Z203" s="316"/>
      <c r="AA203" s="316"/>
      <c r="AB203" s="316"/>
      <c r="AC203" s="316"/>
      <c r="AD203" s="16"/>
      <c r="AE203" s="16"/>
      <c r="AF203" s="16"/>
      <c r="AG203" s="16"/>
      <c r="AH203" s="16"/>
      <c r="AI203" s="16"/>
      <c r="AJ203" s="16"/>
      <c r="AK203" s="16"/>
    </row>
    <row r="204" ht="13.5" customHeight="1" spans="1:37" x14ac:dyDescent="0.25">
      <c r="A204" s="264" t="s">
        <v>1</v>
      </c>
      <c r="B204" s="47"/>
      <c r="C204" s="62" t="s">
        <v>381</v>
      </c>
      <c r="D204" s="19"/>
      <c r="E204" s="19"/>
      <c r="F204" s="313">
        <f ca="1">F$25</f>
        <v>1e-12</v>
      </c>
      <c r="G204" s="63">
        <f t="shared" ref="G204:AG204" si="303" ca="1">G$63</f>
        <v>1e-12</v>
      </c>
      <c r="H204" s="63">
        <f ca="1">H$63</f>
        <v>1e-12</v>
      </c>
      <c r="I204" s="63">
        <f ca="1">I$63</f>
        <v>1e-12</v>
      </c>
      <c r="J204" s="63">
        <f ca="1">J$63</f>
        <v>2023</v>
      </c>
      <c r="K204" s="63">
        <f ca="1">K$63</f>
        <v>1e-12</v>
      </c>
      <c r="L204" s="63">
        <f ca="1">L$63</f>
        <v>1e-12</v>
      </c>
      <c r="M204" s="63">
        <f ca="1">M$63</f>
        <v>1e-12</v>
      </c>
      <c r="N204" s="63">
        <f ca="1">N$63</f>
        <v>1e-12</v>
      </c>
      <c r="O204" s="63">
        <f ca="1">O$63</f>
        <v>2024</v>
      </c>
      <c r="P204" s="63">
        <f ca="1">P$63</f>
        <v>1e-12</v>
      </c>
      <c r="Q204" s="63">
        <f ca="1">Q$63</f>
        <v>1e-12</v>
      </c>
      <c r="R204" s="63">
        <f ca="1">R$63</f>
        <v>1e-12</v>
      </c>
      <c r="S204" s="63">
        <f ca="1">S$63</f>
        <v>1e-12</v>
      </c>
      <c r="T204" s="63">
        <f ca="1">T$63</f>
        <v>2025</v>
      </c>
      <c r="U204" s="63">
        <f ca="1">U$63</f>
        <v>1e-12</v>
      </c>
      <c r="V204" s="63">
        <f ca="1">V$63</f>
        <v>1e-12</v>
      </c>
      <c r="W204" s="63" t="str">
        <f ca="1">W$63</f>
        <v>3Q26e</v>
      </c>
      <c r="X204" s="63" t="str">
        <f ca="1">X$63</f>
        <v>4Q26e</v>
      </c>
      <c r="Y204" s="63" t="str">
        <f ca="1">Y$63</f>
        <v>2026e</v>
      </c>
      <c r="Z204" s="63" t="str">
        <f ca="1">Z$63</f>
        <v>1Q27e</v>
      </c>
      <c r="AA204" s="63" t="str">
        <f ca="1">AA$63</f>
        <v>2Q27e</v>
      </c>
      <c r="AB204" s="63" t="str">
        <f ca="1">AB$63</f>
        <v>3Q27e</v>
      </c>
      <c r="AC204" s="63" t="str">
        <f ca="1">AC$63</f>
        <v>4Q27e</v>
      </c>
      <c r="AD204" s="63" t="str">
        <f ca="1">AD$63</f>
        <v>2027e</v>
      </c>
      <c r="AE204" s="63" t="str">
        <f ca="1">AE$63</f>
        <v>2028e</v>
      </c>
      <c r="AF204" s="63" t="str">
        <f ca="1">AF$63</f>
        <v>2029e</v>
      </c>
      <c r="AG204" s="64" t="str">
        <f ca="1">AG$63</f>
        <v>2030e</v>
      </c>
      <c r="AH204" s="264" t="s">
        <v>1</v>
      </c>
      <c r="AI204" s="16"/>
      <c r="AJ204" s="16"/>
      <c r="AK204" s="16"/>
    </row>
    <row r="205" ht="13.5" customHeight="1" spans="1:37" x14ac:dyDescent="0.25">
      <c r="A205" s="264"/>
      <c r="B205" s="16"/>
      <c r="C205" s="16"/>
      <c r="D205" s="16"/>
      <c r="E205" s="16"/>
      <c r="F205" s="315"/>
      <c r="G205" s="315"/>
      <c r="H205" s="315"/>
      <c r="I205" s="315"/>
      <c r="J205" s="16"/>
      <c r="K205" s="315"/>
      <c r="L205" s="315"/>
      <c r="M205" s="315"/>
      <c r="N205" s="315"/>
      <c r="O205" s="16"/>
      <c r="P205" s="315"/>
      <c r="Q205" s="315"/>
      <c r="R205" s="315"/>
      <c r="S205" s="315"/>
      <c r="T205" s="16"/>
      <c r="U205" s="315"/>
      <c r="V205" s="315"/>
      <c r="W205" s="315"/>
      <c r="X205" s="316"/>
      <c r="Y205" s="16"/>
      <c r="Z205" s="316"/>
      <c r="AA205" s="316"/>
      <c r="AB205" s="316"/>
      <c r="AC205" s="316"/>
      <c r="AD205" s="16"/>
      <c r="AE205" s="16"/>
      <c r="AF205" s="16"/>
      <c r="AG205" s="16"/>
      <c r="AH205" s="16"/>
      <c r="AI205" s="16"/>
      <c r="AJ205" s="16"/>
      <c r="AK205" s="16"/>
    </row>
    <row r="206" ht="13.5" customHeight="1" spans="1:37" x14ac:dyDescent="0.25">
      <c r="A206" s="264"/>
      <c r="B206" s="16"/>
      <c r="C206" s="16" t="s">
        <v>382</v>
      </c>
      <c r="D206" s="16"/>
      <c r="E206" s="16"/>
      <c r="F206" s="416">
        <f t="shared" ref="F206:I206" si="304" ca="1">E210</f>
        <v>1e-12</v>
      </c>
      <c r="G206" s="353">
        <f ca="1">F210</f>
        <v>2211</v>
      </c>
      <c r="H206" s="353">
        <f ca="1">G210</f>
        <v>2036</v>
      </c>
      <c r="I206" s="353">
        <f ca="1">H210</f>
        <v>1850</v>
      </c>
      <c r="J206" s="282">
        <f ca="1">F206</f>
        <v>1e-12</v>
      </c>
      <c r="K206" s="353">
        <f t="shared" ref="K206:N206" si="305" ca="1">J210</f>
        <v>1676</v>
      </c>
      <c r="L206" s="353">
        <f ca="1">K210</f>
        <v>1541</v>
      </c>
      <c r="M206" s="353">
        <f ca="1">L210</f>
        <v>1395</v>
      </c>
      <c r="N206" s="353">
        <f ca="1">M210</f>
        <v>1251</v>
      </c>
      <c r="O206" s="282">
        <f ca="1">K206</f>
        <v>1676</v>
      </c>
      <c r="P206" s="353">
        <f t="shared" ref="P206:S206" si="306" ca="1">O210</f>
        <v>1112</v>
      </c>
      <c r="Q206" s="353">
        <f ca="1">P210</f>
        <v>986</v>
      </c>
      <c r="R206" s="353">
        <f ca="1">Q210</f>
        <v>952</v>
      </c>
      <c r="S206" s="353">
        <f ca="1">R210</f>
        <v>838</v>
      </c>
      <c r="T206" s="282">
        <f ca="1">P206</f>
        <v>1112</v>
      </c>
      <c r="U206" s="353">
        <f t="shared" ref="U206:X206" si="307" ca="1">T210</f>
        <v>807</v>
      </c>
      <c r="V206" s="353">
        <f ca="1">U210</f>
        <v>769</v>
      </c>
      <c r="W206" s="353">
        <f ca="1">V210</f>
        <v>755</v>
      </c>
      <c r="X206" s="281">
        <f ca="1">W210</f>
        <v>1e-12</v>
      </c>
      <c r="Y206" s="282">
        <f ca="1">U206</f>
        <v>807</v>
      </c>
      <c r="Z206" s="281">
        <f t="shared" ref="Z206:AC206" si="308" ca="1">Y210</f>
        <v>1e-12</v>
      </c>
      <c r="AA206" s="281">
        <f ca="1">Z210</f>
        <v>1e-12</v>
      </c>
      <c r="AB206" s="281">
        <f ca="1">AA210</f>
        <v>1e-12</v>
      </c>
      <c r="AC206" s="281">
        <f ca="1">AB210</f>
        <v>1e-12</v>
      </c>
      <c r="AD206" s="282">
        <f ca="1">Z206</f>
        <v>1e-12</v>
      </c>
      <c r="AE206" s="282">
        <f t="shared" ref="AE206:AG206" si="309" ca="1">AD210</f>
        <v>1e-12</v>
      </c>
      <c r="AF206" s="282">
        <f ca="1">AE210</f>
        <v>1e-12</v>
      </c>
      <c r="AG206" s="282">
        <f ca="1">AF210</f>
        <v>1e-12</v>
      </c>
      <c r="AH206" s="282"/>
      <c r="AI206" s="16"/>
      <c r="AJ206" s="16"/>
      <c r="AK206" s="16"/>
    </row>
    <row r="207" ht="13.5" customHeight="1" spans="1:37" x14ac:dyDescent="0.25">
      <c r="A207" s="264"/>
      <c r="B207" s="16"/>
      <c r="C207" s="139" t="s">
        <v>305</v>
      </c>
      <c r="D207" s="16"/>
      <c r="E207" s="16"/>
      <c r="F207" s="413">
        <v>0</v>
      </c>
      <c r="G207" s="413">
        <v>0</v>
      </c>
      <c r="H207" s="413">
        <v>0</v>
      </c>
      <c r="I207" s="413">
        <v>0</v>
      </c>
      <c r="J207" s="329">
        <f t="shared" ref="J207:J209" si="310" ca="1">SUM(F207:I207)</f>
        <v>1e-12</v>
      </c>
      <c r="K207" s="413">
        <v>0</v>
      </c>
      <c r="L207" s="413">
        <v>0</v>
      </c>
      <c r="M207" s="413">
        <v>0</v>
      </c>
      <c r="N207" s="413">
        <v>0</v>
      </c>
      <c r="O207" s="329">
        <f t="shared" ref="O207:O209" si="311" ca="1">SUM(K207:N207)</f>
        <v>1e-12</v>
      </c>
      <c r="P207" s="413">
        <v>0</v>
      </c>
      <c r="Q207" s="413">
        <v>0</v>
      </c>
      <c r="R207" s="413">
        <v>0</v>
      </c>
      <c r="S207" s="413">
        <v>0</v>
      </c>
      <c r="T207" s="329">
        <f t="shared" ref="T207:T209" si="312" ca="1">SUM(P207:S207)</f>
        <v>1e-12</v>
      </c>
      <c r="U207" s="413">
        <v>0</v>
      </c>
      <c r="V207" s="413">
        <v>0</v>
      </c>
      <c r="W207" s="413">
        <v>0</v>
      </c>
      <c r="X207" s="417">
        <f ca="1">W207</f>
        <v>1e-12</v>
      </c>
      <c r="Y207" s="329">
        <f t="shared" ref="Y207:Y209" si="313" ca="1">SUM(U207:X207)</f>
        <v>1e-12</v>
      </c>
      <c r="Z207" s="417">
        <f t="shared" ref="Z207:AC207" si="314" ca="1">Y207</f>
        <v>1e-12</v>
      </c>
      <c r="AA207" s="417">
        <f ca="1">Z207</f>
        <v>1e-12</v>
      </c>
      <c r="AB207" s="417">
        <f ca="1">AA207</f>
        <v>1e-12</v>
      </c>
      <c r="AC207" s="417">
        <f ca="1">AB207</f>
        <v>1e-12</v>
      </c>
      <c r="AD207" s="329">
        <f t="shared" ref="AD207:AD209" si="315" ca="1">SUM(Z207:AC207)</f>
        <v>1e-12</v>
      </c>
      <c r="AE207" s="418">
        <f t="shared" ref="AE207:AG207" si="316" ca="1">AD207</f>
        <v>1e-12</v>
      </c>
      <c r="AF207" s="418">
        <f ca="1">AE207</f>
        <v>1e-12</v>
      </c>
      <c r="AG207" s="418">
        <f ca="1">AF207</f>
        <v>1e-12</v>
      </c>
      <c r="AH207" s="16"/>
      <c r="AI207" s="16"/>
      <c r="AJ207" s="16"/>
      <c r="AK207" s="16"/>
    </row>
    <row r="208" ht="13.5" customHeight="1" spans="1:37" x14ac:dyDescent="0.25">
      <c r="A208" s="264"/>
      <c r="B208" s="16"/>
      <c r="C208" s="139" t="s">
        <v>383</v>
      </c>
      <c r="D208" s="16"/>
      <c r="E208" s="16"/>
      <c r="F208" s="328">
        <f t="shared" ref="F208:I208" si="317" ca="1">F34-F194</f>
        <v>-334</v>
      </c>
      <c r="G208" s="328">
        <f ca="1">G34-G194</f>
        <v>-378</v>
      </c>
      <c r="H208" s="328">
        <f ca="1">H34-H194</f>
        <v>-406</v>
      </c>
      <c r="I208" s="328">
        <f ca="1">I34-I194</f>
        <v>-426</v>
      </c>
      <c r="J208" s="329">
        <f ca="1">SUM(F208:I208)</f>
        <v>-1544</v>
      </c>
      <c r="K208" s="328">
        <f t="shared" ref="K208:N208" si="318" ca="1">K34-K194</f>
        <v>-384</v>
      </c>
      <c r="L208" s="328">
        <f ca="1">L34-L194</f>
        <v>-365</v>
      </c>
      <c r="M208" s="328">
        <f ca="1">M34-M194</f>
        <v>-372</v>
      </c>
      <c r="N208" s="328">
        <f ca="1">N34-N194</f>
        <v>-387</v>
      </c>
      <c r="O208" s="329">
        <f ca="1">SUM(K208:N208)</f>
        <v>-1508</v>
      </c>
      <c r="P208" s="328">
        <f t="shared" ref="P208:S208" si="319" ca="1">P34-P194</f>
        <v>-410</v>
      </c>
      <c r="Q208" s="328">
        <f ca="1">Q34-Q194</f>
        <v>-433</v>
      </c>
      <c r="R208" s="328">
        <f ca="1">R34-R194</f>
        <v>-478</v>
      </c>
      <c r="S208" s="328">
        <f ca="1">S34-S194</f>
        <v>-543</v>
      </c>
      <c r="T208" s="329">
        <f ca="1">SUM(P208:S208)</f>
        <v>-1864</v>
      </c>
      <c r="U208" s="328">
        <f t="shared" ref="U208:W208" si="320" ca="1">U34-U194</f>
        <v>-611</v>
      </c>
      <c r="V208" s="328">
        <f ca="1">V34-V194</f>
        <v>-467</v>
      </c>
      <c r="W208" s="328">
        <f ca="1">W34-W194</f>
        <v>-216</v>
      </c>
      <c r="X208" s="330">
        <f ca="1">X214*X206/4</f>
        <v>1e-12</v>
      </c>
      <c r="Y208" s="329">
        <f ca="1">SUM(U208:X208)</f>
        <v>-423</v>
      </c>
      <c r="Z208" s="330">
        <f t="shared" ref="Z208:AC208" si="321" ca="1">Z214*Z206/4</f>
        <v>1e-12</v>
      </c>
      <c r="AA208" s="330">
        <f ca="1">AA214*AA206/4</f>
        <v>1e-12</v>
      </c>
      <c r="AB208" s="330">
        <f ca="1">AB214*AB206/4</f>
        <v>1e-12</v>
      </c>
      <c r="AC208" s="330">
        <f ca="1">AC214*AC206/4</f>
        <v>1e-12</v>
      </c>
      <c r="AD208" s="329">
        <f ca="1">SUM(Z208:AC208)</f>
        <v>1e-12</v>
      </c>
      <c r="AE208" s="329">
        <f t="shared" ref="AE208:AG208" si="322" ca="1">AE214*AE206</f>
        <v>1e-12</v>
      </c>
      <c r="AF208" s="329">
        <f ca="1">AF214*AF206</f>
        <v>1e-12</v>
      </c>
      <c r="AG208" s="329">
        <f ca="1">AG214*AG206</f>
        <v>1e-12</v>
      </c>
      <c r="AH208" s="16"/>
      <c r="AI208" s="16"/>
      <c r="AJ208" s="16"/>
      <c r="AK208" s="16"/>
    </row>
    <row r="209" ht="13.5" customHeight="1" spans="1:37" x14ac:dyDescent="0.25">
      <c r="A209" s="264"/>
      <c r="B209" s="16"/>
      <c r="C209" s="139" t="s">
        <v>384</v>
      </c>
      <c r="D209" s="16"/>
      <c r="E209" s="16"/>
      <c r="F209" s="419">
        <v>0</v>
      </c>
      <c r="G209" s="419">
        <v>0</v>
      </c>
      <c r="H209" s="419">
        <v>0</v>
      </c>
      <c r="I209" s="419">
        <v>0</v>
      </c>
      <c r="J209" s="414">
        <f ca="1">SUM(F209:I209)</f>
        <v>1e-12</v>
      </c>
      <c r="K209" s="419">
        <v>0</v>
      </c>
      <c r="L209" s="419">
        <v>0</v>
      </c>
      <c r="M209" s="419">
        <v>0</v>
      </c>
      <c r="N209" s="419">
        <v>0</v>
      </c>
      <c r="O209" s="414">
        <f ca="1">SUM(K209:N209)</f>
        <v>1e-12</v>
      </c>
      <c r="P209" s="419">
        <v>0</v>
      </c>
      <c r="Q209" s="419">
        <v>0</v>
      </c>
      <c r="R209" s="419">
        <v>0</v>
      </c>
      <c r="S209" s="419">
        <v>0</v>
      </c>
      <c r="T209" s="414">
        <f ca="1">SUM(P209:S209)</f>
        <v>1e-12</v>
      </c>
      <c r="U209" s="419">
        <v>0</v>
      </c>
      <c r="V209" s="419">
        <v>0</v>
      </c>
      <c r="W209" s="419">
        <v>0</v>
      </c>
      <c r="X209" s="420">
        <f ca="1">W209</f>
        <v>1e-12</v>
      </c>
      <c r="Y209" s="414">
        <f ca="1">SUM(U209:X209)</f>
        <v>1e-12</v>
      </c>
      <c r="Z209" s="420">
        <f t="shared" ref="Z209:AC209" si="323" ca="1">Y209</f>
        <v>1e-12</v>
      </c>
      <c r="AA209" s="420">
        <f ca="1">Z209</f>
        <v>1e-12</v>
      </c>
      <c r="AB209" s="420">
        <f ca="1">AA209</f>
        <v>1e-12</v>
      </c>
      <c r="AC209" s="420">
        <f ca="1">AB209</f>
        <v>1e-12</v>
      </c>
      <c r="AD209" s="414">
        <f ca="1">SUM(Z209:AC209)</f>
        <v>1e-12</v>
      </c>
      <c r="AE209" s="421">
        <f t="shared" ref="AE209:AG209" si="324" ca="1">AD209</f>
        <v>1e-12</v>
      </c>
      <c r="AF209" s="421">
        <f ca="1">AE209</f>
        <v>1e-12</v>
      </c>
      <c r="AG209" s="421">
        <f ca="1">AF209</f>
        <v>1e-12</v>
      </c>
      <c r="AH209" s="16"/>
      <c r="AI209" s="16"/>
      <c r="AJ209" s="16"/>
      <c r="AK209" s="16"/>
    </row>
    <row r="210" ht="13.5" customHeight="1" spans="1:37" x14ac:dyDescent="0.25">
      <c r="A210" s="264"/>
      <c r="B210" s="16"/>
      <c r="C210" s="16" t="s">
        <v>385</v>
      </c>
      <c r="D210" s="16"/>
      <c r="E210" s="16"/>
      <c r="F210" s="353">
        <f t="shared" ref="F210:W210" si="325" ca="1">F127</f>
        <v>2211</v>
      </c>
      <c r="G210" s="353">
        <f ca="1">G127</f>
        <v>2036</v>
      </c>
      <c r="H210" s="353">
        <f ca="1">H127</f>
        <v>1850</v>
      </c>
      <c r="I210" s="353">
        <f ca="1">I127</f>
        <v>1676</v>
      </c>
      <c r="J210" s="282">
        <f ca="1">J127</f>
        <v>1676</v>
      </c>
      <c r="K210" s="353">
        <f ca="1">K127</f>
        <v>1541</v>
      </c>
      <c r="L210" s="353">
        <f ca="1">L127</f>
        <v>1395</v>
      </c>
      <c r="M210" s="353">
        <f ca="1">M127</f>
        <v>1251</v>
      </c>
      <c r="N210" s="353">
        <f ca="1">N127</f>
        <v>1112</v>
      </c>
      <c r="O210" s="282">
        <f ca="1">O127</f>
        <v>1112</v>
      </c>
      <c r="P210" s="353">
        <f ca="1">P127</f>
        <v>986</v>
      </c>
      <c r="Q210" s="353">
        <f ca="1">Q127</f>
        <v>952</v>
      </c>
      <c r="R210" s="353">
        <f ca="1">R127</f>
        <v>838</v>
      </c>
      <c r="S210" s="353">
        <f ca="1">S127</f>
        <v>807</v>
      </c>
      <c r="T210" s="282">
        <f ca="1">T127</f>
        <v>807</v>
      </c>
      <c r="U210" s="353">
        <f ca="1">U127</f>
        <v>769</v>
      </c>
      <c r="V210" s="353">
        <f ca="1">V127</f>
        <v>755</v>
      </c>
      <c r="W210" s="353">
        <f ca="1">W127</f>
        <v>1e-12</v>
      </c>
      <c r="X210" s="281">
        <f ca="1">SUM(X206:X209)</f>
        <v>1e-12</v>
      </c>
      <c r="Y210" s="282">
        <f ca="1">X210</f>
        <v>1e-12</v>
      </c>
      <c r="Z210" s="281">
        <f t="shared" ref="Z210:AC210" si="326" ca="1">SUM(Z206:Z209)</f>
        <v>1e-12</v>
      </c>
      <c r="AA210" s="281">
        <f ca="1">SUM(AA206:AA209)</f>
        <v>1e-12</v>
      </c>
      <c r="AB210" s="281">
        <f ca="1">SUM(AB206:AB209)</f>
        <v>1e-12</v>
      </c>
      <c r="AC210" s="281">
        <f ca="1">SUM(AC206:AC209)</f>
        <v>1e-12</v>
      </c>
      <c r="AD210" s="282">
        <f ca="1">AC210</f>
        <v>1e-12</v>
      </c>
      <c r="AE210" s="282">
        <f t="shared" ref="AE210:AG210" si="327" ca="1">SUM(AE206:AE209)</f>
        <v>1e-12</v>
      </c>
      <c r="AF210" s="282">
        <f ca="1">SUM(AF206:AF209)</f>
        <v>1e-12</v>
      </c>
      <c r="AG210" s="282">
        <f ca="1">SUM(AG206:AG209)</f>
        <v>1e-12</v>
      </c>
      <c r="AH210" s="16"/>
      <c r="AI210" s="16"/>
      <c r="AJ210" s="16"/>
      <c r="AK210" s="16"/>
    </row>
    <row r="211" ht="13.5" customHeight="1" spans="1:37" x14ac:dyDescent="0.25">
      <c r="A211" s="264"/>
      <c r="B211" s="16"/>
      <c r="C211" s="16"/>
      <c r="D211" s="16"/>
      <c r="E211" s="16"/>
      <c r="F211" s="353"/>
      <c r="G211" s="353"/>
      <c r="H211" s="353"/>
      <c r="I211" s="353"/>
      <c r="J211" s="282"/>
      <c r="K211" s="353"/>
      <c r="L211" s="353"/>
      <c r="M211" s="353"/>
      <c r="N211" s="353"/>
      <c r="O211" s="282"/>
      <c r="P211" s="353"/>
      <c r="Q211" s="353"/>
      <c r="R211" s="353"/>
      <c r="S211" s="353"/>
      <c r="T211" s="282"/>
      <c r="U211" s="353"/>
      <c r="V211" s="353"/>
      <c r="W211" s="353"/>
      <c r="X211" s="281"/>
      <c r="Y211" s="282"/>
      <c r="Z211" s="281"/>
      <c r="AA211" s="281"/>
      <c r="AB211" s="281"/>
      <c r="AC211" s="281"/>
      <c r="AD211" s="282"/>
      <c r="AE211" s="282"/>
      <c r="AF211" s="282"/>
      <c r="AG211" s="282"/>
      <c r="AH211" s="16"/>
      <c r="AI211" s="16"/>
      <c r="AJ211" s="16"/>
      <c r="AK211" s="16"/>
    </row>
    <row r="212" ht="13.5" customHeight="1" spans="1:37" x14ac:dyDescent="0.25">
      <c r="A212" s="264" t="s">
        <v>1</v>
      </c>
      <c r="B212" s="16"/>
      <c r="C212" s="43" t="s">
        <v>46</v>
      </c>
      <c r="D212" s="44"/>
      <c r="E212" s="44"/>
      <c r="F212" s="44"/>
      <c r="G212" s="44"/>
      <c r="H212" s="44"/>
      <c r="I212" s="44"/>
      <c r="J212" s="44"/>
      <c r="K212" s="44"/>
      <c r="L212" s="44"/>
      <c r="M212" s="44"/>
      <c r="N212" s="44"/>
      <c r="O212" s="44"/>
      <c r="P212" s="44"/>
      <c r="Q212" s="44"/>
      <c r="R212" s="44"/>
      <c r="S212" s="44"/>
      <c r="T212" s="44"/>
      <c r="U212" s="44"/>
      <c r="V212" s="44"/>
      <c r="W212" s="44"/>
      <c r="X212" s="44"/>
      <c r="Y212" s="44"/>
      <c r="Z212" s="44"/>
      <c r="AA212" s="44"/>
      <c r="AB212" s="44"/>
      <c r="AC212" s="44"/>
      <c r="AD212" s="44"/>
      <c r="AE212" s="44"/>
      <c r="AF212" s="44"/>
      <c r="AG212" s="396"/>
      <c r="AH212" s="264" t="s">
        <v>1</v>
      </c>
      <c r="AI212" s="16"/>
      <c r="AJ212" s="16"/>
      <c r="AK212" s="16"/>
    </row>
    <row r="213" ht="13.5" customHeight="1" spans="1:37" x14ac:dyDescent="0.25">
      <c r="A213" s="264"/>
      <c r="B213" s="16"/>
      <c r="C213" s="16"/>
      <c r="D213" s="16"/>
      <c r="E213" s="16"/>
      <c r="F213" s="315"/>
      <c r="G213" s="315"/>
      <c r="H213" s="315"/>
      <c r="I213" s="315"/>
      <c r="J213" s="16"/>
      <c r="K213" s="315"/>
      <c r="L213" s="315"/>
      <c r="M213" s="315"/>
      <c r="N213" s="315"/>
      <c r="O213" s="16"/>
      <c r="P213" s="315"/>
      <c r="Q213" s="315"/>
      <c r="R213" s="315"/>
      <c r="S213" s="315"/>
      <c r="T213" s="16"/>
      <c r="U213" s="315"/>
      <c r="V213" s="315"/>
      <c r="W213" s="315"/>
      <c r="X213" s="316"/>
      <c r="Y213" s="16"/>
      <c r="Z213" s="316"/>
      <c r="AA213" s="316"/>
      <c r="AB213" s="316"/>
      <c r="AC213" s="316"/>
      <c r="AD213" s="16"/>
      <c r="AE213" s="16"/>
      <c r="AF213" s="16"/>
      <c r="AG213" s="16"/>
      <c r="AH213" s="16"/>
      <c r="AI213" s="16"/>
      <c r="AJ213" s="16"/>
      <c r="AK213" s="16"/>
    </row>
    <row r="214" ht="13.5" customHeight="1" spans="1:37" x14ac:dyDescent="0.25">
      <c r="A214" s="264"/>
      <c r="B214" s="16"/>
      <c r="C214" s="16" t="s">
        <v>386</v>
      </c>
      <c r="D214" s="16"/>
      <c r="E214" s="16"/>
      <c r="F214" s="410"/>
      <c r="G214" s="397">
        <f ca="1">4*-G208/AVERAGE(F210:G210)</f>
        <v>1e-12</v>
      </c>
      <c r="H214" s="397">
        <f ca="1">4*-H208/AVERAGE(G210:H210)</f>
        <v>1e-12</v>
      </c>
      <c r="I214" s="397">
        <f ca="1">4*-I208/AVERAGE(H210:I210)</f>
        <v>1e-12</v>
      </c>
      <c r="J214" s="398">
        <f ca="1">J208/AVERAGE(F206,I210)</f>
        <v>1e-12</v>
      </c>
      <c r="K214" s="397">
        <f ca="1">4*-K208/AVERAGE(J210:K210)</f>
        <v>1e-12</v>
      </c>
      <c r="L214" s="397">
        <f ca="1">4*-L208/AVERAGE(K210:L210)</f>
        <v>1e-12</v>
      </c>
      <c r="M214" s="397">
        <f ca="1">4*-M208/AVERAGE(L210:M210)</f>
        <v>1e-12</v>
      </c>
      <c r="N214" s="397">
        <f ca="1">4*-N208/AVERAGE(M210:N210)</f>
        <v>1e-12</v>
      </c>
      <c r="O214" s="398">
        <f ca="1">O208/AVERAGE(K206,N210)</f>
        <v>1e-12</v>
      </c>
      <c r="P214" s="397">
        <f ca="1">4*-P208/AVERAGE(O210:P210)</f>
        <v>1e-12</v>
      </c>
      <c r="Q214" s="397">
        <f ca="1">4*-Q208/AVERAGE(P210:Q210)</f>
        <v>1e-12</v>
      </c>
      <c r="R214" s="397">
        <f ca="1">4*-R208/AVERAGE(Q210:R210)</f>
        <v>1e-12</v>
      </c>
      <c r="S214" s="397">
        <f ca="1">4*-S208/AVERAGE(R210:S210)</f>
        <v>1e-12</v>
      </c>
      <c r="T214" s="398">
        <f ca="1">T208/AVERAGE(P206,S210)</f>
        <v>1e-12</v>
      </c>
      <c r="U214" s="397">
        <f ca="1">4*-U208/AVERAGE(T210:U210)</f>
        <v>1e-12</v>
      </c>
      <c r="V214" s="397">
        <f ca="1">4*-V208/AVERAGE(U210:V210)</f>
        <v>1e-12</v>
      </c>
      <c r="W214" s="397">
        <f ca="1">4*-W208/AVERAGE(V210:W210)</f>
      </c>
      <c r="X214" s="422">
        <f ca="1">Drivers!X85</f>
        <v>1e-12</v>
      </c>
      <c r="Y214" s="398">
        <f ca="1">Y208/AVERAGE(U206,X210)</f>
      </c>
      <c r="Z214" s="422">
        <f ca="1">Drivers!Z85</f>
        <v>1e-12</v>
      </c>
      <c r="AA214" s="422">
        <f ca="1">Drivers!AA85</f>
        <v>1e-12</v>
      </c>
      <c r="AB214" s="422">
        <f ca="1">Drivers!AB85</f>
        <v>1e-12</v>
      </c>
      <c r="AC214" s="422">
        <f ca="1">Drivers!AC85</f>
        <v>1e-12</v>
      </c>
      <c r="AD214" s="398">
        <f ca="1">AD208/AVERAGE(Z206,AC210)</f>
      </c>
      <c r="AE214" s="423">
        <f ca="1">Drivers!AE85</f>
        <v>1e-12</v>
      </c>
      <c r="AF214" s="423">
        <f ca="1">Drivers!AF85</f>
        <v>1e-12</v>
      </c>
      <c r="AG214" s="423">
        <f ca="1">Drivers!AG85</f>
        <v>1e-12</v>
      </c>
      <c r="AH214" s="16"/>
      <c r="AI214" s="16"/>
      <c r="AJ214" s="16"/>
      <c r="AK214" s="16"/>
    </row>
    <row r="215" ht="13.5" customHeight="1" spans="1:37" x14ac:dyDescent="0.25">
      <c r="A215" s="264"/>
      <c r="B215" s="16"/>
      <c r="C215" s="16"/>
      <c r="D215" s="16"/>
      <c r="E215" s="16"/>
      <c r="F215" s="315"/>
      <c r="G215" s="315"/>
      <c r="H215" s="315"/>
      <c r="I215" s="315"/>
      <c r="J215" s="16"/>
      <c r="K215" s="315"/>
      <c r="L215" s="315"/>
      <c r="M215" s="315"/>
      <c r="N215" s="315"/>
      <c r="O215" s="16"/>
      <c r="P215" s="315"/>
      <c r="Q215" s="315"/>
      <c r="R215" s="315"/>
      <c r="S215" s="315"/>
      <c r="T215" s="16"/>
      <c r="U215" s="315"/>
      <c r="V215" s="315"/>
      <c r="W215" s="315"/>
      <c r="X215" s="316"/>
      <c r="Y215" s="16"/>
      <c r="Z215" s="316"/>
      <c r="AA215" s="316"/>
      <c r="AB215" s="316"/>
      <c r="AC215" s="316"/>
      <c r="AD215" s="16"/>
      <c r="AE215" s="16"/>
      <c r="AF215" s="16"/>
      <c r="AG215" s="16"/>
      <c r="AH215" s="16"/>
      <c r="AI215" s="16"/>
      <c r="AJ215" s="16"/>
      <c r="AK215" s="16"/>
    </row>
    <row r="216" ht="13.5" customHeight="1" spans="1:37" x14ac:dyDescent="0.25">
      <c r="A216" s="264" t="s">
        <v>1</v>
      </c>
      <c r="B216" s="47"/>
      <c r="C216" s="62" t="s">
        <v>387</v>
      </c>
      <c r="D216" s="19"/>
      <c r="E216" s="19"/>
      <c r="F216" s="313">
        <f ca="1">F$25</f>
        <v>1e-12</v>
      </c>
      <c r="G216" s="63">
        <f t="shared" ref="G216:AG216" si="328" ca="1">G$63</f>
        <v>1e-12</v>
      </c>
      <c r="H216" s="63">
        <f ca="1">H$63</f>
        <v>1e-12</v>
      </c>
      <c r="I216" s="63">
        <f ca="1">I$63</f>
        <v>1e-12</v>
      </c>
      <c r="J216" s="63">
        <f ca="1">J$63</f>
        <v>2023</v>
      </c>
      <c r="K216" s="63">
        <f ca="1">K$63</f>
        <v>1e-12</v>
      </c>
      <c r="L216" s="63">
        <f ca="1">L$63</f>
        <v>1e-12</v>
      </c>
      <c r="M216" s="63">
        <f ca="1">M$63</f>
        <v>1e-12</v>
      </c>
      <c r="N216" s="63">
        <f ca="1">N$63</f>
        <v>1e-12</v>
      </c>
      <c r="O216" s="63">
        <f ca="1">O$63</f>
        <v>2024</v>
      </c>
      <c r="P216" s="63">
        <f ca="1">P$63</f>
        <v>1e-12</v>
      </c>
      <c r="Q216" s="63">
        <f ca="1">Q$63</f>
        <v>1e-12</v>
      </c>
      <c r="R216" s="63">
        <f ca="1">R$63</f>
        <v>1e-12</v>
      </c>
      <c r="S216" s="63">
        <f ca="1">S$63</f>
        <v>1e-12</v>
      </c>
      <c r="T216" s="63">
        <f ca="1">T$63</f>
        <v>2025</v>
      </c>
      <c r="U216" s="63">
        <f ca="1">U$63</f>
        <v>1e-12</v>
      </c>
      <c r="V216" s="63">
        <f ca="1">V$63</f>
        <v>1e-12</v>
      </c>
      <c r="W216" s="63" t="str">
        <f ca="1">W$63</f>
        <v>3Q26e</v>
      </c>
      <c r="X216" s="63" t="str">
        <f ca="1">X$63</f>
        <v>4Q26e</v>
      </c>
      <c r="Y216" s="63" t="str">
        <f ca="1">Y$63</f>
        <v>2026e</v>
      </c>
      <c r="Z216" s="63" t="str">
        <f ca="1">Z$63</f>
        <v>1Q27e</v>
      </c>
      <c r="AA216" s="63" t="str">
        <f ca="1">AA$63</f>
        <v>2Q27e</v>
      </c>
      <c r="AB216" s="63" t="str">
        <f ca="1">AB$63</f>
        <v>3Q27e</v>
      </c>
      <c r="AC216" s="63" t="str">
        <f ca="1">AC$63</f>
        <v>4Q27e</v>
      </c>
      <c r="AD216" s="63" t="str">
        <f ca="1">AD$63</f>
        <v>2027e</v>
      </c>
      <c r="AE216" s="63" t="str">
        <f ca="1">AE$63</f>
        <v>2028e</v>
      </c>
      <c r="AF216" s="63" t="str">
        <f ca="1">AF$63</f>
        <v>2029e</v>
      </c>
      <c r="AG216" s="64" t="str">
        <f ca="1">AG$63</f>
        <v>2030e</v>
      </c>
      <c r="AH216" s="264" t="s">
        <v>1</v>
      </c>
      <c r="AI216" s="16"/>
      <c r="AJ216" s="16"/>
      <c r="AK216" s="16"/>
    </row>
    <row r="217" ht="13.5" customHeight="1" spans="1:37" x14ac:dyDescent="0.25">
      <c r="A217" s="264"/>
      <c r="B217" s="16"/>
      <c r="C217" s="16"/>
      <c r="D217" s="16"/>
      <c r="E217" s="16"/>
      <c r="F217" s="315"/>
      <c r="G217" s="315"/>
      <c r="H217" s="315"/>
      <c r="I217" s="315"/>
      <c r="J217" s="16"/>
      <c r="K217" s="315"/>
      <c r="L217" s="315"/>
      <c r="M217" s="315"/>
      <c r="N217" s="315"/>
      <c r="O217" s="16"/>
      <c r="P217" s="315"/>
      <c r="Q217" s="315"/>
      <c r="R217" s="315"/>
      <c r="S217" s="315"/>
      <c r="T217" s="16"/>
      <c r="U217" s="315"/>
      <c r="V217" s="315"/>
      <c r="W217" s="315"/>
      <c r="X217" s="316"/>
      <c r="Y217" s="16"/>
      <c r="Z217" s="316"/>
      <c r="AA217" s="316"/>
      <c r="AB217" s="316"/>
      <c r="AC217" s="316"/>
      <c r="AD217" s="16"/>
      <c r="AE217" s="16"/>
      <c r="AF217" s="16"/>
      <c r="AG217" s="16"/>
      <c r="AH217" s="16"/>
      <c r="AI217" s="16"/>
      <c r="AJ217" s="16"/>
      <c r="AK217" s="16"/>
    </row>
    <row r="218" ht="13.5" customHeight="1" spans="1:37" x14ac:dyDescent="0.25">
      <c r="A218" s="264"/>
      <c r="B218" s="16"/>
      <c r="C218" s="139" t="s">
        <v>337</v>
      </c>
      <c r="D218" s="16"/>
      <c r="E218" s="16"/>
      <c r="F218" s="353">
        <f t="shared" ref="F218:W218" si="329" ca="1">F128</f>
        <v>4365</v>
      </c>
      <c r="G218" s="353">
        <f ca="1">G128</f>
        <v>4372</v>
      </c>
      <c r="H218" s="353">
        <f ca="1">H128</f>
        <v>4372</v>
      </c>
      <c r="I218" s="353">
        <f ca="1">I128</f>
        <v>4372</v>
      </c>
      <c r="J218" s="282">
        <f ca="1">J128</f>
        <v>4372</v>
      </c>
      <c r="K218" s="353">
        <f ca="1">K128</f>
        <v>4430</v>
      </c>
      <c r="L218" s="353">
        <f ca="1">L128</f>
        <v>4430</v>
      </c>
      <c r="M218" s="353">
        <f ca="1">M128</f>
        <v>4430</v>
      </c>
      <c r="N218" s="353">
        <f ca="1">N128</f>
        <v>4430</v>
      </c>
      <c r="O218" s="282">
        <f ca="1">O128</f>
        <v>4430</v>
      </c>
      <c r="P218" s="353">
        <f ca="1">P128</f>
        <v>4453</v>
      </c>
      <c r="Q218" s="353">
        <f ca="1">Q128</f>
        <v>4622</v>
      </c>
      <c r="R218" s="353">
        <f ca="1">R128</f>
        <v>4724</v>
      </c>
      <c r="S218" s="353">
        <f ca="1">S128</f>
        <v>5188</v>
      </c>
      <c r="T218" s="282">
        <f ca="1">T128</f>
        <v>5188</v>
      </c>
      <c r="U218" s="353">
        <f ca="1">U128</f>
        <v>5498</v>
      </c>
      <c r="V218" s="353">
        <f ca="1">V128</f>
        <v>5755</v>
      </c>
      <c r="W218" s="353">
        <f ca="1">W128</f>
        <v>1e-12</v>
      </c>
      <c r="X218" s="281">
        <f ca="1">Drivers!X62+W218</f>
        <v>1e-12</v>
      </c>
      <c r="Y218" s="282">
        <f t="shared" ref="Y218:Y219" si="330" ca="1">X218</f>
        <v>1e-12</v>
      </c>
      <c r="Z218" s="281">
        <f ca="1">Drivers!Z62+Y218</f>
        <v>1e-12</v>
      </c>
      <c r="AA218" s="281">
        <f ca="1">Drivers!AA62+Z218</f>
        <v>1e-12</v>
      </c>
      <c r="AB218" s="281">
        <f ca="1">Drivers!AB62+AA218</f>
        <v>1e-12</v>
      </c>
      <c r="AC218" s="281">
        <f ca="1">Drivers!AC62+AB218</f>
        <v>1e-12</v>
      </c>
      <c r="AD218" s="282">
        <f t="shared" ref="AD218:AD219" si="331" ca="1">AC218</f>
        <v>1e-12</v>
      </c>
      <c r="AE218" s="282">
        <f ca="1">Drivers!AE62+AD218</f>
        <v>1e-12</v>
      </c>
      <c r="AF218" s="282">
        <f ca="1">Drivers!AF62+AE218</f>
        <v>1e-12</v>
      </c>
      <c r="AG218" s="282">
        <f ca="1">Drivers!AG62+AF218</f>
        <v>1e-12</v>
      </c>
      <c r="AH218" s="16"/>
      <c r="AI218" s="16"/>
      <c r="AJ218" s="16"/>
      <c r="AK218" s="16"/>
    </row>
    <row r="219" ht="13.5" customHeight="1" spans="1:37" x14ac:dyDescent="0.25">
      <c r="A219" s="264"/>
      <c r="B219" s="16"/>
      <c r="C219" s="139" t="s">
        <v>338</v>
      </c>
      <c r="D219" s="16"/>
      <c r="E219" s="16"/>
      <c r="F219" s="372">
        <f t="shared" ref="F219:W219" si="332" ca="1">F129</f>
        <v>6145</v>
      </c>
      <c r="G219" s="372">
        <f ca="1">G129</f>
        <v>6417</v>
      </c>
      <c r="H219" s="372">
        <f ca="1">H129</f>
        <v>7269</v>
      </c>
      <c r="I219" s="372">
        <f ca="1">I129</f>
        <v>8254</v>
      </c>
      <c r="J219" s="355">
        <f ca="1">J129</f>
        <v>8254</v>
      </c>
      <c r="K219" s="372">
        <f ca="1">K129</f>
        <v>9866</v>
      </c>
      <c r="L219" s="372">
        <f ca="1">L129</f>
        <v>11134</v>
      </c>
      <c r="M219" s="372">
        <f ca="1">M129</f>
        <v>11965</v>
      </c>
      <c r="N219" s="372">
        <f ca="1">N129</f>
        <v>11927</v>
      </c>
      <c r="O219" s="355">
        <f ca="1">O129</f>
        <v>11927</v>
      </c>
      <c r="P219" s="372">
        <f ca="1">P129</f>
        <v>13898</v>
      </c>
      <c r="Q219" s="372">
        <f ca="1">Q129</f>
        <v>15135</v>
      </c>
      <c r="R219" s="372">
        <f ca="1">R129</f>
        <v>17468</v>
      </c>
      <c r="S219" s="372">
        <f ca="1">S129</f>
        <v>19197</v>
      </c>
      <c r="T219" s="355">
        <f ca="1">T129</f>
        <v>19197</v>
      </c>
      <c r="U219" s="372">
        <f ca="1">U129</f>
        <v>21916</v>
      </c>
      <c r="V219" s="372">
        <f ca="1">V129</f>
        <v>22870</v>
      </c>
      <c r="W219" s="372">
        <f ca="1">W129</f>
        <v>5626</v>
      </c>
      <c r="X219" s="356">
        <f ca="1">W219*(1+X232)</f>
        <v>5738.52</v>
      </c>
      <c r="Y219" s="355">
        <f ca="1">X219</f>
        <v>5738.52</v>
      </c>
      <c r="Z219" s="356">
        <f t="shared" ref="Z219:AC219" si="333" ca="1">Y219*(1+Z232)</f>
        <v>5853.290400000001</v>
      </c>
      <c r="AA219" s="356">
        <f ca="1">Z219*(1+AA232)</f>
        <v>5970.356208000001</v>
      </c>
      <c r="AB219" s="356">
        <f ca="1">AA219*(1+AB232)</f>
        <v>6089.7633321600015</v>
      </c>
      <c r="AC219" s="356">
        <f ca="1">AB219*(1+AC232)</f>
        <v>6211.558598803202</v>
      </c>
      <c r="AD219" s="355">
        <f ca="1">AC219</f>
        <v>6211.558598803202</v>
      </c>
      <c r="AE219" s="355">
        <f t="shared" ref="AE219:AG219" si="334" ca="1">AD219*(1+AE232)</f>
        <v>6335.789770779265</v>
      </c>
      <c r="AF219" s="355">
        <f ca="1">AE219*(1+AF232)</f>
        <v>6462.505566194851</v>
      </c>
      <c r="AG219" s="355">
        <f ca="1">AF219*(1+AG232)</f>
        <v>6591.755677518748</v>
      </c>
      <c r="AH219" s="16"/>
      <c r="AI219" s="16"/>
      <c r="AJ219" s="16"/>
      <c r="AK219" s="16"/>
    </row>
    <row r="220" ht="13.5" customHeight="1" spans="1:37" x14ac:dyDescent="0.25">
      <c r="A220" s="264"/>
      <c r="B220" s="16"/>
      <c r="C220" s="16" t="s">
        <v>388</v>
      </c>
      <c r="D220" s="16"/>
      <c r="E220" s="16"/>
      <c r="F220" s="353">
        <f t="shared" ref="F220:AG220" si="335" ca="1">SUM(F218:F219)</f>
        <v>10510</v>
      </c>
      <c r="G220" s="353">
        <f ca="1">SUM(G218:G219)</f>
        <v>10789</v>
      </c>
      <c r="H220" s="353">
        <f ca="1">SUM(H218:H219)</f>
        <v>11641</v>
      </c>
      <c r="I220" s="353">
        <f ca="1">SUM(I218:I219)</f>
        <v>12626</v>
      </c>
      <c r="J220" s="282">
        <f ca="1">SUM(J218:J219)</f>
        <v>12626</v>
      </c>
      <c r="K220" s="353">
        <f ca="1">SUM(K218:K219)</f>
        <v>14296</v>
      </c>
      <c r="L220" s="353">
        <f ca="1">SUM(L218:L219)</f>
        <v>15564</v>
      </c>
      <c r="M220" s="353">
        <f ca="1">SUM(M218:M219)</f>
        <v>16395</v>
      </c>
      <c r="N220" s="353">
        <f ca="1">SUM(N218:N219)</f>
        <v>16357</v>
      </c>
      <c r="O220" s="282">
        <f ca="1">SUM(O218:O219)</f>
        <v>16357</v>
      </c>
      <c r="P220" s="353">
        <f ca="1">SUM(P218:P219)</f>
        <v>18351</v>
      </c>
      <c r="Q220" s="353">
        <f ca="1">SUM(Q218:Q219)</f>
        <v>19757</v>
      </c>
      <c r="R220" s="353">
        <f ca="1">SUM(R218:R219)</f>
        <v>22192</v>
      </c>
      <c r="S220" s="353">
        <f ca="1">SUM(S218:S219)</f>
        <v>24385</v>
      </c>
      <c r="T220" s="282">
        <f ca="1">SUM(T218:T219)</f>
        <v>24385</v>
      </c>
      <c r="U220" s="353">
        <f ca="1">SUM(U218:U219)</f>
        <v>27414</v>
      </c>
      <c r="V220" s="353">
        <f ca="1">SUM(V218:V219)</f>
        <v>28625</v>
      </c>
      <c r="W220" s="353">
        <f ca="1">SUM(W218:W219)</f>
        <v>5626</v>
      </c>
      <c r="X220" s="281">
        <f ca="1">SUM(X218:X219)</f>
        <v>5738.52</v>
      </c>
      <c r="Y220" s="282">
        <f ca="1">SUM(Y218:Y219)</f>
        <v>5738.52</v>
      </c>
      <c r="Z220" s="281">
        <f ca="1">SUM(Z218:Z219)</f>
        <v>5853.290400000001</v>
      </c>
      <c r="AA220" s="281">
        <f ca="1">SUM(AA218:AA219)</f>
        <v>5970.356208000001</v>
      </c>
      <c r="AB220" s="281">
        <f ca="1">SUM(AB218:AB219)</f>
        <v>6089.7633321600015</v>
      </c>
      <c r="AC220" s="281">
        <f ca="1">SUM(AC218:AC219)</f>
        <v>6211.558598803202</v>
      </c>
      <c r="AD220" s="282">
        <f ca="1">SUM(AD218:AD219)</f>
        <v>6211.558598803202</v>
      </c>
      <c r="AE220" s="282">
        <f ca="1">SUM(AE218:AE219)</f>
        <v>6335.789770779265</v>
      </c>
      <c r="AF220" s="282">
        <f ca="1">SUM(AF218:AF219)</f>
        <v>6462.505566194851</v>
      </c>
      <c r="AG220" s="282">
        <f ca="1">SUM(AG218:AG219)</f>
        <v>6591.755677518748</v>
      </c>
      <c r="AH220" s="16"/>
      <c r="AI220" s="16"/>
      <c r="AJ220" s="16"/>
      <c r="AK220" s="16"/>
    </row>
    <row r="221" ht="13.5" customHeight="1" spans="1:37" x14ac:dyDescent="0.25">
      <c r="A221" s="302"/>
      <c r="B221" s="303"/>
      <c r="C221" s="120" t="s">
        <v>389</v>
      </c>
      <c r="D221" s="303"/>
      <c r="E221" s="303"/>
      <c r="F221" s="424"/>
      <c r="G221" s="425">
        <f t="shared" ref="G221:I221" si="336" ca="1">G220-F220</f>
        <v>279</v>
      </c>
      <c r="H221" s="425">
        <f ca="1">H220-G220</f>
        <v>852</v>
      </c>
      <c r="I221" s="425">
        <f ca="1">I220-H220</f>
        <v>985</v>
      </c>
      <c r="J221" s="426"/>
      <c r="K221" s="425">
        <f t="shared" ref="K221:N221" si="337" ca="1">K220-J220</f>
        <v>1670</v>
      </c>
      <c r="L221" s="425">
        <f ca="1">L220-K220</f>
        <v>1268</v>
      </c>
      <c r="M221" s="425">
        <f ca="1">M220-L220</f>
        <v>831</v>
      </c>
      <c r="N221" s="425">
        <f ca="1">N220-M220</f>
        <v>-38</v>
      </c>
      <c r="O221" s="426">
        <f ca="1">O220-J220</f>
        <v>3731</v>
      </c>
      <c r="P221" s="425">
        <f t="shared" ref="P221:S221" si="338" ca="1">P220-O220</f>
        <v>1994</v>
      </c>
      <c r="Q221" s="425">
        <f ca="1">Q220-P220</f>
        <v>1406</v>
      </c>
      <c r="R221" s="425">
        <f ca="1">R220-Q220</f>
        <v>2435</v>
      </c>
      <c r="S221" s="425">
        <f ca="1">S220-R220</f>
        <v>2193</v>
      </c>
      <c r="T221" s="426">
        <f ca="1">T220-O220</f>
        <v>8028</v>
      </c>
      <c r="U221" s="425">
        <f t="shared" ref="U221:X221" si="339" ca="1">U220-T220</f>
        <v>3029</v>
      </c>
      <c r="V221" s="425">
        <f ca="1">V220-U220</f>
        <v>1211</v>
      </c>
      <c r="W221" s="425">
        <f ca="1">W220-V220</f>
        <v>336</v>
      </c>
      <c r="X221" s="427">
        <f ca="1">X220-W220</f>
        <v>112.52000000000044</v>
      </c>
      <c r="Y221" s="426">
        <f ca="1">Y220-T220</f>
        <v>4316.52</v>
      </c>
      <c r="Z221" s="427">
        <f t="shared" ref="Z221:AC221" si="340" ca="1">Z220-Y220</f>
        <v>114.77040000000034</v>
      </c>
      <c r="AA221" s="427">
        <f ca="1">AA220-Z220</f>
        <v>117.06580800000029</v>
      </c>
      <c r="AB221" s="427">
        <f ca="1">AB220-AA220</f>
        <v>119.40712416000042</v>
      </c>
      <c r="AC221" s="427">
        <f ca="1">AC220-AB220</f>
        <v>121.7952666432002</v>
      </c>
      <c r="AD221" s="426">
        <f ca="1">AD220-Y220</f>
        <v>473.03859880320124</v>
      </c>
      <c r="AE221" s="426">
        <f t="shared" ref="AE221:AG221" si="341" ca="1">AE220-AD220</f>
        <v>124.2311719760637</v>
      </c>
      <c r="AF221" s="426">
        <f ca="1">AF220-AE220</f>
        <v>126.71579541558549</v>
      </c>
      <c r="AG221" s="426">
        <f ca="1">AG220-AF220</f>
        <v>129.25011132389682</v>
      </c>
      <c r="AH221" s="303"/>
      <c r="AI221" s="303"/>
      <c r="AJ221" s="303"/>
      <c r="AK221" s="303"/>
    </row>
    <row r="222" ht="13.5" customHeight="1" spans="1:37" x14ac:dyDescent="0.25">
      <c r="A222" s="264"/>
      <c r="B222" s="16"/>
      <c r="C222" s="16"/>
      <c r="D222" s="16"/>
      <c r="E222" s="16"/>
      <c r="F222" s="315"/>
      <c r="G222" s="315"/>
      <c r="H222" s="315"/>
      <c r="I222" s="315"/>
      <c r="J222" s="16"/>
      <c r="K222" s="315"/>
      <c r="L222" s="315"/>
      <c r="M222" s="315"/>
      <c r="N222" s="315"/>
      <c r="O222" s="16"/>
      <c r="P222" s="315"/>
      <c r="Q222" s="315"/>
      <c r="R222" s="315"/>
      <c r="S222" s="315"/>
      <c r="T222" s="16"/>
      <c r="U222" s="315"/>
      <c r="V222" s="315"/>
      <c r="W222" s="315"/>
      <c r="X222" s="316"/>
      <c r="Y222" s="16"/>
      <c r="Z222" s="316"/>
      <c r="AA222" s="316"/>
      <c r="AB222" s="316"/>
      <c r="AC222" s="316"/>
      <c r="AD222" s="16"/>
      <c r="AE222" s="16"/>
      <c r="AF222" s="16"/>
      <c r="AG222" s="16"/>
      <c r="AH222" s="16"/>
      <c r="AI222" s="16"/>
      <c r="AJ222" s="16"/>
      <c r="AK222" s="16"/>
    </row>
    <row r="223" ht="13.5" customHeight="1" spans="1:37" x14ac:dyDescent="0.25">
      <c r="A223" s="264"/>
      <c r="B223" s="16"/>
      <c r="C223" s="139" t="s">
        <v>390</v>
      </c>
      <c r="D223" s="16"/>
      <c r="E223" s="16"/>
      <c r="F223" s="353">
        <f t="shared" ref="F223:W223" si="342" ca="1">F141</f>
        <v>257</v>
      </c>
      <c r="G223" s="353">
        <f ca="1">G141</f>
        <v>252</v>
      </c>
      <c r="H223" s="353">
        <f ca="1">H141</f>
        <v>246</v>
      </c>
      <c r="I223" s="353">
        <f ca="1">I141</f>
        <v>247</v>
      </c>
      <c r="J223" s="282">
        <f ca="1">J141</f>
        <v>247</v>
      </c>
      <c r="K223" s="353">
        <f ca="1">K141</f>
        <v>290</v>
      </c>
      <c r="L223" s="353">
        <f ca="1">L141</f>
        <v>373</v>
      </c>
      <c r="M223" s="353">
        <f ca="1">M141</f>
        <v>424</v>
      </c>
      <c r="N223" s="353">
        <f ca="1">N141</f>
        <v>462</v>
      </c>
      <c r="O223" s="282">
        <f ca="1">O141</f>
        <v>462</v>
      </c>
      <c r="P223" s="353">
        <f ca="1">P141</f>
        <v>583</v>
      </c>
      <c r="Q223" s="353">
        <f ca="1">Q141</f>
        <v>697</v>
      </c>
      <c r="R223" s="353">
        <f ca="1">R141</f>
        <v>790</v>
      </c>
      <c r="S223" s="353">
        <f ca="1">S141</f>
        <v>886</v>
      </c>
      <c r="T223" s="282">
        <f ca="1">T141</f>
        <v>886</v>
      </c>
      <c r="U223" s="353">
        <f ca="1">U141</f>
        <v>1082</v>
      </c>
      <c r="V223" s="353">
        <f ca="1">V141</f>
        <v>1351</v>
      </c>
      <c r="W223" s="353">
        <f ca="1">W141</f>
        <v>1e-12</v>
      </c>
      <c r="X223" s="281">
        <f t="shared" ref="X223:AG223" si="343" ca="1">W223</f>
        <v>1e-12</v>
      </c>
      <c r="Y223" s="282">
        <f ca="1">X223</f>
        <v>1e-12</v>
      </c>
      <c r="Z223" s="281">
        <f ca="1">Y223</f>
        <v>1e-12</v>
      </c>
      <c r="AA223" s="281">
        <f ca="1">Z223</f>
        <v>1e-12</v>
      </c>
      <c r="AB223" s="281">
        <f ca="1">AA223</f>
        <v>1e-12</v>
      </c>
      <c r="AC223" s="281">
        <f ca="1">AB223</f>
        <v>1e-12</v>
      </c>
      <c r="AD223" s="282">
        <f ca="1">AC223</f>
        <v>1e-12</v>
      </c>
      <c r="AE223" s="282">
        <f ca="1">AD223</f>
        <v>1e-12</v>
      </c>
      <c r="AF223" s="282">
        <f ca="1">AE223</f>
        <v>1e-12</v>
      </c>
      <c r="AG223" s="282">
        <f ca="1">AF223</f>
        <v>1e-12</v>
      </c>
      <c r="AH223" s="16"/>
      <c r="AI223" s="16"/>
      <c r="AJ223" s="16"/>
      <c r="AK223" s="16"/>
    </row>
    <row r="224" ht="13.5" customHeight="1" spans="1:37" x14ac:dyDescent="0.25">
      <c r="A224" s="264"/>
      <c r="B224" s="16"/>
      <c r="C224" s="139" t="s">
        <v>348</v>
      </c>
      <c r="D224" s="16"/>
      <c r="E224" s="16"/>
      <c r="F224" s="372">
        <f t="shared" ref="F224:W224" si="344" ca="1">F142</f>
        <v>2126</v>
      </c>
      <c r="G224" s="372">
        <f ca="1">G142</f>
        <v>2100</v>
      </c>
      <c r="H224" s="372">
        <f ca="1">H142</f>
        <v>2337</v>
      </c>
      <c r="I224" s="372">
        <f ca="1">I142</f>
        <v>2568</v>
      </c>
      <c r="J224" s="355">
        <f ca="1">J142</f>
        <v>2568</v>
      </c>
      <c r="K224" s="372">
        <f ca="1">K142</f>
        <v>2686</v>
      </c>
      <c r="L224" s="372">
        <f ca="1">L142</f>
        <v>2891</v>
      </c>
      <c r="M224" s="372">
        <f ca="1">M142</f>
        <v>2901</v>
      </c>
      <c r="N224" s="372">
        <f ca="1">N142</f>
        <v>3198</v>
      </c>
      <c r="O224" s="355">
        <f ca="1">O142</f>
        <v>3198</v>
      </c>
      <c r="P224" s="372">
        <f ca="1">P142</f>
        <v>3664</v>
      </c>
      <c r="Q224" s="372">
        <f ca="1">Q142</f>
        <v>3943</v>
      </c>
      <c r="R224" s="372">
        <f ca="1">R142</f>
        <v>4383</v>
      </c>
      <c r="S224" s="372">
        <f ca="1">S142</f>
        <v>4878</v>
      </c>
      <c r="T224" s="355">
        <f ca="1">T142</f>
        <v>4878</v>
      </c>
      <c r="U224" s="372">
        <f ca="1">U142</f>
        <v>5323</v>
      </c>
      <c r="V224" s="372">
        <f ca="1">V142</f>
        <v>6535</v>
      </c>
      <c r="W224" s="372">
        <f ca="1">W142</f>
        <v>6261</v>
      </c>
      <c r="X224" s="356">
        <f t="shared" ref="X224:AG224" si="345" ca="1">W224</f>
        <v>6261</v>
      </c>
      <c r="Y224" s="355">
        <f ca="1">X224</f>
        <v>6261</v>
      </c>
      <c r="Z224" s="356">
        <f ca="1">Y224</f>
        <v>6261</v>
      </c>
      <c r="AA224" s="356">
        <f ca="1">Z224</f>
        <v>6261</v>
      </c>
      <c r="AB224" s="356">
        <f ca="1">AA224</f>
        <v>6261</v>
      </c>
      <c r="AC224" s="356">
        <f ca="1">AB224</f>
        <v>6261</v>
      </c>
      <c r="AD224" s="355">
        <f ca="1">AC224</f>
        <v>6261</v>
      </c>
      <c r="AE224" s="355">
        <f ca="1">AD224</f>
        <v>6261</v>
      </c>
      <c r="AF224" s="355">
        <f ca="1">AE224</f>
        <v>6261</v>
      </c>
      <c r="AG224" s="355">
        <f ca="1">AF224</f>
        <v>6261</v>
      </c>
      <c r="AH224" s="16"/>
      <c r="AI224" s="16"/>
      <c r="AJ224" s="16"/>
      <c r="AK224" s="16"/>
    </row>
    <row r="225" ht="13.5" customHeight="1" spans="1:37" x14ac:dyDescent="0.25">
      <c r="A225" s="264"/>
      <c r="B225" s="16"/>
      <c r="C225" s="16" t="s">
        <v>391</v>
      </c>
      <c r="D225" s="16"/>
      <c r="E225" s="16"/>
      <c r="F225" s="353">
        <f t="shared" ref="F225:AG225" si="346" ca="1">SUM(F223:F224)</f>
        <v>2383</v>
      </c>
      <c r="G225" s="353">
        <f ca="1">SUM(G223:G224)</f>
        <v>2352</v>
      </c>
      <c r="H225" s="353">
        <f ca="1">SUM(H223:H224)</f>
        <v>2583</v>
      </c>
      <c r="I225" s="353">
        <f ca="1">SUM(I223:I224)</f>
        <v>2815</v>
      </c>
      <c r="J225" s="282">
        <f ca="1">SUM(J223:J224)</f>
        <v>2815</v>
      </c>
      <c r="K225" s="353">
        <f ca="1">SUM(K223:K224)</f>
        <v>2976</v>
      </c>
      <c r="L225" s="353">
        <f ca="1">SUM(L223:L224)</f>
        <v>3264</v>
      </c>
      <c r="M225" s="353">
        <f ca="1">SUM(M223:M224)</f>
        <v>3325</v>
      </c>
      <c r="N225" s="353">
        <f ca="1">SUM(N223:N224)</f>
        <v>3660</v>
      </c>
      <c r="O225" s="282">
        <f ca="1">SUM(O223:O224)</f>
        <v>3660</v>
      </c>
      <c r="P225" s="353">
        <f ca="1">SUM(P223:P224)</f>
        <v>4247</v>
      </c>
      <c r="Q225" s="353">
        <f ca="1">SUM(Q223:Q224)</f>
        <v>4640</v>
      </c>
      <c r="R225" s="353">
        <f ca="1">SUM(R223:R224)</f>
        <v>5173</v>
      </c>
      <c r="S225" s="353">
        <f ca="1">SUM(S223:S224)</f>
        <v>5764</v>
      </c>
      <c r="T225" s="282">
        <f ca="1">SUM(T223:T224)</f>
        <v>5764</v>
      </c>
      <c r="U225" s="353">
        <f ca="1">SUM(U223:U224)</f>
        <v>6405</v>
      </c>
      <c r="V225" s="353">
        <f ca="1">SUM(V223:V224)</f>
        <v>7886</v>
      </c>
      <c r="W225" s="353">
        <f ca="1">SUM(W223:W224)</f>
        <v>6261</v>
      </c>
      <c r="X225" s="281">
        <f ca="1">SUM(X223:X224)</f>
        <v>6261</v>
      </c>
      <c r="Y225" s="282">
        <f ca="1">SUM(Y223:Y224)</f>
        <v>6261</v>
      </c>
      <c r="Z225" s="281">
        <f ca="1">SUM(Z223:Z224)</f>
        <v>6261</v>
      </c>
      <c r="AA225" s="281">
        <f ca="1">SUM(AA223:AA224)</f>
        <v>6261</v>
      </c>
      <c r="AB225" s="281">
        <f ca="1">SUM(AB223:AB224)</f>
        <v>6261</v>
      </c>
      <c r="AC225" s="281">
        <f ca="1">SUM(AC223:AC224)</f>
        <v>6261</v>
      </c>
      <c r="AD225" s="282">
        <f ca="1">SUM(AD223:AD224)</f>
        <v>6261</v>
      </c>
      <c r="AE225" s="282">
        <f ca="1">SUM(AE223:AE224)</f>
        <v>6261</v>
      </c>
      <c r="AF225" s="282">
        <f ca="1">SUM(AF223:AF224)</f>
        <v>6261</v>
      </c>
      <c r="AG225" s="282">
        <f ca="1">SUM(AG223:AG224)</f>
        <v>6261</v>
      </c>
      <c r="AH225" s="16"/>
      <c r="AI225" s="16"/>
      <c r="AJ225" s="16"/>
      <c r="AK225" s="16"/>
    </row>
    <row r="226" ht="13.5" customHeight="1" spans="1:37" x14ac:dyDescent="0.25">
      <c r="A226" s="302"/>
      <c r="B226" s="303"/>
      <c r="C226" s="120" t="s">
        <v>392</v>
      </c>
      <c r="D226" s="303"/>
      <c r="E226" s="303"/>
      <c r="F226" s="424"/>
      <c r="G226" s="425">
        <f t="shared" ref="G226:I226" si="347" ca="1">G225-F225</f>
        <v>-31</v>
      </c>
      <c r="H226" s="425">
        <f ca="1">H225-G225</f>
        <v>231</v>
      </c>
      <c r="I226" s="425">
        <f ca="1">I225-H225</f>
        <v>232</v>
      </c>
      <c r="J226" s="426"/>
      <c r="K226" s="425">
        <f t="shared" ref="K226:N226" si="348" ca="1">K225-J225</f>
        <v>161</v>
      </c>
      <c r="L226" s="425">
        <f ca="1">L225-K225</f>
        <v>288</v>
      </c>
      <c r="M226" s="425">
        <f ca="1">M225-L225</f>
        <v>61</v>
      </c>
      <c r="N226" s="425">
        <f ca="1">N225-M225</f>
        <v>335</v>
      </c>
      <c r="O226" s="426">
        <f ca="1">O225-J225</f>
        <v>845</v>
      </c>
      <c r="P226" s="425">
        <f t="shared" ref="P226:S226" si="349" ca="1">P225-O225</f>
        <v>587</v>
      </c>
      <c r="Q226" s="425">
        <f ca="1">Q225-P225</f>
        <v>393</v>
      </c>
      <c r="R226" s="425">
        <f ca="1">R225-Q225</f>
        <v>533</v>
      </c>
      <c r="S226" s="425">
        <f ca="1">S225-R225</f>
        <v>591</v>
      </c>
      <c r="T226" s="426">
        <f ca="1">T225-O225</f>
        <v>2104</v>
      </c>
      <c r="U226" s="425">
        <f t="shared" ref="U226:X226" si="350" ca="1">U225-T225</f>
        <v>641</v>
      </c>
      <c r="V226" s="425">
        <f ca="1">V225-U225</f>
        <v>1481</v>
      </c>
      <c r="W226" s="425">
        <f ca="1">W225-V225</f>
        <v>313</v>
      </c>
      <c r="X226" s="427">
        <f ca="1">X225-W225</f>
        <v>1e-12</v>
      </c>
      <c r="Y226" s="426">
        <f ca="1">Y225-T225</f>
        <v>4083</v>
      </c>
      <c r="Z226" s="427">
        <f t="shared" ref="Z226:AC226" si="351" ca="1">Z225-Y225</f>
        <v>1e-12</v>
      </c>
      <c r="AA226" s="427">
        <f ca="1">AA225-Z225</f>
        <v>1e-12</v>
      </c>
      <c r="AB226" s="427">
        <f ca="1">AB225-AA225</f>
        <v>1e-12</v>
      </c>
      <c r="AC226" s="427">
        <f ca="1">AC225-AB225</f>
        <v>1e-12</v>
      </c>
      <c r="AD226" s="426">
        <f ca="1">AD225-Y225</f>
        <v>1e-12</v>
      </c>
      <c r="AE226" s="426">
        <f t="shared" ref="AE226:AG226" si="352" ca="1">AE225-AD225</f>
        <v>1e-12</v>
      </c>
      <c r="AF226" s="426">
        <f ca="1">AF225-AE225</f>
        <v>1e-12</v>
      </c>
      <c r="AG226" s="426">
        <f ca="1">AG225-AF225</f>
        <v>1e-12</v>
      </c>
      <c r="AH226" s="303"/>
      <c r="AI226" s="303"/>
      <c r="AJ226" s="303"/>
      <c r="AK226" s="303"/>
    </row>
    <row r="227" ht="13.5" customHeight="1" spans="1:37" x14ac:dyDescent="0.25">
      <c r="A227" s="264"/>
      <c r="B227" s="16"/>
      <c r="C227" s="16"/>
      <c r="D227" s="16"/>
      <c r="E227" s="16"/>
      <c r="F227" s="315"/>
      <c r="G227" s="315"/>
      <c r="H227" s="315"/>
      <c r="I227" s="315"/>
      <c r="J227" s="16"/>
      <c r="K227" s="315"/>
      <c r="L227" s="315"/>
      <c r="M227" s="315"/>
      <c r="N227" s="315"/>
      <c r="O227" s="16"/>
      <c r="P227" s="315"/>
      <c r="Q227" s="315"/>
      <c r="R227" s="315"/>
      <c r="S227" s="315"/>
      <c r="T227" s="16"/>
      <c r="U227" s="315"/>
      <c r="V227" s="315"/>
      <c r="W227" s="315"/>
      <c r="X227" s="316"/>
      <c r="Y227" s="16"/>
      <c r="Z227" s="316"/>
      <c r="AA227" s="316"/>
      <c r="AB227" s="316"/>
      <c r="AC227" s="316"/>
      <c r="AD227" s="16"/>
      <c r="AE227" s="16"/>
      <c r="AF227" s="16"/>
      <c r="AG227" s="16"/>
      <c r="AH227" s="16"/>
      <c r="AI227" s="16"/>
      <c r="AJ227" s="16"/>
      <c r="AK227" s="16"/>
    </row>
    <row r="228" ht="13.5" customHeight="1" spans="1:37" x14ac:dyDescent="0.25">
      <c r="A228" s="264"/>
      <c r="B228" s="386"/>
      <c r="C228" s="387" t="s">
        <v>393</v>
      </c>
      <c r="D228" s="100"/>
      <c r="E228" s="100"/>
      <c r="F228" s="388"/>
      <c r="G228" s="388">
        <f t="shared" ref="G228:I228" si="353" ca="1">G226-G221</f>
        <v>-310</v>
      </c>
      <c r="H228" s="388">
        <f ca="1">H226-H221</f>
        <v>-621</v>
      </c>
      <c r="I228" s="388">
        <f ca="1">I226-I221</f>
        <v>-753</v>
      </c>
      <c r="J228" s="389"/>
      <c r="K228" s="388">
        <f t="shared" ref="K228:AG228" si="354" ca="1">K226-K221</f>
        <v>-1509</v>
      </c>
      <c r="L228" s="388">
        <f ca="1">L226-L221</f>
        <v>-980</v>
      </c>
      <c r="M228" s="388">
        <f ca="1">M226-M221</f>
        <v>-770</v>
      </c>
      <c r="N228" s="388">
        <f ca="1">N226-N221</f>
        <v>373</v>
      </c>
      <c r="O228" s="389">
        <f ca="1">O226-O221</f>
        <v>-2886</v>
      </c>
      <c r="P228" s="388">
        <f ca="1">P226-P221</f>
        <v>-1407</v>
      </c>
      <c r="Q228" s="388">
        <f ca="1">Q226-Q221</f>
        <v>-1013</v>
      </c>
      <c r="R228" s="388">
        <f ca="1">R226-R221</f>
        <v>-1902</v>
      </c>
      <c r="S228" s="388">
        <f ca="1">S226-S221</f>
        <v>-1602</v>
      </c>
      <c r="T228" s="389">
        <f ca="1">T226-T221</f>
        <v>-5924</v>
      </c>
      <c r="U228" s="388">
        <f ca="1">U226-U221</f>
        <v>-2388</v>
      </c>
      <c r="V228" s="388">
        <f ca="1">V226-V221</f>
        <v>270</v>
      </c>
      <c r="W228" s="388">
        <f ca="1">W226-W221</f>
        <v>-23</v>
      </c>
      <c r="X228" s="390">
        <f ca="1">X226-X221</f>
        <v>-112.52000000000044</v>
      </c>
      <c r="Y228" s="389">
        <f ca="1">Y226-Y221</f>
        <v>-233.52000000000044</v>
      </c>
      <c r="Z228" s="390">
        <f ca="1">Z226-Z221</f>
        <v>-114.77040000000034</v>
      </c>
      <c r="AA228" s="390">
        <f ca="1">AA226-AA221</f>
        <v>-117.06580800000029</v>
      </c>
      <c r="AB228" s="390">
        <f ca="1">AB226-AB221</f>
        <v>-119.40712416000042</v>
      </c>
      <c r="AC228" s="390">
        <f ca="1">AC226-AC221</f>
        <v>-121.7952666432002</v>
      </c>
      <c r="AD228" s="389">
        <f ca="1">AD226-AD221</f>
        <v>-473.03859880320124</v>
      </c>
      <c r="AE228" s="389">
        <f ca="1">AE226-AE221</f>
        <v>-124.2311719760637</v>
      </c>
      <c r="AF228" s="389">
        <f ca="1">AF226-AF221</f>
        <v>-126.71579541558549</v>
      </c>
      <c r="AG228" s="407">
        <f ca="1">AG226-AG221</f>
        <v>-129.25011132389682</v>
      </c>
      <c r="AH228" s="16"/>
      <c r="AI228" s="16"/>
      <c r="AJ228" s="16"/>
      <c r="AK228" s="16"/>
    </row>
    <row r="229" ht="13.5" customHeight="1" spans="1:37" x14ac:dyDescent="0.25">
      <c r="A229" s="264"/>
      <c r="B229" s="16"/>
      <c r="C229" s="16"/>
      <c r="D229" s="16"/>
      <c r="E229" s="16"/>
      <c r="F229" s="315"/>
      <c r="G229" s="315"/>
      <c r="H229" s="315"/>
      <c r="I229" s="315"/>
      <c r="J229" s="16"/>
      <c r="K229" s="315"/>
      <c r="L229" s="315"/>
      <c r="M229" s="315"/>
      <c r="N229" s="315"/>
      <c r="O229" s="16"/>
      <c r="P229" s="315"/>
      <c r="Q229" s="315"/>
      <c r="R229" s="315"/>
      <c r="S229" s="315"/>
      <c r="T229" s="16"/>
      <c r="U229" s="315"/>
      <c r="V229" s="315"/>
      <c r="W229" s="315"/>
      <c r="X229" s="316"/>
      <c r="Y229" s="16"/>
      <c r="Z229" s="316"/>
      <c r="AA229" s="316"/>
      <c r="AB229" s="316"/>
      <c r="AC229" s="316"/>
      <c r="AD229" s="16"/>
      <c r="AE229" s="16"/>
      <c r="AF229" s="16"/>
      <c r="AG229" s="16"/>
      <c r="AH229" s="16"/>
      <c r="AI229" s="16"/>
      <c r="AJ229" s="16"/>
      <c r="AK229" s="16"/>
    </row>
    <row r="230" ht="13.5" customHeight="1" spans="1:37" x14ac:dyDescent="0.25">
      <c r="A230" s="264" t="s">
        <v>1</v>
      </c>
      <c r="B230" s="16"/>
      <c r="C230" s="43" t="s">
        <v>46</v>
      </c>
      <c r="D230" s="44"/>
      <c r="E230" s="44"/>
      <c r="F230" s="44"/>
      <c r="G230" s="44"/>
      <c r="H230" s="44"/>
      <c r="I230" s="44"/>
      <c r="J230" s="44"/>
      <c r="K230" s="44"/>
      <c r="L230" s="44"/>
      <c r="M230" s="44"/>
      <c r="N230" s="44"/>
      <c r="O230" s="44"/>
      <c r="P230" s="44"/>
      <c r="Q230" s="44"/>
      <c r="R230" s="44"/>
      <c r="S230" s="44"/>
      <c r="T230" s="44"/>
      <c r="U230" s="44"/>
      <c r="V230" s="44"/>
      <c r="W230" s="44"/>
      <c r="X230" s="44"/>
      <c r="Y230" s="44"/>
      <c r="Z230" s="44"/>
      <c r="AA230" s="44"/>
      <c r="AB230" s="44"/>
      <c r="AC230" s="44"/>
      <c r="AD230" s="44"/>
      <c r="AE230" s="44"/>
      <c r="AF230" s="44"/>
      <c r="AG230" s="396"/>
      <c r="AH230" s="264" t="s">
        <v>1</v>
      </c>
      <c r="AI230" s="16"/>
      <c r="AJ230" s="16"/>
      <c r="AK230" s="16"/>
    </row>
    <row r="231" ht="13.5" customHeight="1" spans="1:37" x14ac:dyDescent="0.25">
      <c r="A231" s="264"/>
      <c r="B231" s="16"/>
      <c r="C231" s="16"/>
      <c r="D231" s="16"/>
      <c r="E231" s="16"/>
      <c r="F231" s="315"/>
      <c r="G231" s="315"/>
      <c r="H231" s="315"/>
      <c r="I231" s="315"/>
      <c r="J231" s="16"/>
      <c r="K231" s="315"/>
      <c r="L231" s="315"/>
      <c r="M231" s="315"/>
      <c r="N231" s="315"/>
      <c r="O231" s="16"/>
      <c r="P231" s="315"/>
      <c r="Q231" s="315"/>
      <c r="R231" s="315"/>
      <c r="S231" s="315"/>
      <c r="T231" s="16"/>
      <c r="U231" s="315"/>
      <c r="V231" s="315"/>
      <c r="W231" s="315"/>
      <c r="X231" s="316"/>
      <c r="Y231" s="16"/>
      <c r="Z231" s="316"/>
      <c r="AA231" s="316"/>
      <c r="AB231" s="316"/>
      <c r="AC231" s="316"/>
      <c r="AD231" s="16"/>
      <c r="AE231" s="16"/>
      <c r="AF231" s="16"/>
      <c r="AG231" s="16"/>
      <c r="AH231" s="16"/>
      <c r="AI231" s="16"/>
      <c r="AJ231" s="16"/>
      <c r="AK231" s="16"/>
    </row>
    <row r="232" ht="13.5" customHeight="1" spans="1:37" x14ac:dyDescent="0.25">
      <c r="A232" s="264"/>
      <c r="B232" s="16"/>
      <c r="C232" s="16" t="s">
        <v>394</v>
      </c>
      <c r="D232" s="16"/>
      <c r="E232" s="16"/>
      <c r="F232" s="410"/>
      <c r="G232" s="397">
        <f t="shared" ref="G232:I232" si="355" ca="1">G219/F219-1</f>
        <v>0.0442636289666396</v>
      </c>
      <c r="H232" s="397">
        <f ca="1">H219/G219-1</f>
        <v>0.13277232351566148</v>
      </c>
      <c r="I232" s="397">
        <f ca="1">I219/H219-1</f>
        <v>0.13550694731049662</v>
      </c>
      <c r="J232" s="398"/>
      <c r="K232" s="397">
        <f ca="1">K219/I219-1</f>
        <v>0.19529924884904282</v>
      </c>
      <c r="L232" s="397">
        <f t="shared" ref="L232:N232" si="356" ca="1">L219/K219-1</f>
        <v>0.1285221974457733</v>
      </c>
      <c r="M232" s="397">
        <f ca="1">M219/L219-1</f>
        <v>0.07463624932638768</v>
      </c>
      <c r="N232" s="397">
        <f ca="1">N219/M219-1</f>
        <v>-0.0031759297952360654</v>
      </c>
      <c r="O232" s="398">
        <f ca="1">O219/J219-1</f>
        <v>0.44499636539859466</v>
      </c>
      <c r="P232" s="397">
        <f ca="1">P219/N219-1</f>
        <v>0.16525530309382064</v>
      </c>
      <c r="Q232" s="397">
        <f t="shared" ref="Q232:S232" si="357" ca="1">Q219/P219-1</f>
        <v>0.08900561231831916</v>
      </c>
      <c r="R232" s="397">
        <f ca="1">R219/Q219-1</f>
        <v>0.15414601916088544</v>
      </c>
      <c r="S232" s="397">
        <f ca="1">S219/R219-1</f>
        <v>0.09898099381726588</v>
      </c>
      <c r="T232" s="398">
        <f ca="1">T219/O219-1</f>
        <v>0.6095413767083089</v>
      </c>
      <c r="U232" s="397">
        <f ca="1">U219/S219-1</f>
        <v>0.14163671406990685</v>
      </c>
      <c r="V232" s="397">
        <f t="shared" ref="V232:W232" si="358" ca="1">V219/U219-1</f>
        <v>0.04352984121190007</v>
      </c>
      <c r="W232" s="397">
        <f ca="1">W219/V219-1</f>
        <v>0.06351606805293009</v>
      </c>
      <c r="X232" s="422">
        <f ca="1">Drivers!X128</f>
        <v>0.02</v>
      </c>
      <c r="Y232" s="398">
        <f ca="1">Y219/T219-1</f>
        <v>4.165184518451846</v>
      </c>
      <c r="Z232" s="422">
        <f ca="1">Drivers!Z128</f>
        <v>0.02</v>
      </c>
      <c r="AA232" s="422">
        <f ca="1">Drivers!AA128</f>
        <v>0.02</v>
      </c>
      <c r="AB232" s="422">
        <f ca="1">Drivers!AB128</f>
        <v>0.02</v>
      </c>
      <c r="AC232" s="422">
        <f ca="1">Drivers!AC128</f>
        <v>0.02</v>
      </c>
      <c r="AD232" s="398">
        <f ca="1">AD219/Y219-1</f>
        <v>0.0824321600000002</v>
      </c>
      <c r="AE232" s="423">
        <f ca="1">Drivers!AE128</f>
        <v>0.02</v>
      </c>
      <c r="AF232" s="423">
        <f ca="1">Drivers!AF128</f>
        <v>0.02</v>
      </c>
      <c r="AG232" s="423">
        <f ca="1">Drivers!AG128</f>
        <v>0.02</v>
      </c>
      <c r="AH232" s="16"/>
      <c r="AI232" s="16"/>
      <c r="AJ232" s="16"/>
      <c r="AK232" s="16"/>
    </row>
    <row r="233" ht="13.5" customHeight="1" spans="1:37" x14ac:dyDescent="0.25">
      <c r="A233" s="264"/>
      <c r="B233" s="16"/>
      <c r="C233" s="16"/>
      <c r="D233" s="16"/>
      <c r="E233" s="16"/>
      <c r="F233" s="315"/>
      <c r="G233" s="315"/>
      <c r="H233" s="315"/>
      <c r="I233" s="315"/>
      <c r="J233" s="16"/>
      <c r="K233" s="315"/>
      <c r="L233" s="315"/>
      <c r="M233" s="315"/>
      <c r="N233" s="315"/>
      <c r="O233" s="16"/>
      <c r="P233" s="315"/>
      <c r="Q233" s="315"/>
      <c r="R233" s="315"/>
      <c r="S233" s="315"/>
      <c r="T233" s="16"/>
      <c r="U233" s="315"/>
      <c r="V233" s="315"/>
      <c r="W233" s="315"/>
      <c r="X233" s="316"/>
      <c r="Y233" s="16"/>
      <c r="Z233" s="316"/>
      <c r="AA233" s="316"/>
      <c r="AB233" s="316"/>
      <c r="AC233" s="316"/>
      <c r="AD233" s="16"/>
      <c r="AE233" s="16"/>
      <c r="AF233" s="16"/>
      <c r="AG233" s="16"/>
      <c r="AH233" s="16"/>
      <c r="AI233" s="16"/>
      <c r="AJ233" s="16"/>
      <c r="AK233" s="16"/>
    </row>
    <row r="234" ht="13.5" customHeight="1" spans="1:37" x14ac:dyDescent="0.25">
      <c r="A234" s="264" t="s">
        <v>1</v>
      </c>
      <c r="B234" s="47"/>
      <c r="C234" s="62" t="s">
        <v>395</v>
      </c>
      <c r="D234" s="19"/>
      <c r="E234" s="19"/>
      <c r="F234" s="313">
        <f ca="1">F$25</f>
        <v>1e-12</v>
      </c>
      <c r="G234" s="63">
        <f t="shared" ref="G234:AG234" si="359" ca="1">G$63</f>
        <v>1e-12</v>
      </c>
      <c r="H234" s="63">
        <f ca="1">H$63</f>
        <v>1e-12</v>
      </c>
      <c r="I234" s="63">
        <f ca="1">I$63</f>
        <v>1e-12</v>
      </c>
      <c r="J234" s="63">
        <f ca="1">J$63</f>
        <v>2023</v>
      </c>
      <c r="K234" s="63">
        <f ca="1">K$63</f>
        <v>1e-12</v>
      </c>
      <c r="L234" s="63">
        <f ca="1">L$63</f>
        <v>1e-12</v>
      </c>
      <c r="M234" s="63">
        <f ca="1">M$63</f>
        <v>1e-12</v>
      </c>
      <c r="N234" s="63">
        <f ca="1">N$63</f>
        <v>1e-12</v>
      </c>
      <c r="O234" s="63">
        <f ca="1">O$63</f>
        <v>2024</v>
      </c>
      <c r="P234" s="63">
        <f ca="1">P$63</f>
        <v>1e-12</v>
      </c>
      <c r="Q234" s="63">
        <f ca="1">Q$63</f>
        <v>1e-12</v>
      </c>
      <c r="R234" s="63">
        <f ca="1">R$63</f>
        <v>1e-12</v>
      </c>
      <c r="S234" s="63">
        <f ca="1">S$63</f>
        <v>1e-12</v>
      </c>
      <c r="T234" s="63">
        <f ca="1">T$63</f>
        <v>2025</v>
      </c>
      <c r="U234" s="63">
        <f ca="1">U$63</f>
        <v>1e-12</v>
      </c>
      <c r="V234" s="63">
        <f ca="1">V$63</f>
        <v>1e-12</v>
      </c>
      <c r="W234" s="63" t="str">
        <f ca="1">W$63</f>
        <v>3Q26e</v>
      </c>
      <c r="X234" s="63" t="str">
        <f ca="1">X$63</f>
        <v>4Q26e</v>
      </c>
      <c r="Y234" s="63" t="str">
        <f ca="1">Y$63</f>
        <v>2026e</v>
      </c>
      <c r="Z234" s="63" t="str">
        <f ca="1">Z$63</f>
        <v>1Q27e</v>
      </c>
      <c r="AA234" s="63" t="str">
        <f ca="1">AA$63</f>
        <v>2Q27e</v>
      </c>
      <c r="AB234" s="63" t="str">
        <f ca="1">AB$63</f>
        <v>3Q27e</v>
      </c>
      <c r="AC234" s="63" t="str">
        <f ca="1">AC$63</f>
        <v>4Q27e</v>
      </c>
      <c r="AD234" s="63" t="str">
        <f ca="1">AD$63</f>
        <v>2027e</v>
      </c>
      <c r="AE234" s="63" t="str">
        <f ca="1">AE$63</f>
        <v>2028e</v>
      </c>
      <c r="AF234" s="63" t="str">
        <f ca="1">AF$63</f>
        <v>2029e</v>
      </c>
      <c r="AG234" s="64" t="str">
        <f ca="1">AG$63</f>
        <v>2030e</v>
      </c>
      <c r="AH234" s="264" t="s">
        <v>1</v>
      </c>
      <c r="AI234" s="16"/>
      <c r="AJ234" s="16"/>
      <c r="AK234" s="16"/>
    </row>
    <row r="235" ht="13.5" customHeight="1" spans="1:37" x14ac:dyDescent="0.25">
      <c r="A235" s="264"/>
      <c r="B235" s="16"/>
      <c r="C235" s="16"/>
      <c r="D235" s="16"/>
      <c r="E235" s="16"/>
      <c r="F235" s="315"/>
      <c r="G235" s="315"/>
      <c r="H235" s="315"/>
      <c r="I235" s="315"/>
      <c r="J235" s="16"/>
      <c r="K235" s="315"/>
      <c r="L235" s="315"/>
      <c r="M235" s="315"/>
      <c r="N235" s="315"/>
      <c r="O235" s="16"/>
      <c r="P235" s="315"/>
      <c r="Q235" s="315"/>
      <c r="R235" s="315"/>
      <c r="S235" s="315"/>
      <c r="T235" s="16"/>
      <c r="U235" s="315"/>
      <c r="V235" s="315"/>
      <c r="W235" s="315"/>
      <c r="X235" s="316"/>
      <c r="Y235" s="16"/>
      <c r="Z235" s="316"/>
      <c r="AA235" s="316"/>
      <c r="AB235" s="316"/>
      <c r="AC235" s="316"/>
      <c r="AD235" s="16"/>
      <c r="AE235" s="16"/>
      <c r="AF235" s="16"/>
      <c r="AG235" s="16"/>
      <c r="AH235" s="16"/>
      <c r="AI235" s="16"/>
      <c r="AJ235" s="16"/>
      <c r="AK235" s="16"/>
    </row>
    <row r="236" ht="13.5" customHeight="1" spans="1:37" x14ac:dyDescent="0.25">
      <c r="A236" s="264"/>
      <c r="B236" s="16"/>
      <c r="C236" s="16" t="s">
        <v>396</v>
      </c>
      <c r="D236" s="16"/>
      <c r="E236" s="16"/>
      <c r="F236" s="315"/>
      <c r="G236" s="315"/>
      <c r="H236" s="315"/>
      <c r="I236" s="315"/>
      <c r="J236" s="16"/>
      <c r="K236" s="315"/>
      <c r="L236" s="315"/>
      <c r="M236" s="315"/>
      <c r="N236" s="315"/>
      <c r="O236" s="16"/>
      <c r="P236" s="315"/>
      <c r="Q236" s="315"/>
      <c r="R236" s="315"/>
      <c r="S236" s="315"/>
      <c r="T236" s="16"/>
      <c r="U236" s="315"/>
      <c r="V236" s="315"/>
      <c r="W236" s="315"/>
      <c r="X236" s="316"/>
      <c r="Y236" s="16"/>
      <c r="Z236" s="316"/>
      <c r="AA236" s="316"/>
      <c r="AB236" s="316"/>
      <c r="AC236" s="316"/>
      <c r="AD236" s="16"/>
      <c r="AE236" s="16"/>
      <c r="AF236" s="16"/>
      <c r="AG236" s="16"/>
      <c r="AH236" s="16"/>
      <c r="AI236" s="16"/>
      <c r="AJ236" s="16"/>
      <c r="AK236" s="16"/>
    </row>
    <row r="237" ht="13.5" customHeight="1" spans="1:37" x14ac:dyDescent="0.25">
      <c r="A237" s="264"/>
      <c r="B237" s="16"/>
      <c r="C237" s="139" t="s">
        <v>397</v>
      </c>
      <c r="D237" s="16"/>
      <c r="E237" s="16"/>
      <c r="F237" s="370">
        <f t="shared" ref="F237:AG237" si="360" ca="1">F53</f>
        <v>1.9612121212121212</v>
      </c>
      <c r="G237" s="370">
        <f ca="1">G53</f>
        <v>0.8068880688806888</v>
      </c>
      <c r="H237" s="370">
        <f ca="1">H53</f>
        <v>0.8436724565756824</v>
      </c>
      <c r="I237" s="370">
        <f ca="1">I53</f>
        <v>1.7652933832709115</v>
      </c>
      <c r="J237" s="127">
        <f ca="1">J53</f>
        <v>5.453183520599251</v>
      </c>
      <c r="K237" s="370">
        <f ca="1">K53</f>
        <v>2.4763636363636365</v>
      </c>
      <c r="L237" s="370">
        <f ca="1">L53</f>
        <v>7.6113161131611315</v>
      </c>
      <c r="M237" s="370">
        <f ca="1">M53</f>
        <v>11.46774193548387</v>
      </c>
      <c r="N237" s="370">
        <f ca="1">N53</f>
        <v>15.337078651685394</v>
      </c>
      <c r="O237" s="127">
        <f ca="1">O53</f>
        <v>37.153558052434455</v>
      </c>
      <c r="P237" s="370">
        <f ca="1">P53</f>
        <v>19.709933774834436</v>
      </c>
      <c r="Q237" s="370">
        <f ca="1">Q53</f>
        <v>22.07313829787234</v>
      </c>
      <c r="R237" s="370">
        <f ca="1">R53</f>
        <v>25.67686170212766</v>
      </c>
      <c r="S237" s="370">
        <f ca="1">S53</f>
        <v>29.53342245989305</v>
      </c>
      <c r="T237" s="127">
        <f ca="1">T53</f>
        <v>97.43315508021391</v>
      </c>
      <c r="U237" s="370">
        <f ca="1">U53</f>
        <v>26.149025069637883</v>
      </c>
      <c r="V237" s="370">
        <f ca="1">V53</f>
        <v>37.47801418439716</v>
      </c>
      <c r="W237" s="370">
        <f ca="1">W53</f>
        <v>2.747826086956522</v>
      </c>
      <c r="X237" s="371">
        <f ca="1">X53</f>
        <v>-2.834320072259252</v>
      </c>
      <c r="Y237" s="127">
        <f ca="1">Y53</f>
        <v>64.8839834948537</v>
      </c>
      <c r="Z237" s="371">
        <f ca="1">Z53</f>
        <v>-3.093386346862524</v>
      </c>
      <c r="AA237" s="371">
        <f ca="1">AA53</f>
        <v>-3.3090137445965406</v>
      </c>
      <c r="AB237" s="371">
        <f ca="1">AB53</f>
        <v>-3.6323762080937154</v>
      </c>
      <c r="AC237" s="371">
        <f ca="1">AC53</f>
        <v>-3.1116859006038955</v>
      </c>
      <c r="AD237" s="127">
        <f ca="1">AD53</f>
        <v>-13.1458544711998</v>
      </c>
      <c r="AE237" s="127">
        <f ca="1">AE53</f>
        <v>-12.763523931847292</v>
      </c>
      <c r="AF237" s="127">
        <f ca="1">AF53</f>
        <v>-13.292895685567792</v>
      </c>
      <c r="AG237" s="127">
        <f ca="1">AG53</f>
        <v>-13.742277461785152</v>
      </c>
      <c r="AH237" s="16"/>
      <c r="AI237" s="16"/>
      <c r="AJ237" s="16"/>
      <c r="AK237" s="16"/>
    </row>
    <row r="238" ht="13.5" customHeight="1" spans="1:37" x14ac:dyDescent="0.25">
      <c r="A238" s="264"/>
      <c r="B238" s="16"/>
      <c r="C238" s="139" t="s">
        <v>398</v>
      </c>
      <c r="D238" s="16"/>
      <c r="E238" s="16"/>
      <c r="F238" s="428">
        <f ca="1">F239/SUM(F237,B238:D238)</f>
        <v>43.8402348578492</v>
      </c>
      <c r="G238" s="428">
        <f ca="1">G239/SUM(F237:G237,C237:D237)</f>
        <v>33.16353950213128</v>
      </c>
      <c r="H238" s="428">
        <f ca="1">H239/SUM(F237:H237,D237)</f>
        <v>26.488378245027754</v>
      </c>
      <c r="I238" s="429">
        <f ca="1">I239/SUM(F237:I237)</f>
        <v>20.693441252246252</v>
      </c>
      <c r="J238" s="430">
        <f ca="1">J239/J237</f>
        <v>17.239563366087825</v>
      </c>
      <c r="K238" s="429">
        <f ca="1">K239/SUM(K237,G237:I237)</f>
        <v>17.370370190298313</v>
      </c>
      <c r="L238" s="429">
        <f ca="1">L239/SUM(K237:L237,H237:I237)</f>
        <v>8.080086923579275</v>
      </c>
      <c r="M238" s="429">
        <f ca="1">M239/SUM(K237:M237,I237)</f>
        <v>4.648656770711868</v>
      </c>
      <c r="N238" s="429">
        <f ca="1">N239/SUM(K237:N237)</f>
        <v>2.8561360449510342</v>
      </c>
      <c r="O238" s="430">
        <f ca="1">O239/O237</f>
        <v>2.8020231748067035</v>
      </c>
      <c r="P238" s="429">
        <f ca="1">P239/SUM(P237,L237:N237)</f>
        <v>1.8249985475173955</v>
      </c>
      <c r="Q238" s="429">
        <f ca="1">Q239/SUM(P237:Q237,M237:N237)</f>
        <v>1.440195873779723</v>
      </c>
      <c r="R238" s="429">
        <f ca="1">R239/SUM(P237:R237,N237)</f>
        <v>2.0440569646262765</v>
      </c>
      <c r="S238" s="429">
        <f ca="1">S239/SUM(P237:S237)</f>
        <v>2.1601341618088847</v>
      </c>
      <c r="T238" s="430">
        <f ca="1">T239/T237</f>
        <v>1.7275508827347463</v>
      </c>
      <c r="U238" s="429">
        <f ca="1">U239/SUM(U237,Q237:S237)</f>
        <v>1.7615361944130754</v>
      </c>
      <c r="V238" s="429">
        <f ca="1">V239/SUM(U237:V237,R237:S237)</f>
        <v>1.6065378708714706</v>
      </c>
      <c r="W238" s="429">
        <f ca="1">W239/SUM(U237:W237,S237)</f>
        <v>17.837991361091575</v>
      </c>
      <c r="X238" s="431">
        <f ca="1">X239/SUM(U237:X237)</f>
        <v>3.669782797956971</v>
      </c>
      <c r="Y238" s="430">
        <f ca="1">Y239/Y237</f>
        <v>2.9917976031835103</v>
      </c>
      <c r="Z238" s="431">
        <f ca="1">Z239/SUM(Z237,V237:X237)</f>
        <v>6.798620618970677</v>
      </c>
      <c r="AA238" s="431">
        <f ca="1">AA239/SUM(Z237:AA237,W237:X237)</f>
        <v>-35.93524524233962</v>
      </c>
      <c r="AB238" s="431">
        <f ca="1">AB239/SUM(Z237:AB237,X237)</f>
        <v>-18.119376315399148</v>
      </c>
      <c r="AC238" s="431">
        <f ca="1">AC239/SUM(Z237:AC237)</f>
        <v>-17.737091275949588</v>
      </c>
      <c r="AD238" s="430">
        <f ca="1">AD239/AD237</f>
        <v>-17.73791125642349</v>
      </c>
      <c r="AE238" s="430">
        <f ca="1">AE239/AE237</f>
        <v>-18.269249248491153</v>
      </c>
      <c r="AF238" s="430">
        <f ca="1">AF239/AF237</f>
        <v>-17.54170088411703</v>
      </c>
      <c r="AG238" s="430">
        <f ca="1">AG239/AG237</f>
        <v>-16.968075389864048</v>
      </c>
      <c r="AH238" s="16"/>
      <c r="AI238" s="16"/>
      <c r="AJ238" s="16"/>
      <c r="AK238" s="16"/>
    </row>
    <row r="239" ht="13.5" customHeight="1" spans="1:37" x14ac:dyDescent="0.25">
      <c r="A239" s="264"/>
      <c r="B239" s="16"/>
      <c r="C239" s="139" t="s">
        <v>399</v>
      </c>
      <c r="D239" s="16"/>
      <c r="E239" s="16"/>
      <c r="F239" s="432">
        <v>85.98</v>
      </c>
      <c r="G239" s="432">
        <v>91.8</v>
      </c>
      <c r="H239" s="432">
        <v>95.67</v>
      </c>
      <c r="I239" s="432">
        <v>111.27000000000004</v>
      </c>
      <c r="J239" s="127">
        <f ca="1">F239*(F240/(SUM(F240:I240)))+G239*(G240/(SUM(F240:I240)))+H239*(H240/(SUM(F240:I240)))+I239*(I240/(SUM(F240:I240)))</f>
        <v>94.01050285027668</v>
      </c>
      <c r="K239" s="432">
        <v>102.35</v>
      </c>
      <c r="L239" s="432">
        <v>102.59</v>
      </c>
      <c r="M239" s="432">
        <v>108.41</v>
      </c>
      <c r="N239" s="433">
        <v>105.37</v>
      </c>
      <c r="O239" s="127">
        <f ca="1">K239*(K240/(SUM(K240:N240)))+L239*(L240/(SUM(K240:N240)))+M239*(M240/(SUM(K240:N240)))+N239*(N240/(SUM(K240:N240)))</f>
        <v>104.10513068944756</v>
      </c>
      <c r="P239" s="432">
        <v>98.78</v>
      </c>
      <c r="Q239" s="432">
        <v>98.78</v>
      </c>
      <c r="R239" s="433">
        <v>169.24180990067623</v>
      </c>
      <c r="S239" s="432">
        <v>209.51866227113362</v>
      </c>
      <c r="T239" s="127">
        <f ca="1">P239*(P240/(SUM(P240:S240)))+Q239*(Q240/(SUM(P240:S240)))+R239*(R240/(SUM(P240:S240)))+S239*(S240/(SUM(P240:S240)))</f>
        <v>168.32073306645498</v>
      </c>
      <c r="U239" s="432">
        <v>182.2</v>
      </c>
      <c r="V239" s="432">
        <f ca="1">V241/V240</f>
        <v>190.91666054089455</v>
      </c>
      <c r="W239" s="433">
        <f ca="1">193.16*3-SUM(U239:V239)</f>
        <v>206.36333945910548</v>
      </c>
      <c r="X239" s="434">
        <f ca="1">Share_Price</f>
        <v>233.18</v>
      </c>
      <c r="Y239" s="127">
        <f ca="1">U239*(U240/(SUM(U240:X240)))+V239*(V240/(SUM(U240:X240)))+W239*(W240/(SUM(U240:X240)))+X239*(X240/(SUM(U240:X240)))</f>
        <v>194.11974630490172</v>
      </c>
      <c r="Z239" s="435">
        <f ca="1">X239</f>
        <v>233.18</v>
      </c>
      <c r="AA239" s="435">
        <f t="shared" ref="AA239:AC239" si="361" ca="1">Z239</f>
        <v>233.18</v>
      </c>
      <c r="AB239" s="435">
        <f ca="1">AA239</f>
        <v>233.18</v>
      </c>
      <c r="AC239" s="435">
        <f ca="1">AB239</f>
        <v>233.18</v>
      </c>
      <c r="AD239" s="127">
        <f ca="1">AVERAGE(Z239:AC239)</f>
        <v>233.18</v>
      </c>
      <c r="AE239" s="436">
        <f ca="1">AC239</f>
        <v>233.18</v>
      </c>
      <c r="AF239" s="436">
        <f t="shared" ref="AF239:AG239" si="362" ca="1">AE239</f>
        <v>233.18</v>
      </c>
      <c r="AG239" s="436">
        <f ca="1">AF239</f>
        <v>233.18</v>
      </c>
      <c r="AH239" s="16"/>
      <c r="AI239" s="16"/>
      <c r="AJ239" s="16"/>
      <c r="AK239" s="16"/>
    </row>
    <row r="240" ht="13.5" customHeight="1" spans="1:37" x14ac:dyDescent="0.25">
      <c r="A240" s="264"/>
      <c r="B240" s="16"/>
      <c r="C240" s="139" t="s">
        <v>400</v>
      </c>
      <c r="D240" s="16"/>
      <c r="E240" s="16"/>
      <c r="F240" s="384">
        <f t="shared" ref="F240:I240" si="363" ca="1">F241/F239</f>
        <v>8.467085368690393</v>
      </c>
      <c r="G240" s="384">
        <f ca="1">G241/G239</f>
        <v>12.178649237472767</v>
      </c>
      <c r="H240" s="384">
        <f ca="1">H241/H239</f>
        <v>6.815093550747361</v>
      </c>
      <c r="I240" s="384">
        <f ca="1">I241/I239</f>
        <v>4.844072975644826</v>
      </c>
      <c r="J240" s="162">
        <f t="shared" ref="J240:J241" si="364" ca="1">SUM(F240:I240)</f>
        <v>32.304901132555344</v>
      </c>
      <c r="K240" s="384">
        <f t="shared" ref="K240:N240" si="365" ca="1">K241/K239</f>
        <v>8.070346849047388</v>
      </c>
      <c r="L240" s="384">
        <f ca="1">L241/L239</f>
        <v>18.949215323130908</v>
      </c>
      <c r="M240" s="384">
        <f ca="1">M241/M239</f>
        <v>8.108108108108109</v>
      </c>
      <c r="N240" s="437">
        <f ca="1">N241/N239</f>
        <v>6.301603872069848</v>
      </c>
      <c r="O240" s="162">
        <f t="shared" ref="O240:O241" si="366" ca="1">SUM(K240:N240)</f>
        <v>41.42927415235626</v>
      </c>
      <c r="P240" s="384">
        <f t="shared" ref="P240:S240" si="367" ca="1">P241/P239</f>
        <v>9.77930755213606</v>
      </c>
      <c r="Q240" s="384">
        <f ca="1">Q241/Q239</f>
        <v>1e-12</v>
      </c>
      <c r="R240" s="437">
        <f ca="1">R241/R239</f>
        <v>3.320692447863939</v>
      </c>
      <c r="S240" s="384">
        <f ca="1">S241/S239</f>
        <v>16.4329036978314</v>
      </c>
      <c r="T240" s="162">
        <f t="shared" ref="T240:T241" si="368" ca="1">SUM(P240:S240)</f>
        <v>29.5329036978314</v>
      </c>
      <c r="U240" s="384">
        <f ca="1">U241/U239</f>
        <v>16.67398463227223</v>
      </c>
      <c r="V240" s="384">
        <f ca="1">33.1-U240</f>
        <v>16.42601536772777</v>
      </c>
      <c r="W240" s="437">
        <f t="shared" ref="W240:X240" si="369" ca="1">W241/W239</f>
        <v>13.689447008390864</v>
      </c>
      <c r="X240" s="359">
        <f ca="1">X241/X239</f>
        <v>2.1442662320953767</v>
      </c>
      <c r="Y240" s="162">
        <f t="shared" ref="Y240:Y241" si="370" ca="1">SUM(U240:X240)</f>
        <v>48.93371324048624</v>
      </c>
      <c r="Z240" s="359">
        <f t="shared" ref="Z240:AC240" si="371" ca="1">Z241/Z239</f>
        <v>2.1442662320953767</v>
      </c>
      <c r="AA240" s="359">
        <f ca="1">AA241/AA239</f>
        <v>2.1442662320953767</v>
      </c>
      <c r="AB240" s="359">
        <f ca="1">AB241/AB239</f>
        <v>2.1442662320953767</v>
      </c>
      <c r="AC240" s="359">
        <f ca="1">AC241/AC239</f>
        <v>2.1442662320953767</v>
      </c>
      <c r="AD240" s="162">
        <f t="shared" ref="AD240:AD241" si="372" ca="1">SUM(Z240:AC240)</f>
        <v>8.577064928381507</v>
      </c>
      <c r="AE240" s="162">
        <f t="shared" ref="AE240:AG240" si="373" ca="1">AE241/AE239</f>
        <v>12.865597392572262</v>
      </c>
      <c r="AF240" s="162">
        <f ca="1">AF241/AF239</f>
        <v>12.865597392572262</v>
      </c>
      <c r="AG240" s="162">
        <f ca="1">AG241/AG239</f>
        <v>12.865597392572262</v>
      </c>
      <c r="AH240" s="16"/>
      <c r="AI240" s="16"/>
      <c r="AJ240" s="16"/>
      <c r="AK240" s="16"/>
    </row>
    <row r="241" ht="13.5" customHeight="1" spans="1:37" x14ac:dyDescent="0.25">
      <c r="A241" s="264"/>
      <c r="B241" s="16"/>
      <c r="C241" s="139" t="s">
        <v>401</v>
      </c>
      <c r="D241" s="16"/>
      <c r="E241" s="16"/>
      <c r="F241" s="358">
        <f ca="1">728</f>
        <v>728</v>
      </c>
      <c r="G241" s="358">
        <v>1118</v>
      </c>
      <c r="H241" s="358">
        <f ca="1">2498-SUM(F241:G241)</f>
        <v>652</v>
      </c>
      <c r="I241" s="358">
        <v>539</v>
      </c>
      <c r="J241" s="162">
        <f ca="1">SUM(F241:I241)</f>
        <v>3037</v>
      </c>
      <c r="K241" s="358">
        <v>826</v>
      </c>
      <c r="L241" s="358">
        <v>1944</v>
      </c>
      <c r="M241" s="358">
        <v>879</v>
      </c>
      <c r="N241" s="438">
        <v>664</v>
      </c>
      <c r="O241" s="162">
        <f ca="1">SUM(K241:N241)</f>
        <v>4313</v>
      </c>
      <c r="P241" s="358">
        <v>966</v>
      </c>
      <c r="Q241" s="358">
        <v>0</v>
      </c>
      <c r="R241" s="438">
        <v>562</v>
      </c>
      <c r="S241" s="358">
        <f ca="1">4971-SUM(P241:R241)</f>
        <v>3443</v>
      </c>
      <c r="T241" s="162">
        <f ca="1">SUM(P241:S241)</f>
        <v>4971</v>
      </c>
      <c r="U241" s="358">
        <v>3038</v>
      </c>
      <c r="V241" s="358">
        <f ca="1">6174-U241</f>
        <v>3136</v>
      </c>
      <c r="W241" s="438">
        <f ca="1">8999-SUM(U241:V241)</f>
        <v>2825</v>
      </c>
      <c r="X241" s="359">
        <f ca="1">X272</f>
        <v>500</v>
      </c>
      <c r="Y241" s="162">
        <f ca="1">SUM(U241:X241)</f>
        <v>9499</v>
      </c>
      <c r="Z241" s="359">
        <f t="shared" ref="Z241:AC241" si="374" ca="1">Z272</f>
        <v>500</v>
      </c>
      <c r="AA241" s="359">
        <f ca="1">AA272</f>
        <v>500</v>
      </c>
      <c r="AB241" s="359">
        <f ca="1">AB272</f>
        <v>500</v>
      </c>
      <c r="AC241" s="359">
        <f ca="1">AC272</f>
        <v>500</v>
      </c>
      <c r="AD241" s="162">
        <f ca="1">SUM(Z241:AC241)</f>
        <v>2000</v>
      </c>
      <c r="AE241" s="162">
        <f t="shared" ref="AE241:AG241" si="375" ca="1">AE272</f>
        <v>3000</v>
      </c>
      <c r="AF241" s="162">
        <f ca="1">AF272</f>
        <v>3000</v>
      </c>
      <c r="AG241" s="162">
        <f ca="1">AG272</f>
        <v>3000</v>
      </c>
      <c r="AH241" s="16"/>
      <c r="AI241" s="16"/>
      <c r="AJ241" s="16"/>
      <c r="AK241" s="16"/>
    </row>
    <row r="242" ht="13.5" customHeight="1" spans="1:37" x14ac:dyDescent="0.25">
      <c r="A242" s="264"/>
      <c r="B242" s="16"/>
      <c r="C242" s="16"/>
      <c r="D242" s="16"/>
      <c r="E242" s="16"/>
      <c r="F242" s="315"/>
      <c r="G242" s="315"/>
      <c r="H242" s="315"/>
      <c r="I242" s="439"/>
      <c r="J242" s="16"/>
      <c r="K242" s="315"/>
      <c r="L242" s="315"/>
      <c r="M242" s="315"/>
      <c r="N242" s="440"/>
      <c r="O242" s="16"/>
      <c r="P242" s="315"/>
      <c r="Q242" s="315"/>
      <c r="R242" s="441"/>
      <c r="S242" s="315"/>
      <c r="T242" s="16"/>
      <c r="U242" s="315"/>
      <c r="V242" s="315"/>
      <c r="W242" s="437"/>
      <c r="X242" s="316"/>
      <c r="Y242" s="16"/>
      <c r="Z242" s="316"/>
      <c r="AA242" s="316"/>
      <c r="AB242" s="316"/>
      <c r="AC242" s="316"/>
      <c r="AD242" s="16"/>
      <c r="AE242" s="16"/>
      <c r="AF242" s="16"/>
      <c r="AG242" s="16"/>
      <c r="AH242" s="16"/>
      <c r="AI242" s="16"/>
      <c r="AJ242" s="16"/>
      <c r="AK242" s="16"/>
    </row>
    <row r="243" ht="13.5" customHeight="1" spans="1:37" x14ac:dyDescent="0.25">
      <c r="A243" s="264"/>
      <c r="B243" s="16"/>
      <c r="C243" s="16" t="s">
        <v>402</v>
      </c>
      <c r="D243" s="16"/>
      <c r="E243" s="16"/>
      <c r="F243" s="315"/>
      <c r="G243" s="315"/>
      <c r="H243" s="315"/>
      <c r="I243" s="315"/>
      <c r="J243" s="16"/>
      <c r="K243" s="315"/>
      <c r="L243" s="315"/>
      <c r="M243" s="315"/>
      <c r="N243" s="441"/>
      <c r="O243" s="16"/>
      <c r="P243" s="315"/>
      <c r="Q243" s="315"/>
      <c r="R243" s="441"/>
      <c r="S243" s="442"/>
      <c r="T243" s="16"/>
      <c r="U243" s="315"/>
      <c r="V243" s="315"/>
      <c r="W243" s="440"/>
      <c r="X243" s="316"/>
      <c r="Y243" s="16"/>
      <c r="Z243" s="316"/>
      <c r="AA243" s="316"/>
      <c r="AB243" s="316"/>
      <c r="AC243" s="316"/>
      <c r="AD243" s="16"/>
      <c r="AE243" s="16"/>
      <c r="AF243" s="16"/>
      <c r="AG243" s="16"/>
      <c r="AH243" s="16"/>
      <c r="AI243" s="16"/>
      <c r="AJ243" s="16"/>
      <c r="AK243" s="16"/>
    </row>
    <row r="244" ht="13.5" customHeight="1" spans="1:37" x14ac:dyDescent="0.25">
      <c r="A244" s="264"/>
      <c r="B244" s="16"/>
      <c r="C244" s="139" t="s">
        <v>403</v>
      </c>
      <c r="D244" s="16"/>
      <c r="E244" s="16"/>
      <c r="F244" s="315"/>
      <c r="G244" s="315"/>
      <c r="H244" s="315"/>
      <c r="I244" s="315"/>
      <c r="J244" s="16"/>
      <c r="K244" s="315"/>
      <c r="L244" s="315"/>
      <c r="M244" s="315"/>
      <c r="N244" s="441"/>
      <c r="O244" s="16"/>
      <c r="P244" s="315"/>
      <c r="Q244" s="315"/>
      <c r="R244" s="441"/>
      <c r="S244" s="315"/>
      <c r="T244" s="16"/>
      <c r="U244" s="315"/>
      <c r="V244" s="315"/>
      <c r="W244" s="441"/>
      <c r="X244" s="281">
        <f ca="1">W247</f>
        <v>343</v>
      </c>
      <c r="Y244" s="282"/>
      <c r="Z244" s="281">
        <f t="shared" ref="Z244:AC244" si="376" ca="1">Y247</f>
        <v>394.3</v>
      </c>
      <c r="AA244" s="281">
        <f ca="1">Z247</f>
        <v>454.834</v>
      </c>
      <c r="AB244" s="281">
        <f ca="1">AA247</f>
        <v>523.84276</v>
      </c>
      <c r="AC244" s="281">
        <f ca="1">AB247</f>
        <v>584.5704688</v>
      </c>
      <c r="AD244" s="282">
        <f ca="1">Y247</f>
        <v>394.3</v>
      </c>
      <c r="AE244" s="282">
        <f t="shared" ref="AE244:AG244" si="377" ca="1">AD247</f>
        <v>642.26179216</v>
      </c>
      <c r="AF244" s="282">
        <f ca="1">AE247</f>
        <v>895.1828201632</v>
      </c>
      <c r="AG244" s="282">
        <f ca="1">AF247</f>
        <v>1153.162268726464</v>
      </c>
      <c r="AH244" s="16"/>
      <c r="AI244" s="16"/>
      <c r="AJ244" s="16"/>
      <c r="AK244" s="16"/>
    </row>
    <row r="245" ht="13.5" customHeight="1" spans="1:37" x14ac:dyDescent="0.25">
      <c r="A245" s="264"/>
      <c r="B245" s="16"/>
      <c r="C245" s="139" t="s">
        <v>404</v>
      </c>
      <c r="D245" s="16"/>
      <c r="E245" s="16"/>
      <c r="F245" s="413">
        <v>0</v>
      </c>
      <c r="G245" s="413">
        <v>0</v>
      </c>
      <c r="H245" s="413">
        <v>0</v>
      </c>
      <c r="I245" s="413">
        <v>0</v>
      </c>
      <c r="J245" s="329">
        <f t="shared" ref="J245:J246" si="378" ca="1">SUM(F245:I245)</f>
        <v>1e-12</v>
      </c>
      <c r="K245" s="413">
        <v>0</v>
      </c>
      <c r="L245" s="413">
        <v>0</v>
      </c>
      <c r="M245" s="413">
        <v>0</v>
      </c>
      <c r="N245" s="443">
        <v>0</v>
      </c>
      <c r="O245" s="329">
        <f t="shared" ref="O245:O246" si="379" ca="1">SUM(K245:N245)</f>
        <v>1e-12</v>
      </c>
      <c r="P245" s="413">
        <v>0</v>
      </c>
      <c r="Q245" s="413">
        <v>0</v>
      </c>
      <c r="R245" s="443">
        <v>0</v>
      </c>
      <c r="S245" s="413">
        <v>0</v>
      </c>
      <c r="T245" s="329">
        <f t="shared" ref="T245:T246" si="380" ca="1">SUM(P245:S245)</f>
        <v>1e-12</v>
      </c>
      <c r="U245" s="413">
        <v>0</v>
      </c>
      <c r="V245" s="413">
        <v>0</v>
      </c>
      <c r="W245" s="443">
        <v>0</v>
      </c>
      <c r="X245" s="330">
        <f ca="1">X271*X239</f>
        <v>1e-12</v>
      </c>
      <c r="Y245" s="329">
        <f t="shared" ref="Y245:Y246" si="381" ca="1">SUM(U245:X245)</f>
        <v>1e-12</v>
      </c>
      <c r="Z245" s="330">
        <f t="shared" ref="Z245:AC245" si="382" ca="1">Z271*Z239</f>
        <v>1e-12</v>
      </c>
      <c r="AA245" s="330">
        <f ca="1">AA271*AA239</f>
        <v>1e-12</v>
      </c>
      <c r="AB245" s="330">
        <f ca="1">AB271*AB239</f>
        <v>1e-12</v>
      </c>
      <c r="AC245" s="330">
        <f ca="1">AC271*AC239</f>
        <v>1e-12</v>
      </c>
      <c r="AD245" s="329">
        <f t="shared" ref="AD245:AD246" si="383" ca="1">SUM(Z245:AC245)</f>
        <v>1e-12</v>
      </c>
      <c r="AE245" s="329">
        <f t="shared" ref="AE245:AG245" si="384" ca="1">AE271*AE239</f>
        <v>1e-12</v>
      </c>
      <c r="AF245" s="329">
        <f ca="1">AF271*AF239</f>
        <v>1e-12</v>
      </c>
      <c r="AG245" s="329">
        <f ca="1">AG271*AG239</f>
        <v>1e-12</v>
      </c>
      <c r="AH245" s="16"/>
      <c r="AI245" s="16"/>
      <c r="AJ245" s="16"/>
      <c r="AK245" s="16"/>
    </row>
    <row r="246" ht="13.5" customHeight="1" spans="1:37" x14ac:dyDescent="0.25">
      <c r="A246" s="264"/>
      <c r="B246" s="16"/>
      <c r="C246" s="139" t="s">
        <v>405</v>
      </c>
      <c r="D246" s="16"/>
      <c r="E246" s="16"/>
      <c r="F246" s="354">
        <v>24</v>
      </c>
      <c r="G246" s="354">
        <f ca="1">62-F246</f>
        <v>38</v>
      </c>
      <c r="H246" s="354">
        <f ca="1">79-SUM(F246:G246)</f>
        <v>17</v>
      </c>
      <c r="I246" s="354">
        <v>-5</v>
      </c>
      <c r="J246" s="355">
        <f ca="1">SUM(F246:I246)</f>
        <v>74</v>
      </c>
      <c r="K246" s="354">
        <v>42</v>
      </c>
      <c r="L246" s="354">
        <f ca="1">51-K246</f>
        <v>9</v>
      </c>
      <c r="M246" s="354">
        <v>24</v>
      </c>
      <c r="N246" s="367">
        <f ca="1">98-SUM(K246:M246)</f>
        <v>23</v>
      </c>
      <c r="O246" s="355">
        <f ca="1">SUM(K246:N246)</f>
        <v>98</v>
      </c>
      <c r="P246" s="354">
        <v>27</v>
      </c>
      <c r="Q246" s="354">
        <v>37</v>
      </c>
      <c r="R246" s="367">
        <v>43</v>
      </c>
      <c r="S246" s="354">
        <f ca="1">98-SUM(P246:R246)</f>
        <v>-9</v>
      </c>
      <c r="T246" s="355">
        <f ca="1">SUM(P246:S246)</f>
        <v>98</v>
      </c>
      <c r="U246" s="354">
        <v>54</v>
      </c>
      <c r="V246" s="354">
        <f ca="1">115-U246</f>
        <v>61</v>
      </c>
      <c r="W246" s="367">
        <f ca="1">169-SUM(U246:V246)</f>
        <v>54</v>
      </c>
      <c r="X246" s="356">
        <f ca="1">X249*X28</f>
        <v>51.3</v>
      </c>
      <c r="Y246" s="355">
        <f ca="1">SUM(U246:X246)</f>
        <v>220.3</v>
      </c>
      <c r="Z246" s="356">
        <f t="shared" ref="Z246:AC246" si="385" ca="1">Z249*Z28</f>
        <v>60.534</v>
      </c>
      <c r="AA246" s="356">
        <f ca="1">AA249*AA28</f>
        <v>69.00876</v>
      </c>
      <c r="AB246" s="356">
        <f ca="1">AB249*AB28</f>
        <v>60.7277088</v>
      </c>
      <c r="AC246" s="356">
        <f ca="1">AC249*AC28</f>
        <v>57.69132336</v>
      </c>
      <c r="AD246" s="355">
        <f ca="1">SUM(Z246:AC246)</f>
        <v>247.96179216000002</v>
      </c>
      <c r="AE246" s="355">
        <f t="shared" ref="AE246:AG246" si="386" ca="1">AE249*AE28</f>
        <v>252.92102800319995</v>
      </c>
      <c r="AF246" s="355">
        <f ca="1">AF249*AF28</f>
        <v>257.979448563264</v>
      </c>
      <c r="AG246" s="355">
        <f ca="1">AG249*AG28</f>
        <v>263.1390375345292</v>
      </c>
      <c r="AH246" s="16"/>
      <c r="AI246" s="16"/>
      <c r="AJ246" s="16"/>
      <c r="AK246" s="16"/>
    </row>
    <row r="247" ht="13.5" customHeight="1" spans="1:37" x14ac:dyDescent="0.25">
      <c r="A247" s="264"/>
      <c r="B247" s="16"/>
      <c r="C247" s="139" t="s">
        <v>406</v>
      </c>
      <c r="D247" s="16"/>
      <c r="E247" s="16"/>
      <c r="F247" s="353">
        <f t="shared" ref="F247:W247" si="387" ca="1">F147</f>
        <v>10626</v>
      </c>
      <c r="G247" s="353">
        <f ca="1">G147</f>
        <v>10970</v>
      </c>
      <c r="H247" s="353">
        <f ca="1">H147</f>
        <v>11567</v>
      </c>
      <c r="I247" s="353">
        <f ca="1">I147</f>
        <v>11973</v>
      </c>
      <c r="J247" s="282">
        <f ca="1">J147</f>
        <v>11973</v>
      </c>
      <c r="K247" s="353">
        <f ca="1">K147</f>
        <v>12455</v>
      </c>
      <c r="L247" s="353">
        <f ca="1">L147</f>
        <v>12631</v>
      </c>
      <c r="M247" s="353">
        <f ca="1">M147</f>
        <v>12993</v>
      </c>
      <c r="N247" s="444">
        <f ca="1">N147</f>
        <v>13134</v>
      </c>
      <c r="O247" s="282">
        <f ca="1">O147</f>
        <v>13134</v>
      </c>
      <c r="P247" s="353">
        <f ca="1">P147</f>
        <v>12653</v>
      </c>
      <c r="Q247" s="353">
        <f ca="1">Q147</f>
        <v>12140</v>
      </c>
      <c r="R247" s="444">
        <f ca="1">R147</f>
        <v>11846</v>
      </c>
      <c r="S247" s="353">
        <f ca="1">S147</f>
        <v>11261</v>
      </c>
      <c r="T247" s="282">
        <f ca="1">T147</f>
        <v>11261</v>
      </c>
      <c r="U247" s="353">
        <f ca="1">U147</f>
        <v>11499</v>
      </c>
      <c r="V247" s="353">
        <f ca="1">V147</f>
        <v>11224</v>
      </c>
      <c r="W247" s="444">
        <f ca="1">W147</f>
        <v>343</v>
      </c>
      <c r="X247" s="281">
        <f ca="1">SUM(X244:X246)</f>
        <v>394.3</v>
      </c>
      <c r="Y247" s="282">
        <f ca="1">X247</f>
        <v>394.3</v>
      </c>
      <c r="Z247" s="281">
        <f t="shared" ref="Z247:AG247" si="388" ca="1">SUM(Z244:Z246)</f>
        <v>454.834</v>
      </c>
      <c r="AA247" s="281">
        <f ca="1">SUM(AA244:AA246)</f>
        <v>523.84276</v>
      </c>
      <c r="AB247" s="281">
        <f ca="1">SUM(AB244:AB246)</f>
        <v>584.5704688</v>
      </c>
      <c r="AC247" s="281">
        <f ca="1">SUM(AC244:AC246)</f>
        <v>642.2617921599999</v>
      </c>
      <c r="AD247" s="282">
        <f ca="1">SUM(AD244:AD246)</f>
        <v>642.26179216</v>
      </c>
      <c r="AE247" s="282">
        <f ca="1">SUM(AE244:AE246)</f>
        <v>895.1828201632</v>
      </c>
      <c r="AF247" s="282">
        <f ca="1">SUM(AF244:AF246)</f>
        <v>1153.162268726464</v>
      </c>
      <c r="AG247" s="282">
        <f ca="1">SUM(AG244:AG246)</f>
        <v>1416.3013062609932</v>
      </c>
      <c r="AH247" s="16"/>
      <c r="AI247" s="16"/>
      <c r="AJ247" s="16"/>
      <c r="AK247" s="16"/>
    </row>
    <row r="248" ht="13.5" customHeight="1" spans="1:37" x14ac:dyDescent="0.25">
      <c r="A248" s="264"/>
      <c r="B248" s="16"/>
      <c r="C248" s="16"/>
      <c r="D248" s="16"/>
      <c r="E248" s="16"/>
      <c r="F248" s="315"/>
      <c r="G248" s="315"/>
      <c r="H248" s="315"/>
      <c r="I248" s="315"/>
      <c r="J248" s="16"/>
      <c r="K248" s="315"/>
      <c r="L248" s="315"/>
      <c r="M248" s="315"/>
      <c r="N248" s="441"/>
      <c r="O248" s="16"/>
      <c r="P248" s="315"/>
      <c r="Q248" s="315"/>
      <c r="R248" s="441"/>
      <c r="S248" s="315"/>
      <c r="T248" s="16"/>
      <c r="U248" s="315"/>
      <c r="V248" s="315"/>
      <c r="W248" s="441"/>
      <c r="X248" s="316"/>
      <c r="Y248" s="16"/>
      <c r="Z248" s="316"/>
      <c r="AA248" s="316"/>
      <c r="AB248" s="316"/>
      <c r="AC248" s="316"/>
      <c r="AD248" s="16"/>
      <c r="AE248" s="16"/>
      <c r="AF248" s="16"/>
      <c r="AG248" s="16"/>
      <c r="AH248" s="16"/>
      <c r="AI248" s="16"/>
      <c r="AJ248" s="16"/>
      <c r="AK248" s="16"/>
    </row>
    <row r="249" ht="13.5" customHeight="1" spans="1:37" x14ac:dyDescent="0.25">
      <c r="A249" s="264"/>
      <c r="B249" s="16"/>
      <c r="C249" s="120" t="s">
        <v>407</v>
      </c>
      <c r="D249" s="303"/>
      <c r="E249" s="303"/>
      <c r="F249" s="445">
        <f t="shared" ref="F249:W249" si="389" ca="1">F246/F28</f>
        <v>0.0028957528957528956</v>
      </c>
      <c r="G249" s="445">
        <f ca="1">G246/G28</f>
        <v>0.0056682577565632455</v>
      </c>
      <c r="H249" s="445">
        <f ca="1">H246/H28</f>
        <v>0.0028662957342775247</v>
      </c>
      <c r="I249" s="445">
        <f ca="1">I246/I28</f>
        <v>-0.0008263097008758883</v>
      </c>
      <c r="J249" s="446">
        <f ca="1">J246/J28</f>
        <v>0.002743382516497368</v>
      </c>
      <c r="K249" s="445">
        <f ca="1">K246/K28</f>
        <v>0.005839822024471635</v>
      </c>
      <c r="L249" s="445">
        <f ca="1">L246/L28</f>
        <v>0.0006663211668023987</v>
      </c>
      <c r="M249" s="445">
        <f ca="1">M246/M28</f>
        <v>0.0013245033112582781</v>
      </c>
      <c r="N249" s="447">
        <f ca="1">N246/N28</f>
        <v>0.001040582726326743</v>
      </c>
      <c r="O249" s="446">
        <f ca="1">O246/O28</f>
        <v>0.0016086142936870096</v>
      </c>
      <c r="P249" s="445">
        <f ca="1">P246/P28</f>
        <v>0.0010367071110428505</v>
      </c>
      <c r="Q249" s="445">
        <f ca="1">Q246/Q28</f>
        <v>0.0012316910785619174</v>
      </c>
      <c r="R249" s="447">
        <f ca="1">R246/R28</f>
        <v>0.0012256997890656178</v>
      </c>
      <c r="S249" s="445">
        <f ca="1">S246/S28</f>
        <v>-0.0002288271338130228</v>
      </c>
      <c r="T249" s="446">
        <f ca="1">T246/T28</f>
        <v>0.000750975118201951</v>
      </c>
      <c r="U249" s="445">
        <f ca="1">U246/U28</f>
        <v>0.0012255458217965594</v>
      </c>
      <c r="V249" s="445">
        <f ca="1">V246/V28</f>
        <v>0.0013050082365273945</v>
      </c>
      <c r="W249" s="447">
        <f ca="1">W246/W28</f>
        <v>0.0023562265468190942</v>
      </c>
      <c r="X249" s="448">
        <f ca="1">W249</f>
        <v>0.0023562265468190942</v>
      </c>
      <c r="Y249" s="446">
        <f ca="1">Y246/Y28</f>
        <v>0.0022786017266898423</v>
      </c>
      <c r="Z249" s="448">
        <f ca="1">X249</f>
        <v>0.0023562265468190942</v>
      </c>
      <c r="AA249" s="448">
        <f t="shared" ref="AA249:AC249" si="390" ca="1">Z249</f>
        <v>0.0023562265468190942</v>
      </c>
      <c r="AB249" s="448">
        <f ca="1">AA249</f>
        <v>0.0023562265468190942</v>
      </c>
      <c r="AC249" s="448">
        <f ca="1">AB249</f>
        <v>0.0023562265468190942</v>
      </c>
      <c r="AD249" s="446">
        <f ca="1">AD246/AD28</f>
        <v>0.0023562265468190947</v>
      </c>
      <c r="AE249" s="449">
        <f ca="1">AC249</f>
        <v>0.0023562265468190942</v>
      </c>
      <c r="AF249" s="449">
        <f t="shared" ref="AF249:AG249" si="391" ca="1">AE249</f>
        <v>0.0023562265468190942</v>
      </c>
      <c r="AG249" s="449">
        <f ca="1">AF249</f>
        <v>0.0023562265468190942</v>
      </c>
      <c r="AH249" s="16"/>
      <c r="AI249" s="16"/>
      <c r="AJ249" s="16"/>
      <c r="AK249" s="16"/>
    </row>
    <row r="250" ht="13.5" customHeight="1" spans="1:37" x14ac:dyDescent="0.25">
      <c r="A250" s="264"/>
      <c r="B250" s="16"/>
      <c r="C250" s="16"/>
      <c r="D250" s="16"/>
      <c r="E250" s="16"/>
      <c r="F250" s="315"/>
      <c r="G250" s="315"/>
      <c r="H250" s="315"/>
      <c r="I250" s="315"/>
      <c r="J250" s="16"/>
      <c r="K250" s="315"/>
      <c r="L250" s="315"/>
      <c r="M250" s="315"/>
      <c r="N250" s="441"/>
      <c r="O250" s="16"/>
      <c r="P250" s="315"/>
      <c r="Q250" s="315"/>
      <c r="R250" s="441"/>
      <c r="S250" s="315"/>
      <c r="T250" s="16"/>
      <c r="U250" s="315"/>
      <c r="V250" s="315"/>
      <c r="W250" s="441"/>
      <c r="X250" s="316"/>
      <c r="Y250" s="16"/>
      <c r="Z250" s="316"/>
      <c r="AA250" s="316"/>
      <c r="AB250" s="316"/>
      <c r="AC250" s="316"/>
      <c r="AD250" s="16"/>
      <c r="AE250" s="16"/>
      <c r="AF250" s="16"/>
      <c r="AG250" s="16"/>
      <c r="AH250" s="16"/>
      <c r="AI250" s="16"/>
      <c r="AJ250" s="16"/>
      <c r="AK250" s="16"/>
    </row>
    <row r="251" ht="13.5" customHeight="1" spans="1:37" x14ac:dyDescent="0.25">
      <c r="A251" s="264"/>
      <c r="B251" s="16"/>
      <c r="C251" s="16" t="s">
        <v>352</v>
      </c>
      <c r="D251" s="16"/>
      <c r="E251" s="16"/>
      <c r="F251" s="315"/>
      <c r="G251" s="315"/>
      <c r="H251" s="315"/>
      <c r="I251" s="315"/>
      <c r="J251" s="16"/>
      <c r="K251" s="315"/>
      <c r="L251" s="315"/>
      <c r="M251" s="315"/>
      <c r="N251" s="441"/>
      <c r="O251" s="16"/>
      <c r="P251" s="315"/>
      <c r="Q251" s="315"/>
      <c r="R251" s="441"/>
      <c r="S251" s="315"/>
      <c r="T251" s="16"/>
      <c r="U251" s="315"/>
      <c r="V251" s="315"/>
      <c r="W251" s="441"/>
      <c r="X251" s="316"/>
      <c r="Y251" s="16"/>
      <c r="Z251" s="316"/>
      <c r="AA251" s="316"/>
      <c r="AB251" s="316"/>
      <c r="AC251" s="316"/>
      <c r="AD251" s="16"/>
      <c r="AE251" s="16"/>
      <c r="AF251" s="16"/>
      <c r="AG251" s="16"/>
      <c r="AH251" s="16"/>
      <c r="AI251" s="16"/>
      <c r="AJ251" s="16"/>
      <c r="AK251" s="16"/>
    </row>
    <row r="252" ht="13.5" customHeight="1" spans="1:37" x14ac:dyDescent="0.25">
      <c r="A252" s="264"/>
      <c r="B252" s="16"/>
      <c r="C252" s="139" t="s">
        <v>403</v>
      </c>
      <c r="D252" s="16"/>
      <c r="E252" s="16"/>
      <c r="F252" s="416">
        <f t="shared" ref="F252:I252" si="392" ca="1">E256</f>
        <v>1e-12</v>
      </c>
      <c r="G252" s="353">
        <f ca="1">F256</f>
        <v>15758</v>
      </c>
      <c r="H252" s="353">
        <f ca="1">G256</f>
        <v>12971</v>
      </c>
      <c r="I252" s="353">
        <f ca="1">H256</f>
        <v>9905</v>
      </c>
      <c r="J252" s="282">
        <f ca="1">F252</f>
        <v>1e-12</v>
      </c>
      <c r="K252" s="353">
        <f t="shared" ref="K252:N252" si="393" ca="1">J256</f>
        <v>10171</v>
      </c>
      <c r="L252" s="353">
        <f ca="1">K256</f>
        <v>12115</v>
      </c>
      <c r="M252" s="353">
        <f ca="1">L256</f>
        <v>14921</v>
      </c>
      <c r="N252" s="444">
        <f ca="1">M256</f>
        <v>20360</v>
      </c>
      <c r="O252" s="282">
        <f ca="1">K252</f>
        <v>10171</v>
      </c>
      <c r="P252" s="353">
        <f t="shared" ref="P252:S252" si="394" ca="1">O256</f>
        <v>29817</v>
      </c>
      <c r="Q252" s="353">
        <f ca="1">P256</f>
        <v>36598</v>
      </c>
      <c r="R252" s="444">
        <f ca="1">Q256</f>
        <v>45961</v>
      </c>
      <c r="S252" s="353">
        <f ca="1">R256</f>
        <v>53950</v>
      </c>
      <c r="T252" s="282">
        <f ca="1">P252</f>
        <v>29817</v>
      </c>
      <c r="U252" s="353">
        <f t="shared" ref="U252:X252" si="395" ca="1">T256</f>
        <v>68038</v>
      </c>
      <c r="V252" s="353">
        <f ca="1">U256</f>
        <v>72158</v>
      </c>
      <c r="W252" s="444">
        <f ca="1">V256</f>
        <v>-460</v>
      </c>
      <c r="X252" s="281">
        <f ca="1">W256</f>
        <v>-1913</v>
      </c>
      <c r="Y252" s="282">
        <f ca="1">T256</f>
        <v>1117</v>
      </c>
      <c r="Z252" s="281">
        <f ca="1">Y256</f>
        <v>-4101.3264130000025</v>
      </c>
      <c r="AA252" s="281">
        <f ca="1">Z256</f>
        <v>-6456.137202860004</v>
      </c>
      <c r="AB252" s="281">
        <f ca="1">AA256</f>
        <v>-9387.737395559094</v>
      </c>
      <c r="AC252" s="281">
        <f ca="1">AB256</f>
        <v>-12455.229919394227</v>
      </c>
      <c r="AD252" s="282">
        <f ca="1">Y256</f>
        <v>-4101.3264130000025</v>
      </c>
      <c r="AE252" s="282">
        <f ca="1">AD256</f>
        <v>-14845.70677447005</v>
      </c>
      <c r="AF252" s="282">
        <f ca="1">AE256</f>
        <v>-25395.306748329578</v>
      </c>
      <c r="AG252" s="282">
        <f ca="1">AF256</f>
        <v>-36338.38337231649</v>
      </c>
      <c r="AH252" s="16"/>
      <c r="AI252" s="16"/>
      <c r="AJ252" s="16"/>
      <c r="AK252" s="16"/>
    </row>
    <row r="253" ht="13.5" customHeight="1" spans="1:37" x14ac:dyDescent="0.25">
      <c r="A253" s="264"/>
      <c r="B253" s="16"/>
      <c r="C253" s="139" t="s">
        <v>300</v>
      </c>
      <c r="D253" s="16"/>
      <c r="E253" s="16"/>
      <c r="F253" s="384">
        <f t="shared" ref="F253:I253" si="396" ca="1">F45</f>
        <v>1618</v>
      </c>
      <c r="G253" s="384">
        <f ca="1">G45</f>
        <v>656</v>
      </c>
      <c r="H253" s="384">
        <f ca="1">H45</f>
        <v>680</v>
      </c>
      <c r="I253" s="384">
        <f ca="1">I45</f>
        <v>1414</v>
      </c>
      <c r="J253" s="162">
        <f t="shared" ref="J253:J255" si="397" ca="1">SUM(F253:I253)</f>
        <v>4368</v>
      </c>
      <c r="K253" s="384">
        <f t="shared" ref="K253:N253" si="398" ca="1">K45</f>
        <v>2043</v>
      </c>
      <c r="L253" s="384">
        <f ca="1">L45</f>
        <v>6188</v>
      </c>
      <c r="M253" s="384">
        <f ca="1">M45</f>
        <v>9243</v>
      </c>
      <c r="N253" s="437">
        <f ca="1">N45</f>
        <v>12285</v>
      </c>
      <c r="O253" s="162">
        <f t="shared" ref="O253:O255" si="399" ca="1">SUM(K253:N253)</f>
        <v>29759</v>
      </c>
      <c r="P253" s="384">
        <f t="shared" ref="P253:S253" si="400" ca="1">P45</f>
        <v>14881</v>
      </c>
      <c r="Q253" s="384">
        <f ca="1">Q45</f>
        <v>16599</v>
      </c>
      <c r="R253" s="437">
        <f ca="1">R45</f>
        <v>19309</v>
      </c>
      <c r="S253" s="384">
        <f ca="1">S45</f>
        <v>22091</v>
      </c>
      <c r="T253" s="162">
        <f t="shared" ref="T253:T255" si="401" ca="1">SUM(P253:S253)</f>
        <v>72880</v>
      </c>
      <c r="U253" s="384">
        <f t="shared" ref="U253:X253" si="402" ca="1">U45</f>
        <v>18775</v>
      </c>
      <c r="V253" s="384">
        <f ca="1">V45</f>
        <v>26422</v>
      </c>
      <c r="W253" s="437">
        <f ca="1">W45</f>
        <v>1896</v>
      </c>
      <c r="X253" s="359">
        <f ca="1">X45</f>
        <v>-1906.5764130000002</v>
      </c>
      <c r="Y253" s="162">
        <f ca="1">SUM(U253:X253)</f>
        <v>45186.423587</v>
      </c>
      <c r="Z253" s="359">
        <f ca="1">Z45</f>
        <v>-2074.2107898600016</v>
      </c>
      <c r="AA253" s="359">
        <f ca="1">AA45</f>
        <v>-2211.7001926990893</v>
      </c>
      <c r="AB253" s="359">
        <f ca="1">AB45</f>
        <v>-2420.0425238351336</v>
      </c>
      <c r="AC253" s="359">
        <f ca="1">AC45</f>
        <v>-2066.4643550758237</v>
      </c>
      <c r="AD253" s="162">
        <f ca="1">SUM(Z253:AC253)</f>
        <v>-8772.417861470049</v>
      </c>
      <c r="AE253" s="162">
        <f ca="1">AE45</f>
        <v>-8380.44122385953</v>
      </c>
      <c r="AF253" s="162">
        <f ca="1">AF45</f>
        <v>-8557.001998986918</v>
      </c>
      <c r="AG253" s="162">
        <f ca="1">AG45</f>
        <v>-8669.478780067977</v>
      </c>
      <c r="AH253" s="16"/>
      <c r="AI253" s="16"/>
      <c r="AJ253" s="16"/>
      <c r="AK253" s="16"/>
    </row>
    <row r="254" ht="13.5" customHeight="1" spans="1:37" x14ac:dyDescent="0.25">
      <c r="A254" s="264"/>
      <c r="B254" s="16"/>
      <c r="C254" s="139" t="s">
        <v>408</v>
      </c>
      <c r="D254" s="16"/>
      <c r="E254" s="16"/>
      <c r="F254" s="438">
        <v>-100</v>
      </c>
      <c r="G254" s="438">
        <v>-100</v>
      </c>
      <c r="H254" s="358">
        <v>-100</v>
      </c>
      <c r="I254" s="358">
        <v>-98</v>
      </c>
      <c r="J254" s="162">
        <f ca="1">SUM(F254:I254)</f>
        <v>-398</v>
      </c>
      <c r="K254" s="358">
        <v>-99</v>
      </c>
      <c r="L254" s="358">
        <v>-99</v>
      </c>
      <c r="M254" s="358">
        <v>-99</v>
      </c>
      <c r="N254" s="438">
        <v>-99</v>
      </c>
      <c r="O254" s="162">
        <f ca="1">SUM(K254:N254)</f>
        <v>-396</v>
      </c>
      <c r="P254" s="358">
        <v>-98</v>
      </c>
      <c r="Q254" s="358">
        <v>-246</v>
      </c>
      <c r="R254" s="438">
        <v>-245</v>
      </c>
      <c r="S254" s="358">
        <v>-245</v>
      </c>
      <c r="T254" s="162">
        <f ca="1">SUM(P254:S254)</f>
        <v>-834</v>
      </c>
      <c r="U254" s="358">
        <v>-244</v>
      </c>
      <c r="V254" s="358">
        <f ca="1">-870-U254</f>
        <v>-626</v>
      </c>
      <c r="W254" s="438">
        <f ca="1">-1433-SUM(U254:V254)</f>
        <v>-563</v>
      </c>
      <c r="X254" s="359">
        <f ca="1">-X267</f>
        <v>-519.8</v>
      </c>
      <c r="Y254" s="162">
        <f ca="1">SUM(U254:X254)</f>
        <v>-1952.8</v>
      </c>
      <c r="Z254" s="359">
        <f t="shared" ref="Z254:AC254" si="403" ca="1">-Z267</f>
        <v>-505.99999999999994</v>
      </c>
      <c r="AA254" s="359">
        <f ca="1">-AA267</f>
        <v>-494.49999999999994</v>
      </c>
      <c r="AB254" s="359">
        <f ca="1">-AB267</f>
        <v>-647.4499999999999</v>
      </c>
      <c r="AC254" s="359">
        <f ca="1">-AC267</f>
        <v>-597.7699999999999</v>
      </c>
      <c r="AD254" s="162">
        <f ca="1">SUM(Z254:AC254)</f>
        <v>-2245.72</v>
      </c>
      <c r="AE254" s="162">
        <f t="shared" ref="AE254:AG254" si="404" ca="1">-AE267</f>
        <v>-2470.292</v>
      </c>
      <c r="AF254" s="162">
        <f ca="1">-AF267</f>
        <v>-2717.3212000000003</v>
      </c>
      <c r="AG254" s="162">
        <f ca="1">-AG267</f>
        <v>-2989.0533200000004</v>
      </c>
      <c r="AH254" s="16"/>
      <c r="AI254" s="16"/>
      <c r="AJ254" s="16"/>
      <c r="AK254" s="16"/>
    </row>
    <row r="255" ht="13.5" customHeight="1" spans="1:37" x14ac:dyDescent="0.25">
      <c r="A255" s="264"/>
      <c r="B255" s="16"/>
      <c r="C255" s="139" t="s">
        <v>409</v>
      </c>
      <c r="D255" s="16"/>
      <c r="E255" s="16"/>
      <c r="F255" s="372">
        <f t="shared" ref="F255:I255" si="405" ca="1">F256-SUM(F252:F254)</f>
        <v>14240</v>
      </c>
      <c r="G255" s="372">
        <f ca="1">G256-SUM(G252:G254)</f>
        <v>-3343</v>
      </c>
      <c r="H255" s="372">
        <f ca="1">H256-SUM(H252:H254)</f>
        <v>-3646</v>
      </c>
      <c r="I255" s="372">
        <f ca="1">I256-SUM(I252:I254)</f>
        <v>-1050</v>
      </c>
      <c r="J255" s="355">
        <f ca="1">SUM(F255:I255)</f>
        <v>6201</v>
      </c>
      <c r="K255" s="372">
        <f t="shared" ref="K255:N255" si="406" ca="1">K256-SUM(K252:K254)</f>
        <v>1e-12</v>
      </c>
      <c r="L255" s="372">
        <f ca="1">L256-SUM(L252:L254)</f>
        <v>-3283</v>
      </c>
      <c r="M255" s="372">
        <f ca="1">M256-SUM(M252:M254)</f>
        <v>-3705</v>
      </c>
      <c r="N255" s="450">
        <f ca="1">N256-SUM(N252:N254)</f>
        <v>-2729</v>
      </c>
      <c r="O255" s="355">
        <f ca="1">SUM(K255:N255)</f>
        <v>-9717</v>
      </c>
      <c r="P255" s="372">
        <f t="shared" ref="P255:S255" si="407" ca="1">P256-SUM(P252:P254)</f>
        <v>-8002</v>
      </c>
      <c r="Q255" s="372">
        <f ca="1">Q256-SUM(Q252:Q254)</f>
        <v>-6990</v>
      </c>
      <c r="R255" s="450">
        <f ca="1">R256-SUM(R252:R254)</f>
        <v>-11075</v>
      </c>
      <c r="S255" s="372">
        <f ca="1">S256-SUM(S252:S254)</f>
        <v>-7758</v>
      </c>
      <c r="T255" s="355">
        <f ca="1">SUM(P255:S255)</f>
        <v>-33825</v>
      </c>
      <c r="U255" s="372">
        <f t="shared" ref="U255:W255" si="408" ca="1">U256-SUM(U252:U254)</f>
        <v>-14411</v>
      </c>
      <c r="V255" s="372">
        <f ca="1">V256-SUM(V252:V254)</f>
        <v>-9217</v>
      </c>
      <c r="W255" s="450">
        <f ca="1">W256-SUM(W252:W254)</f>
        <v>-2786</v>
      </c>
      <c r="X255" s="368">
        <v>0</v>
      </c>
      <c r="Y255" s="355">
        <f ca="1">SUM(U255:X255)</f>
        <v>-8832</v>
      </c>
      <c r="Z255" s="368">
        <v>0</v>
      </c>
      <c r="AA255" s="368">
        <v>0</v>
      </c>
      <c r="AB255" s="368">
        <v>0</v>
      </c>
      <c r="AC255" s="368">
        <v>0</v>
      </c>
      <c r="AD255" s="355">
        <f ca="1">SUM(Z255:AC255)</f>
        <v>1e-12</v>
      </c>
      <c r="AE255" s="369">
        <v>0</v>
      </c>
      <c r="AF255" s="369">
        <v>0</v>
      </c>
      <c r="AG255" s="369">
        <v>0</v>
      </c>
      <c r="AH255" s="16"/>
      <c r="AI255" s="16"/>
      <c r="AJ255" s="16"/>
      <c r="AK255" s="16"/>
    </row>
    <row r="256" ht="13.5" customHeight="1" spans="1:37" x14ac:dyDescent="0.25">
      <c r="A256" s="264"/>
      <c r="B256" s="16"/>
      <c r="C256" s="139" t="s">
        <v>406</v>
      </c>
      <c r="D256" s="16"/>
      <c r="E256" s="16"/>
      <c r="F256" s="353">
        <f t="shared" ref="F256:W256" si="409" ca="1">F148</f>
        <v>15758</v>
      </c>
      <c r="G256" s="353">
        <f ca="1">G148</f>
        <v>12971</v>
      </c>
      <c r="H256" s="353">
        <f ca="1">H148</f>
        <v>9905</v>
      </c>
      <c r="I256" s="353">
        <f ca="1">I148</f>
        <v>10171</v>
      </c>
      <c r="J256" s="282">
        <f ca="1">J148</f>
        <v>10171</v>
      </c>
      <c r="K256" s="353">
        <f ca="1">K148</f>
        <v>12115</v>
      </c>
      <c r="L256" s="353">
        <f ca="1">L148</f>
        <v>14921</v>
      </c>
      <c r="M256" s="353">
        <f ca="1">M148</f>
        <v>20360</v>
      </c>
      <c r="N256" s="444">
        <f ca="1">N148</f>
        <v>29817</v>
      </c>
      <c r="O256" s="282">
        <f ca="1">O148</f>
        <v>29817</v>
      </c>
      <c r="P256" s="353">
        <f ca="1">P148</f>
        <v>36598</v>
      </c>
      <c r="Q256" s="353">
        <f ca="1">Q148</f>
        <v>45961</v>
      </c>
      <c r="R256" s="444">
        <f ca="1">R148</f>
        <v>53950</v>
      </c>
      <c r="S256" s="353">
        <f ca="1">S148</f>
        <v>68038</v>
      </c>
      <c r="T256" s="282">
        <f ca="1">T148</f>
        <v>68038</v>
      </c>
      <c r="U256" s="353">
        <f ca="1">U148</f>
        <v>72158</v>
      </c>
      <c r="V256" s="353">
        <f ca="1">V148</f>
        <v>88737</v>
      </c>
      <c r="W256" s="444">
        <f ca="1">W148</f>
        <v>-1913</v>
      </c>
      <c r="X256" s="281">
        <f ca="1">SUM(X252:X255)</f>
        <v>-4101.326413000001</v>
      </c>
      <c r="Y256" s="282">
        <f ca="1">SUM(Y252:Y255)</f>
        <v>-4101.3264130000025</v>
      </c>
      <c r="Z256" s="281">
        <f ca="1">SUM(Z252:Z255)</f>
        <v>-6456.137202860004</v>
      </c>
      <c r="AA256" s="281">
        <f ca="1">SUM(AA252:AA255)</f>
        <v>-9387.737395559094</v>
      </c>
      <c r="AB256" s="281">
        <f ca="1">SUM(AB252:AB255)</f>
        <v>-12455.229919394227</v>
      </c>
      <c r="AC256" s="281">
        <f ca="1">SUM(AC252:AC255)</f>
        <v>-14845.70677447005</v>
      </c>
      <c r="AD256" s="282">
        <f ca="1">SUM(AD252:AD255)</f>
        <v>-14845.70677447005</v>
      </c>
      <c r="AE256" s="282">
        <f ca="1">SUM(AE252:AE255)</f>
        <v>-25395.306748329578</v>
      </c>
      <c r="AF256" s="282">
        <f ca="1">SUM(AF252:AF255)</f>
        <v>-36338.38337231649</v>
      </c>
      <c r="AG256" s="282">
        <f ca="1">SUM(AG252:AG255)</f>
        <v>-47632.54423988447</v>
      </c>
      <c r="AH256" s="16"/>
      <c r="AI256" s="16"/>
      <c r="AJ256" s="16"/>
      <c r="AK256" s="16"/>
    </row>
    <row r="257" ht="13.5" customHeight="1" spans="1:37" x14ac:dyDescent="0.25">
      <c r="A257" s="264"/>
      <c r="B257" s="16"/>
      <c r="C257" s="16"/>
      <c r="D257" s="16"/>
      <c r="E257" s="16"/>
      <c r="F257" s="315"/>
      <c r="G257" s="315"/>
      <c r="H257" s="315"/>
      <c r="I257" s="315"/>
      <c r="J257" s="16"/>
      <c r="K257" s="315"/>
      <c r="L257" s="315"/>
      <c r="M257" s="315"/>
      <c r="N257" s="441"/>
      <c r="O257" s="16"/>
      <c r="P257" s="315"/>
      <c r="Q257" s="315"/>
      <c r="R257" s="441"/>
      <c r="S257" s="315"/>
      <c r="T257" s="16"/>
      <c r="U257" s="315"/>
      <c r="V257" s="315"/>
      <c r="W257" s="441"/>
      <c r="X257" s="316"/>
      <c r="Y257" s="16"/>
      <c r="Z257" s="316"/>
      <c r="AA257" s="316"/>
      <c r="AB257" s="316"/>
      <c r="AC257" s="316"/>
      <c r="AD257" s="16"/>
      <c r="AE257" s="16"/>
      <c r="AF257" s="16"/>
      <c r="AG257" s="16"/>
      <c r="AH257" s="16"/>
      <c r="AI257" s="16"/>
      <c r="AJ257" s="16"/>
      <c r="AK257" s="16"/>
    </row>
    <row r="258" ht="13.5" customHeight="1" spans="1:37" x14ac:dyDescent="0.25">
      <c r="A258" s="264"/>
      <c r="B258" s="16"/>
      <c r="C258" s="16" t="s">
        <v>410</v>
      </c>
      <c r="D258" s="16"/>
      <c r="E258" s="16"/>
      <c r="F258" s="315"/>
      <c r="G258" s="315"/>
      <c r="H258" s="315"/>
      <c r="I258" s="315"/>
      <c r="J258" s="16"/>
      <c r="K258" s="315"/>
      <c r="L258" s="315"/>
      <c r="M258" s="315"/>
      <c r="N258" s="441"/>
      <c r="O258" s="16"/>
      <c r="P258" s="315"/>
      <c r="Q258" s="315"/>
      <c r="R258" s="315"/>
      <c r="S258" s="315"/>
      <c r="T258" s="16"/>
      <c r="U258" s="315"/>
      <c r="V258" s="315"/>
      <c r="W258" s="315"/>
      <c r="X258" s="316"/>
      <c r="Y258" s="16"/>
      <c r="Z258" s="316"/>
      <c r="AA258" s="316"/>
      <c r="AB258" s="316"/>
      <c r="AC258" s="316"/>
      <c r="AD258" s="16"/>
      <c r="AE258" s="16"/>
      <c r="AF258" s="16"/>
      <c r="AG258" s="16"/>
      <c r="AH258" s="16"/>
      <c r="AI258" s="16"/>
      <c r="AJ258" s="16"/>
      <c r="AK258" s="16"/>
    </row>
    <row r="259" ht="13.5" customHeight="1" spans="1:37" x14ac:dyDescent="0.25">
      <c r="A259" s="264"/>
      <c r="B259" s="16"/>
      <c r="C259" s="139" t="s">
        <v>403</v>
      </c>
      <c r="D259" s="16"/>
      <c r="E259" s="16"/>
      <c r="F259" s="416">
        <f t="shared" ref="F259:I259" si="410" ca="1">E261</f>
        <v>1e-12</v>
      </c>
      <c r="G259" s="353">
        <f ca="1">F261</f>
        <v>-64</v>
      </c>
      <c r="H259" s="353">
        <f ca="1">G261</f>
        <v>-90</v>
      </c>
      <c r="I259" s="353">
        <f ca="1">H261</f>
        <v>-123</v>
      </c>
      <c r="J259" s="282">
        <f ca="1">F259</f>
        <v>1e-12</v>
      </c>
      <c r="K259" s="353">
        <f t="shared" ref="K259:N259" si="411" ca="1">J261</f>
        <v>-43</v>
      </c>
      <c r="L259" s="353">
        <f ca="1">K261</f>
        <v>-50</v>
      </c>
      <c r="M259" s="353">
        <f ca="1">L261</f>
        <v>-51</v>
      </c>
      <c r="N259" s="444">
        <f ca="1">M261</f>
        <v>-88</v>
      </c>
      <c r="O259" s="282">
        <f ca="1">K259</f>
        <v>-43</v>
      </c>
      <c r="P259" s="353">
        <f t="shared" ref="P259:S259" si="412" ca="1">O261</f>
        <v>27</v>
      </c>
      <c r="Q259" s="353">
        <f ca="1">P261</f>
        <v>-109</v>
      </c>
      <c r="R259" s="353">
        <f ca="1">Q261</f>
        <v>56</v>
      </c>
      <c r="S259" s="353">
        <f ca="1">R261</f>
        <v>103</v>
      </c>
      <c r="T259" s="282">
        <f ca="1">P259</f>
        <v>27</v>
      </c>
      <c r="U259" s="353">
        <f t="shared" ref="U259:X259" si="413" ca="1">T261</f>
        <v>28</v>
      </c>
      <c r="V259" s="353">
        <f ca="1">U261</f>
        <v>186</v>
      </c>
      <c r="W259" s="353">
        <f ca="1">V261</f>
        <v>-65</v>
      </c>
      <c r="X259" s="281">
        <f ca="1">W261</f>
        <v>-6</v>
      </c>
      <c r="Y259" s="282">
        <f ca="1">T261</f>
        <v>-136</v>
      </c>
      <c r="Z259" s="281">
        <f t="shared" ref="Z259:AC259" si="414" ca="1">Y261</f>
        <v>-6</v>
      </c>
      <c r="AA259" s="281">
        <f ca="1">Z261</f>
        <v>-6</v>
      </c>
      <c r="AB259" s="281">
        <f ca="1">AA261</f>
        <v>-6</v>
      </c>
      <c r="AC259" s="281">
        <f ca="1">AB261</f>
        <v>-6</v>
      </c>
      <c r="AD259" s="282">
        <f ca="1">Y261</f>
        <v>-6</v>
      </c>
      <c r="AE259" s="282">
        <f t="shared" ref="AE259:AG259" si="415" ca="1">AD261</f>
        <v>-6</v>
      </c>
      <c r="AF259" s="282">
        <f ca="1">AE261</f>
        <v>-6</v>
      </c>
      <c r="AG259" s="282">
        <f ca="1">AF261</f>
        <v>-6</v>
      </c>
      <c r="AH259" s="16"/>
      <c r="AI259" s="16"/>
      <c r="AJ259" s="16"/>
      <c r="AK259" s="16"/>
    </row>
    <row r="260" ht="13.5" customHeight="1" spans="1:37" x14ac:dyDescent="0.25">
      <c r="A260" s="264"/>
      <c r="B260" s="16"/>
      <c r="C260" s="139" t="s">
        <v>411</v>
      </c>
      <c r="D260" s="16"/>
      <c r="E260" s="16"/>
      <c r="F260" s="372">
        <f t="shared" ref="F260:I260" si="416" ca="1">F261-F259</f>
        <v>-64</v>
      </c>
      <c r="G260" s="372">
        <f ca="1">G261-G259</f>
        <v>-26</v>
      </c>
      <c r="H260" s="372">
        <f ca="1">H261-H259</f>
        <v>-33</v>
      </c>
      <c r="I260" s="372">
        <f ca="1">I261-I259</f>
        <v>80</v>
      </c>
      <c r="J260" s="355">
        <f ca="1">SUM(F260:I260)</f>
        <v>-43</v>
      </c>
      <c r="K260" s="372">
        <f t="shared" ref="K260:N260" si="417" ca="1">K261-K259</f>
        <v>-7</v>
      </c>
      <c r="L260" s="372">
        <f ca="1">L261-L259</f>
        <v>-1</v>
      </c>
      <c r="M260" s="372">
        <f ca="1">M261-M259</f>
        <v>-37</v>
      </c>
      <c r="N260" s="450">
        <f ca="1">N261-N259</f>
        <v>115</v>
      </c>
      <c r="O260" s="355">
        <f ca="1">SUM(K260:N260)</f>
        <v>70</v>
      </c>
      <c r="P260" s="372">
        <f t="shared" ref="P260:S260" si="418" ca="1">P261-P259</f>
        <v>-136</v>
      </c>
      <c r="Q260" s="372">
        <f ca="1">Q261-Q259</f>
        <v>165</v>
      </c>
      <c r="R260" s="372">
        <f ca="1">R261-R259</f>
        <v>47</v>
      </c>
      <c r="S260" s="372">
        <f ca="1">S261-S259</f>
        <v>-75</v>
      </c>
      <c r="T260" s="355">
        <f ca="1">SUM(P260:S260)</f>
        <v>1</v>
      </c>
      <c r="U260" s="372">
        <f t="shared" ref="U260:W260" si="419" ca="1">U261-U259</f>
        <v>158</v>
      </c>
      <c r="V260" s="372">
        <f ca="1">V261-V259</f>
        <v>-16</v>
      </c>
      <c r="W260" s="372">
        <f ca="1">W261-W259</f>
        <v>59</v>
      </c>
      <c r="X260" s="385">
        <f ca="1">Drivers!X108</f>
        <v>1e-12</v>
      </c>
      <c r="Y260" s="355">
        <f ca="1">SUM(U260:X260)</f>
        <v>130</v>
      </c>
      <c r="Z260" s="385">
        <f ca="1">Drivers!Z108</f>
        <v>1e-12</v>
      </c>
      <c r="AA260" s="385">
        <f ca="1">Drivers!AA108</f>
        <v>1e-12</v>
      </c>
      <c r="AB260" s="385">
        <f ca="1">Drivers!AB108</f>
        <v>1e-12</v>
      </c>
      <c r="AC260" s="385">
        <f ca="1">Drivers!AC108</f>
        <v>1e-12</v>
      </c>
      <c r="AD260" s="355">
        <f ca="1">SUM(Z260:AC260)</f>
        <v>1e-12</v>
      </c>
      <c r="AE260" s="391">
        <f ca="1">Drivers!AE108</f>
        <v>1e-12</v>
      </c>
      <c r="AF260" s="391">
        <f ca="1">Drivers!AF108</f>
        <v>1e-12</v>
      </c>
      <c r="AG260" s="391">
        <f ca="1">Drivers!AG108</f>
        <v>1e-12</v>
      </c>
      <c r="AH260" s="16"/>
      <c r="AI260" s="16"/>
      <c r="AJ260" s="16"/>
      <c r="AK260" s="16"/>
    </row>
    <row r="261" ht="13.5" customHeight="1" spans="1:37" x14ac:dyDescent="0.25">
      <c r="A261" s="264"/>
      <c r="B261" s="16"/>
      <c r="C261" s="139" t="s">
        <v>406</v>
      </c>
      <c r="D261" s="16"/>
      <c r="E261" s="16"/>
      <c r="F261" s="353">
        <f t="shared" ref="F261:I261" si="420" ca="1">F150</f>
        <v>-64</v>
      </c>
      <c r="G261" s="353">
        <f ca="1">G150</f>
        <v>-90</v>
      </c>
      <c r="H261" s="353">
        <f ca="1">H150</f>
        <v>-123</v>
      </c>
      <c r="I261" s="353">
        <f ca="1">I150</f>
        <v>-43</v>
      </c>
      <c r="J261" s="282">
        <f ca="1">SUM(J259:J260)</f>
        <v>-43</v>
      </c>
      <c r="K261" s="353">
        <f t="shared" ref="K261:N261" si="421" ca="1">K150</f>
        <v>-50</v>
      </c>
      <c r="L261" s="353">
        <f ca="1">L150</f>
        <v>-51</v>
      </c>
      <c r="M261" s="353">
        <f ca="1">M150</f>
        <v>-88</v>
      </c>
      <c r="N261" s="353">
        <f ca="1">N150</f>
        <v>27</v>
      </c>
      <c r="O261" s="282">
        <f ca="1">SUM(O259:O260)</f>
        <v>27</v>
      </c>
      <c r="P261" s="353">
        <f t="shared" ref="P261:S261" si="422" ca="1">P150</f>
        <v>-109</v>
      </c>
      <c r="Q261" s="353">
        <f ca="1">Q150</f>
        <v>56</v>
      </c>
      <c r="R261" s="353">
        <f ca="1">R150</f>
        <v>103</v>
      </c>
      <c r="S261" s="353">
        <f ca="1">S150</f>
        <v>28</v>
      </c>
      <c r="T261" s="282">
        <f ca="1">SUM(T259:T260)</f>
        <v>28</v>
      </c>
      <c r="U261" s="353">
        <f t="shared" ref="U261:W261" si="423" ca="1">U150</f>
        <v>186</v>
      </c>
      <c r="V261" s="353">
        <f ca="1">V150</f>
        <v>170</v>
      </c>
      <c r="W261" s="353">
        <f ca="1">W150</f>
        <v>-6</v>
      </c>
      <c r="X261" s="281">
        <f t="shared" ref="X261:AG261" si="424" ca="1">SUM(X259:X260)</f>
        <v>-6</v>
      </c>
      <c r="Y261" s="282">
        <f ca="1">SUM(Y259:Y260)</f>
        <v>-6</v>
      </c>
      <c r="Z261" s="281">
        <f ca="1">SUM(Z259:Z260)</f>
        <v>-6</v>
      </c>
      <c r="AA261" s="281">
        <f ca="1">SUM(AA259:AA260)</f>
        <v>-6</v>
      </c>
      <c r="AB261" s="281">
        <f ca="1">SUM(AB259:AB260)</f>
        <v>-6</v>
      </c>
      <c r="AC261" s="281">
        <f ca="1">SUM(AC259:AC260)</f>
        <v>-6</v>
      </c>
      <c r="AD261" s="282">
        <f ca="1">SUM(AD259:AD260)</f>
        <v>-6</v>
      </c>
      <c r="AE261" s="282">
        <f ca="1">SUM(AE259:AE260)</f>
        <v>-6</v>
      </c>
      <c r="AF261" s="282">
        <f ca="1">SUM(AF259:AF260)</f>
        <v>-6</v>
      </c>
      <c r="AG261" s="282">
        <f ca="1">SUM(AG259:AG260)</f>
        <v>-6</v>
      </c>
      <c r="AH261" s="16"/>
      <c r="AI261" s="16"/>
      <c r="AJ261" s="16"/>
      <c r="AK261" s="16"/>
    </row>
    <row r="262" ht="13.5" customHeight="1" spans="1:37" x14ac:dyDescent="0.25">
      <c r="A262" s="264"/>
      <c r="B262" s="16"/>
      <c r="C262" s="16"/>
      <c r="D262" s="16"/>
      <c r="E262" s="16"/>
      <c r="F262" s="315"/>
      <c r="G262" s="315"/>
      <c r="H262" s="315"/>
      <c r="I262" s="315"/>
      <c r="J262" s="16"/>
      <c r="K262" s="315"/>
      <c r="L262" s="315"/>
      <c r="M262" s="315"/>
      <c r="N262" s="315"/>
      <c r="O262" s="16"/>
      <c r="P262" s="315"/>
      <c r="Q262" s="315"/>
      <c r="R262" s="315"/>
      <c r="S262" s="315"/>
      <c r="T262" s="16"/>
      <c r="U262" s="315"/>
      <c r="V262" s="315"/>
      <c r="W262" s="315"/>
      <c r="X262" s="316"/>
      <c r="Y262" s="16"/>
      <c r="Z262" s="316"/>
      <c r="AA262" s="316"/>
      <c r="AB262" s="316"/>
      <c r="AC262" s="316"/>
      <c r="AD262" s="16"/>
      <c r="AE262" s="16"/>
      <c r="AF262" s="16"/>
      <c r="AG262" s="16"/>
      <c r="AH262" s="16"/>
      <c r="AI262" s="16"/>
      <c r="AJ262" s="16"/>
      <c r="AK262" s="16"/>
    </row>
    <row r="263" ht="13.5" customHeight="1" spans="1:37" x14ac:dyDescent="0.25">
      <c r="A263" s="264"/>
      <c r="B263" s="16"/>
      <c r="C263" s="16" t="s">
        <v>412</v>
      </c>
      <c r="D263" s="16"/>
      <c r="E263" s="16"/>
      <c r="F263" s="315"/>
      <c r="G263" s="315"/>
      <c r="H263" s="315"/>
      <c r="I263" s="315"/>
      <c r="J263" s="16"/>
      <c r="K263" s="315"/>
      <c r="L263" s="315"/>
      <c r="M263" s="315"/>
      <c r="N263" s="315"/>
      <c r="O263" s="16"/>
      <c r="P263" s="315"/>
      <c r="Q263" s="315"/>
      <c r="R263" s="315"/>
      <c r="S263" s="315"/>
      <c r="T263" s="16"/>
      <c r="U263" s="315"/>
      <c r="V263" s="315"/>
      <c r="W263" s="315"/>
      <c r="X263" s="316"/>
      <c r="Y263" s="16"/>
      <c r="Z263" s="316"/>
      <c r="AA263" s="316"/>
      <c r="AB263" s="316"/>
      <c r="AC263" s="316"/>
      <c r="AD263" s="16"/>
      <c r="AE263" s="16"/>
      <c r="AF263" s="16"/>
      <c r="AG263" s="16"/>
      <c r="AH263" s="16"/>
      <c r="AI263" s="16"/>
      <c r="AJ263" s="16"/>
      <c r="AK263" s="16"/>
    </row>
    <row r="264" ht="13.5" customHeight="1" spans="1:37" x14ac:dyDescent="0.25">
      <c r="A264" s="264"/>
      <c r="B264" s="16"/>
      <c r="C264" s="139" t="s">
        <v>413</v>
      </c>
      <c r="D264" s="16"/>
      <c r="E264" s="16"/>
      <c r="F264" s="370">
        <f t="shared" ref="F264:AG264" si="425" ca="1">F267/F266</f>
        <v>0.12121212121212122</v>
      </c>
      <c r="G264" s="370">
        <f ca="1">G267/G266</f>
        <v>0.12300123001230012</v>
      </c>
      <c r="H264" s="370">
        <f ca="1">H267/H266</f>
        <v>0.12406947890818859</v>
      </c>
      <c r="I264" s="370">
        <f ca="1">I267/I266</f>
        <v>0.12234706616729088</v>
      </c>
      <c r="J264" s="127">
        <f ca="1">J267/J266</f>
        <v>0.4968789013732834</v>
      </c>
      <c r="K264" s="370">
        <f ca="1">K267/K266</f>
        <v>0.12</v>
      </c>
      <c r="L264" s="370">
        <f ca="1">L267/L266</f>
        <v>0.12177121771217712</v>
      </c>
      <c r="M264" s="370">
        <f ca="1">M267/M266</f>
        <v>0.1228287841191067</v>
      </c>
      <c r="N264" s="370">
        <f ca="1">N267/N266</f>
        <v>0.12359550561797752</v>
      </c>
      <c r="O264" s="127">
        <f ca="1">O267/O266</f>
        <v>0.4943820224719101</v>
      </c>
      <c r="P264" s="370">
        <f ca="1">P267/P266</f>
        <v>0.12980132450331125</v>
      </c>
      <c r="Q264" s="370">
        <f ca="1">Q267/Q266</f>
        <v>0.3271276595744681</v>
      </c>
      <c r="R264" s="370">
        <f ca="1">R267/R266</f>
        <v>0.3257978723404255</v>
      </c>
      <c r="S264" s="370">
        <f ca="1">S267/S266</f>
        <v>0.32754010695187163</v>
      </c>
      <c r="T264" s="127">
        <f ca="1">T267/T266</f>
        <v>1.1149732620320856</v>
      </c>
      <c r="U264" s="370">
        <f ca="1">U267/U266</f>
        <v>0.3398328690807799</v>
      </c>
      <c r="V264" s="370">
        <f ca="1">V267/V266</f>
        <v>0.8879432624113475</v>
      </c>
      <c r="W264" s="370">
        <f ca="1">W267/W266</f>
        <v>0.8159420289855073</v>
      </c>
      <c r="X264" s="451">
        <f ca="1">X267/X266</f>
        <v>0.7727356551328315</v>
      </c>
      <c r="Y264" s="452">
        <f ca="1">Y267/Y266</f>
        <v>2.8040600010044407</v>
      </c>
      <c r="Z264" s="451">
        <f ca="1">Z267/Z266</f>
        <v>0.7546260482128161</v>
      </c>
      <c r="AA264" s="451">
        <f ca="1">AA267/AA266</f>
        <v>0.7398413682399202</v>
      </c>
      <c r="AB264" s="451">
        <f ca="1">AB267/AB266</f>
        <v>0.9717936576599148</v>
      </c>
      <c r="AC264" s="451">
        <f ca="1">AC267/AC266</f>
        <v>0.9001231868505855</v>
      </c>
      <c r="AD264" s="452">
        <f ca="1">AD267/AD266</f>
        <v>3.3653103134459723</v>
      </c>
      <c r="AE264" s="452">
        <f ca="1">AE267/AE266</f>
        <v>3.76228771474281</v>
      </c>
      <c r="AF264" s="452">
        <f ca="1">AF267/AF266</f>
        <v>4.221229264648804</v>
      </c>
      <c r="AG264" s="452">
        <f ca="1">AG267/AG266</f>
        <v>4.738047247540297</v>
      </c>
      <c r="AH264" s="16"/>
      <c r="AI264" s="16"/>
      <c r="AJ264" s="16"/>
      <c r="AK264" s="16"/>
    </row>
    <row r="265" ht="13.5" customHeight="1" spans="1:37" x14ac:dyDescent="0.25">
      <c r="A265" s="264"/>
      <c r="B265" s="16"/>
      <c r="C265" s="139" t="s">
        <v>50</v>
      </c>
      <c r="D265" s="16"/>
      <c r="E265" s="16"/>
      <c r="F265" s="397">
        <f t="shared" ref="F265:I265" si="426" ca="1">4*F264/F239</f>
        <v>0.005639084494632296</v>
      </c>
      <c r="G265" s="397">
        <f ca="1">4*G264/G239</f>
        <v>0.005359530719490201</v>
      </c>
      <c r="H265" s="397">
        <f ca="1">4*H264/H239</f>
        <v>0.005187393285593753</v>
      </c>
      <c r="I265" s="397">
        <f ca="1">4*I264/I239</f>
        <v>0.004398204948945478</v>
      </c>
      <c r="J265" s="398">
        <f ca="1">J264/J239</f>
        <v>0.0052853552136044235</v>
      </c>
      <c r="K265" s="397">
        <f t="shared" ref="K265:N265" si="427" ca="1">4*K264/K239</f>
        <v>0.004689789936492428</v>
      </c>
      <c r="L265" s="397">
        <f ca="1">4*L264/L239</f>
        <v>0.004747878651415426</v>
      </c>
      <c r="M265" s="397">
        <f ca="1">4*M264/M239</f>
        <v>0.004532009376223843</v>
      </c>
      <c r="N265" s="397">
        <f ca="1">4*N264/N239</f>
        <v>0.004691866968510108</v>
      </c>
      <c r="O265" s="398">
        <f ca="1">O264/O239</f>
        <v>0.004748872790397662</v>
      </c>
      <c r="P265" s="397">
        <f t="shared" ref="P265:S265" si="428" ca="1">4*P264/P239</f>
        <v>0.005256178356076584</v>
      </c>
      <c r="Q265" s="397">
        <f ca="1">4*Q264/Q239</f>
        <v>0.013246716322108446</v>
      </c>
      <c r="R265" s="397">
        <f ca="1">4*R264/R239</f>
        <v>0.0077001746207187955</v>
      </c>
      <c r="S265" s="397">
        <f ca="1">4*S264/S239</f>
        <v>0.00625319202406913</v>
      </c>
      <c r="T265" s="398">
        <f ca="1">T264/T239</f>
        <v>0.0066240993710019146</v>
      </c>
      <c r="U265" s="397">
        <f t="shared" ref="U265:W265" si="429" ca="1">4*U264/U239</f>
        <v>0.007460655742717452</v>
      </c>
      <c r="V265" s="397">
        <f ca="1">4*V264/V239</f>
        <v>0.018603787849539703</v>
      </c>
      <c r="W265" s="397">
        <f ca="1">4*W264/W239</f>
        <v>0.015815639175527117</v>
      </c>
      <c r="X265" s="399">
        <f ca="1">X264*4/X239</f>
        <v>0.013255607773099433</v>
      </c>
      <c r="Y265" s="398">
        <f ca="1">Y264/Y239</f>
        <v>0.014445001368382868</v>
      </c>
      <c r="Z265" s="399">
        <f t="shared" ref="Z265:AC265" si="430" ca="1">Z264*4/Z239</f>
        <v>0.012944953224338555</v>
      </c>
      <c r="AA265" s="399">
        <f ca="1">AA264*4/AA239</f>
        <v>0.012691334904192815</v>
      </c>
      <c r="AB265" s="399">
        <f ca="1">AB264*4/AB239</f>
        <v>0.01667027459747688</v>
      </c>
      <c r="AC265" s="399">
        <f ca="1">AC264*4/AC239</f>
        <v>0.015440830034318303</v>
      </c>
      <c r="AD265" s="398">
        <f t="shared" ref="AD265:AG265" si="431" ca="1">AD264/AD239</f>
        <v>0.014432242531289014</v>
      </c>
      <c r="AE265" s="398">
        <f ca="1">AE264/AE239</f>
        <v>0.016134693004300583</v>
      </c>
      <c r="AF265" s="398">
        <f ca="1">AF264/AF239</f>
        <v>0.01810287874023846</v>
      </c>
      <c r="AG265" s="398">
        <f ca="1">AG264/AG239</f>
        <v>0.020319269437946208</v>
      </c>
      <c r="AH265" s="16"/>
      <c r="AI265" s="16"/>
      <c r="AJ265" s="16"/>
      <c r="AK265" s="16"/>
    </row>
    <row r="266" ht="13.5" customHeight="1" spans="1:37" x14ac:dyDescent="0.25">
      <c r="A266" s="264"/>
      <c r="B266" s="16"/>
      <c r="C266" s="139" t="s">
        <v>414</v>
      </c>
      <c r="D266" s="16"/>
      <c r="E266" s="16"/>
      <c r="F266" s="384">
        <f t="shared" ref="F266:AG266" si="432" ca="1">F282</f>
        <v>825</v>
      </c>
      <c r="G266" s="384">
        <f ca="1">G282</f>
        <v>813</v>
      </c>
      <c r="H266" s="384">
        <f ca="1">H282</f>
        <v>806</v>
      </c>
      <c r="I266" s="384">
        <f ca="1">I282</f>
        <v>801</v>
      </c>
      <c r="J266" s="162">
        <f ca="1">J282</f>
        <v>801</v>
      </c>
      <c r="K266" s="384">
        <f ca="1">K282</f>
        <v>825</v>
      </c>
      <c r="L266" s="384">
        <f ca="1">L282</f>
        <v>813</v>
      </c>
      <c r="M266" s="384">
        <f ca="1">M282</f>
        <v>806</v>
      </c>
      <c r="N266" s="384">
        <f ca="1">N282</f>
        <v>801</v>
      </c>
      <c r="O266" s="162">
        <f ca="1">O282</f>
        <v>801</v>
      </c>
      <c r="P266" s="384">
        <f ca="1">P282</f>
        <v>755</v>
      </c>
      <c r="Q266" s="384">
        <f ca="1">Q282</f>
        <v>752</v>
      </c>
      <c r="R266" s="384">
        <f ca="1">R282</f>
        <v>752</v>
      </c>
      <c r="S266" s="384">
        <f ca="1">S282</f>
        <v>748</v>
      </c>
      <c r="T266" s="162">
        <f ca="1">T282</f>
        <v>748</v>
      </c>
      <c r="U266" s="384">
        <f ca="1">U282</f>
        <v>718</v>
      </c>
      <c r="V266" s="384">
        <f ca="1">V282</f>
        <v>705</v>
      </c>
      <c r="W266" s="384">
        <f ca="1">W282</f>
        <v>690</v>
      </c>
      <c r="X266" s="359">
        <f ca="1">X282</f>
        <v>672.6750558839524</v>
      </c>
      <c r="Y266" s="162">
        <f ca="1">Y282</f>
        <v>696.418763970988</v>
      </c>
      <c r="Z266" s="359">
        <f ca="1">Z282</f>
        <v>670.530789651857</v>
      </c>
      <c r="AA266" s="359">
        <f ca="1">AA282</f>
        <v>668.3865234197617</v>
      </c>
      <c r="AB266" s="359">
        <f ca="1">AB282</f>
        <v>666.2422571876664</v>
      </c>
      <c r="AC266" s="359">
        <f ca="1">AC282</f>
        <v>664.097990955571</v>
      </c>
      <c r="AD266" s="162">
        <f ca="1">AD282</f>
        <v>667.314390303714</v>
      </c>
      <c r="AE266" s="162">
        <f ca="1">AE282</f>
        <v>656.593059143237</v>
      </c>
      <c r="AF266" s="162">
        <f ca="1">AF282</f>
        <v>643.7274617506648</v>
      </c>
      <c r="AG266" s="162">
        <f ca="1">AG282</f>
        <v>630.8618643580926</v>
      </c>
      <c r="AH266" s="16"/>
      <c r="AI266" s="16"/>
      <c r="AJ266" s="16"/>
      <c r="AK266" s="16"/>
    </row>
    <row r="267" ht="13.5" customHeight="1" spans="1:37" x14ac:dyDescent="0.25">
      <c r="A267" s="264"/>
      <c r="B267" s="16"/>
      <c r="C267" s="139" t="s">
        <v>415</v>
      </c>
      <c r="D267" s="16"/>
      <c r="E267" s="16"/>
      <c r="F267" s="353">
        <f t="shared" ref="F267:I267" si="433" ca="1">-F254</f>
        <v>100</v>
      </c>
      <c r="G267" s="353">
        <f ca="1">-G254</f>
        <v>100</v>
      </c>
      <c r="H267" s="353">
        <f ca="1">-H254</f>
        <v>100</v>
      </c>
      <c r="I267" s="353">
        <f ca="1">-I254</f>
        <v>98</v>
      </c>
      <c r="J267" s="282">
        <f ca="1">SUM(F267:I267)</f>
        <v>398</v>
      </c>
      <c r="K267" s="353">
        <f t="shared" ref="K267:N267" si="434" ca="1">-K254</f>
        <v>99</v>
      </c>
      <c r="L267" s="353">
        <f ca="1">-L254</f>
        <v>99</v>
      </c>
      <c r="M267" s="353">
        <f ca="1">-M254</f>
        <v>99</v>
      </c>
      <c r="N267" s="353">
        <f ca="1">-N254</f>
        <v>99</v>
      </c>
      <c r="O267" s="282">
        <f ca="1">SUM(K267:N267)</f>
        <v>396</v>
      </c>
      <c r="P267" s="353">
        <f t="shared" ref="P267:S267" si="435" ca="1">-P254</f>
        <v>98</v>
      </c>
      <c r="Q267" s="353">
        <f ca="1">-Q254</f>
        <v>246</v>
      </c>
      <c r="R267" s="353">
        <f ca="1">-R254</f>
        <v>245</v>
      </c>
      <c r="S267" s="353">
        <f ca="1">-S254</f>
        <v>245</v>
      </c>
      <c r="T267" s="282">
        <f ca="1">SUM(P267:S267)</f>
        <v>834</v>
      </c>
      <c r="U267" s="353">
        <f t="shared" ref="U267:W267" si="436" ca="1">-U254</f>
        <v>244</v>
      </c>
      <c r="V267" s="353">
        <f ca="1">-V254</f>
        <v>626</v>
      </c>
      <c r="W267" s="353">
        <f ca="1">-W254</f>
        <v>563</v>
      </c>
      <c r="X267" s="281">
        <f ca="1">S267*(1+X273)</f>
        <v>519.8</v>
      </c>
      <c r="Y267" s="282">
        <f ca="1">SUM(U267:X267)</f>
        <v>1952.8</v>
      </c>
      <c r="Z267" s="281">
        <f t="shared" ref="Z267:AC267" si="437" ca="1">U267*(1+Z273)</f>
        <v>505.99999999999994</v>
      </c>
      <c r="AA267" s="281">
        <f ca="1">V267*(1+AA273)</f>
        <v>494.49999999999994</v>
      </c>
      <c r="AB267" s="281">
        <f ca="1">W267*(1+AB273)</f>
        <v>647.4499999999999</v>
      </c>
      <c r="AC267" s="281">
        <f ca="1">X267*(1+AC273)</f>
        <v>597.7699999999999</v>
      </c>
      <c r="AD267" s="282">
        <f ca="1">SUM(Z267:AC267)</f>
        <v>2245.72</v>
      </c>
      <c r="AE267" s="282">
        <f t="shared" ref="AE267:AG267" si="438" ca="1">AD267*(1+AE273)</f>
        <v>2470.292</v>
      </c>
      <c r="AF267" s="282">
        <f ca="1">AE267*(1+AF273)</f>
        <v>2717.3212000000003</v>
      </c>
      <c r="AG267" s="282">
        <f ca="1">AF267*(1+AG273)</f>
        <v>2989.0533200000004</v>
      </c>
      <c r="AH267" s="16"/>
      <c r="AI267" s="16"/>
      <c r="AJ267" s="16"/>
      <c r="AK267" s="16"/>
    </row>
    <row r="268" ht="13.5" customHeight="1" spans="1:37" x14ac:dyDescent="0.25">
      <c r="A268" s="264"/>
      <c r="B268" s="16"/>
      <c r="C268" s="139"/>
      <c r="D268" s="16"/>
      <c r="E268" s="16"/>
      <c r="F268" s="353"/>
      <c r="G268" s="353"/>
      <c r="H268" s="353"/>
      <c r="I268" s="353"/>
      <c r="J268" s="282"/>
      <c r="K268" s="353"/>
      <c r="L268" s="353"/>
      <c r="M268" s="353"/>
      <c r="N268" s="353"/>
      <c r="O268" s="282"/>
      <c r="P268" s="353"/>
      <c r="Q268" s="353"/>
      <c r="R268" s="353"/>
      <c r="S268" s="353"/>
      <c r="T268" s="282"/>
      <c r="U268" s="353"/>
      <c r="V268" s="353"/>
      <c r="W268" s="353"/>
      <c r="X268" s="359"/>
      <c r="Y268" s="162"/>
      <c r="Z268" s="359"/>
      <c r="AA268" s="359"/>
      <c r="AB268" s="359"/>
      <c r="AC268" s="359"/>
      <c r="AD268" s="162"/>
      <c r="AE268" s="16"/>
      <c r="AF268" s="16"/>
      <c r="AG268" s="16"/>
      <c r="AH268" s="16"/>
      <c r="AI268" s="16"/>
      <c r="AJ268" s="16"/>
      <c r="AK268" s="16"/>
    </row>
    <row r="269" ht="13.5" customHeight="1" spans="1:37" x14ac:dyDescent="0.25">
      <c r="A269" s="264" t="s">
        <v>1</v>
      </c>
      <c r="B269" s="16"/>
      <c r="C269" s="43" t="s">
        <v>46</v>
      </c>
      <c r="D269" s="44"/>
      <c r="E269" s="44"/>
      <c r="F269" s="44"/>
      <c r="G269" s="44"/>
      <c r="H269" s="44"/>
      <c r="I269" s="44"/>
      <c r="J269" s="44"/>
      <c r="K269" s="44"/>
      <c r="L269" s="44"/>
      <c r="M269" s="44"/>
      <c r="N269" s="44"/>
      <c r="O269" s="44"/>
      <c r="P269" s="44"/>
      <c r="Q269" s="44"/>
      <c r="R269" s="44"/>
      <c r="S269" s="44"/>
      <c r="T269" s="44"/>
      <c r="U269" s="44"/>
      <c r="V269" s="44"/>
      <c r="W269" s="44"/>
      <c r="X269" s="44"/>
      <c r="Y269" s="44"/>
      <c r="Z269" s="44"/>
      <c r="AA269" s="44"/>
      <c r="AB269" s="44"/>
      <c r="AC269" s="44"/>
      <c r="AD269" s="44"/>
      <c r="AE269" s="44"/>
      <c r="AF269" s="44"/>
      <c r="AG269" s="396"/>
      <c r="AH269" s="264" t="s">
        <v>1</v>
      </c>
      <c r="AI269" s="16"/>
      <c r="AJ269" s="16"/>
      <c r="AK269" s="16"/>
    </row>
    <row r="270" ht="13.5" customHeight="1" spans="1:37" x14ac:dyDescent="0.25">
      <c r="A270" s="264"/>
      <c r="B270" s="16"/>
      <c r="C270" s="139"/>
      <c r="D270" s="16"/>
      <c r="E270" s="16"/>
      <c r="F270" s="353"/>
      <c r="G270" s="353"/>
      <c r="H270" s="353"/>
      <c r="I270" s="353"/>
      <c r="J270" s="282"/>
      <c r="K270" s="353"/>
      <c r="L270" s="353"/>
      <c r="M270" s="353"/>
      <c r="N270" s="353"/>
      <c r="O270" s="282"/>
      <c r="P270" s="353"/>
      <c r="Q270" s="353"/>
      <c r="R270" s="353"/>
      <c r="S270" s="353"/>
      <c r="T270" s="282"/>
      <c r="U270" s="353"/>
      <c r="V270" s="353"/>
      <c r="W270" s="353"/>
      <c r="X270" s="359"/>
      <c r="Y270" s="162"/>
      <c r="Z270" s="359"/>
      <c r="AA270" s="359"/>
      <c r="AB270" s="359"/>
      <c r="AC270" s="359"/>
      <c r="AD270" s="162"/>
      <c r="AE270" s="16"/>
      <c r="AF270" s="16"/>
      <c r="AG270" s="16"/>
      <c r="AH270" s="16"/>
      <c r="AI270" s="16"/>
      <c r="AJ270" s="16"/>
      <c r="AK270" s="16"/>
    </row>
    <row r="271" ht="13.5" customHeight="1" spans="1:37" x14ac:dyDescent="0.25">
      <c r="A271" s="264"/>
      <c r="B271" s="16"/>
      <c r="C271" s="139" t="s">
        <v>416</v>
      </c>
      <c r="D271" s="16"/>
      <c r="E271" s="16"/>
      <c r="F271" s="413">
        <v>0</v>
      </c>
      <c r="G271" s="413">
        <v>0</v>
      </c>
      <c r="H271" s="413">
        <v>0</v>
      </c>
      <c r="I271" s="413">
        <v>0</v>
      </c>
      <c r="J271" s="329">
        <f ca="1">SUM(F271:I271)</f>
        <v>1e-12</v>
      </c>
      <c r="K271" s="413">
        <v>0</v>
      </c>
      <c r="L271" s="413">
        <v>0</v>
      </c>
      <c r="M271" s="413">
        <v>0</v>
      </c>
      <c r="N271" s="413">
        <v>0</v>
      </c>
      <c r="O271" s="329">
        <f ca="1">SUM(K271:N271)</f>
        <v>1e-12</v>
      </c>
      <c r="P271" s="413">
        <v>0</v>
      </c>
      <c r="Q271" s="413">
        <v>0</v>
      </c>
      <c r="R271" s="413">
        <v>0</v>
      </c>
      <c r="S271" s="413">
        <v>0</v>
      </c>
      <c r="T271" s="329">
        <f ca="1">SUM(P271:S271)</f>
        <v>1e-12</v>
      </c>
      <c r="U271" s="413">
        <v>0</v>
      </c>
      <c r="V271" s="413">
        <v>0</v>
      </c>
      <c r="W271" s="413">
        <v>0</v>
      </c>
      <c r="X271" s="417">
        <v>0</v>
      </c>
      <c r="Y271" s="329">
        <f t="shared" ref="Y271:Y272" si="439" ca="1">SUM(U271:X271)</f>
        <v>1e-12</v>
      </c>
      <c r="Z271" s="417">
        <v>0</v>
      </c>
      <c r="AA271" s="417">
        <v>0</v>
      </c>
      <c r="AB271" s="417">
        <v>0</v>
      </c>
      <c r="AC271" s="417">
        <v>0</v>
      </c>
      <c r="AD271" s="329">
        <f t="shared" ref="AD271:AD272" si="440" ca="1">SUM(Z271:AC271)</f>
        <v>1e-12</v>
      </c>
      <c r="AE271" s="329">
        <v>0</v>
      </c>
      <c r="AF271" s="329">
        <v>0</v>
      </c>
      <c r="AG271" s="329">
        <v>0</v>
      </c>
      <c r="AH271" s="16"/>
      <c r="AI271" s="16"/>
      <c r="AJ271" s="16"/>
      <c r="AK271" s="16"/>
    </row>
    <row r="272" ht="13.5" customHeight="1" spans="1:37" x14ac:dyDescent="0.25">
      <c r="A272" s="264"/>
      <c r="B272" s="16"/>
      <c r="C272" s="139" t="s">
        <v>417</v>
      </c>
      <c r="D272" s="16"/>
      <c r="E272" s="16"/>
      <c r="F272" s="384">
        <f t="shared" ref="F272:W272" si="441" ca="1">F241</f>
        <v>728</v>
      </c>
      <c r="G272" s="384">
        <f ca="1">G241</f>
        <v>1118</v>
      </c>
      <c r="H272" s="384">
        <f ca="1">H241</f>
        <v>652</v>
      </c>
      <c r="I272" s="384">
        <f ca="1">I241</f>
        <v>539</v>
      </c>
      <c r="J272" s="162">
        <f ca="1">J241</f>
        <v>3037</v>
      </c>
      <c r="K272" s="384">
        <f ca="1">K241</f>
        <v>826</v>
      </c>
      <c r="L272" s="384">
        <f ca="1">L241</f>
        <v>1944</v>
      </c>
      <c r="M272" s="384">
        <f ca="1">M241</f>
        <v>879</v>
      </c>
      <c r="N272" s="384">
        <f ca="1">N241</f>
        <v>664</v>
      </c>
      <c r="O272" s="162">
        <f ca="1">O241</f>
        <v>4313</v>
      </c>
      <c r="P272" s="384">
        <f ca="1">P241</f>
        <v>966</v>
      </c>
      <c r="Q272" s="384">
        <f ca="1">Q241</f>
        <v>1e-12</v>
      </c>
      <c r="R272" s="384">
        <f ca="1">R241</f>
        <v>562</v>
      </c>
      <c r="S272" s="384">
        <f ca="1">S241</f>
        <v>3443</v>
      </c>
      <c r="T272" s="162">
        <f ca="1">T241</f>
        <v>4971</v>
      </c>
      <c r="U272" s="384">
        <f ca="1">U241</f>
        <v>3038</v>
      </c>
      <c r="V272" s="384">
        <f ca="1">V241</f>
        <v>3136</v>
      </c>
      <c r="W272" s="384">
        <f ca="1">W241</f>
        <v>2825</v>
      </c>
      <c r="X272" s="361">
        <f ca="1">Drivers!X165</f>
        <v>500</v>
      </c>
      <c r="Y272" s="162">
        <f ca="1">SUM(U272:X272)</f>
        <v>9499</v>
      </c>
      <c r="Z272" s="361">
        <f ca="1">Drivers!Z165</f>
        <v>500</v>
      </c>
      <c r="AA272" s="361">
        <f ca="1">Drivers!AA165</f>
        <v>500</v>
      </c>
      <c r="AB272" s="361">
        <f ca="1">Drivers!AB165</f>
        <v>500</v>
      </c>
      <c r="AC272" s="361">
        <f ca="1">Drivers!AC165</f>
        <v>500</v>
      </c>
      <c r="AD272" s="162">
        <f ca="1">SUM(Z272:AC272)</f>
        <v>2000</v>
      </c>
      <c r="AE272" s="362">
        <f ca="1">Drivers!AE165</f>
        <v>3000</v>
      </c>
      <c r="AF272" s="362">
        <f ca="1">Drivers!AF165</f>
        <v>3000</v>
      </c>
      <c r="AG272" s="362">
        <f ca="1">Drivers!AG165</f>
        <v>3000</v>
      </c>
      <c r="AH272" s="16"/>
      <c r="AI272" s="16"/>
      <c r="AJ272" s="16"/>
      <c r="AK272" s="16"/>
    </row>
    <row r="273" ht="13.5" customHeight="1" spans="1:37" x14ac:dyDescent="0.25">
      <c r="A273" s="264"/>
      <c r="B273" s="16"/>
      <c r="C273" s="139" t="s">
        <v>418</v>
      </c>
      <c r="D273" s="16"/>
      <c r="E273" s="16"/>
      <c r="F273" s="410"/>
      <c r="G273" s="397"/>
      <c r="H273" s="397"/>
      <c r="I273" s="397"/>
      <c r="J273" s="398"/>
      <c r="K273" s="397">
        <f t="shared" ref="K273:W273" si="442" ca="1">K267/F267-1</f>
        <v>-0.010000000000000009</v>
      </c>
      <c r="L273" s="397">
        <f ca="1">L267/G267-1</f>
        <v>-0.010000000000000009</v>
      </c>
      <c r="M273" s="397">
        <f ca="1">M267/H267-1</f>
        <v>-0.010000000000000009</v>
      </c>
      <c r="N273" s="397">
        <f ca="1">N267/I267-1</f>
        <v>0.010204081632652962</v>
      </c>
      <c r="O273" s="398">
        <f ca="1">O267/J267-1</f>
        <v>-0.005025125628140725</v>
      </c>
      <c r="P273" s="397">
        <f ca="1">P267/K267-1</f>
        <v>-0.010101010101010055</v>
      </c>
      <c r="Q273" s="397">
        <f ca="1">Q267/L267-1</f>
        <v>1.4848484848484849</v>
      </c>
      <c r="R273" s="397">
        <f ca="1">R267/M267-1</f>
        <v>1.474747474747475</v>
      </c>
      <c r="S273" s="397">
        <f ca="1">S267/N267-1</f>
        <v>1.474747474747475</v>
      </c>
      <c r="T273" s="398">
        <f ca="1">T267/O267-1</f>
        <v>1.106060606060606</v>
      </c>
      <c r="U273" s="397">
        <f ca="1">U267/P267-1</f>
        <v>1.489795918367347</v>
      </c>
      <c r="V273" s="397">
        <f ca="1">V267/Q267-1</f>
        <v>1.5447154471544717</v>
      </c>
      <c r="W273" s="397">
        <f ca="1">W267/R267-1</f>
        <v>0.3533653846153846</v>
      </c>
      <c r="X273" s="422">
        <f ca="1">Drivers!X101</f>
        <v>0.15</v>
      </c>
      <c r="Y273" s="398">
        <f ca="1">Y267/T267-1</f>
        <v>0.14600938967136146</v>
      </c>
      <c r="Z273" s="422">
        <f ca="1">Drivers!Z101</f>
        <v>0.15</v>
      </c>
      <c r="AA273" s="422">
        <f ca="1">Drivers!AA101</f>
        <v>0.15</v>
      </c>
      <c r="AB273" s="422">
        <f ca="1">Drivers!AB101</f>
        <v>0.15</v>
      </c>
      <c r="AC273" s="422">
        <f ca="1">Drivers!AC101</f>
        <v>0.15</v>
      </c>
      <c r="AD273" s="398">
        <f ca="1">AD267/Y267-1</f>
        <v>0.1499999999999999</v>
      </c>
      <c r="AE273" s="423">
        <f ca="1">Drivers!AE101</f>
        <v>0.1</v>
      </c>
      <c r="AF273" s="423">
        <f ca="1">Drivers!AF101</f>
        <v>0.1</v>
      </c>
      <c r="AG273" s="423">
        <f ca="1">Drivers!AG101</f>
        <v>0.1</v>
      </c>
      <c r="AH273" s="16"/>
      <c r="AI273" s="16"/>
      <c r="AJ273" s="16"/>
      <c r="AK273" s="16"/>
    </row>
    <row r="274" ht="13.5" customHeight="1" spans="1:37" x14ac:dyDescent="0.25">
      <c r="A274" s="264"/>
      <c r="B274" s="16"/>
      <c r="C274" s="16"/>
      <c r="D274" s="16"/>
      <c r="E274" s="16"/>
      <c r="F274" s="315"/>
      <c r="G274" s="315"/>
      <c r="H274" s="315"/>
      <c r="I274" s="315"/>
      <c r="J274" s="16"/>
      <c r="K274" s="315"/>
      <c r="L274" s="315"/>
      <c r="M274" s="315"/>
      <c r="N274" s="315"/>
      <c r="O274" s="16"/>
      <c r="P274" s="315"/>
      <c r="Q274" s="315"/>
      <c r="R274" s="315"/>
      <c r="S274" s="315"/>
      <c r="T274" s="16"/>
      <c r="U274" s="315"/>
      <c r="V274" s="315"/>
      <c r="W274" s="315"/>
      <c r="X274" s="316"/>
      <c r="Y274" s="16"/>
      <c r="Z274" s="316"/>
      <c r="AA274" s="316"/>
      <c r="AB274" s="316"/>
      <c r="AC274" s="316"/>
      <c r="AD274" s="16"/>
      <c r="AE274" s="16"/>
      <c r="AF274" s="16"/>
      <c r="AG274" s="16"/>
      <c r="AH274" s="16"/>
      <c r="AI274" s="16"/>
      <c r="AJ274" s="16"/>
      <c r="AK274" s="16"/>
    </row>
    <row r="275" ht="13.5" customHeight="1" spans="1:37" x14ac:dyDescent="0.25">
      <c r="A275" s="264" t="s">
        <v>1</v>
      </c>
      <c r="B275" s="47"/>
      <c r="C275" s="62" t="s">
        <v>419</v>
      </c>
      <c r="D275" s="19"/>
      <c r="E275" s="19"/>
      <c r="F275" s="313">
        <f ca="1">F$25</f>
        <v>1e-12</v>
      </c>
      <c r="G275" s="63">
        <f t="shared" ref="G275:AG275" si="443" ca="1">G$63</f>
        <v>1e-12</v>
      </c>
      <c r="H275" s="63">
        <f ca="1">H$63</f>
        <v>1e-12</v>
      </c>
      <c r="I275" s="63">
        <f ca="1">I$63</f>
        <v>1e-12</v>
      </c>
      <c r="J275" s="63">
        <f ca="1">J$63</f>
        <v>2023</v>
      </c>
      <c r="K275" s="63">
        <f ca="1">K$63</f>
        <v>1e-12</v>
      </c>
      <c r="L275" s="63">
        <f ca="1">L$63</f>
        <v>1e-12</v>
      </c>
      <c r="M275" s="63">
        <f ca="1">M$63</f>
        <v>1e-12</v>
      </c>
      <c r="N275" s="63">
        <f ca="1">N$63</f>
        <v>1e-12</v>
      </c>
      <c r="O275" s="63">
        <f ca="1">O$63</f>
        <v>2024</v>
      </c>
      <c r="P275" s="63">
        <f ca="1">P$63</f>
        <v>1e-12</v>
      </c>
      <c r="Q275" s="63">
        <f ca="1">Q$63</f>
        <v>1e-12</v>
      </c>
      <c r="R275" s="63">
        <f ca="1">R$63</f>
        <v>1e-12</v>
      </c>
      <c r="S275" s="63">
        <f ca="1">S$63</f>
        <v>1e-12</v>
      </c>
      <c r="T275" s="63">
        <f ca="1">T$63</f>
        <v>2025</v>
      </c>
      <c r="U275" s="63">
        <f ca="1">U$63</f>
        <v>1e-12</v>
      </c>
      <c r="V275" s="63">
        <f ca="1">V$63</f>
        <v>1e-12</v>
      </c>
      <c r="W275" s="63" t="str">
        <f ca="1">W$63</f>
        <v>3Q26e</v>
      </c>
      <c r="X275" s="63" t="str">
        <f ca="1">X$63</f>
        <v>4Q26e</v>
      </c>
      <c r="Y275" s="63" t="str">
        <f ca="1">Y$63</f>
        <v>2026e</v>
      </c>
      <c r="Z275" s="63" t="str">
        <f ca="1">Z$63</f>
        <v>1Q27e</v>
      </c>
      <c r="AA275" s="63" t="str">
        <f ca="1">AA$63</f>
        <v>2Q27e</v>
      </c>
      <c r="AB275" s="63" t="str">
        <f ca="1">AB$63</f>
        <v>3Q27e</v>
      </c>
      <c r="AC275" s="63" t="str">
        <f ca="1">AC$63</f>
        <v>4Q27e</v>
      </c>
      <c r="AD275" s="63" t="str">
        <f ca="1">AD$63</f>
        <v>2027e</v>
      </c>
      <c r="AE275" s="63" t="str">
        <f ca="1">AE$63</f>
        <v>2028e</v>
      </c>
      <c r="AF275" s="63" t="str">
        <f ca="1">AF$63</f>
        <v>2029e</v>
      </c>
      <c r="AG275" s="64" t="str">
        <f ca="1">AG$63</f>
        <v>2030e</v>
      </c>
      <c r="AH275" s="264" t="s">
        <v>1</v>
      </c>
      <c r="AI275" s="16"/>
      <c r="AJ275" s="16"/>
      <c r="AK275" s="16"/>
    </row>
    <row r="276" ht="13.5" customHeight="1" spans="1:37" x14ac:dyDescent="0.25">
      <c r="A276" s="264"/>
      <c r="B276" s="16"/>
      <c r="C276" s="16"/>
      <c r="D276" s="16"/>
      <c r="E276" s="16"/>
      <c r="F276" s="315"/>
      <c r="G276" s="315"/>
      <c r="H276" s="315"/>
      <c r="I276" s="315"/>
      <c r="J276" s="16"/>
      <c r="K276" s="315"/>
      <c r="L276" s="315"/>
      <c r="M276" s="315"/>
      <c r="N276" s="315"/>
      <c r="O276" s="16"/>
      <c r="P276" s="315"/>
      <c r="Q276" s="315"/>
      <c r="R276" s="315"/>
      <c r="S276" s="315"/>
      <c r="T276" s="16"/>
      <c r="U276" s="315"/>
      <c r="V276" s="315"/>
      <c r="W276" s="315"/>
      <c r="X276" s="316"/>
      <c r="Y276" s="16"/>
      <c r="Z276" s="316"/>
      <c r="AA276" s="316"/>
      <c r="AB276" s="316"/>
      <c r="AC276" s="316"/>
      <c r="AD276" s="16"/>
      <c r="AE276" s="16"/>
      <c r="AF276" s="16"/>
      <c r="AG276" s="16"/>
      <c r="AH276" s="16"/>
      <c r="AI276" s="16"/>
      <c r="AJ276" s="16"/>
      <c r="AK276" s="16"/>
    </row>
    <row r="277" ht="13.5" customHeight="1" spans="1:37" x14ac:dyDescent="0.25">
      <c r="A277" s="264"/>
      <c r="B277" s="16"/>
      <c r="C277" s="16" t="s">
        <v>420</v>
      </c>
      <c r="D277" s="16"/>
      <c r="E277" s="16"/>
      <c r="F277" s="357"/>
      <c r="G277" s="357"/>
      <c r="H277" s="357"/>
      <c r="I277" s="357"/>
      <c r="J277" s="16"/>
      <c r="K277" s="357"/>
      <c r="L277" s="357"/>
      <c r="M277" s="357"/>
      <c r="N277" s="357"/>
      <c r="O277" s="16"/>
      <c r="P277" s="357"/>
      <c r="Q277" s="357"/>
      <c r="R277" s="357"/>
      <c r="S277" s="357"/>
      <c r="T277" s="16"/>
      <c r="U277" s="357"/>
      <c r="V277" s="357"/>
      <c r="W277" s="357"/>
      <c r="X277" s="360">
        <f ca="1">W280</f>
        <v>673.747189</v>
      </c>
      <c r="Y277" s="16"/>
      <c r="Z277" s="360">
        <f t="shared" ref="Z277:AC277" si="444" ca="1">Y280</f>
        <v>671.6029227679047</v>
      </c>
      <c r="AA277" s="360">
        <f ca="1">Z280</f>
        <v>669.4586565358094</v>
      </c>
      <c r="AB277" s="360">
        <f ca="1">AA280</f>
        <v>667.314390303714</v>
      </c>
      <c r="AC277" s="360">
        <f ca="1">AB280</f>
        <v>665.1701240716187</v>
      </c>
      <c r="AD277" s="162">
        <f ca="1">Y280</f>
        <v>671.6029227679047</v>
      </c>
      <c r="AE277" s="453">
        <f t="shared" ref="AE277:AG277" si="445" ca="1">AD280</f>
        <v>663.0258578395232</v>
      </c>
      <c r="AF277" s="453">
        <f ca="1">AE280</f>
        <v>650.1602604469509</v>
      </c>
      <c r="AG277" s="453">
        <f ca="1">AF280</f>
        <v>637.2946630543787</v>
      </c>
      <c r="AH277" s="16"/>
      <c r="AI277" s="16"/>
      <c r="AJ277" s="16"/>
      <c r="AK277" s="16"/>
    </row>
    <row r="278" ht="13.5" customHeight="1" spans="1:37" x14ac:dyDescent="0.25">
      <c r="A278" s="264"/>
      <c r="B278" s="16"/>
      <c r="C278" s="139" t="s">
        <v>421</v>
      </c>
      <c r="D278" s="16"/>
      <c r="E278" s="16"/>
      <c r="F278" s="454"/>
      <c r="G278" s="454"/>
      <c r="H278" s="454"/>
      <c r="I278" s="454"/>
      <c r="J278" s="455"/>
      <c r="K278" s="454"/>
      <c r="L278" s="454"/>
      <c r="M278" s="454"/>
      <c r="N278" s="454"/>
      <c r="O278" s="455"/>
      <c r="P278" s="454"/>
      <c r="Q278" s="454"/>
      <c r="R278" s="454"/>
      <c r="S278" s="454"/>
      <c r="T278" s="455"/>
      <c r="U278" s="454"/>
      <c r="V278" s="454"/>
      <c r="W278" s="454"/>
      <c r="X278" s="360">
        <f ca="1">X271</f>
        <v>1e-12</v>
      </c>
      <c r="Y278" s="453">
        <f t="shared" ref="Y278:Y279" si="446" ca="1">SUM(U278:X278)</f>
        <v>1e-12</v>
      </c>
      <c r="Z278" s="360">
        <f t="shared" ref="Z278:AC278" si="447" ca="1">Z271</f>
        <v>1e-12</v>
      </c>
      <c r="AA278" s="360">
        <f ca="1">AA271</f>
        <v>1e-12</v>
      </c>
      <c r="AB278" s="360">
        <f ca="1">AB271</f>
        <v>1e-12</v>
      </c>
      <c r="AC278" s="360">
        <f ca="1">AC271</f>
        <v>1e-12</v>
      </c>
      <c r="AD278" s="453">
        <f t="shared" ref="AD278:AD279" si="448" ca="1">SUM(Z278:AC278)</f>
        <v>1e-12</v>
      </c>
      <c r="AE278" s="453">
        <f t="shared" ref="AE278:AG278" si="449" ca="1">AE271</f>
        <v>1e-12</v>
      </c>
      <c r="AF278" s="453">
        <f ca="1">AF271</f>
        <v>1e-12</v>
      </c>
      <c r="AG278" s="453">
        <f ca="1">AG271</f>
        <v>1e-12</v>
      </c>
      <c r="AH278" s="16"/>
      <c r="AI278" s="16"/>
      <c r="AJ278" s="16"/>
      <c r="AK278" s="16"/>
    </row>
    <row r="279" ht="13.5" customHeight="1" spans="1:37" x14ac:dyDescent="0.25">
      <c r="A279" s="264"/>
      <c r="B279" s="16"/>
      <c r="C279" s="139" t="s">
        <v>422</v>
      </c>
      <c r="D279" s="16"/>
      <c r="E279" s="16"/>
      <c r="F279" s="456"/>
      <c r="G279" s="456"/>
      <c r="H279" s="456"/>
      <c r="I279" s="456"/>
      <c r="J279" s="457"/>
      <c r="K279" s="456"/>
      <c r="L279" s="456"/>
      <c r="M279" s="456"/>
      <c r="N279" s="456"/>
      <c r="O279" s="457"/>
      <c r="P279" s="456"/>
      <c r="Q279" s="456"/>
      <c r="R279" s="456"/>
      <c r="S279" s="456"/>
      <c r="T279" s="457"/>
      <c r="U279" s="456"/>
      <c r="V279" s="456"/>
      <c r="W279" s="456"/>
      <c r="X279" s="458">
        <f ca="1">-X240</f>
        <v>-2.1442662320953767</v>
      </c>
      <c r="Y279" s="459">
        <f ca="1">SUM(U279:X279)</f>
        <v>-2.1442662320953767</v>
      </c>
      <c r="Z279" s="458">
        <f t="shared" ref="Z279:AC279" si="450" ca="1">-Z240</f>
        <v>-2.1442662320953767</v>
      </c>
      <c r="AA279" s="458">
        <f ca="1">-AA240</f>
        <v>-2.1442662320953767</v>
      </c>
      <c r="AB279" s="458">
        <f ca="1">-AB240</f>
        <v>-2.1442662320953767</v>
      </c>
      <c r="AC279" s="458">
        <f ca="1">-AC240</f>
        <v>-2.1442662320953767</v>
      </c>
      <c r="AD279" s="459">
        <f ca="1">SUM(Z279:AC279)</f>
        <v>-8.577064928381507</v>
      </c>
      <c r="AE279" s="459">
        <f t="shared" ref="AE279:AG279" si="451" ca="1">-AE240</f>
        <v>-12.865597392572262</v>
      </c>
      <c r="AF279" s="459">
        <f ca="1">-AF240</f>
        <v>-12.865597392572262</v>
      </c>
      <c r="AG279" s="459">
        <f ca="1">-AG240</f>
        <v>-12.865597392572262</v>
      </c>
      <c r="AH279" s="16"/>
      <c r="AI279" s="16"/>
      <c r="AJ279" s="16"/>
      <c r="AK279" s="16"/>
    </row>
    <row r="280" ht="13.5" customHeight="1" spans="1:37" x14ac:dyDescent="0.25">
      <c r="A280" s="264"/>
      <c r="B280" s="16"/>
      <c r="C280" s="16" t="s">
        <v>423</v>
      </c>
      <c r="D280" s="16"/>
      <c r="E280" s="16"/>
      <c r="F280" s="358">
        <v>816.153978</v>
      </c>
      <c r="G280" s="358">
        <v>808.275229</v>
      </c>
      <c r="H280" s="358">
        <v>802.957007</v>
      </c>
      <c r="I280" s="358">
        <f ca="1">J280</f>
        <v>612.478643</v>
      </c>
      <c r="J280" s="366">
        <v>612.478643</v>
      </c>
      <c r="K280" s="358">
        <v>816.153978</v>
      </c>
      <c r="L280" s="358">
        <v>808.275229</v>
      </c>
      <c r="M280" s="358">
        <v>802.957007</v>
      </c>
      <c r="N280" s="358">
        <f ca="1">O280</f>
        <v>795.922717</v>
      </c>
      <c r="O280" s="366">
        <v>795.922717</v>
      </c>
      <c r="P280" s="358">
        <v>755.002775</v>
      </c>
      <c r="Q280" s="358">
        <v>755.736046</v>
      </c>
      <c r="R280" s="358">
        <v>732.722859</v>
      </c>
      <c r="S280" s="358">
        <v>754.948648</v>
      </c>
      <c r="T280" s="366">
        <f ca="1">S280</f>
        <v>754.948648</v>
      </c>
      <c r="U280" s="358">
        <v>706.890137</v>
      </c>
      <c r="V280" s="358">
        <v>692.43269</v>
      </c>
      <c r="W280" s="358">
        <v>673.747189</v>
      </c>
      <c r="X280" s="359">
        <f ca="1">SUM(X277:X279)</f>
        <v>671.6029227679047</v>
      </c>
      <c r="Y280" s="162">
        <f ca="1">X280</f>
        <v>671.6029227679047</v>
      </c>
      <c r="Z280" s="359">
        <f t="shared" ref="Z280:AG280" si="452" ca="1">SUM(Z277:Z279)</f>
        <v>669.4586565358094</v>
      </c>
      <c r="AA280" s="359">
        <f ca="1">SUM(AA277:AA279)</f>
        <v>667.314390303714</v>
      </c>
      <c r="AB280" s="359">
        <f ca="1">SUM(AB277:AB279)</f>
        <v>665.1701240716187</v>
      </c>
      <c r="AC280" s="359">
        <f ca="1">SUM(AC277:AC279)</f>
        <v>663.0258578395234</v>
      </c>
      <c r="AD280" s="162">
        <f ca="1">SUM(AD277:AD279)</f>
        <v>663.0258578395232</v>
      </c>
      <c r="AE280" s="162">
        <f ca="1">SUM(AE277:AE279)</f>
        <v>650.1602604469509</v>
      </c>
      <c r="AF280" s="162">
        <f ca="1">SUM(AF277:AF279)</f>
        <v>637.2946630543787</v>
      </c>
      <c r="AG280" s="162">
        <f ca="1">SUM(AG277:AG279)</f>
        <v>624.4290656618065</v>
      </c>
      <c r="AH280" s="16"/>
      <c r="AI280" s="16"/>
      <c r="AJ280" s="16"/>
      <c r="AK280" s="16"/>
    </row>
    <row r="281" ht="13.5" customHeight="1" spans="1:37" x14ac:dyDescent="0.25">
      <c r="A281" s="264"/>
      <c r="B281" s="16"/>
      <c r="C281" s="16"/>
      <c r="D281" s="16"/>
      <c r="E281" s="16"/>
      <c r="F281" s="384"/>
      <c r="G281" s="384"/>
      <c r="H281" s="384"/>
      <c r="I281" s="384"/>
      <c r="J281" s="162"/>
      <c r="K281" s="384"/>
      <c r="L281" s="384"/>
      <c r="M281" s="384"/>
      <c r="N281" s="384"/>
      <c r="O281" s="162"/>
      <c r="P281" s="384"/>
      <c r="Q281" s="384"/>
      <c r="R281" s="384"/>
      <c r="S281" s="384"/>
      <c r="T281" s="162"/>
      <c r="U281" s="384"/>
      <c r="V281" s="384"/>
      <c r="W281" s="384"/>
      <c r="X281" s="359"/>
      <c r="Y281" s="162"/>
      <c r="Z281" s="359"/>
      <c r="AA281" s="359"/>
      <c r="AB281" s="359"/>
      <c r="AC281" s="359"/>
      <c r="AD281" s="162"/>
      <c r="AE281" s="16"/>
      <c r="AF281" s="16"/>
      <c r="AG281" s="16"/>
      <c r="AH281" s="16"/>
      <c r="AI281" s="16"/>
      <c r="AJ281" s="16"/>
      <c r="AK281" s="16"/>
    </row>
    <row r="282" ht="13.5" customHeight="1" spans="1:37" x14ac:dyDescent="0.25">
      <c r="A282" s="264"/>
      <c r="B282" s="16"/>
      <c r="C282" s="16" t="s">
        <v>424</v>
      </c>
      <c r="D282" s="16"/>
      <c r="E282" s="16"/>
      <c r="F282" s="358">
        <v>825</v>
      </c>
      <c r="G282" s="358">
        <v>813</v>
      </c>
      <c r="H282" s="358">
        <v>806</v>
      </c>
      <c r="I282" s="358">
        <v>801</v>
      </c>
      <c r="J282" s="366">
        <f ca="1">I282</f>
        <v>801</v>
      </c>
      <c r="K282" s="358">
        <v>825</v>
      </c>
      <c r="L282" s="358">
        <v>813</v>
      </c>
      <c r="M282" s="358">
        <v>806</v>
      </c>
      <c r="N282" s="358">
        <v>801</v>
      </c>
      <c r="O282" s="366">
        <f ca="1">N282</f>
        <v>801</v>
      </c>
      <c r="P282" s="358">
        <v>755</v>
      </c>
      <c r="Q282" s="358">
        <v>752</v>
      </c>
      <c r="R282" s="358">
        <v>752</v>
      </c>
      <c r="S282" s="358">
        <v>748</v>
      </c>
      <c r="T282" s="366">
        <f ca="1">S282</f>
        <v>748</v>
      </c>
      <c r="U282" s="358">
        <v>718</v>
      </c>
      <c r="V282" s="358">
        <v>705</v>
      </c>
      <c r="W282" s="358">
        <v>690</v>
      </c>
      <c r="X282" s="359">
        <f ca="1">AVERAGE(X280,X277)</f>
        <v>672.6750558839524</v>
      </c>
      <c r="Y282" s="162">
        <f ca="1">AVERAGE(U282:X282)</f>
        <v>696.418763970988</v>
      </c>
      <c r="Z282" s="359">
        <f t="shared" ref="Z282:AC282" si="453" ca="1">AVERAGE(Z280,Z277)</f>
        <v>670.530789651857</v>
      </c>
      <c r="AA282" s="359">
        <f ca="1">AVERAGE(AA280,AA277)</f>
        <v>668.3865234197617</v>
      </c>
      <c r="AB282" s="359">
        <f ca="1">AVERAGE(AB280,AB277)</f>
        <v>666.2422571876664</v>
      </c>
      <c r="AC282" s="359">
        <f ca="1">AVERAGE(AC280,AC277)</f>
        <v>664.097990955571</v>
      </c>
      <c r="AD282" s="162">
        <f ca="1">AVERAGE(Z282:AC282)</f>
        <v>667.314390303714</v>
      </c>
      <c r="AE282" s="162">
        <f t="shared" ref="AE282:AG282" si="454" ca="1">AVERAGE(AE280,AE277)</f>
        <v>656.593059143237</v>
      </c>
      <c r="AF282" s="162">
        <f ca="1">AVERAGE(AF280,AF277)</f>
        <v>643.7274617506648</v>
      </c>
      <c r="AG282" s="162">
        <f ca="1">AVERAGE(AG280,AG277)</f>
        <v>630.8618643580926</v>
      </c>
      <c r="AH282" s="16"/>
      <c r="AI282" s="16"/>
      <c r="AJ282" s="16"/>
      <c r="AK282" s="16"/>
    </row>
    <row r="283" ht="13.5" customHeight="1" spans="1:37" x14ac:dyDescent="0.25">
      <c r="A283" s="264"/>
      <c r="B283" s="16"/>
      <c r="C283" s="139" t="s">
        <v>425</v>
      </c>
      <c r="D283" s="16"/>
      <c r="E283" s="16"/>
      <c r="F283" s="372">
        <f t="shared" ref="F283:W283" si="455" ca="1">F284-F282</f>
        <v>1</v>
      </c>
      <c r="G283" s="372">
        <f ca="1">G284-G282</f>
        <v>1</v>
      </c>
      <c r="H283" s="372">
        <f ca="1">H284-H282</f>
        <v>1</v>
      </c>
      <c r="I283" s="372">
        <f ca="1">I284-I282</f>
        <v>1e-12</v>
      </c>
      <c r="J283" s="355">
        <f ca="1">J284-J282</f>
        <v>1e-12</v>
      </c>
      <c r="K283" s="372">
        <f ca="1">K284-K282</f>
        <v>1</v>
      </c>
      <c r="L283" s="372">
        <f ca="1">L284-L282</f>
        <v>1</v>
      </c>
      <c r="M283" s="372">
        <f ca="1">M284-M282</f>
        <v>1</v>
      </c>
      <c r="N283" s="372">
        <f ca="1">N284-N282</f>
        <v>1e-12</v>
      </c>
      <c r="O283" s="355">
        <f ca="1">O284-O282</f>
        <v>1e-12</v>
      </c>
      <c r="P283" s="372">
        <f ca="1">P284-P282</f>
        <v>1</v>
      </c>
      <c r="Q283" s="372">
        <f ca="1">Q284-Q282</f>
        <v>1</v>
      </c>
      <c r="R283" s="372">
        <f ca="1">R284-R282</f>
        <v>2</v>
      </c>
      <c r="S283" s="372">
        <f ca="1">S284-S282</f>
        <v>2</v>
      </c>
      <c r="T283" s="355">
        <f ca="1">T284-T282</f>
        <v>2</v>
      </c>
      <c r="U283" s="372">
        <f ca="1">U284-U282</f>
        <v>2</v>
      </c>
      <c r="V283" s="372">
        <f ca="1">V284-V282</f>
        <v>2</v>
      </c>
      <c r="W283" s="372">
        <f ca="1">W284-W282</f>
        <v>2</v>
      </c>
      <c r="X283" s="368">
        <f ca="1">W283</f>
        <v>2</v>
      </c>
      <c r="Y283" s="355">
        <f ca="1">Y284-Y282</f>
        <v>2</v>
      </c>
      <c r="Z283" s="368">
        <f ca="1">X283</f>
        <v>2</v>
      </c>
      <c r="AA283" s="368">
        <f t="shared" ref="AA283:AC283" si="456" ca="1">Z283</f>
        <v>2</v>
      </c>
      <c r="AB283" s="368">
        <f ca="1">AA283</f>
        <v>2</v>
      </c>
      <c r="AC283" s="368">
        <f ca="1">AB283</f>
        <v>2</v>
      </c>
      <c r="AD283" s="355">
        <f ca="1">AD284-AD282</f>
        <v>2</v>
      </c>
      <c r="AE283" s="369">
        <f ca="1">AC283</f>
        <v>2</v>
      </c>
      <c r="AF283" s="369">
        <f t="shared" ref="AF283:AG283" si="457" ca="1">AE283</f>
        <v>2</v>
      </c>
      <c r="AG283" s="369">
        <f ca="1">AF283</f>
        <v>2</v>
      </c>
      <c r="AH283" s="16"/>
      <c r="AI283" s="16"/>
      <c r="AJ283" s="16"/>
      <c r="AK283" s="16"/>
    </row>
    <row r="284" ht="13.5" customHeight="1" spans="1:37" x14ac:dyDescent="0.25">
      <c r="A284" s="264"/>
      <c r="B284" s="16"/>
      <c r="C284" s="16" t="s">
        <v>426</v>
      </c>
      <c r="D284" s="16"/>
      <c r="E284" s="16"/>
      <c r="F284" s="358">
        <v>826</v>
      </c>
      <c r="G284" s="358">
        <v>814</v>
      </c>
      <c r="H284" s="358">
        <v>807</v>
      </c>
      <c r="I284" s="358">
        <v>801</v>
      </c>
      <c r="J284" s="366">
        <f ca="1">I284</f>
        <v>801</v>
      </c>
      <c r="K284" s="358">
        <v>826</v>
      </c>
      <c r="L284" s="358">
        <v>814</v>
      </c>
      <c r="M284" s="358">
        <v>807</v>
      </c>
      <c r="N284" s="358">
        <v>801</v>
      </c>
      <c r="O284" s="366">
        <f ca="1">N284</f>
        <v>801</v>
      </c>
      <c r="P284" s="358">
        <v>756</v>
      </c>
      <c r="Q284" s="358">
        <v>753</v>
      </c>
      <c r="R284" s="358">
        <v>754</v>
      </c>
      <c r="S284" s="358">
        <v>750</v>
      </c>
      <c r="T284" s="366">
        <f ca="1">S284</f>
        <v>750</v>
      </c>
      <c r="U284" s="358">
        <v>720</v>
      </c>
      <c r="V284" s="358">
        <v>707</v>
      </c>
      <c r="W284" s="358">
        <v>692</v>
      </c>
      <c r="X284" s="359">
        <f ca="1">SUM(X282:X283)</f>
        <v>674.6750558839524</v>
      </c>
      <c r="Y284" s="162">
        <f ca="1">AVERAGE(U284:X284)</f>
        <v>698.418763970988</v>
      </c>
      <c r="Z284" s="359">
        <f t="shared" ref="Z284:AC284" si="458" ca="1">SUM(Z282:Z283)</f>
        <v>672.530789651857</v>
      </c>
      <c r="AA284" s="359">
        <f ca="1">SUM(AA282:AA283)</f>
        <v>670.3865234197617</v>
      </c>
      <c r="AB284" s="359">
        <f ca="1">SUM(AB282:AB283)</f>
        <v>668.2422571876664</v>
      </c>
      <c r="AC284" s="359">
        <f ca="1">SUM(AC282:AC283)</f>
        <v>666.097990955571</v>
      </c>
      <c r="AD284" s="162">
        <f ca="1">AVERAGE(Z284:AC284)</f>
        <v>669.314390303714</v>
      </c>
      <c r="AE284" s="162">
        <f t="shared" ref="AE284:AG284" si="459" ca="1">SUM(AE282:AE283)</f>
        <v>658.593059143237</v>
      </c>
      <c r="AF284" s="162">
        <f ca="1">SUM(AF282:AF283)</f>
        <v>645.7274617506648</v>
      </c>
      <c r="AG284" s="162">
        <f ca="1">SUM(AG282:AG283)</f>
        <v>632.8618643580926</v>
      </c>
      <c r="AH284" s="16"/>
      <c r="AI284" s="16"/>
      <c r="AJ284" s="16"/>
      <c r="AK284" s="16"/>
    </row>
    <row r="285" ht="13.5" customHeight="1" spans="1:37" x14ac:dyDescent="0.25">
      <c r="A285" s="264"/>
      <c r="B285" s="16"/>
      <c r="C285" s="16"/>
      <c r="D285" s="16"/>
      <c r="E285" s="16"/>
      <c r="F285" s="315"/>
      <c r="G285" s="315"/>
      <c r="H285" s="315"/>
      <c r="I285" s="315"/>
      <c r="J285" s="16"/>
      <c r="K285" s="315"/>
      <c r="L285" s="315"/>
      <c r="M285" s="315"/>
      <c r="N285" s="315"/>
      <c r="O285" s="16"/>
      <c r="P285" s="315"/>
      <c r="Q285" s="315"/>
      <c r="R285" s="315"/>
      <c r="S285" s="315"/>
      <c r="T285" s="16"/>
      <c r="U285" s="315"/>
      <c r="V285" s="315"/>
      <c r="W285" s="315"/>
      <c r="X285" s="316"/>
      <c r="Y285" s="16"/>
      <c r="Z285" s="316"/>
      <c r="AA285" s="316"/>
      <c r="AB285" s="316"/>
      <c r="AC285" s="316"/>
      <c r="AD285" s="16"/>
      <c r="AE285" s="16"/>
      <c r="AF285" s="16"/>
      <c r="AG285" s="16"/>
      <c r="AH285" s="16"/>
      <c r="AI285" s="16"/>
      <c r="AJ285" s="16"/>
      <c r="AK285" s="16"/>
    </row>
    <row r="286" ht="13.5" customHeight="1" spans="1:37" x14ac:dyDescent="0.25">
      <c r="A286" s="264" t="s">
        <v>1</v>
      </c>
      <c r="B286" s="47"/>
      <c r="C286" s="62" t="s">
        <v>427</v>
      </c>
      <c r="D286" s="19"/>
      <c r="E286" s="19"/>
      <c r="F286" s="313">
        <f ca="1">F$25</f>
        <v>1e-12</v>
      </c>
      <c r="G286" s="63">
        <f t="shared" ref="G286:AG286" si="460" ca="1">G$63</f>
        <v>1e-12</v>
      </c>
      <c r="H286" s="63">
        <f ca="1">H$63</f>
        <v>1e-12</v>
      </c>
      <c r="I286" s="63">
        <f ca="1">I$63</f>
        <v>1e-12</v>
      </c>
      <c r="J286" s="63">
        <f ca="1">J$63</f>
        <v>2023</v>
      </c>
      <c r="K286" s="63">
        <f ca="1">K$63</f>
        <v>1e-12</v>
      </c>
      <c r="L286" s="63">
        <f ca="1">L$63</f>
        <v>1e-12</v>
      </c>
      <c r="M286" s="63">
        <f ca="1">M$63</f>
        <v>1e-12</v>
      </c>
      <c r="N286" s="63">
        <f ca="1">N$63</f>
        <v>1e-12</v>
      </c>
      <c r="O286" s="63">
        <f ca="1">O$63</f>
        <v>2024</v>
      </c>
      <c r="P286" s="63">
        <f ca="1">P$63</f>
        <v>1e-12</v>
      </c>
      <c r="Q286" s="63">
        <f ca="1">Q$63</f>
        <v>1e-12</v>
      </c>
      <c r="R286" s="63">
        <f ca="1">R$63</f>
        <v>1e-12</v>
      </c>
      <c r="S286" s="63">
        <f ca="1">S$63</f>
        <v>1e-12</v>
      </c>
      <c r="T286" s="63">
        <f ca="1">T$63</f>
        <v>2025</v>
      </c>
      <c r="U286" s="63">
        <f ca="1">U$63</f>
        <v>1e-12</v>
      </c>
      <c r="V286" s="63">
        <f ca="1">V$63</f>
        <v>1e-12</v>
      </c>
      <c r="W286" s="63" t="str">
        <f ca="1">W$63</f>
        <v>3Q26e</v>
      </c>
      <c r="X286" s="63" t="str">
        <f ca="1">X$63</f>
        <v>4Q26e</v>
      </c>
      <c r="Y286" s="63" t="str">
        <f ca="1">Y$63</f>
        <v>2026e</v>
      </c>
      <c r="Z286" s="63" t="str">
        <f ca="1">Z$63</f>
        <v>1Q27e</v>
      </c>
      <c r="AA286" s="63" t="str">
        <f ca="1">AA$63</f>
        <v>2Q27e</v>
      </c>
      <c r="AB286" s="63" t="str">
        <f ca="1">AB$63</f>
        <v>3Q27e</v>
      </c>
      <c r="AC286" s="63" t="str">
        <f ca="1">AC$63</f>
        <v>4Q27e</v>
      </c>
      <c r="AD286" s="63" t="str">
        <f ca="1">AD$63</f>
        <v>2027e</v>
      </c>
      <c r="AE286" s="63" t="str">
        <f ca="1">AE$63</f>
        <v>2028e</v>
      </c>
      <c r="AF286" s="63" t="str">
        <f ca="1">AF$63</f>
        <v>2029e</v>
      </c>
      <c r="AG286" s="64" t="str">
        <f ca="1">AG$63</f>
        <v>2030e</v>
      </c>
      <c r="AH286" s="264" t="s">
        <v>1</v>
      </c>
      <c r="AI286" s="16"/>
      <c r="AJ286" s="16"/>
      <c r="AK286" s="16"/>
    </row>
    <row r="287" ht="13.5" customHeight="1" spans="1:37" x14ac:dyDescent="0.25">
      <c r="A287" s="264"/>
      <c r="B287" s="16"/>
      <c r="C287" s="16"/>
      <c r="D287" s="16"/>
      <c r="E287" s="16"/>
      <c r="F287" s="315"/>
      <c r="G287" s="315"/>
      <c r="H287" s="315"/>
      <c r="I287" s="315"/>
      <c r="J287" s="16"/>
      <c r="K287" s="315"/>
      <c r="L287" s="315"/>
      <c r="M287" s="315"/>
      <c r="N287" s="315"/>
      <c r="O287" s="16"/>
      <c r="P287" s="315"/>
      <c r="Q287" s="315"/>
      <c r="R287" s="315"/>
      <c r="S287" s="315"/>
      <c r="T287" s="16"/>
      <c r="U287" s="315"/>
      <c r="V287" s="315"/>
      <c r="W287" s="315"/>
      <c r="X287" s="316"/>
      <c r="Y287" s="16"/>
      <c r="Z287" s="316"/>
      <c r="AA287" s="316"/>
      <c r="AB287" s="316"/>
      <c r="AC287" s="316"/>
      <c r="AD287" s="16"/>
      <c r="AE287" s="16"/>
      <c r="AF287" s="16"/>
      <c r="AG287" s="16"/>
      <c r="AH287" s="16"/>
      <c r="AI287" s="16"/>
      <c r="AJ287" s="16"/>
      <c r="AK287" s="16"/>
    </row>
    <row r="288" ht="13.5" customHeight="1" spans="1:37" x14ac:dyDescent="0.25">
      <c r="A288" s="264"/>
      <c r="B288" s="16"/>
      <c r="C288" s="16" t="s">
        <v>308</v>
      </c>
      <c r="D288" s="16"/>
      <c r="E288" s="16"/>
      <c r="F288" s="315"/>
      <c r="G288" s="315"/>
      <c r="H288" s="315"/>
      <c r="I288" s="315"/>
      <c r="J288" s="16"/>
      <c r="K288" s="315"/>
      <c r="L288" s="315"/>
      <c r="M288" s="315"/>
      <c r="N288" s="315"/>
      <c r="O288" s="16"/>
      <c r="P288" s="315"/>
      <c r="Q288" s="315"/>
      <c r="R288" s="315"/>
      <c r="S288" s="315"/>
      <c r="T288" s="16"/>
      <c r="U288" s="315"/>
      <c r="V288" s="315"/>
      <c r="W288" s="315"/>
      <c r="X288" s="281">
        <f ca="1">X87</f>
        <v>-100.87655647826267</v>
      </c>
      <c r="Y288" s="16"/>
      <c r="Z288" s="281">
        <f ca="1">Z87</f>
        <v>-5631.967260527894</v>
      </c>
      <c r="AA288" s="281">
        <f ca="1">AA87</f>
        <v>-1204.5400397434516</v>
      </c>
      <c r="AB288" s="281">
        <f ca="1">AB87</f>
        <v>-1200.6608664685928</v>
      </c>
      <c r="AC288" s="281">
        <f ca="1">AC87</f>
        <v>-3104.260826915661</v>
      </c>
      <c r="AD288" s="16"/>
      <c r="AE288" s="282">
        <f ca="1">AE87</f>
        <v>-8043.187606965865</v>
      </c>
      <c r="AF288" s="282">
        <f ca="1">AF87</f>
        <v>-9093.321152342283</v>
      </c>
      <c r="AG288" s="282">
        <f ca="1">AG87</f>
        <v>-9311.79239613881</v>
      </c>
      <c r="AH288" s="16"/>
      <c r="AI288" s="16"/>
      <c r="AJ288" s="16"/>
      <c r="AK288" s="16"/>
    </row>
    <row r="289" ht="13.5" customHeight="1" spans="1:37" x14ac:dyDescent="0.25">
      <c r="A289" s="264"/>
      <c r="B289" s="16"/>
      <c r="C289" s="139" t="s">
        <v>422</v>
      </c>
      <c r="D289" s="16"/>
      <c r="E289" s="16"/>
      <c r="F289" s="315"/>
      <c r="G289" s="315"/>
      <c r="H289" s="315"/>
      <c r="I289" s="315"/>
      <c r="J289" s="16"/>
      <c r="K289" s="315"/>
      <c r="L289" s="315"/>
      <c r="M289" s="315"/>
      <c r="N289" s="315"/>
      <c r="O289" s="16"/>
      <c r="P289" s="315"/>
      <c r="Q289" s="315"/>
      <c r="R289" s="315"/>
      <c r="S289" s="315"/>
      <c r="T289" s="16"/>
      <c r="U289" s="315"/>
      <c r="V289" s="315"/>
      <c r="W289" s="315"/>
      <c r="X289" s="359">
        <f ca="1">-X241</f>
        <v>-500</v>
      </c>
      <c r="Y289" s="16"/>
      <c r="Z289" s="359">
        <f t="shared" ref="Z289:AC289" si="461" ca="1">-Z241</f>
        <v>-500</v>
      </c>
      <c r="AA289" s="359">
        <f ca="1">-AA241</f>
        <v>-500</v>
      </c>
      <c r="AB289" s="359">
        <f ca="1">-AB241</f>
        <v>-500</v>
      </c>
      <c r="AC289" s="359">
        <f ca="1">-AC241</f>
        <v>-500</v>
      </c>
      <c r="AD289" s="16"/>
      <c r="AE289" s="162">
        <f t="shared" ref="AE289:AG289" si="462" ca="1">-AE241</f>
        <v>-3000</v>
      </c>
      <c r="AF289" s="162">
        <f ca="1">-AF241</f>
        <v>-3000</v>
      </c>
      <c r="AG289" s="162">
        <f ca="1">-AG241</f>
        <v>-3000</v>
      </c>
      <c r="AH289" s="16"/>
      <c r="AI289" s="16"/>
      <c r="AJ289" s="16"/>
      <c r="AK289" s="16"/>
    </row>
    <row r="290" ht="13.5" customHeight="1" spans="1:37" x14ac:dyDescent="0.25">
      <c r="A290" s="264"/>
      <c r="B290" s="16"/>
      <c r="C290" s="139" t="s">
        <v>408</v>
      </c>
      <c r="D290" s="16"/>
      <c r="E290" s="16"/>
      <c r="F290" s="315"/>
      <c r="G290" s="315"/>
      <c r="H290" s="315"/>
      <c r="I290" s="315"/>
      <c r="J290" s="16"/>
      <c r="K290" s="315"/>
      <c r="L290" s="315"/>
      <c r="M290" s="315"/>
      <c r="N290" s="315"/>
      <c r="O290" s="16"/>
      <c r="P290" s="315"/>
      <c r="Q290" s="315"/>
      <c r="R290" s="315"/>
      <c r="S290" s="315"/>
      <c r="T290" s="16"/>
      <c r="U290" s="315"/>
      <c r="V290" s="315"/>
      <c r="W290" s="315"/>
      <c r="X290" s="359">
        <f ca="1">-X267</f>
        <v>-519.8</v>
      </c>
      <c r="Y290" s="16"/>
      <c r="Z290" s="359">
        <f t="shared" ref="Z290:AC290" si="463" ca="1">-Z267</f>
        <v>-505.99999999999994</v>
      </c>
      <c r="AA290" s="359">
        <f ca="1">-AA267</f>
        <v>-494.49999999999994</v>
      </c>
      <c r="AB290" s="359">
        <f ca="1">-AB267</f>
        <v>-647.4499999999999</v>
      </c>
      <c r="AC290" s="359">
        <f ca="1">-AC267</f>
        <v>-597.7699999999999</v>
      </c>
      <c r="AD290" s="16"/>
      <c r="AE290" s="162">
        <f t="shared" ref="AE290:AG290" si="464" ca="1">-AE267</f>
        <v>-2470.292</v>
      </c>
      <c r="AF290" s="162">
        <f ca="1">-AF267</f>
        <v>-2717.3212000000003</v>
      </c>
      <c r="AG290" s="162">
        <f ca="1">-AG267</f>
        <v>-2989.0533200000004</v>
      </c>
      <c r="AH290" s="16"/>
      <c r="AI290" s="16"/>
      <c r="AJ290" s="16"/>
      <c r="AK290" s="16"/>
    </row>
    <row r="291" ht="13.5" customHeight="1" spans="1:37" x14ac:dyDescent="0.25">
      <c r="A291" s="264"/>
      <c r="B291" s="16"/>
      <c r="C291" s="139" t="s">
        <v>312</v>
      </c>
      <c r="D291" s="16"/>
      <c r="E291" s="16"/>
      <c r="F291" s="315"/>
      <c r="G291" s="315"/>
      <c r="H291" s="315"/>
      <c r="I291" s="315"/>
      <c r="J291" s="16"/>
      <c r="K291" s="315"/>
      <c r="L291" s="315"/>
      <c r="M291" s="315"/>
      <c r="N291" s="315"/>
      <c r="O291" s="16"/>
      <c r="P291" s="315"/>
      <c r="Q291" s="315"/>
      <c r="R291" s="315"/>
      <c r="S291" s="315"/>
      <c r="T291" s="16"/>
      <c r="U291" s="315"/>
      <c r="V291" s="315"/>
      <c r="W291" s="315"/>
      <c r="X291" s="330">
        <f ca="1">X245</f>
        <v>1e-12</v>
      </c>
      <c r="Y291" s="16"/>
      <c r="Z291" s="330">
        <f t="shared" ref="Z291:AC291" si="465" ca="1">Z245</f>
        <v>1e-12</v>
      </c>
      <c r="AA291" s="330">
        <f ca="1">AA245</f>
        <v>1e-12</v>
      </c>
      <c r="AB291" s="330">
        <f ca="1">AB245</f>
        <v>1e-12</v>
      </c>
      <c r="AC291" s="330">
        <f ca="1">AC245</f>
        <v>1e-12</v>
      </c>
      <c r="AD291" s="16"/>
      <c r="AE291" s="329">
        <f t="shared" ref="AE291:AG291" si="466" ca="1">AE245</f>
        <v>1e-12</v>
      </c>
      <c r="AF291" s="329">
        <f ca="1">AF245</f>
        <v>1e-12</v>
      </c>
      <c r="AG291" s="329">
        <f ca="1">AG245</f>
        <v>1e-12</v>
      </c>
      <c r="AH291" s="16"/>
      <c r="AI291" s="16"/>
      <c r="AJ291" s="16"/>
      <c r="AK291" s="16"/>
    </row>
    <row r="292" ht="13.5" customHeight="1" spans="1:37" x14ac:dyDescent="0.25">
      <c r="A292" s="264"/>
      <c r="B292" s="16"/>
      <c r="C292" s="139" t="s">
        <v>320</v>
      </c>
      <c r="D292" s="16"/>
      <c r="E292" s="16"/>
      <c r="F292" s="315"/>
      <c r="G292" s="315"/>
      <c r="H292" s="315"/>
      <c r="I292" s="315"/>
      <c r="J292" s="16"/>
      <c r="K292" s="315"/>
      <c r="L292" s="315"/>
      <c r="M292" s="315"/>
      <c r="N292" s="315"/>
      <c r="O292" s="16"/>
      <c r="P292" s="315"/>
      <c r="Q292" s="315"/>
      <c r="R292" s="315"/>
      <c r="S292" s="315"/>
      <c r="T292" s="16"/>
      <c r="U292" s="315"/>
      <c r="V292" s="315"/>
      <c r="W292" s="315"/>
      <c r="X292" s="359">
        <f ca="1">X102</f>
        <v>6673</v>
      </c>
      <c r="Y292" s="16"/>
      <c r="Z292" s="359">
        <f ca="1">Z102</f>
        <v>5290.3734435217375</v>
      </c>
      <c r="AA292" s="359">
        <f ca="1">AA102</f>
        <v>-1622.1938170061567</v>
      </c>
      <c r="AB292" s="359">
        <f ca="1">AB102</f>
        <v>-1186.2532627413955</v>
      </c>
      <c r="AC292" s="359">
        <f ca="1">AC102</f>
        <v>-1184.5685027067832</v>
      </c>
      <c r="AD292" s="16"/>
      <c r="AE292" s="162">
        <f ca="1">AE102</f>
        <v>-3088.973081341941</v>
      </c>
      <c r="AF292" s="162">
        <f ca="1">AF102</f>
        <v>-7976.165529794425</v>
      </c>
      <c r="AG292" s="162">
        <f ca="1">AG102</f>
        <v>-9024.958633627415</v>
      </c>
      <c r="AH292" s="16"/>
      <c r="AI292" s="16"/>
      <c r="AJ292" s="16"/>
      <c r="AK292" s="16"/>
    </row>
    <row r="293" ht="13.5" customHeight="1" spans="1:37" x14ac:dyDescent="0.25">
      <c r="A293" s="264"/>
      <c r="B293" s="16"/>
      <c r="C293" s="139" t="s">
        <v>428</v>
      </c>
      <c r="D293" s="16"/>
      <c r="E293" s="16"/>
      <c r="F293" s="315"/>
      <c r="G293" s="315"/>
      <c r="H293" s="315"/>
      <c r="I293" s="315"/>
      <c r="J293" s="16"/>
      <c r="K293" s="315"/>
      <c r="L293" s="315"/>
      <c r="M293" s="315"/>
      <c r="N293" s="315"/>
      <c r="O293" s="16"/>
      <c r="P293" s="315"/>
      <c r="Q293" s="315"/>
      <c r="R293" s="315"/>
      <c r="S293" s="315"/>
      <c r="T293" s="16"/>
      <c r="U293" s="315"/>
      <c r="V293" s="315"/>
      <c r="W293" s="315"/>
      <c r="X293" s="359">
        <f ca="1">X299*X28</f>
        <v>-13.594095303342307</v>
      </c>
      <c r="Y293" s="16"/>
      <c r="Z293" s="359">
        <f t="shared" ref="Z293:AC293" si="467" ca="1">Z299*Z28</f>
        <v>-16.04103245794392</v>
      </c>
      <c r="AA293" s="359">
        <f ca="1">AA299*AA28</f>
        <v>-18.286777002056073</v>
      </c>
      <c r="AB293" s="359">
        <f ca="1">AB299*AB28</f>
        <v>-16.092363761809345</v>
      </c>
      <c r="AC293" s="359">
        <f ca="1">AC299*AC28</f>
        <v>-15.287745573718876</v>
      </c>
      <c r="AD293" s="16"/>
      <c r="AE293" s="162">
        <f t="shared" ref="AE293:AG293" si="468" ca="1">AE299*AE28</f>
        <v>-67.02207717143877</v>
      </c>
      <c r="AF293" s="162">
        <f ca="1">AF299*AF28</f>
        <v>-68.36251871486755</v>
      </c>
      <c r="AG293" s="162">
        <f ca="1">AG299*AG28</f>
        <v>-69.7297690891649</v>
      </c>
      <c r="AH293" s="16"/>
      <c r="AI293" s="16"/>
      <c r="AJ293" s="16"/>
      <c r="AK293" s="16"/>
    </row>
    <row r="294" ht="13.5" customHeight="1" spans="1:37" x14ac:dyDescent="0.25">
      <c r="A294" s="264"/>
      <c r="B294" s="16"/>
      <c r="C294" s="139" t="s">
        <v>429</v>
      </c>
      <c r="D294" s="16"/>
      <c r="E294" s="16"/>
      <c r="F294" s="315"/>
      <c r="G294" s="315"/>
      <c r="H294" s="315"/>
      <c r="I294" s="315"/>
      <c r="J294" s="16"/>
      <c r="K294" s="315"/>
      <c r="L294" s="315"/>
      <c r="M294" s="315"/>
      <c r="N294" s="315"/>
      <c r="O294" s="16"/>
      <c r="P294" s="315"/>
      <c r="Q294" s="315"/>
      <c r="R294" s="315"/>
      <c r="S294" s="315"/>
      <c r="T294" s="16"/>
      <c r="U294" s="315"/>
      <c r="V294" s="315"/>
      <c r="W294" s="315"/>
      <c r="X294" s="281">
        <f ca="1">SUM(X288:X293)</f>
        <v>5877.655904696658</v>
      </c>
      <c r="Y294" s="16"/>
      <c r="Z294" s="281">
        <f ca="1">SUM(Z288:Z293)</f>
        <v>4493.732411063793</v>
      </c>
      <c r="AA294" s="281">
        <f ca="1">SUM(AA288:AA293)</f>
        <v>-2860.380594008213</v>
      </c>
      <c r="AB294" s="281">
        <f ca="1">SUM(AB288:AB293)</f>
        <v>-2349.795626503205</v>
      </c>
      <c r="AC294" s="281">
        <f ca="1">SUM(AC288:AC293)</f>
        <v>-2023.8687482805021</v>
      </c>
      <c r="AD294" s="16"/>
      <c r="AE294" s="282">
        <f ca="1">SUM(AE288:AE293)</f>
        <v>-8325.15390851338</v>
      </c>
      <c r="AF294" s="282">
        <f ca="1">SUM(AF288:AF293)</f>
        <v>-13430.602673509293</v>
      </c>
      <c r="AG294" s="282">
        <f ca="1">SUM(AG288:AG293)</f>
        <v>-14719.370490216581</v>
      </c>
      <c r="AH294" s="16"/>
      <c r="AI294" s="16"/>
      <c r="AJ294" s="16"/>
      <c r="AK294" s="16"/>
    </row>
    <row r="295" ht="13.5" customHeight="1" spans="1:37" x14ac:dyDescent="0.25">
      <c r="A295" s="264"/>
      <c r="B295" s="16"/>
      <c r="C295" s="139" t="s">
        <v>430</v>
      </c>
      <c r="D295" s="16"/>
      <c r="E295" s="16"/>
      <c r="F295" s="315"/>
      <c r="G295" s="315"/>
      <c r="H295" s="315"/>
      <c r="I295" s="315"/>
      <c r="J295" s="16"/>
      <c r="K295" s="315"/>
      <c r="L295" s="315"/>
      <c r="M295" s="315"/>
      <c r="N295" s="315"/>
      <c r="O295" s="16"/>
      <c r="P295" s="315"/>
      <c r="Q295" s="315"/>
      <c r="R295" s="315"/>
      <c r="S295" s="315"/>
      <c r="T295" s="16"/>
      <c r="U295" s="315"/>
      <c r="V295" s="315"/>
      <c r="W295" s="315"/>
      <c r="X295" s="460">
        <f ca="1">Drivers!X152</f>
        <v>1e-12</v>
      </c>
      <c r="Y295" s="461"/>
      <c r="Z295" s="460">
        <f ca="1">Drivers!Z152</f>
        <v>1e-12</v>
      </c>
      <c r="AA295" s="460">
        <f ca="1">Drivers!AA152</f>
        <v>1e-12</v>
      </c>
      <c r="AB295" s="460">
        <f ca="1">Drivers!AB152</f>
        <v>1e-12</v>
      </c>
      <c r="AC295" s="460">
        <f ca="1">Drivers!AC152</f>
        <v>1e-12</v>
      </c>
      <c r="AD295" s="16"/>
      <c r="AE295" s="462">
        <f ca="1">Drivers!AE152</f>
        <v>1e-12</v>
      </c>
      <c r="AF295" s="462">
        <f ca="1">Drivers!AF152</f>
        <v>1e-12</v>
      </c>
      <c r="AG295" s="462">
        <f ca="1">Drivers!AG152</f>
        <v>1e-12</v>
      </c>
      <c r="AH295" s="16"/>
      <c r="AI295" s="16"/>
      <c r="AJ295" s="16"/>
      <c r="AK295" s="16"/>
    </row>
    <row r="296" ht="13.5" customHeight="1" spans="1:37" x14ac:dyDescent="0.25">
      <c r="A296" s="264"/>
      <c r="B296" s="16"/>
      <c r="C296" s="139" t="s">
        <v>431</v>
      </c>
      <c r="D296" s="16"/>
      <c r="E296" s="16"/>
      <c r="F296" s="315"/>
      <c r="G296" s="315"/>
      <c r="H296" s="315"/>
      <c r="I296" s="315"/>
      <c r="J296" s="16"/>
      <c r="K296" s="315"/>
      <c r="L296" s="315"/>
      <c r="M296" s="315"/>
      <c r="N296" s="315"/>
      <c r="O296" s="16"/>
      <c r="P296" s="315"/>
      <c r="Q296" s="315"/>
      <c r="R296" s="315"/>
      <c r="S296" s="315"/>
      <c r="T296" s="16"/>
      <c r="U296" s="315"/>
      <c r="V296" s="315"/>
      <c r="W296" s="315"/>
      <c r="X296" s="460">
        <f ca="1">Drivers!X157</f>
        <v>-500</v>
      </c>
      <c r="Y296" s="461"/>
      <c r="Z296" s="460">
        <f ca="1">Drivers!Z157</f>
        <v>-500</v>
      </c>
      <c r="AA296" s="460">
        <f ca="1">Drivers!AA157</f>
        <v>-500</v>
      </c>
      <c r="AB296" s="460">
        <f ca="1">Drivers!AB157</f>
        <v>-500</v>
      </c>
      <c r="AC296" s="460">
        <f ca="1">Drivers!AC157</f>
        <v>-500</v>
      </c>
      <c r="AD296" s="16"/>
      <c r="AE296" s="462">
        <f ca="1">Drivers!AE157</f>
        <v>-1400</v>
      </c>
      <c r="AF296" s="462">
        <f ca="1">Drivers!AF157</f>
        <v>-1300</v>
      </c>
      <c r="AG296" s="462">
        <f ca="1">Drivers!AG157</f>
        <v>-1200</v>
      </c>
      <c r="AH296" s="16"/>
      <c r="AI296" s="16"/>
      <c r="AJ296" s="16"/>
      <c r="AK296" s="16"/>
    </row>
    <row r="297" ht="13.5" customHeight="1" spans="1:37" x14ac:dyDescent="0.25">
      <c r="A297" s="264"/>
      <c r="B297" s="16"/>
      <c r="C297" s="16" t="s">
        <v>432</v>
      </c>
      <c r="D297" s="16"/>
      <c r="E297" s="16"/>
      <c r="F297" s="315"/>
      <c r="G297" s="315"/>
      <c r="H297" s="315"/>
      <c r="I297" s="315"/>
      <c r="J297" s="16"/>
      <c r="K297" s="315"/>
      <c r="L297" s="315"/>
      <c r="M297" s="315"/>
      <c r="N297" s="315"/>
      <c r="O297" s="16"/>
      <c r="P297" s="315"/>
      <c r="Q297" s="315"/>
      <c r="R297" s="315"/>
      <c r="S297" s="315"/>
      <c r="T297" s="16"/>
      <c r="U297" s="315"/>
      <c r="V297" s="315"/>
      <c r="W297" s="315"/>
      <c r="X297" s="281">
        <f ca="1">SUM(X294:X296)</f>
        <v>5377.655904696658</v>
      </c>
      <c r="Y297" s="16"/>
      <c r="Z297" s="281">
        <f ca="1">SUM(Z294:Z296)</f>
        <v>3993.732411063793</v>
      </c>
      <c r="AA297" s="281">
        <f ca="1">SUM(AA294:AA296)</f>
        <v>-3360.380594008213</v>
      </c>
      <c r="AB297" s="281">
        <f ca="1">SUM(AB294:AB296)</f>
        <v>-2849.795626503205</v>
      </c>
      <c r="AC297" s="281">
        <f ca="1">SUM(AC294:AC296)</f>
        <v>-2523.868748280502</v>
      </c>
      <c r="AD297" s="16"/>
      <c r="AE297" s="282">
        <f ca="1">SUM(AE294:AE296)</f>
        <v>-9725.15390851338</v>
      </c>
      <c r="AF297" s="282">
        <f ca="1">SUM(AF294:AF296)</f>
        <v>-14730.602673509293</v>
      </c>
      <c r="AG297" s="282">
        <f ca="1">SUM(AG294:AG296)</f>
        <v>-15919.370490216581</v>
      </c>
      <c r="AH297" s="16"/>
      <c r="AI297" s="16"/>
      <c r="AJ297" s="16"/>
      <c r="AK297" s="16"/>
    </row>
    <row r="298" ht="13.5" customHeight="1" spans="1:37" x14ac:dyDescent="0.25">
      <c r="A298" s="264"/>
      <c r="B298" s="16"/>
      <c r="C298" s="16"/>
      <c r="D298" s="16"/>
      <c r="E298" s="16"/>
      <c r="F298" s="315"/>
      <c r="G298" s="315"/>
      <c r="H298" s="315"/>
      <c r="I298" s="315"/>
      <c r="J298" s="16"/>
      <c r="K298" s="315"/>
      <c r="L298" s="315"/>
      <c r="M298" s="315"/>
      <c r="N298" s="315"/>
      <c r="O298" s="16"/>
      <c r="P298" s="315"/>
      <c r="Q298" s="315"/>
      <c r="R298" s="315"/>
      <c r="S298" s="315"/>
      <c r="T298" s="16"/>
      <c r="U298" s="315"/>
      <c r="V298" s="315"/>
      <c r="W298" s="315"/>
      <c r="X298" s="316"/>
      <c r="Y298" s="16"/>
      <c r="Z298" s="316"/>
      <c r="AA298" s="316"/>
      <c r="AB298" s="316"/>
      <c r="AC298" s="316"/>
      <c r="AD298" s="16"/>
      <c r="AE298" s="16"/>
      <c r="AF298" s="16"/>
      <c r="AG298" s="16"/>
      <c r="AH298" s="16"/>
      <c r="AI298" s="16"/>
      <c r="AJ298" s="16"/>
      <c r="AK298" s="16"/>
    </row>
    <row r="299" ht="13.5" customHeight="1" spans="1:37" x14ac:dyDescent="0.25">
      <c r="A299" s="264"/>
      <c r="B299" s="16"/>
      <c r="C299" s="303" t="s">
        <v>433</v>
      </c>
      <c r="D299" s="16"/>
      <c r="E299" s="16"/>
      <c r="F299" s="463">
        <f t="shared" ref="F299:W299" si="469" ca="1">F178/F28</f>
        <v>1e-12</v>
      </c>
      <c r="G299" s="463">
        <f ca="1">G178/G28</f>
        <v>0.02729713603818616</v>
      </c>
      <c r="H299" s="463">
        <f ca="1">H178/H28</f>
        <v>0.18310571573090542</v>
      </c>
      <c r="I299" s="463">
        <f ca="1">I178/I28</f>
        <v>-0.012890431333663858</v>
      </c>
      <c r="J299" s="464">
        <f ca="1">J178/J28</f>
        <v>1e-12</v>
      </c>
      <c r="K299" s="463">
        <f ca="1">K178/K28</f>
        <v>0.03378754171301446</v>
      </c>
      <c r="L299" s="463">
        <f ca="1">L178/L28</f>
        <v>-0.141112015991708</v>
      </c>
      <c r="M299" s="463">
        <f ca="1">M178/M28</f>
        <v>-0.06909492273730684</v>
      </c>
      <c r="N299" s="463">
        <f ca="1">N178/N28</f>
        <v>-0.08478487083201375</v>
      </c>
      <c r="O299" s="464">
        <f ca="1">O178/O28</f>
        <v>-0.07860871278027642</v>
      </c>
      <c r="P299" s="463">
        <f ca="1">P178/P28</f>
        <v>-0.11257871294731991</v>
      </c>
      <c r="Q299" s="463">
        <f ca="1">Q178/Q28</f>
        <v>-0.05369507323568575</v>
      </c>
      <c r="R299" s="463">
        <f ca="1">R178/R28</f>
        <v>-0.08172282081979362</v>
      </c>
      <c r="S299" s="463">
        <f ca="1">S178/S28</f>
        <v>-0.17393404693498768</v>
      </c>
      <c r="T299" s="464">
        <f ca="1">T178/T28</f>
        <v>-0.10922090162992253</v>
      </c>
      <c r="U299" s="463">
        <f ca="1">U178/U28</f>
        <v>0.01590940039035904</v>
      </c>
      <c r="V299" s="463">
        <f ca="1">V178/V28</f>
        <v>-0.16199216995058083</v>
      </c>
      <c r="W299" s="463">
        <f ca="1">W178/W28</f>
        <v>-0.0017453529976437735</v>
      </c>
      <c r="X299" s="465">
        <f ca="1">AVERAGE($F$299:$V$299)</f>
        <v>-0.0006243814470511484</v>
      </c>
      <c r="Y299" s="16"/>
      <c r="Z299" s="465">
        <f t="shared" ref="Z299:AC299" si="470" ca="1">AVERAGE($F$299:$V$299)</f>
        <v>-0.0006243814470511484</v>
      </c>
      <c r="AA299" s="465">
        <f ca="1">AVERAGE($F$299:$V$299)</f>
        <v>-0.0006243814470511484</v>
      </c>
      <c r="AB299" s="465">
        <f ca="1">AVERAGE($F$299:$V$299)</f>
        <v>-0.0006243814470511484</v>
      </c>
      <c r="AC299" s="465">
        <f ca="1">AVERAGE($F$299:$V$299)</f>
        <v>-0.0006243814470511484</v>
      </c>
      <c r="AD299" s="16"/>
      <c r="AE299" s="464">
        <f t="shared" ref="AE299:AG299" si="471" ca="1">AVERAGE($F$299:$V$299)</f>
        <v>-0.0006243814470511484</v>
      </c>
      <c r="AF299" s="464">
        <f ca="1">AVERAGE($F$299:$V$299)</f>
        <v>-0.0006243814470511484</v>
      </c>
      <c r="AG299" s="464">
        <f ca="1">AVERAGE($F$299:$V$299)</f>
        <v>-0.0006243814470511484</v>
      </c>
      <c r="AH299" s="16"/>
      <c r="AI299" s="16"/>
      <c r="AJ299" s="16"/>
      <c r="AK299" s="16"/>
    </row>
    <row r="300" ht="13.5" customHeight="1" spans="1:37" x14ac:dyDescent="0.25">
      <c r="A300" s="264"/>
      <c r="B300" s="16"/>
      <c r="C300" s="16"/>
      <c r="D300" s="16"/>
      <c r="E300" s="16"/>
      <c r="F300" s="315"/>
      <c r="G300" s="315"/>
      <c r="H300" s="315"/>
      <c r="I300" s="315"/>
      <c r="J300" s="16"/>
      <c r="K300" s="315"/>
      <c r="L300" s="315"/>
      <c r="M300" s="315"/>
      <c r="N300" s="315"/>
      <c r="O300" s="16"/>
      <c r="P300" s="315"/>
      <c r="Q300" s="315"/>
      <c r="R300" s="315"/>
      <c r="S300" s="315"/>
      <c r="T300" s="16"/>
      <c r="U300" s="315"/>
      <c r="V300" s="315"/>
      <c r="W300" s="315"/>
      <c r="X300" s="316"/>
      <c r="Y300" s="16"/>
      <c r="Z300" s="316"/>
      <c r="AA300" s="316"/>
      <c r="AB300" s="316"/>
      <c r="AC300" s="316"/>
      <c r="AD300" s="16"/>
      <c r="AE300" s="16"/>
      <c r="AF300" s="16"/>
      <c r="AG300" s="16"/>
      <c r="AH300" s="16"/>
      <c r="AI300" s="16"/>
      <c r="AJ300" s="16"/>
      <c r="AK300" s="16"/>
    </row>
    <row r="301" ht="13.5" customHeight="1" spans="1:37" x14ac:dyDescent="0.25">
      <c r="A301" s="264"/>
      <c r="B301" s="16"/>
      <c r="C301" s="131" t="s">
        <v>434</v>
      </c>
      <c r="D301" s="16"/>
      <c r="E301" s="16"/>
      <c r="F301" s="315"/>
      <c r="G301" s="315"/>
      <c r="H301" s="315"/>
      <c r="I301" s="315"/>
      <c r="J301" s="16"/>
      <c r="K301" s="315"/>
      <c r="L301" s="315"/>
      <c r="M301" s="315"/>
      <c r="N301" s="315"/>
      <c r="O301" s="16"/>
      <c r="P301" s="315"/>
      <c r="Q301" s="315"/>
      <c r="R301" s="315"/>
      <c r="S301" s="315"/>
      <c r="T301" s="16"/>
      <c r="U301" s="315"/>
      <c r="V301" s="315"/>
      <c r="W301" s="315"/>
      <c r="X301" s="316"/>
      <c r="Y301" s="16"/>
      <c r="Z301" s="316"/>
      <c r="AA301" s="316"/>
      <c r="AB301" s="316"/>
      <c r="AC301" s="316"/>
      <c r="AD301" s="16"/>
      <c r="AE301" s="16"/>
      <c r="AF301" s="16"/>
      <c r="AG301" s="16"/>
      <c r="AH301" s="16"/>
      <c r="AI301" s="16"/>
      <c r="AJ301" s="16"/>
      <c r="AK301" s="16"/>
    </row>
    <row r="302" ht="13.5" customHeight="1" spans="1:37" x14ac:dyDescent="0.25">
      <c r="A302" s="264"/>
      <c r="B302" s="16"/>
      <c r="C302" s="139" t="s">
        <v>403</v>
      </c>
      <c r="D302" s="16"/>
      <c r="E302" s="16"/>
      <c r="F302" s="416">
        <f t="shared" ref="F302:I302" si="472" ca="1">E304</f>
        <v>1e-12</v>
      </c>
      <c r="G302" s="353">
        <f ca="1">F304</f>
        <v>1e-12</v>
      </c>
      <c r="H302" s="353">
        <f ca="1">G304</f>
        <v>1e-12</v>
      </c>
      <c r="I302" s="353">
        <f ca="1">H304</f>
        <v>1e-12</v>
      </c>
      <c r="J302" s="282">
        <f ca="1">F302</f>
        <v>1e-12</v>
      </c>
      <c r="K302" s="353">
        <f t="shared" ref="K302:N302" si="473" ca="1">J304</f>
        <v>1e-12</v>
      </c>
      <c r="L302" s="353">
        <f ca="1">K304</f>
        <v>1e-12</v>
      </c>
      <c r="M302" s="353">
        <f ca="1">L304</f>
        <v>1e-12</v>
      </c>
      <c r="N302" s="353">
        <f ca="1">M304</f>
        <v>1e-12</v>
      </c>
      <c r="O302" s="282">
        <f ca="1">K302</f>
        <v>1e-12</v>
      </c>
      <c r="P302" s="353">
        <f t="shared" ref="P302:S302" si="474" ca="1">O304</f>
        <v>1e-12</v>
      </c>
      <c r="Q302" s="353">
        <f ca="1">P304</f>
        <v>1e-12</v>
      </c>
      <c r="R302" s="353">
        <f ca="1">Q304</f>
        <v>1e-12</v>
      </c>
      <c r="S302" s="353">
        <f ca="1">R304</f>
        <v>1e-12</v>
      </c>
      <c r="T302" s="282">
        <f ca="1">P302</f>
        <v>1e-12</v>
      </c>
      <c r="U302" s="353">
        <f t="shared" ref="U302:X302" si="475" ca="1">T304</f>
        <v>1e-12</v>
      </c>
      <c r="V302" s="353">
        <f ca="1">U304</f>
        <v>1e-12</v>
      </c>
      <c r="W302" s="353">
        <f ca="1">V304</f>
        <v>1e-12</v>
      </c>
      <c r="X302" s="281">
        <f ca="1">W304</f>
        <v>1e-12</v>
      </c>
      <c r="Y302" s="16"/>
      <c r="Z302" s="281">
        <f ca="1">X304</f>
        <v>1e-12</v>
      </c>
      <c r="AA302" s="281">
        <f ca="1">Z304</f>
        <v>1e-12</v>
      </c>
      <c r="AB302" s="281">
        <f ca="1">AA304</f>
        <v>3360.380594008213</v>
      </c>
      <c r="AC302" s="281">
        <f ca="1">AB304</f>
        <v>6210.176220511417</v>
      </c>
      <c r="AD302" s="16"/>
      <c r="AE302" s="282">
        <f ca="1">AC304</f>
        <v>8734.044968791919</v>
      </c>
      <c r="AF302" s="282">
        <f ca="1">AE304</f>
        <v>18459.1988773053</v>
      </c>
      <c r="AG302" s="282">
        <f ca="1">AF304</f>
        <v>33189.80155081459</v>
      </c>
      <c r="AH302" s="16"/>
      <c r="AI302" s="16"/>
      <c r="AJ302" s="16"/>
      <c r="AK302" s="16"/>
    </row>
    <row r="303" ht="13.5" customHeight="1" spans="1:37" x14ac:dyDescent="0.25">
      <c r="A303" s="264"/>
      <c r="B303" s="16"/>
      <c r="C303" s="139" t="s">
        <v>435</v>
      </c>
      <c r="D303" s="16"/>
      <c r="E303" s="16"/>
      <c r="F303" s="384">
        <f t="shared" ref="F303:I303" si="476" ca="1">F304-F302</f>
        <v>1e-12</v>
      </c>
      <c r="G303" s="384">
        <f ca="1">G304-G302</f>
        <v>1e-12</v>
      </c>
      <c r="H303" s="384">
        <f ca="1">H304-H302</f>
        <v>1e-12</v>
      </c>
      <c r="I303" s="384">
        <f ca="1">I304-I302</f>
        <v>1e-12</v>
      </c>
      <c r="J303" s="162">
        <f ca="1">IF(J305&gt;J302,J305-J302,0)</f>
        <v>1e-12</v>
      </c>
      <c r="K303" s="384">
        <f t="shared" ref="K303:N303" si="477" ca="1">K304-K302</f>
        <v>1e-12</v>
      </c>
      <c r="L303" s="384">
        <f ca="1">L304-L302</f>
        <v>1e-12</v>
      </c>
      <c r="M303" s="384">
        <f ca="1">M304-M302</f>
        <v>1e-12</v>
      </c>
      <c r="N303" s="384">
        <f ca="1">N304-N302</f>
        <v>1e-12</v>
      </c>
      <c r="O303" s="162">
        <f ca="1">IF(O305&gt;O302,O305-O302,0)</f>
        <v>1e-12</v>
      </c>
      <c r="P303" s="384">
        <f t="shared" ref="P303:S303" si="478" ca="1">P304-P302</f>
        <v>1e-12</v>
      </c>
      <c r="Q303" s="384">
        <f ca="1">Q304-Q302</f>
        <v>1e-12</v>
      </c>
      <c r="R303" s="384">
        <f ca="1">R304-R302</f>
        <v>1e-12</v>
      </c>
      <c r="S303" s="384">
        <f ca="1">S304-S302</f>
        <v>1e-12</v>
      </c>
      <c r="T303" s="162">
        <f ca="1">IF(T305&gt;T302,T305-T302,0)</f>
        <v>1e-12</v>
      </c>
      <c r="U303" s="384">
        <f t="shared" ref="U303:W303" si="479" ca="1">U304-U302</f>
        <v>1e-12</v>
      </c>
      <c r="V303" s="384">
        <f ca="1">V304-V302</f>
        <v>1e-12</v>
      </c>
      <c r="W303" s="384">
        <f ca="1">W304-W302</f>
        <v>1e-12</v>
      </c>
      <c r="X303" s="330">
        <f ca="1">IF(X297&lt;0,-X297,IF(X297&gt;X302,-X302,-X297))</f>
      </c>
      <c r="Y303" s="16"/>
      <c r="Z303" s="330">
        <f ca="1">IF(Z297&lt;0,-Z297,IF(Z297&gt;Z302,-Z302,-Z297))</f>
      </c>
      <c r="AA303" s="330">
        <f ca="1">IF(AA297&lt;0,-AA297,IF(AA297&gt;AA302,-AA302,-AA297))</f>
        <v>3360.380594008213</v>
      </c>
      <c r="AB303" s="330">
        <f ca="1">IF(AB297&lt;0,-AB297,IF(AB297&gt;AB302,-AB302,-AB297))</f>
        <v>2849.795626503205</v>
      </c>
      <c r="AC303" s="330">
        <f ca="1">IF(AC297&lt;0,-AC297,IF(AC297&gt;AC302,-AC302,-AC297))</f>
        <v>2523.868748280502</v>
      </c>
      <c r="AD303" s="16"/>
      <c r="AE303" s="329">
        <f ca="1">IF(AE297&lt;0,-AE297,IF(AE297&gt;AE302,-AE302,-AE297))</f>
        <v>9725.15390851338</v>
      </c>
      <c r="AF303" s="329">
        <f ca="1">IF(AF297&lt;0,-AF297,IF(AF297&gt;AF302,-AF302,-AF297))</f>
        <v>14730.602673509293</v>
      </c>
      <c r="AG303" s="329">
        <f ca="1">IF(AG297&lt;0,-AG297,IF(AG297&gt;AG302,-AG302,-AG297))</f>
        <v>15919.370490216581</v>
      </c>
      <c r="AH303" s="16"/>
      <c r="AI303" s="16"/>
      <c r="AJ303" s="16"/>
      <c r="AK303" s="16"/>
    </row>
    <row r="304" ht="13.5" customHeight="1" spans="1:37" x14ac:dyDescent="0.25">
      <c r="A304" s="264"/>
      <c r="B304" s="16"/>
      <c r="C304" s="16" t="s">
        <v>406</v>
      </c>
      <c r="D304" s="16"/>
      <c r="E304" s="16"/>
      <c r="F304" s="353">
        <f t="shared" ref="F304:W304" si="480" ca="1">F139</f>
        <v>1e-12</v>
      </c>
      <c r="G304" s="353">
        <f ca="1">G139</f>
        <v>1e-12</v>
      </c>
      <c r="H304" s="353">
        <f ca="1">H139</f>
        <v>1e-12</v>
      </c>
      <c r="I304" s="353">
        <f ca="1">I139</f>
        <v>1e-12</v>
      </c>
      <c r="J304" s="282">
        <f ca="1">J139</f>
        <v>1e-12</v>
      </c>
      <c r="K304" s="353">
        <f ca="1">K139</f>
        <v>1e-12</v>
      </c>
      <c r="L304" s="353">
        <f ca="1">L139</f>
        <v>1e-12</v>
      </c>
      <c r="M304" s="353">
        <f ca="1">M139</f>
        <v>1e-12</v>
      </c>
      <c r="N304" s="353">
        <f ca="1">N139</f>
        <v>1e-12</v>
      </c>
      <c r="O304" s="282">
        <f ca="1">O139</f>
        <v>1e-12</v>
      </c>
      <c r="P304" s="353">
        <f ca="1">P139</f>
        <v>1e-12</v>
      </c>
      <c r="Q304" s="353">
        <f ca="1">Q139</f>
        <v>1e-12</v>
      </c>
      <c r="R304" s="353">
        <f ca="1">R139</f>
        <v>1e-12</v>
      </c>
      <c r="S304" s="353">
        <f ca="1">S139</f>
        <v>1e-12</v>
      </c>
      <c r="T304" s="282">
        <f ca="1">T139</f>
        <v>1e-12</v>
      </c>
      <c r="U304" s="353">
        <f ca="1">U139</f>
        <v>1e-12</v>
      </c>
      <c r="V304" s="353">
        <f ca="1">V139</f>
        <v>1e-12</v>
      </c>
      <c r="W304" s="353">
        <f ca="1">W139</f>
        <v>1e-12</v>
      </c>
      <c r="X304" s="281">
        <f ca="1">SUM(X302:X303)</f>
        <v>1e-12</v>
      </c>
      <c r="Y304" s="16"/>
      <c r="Z304" s="281">
        <f ca="1">SUM(Z302:Z303)</f>
        <v>1e-12</v>
      </c>
      <c r="AA304" s="281">
        <f ca="1">SUM(AA302:AA303)</f>
        <v>3360.380594008213</v>
      </c>
      <c r="AB304" s="281">
        <f ca="1">SUM(AB302:AB303)</f>
        <v>6210.176220511417</v>
      </c>
      <c r="AC304" s="281">
        <f ca="1">SUM(AC302:AC303)</f>
        <v>8734.044968791919</v>
      </c>
      <c r="AD304" s="16"/>
      <c r="AE304" s="282">
        <f ca="1">SUM(AE302:AE303)</f>
        <v>18459.1988773053</v>
      </c>
      <c r="AF304" s="282">
        <f ca="1">SUM(AF302:AF303)</f>
        <v>33189.80155081459</v>
      </c>
      <c r="AG304" s="282">
        <f ca="1">SUM(AG302:AG303)</f>
        <v>49109.17204103117</v>
      </c>
      <c r="AH304" s="16"/>
      <c r="AI304" s="16"/>
      <c r="AJ304" s="16"/>
      <c r="AK304" s="16"/>
    </row>
    <row r="305" ht="13.5" customHeight="1" spans="1:37" x14ac:dyDescent="0.25">
      <c r="A305" s="264"/>
      <c r="B305" s="16"/>
      <c r="C305" s="16"/>
      <c r="D305" s="16"/>
      <c r="E305" s="16"/>
      <c r="F305" s="384"/>
      <c r="G305" s="384"/>
      <c r="H305" s="384"/>
      <c r="I305" s="384"/>
      <c r="J305" s="162"/>
      <c r="K305" s="384"/>
      <c r="L305" s="384"/>
      <c r="M305" s="384"/>
      <c r="N305" s="384"/>
      <c r="O305" s="162"/>
      <c r="P305" s="384"/>
      <c r="Q305" s="384"/>
      <c r="R305" s="384"/>
      <c r="S305" s="384"/>
      <c r="T305" s="162"/>
      <c r="U305" s="384"/>
      <c r="V305" s="384"/>
      <c r="W305" s="384"/>
      <c r="X305" s="359"/>
      <c r="Y305" s="16"/>
      <c r="Z305" s="359"/>
      <c r="AA305" s="359"/>
      <c r="AB305" s="359"/>
      <c r="AC305" s="359"/>
      <c r="AD305" s="16"/>
      <c r="AE305" s="162"/>
      <c r="AF305" s="162"/>
      <c r="AG305" s="162"/>
      <c r="AH305" s="16"/>
      <c r="AI305" s="16"/>
      <c r="AJ305" s="16"/>
      <c r="AK305" s="16"/>
    </row>
    <row r="306" ht="13.5" customHeight="1" spans="1:37" x14ac:dyDescent="0.25">
      <c r="A306" s="264"/>
      <c r="B306" s="16"/>
      <c r="C306" s="131" t="s">
        <v>436</v>
      </c>
      <c r="D306" s="16"/>
      <c r="E306" s="16"/>
      <c r="F306" s="384"/>
      <c r="G306" s="384"/>
      <c r="H306" s="384"/>
      <c r="I306" s="384"/>
      <c r="J306" s="162"/>
      <c r="K306" s="384"/>
      <c r="L306" s="384"/>
      <c r="M306" s="384"/>
      <c r="N306" s="384"/>
      <c r="O306" s="162"/>
      <c r="P306" s="384"/>
      <c r="Q306" s="384"/>
      <c r="R306" s="384"/>
      <c r="S306" s="384"/>
      <c r="T306" s="162"/>
      <c r="U306" s="384"/>
      <c r="V306" s="384"/>
      <c r="W306" s="384"/>
      <c r="X306" s="359"/>
      <c r="Y306" s="16"/>
      <c r="Z306" s="359"/>
      <c r="AA306" s="359"/>
      <c r="AB306" s="359"/>
      <c r="AC306" s="359"/>
      <c r="AD306" s="16"/>
      <c r="AE306" s="162"/>
      <c r="AF306" s="162"/>
      <c r="AG306" s="162"/>
      <c r="AH306" s="16"/>
      <c r="AI306" s="16"/>
      <c r="AJ306" s="16"/>
      <c r="AK306" s="16"/>
    </row>
    <row r="307" ht="13.5" customHeight="1" spans="1:37" x14ac:dyDescent="0.25">
      <c r="A307" s="264"/>
      <c r="B307" s="16"/>
      <c r="C307" s="139" t="s">
        <v>403</v>
      </c>
      <c r="D307" s="16"/>
      <c r="E307" s="16"/>
      <c r="F307" s="416">
        <f t="shared" ref="F307:I307" si="481" ca="1">E310</f>
        <v>1e-12</v>
      </c>
      <c r="G307" s="353">
        <f ca="1">F310</f>
        <v>10947</v>
      </c>
      <c r="H307" s="353">
        <f ca="1">G310</f>
        <v>10949</v>
      </c>
      <c r="I307" s="353">
        <f ca="1">H310</f>
        <v>10950</v>
      </c>
      <c r="J307" s="282">
        <f ca="1">F307</f>
        <v>1e-12</v>
      </c>
      <c r="K307" s="353">
        <f t="shared" ref="K307:N307" si="482" ca="1">J310</f>
        <v>10953</v>
      </c>
      <c r="L307" s="353">
        <f ca="1">K310</f>
        <v>10954</v>
      </c>
      <c r="M307" s="353">
        <f ca="1">L310</f>
        <v>9705</v>
      </c>
      <c r="N307" s="353">
        <f ca="1">M310</f>
        <v>9706</v>
      </c>
      <c r="O307" s="282">
        <f ca="1">K307</f>
        <v>10953</v>
      </c>
      <c r="P307" s="353">
        <f t="shared" ref="P307:S307" si="483" ca="1">O310</f>
        <v>9709</v>
      </c>
      <c r="Q307" s="353">
        <f ca="1">P310</f>
        <v>9710</v>
      </c>
      <c r="R307" s="353">
        <f ca="1">Q310</f>
        <v>8461</v>
      </c>
      <c r="S307" s="353">
        <f ca="1">R310</f>
        <v>8462</v>
      </c>
      <c r="T307" s="282">
        <f ca="1">P307</f>
        <v>9709</v>
      </c>
      <c r="U307" s="353">
        <f t="shared" ref="U307:X307" si="484" ca="1">T310</f>
        <v>8463</v>
      </c>
      <c r="V307" s="353">
        <f ca="1">U310</f>
        <v>8464</v>
      </c>
      <c r="W307" s="353">
        <f ca="1">V310</f>
        <v>23311</v>
      </c>
      <c r="X307" s="281">
        <f ca="1">W310</f>
        <v>25233</v>
      </c>
      <c r="Y307" s="16"/>
      <c r="Z307" s="281">
        <f ca="1">X310</f>
        <v>24733</v>
      </c>
      <c r="AA307" s="281">
        <f t="shared" ref="AA307:AC307" si="485" ca="1">Z310</f>
        <v>24233</v>
      </c>
      <c r="AB307" s="281">
        <f ca="1">AA310</f>
        <v>23733</v>
      </c>
      <c r="AC307" s="281">
        <f ca="1">AB310</f>
        <v>23233</v>
      </c>
      <c r="AD307" s="16"/>
      <c r="AE307" s="282">
        <f ca="1">AC310</f>
        <v>22733</v>
      </c>
      <c r="AF307" s="282">
        <f t="shared" ref="AF307:AG307" si="486" ca="1">AE310</f>
        <v>21333</v>
      </c>
      <c r="AG307" s="282">
        <f ca="1">AF310</f>
        <v>20033</v>
      </c>
      <c r="AH307" s="16"/>
      <c r="AI307" s="16"/>
      <c r="AJ307" s="16"/>
      <c r="AK307" s="16"/>
    </row>
    <row r="308" ht="13.5" customHeight="1" spans="1:37" x14ac:dyDescent="0.25">
      <c r="A308" s="264"/>
      <c r="B308" s="16"/>
      <c r="C308" s="139" t="s">
        <v>310</v>
      </c>
      <c r="D308" s="16"/>
      <c r="E308" s="16"/>
      <c r="F308" s="384">
        <f t="shared" ref="F308:W308" si="487" ca="1">IF(F310&gt;F307,F310-F307,0)</f>
        <v>15844</v>
      </c>
      <c r="G308" s="384">
        <f ca="1">IF(G310&gt;G307,G310-G307,0)</f>
        <v>1e-12</v>
      </c>
      <c r="H308" s="384">
        <f ca="1">IF(H310&gt;H307,H310-H307,0)</f>
        <v>1e-12</v>
      </c>
      <c r="I308" s="384">
        <f ca="1">IF(I310&gt;I307,I310-I307,0)</f>
        <v>1e-12</v>
      </c>
      <c r="J308" s="162">
        <f ca="1">IF(J310&gt;J307,J310-J307,0)</f>
        <v>15501</v>
      </c>
      <c r="K308" s="384">
        <f ca="1">IF(K310&gt;K307,K310-K307,0)</f>
        <v>2049</v>
      </c>
      <c r="L308" s="384">
        <f ca="1">IF(L310&gt;L307,L310-L307,0)</f>
        <v>1e-12</v>
      </c>
      <c r="M308" s="384">
        <f ca="1">IF(M310&gt;M307,M310-M307,0)</f>
        <v>1e-12</v>
      </c>
      <c r="N308" s="384">
        <f ca="1">IF(N310&gt;N307,N310-N307,0)</f>
        <v>156</v>
      </c>
      <c r="O308" s="162">
        <f ca="1">IF(O310&gt;O307,O310-O307,0)</f>
        <v>1864</v>
      </c>
      <c r="P308" s="384">
        <f ca="1">IF(P310&gt;P307,P310-P307,0)</f>
        <v>3439</v>
      </c>
      <c r="Q308" s="384">
        <f ca="1">IF(Q310&gt;Q307,Q310-Q307,0)</f>
        <v>2</v>
      </c>
      <c r="R308" s="384">
        <f ca="1">IF(R310&gt;R307,R310-R307,0)</f>
        <v>988</v>
      </c>
      <c r="S308" s="384">
        <f ca="1">IF(S310&gt;S307,S310-S307,0)</f>
        <v>4417</v>
      </c>
      <c r="T308" s="162">
        <f ca="1">IF(T310&gt;T307,T310-T307,0)</f>
        <v>8846</v>
      </c>
      <c r="U308" s="384">
        <f ca="1">IF(U310&gt;U307,U310-U307,0)</f>
        <v>1e-12</v>
      </c>
      <c r="V308" s="384">
        <f ca="1">IF(V310&gt;V307,V310-V307,0)</f>
        <v>67</v>
      </c>
      <c r="W308" s="384">
        <f ca="1">IF(W310&gt;W307,W310-W307,0)</f>
        <v>1922</v>
      </c>
      <c r="X308" s="330">
        <f t="shared" ref="X308:X309" si="488" ca="1">X295</f>
        <v>1e-12</v>
      </c>
      <c r="Y308" s="16"/>
      <c r="Z308" s="330">
        <f t="shared" ref="Z308:AC308" si="489" ca="1">Z295</f>
        <v>1e-12</v>
      </c>
      <c r="AA308" s="330">
        <f ca="1">AA295</f>
        <v>1e-12</v>
      </c>
      <c r="AB308" s="330">
        <f ca="1">AB295</f>
        <v>1e-12</v>
      </c>
      <c r="AC308" s="330">
        <f ca="1">AC295</f>
        <v>1e-12</v>
      </c>
      <c r="AD308" s="16"/>
      <c r="AE308" s="329">
        <f t="shared" ref="AE308:AG308" si="490" ca="1">AE295</f>
        <v>1e-12</v>
      </c>
      <c r="AF308" s="329">
        <f ca="1">AF295</f>
        <v>1e-12</v>
      </c>
      <c r="AG308" s="329">
        <f ca="1">AG295</f>
        <v>1e-12</v>
      </c>
      <c r="AH308" s="16"/>
      <c r="AI308" s="16"/>
      <c r="AJ308" s="16"/>
      <c r="AK308" s="16"/>
    </row>
    <row r="309" ht="13.5" customHeight="1" spans="1:37" x14ac:dyDescent="0.25">
      <c r="A309" s="264"/>
      <c r="B309" s="16"/>
      <c r="C309" s="139" t="s">
        <v>437</v>
      </c>
      <c r="D309" s="16"/>
      <c r="E309" s="16"/>
      <c r="F309" s="384">
        <f t="shared" ref="F309:W309" si="491" ca="1">IF(F307&gt;F310,F310-F307,0)</f>
        <v>1e-12</v>
      </c>
      <c r="G309" s="384">
        <f ca="1">IF(G307&gt;G310,G310-G307,0)</f>
        <v>-13</v>
      </c>
      <c r="H309" s="384">
        <f ca="1">IF(H307&gt;H310,H310-H307,0)</f>
        <v>-254</v>
      </c>
      <c r="I309" s="384">
        <f ca="1">IF(I307&gt;I310,I310-I307,0)</f>
        <v>-76</v>
      </c>
      <c r="J309" s="162">
        <f ca="1">IF(J307&gt;J310,J310-J307,0)</f>
        <v>1e-12</v>
      </c>
      <c r="K309" s="384">
        <f ca="1">IF(K307&gt;K310,K310-K307,0)</f>
        <v>1e-12</v>
      </c>
      <c r="L309" s="384">
        <f ca="1">IF(L307&gt;L310,L310-L307,0)</f>
        <v>-3</v>
      </c>
      <c r="M309" s="384">
        <f ca="1">IF(M307&gt;M310,M310-M307,0)</f>
        <v>-338</v>
      </c>
      <c r="N309" s="384">
        <f ca="1">IF(N307&gt;N310,N310-N307,0)</f>
        <v>1e-12</v>
      </c>
      <c r="O309" s="162">
        <f ca="1">IF(O307&gt;O310,O310-O307,0)</f>
        <v>1e-12</v>
      </c>
      <c r="P309" s="384">
        <f ca="1">IF(P307&gt;P310,P310-P307,0)</f>
        <v>1e-12</v>
      </c>
      <c r="Q309" s="384">
        <f ca="1">IF(Q307&gt;Q310,Q310-Q307,0)</f>
        <v>1e-12</v>
      </c>
      <c r="R309" s="384">
        <f ca="1">IF(R307&gt;R310,R310-R307,0)</f>
        <v>1e-12</v>
      </c>
      <c r="S309" s="384">
        <f ca="1">IF(S307&gt;S310,S310-S307,0)</f>
        <v>1e-12</v>
      </c>
      <c r="T309" s="162">
        <f ca="1">IF(T307&gt;T310,T310-T307,0)</f>
        <v>1e-12</v>
      </c>
      <c r="U309" s="384">
        <f ca="1">IF(U307&gt;U310,U310-U307,0)</f>
        <v>-2967</v>
      </c>
      <c r="V309" s="384">
        <f ca="1">IF(V307&gt;V310,V310-V307,0)</f>
        <v>1e-12</v>
      </c>
      <c r="W309" s="384">
        <f ca="1">IF(W307&gt;W310,W310-W307,0)</f>
      </c>
      <c r="X309" s="330">
        <f ca="1">X296</f>
        <v>-500</v>
      </c>
      <c r="Y309" s="16"/>
      <c r="Z309" s="330">
        <f t="shared" ref="Z309:AC309" si="492" ca="1">Z296</f>
        <v>-500</v>
      </c>
      <c r="AA309" s="330">
        <f ca="1">AA296</f>
        <v>-500</v>
      </c>
      <c r="AB309" s="330">
        <f ca="1">AB296</f>
        <v>-500</v>
      </c>
      <c r="AC309" s="330">
        <f ca="1">AC296</f>
        <v>-500</v>
      </c>
      <c r="AD309" s="16"/>
      <c r="AE309" s="329">
        <f t="shared" ref="AE309:AG309" si="493" ca="1">AE296</f>
        <v>-1400</v>
      </c>
      <c r="AF309" s="329">
        <f ca="1">AF296</f>
        <v>-1300</v>
      </c>
      <c r="AG309" s="329">
        <f ca="1">AG296</f>
        <v>-1200</v>
      </c>
      <c r="AH309" s="16"/>
      <c r="AI309" s="16"/>
      <c r="AJ309" s="16"/>
      <c r="AK309" s="16"/>
    </row>
    <row r="310" ht="13.5" customHeight="1" spans="1:37" x14ac:dyDescent="0.25">
      <c r="A310" s="264"/>
      <c r="B310" s="16"/>
      <c r="C310" s="16" t="s">
        <v>406</v>
      </c>
      <c r="D310" s="16"/>
      <c r="E310" s="16"/>
      <c r="F310" s="353">
        <f t="shared" ref="F310:W310" si="494" ca="1">F140</f>
        <v>10947</v>
      </c>
      <c r="G310" s="353">
        <f ca="1">G140</f>
        <v>10949</v>
      </c>
      <c r="H310" s="353">
        <f ca="1">H140</f>
        <v>10950</v>
      </c>
      <c r="I310" s="353">
        <f ca="1">I140</f>
        <v>10953</v>
      </c>
      <c r="J310" s="282">
        <f ca="1">J140</f>
        <v>10953</v>
      </c>
      <c r="K310" s="353">
        <f ca="1">K140</f>
        <v>10954</v>
      </c>
      <c r="L310" s="353">
        <f ca="1">L140</f>
        <v>9705</v>
      </c>
      <c r="M310" s="353">
        <f ca="1">M140</f>
        <v>9706</v>
      </c>
      <c r="N310" s="353">
        <f ca="1">N140</f>
        <v>9709</v>
      </c>
      <c r="O310" s="282">
        <f ca="1">O140</f>
        <v>9709</v>
      </c>
      <c r="P310" s="353">
        <f ca="1">P140</f>
        <v>9710</v>
      </c>
      <c r="Q310" s="353">
        <f ca="1">Q140</f>
        <v>8461</v>
      </c>
      <c r="R310" s="353">
        <f ca="1">R140</f>
        <v>8462</v>
      </c>
      <c r="S310" s="353">
        <f ca="1">S140</f>
        <v>8463</v>
      </c>
      <c r="T310" s="282">
        <f ca="1">T140</f>
        <v>8463</v>
      </c>
      <c r="U310" s="353">
        <f ca="1">U140</f>
        <v>8464</v>
      </c>
      <c r="V310" s="353">
        <f ca="1">V140</f>
        <v>8466</v>
      </c>
      <c r="W310" s="353">
        <f ca="1">W140</f>
        <v>25233</v>
      </c>
      <c r="X310" s="281">
        <f ca="1">SUM(X307:X309)</f>
        <v>24733</v>
      </c>
      <c r="Y310" s="16"/>
      <c r="Z310" s="281">
        <f t="shared" ref="Z310:AC310" si="495" ca="1">SUM(Z307:Z309)</f>
        <v>24233</v>
      </c>
      <c r="AA310" s="281">
        <f ca="1">SUM(AA307:AA309)</f>
        <v>23733</v>
      </c>
      <c r="AB310" s="281">
        <f ca="1">SUM(AB307:AB309)</f>
        <v>23233</v>
      </c>
      <c r="AC310" s="281">
        <f ca="1">SUM(AC307:AC309)</f>
        <v>22733</v>
      </c>
      <c r="AD310" s="16"/>
      <c r="AE310" s="282">
        <f t="shared" ref="AE310:AG310" si="496" ca="1">SUM(AE307:AE309)</f>
        <v>21333</v>
      </c>
      <c r="AF310" s="282">
        <f ca="1">SUM(AF307:AF309)</f>
        <v>20033</v>
      </c>
      <c r="AG310" s="282">
        <f ca="1">SUM(AG307:AG309)</f>
        <v>18833</v>
      </c>
      <c r="AH310" s="16"/>
      <c r="AI310" s="16"/>
      <c r="AJ310" s="16"/>
      <c r="AK310" s="16"/>
    </row>
    <row r="311" ht="13.5" customHeight="1" spans="1:37" x14ac:dyDescent="0.25">
      <c r="A311" s="264"/>
      <c r="B311" s="16"/>
      <c r="C311" s="16"/>
      <c r="D311" s="16"/>
      <c r="E311" s="16"/>
      <c r="F311" s="315"/>
      <c r="G311" s="315"/>
      <c r="H311" s="315"/>
      <c r="I311" s="315"/>
      <c r="J311" s="16"/>
      <c r="K311" s="315"/>
      <c r="L311" s="315"/>
      <c r="M311" s="315"/>
      <c r="N311" s="315"/>
      <c r="O311" s="16"/>
      <c r="P311" s="315"/>
      <c r="Q311" s="315"/>
      <c r="R311" s="315"/>
      <c r="S311" s="315"/>
      <c r="T311" s="16"/>
      <c r="U311" s="315"/>
      <c r="V311" s="315"/>
      <c r="W311" s="315"/>
      <c r="X311" s="316"/>
      <c r="Y311" s="16"/>
      <c r="Z311" s="316"/>
      <c r="AA311" s="316"/>
      <c r="AB311" s="316"/>
      <c r="AC311" s="316"/>
      <c r="AD311" s="16"/>
      <c r="AE311" s="16"/>
      <c r="AF311" s="16"/>
      <c r="AG311" s="16"/>
      <c r="AH311" s="16"/>
      <c r="AI311" s="16"/>
      <c r="AJ311" s="16"/>
      <c r="AK311" s="16"/>
    </row>
    <row r="312" ht="13.5" customHeight="1" spans="1:37" x14ac:dyDescent="0.25">
      <c r="A312" s="264"/>
      <c r="B312" s="16"/>
      <c r="C312" s="131" t="s">
        <v>438</v>
      </c>
      <c r="D312" s="16"/>
      <c r="E312" s="16"/>
      <c r="F312" s="315"/>
      <c r="G312" s="315"/>
      <c r="H312" s="315"/>
      <c r="I312" s="315"/>
      <c r="J312" s="16"/>
      <c r="K312" s="315"/>
      <c r="L312" s="315"/>
      <c r="M312" s="315"/>
      <c r="N312" s="315"/>
      <c r="O312" s="16"/>
      <c r="P312" s="315"/>
      <c r="Q312" s="315"/>
      <c r="R312" s="315"/>
      <c r="S312" s="315"/>
      <c r="T312" s="16"/>
      <c r="U312" s="315"/>
      <c r="V312" s="315"/>
      <c r="W312" s="315"/>
      <c r="X312" s="316"/>
      <c r="Y312" s="16"/>
      <c r="Z312" s="316"/>
      <c r="AA312" s="316"/>
      <c r="AB312" s="316"/>
      <c r="AC312" s="316"/>
      <c r="AD312" s="16"/>
      <c r="AE312" s="16"/>
      <c r="AF312" s="16"/>
      <c r="AG312" s="16"/>
      <c r="AH312" s="16"/>
      <c r="AI312" s="16"/>
      <c r="AJ312" s="16"/>
      <c r="AK312" s="16"/>
    </row>
    <row r="313" ht="13.5" customHeight="1" spans="1:37" x14ac:dyDescent="0.25">
      <c r="A313" s="264"/>
      <c r="B313" s="16"/>
      <c r="C313" s="139" t="s">
        <v>439</v>
      </c>
      <c r="D313" s="16"/>
      <c r="E313" s="16"/>
      <c r="F313" s="315"/>
      <c r="G313" s="315"/>
      <c r="H313" s="315"/>
      <c r="I313" s="315"/>
      <c r="J313" s="16"/>
      <c r="K313" s="315"/>
      <c r="L313" s="315"/>
      <c r="M313" s="315"/>
      <c r="N313" s="315"/>
      <c r="O313" s="16"/>
      <c r="P313" s="315"/>
      <c r="Q313" s="315"/>
      <c r="R313" s="315"/>
      <c r="S313" s="315"/>
      <c r="T313" s="16"/>
      <c r="U313" s="315"/>
      <c r="V313" s="315"/>
      <c r="W313" s="315"/>
      <c r="X313" s="281">
        <f ca="1">AVERAGE(X304,X302)</f>
        <v>1e-12</v>
      </c>
      <c r="Y313" s="16"/>
      <c r="Z313" s="281">
        <f ca="1">AVERAGE(Z304,Z302)</f>
        <v>1e-12</v>
      </c>
      <c r="AA313" s="281">
        <f ca="1">AVERAGE(AA304,AA302)</f>
        <v>1680.1902970041065</v>
      </c>
      <c r="AB313" s="281">
        <f ca="1">AVERAGE(AB304,AB302)</f>
        <v>4785.278407259815</v>
      </c>
      <c r="AC313" s="281">
        <f ca="1">AVERAGE(AC304,AC302)</f>
        <v>7472.110594651668</v>
      </c>
      <c r="AD313" s="16"/>
      <c r="AE313" s="282">
        <f ca="1">AVERAGE(AE304,AE302)</f>
        <v>13596.62192304861</v>
      </c>
      <c r="AF313" s="282">
        <f ca="1">AVERAGE(AF304,AF302)</f>
        <v>25824.500214059946</v>
      </c>
      <c r="AG313" s="282">
        <f ca="1">AVERAGE(AG304,AG302)</f>
        <v>41149.48679592288</v>
      </c>
      <c r="AH313" s="16"/>
      <c r="AI313" s="16"/>
      <c r="AJ313" s="16"/>
      <c r="AK313" s="16"/>
    </row>
    <row r="314" ht="13.5" customHeight="1" spans="1:37" x14ac:dyDescent="0.25">
      <c r="A314" s="264"/>
      <c r="B314" s="16"/>
      <c r="C314" s="139" t="s">
        <v>440</v>
      </c>
      <c r="D314" s="16"/>
      <c r="E314" s="16"/>
      <c r="F314" s="315"/>
      <c r="G314" s="315"/>
      <c r="H314" s="315"/>
      <c r="I314" s="315"/>
      <c r="J314" s="16"/>
      <c r="K314" s="315"/>
      <c r="L314" s="315"/>
      <c r="M314" s="315"/>
      <c r="N314" s="315"/>
      <c r="O314" s="16"/>
      <c r="P314" s="315"/>
      <c r="Q314" s="315"/>
      <c r="R314" s="315"/>
      <c r="S314" s="315"/>
      <c r="T314" s="16"/>
      <c r="U314" s="315"/>
      <c r="V314" s="315"/>
      <c r="W314" s="315"/>
      <c r="X314" s="466">
        <f ca="1">5%/4</f>
        <v>0.0125</v>
      </c>
      <c r="Y314" s="16"/>
      <c r="Z314" s="466">
        <f t="shared" ref="Z314:AC314" si="497" ca="1">5%/4</f>
        <v>0.0125</v>
      </c>
      <c r="AA314" s="466">
        <f ca="1">5%/4</f>
        <v>0.0125</v>
      </c>
      <c r="AB314" s="466">
        <f ca="1">5%/4</f>
        <v>0.0125</v>
      </c>
      <c r="AC314" s="466">
        <f ca="1">5%/4</f>
        <v>0.0125</v>
      </c>
      <c r="AD314" s="16"/>
      <c r="AE314" s="467">
        <f t="shared" ref="AE314:AG314" si="498" ca="1">5%</f>
        <v>0.05</v>
      </c>
      <c r="AF314" s="467">
        <f ca="1">5%</f>
        <v>0.05</v>
      </c>
      <c r="AG314" s="467">
        <f ca="1">5%</f>
        <v>0.05</v>
      </c>
      <c r="AH314" s="16"/>
      <c r="AI314" s="16"/>
      <c r="AJ314" s="16"/>
      <c r="AK314" s="16"/>
    </row>
    <row r="315" ht="13.5" customHeight="1" spans="1:37" x14ac:dyDescent="0.25">
      <c r="A315" s="264"/>
      <c r="B315" s="16"/>
      <c r="C315" s="139" t="s">
        <v>277</v>
      </c>
      <c r="D315" s="16"/>
      <c r="E315" s="16"/>
      <c r="F315" s="315"/>
      <c r="G315" s="315"/>
      <c r="H315" s="315"/>
      <c r="I315" s="315"/>
      <c r="J315" s="16"/>
      <c r="K315" s="315"/>
      <c r="L315" s="315"/>
      <c r="M315" s="315"/>
      <c r="N315" s="315"/>
      <c r="O315" s="16"/>
      <c r="P315" s="315"/>
      <c r="Q315" s="315"/>
      <c r="R315" s="315"/>
      <c r="S315" s="315"/>
      <c r="T315" s="16"/>
      <c r="U315" s="315"/>
      <c r="V315" s="315"/>
      <c r="W315" s="315"/>
      <c r="X315" s="281">
        <f ca="1">-(X313*X314)</f>
        <v>1e-12</v>
      </c>
      <c r="Y315" s="16"/>
      <c r="Z315" s="281">
        <f ca="1">-(Z313*Z314)</f>
        <v>1e-12</v>
      </c>
      <c r="AA315" s="281">
        <f ca="1">-(AA313*AA314)</f>
        <v>-21.002378712551334</v>
      </c>
      <c r="AB315" s="281">
        <f ca="1">-(AB313*AB314)</f>
        <v>-59.81598009074769</v>
      </c>
      <c r="AC315" s="281">
        <f ca="1">-(AC313*AC314)</f>
        <v>-93.40138243314586</v>
      </c>
      <c r="AD315" s="16"/>
      <c r="AE315" s="282">
        <f ca="1">-(AE313*AE314)</f>
        <v>-679.8310961524305</v>
      </c>
      <c r="AF315" s="282">
        <f ca="1">-(AF313*AF314)</f>
        <v>-1291.2250107029975</v>
      </c>
      <c r="AG315" s="282">
        <f ca="1">-(AG313*AG314)</f>
        <v>-2057.4743397961442</v>
      </c>
      <c r="AH315" s="16"/>
      <c r="AI315" s="16"/>
      <c r="AJ315" s="16"/>
      <c r="AK315" s="16"/>
    </row>
    <row r="316" ht="13.5" customHeight="1" spans="1:37" x14ac:dyDescent="0.25">
      <c r="A316" s="264"/>
      <c r="B316" s="16"/>
      <c r="C316" s="16"/>
      <c r="D316" s="16"/>
      <c r="E316" s="16"/>
      <c r="F316" s="315"/>
      <c r="G316" s="315"/>
      <c r="H316" s="315"/>
      <c r="I316" s="315"/>
      <c r="J316" s="16"/>
      <c r="K316" s="315"/>
      <c r="L316" s="315"/>
      <c r="M316" s="315"/>
      <c r="N316" s="315"/>
      <c r="O316" s="16"/>
      <c r="P316" s="315"/>
      <c r="Q316" s="315"/>
      <c r="R316" s="315"/>
      <c r="S316" s="315"/>
      <c r="T316" s="16"/>
      <c r="U316" s="315"/>
      <c r="V316" s="315"/>
      <c r="W316" s="315"/>
      <c r="X316" s="316"/>
      <c r="Y316" s="16"/>
      <c r="Z316" s="316"/>
      <c r="AA316" s="316"/>
      <c r="AB316" s="316"/>
      <c r="AC316" s="316"/>
      <c r="AD316" s="16"/>
      <c r="AE316" s="16"/>
      <c r="AF316" s="16"/>
      <c r="AG316" s="16"/>
      <c r="AH316" s="16"/>
      <c r="AI316" s="16"/>
      <c r="AJ316" s="16"/>
      <c r="AK316" s="16"/>
    </row>
    <row r="317" ht="13.5" customHeight="1" spans="1:37" x14ac:dyDescent="0.25">
      <c r="A317" s="264"/>
      <c r="B317" s="16"/>
      <c r="C317" s="131" t="s">
        <v>441</v>
      </c>
      <c r="D317" s="16"/>
      <c r="E317" s="16"/>
      <c r="F317" s="315"/>
      <c r="G317" s="315"/>
      <c r="H317" s="315"/>
      <c r="I317" s="315"/>
      <c r="J317" s="16"/>
      <c r="K317" s="315"/>
      <c r="L317" s="315"/>
      <c r="M317" s="315"/>
      <c r="N317" s="315"/>
      <c r="O317" s="16"/>
      <c r="P317" s="315"/>
      <c r="Q317" s="315"/>
      <c r="R317" s="315"/>
      <c r="S317" s="315"/>
      <c r="T317" s="16"/>
      <c r="U317" s="315"/>
      <c r="V317" s="315"/>
      <c r="W317" s="315"/>
      <c r="X317" s="316"/>
      <c r="Y317" s="16"/>
      <c r="Z317" s="316"/>
      <c r="AA317" s="316"/>
      <c r="AB317" s="316"/>
      <c r="AC317" s="316"/>
      <c r="AD317" s="16"/>
      <c r="AE317" s="16"/>
      <c r="AF317" s="16"/>
      <c r="AG317" s="16"/>
      <c r="AH317" s="16"/>
      <c r="AI317" s="16"/>
      <c r="AJ317" s="16"/>
      <c r="AK317" s="16"/>
    </row>
    <row r="318" ht="13.5" customHeight="1" spans="1:37" x14ac:dyDescent="0.25">
      <c r="A318" s="264"/>
      <c r="B318" s="16"/>
      <c r="C318" s="139" t="s">
        <v>439</v>
      </c>
      <c r="D318" s="16"/>
      <c r="E318" s="16"/>
      <c r="F318" s="315"/>
      <c r="G318" s="315"/>
      <c r="H318" s="315"/>
      <c r="I318" s="315"/>
      <c r="J318" s="16"/>
      <c r="K318" s="315"/>
      <c r="L318" s="315"/>
      <c r="M318" s="315"/>
      <c r="N318" s="315"/>
      <c r="O318" s="16"/>
      <c r="P318" s="315"/>
      <c r="Q318" s="315"/>
      <c r="R318" s="315"/>
      <c r="S318" s="315"/>
      <c r="T318" s="16"/>
      <c r="U318" s="315"/>
      <c r="V318" s="315"/>
      <c r="W318" s="315"/>
      <c r="X318" s="281">
        <f ca="1">AVERAGE(X310,X307)</f>
        <v>24983</v>
      </c>
      <c r="Y318" s="16"/>
      <c r="Z318" s="281">
        <f t="shared" ref="Z318:AC318" si="499" ca="1">AVERAGE(Z310,Z307)</f>
        <v>24483</v>
      </c>
      <c r="AA318" s="281">
        <f ca="1">AVERAGE(AA310,AA307)</f>
        <v>23983</v>
      </c>
      <c r="AB318" s="281">
        <f ca="1">AVERAGE(AB310,AB307)</f>
        <v>23483</v>
      </c>
      <c r="AC318" s="281">
        <f ca="1">AVERAGE(AC310,AC307)</f>
        <v>22983</v>
      </c>
      <c r="AD318" s="16"/>
      <c r="AE318" s="282">
        <f t="shared" ref="AE318:AG318" si="500" ca="1">AVERAGE(AE310,AE307)</f>
        <v>22033</v>
      </c>
      <c r="AF318" s="282">
        <f ca="1">AVERAGE(AF310,AF307)</f>
        <v>20683</v>
      </c>
      <c r="AG318" s="282">
        <f ca="1">AVERAGE(AG310,AG307)</f>
        <v>19433</v>
      </c>
      <c r="AH318" s="16"/>
      <c r="AI318" s="16"/>
      <c r="AJ318" s="16"/>
      <c r="AK318" s="16"/>
    </row>
    <row r="319" ht="13.5" customHeight="1" spans="1:37" x14ac:dyDescent="0.25">
      <c r="A319" s="264"/>
      <c r="B319" s="16"/>
      <c r="C319" s="139" t="s">
        <v>440</v>
      </c>
      <c r="D319" s="16"/>
      <c r="E319" s="16"/>
      <c r="F319" s="315"/>
      <c r="G319" s="315"/>
      <c r="H319" s="315"/>
      <c r="I319" s="315"/>
      <c r="J319" s="16"/>
      <c r="K319" s="315"/>
      <c r="L319" s="315"/>
      <c r="M319" s="315"/>
      <c r="N319" s="315"/>
      <c r="O319" s="16"/>
      <c r="P319" s="315"/>
      <c r="Q319" s="315"/>
      <c r="R319" s="315"/>
      <c r="S319" s="315"/>
      <c r="T319" s="16"/>
      <c r="U319" s="315"/>
      <c r="V319" s="315"/>
      <c r="W319" s="315"/>
      <c r="X319" s="466">
        <f ca="1">3.49%/4</f>
        <v>0.008725</v>
      </c>
      <c r="Y319" s="16"/>
      <c r="Z319" s="466">
        <v>0.008725</v>
      </c>
      <c r="AA319" s="466">
        <v>0.008725</v>
      </c>
      <c r="AB319" s="466">
        <v>0.008725</v>
      </c>
      <c r="AC319" s="466">
        <v>0.008725</v>
      </c>
      <c r="AD319" s="16"/>
      <c r="AE319" s="467">
        <v>0.0349</v>
      </c>
      <c r="AF319" s="467">
        <v>0.0349</v>
      </c>
      <c r="AG319" s="467">
        <v>0.0349</v>
      </c>
      <c r="AH319" s="16"/>
      <c r="AI319" s="16"/>
      <c r="AJ319" s="16"/>
      <c r="AK319" s="16"/>
    </row>
    <row r="320" ht="13.5" customHeight="1" spans="1:37" x14ac:dyDescent="0.25">
      <c r="A320" s="264"/>
      <c r="B320" s="16"/>
      <c r="C320" s="139" t="s">
        <v>277</v>
      </c>
      <c r="D320" s="16"/>
      <c r="E320" s="16"/>
      <c r="F320" s="315"/>
      <c r="G320" s="315"/>
      <c r="H320" s="315"/>
      <c r="I320" s="315"/>
      <c r="J320" s="16"/>
      <c r="K320" s="315"/>
      <c r="L320" s="315"/>
      <c r="M320" s="315"/>
      <c r="N320" s="315"/>
      <c r="O320" s="16"/>
      <c r="P320" s="315"/>
      <c r="Q320" s="315"/>
      <c r="R320" s="315"/>
      <c r="S320" s="315"/>
      <c r="T320" s="16"/>
      <c r="U320" s="315"/>
      <c r="V320" s="315"/>
      <c r="W320" s="315"/>
      <c r="X320" s="281">
        <f ca="1">-(X318*X319)</f>
        <v>-217.976675</v>
      </c>
      <c r="Y320" s="16"/>
      <c r="Z320" s="281">
        <f t="shared" ref="Z320:AC320" si="501" ca="1">-(Z318*Z319)</f>
        <v>-213.614175</v>
      </c>
      <c r="AA320" s="281">
        <f ca="1">-(AA318*AA319)</f>
        <v>-209.251675</v>
      </c>
      <c r="AB320" s="281">
        <f ca="1">-(AB318*AB319)</f>
        <v>-204.889175</v>
      </c>
      <c r="AC320" s="281">
        <f ca="1">-(AC318*AC319)</f>
        <v>-200.526675</v>
      </c>
      <c r="AD320" s="16"/>
      <c r="AE320" s="282">
        <f t="shared" ref="AE320:AG320" si="502" ca="1">-(AE318*AE319)</f>
        <v>-768.9517</v>
      </c>
      <c r="AF320" s="282">
        <f ca="1">-(AF318*AF319)</f>
        <v>-721.8367000000001</v>
      </c>
      <c r="AG320" s="282">
        <f ca="1">-(AG318*AG319)</f>
        <v>-678.2117000000001</v>
      </c>
      <c r="AH320" s="16"/>
      <c r="AI320" s="16"/>
      <c r="AJ320" s="16"/>
      <c r="AK320" s="16"/>
    </row>
    <row r="321" ht="13.5" customHeight="1" spans="1:37" x14ac:dyDescent="0.25">
      <c r="A321" s="264"/>
      <c r="B321" s="16"/>
      <c r="C321" s="16"/>
      <c r="D321" s="16"/>
      <c r="E321" s="16"/>
      <c r="F321" s="315"/>
      <c r="G321" s="315"/>
      <c r="H321" s="315"/>
      <c r="I321" s="315"/>
      <c r="J321" s="16"/>
      <c r="K321" s="315"/>
      <c r="L321" s="315"/>
      <c r="M321" s="315"/>
      <c r="N321" s="315"/>
      <c r="O321" s="16"/>
      <c r="P321" s="315"/>
      <c r="Q321" s="315"/>
      <c r="R321" s="315"/>
      <c r="S321" s="315"/>
      <c r="T321" s="16"/>
      <c r="U321" s="315"/>
      <c r="V321" s="315"/>
      <c r="W321" s="315"/>
      <c r="X321" s="316"/>
      <c r="Y321" s="16"/>
      <c r="Z321" s="316"/>
      <c r="AA321" s="316"/>
      <c r="AB321" s="316"/>
      <c r="AC321" s="316"/>
      <c r="AD321" s="16"/>
      <c r="AE321" s="16"/>
      <c r="AF321" s="16"/>
      <c r="AG321" s="16"/>
      <c r="AH321" s="16"/>
      <c r="AI321" s="16"/>
      <c r="AJ321" s="16"/>
      <c r="AK321" s="16"/>
    </row>
    <row r="322" ht="13.5" customHeight="1" spans="1:37" x14ac:dyDescent="0.25">
      <c r="A322" s="264"/>
      <c r="B322" s="386"/>
      <c r="C322" s="100" t="s">
        <v>442</v>
      </c>
      <c r="D322" s="100"/>
      <c r="E322" s="100"/>
      <c r="F322" s="468"/>
      <c r="G322" s="468"/>
      <c r="H322" s="468"/>
      <c r="I322" s="468"/>
      <c r="J322" s="100"/>
      <c r="K322" s="468"/>
      <c r="L322" s="468"/>
      <c r="M322" s="468"/>
      <c r="N322" s="468"/>
      <c r="O322" s="100"/>
      <c r="P322" s="468"/>
      <c r="Q322" s="468"/>
      <c r="R322" s="468"/>
      <c r="S322" s="468"/>
      <c r="T322" s="100"/>
      <c r="U322" s="468"/>
      <c r="V322" s="468"/>
      <c r="W322" s="468"/>
      <c r="X322" s="390">
        <f ca="1">SUM(X315,X320)</f>
        <v>-217.976675</v>
      </c>
      <c r="Y322" s="100"/>
      <c r="Z322" s="390">
        <f ca="1">SUM(Z315,Z320)</f>
        <v>-213.614175</v>
      </c>
      <c r="AA322" s="390">
        <f ca="1">SUM(AA315,AA320)</f>
        <v>-230.25405371255135</v>
      </c>
      <c r="AB322" s="390">
        <f ca="1">SUM(AB315,AB320)</f>
        <v>-264.70515509074767</v>
      </c>
      <c r="AC322" s="390">
        <f ca="1">SUM(AC315,AC320)</f>
        <v>-293.92805743314585</v>
      </c>
      <c r="AD322" s="100"/>
      <c r="AE322" s="389">
        <f ca="1">SUM(AE315,AE320)</f>
        <v>-1448.7827961524304</v>
      </c>
      <c r="AF322" s="389">
        <f ca="1">SUM(AF315,AF320)</f>
        <v>-2013.0617107029975</v>
      </c>
      <c r="AG322" s="407">
        <f ca="1">SUM(AG315,AG320)</f>
        <v>-2735.6860397961445</v>
      </c>
      <c r="AH322" s="282"/>
      <c r="AI322" s="16"/>
      <c r="AJ322" s="16"/>
      <c r="AK322" s="16"/>
    </row>
    <row r="323" ht="13.5" customHeight="1" spans="1:37" x14ac:dyDescent="0.25">
      <c r="A323" s="264"/>
      <c r="B323" s="16"/>
      <c r="C323" s="16"/>
      <c r="D323" s="16"/>
      <c r="E323" s="16"/>
      <c r="F323" s="315"/>
      <c r="G323" s="315"/>
      <c r="H323" s="315"/>
      <c r="I323" s="315"/>
      <c r="J323" s="16"/>
      <c r="K323" s="315"/>
      <c r="L323" s="315"/>
      <c r="M323" s="315"/>
      <c r="N323" s="315"/>
      <c r="O323" s="16"/>
      <c r="P323" s="315"/>
      <c r="Q323" s="315"/>
      <c r="R323" s="315"/>
      <c r="S323" s="315"/>
      <c r="T323" s="16"/>
      <c r="U323" s="315"/>
      <c r="V323" s="315"/>
      <c r="W323" s="315"/>
      <c r="X323" s="316"/>
      <c r="Y323" s="16"/>
      <c r="Z323" s="316"/>
      <c r="AA323" s="316"/>
      <c r="AB323" s="316"/>
      <c r="AC323" s="316"/>
      <c r="AD323" s="16"/>
      <c r="AE323" s="16"/>
      <c r="AF323" s="16"/>
      <c r="AG323" s="16"/>
      <c r="AH323" s="16"/>
      <c r="AI323" s="16"/>
      <c r="AJ323" s="16"/>
      <c r="AK323" s="16"/>
    </row>
    <row r="324" ht="13.5" customHeight="1" spans="1:37" x14ac:dyDescent="0.25">
      <c r="A324" s="264"/>
      <c r="B324" s="16"/>
      <c r="C324" s="131" t="s">
        <v>443</v>
      </c>
      <c r="D324" s="16"/>
      <c r="E324" s="16"/>
      <c r="F324" s="315"/>
      <c r="G324" s="315"/>
      <c r="H324" s="315"/>
      <c r="I324" s="315"/>
      <c r="J324" s="16"/>
      <c r="K324" s="315"/>
      <c r="L324" s="315"/>
      <c r="M324" s="315"/>
      <c r="N324" s="315"/>
      <c r="O324" s="16"/>
      <c r="P324" s="315"/>
      <c r="Q324" s="315"/>
      <c r="R324" s="315"/>
      <c r="S324" s="315"/>
      <c r="T324" s="16"/>
      <c r="U324" s="315"/>
      <c r="V324" s="315"/>
      <c r="W324" s="315"/>
      <c r="X324" s="316"/>
      <c r="Y324" s="16"/>
      <c r="Z324" s="316"/>
      <c r="AA324" s="316"/>
      <c r="AB324" s="316"/>
      <c r="AC324" s="316"/>
      <c r="AD324" s="16"/>
      <c r="AE324" s="16"/>
      <c r="AF324" s="16"/>
      <c r="AG324" s="16"/>
      <c r="AH324" s="16"/>
      <c r="AI324" s="16"/>
      <c r="AJ324" s="16"/>
      <c r="AK324" s="16"/>
    </row>
    <row r="325" ht="13.5" customHeight="1" spans="1:37" x14ac:dyDescent="0.25">
      <c r="A325" s="264"/>
      <c r="B325" s="16"/>
      <c r="C325" s="139" t="s">
        <v>439</v>
      </c>
      <c r="D325" s="16"/>
      <c r="E325" s="16"/>
      <c r="F325" s="315"/>
      <c r="G325" s="315"/>
      <c r="H325" s="315"/>
      <c r="I325" s="315"/>
      <c r="J325" s="16"/>
      <c r="K325" s="315"/>
      <c r="L325" s="315"/>
      <c r="M325" s="315"/>
      <c r="N325" s="315"/>
      <c r="O325" s="16"/>
      <c r="P325" s="315"/>
      <c r="Q325" s="315"/>
      <c r="R325" s="315"/>
      <c r="S325" s="315"/>
      <c r="T325" s="16"/>
      <c r="U325" s="315"/>
      <c r="V325" s="315"/>
      <c r="W325" s="315"/>
      <c r="X325" s="281">
        <f ca="1">AVERAGE(X120,W120)</f>
        <v>5981.686721760869</v>
      </c>
      <c r="Y325" s="16"/>
      <c r="Z325" s="281">
        <f ca="1">AVERAGE(Z120,Y120)</f>
        <v>1834.0898132577904</v>
      </c>
      <c r="AA325" s="281">
        <f ca="1">AVERAGE(AA120,Z120)</f>
        <v>-1404.2235398737762</v>
      </c>
      <c r="AB325" s="281">
        <f ca="1">AVERAGE(AB120,AA120)</f>
        <v>-1185.4108827240893</v>
      </c>
      <c r="AC325" s="281">
        <f ca="1">AVERAGE(AC120,AB120)</f>
        <v>-2136.7707920243624</v>
      </c>
      <c r="AD325" s="16"/>
      <c r="AE325" s="282">
        <f ca="1">AVERAGE(AE120,AD120)</f>
        <v>-5532.569305568184</v>
      </c>
      <c r="AF325" s="282">
        <f ca="1">AVERAGE(AF120,AE120)</f>
        <v>-8500.56208171092</v>
      </c>
      <c r="AG325" s="282">
        <f ca="1">AVERAGE(AG120,AF120)</f>
        <v>-9133.51063033853</v>
      </c>
      <c r="AH325" s="16"/>
      <c r="AI325" s="16"/>
      <c r="AJ325" s="16"/>
      <c r="AK325" s="16"/>
    </row>
    <row r="326" ht="13.5" customHeight="1" spans="1:37" x14ac:dyDescent="0.25">
      <c r="A326" s="264"/>
      <c r="B326" s="16"/>
      <c r="C326" s="139" t="s">
        <v>440</v>
      </c>
      <c r="D326" s="16"/>
      <c r="E326" s="16"/>
      <c r="F326" s="315"/>
      <c r="G326" s="315"/>
      <c r="H326" s="315"/>
      <c r="I326" s="315"/>
      <c r="J326" s="16"/>
      <c r="K326" s="315"/>
      <c r="L326" s="315"/>
      <c r="M326" s="315"/>
      <c r="N326" s="315"/>
      <c r="O326" s="16"/>
      <c r="P326" s="315"/>
      <c r="Q326" s="315"/>
      <c r="R326" s="315"/>
      <c r="S326" s="315"/>
      <c r="T326" s="16"/>
      <c r="U326" s="315"/>
      <c r="V326" s="315"/>
      <c r="W326" s="315"/>
      <c r="X326" s="466">
        <f ca="1">W326</f>
        <v>1e-12</v>
      </c>
      <c r="Y326" s="16"/>
      <c r="Z326" s="466">
        <f ca="1">X326</f>
        <v>1e-12</v>
      </c>
      <c r="AA326" s="466">
        <f t="shared" ref="AA326:AC326" si="503" ca="1">Z326</f>
        <v>1e-12</v>
      </c>
      <c r="AB326" s="466">
        <f ca="1">AA326</f>
        <v>1e-12</v>
      </c>
      <c r="AC326" s="466">
        <f ca="1">AB326</f>
        <v>1e-12</v>
      </c>
      <c r="AD326" s="16"/>
      <c r="AE326" s="467">
        <f ca="1">AC326</f>
        <v>1e-12</v>
      </c>
      <c r="AF326" s="467">
        <f t="shared" ref="AF326:AG326" si="504" ca="1">AE326</f>
        <v>1e-12</v>
      </c>
      <c r="AG326" s="467">
        <f ca="1">AF326</f>
        <v>1e-12</v>
      </c>
      <c r="AH326" s="16"/>
      <c r="AI326" s="16"/>
      <c r="AJ326" s="16"/>
      <c r="AK326" s="16"/>
    </row>
    <row r="327" ht="13.5" customHeight="1" spans="1:37" x14ac:dyDescent="0.25">
      <c r="A327" s="264"/>
      <c r="B327" s="16"/>
      <c r="C327" s="139" t="s">
        <v>276</v>
      </c>
      <c r="D327" s="16"/>
      <c r="E327" s="16"/>
      <c r="F327" s="315"/>
      <c r="G327" s="315"/>
      <c r="H327" s="315"/>
      <c r="I327" s="315"/>
      <c r="J327" s="16"/>
      <c r="K327" s="315"/>
      <c r="L327" s="315"/>
      <c r="M327" s="315"/>
      <c r="N327" s="315"/>
      <c r="O327" s="16"/>
      <c r="P327" s="315"/>
      <c r="Q327" s="315"/>
      <c r="R327" s="315"/>
      <c r="S327" s="315"/>
      <c r="T327" s="16"/>
      <c r="U327" s="315"/>
      <c r="V327" s="315"/>
      <c r="W327" s="315"/>
      <c r="X327" s="281">
        <f ca="1">X325*X326</f>
        <v>1e-12</v>
      </c>
      <c r="Y327" s="16"/>
      <c r="Z327" s="281">
        <f ca="1">Z325*Z326</f>
        <v>1e-12</v>
      </c>
      <c r="AA327" s="281">
        <f ca="1">AA325*AA326</f>
        <v>1e-12</v>
      </c>
      <c r="AB327" s="281">
        <f ca="1">AB325*AB326</f>
        <v>1e-12</v>
      </c>
      <c r="AC327" s="281">
        <f ca="1">AC325*AC326</f>
        <v>1e-12</v>
      </c>
      <c r="AD327" s="16"/>
      <c r="AE327" s="282">
        <f ca="1">AE325*AE326</f>
        <v>1e-12</v>
      </c>
      <c r="AF327" s="282">
        <f ca="1">AF325*AF326</f>
        <v>1e-12</v>
      </c>
      <c r="AG327" s="282">
        <f ca="1">AG325*AG326</f>
        <v>1e-12</v>
      </c>
      <c r="AH327" s="16"/>
      <c r="AI327" s="16"/>
      <c r="AJ327" s="16"/>
      <c r="AK327" s="16"/>
    </row>
    <row r="328" ht="13.5" customHeight="1" spans="1:37" x14ac:dyDescent="0.25">
      <c r="A328" s="264"/>
      <c r="B328" s="16"/>
      <c r="C328" s="16"/>
      <c r="D328" s="16"/>
      <c r="E328" s="16"/>
      <c r="F328" s="315"/>
      <c r="G328" s="315"/>
      <c r="H328" s="315"/>
      <c r="I328" s="315"/>
      <c r="J328" s="16"/>
      <c r="K328" s="315"/>
      <c r="L328" s="315"/>
      <c r="M328" s="315"/>
      <c r="N328" s="315"/>
      <c r="O328" s="16"/>
      <c r="P328" s="315"/>
      <c r="Q328" s="315"/>
      <c r="R328" s="315"/>
      <c r="S328" s="315"/>
      <c r="T328" s="16"/>
      <c r="U328" s="315"/>
      <c r="V328" s="315"/>
      <c r="W328" s="315"/>
      <c r="X328" s="316"/>
      <c r="Y328" s="16"/>
      <c r="Z328" s="316"/>
      <c r="AA328" s="316"/>
      <c r="AB328" s="316"/>
      <c r="AC328" s="316"/>
      <c r="AD328" s="16"/>
      <c r="AE328" s="16"/>
      <c r="AF328" s="16"/>
      <c r="AG328" s="16"/>
      <c r="AH328" s="16"/>
      <c r="AI328" s="16"/>
      <c r="AJ328" s="16"/>
      <c r="AK328" s="16"/>
    </row>
    <row r="329" ht="13.5" customHeight="1" spans="1:37" x14ac:dyDescent="0.25">
      <c r="A329" s="264"/>
      <c r="B329" s="386"/>
      <c r="C329" s="100" t="s">
        <v>444</v>
      </c>
      <c r="D329" s="100"/>
      <c r="E329" s="100"/>
      <c r="F329" s="468"/>
      <c r="G329" s="468"/>
      <c r="H329" s="468"/>
      <c r="I329" s="468"/>
      <c r="J329" s="100"/>
      <c r="K329" s="468"/>
      <c r="L329" s="468"/>
      <c r="M329" s="468"/>
      <c r="N329" s="468"/>
      <c r="O329" s="100"/>
      <c r="P329" s="468"/>
      <c r="Q329" s="468"/>
      <c r="R329" s="468"/>
      <c r="S329" s="468"/>
      <c r="T329" s="100"/>
      <c r="U329" s="468"/>
      <c r="V329" s="468"/>
      <c r="W329" s="468"/>
      <c r="X329" s="390">
        <f ca="1">X327</f>
        <v>1e-12</v>
      </c>
      <c r="Y329" s="100"/>
      <c r="Z329" s="390">
        <f ca="1">Z327</f>
        <v>1e-12</v>
      </c>
      <c r="AA329" s="390">
        <f ca="1">AA327</f>
        <v>1e-12</v>
      </c>
      <c r="AB329" s="390">
        <f ca="1">AB327</f>
        <v>1e-12</v>
      </c>
      <c r="AC329" s="390">
        <f ca="1">AC327</f>
        <v>1e-12</v>
      </c>
      <c r="AD329" s="100"/>
      <c r="AE329" s="389">
        <f ca="1">AE327</f>
        <v>1e-12</v>
      </c>
      <c r="AF329" s="389">
        <f ca="1">AF327</f>
        <v>1e-12</v>
      </c>
      <c r="AG329" s="407">
        <f ca="1">AG327</f>
        <v>1e-12</v>
      </c>
      <c r="AH329" s="282"/>
      <c r="AI329" s="16"/>
      <c r="AJ329" s="16"/>
      <c r="AK329" s="16"/>
    </row>
    <row r="330" ht="13.5" customHeight="1" spans="1:37" x14ac:dyDescent="0.25">
      <c r="A330" s="264"/>
      <c r="B330" s="16"/>
      <c r="C330" s="16"/>
      <c r="D330" s="16"/>
      <c r="E330" s="16"/>
      <c r="F330" s="315"/>
      <c r="G330" s="315"/>
      <c r="H330" s="315"/>
      <c r="I330" s="315"/>
      <c r="J330" s="16"/>
      <c r="K330" s="315"/>
      <c r="L330" s="315"/>
      <c r="M330" s="315"/>
      <c r="N330" s="315"/>
      <c r="O330" s="16"/>
      <c r="P330" s="315"/>
      <c r="Q330" s="315"/>
      <c r="R330" s="315"/>
      <c r="S330" s="315"/>
      <c r="T330" s="16"/>
      <c r="U330" s="315"/>
      <c r="V330" s="315"/>
      <c r="W330" s="315"/>
      <c r="X330" s="316"/>
      <c r="Y330" s="16"/>
      <c r="Z330" s="316"/>
      <c r="AA330" s="316"/>
      <c r="AB330" s="316"/>
      <c r="AC330" s="316"/>
      <c r="AD330" s="16"/>
      <c r="AE330" s="16"/>
      <c r="AF330" s="16"/>
      <c r="AG330" s="16"/>
      <c r="AH330" s="16"/>
      <c r="AI330" s="16"/>
      <c r="AJ330" s="16"/>
      <c r="AK330" s="16"/>
    </row>
    <row r="331" ht="13.5" customHeight="1" spans="1:37" x14ac:dyDescent="0.25">
      <c r="A331" s="264" t="s">
        <v>1</v>
      </c>
      <c r="B331" s="47" t="s">
        <v>1</v>
      </c>
      <c r="C331" s="62" t="s">
        <v>262</v>
      </c>
      <c r="D331" s="19"/>
      <c r="E331" s="19"/>
      <c r="F331" s="313"/>
      <c r="G331" s="63"/>
      <c r="H331" s="63"/>
      <c r="I331" s="63"/>
      <c r="J331" s="63"/>
      <c r="K331" s="63"/>
      <c r="L331" s="63"/>
      <c r="M331" s="63"/>
      <c r="N331" s="63"/>
      <c r="O331" s="63"/>
      <c r="P331" s="63"/>
      <c r="Q331" s="63"/>
      <c r="R331" s="63"/>
      <c r="S331" s="63"/>
      <c r="T331" s="63"/>
      <c r="U331" s="63"/>
      <c r="V331" s="63"/>
      <c r="W331" s="63"/>
      <c r="X331" s="63"/>
      <c r="Y331" s="63"/>
      <c r="Z331" s="63"/>
      <c r="AA331" s="63"/>
      <c r="AB331" s="63"/>
      <c r="AC331" s="63"/>
      <c r="AD331" s="63"/>
      <c r="AE331" s="63"/>
      <c r="AF331" s="63"/>
      <c r="AG331" s="64"/>
      <c r="AH331" s="264" t="s">
        <v>1</v>
      </c>
      <c r="AI331" s="16"/>
      <c r="AJ331" s="16"/>
      <c r="AK331" s="16"/>
    </row>
    <row r="332" ht="13.5" customHeight="1" spans="1:37" x14ac:dyDescent="0.25">
      <c r="A332" s="264"/>
      <c r="B332" s="264"/>
      <c r="C332" s="16"/>
      <c r="D332" s="16"/>
      <c r="E332" s="16"/>
      <c r="F332" s="16"/>
      <c r="G332" s="16"/>
      <c r="H332" s="16"/>
      <c r="I332" s="16"/>
      <c r="J332" s="16"/>
      <c r="K332" s="16"/>
      <c r="L332" s="16"/>
      <c r="M332" s="16"/>
      <c r="N332" s="16"/>
      <c r="O332" s="16"/>
      <c r="P332" s="16"/>
      <c r="Q332" s="16"/>
      <c r="R332" s="16"/>
      <c r="S332" s="16"/>
      <c r="T332" s="16"/>
      <c r="U332" s="16"/>
      <c r="V332" s="16"/>
      <c r="W332" s="16"/>
      <c r="X332" s="16"/>
      <c r="Y332" s="16"/>
      <c r="Z332" s="16"/>
      <c r="AA332" s="16"/>
      <c r="AB332" s="16"/>
      <c r="AC332" s="16"/>
      <c r="AD332" s="16"/>
      <c r="AE332" s="16"/>
      <c r="AF332" s="16"/>
      <c r="AG332" s="16"/>
      <c r="AH332" s="16"/>
      <c r="AI332" s="16"/>
      <c r="AJ332" s="16"/>
      <c r="AK332" s="16"/>
    </row>
    <row r="333" ht="13.5" customHeight="1" spans="1:37" x14ac:dyDescent="0.25">
      <c r="A333" s="264"/>
      <c r="B333" s="264"/>
      <c r="C333" s="16"/>
      <c r="D333" s="16"/>
      <c r="E333" s="16"/>
      <c r="F333" s="16"/>
      <c r="G333" s="16"/>
      <c r="H333" s="16"/>
      <c r="I333" s="16"/>
      <c r="J333" s="16"/>
      <c r="K333" s="16"/>
      <c r="L333" s="16"/>
      <c r="M333" s="16"/>
      <c r="N333" s="16"/>
      <c r="O333" s="16"/>
      <c r="P333" s="16"/>
      <c r="Q333" s="16"/>
      <c r="R333" s="16"/>
      <c r="S333" s="16"/>
      <c r="T333" s="16"/>
      <c r="U333" s="16"/>
      <c r="V333" s="16"/>
      <c r="W333" s="16"/>
      <c r="X333" s="16"/>
      <c r="Y333" s="16"/>
      <c r="Z333" s="16"/>
      <c r="AA333" s="16"/>
      <c r="AB333" s="16"/>
      <c r="AC333" s="16"/>
      <c r="AD333" s="16"/>
      <c r="AE333" s="16"/>
      <c r="AF333" s="16"/>
      <c r="AG333" s="16"/>
      <c r="AH333" s="16"/>
      <c r="AI333" s="16"/>
      <c r="AJ333" s="16"/>
      <c r="AK333" s="16"/>
    </row>
    <row r="334" ht="13.5" customHeight="1" spans="1:37" x14ac:dyDescent="0.25">
      <c r="A334" s="264"/>
      <c r="B334" s="264"/>
      <c r="C334" s="16"/>
      <c r="D334" s="16"/>
      <c r="E334" s="16"/>
      <c r="F334" s="16"/>
      <c r="G334" s="16"/>
      <c r="H334" s="16"/>
      <c r="I334" s="16"/>
      <c r="J334" s="16"/>
      <c r="K334" s="16"/>
      <c r="L334" s="16"/>
      <c r="M334" s="16"/>
      <c r="N334" s="16"/>
      <c r="O334" s="16"/>
      <c r="P334" s="16"/>
      <c r="Q334" s="16"/>
      <c r="R334" s="16"/>
      <c r="S334" s="16"/>
      <c r="T334" s="16"/>
      <c r="U334" s="16"/>
      <c r="V334" s="16"/>
      <c r="W334" s="16"/>
      <c r="X334" s="16"/>
      <c r="Y334" s="16"/>
      <c r="Z334" s="16"/>
      <c r="AA334" s="16"/>
      <c r="AB334" s="16"/>
      <c r="AC334" s="16"/>
      <c r="AD334" s="16"/>
      <c r="AE334" s="16"/>
      <c r="AF334" s="16"/>
      <c r="AG334" s="16"/>
      <c r="AH334" s="16"/>
      <c r="AI334" s="16"/>
      <c r="AJ334" s="16"/>
      <c r="AK334" s="16"/>
    </row>
    <row r="335" ht="13.5" customHeight="1" spans="1:37" x14ac:dyDescent="0.25">
      <c r="A335" s="264" t="s">
        <v>1</v>
      </c>
      <c r="B335" s="264" t="s">
        <v>1</v>
      </c>
      <c r="C335" s="16"/>
      <c r="D335" s="16"/>
      <c r="E335" s="16"/>
      <c r="F335" s="16"/>
      <c r="G335" s="16"/>
      <c r="H335" s="16"/>
      <c r="I335" s="16"/>
      <c r="J335" s="16"/>
      <c r="K335" s="16"/>
      <c r="L335" s="16"/>
      <c r="M335" s="16"/>
      <c r="N335" s="16"/>
      <c r="O335" s="16"/>
      <c r="P335" s="16"/>
      <c r="Q335" s="16"/>
      <c r="R335" s="16"/>
      <c r="S335" s="16"/>
      <c r="T335" s="16"/>
      <c r="U335" s="16"/>
      <c r="V335" s="16"/>
      <c r="W335" s="16"/>
      <c r="X335" s="16"/>
      <c r="Y335" s="16"/>
      <c r="Z335" s="16"/>
      <c r="AA335" s="16"/>
      <c r="AB335" s="16"/>
      <c r="AC335" s="16"/>
      <c r="AD335" s="16"/>
      <c r="AE335" s="16"/>
      <c r="AF335" s="16"/>
      <c r="AG335" s="16"/>
      <c r="AH335" s="16"/>
      <c r="AI335" s="16"/>
      <c r="AJ335" s="16"/>
      <c r="AK335" s="16"/>
    </row>
    <row r="336" ht="13.5" customHeight="1" spans="1:37" x14ac:dyDescent="0.25">
      <c r="A336" s="344"/>
      <c r="B336" s="4"/>
      <c r="C336" s="4"/>
      <c r="D336" s="4"/>
      <c r="E336" s="4"/>
      <c r="F336" s="4"/>
      <c r="G336" s="4"/>
      <c r="H336" s="4"/>
      <c r="I336" s="4"/>
      <c r="J336" s="4"/>
      <c r="K336" s="4"/>
      <c r="L336" s="4"/>
      <c r="M336" s="4"/>
      <c r="N336" s="4"/>
      <c r="O336" s="4"/>
      <c r="P336" s="4"/>
      <c r="Q336" s="4"/>
      <c r="R336" s="4"/>
      <c r="S336" s="4"/>
      <c r="T336" s="4"/>
      <c r="U336" s="4"/>
      <c r="V336" s="4"/>
      <c r="W336" s="4"/>
      <c r="X336" s="4"/>
      <c r="Y336" s="4"/>
      <c r="Z336" s="4"/>
      <c r="AA336" s="4"/>
      <c r="AB336" s="4"/>
      <c r="AC336" s="4"/>
      <c r="AD336" s="4"/>
      <c r="AE336" s="4"/>
      <c r="AF336" s="4"/>
      <c r="AG336" s="4"/>
      <c r="AH336" s="4"/>
      <c r="AI336" s="4"/>
      <c r="AJ336" s="4"/>
      <c r="AK336" s="4"/>
    </row>
    <row r="337" ht="13.5" customHeight="1" spans="1:37" x14ac:dyDescent="0.25">
      <c r="A337" s="344"/>
      <c r="B337" s="4"/>
      <c r="C337" s="4"/>
      <c r="D337" s="4"/>
      <c r="E337" s="4"/>
      <c r="F337" s="4"/>
      <c r="G337" s="4"/>
      <c r="H337" s="4"/>
      <c r="I337" s="4"/>
      <c r="J337" s="4"/>
      <c r="K337" s="4"/>
      <c r="L337" s="4"/>
      <c r="M337" s="4"/>
      <c r="N337" s="4"/>
      <c r="O337" s="4"/>
      <c r="P337" s="4"/>
      <c r="Q337" s="4"/>
      <c r="R337" s="4"/>
      <c r="S337" s="4"/>
      <c r="T337" s="4"/>
      <c r="U337" s="4"/>
      <c r="V337" s="4"/>
      <c r="W337" s="4"/>
      <c r="X337" s="4"/>
      <c r="Y337" s="4"/>
      <c r="Z337" s="4"/>
      <c r="AA337" s="4"/>
      <c r="AB337" s="4"/>
      <c r="AC337" s="4"/>
      <c r="AD337" s="4"/>
      <c r="AE337" s="4"/>
      <c r="AF337" s="4"/>
      <c r="AG337" s="4"/>
      <c r="AH337" s="4"/>
      <c r="AI337" s="4"/>
      <c r="AJ337" s="4"/>
      <c r="AK337" s="4"/>
    </row>
    <row r="338" ht="13.5" customHeight="1" spans="1:37" x14ac:dyDescent="0.25">
      <c r="A338" s="344"/>
      <c r="B338" s="4"/>
      <c r="C338" s="4"/>
      <c r="D338" s="4"/>
      <c r="E338" s="4"/>
      <c r="F338" s="4"/>
      <c r="G338" s="4"/>
      <c r="H338" s="4"/>
      <c r="I338" s="4"/>
      <c r="J338" s="4"/>
      <c r="K338" s="4"/>
      <c r="L338" s="4"/>
      <c r="M338" s="4"/>
      <c r="N338" s="4"/>
      <c r="O338" s="4"/>
      <c r="P338" s="4"/>
      <c r="Q338" s="4"/>
      <c r="R338" s="4"/>
      <c r="S338" s="4"/>
      <c r="T338" s="4"/>
      <c r="U338" s="4"/>
      <c r="V338" s="4"/>
      <c r="W338" s="4"/>
      <c r="X338" s="4"/>
      <c r="Y338" s="4"/>
      <c r="Z338" s="4"/>
      <c r="AA338" s="4"/>
      <c r="AB338" s="4"/>
      <c r="AC338" s="4"/>
      <c r="AD338" s="4"/>
      <c r="AE338" s="4"/>
      <c r="AF338" s="4"/>
      <c r="AG338" s="4"/>
      <c r="AH338" s="4"/>
      <c r="AI338" s="4"/>
      <c r="AJ338" s="4"/>
      <c r="AK338" s="4"/>
    </row>
    <row r="339" ht="13.5" customHeight="1" spans="1:37" x14ac:dyDescent="0.25">
      <c r="A339" s="344"/>
      <c r="B339" s="4"/>
      <c r="C339" s="4"/>
      <c r="D339" s="4"/>
      <c r="E339" s="4"/>
      <c r="F339" s="4"/>
      <c r="G339" s="4"/>
      <c r="H339" s="4"/>
      <c r="I339" s="4"/>
      <c r="J339" s="4"/>
      <c r="K339" s="4"/>
      <c r="L339" s="4"/>
      <c r="M339" s="4"/>
      <c r="N339" s="4"/>
      <c r="O339" s="4"/>
      <c r="P339" s="4"/>
      <c r="Q339" s="4"/>
      <c r="R339" s="4"/>
      <c r="S339" s="4"/>
      <c r="T339" s="4"/>
      <c r="U339" s="4"/>
      <c r="V339" s="4"/>
      <c r="W339" s="4"/>
      <c r="X339" s="4"/>
      <c r="Y339" s="4"/>
      <c r="Z339" s="4"/>
      <c r="AA339" s="4"/>
      <c r="AB339" s="4"/>
      <c r="AC339" s="4"/>
      <c r="AD339" s="4"/>
      <c r="AE339" s="4"/>
      <c r="AF339" s="4"/>
      <c r="AG339" s="4"/>
      <c r="AH339" s="4"/>
      <c r="AI339" s="4"/>
      <c r="AJ339" s="4"/>
      <c r="AK339" s="4"/>
    </row>
    <row r="340" ht="13.5" customHeight="1" spans="1:37" x14ac:dyDescent="0.25">
      <c r="A340" s="344"/>
      <c r="B340" s="4"/>
      <c r="C340" s="4"/>
      <c r="D340" s="4"/>
      <c r="E340" s="4"/>
      <c r="F340" s="4"/>
      <c r="G340" s="4"/>
      <c r="H340" s="4"/>
      <c r="I340" s="4"/>
      <c r="J340" s="4"/>
      <c r="K340" s="4"/>
      <c r="L340" s="4"/>
      <c r="M340" s="4"/>
      <c r="N340" s="4"/>
      <c r="O340" s="4"/>
      <c r="P340" s="4"/>
      <c r="Q340" s="4"/>
      <c r="R340" s="4"/>
      <c r="S340" s="4"/>
      <c r="T340" s="4"/>
      <c r="U340" s="4"/>
      <c r="V340" s="4"/>
      <c r="W340" s="4"/>
      <c r="X340" s="4"/>
      <c r="Y340" s="4"/>
      <c r="Z340" s="4"/>
      <c r="AA340" s="4"/>
      <c r="AB340" s="4"/>
      <c r="AC340" s="4"/>
      <c r="AD340" s="4"/>
      <c r="AE340" s="4"/>
      <c r="AF340" s="4"/>
      <c r="AG340" s="4"/>
      <c r="AH340" s="4"/>
      <c r="AI340" s="4"/>
      <c r="AJ340" s="4"/>
      <c r="AK340" s="4"/>
    </row>
    <row r="341" ht="13.5" customHeight="1" spans="1:37" x14ac:dyDescent="0.25">
      <c r="A341" s="344"/>
      <c r="B341" s="4"/>
      <c r="C341" s="4"/>
      <c r="D341" s="4"/>
      <c r="E341" s="4"/>
      <c r="F341" s="4"/>
      <c r="G341" s="4"/>
      <c r="H341" s="4"/>
      <c r="I341" s="4"/>
      <c r="J341" s="4"/>
      <c r="K341" s="4"/>
      <c r="L341" s="4"/>
      <c r="M341" s="4"/>
      <c r="N341" s="4"/>
      <c r="O341" s="4"/>
      <c r="P341" s="4"/>
      <c r="Q341" s="4"/>
      <c r="R341" s="4"/>
      <c r="S341" s="4"/>
      <c r="T341" s="4"/>
      <c r="U341" s="4"/>
      <c r="V341" s="4"/>
      <c r="W341" s="4"/>
      <c r="X341" s="4"/>
      <c r="Y341" s="4"/>
      <c r="Z341" s="4"/>
      <c r="AA341" s="4"/>
      <c r="AB341" s="4"/>
      <c r="AC341" s="4"/>
      <c r="AD341" s="4"/>
      <c r="AE341" s="4"/>
      <c r="AF341" s="4"/>
      <c r="AG341" s="4"/>
      <c r="AH341" s="4"/>
      <c r="AI341" s="4"/>
      <c r="AJ341" s="4"/>
      <c r="AK341" s="4"/>
    </row>
    <row r="342" ht="13.5" customHeight="1" spans="1:37" x14ac:dyDescent="0.25">
      <c r="A342" s="344"/>
      <c r="B342" s="4"/>
      <c r="C342" s="4"/>
      <c r="D342" s="4"/>
      <c r="E342" s="4"/>
      <c r="F342" s="4"/>
      <c r="G342" s="4"/>
      <c r="H342" s="4"/>
      <c r="I342" s="4"/>
      <c r="J342" s="4"/>
      <c r="K342" s="4"/>
      <c r="L342" s="4"/>
      <c r="M342" s="4"/>
      <c r="N342" s="4"/>
      <c r="O342" s="4"/>
      <c r="P342" s="4"/>
      <c r="Q342" s="4"/>
      <c r="R342" s="4"/>
      <c r="S342" s="4"/>
      <c r="T342" s="4"/>
      <c r="U342" s="4"/>
      <c r="V342" s="4"/>
      <c r="W342" s="4"/>
      <c r="X342" s="4"/>
      <c r="Y342" s="4"/>
      <c r="Z342" s="4"/>
      <c r="AA342" s="4"/>
      <c r="AB342" s="4"/>
      <c r="AC342" s="4"/>
      <c r="AD342" s="4"/>
      <c r="AE342" s="4"/>
      <c r="AF342" s="4"/>
      <c r="AG342" s="4"/>
      <c r="AH342" s="4"/>
      <c r="AI342" s="4"/>
      <c r="AJ342" s="4"/>
      <c r="AK342" s="4"/>
    </row>
    <row r="343" ht="13.5" customHeight="1" spans="1:37" x14ac:dyDescent="0.25">
      <c r="A343" s="344"/>
      <c r="B343" s="4"/>
      <c r="C343" s="4"/>
      <c r="D343" s="4"/>
      <c r="E343" s="4"/>
      <c r="F343" s="4"/>
      <c r="G343" s="4"/>
      <c r="H343" s="4"/>
      <c r="I343" s="4"/>
      <c r="J343" s="4"/>
      <c r="K343" s="4"/>
      <c r="L343" s="4"/>
      <c r="M343" s="4"/>
      <c r="N343" s="4"/>
      <c r="O343" s="4"/>
      <c r="P343" s="4"/>
      <c r="Q343" s="4"/>
      <c r="R343" s="4"/>
      <c r="S343" s="4"/>
      <c r="T343" s="4"/>
      <c r="U343" s="4"/>
      <c r="V343" s="4"/>
      <c r="W343" s="4"/>
      <c r="X343" s="4"/>
      <c r="Y343" s="4"/>
      <c r="Z343" s="4"/>
      <c r="AA343" s="4"/>
      <c r="AB343" s="4"/>
      <c r="AC343" s="4"/>
      <c r="AD343" s="4"/>
      <c r="AE343" s="4"/>
      <c r="AF343" s="4"/>
      <c r="AG343" s="4"/>
      <c r="AH343" s="4"/>
      <c r="AI343" s="4"/>
      <c r="AJ343" s="4"/>
      <c r="AK343" s="4"/>
    </row>
    <row r="344" ht="13.5" customHeight="1" spans="1:37" x14ac:dyDescent="0.25">
      <c r="A344" s="344"/>
      <c r="B344" s="4"/>
      <c r="C344" s="4"/>
      <c r="D344" s="4"/>
      <c r="E344" s="4"/>
      <c r="F344" s="4"/>
      <c r="G344" s="4"/>
      <c r="H344" s="4"/>
      <c r="I344" s="4"/>
      <c r="J344" s="4"/>
      <c r="K344" s="4"/>
      <c r="L344" s="4"/>
      <c r="M344" s="4"/>
      <c r="N344" s="4"/>
      <c r="O344" s="4"/>
      <c r="P344" s="4"/>
      <c r="Q344" s="4"/>
      <c r="R344" s="4"/>
      <c r="S344" s="4"/>
      <c r="T344" s="4"/>
      <c r="U344" s="4"/>
      <c r="V344" s="4"/>
      <c r="W344" s="4"/>
      <c r="X344" s="4"/>
      <c r="Y344" s="4"/>
      <c r="Z344" s="4"/>
      <c r="AA344" s="4"/>
      <c r="AB344" s="4"/>
      <c r="AC344" s="4"/>
      <c r="AD344" s="4"/>
      <c r="AE344" s="4"/>
      <c r="AF344" s="4"/>
      <c r="AG344" s="4"/>
      <c r="AH344" s="4"/>
      <c r="AI344" s="4"/>
      <c r="AJ344" s="4"/>
      <c r="AK344" s="4"/>
    </row>
    <row r="345" ht="13.5" customHeight="1" spans="1:37" x14ac:dyDescent="0.25">
      <c r="A345" s="344"/>
      <c r="B345" s="4"/>
      <c r="C345" s="4"/>
      <c r="D345" s="4"/>
      <c r="E345" s="4"/>
      <c r="F345" s="4"/>
      <c r="G345" s="4"/>
      <c r="H345" s="4"/>
      <c r="I345" s="4"/>
      <c r="J345" s="4"/>
      <c r="K345" s="4"/>
      <c r="L345" s="4"/>
      <c r="M345" s="4"/>
      <c r="N345" s="4"/>
      <c r="O345" s="4"/>
      <c r="P345" s="4"/>
      <c r="Q345" s="4"/>
      <c r="R345" s="4"/>
      <c r="S345" s="4"/>
      <c r="T345" s="4"/>
      <c r="U345" s="4"/>
      <c r="V345" s="4"/>
      <c r="W345" s="4"/>
      <c r="X345" s="4"/>
      <c r="Y345" s="4"/>
      <c r="Z345" s="4"/>
      <c r="AA345" s="4"/>
      <c r="AB345" s="4"/>
      <c r="AC345" s="4"/>
      <c r="AD345" s="4"/>
      <c r="AE345" s="4"/>
      <c r="AF345" s="4"/>
      <c r="AG345" s="4"/>
      <c r="AH345" s="4"/>
      <c r="AI345" s="4"/>
      <c r="AJ345" s="4"/>
      <c r="AK345" s="4"/>
    </row>
    <row r="346" ht="13.5" customHeight="1" spans="1:37" x14ac:dyDescent="0.25">
      <c r="A346" s="344"/>
      <c r="B346" s="4"/>
      <c r="C346" s="4"/>
      <c r="D346" s="4"/>
      <c r="E346" s="4"/>
      <c r="F346" s="4"/>
      <c r="G346" s="4"/>
      <c r="H346" s="4"/>
      <c r="I346" s="4"/>
      <c r="J346" s="4"/>
      <c r="K346" s="4"/>
      <c r="L346" s="4"/>
      <c r="M346" s="4"/>
      <c r="N346" s="4"/>
      <c r="O346" s="4"/>
      <c r="P346" s="4"/>
      <c r="Q346" s="4"/>
      <c r="R346" s="4"/>
      <c r="S346" s="4"/>
      <c r="T346" s="4"/>
      <c r="U346" s="4"/>
      <c r="V346" s="4"/>
      <c r="W346" s="4"/>
      <c r="X346" s="4"/>
      <c r="Y346" s="4"/>
      <c r="Z346" s="4"/>
      <c r="AA346" s="4"/>
      <c r="AB346" s="4"/>
      <c r="AC346" s="4"/>
      <c r="AD346" s="4"/>
      <c r="AE346" s="4"/>
      <c r="AF346" s="4"/>
      <c r="AG346" s="4"/>
      <c r="AH346" s="4"/>
      <c r="AI346" s="4"/>
      <c r="AJ346" s="4"/>
      <c r="AK346" s="4"/>
    </row>
    <row r="347" ht="13.5" customHeight="1" spans="1:37" x14ac:dyDescent="0.25">
      <c r="A347" s="344"/>
      <c r="B347" s="4"/>
      <c r="C347" s="4"/>
      <c r="D347" s="4"/>
      <c r="E347" s="4"/>
      <c r="F347" s="4"/>
      <c r="G347" s="4"/>
      <c r="H347" s="4"/>
      <c r="I347" s="4"/>
      <c r="J347" s="4"/>
      <c r="K347" s="4"/>
      <c r="L347" s="4"/>
      <c r="M347" s="4"/>
      <c r="N347" s="4"/>
      <c r="O347" s="4"/>
      <c r="P347" s="4"/>
      <c r="Q347" s="4"/>
      <c r="R347" s="4"/>
      <c r="S347" s="4"/>
      <c r="T347" s="4"/>
      <c r="U347" s="4"/>
      <c r="V347" s="4"/>
      <c r="W347" s="4"/>
      <c r="X347" s="4"/>
      <c r="Y347" s="4"/>
      <c r="Z347" s="4"/>
      <c r="AA347" s="4"/>
      <c r="AB347" s="4"/>
      <c r="AC347" s="4"/>
      <c r="AD347" s="4"/>
      <c r="AE347" s="4"/>
      <c r="AF347" s="4"/>
      <c r="AG347" s="4"/>
      <c r="AH347" s="4"/>
      <c r="AI347" s="4"/>
      <c r="AJ347" s="4"/>
      <c r="AK347" s="4"/>
    </row>
    <row r="348" ht="13.5" customHeight="1" spans="1:37" x14ac:dyDescent="0.25">
      <c r="A348" s="344"/>
      <c r="B348" s="4"/>
      <c r="C348" s="4"/>
      <c r="D348" s="4"/>
      <c r="E348" s="4"/>
      <c r="F348" s="4"/>
      <c r="G348" s="4"/>
      <c r="H348" s="4"/>
      <c r="I348" s="4"/>
      <c r="J348" s="4"/>
      <c r="K348" s="4"/>
      <c r="L348" s="4"/>
      <c r="M348" s="4"/>
      <c r="N348" s="4"/>
      <c r="O348" s="4"/>
      <c r="P348" s="4"/>
      <c r="Q348" s="4"/>
      <c r="R348" s="4"/>
      <c r="S348" s="4"/>
      <c r="T348" s="4"/>
      <c r="U348" s="4"/>
      <c r="V348" s="4"/>
      <c r="W348" s="4"/>
      <c r="X348" s="4"/>
      <c r="Y348" s="4"/>
      <c r="Z348" s="4"/>
      <c r="AA348" s="4"/>
      <c r="AB348" s="4"/>
      <c r="AC348" s="4"/>
      <c r="AD348" s="4"/>
      <c r="AE348" s="4"/>
      <c r="AF348" s="4"/>
      <c r="AG348" s="4"/>
      <c r="AH348" s="4"/>
      <c r="AI348" s="4"/>
      <c r="AJ348" s="4"/>
      <c r="AK348" s="4"/>
    </row>
    <row r="349" ht="13.5" customHeight="1" spans="1:37" x14ac:dyDescent="0.25">
      <c r="A349" s="344"/>
      <c r="B349" s="4"/>
      <c r="C349" s="4"/>
      <c r="D349" s="4"/>
      <c r="E349" s="4"/>
      <c r="F349" s="4"/>
      <c r="G349" s="4"/>
      <c r="H349" s="4"/>
      <c r="I349" s="4"/>
      <c r="J349" s="4"/>
      <c r="K349" s="4"/>
      <c r="L349" s="4"/>
      <c r="M349" s="4"/>
      <c r="N349" s="4"/>
      <c r="O349" s="4"/>
      <c r="P349" s="4"/>
      <c r="Q349" s="4"/>
      <c r="R349" s="4"/>
      <c r="S349" s="4"/>
      <c r="T349" s="4"/>
      <c r="U349" s="4"/>
      <c r="V349" s="4"/>
      <c r="W349" s="4"/>
      <c r="X349" s="4"/>
      <c r="Y349" s="4"/>
      <c r="Z349" s="4"/>
      <c r="AA349" s="4"/>
      <c r="AB349" s="4"/>
      <c r="AC349" s="4"/>
      <c r="AD349" s="4"/>
      <c r="AE349" s="4"/>
      <c r="AF349" s="4"/>
      <c r="AG349" s="4"/>
      <c r="AH349" s="4"/>
      <c r="AI349" s="4"/>
      <c r="AJ349" s="4"/>
      <c r="AK349" s="4"/>
    </row>
    <row r="350" ht="13.5" customHeight="1" spans="1:37" x14ac:dyDescent="0.25">
      <c r="A350" s="344"/>
      <c r="B350" s="4"/>
      <c r="C350" s="4"/>
      <c r="D350" s="4"/>
      <c r="E350" s="4"/>
      <c r="F350" s="4"/>
      <c r="G350" s="4"/>
      <c r="H350" s="4"/>
      <c r="I350" s="4"/>
      <c r="J350" s="4"/>
      <c r="K350" s="4"/>
      <c r="L350" s="4"/>
      <c r="M350" s="4"/>
      <c r="N350" s="4"/>
      <c r="O350" s="4"/>
      <c r="P350" s="4"/>
      <c r="Q350" s="4"/>
      <c r="R350" s="4"/>
      <c r="S350" s="4"/>
      <c r="T350" s="4"/>
      <c r="U350" s="4"/>
      <c r="V350" s="4"/>
      <c r="W350" s="4"/>
      <c r="X350" s="4"/>
      <c r="Y350" s="4"/>
      <c r="Z350" s="4"/>
      <c r="AA350" s="4"/>
      <c r="AB350" s="4"/>
      <c r="AC350" s="4"/>
      <c r="AD350" s="4"/>
      <c r="AE350" s="4"/>
      <c r="AF350" s="4"/>
      <c r="AG350" s="4"/>
      <c r="AH350" s="4"/>
      <c r="AI350" s="4"/>
      <c r="AJ350" s="4"/>
      <c r="AK350" s="4"/>
    </row>
    <row r="351" ht="13.5" customHeight="1" spans="1:37" x14ac:dyDescent="0.25">
      <c r="A351" s="344"/>
      <c r="B351" s="4"/>
      <c r="C351" s="4"/>
      <c r="D351" s="4"/>
      <c r="E351" s="4"/>
      <c r="F351" s="4"/>
      <c r="G351" s="4"/>
      <c r="H351" s="4"/>
      <c r="I351" s="4"/>
      <c r="J351" s="4"/>
      <c r="K351" s="4"/>
      <c r="L351" s="4"/>
      <c r="M351" s="4"/>
      <c r="N351" s="4"/>
      <c r="O351" s="4"/>
      <c r="P351" s="4"/>
      <c r="Q351" s="4"/>
      <c r="R351" s="4"/>
      <c r="S351" s="4"/>
      <c r="T351" s="4"/>
      <c r="U351" s="4"/>
      <c r="V351" s="4"/>
      <c r="W351" s="4"/>
      <c r="X351" s="4"/>
      <c r="Y351" s="4"/>
      <c r="Z351" s="4"/>
      <c r="AA351" s="4"/>
      <c r="AB351" s="4"/>
      <c r="AC351" s="4"/>
      <c r="AD351" s="4"/>
      <c r="AE351" s="4"/>
      <c r="AF351" s="4"/>
      <c r="AG351" s="4"/>
      <c r="AH351" s="4"/>
      <c r="AI351" s="4"/>
      <c r="AJ351" s="4"/>
      <c r="AK351" s="4"/>
    </row>
    <row r="352" ht="13.5" customHeight="1" spans="1:37" x14ac:dyDescent="0.25">
      <c r="A352" s="344"/>
      <c r="B352" s="4"/>
      <c r="C352" s="4"/>
      <c r="D352" s="4"/>
      <c r="E352" s="4"/>
      <c r="F352" s="4"/>
      <c r="G352" s="4"/>
      <c r="H352" s="4"/>
      <c r="I352" s="4"/>
      <c r="J352" s="4"/>
      <c r="K352" s="4"/>
      <c r="L352" s="4"/>
      <c r="M352" s="4"/>
      <c r="N352" s="4"/>
      <c r="O352" s="4"/>
      <c r="P352" s="4"/>
      <c r="Q352" s="4"/>
      <c r="R352" s="4"/>
      <c r="S352" s="4"/>
      <c r="T352" s="4"/>
      <c r="U352" s="4"/>
      <c r="V352" s="4"/>
      <c r="W352" s="4"/>
      <c r="X352" s="4"/>
      <c r="Y352" s="4"/>
      <c r="Z352" s="4"/>
      <c r="AA352" s="4"/>
      <c r="AB352" s="4"/>
      <c r="AC352" s="4"/>
      <c r="AD352" s="4"/>
      <c r="AE352" s="4"/>
      <c r="AF352" s="4"/>
      <c r="AG352" s="4"/>
      <c r="AH352" s="4"/>
      <c r="AI352" s="4"/>
      <c r="AJ352" s="4"/>
      <c r="AK352" s="4"/>
    </row>
    <row r="353" ht="13.5" customHeight="1" spans="1:37" x14ac:dyDescent="0.25">
      <c r="A353" s="344"/>
      <c r="B353" s="4"/>
      <c r="C353" s="4"/>
      <c r="D353" s="4"/>
      <c r="E353" s="4"/>
      <c r="F353" s="4"/>
      <c r="G353" s="4"/>
      <c r="H353" s="4"/>
      <c r="I353" s="4"/>
      <c r="J353" s="4"/>
      <c r="K353" s="4"/>
      <c r="L353" s="4"/>
      <c r="M353" s="4"/>
      <c r="N353" s="4"/>
      <c r="O353" s="4"/>
      <c r="P353" s="4"/>
      <c r="Q353" s="4"/>
      <c r="R353" s="4"/>
      <c r="S353" s="4"/>
      <c r="T353" s="4"/>
      <c r="U353" s="4"/>
      <c r="V353" s="4"/>
      <c r="W353" s="4"/>
      <c r="X353" s="4"/>
      <c r="Y353" s="4"/>
      <c r="Z353" s="4"/>
      <c r="AA353" s="4"/>
      <c r="AB353" s="4"/>
      <c r="AC353" s="4"/>
      <c r="AD353" s="4"/>
      <c r="AE353" s="4"/>
      <c r="AF353" s="4"/>
      <c r="AG353" s="4"/>
      <c r="AH353" s="4"/>
      <c r="AI353" s="4"/>
      <c r="AJ353" s="4"/>
      <c r="AK353" s="4"/>
    </row>
    <row r="354" ht="13.5" customHeight="1" spans="1:37" x14ac:dyDescent="0.25">
      <c r="A354" s="344"/>
      <c r="B354" s="4"/>
      <c r="C354" s="4"/>
      <c r="D354" s="4"/>
      <c r="E354" s="4"/>
      <c r="F354" s="4"/>
      <c r="G354" s="4"/>
      <c r="H354" s="4"/>
      <c r="I354" s="4"/>
      <c r="J354" s="4"/>
      <c r="K354" s="4"/>
      <c r="L354" s="4"/>
      <c r="M354" s="4"/>
      <c r="N354" s="4"/>
      <c r="O354" s="4"/>
      <c r="P354" s="4"/>
      <c r="Q354" s="4"/>
      <c r="R354" s="4"/>
      <c r="S354" s="4"/>
      <c r="T354" s="4"/>
      <c r="U354" s="4"/>
      <c r="V354" s="4"/>
      <c r="W354" s="4"/>
      <c r="X354" s="4"/>
      <c r="Y354" s="4"/>
      <c r="Z354" s="4"/>
      <c r="AA354" s="4"/>
      <c r="AB354" s="4"/>
      <c r="AC354" s="4"/>
      <c r="AD354" s="4"/>
      <c r="AE354" s="4"/>
      <c r="AF354" s="4"/>
      <c r="AG354" s="4"/>
      <c r="AH354" s="4"/>
      <c r="AI354" s="4"/>
      <c r="AJ354" s="4"/>
      <c r="AK354" s="4"/>
    </row>
    <row r="355" ht="13.5" customHeight="1" spans="1:37" x14ac:dyDescent="0.25">
      <c r="A355" s="344"/>
      <c r="B355" s="4"/>
      <c r="C355" s="4"/>
      <c r="D355" s="4"/>
      <c r="E355" s="4"/>
      <c r="F355" s="4"/>
      <c r="G355" s="4"/>
      <c r="H355" s="4"/>
      <c r="I355" s="4"/>
      <c r="J355" s="4"/>
      <c r="K355" s="4"/>
      <c r="L355" s="4"/>
      <c r="M355" s="4"/>
      <c r="N355" s="4"/>
      <c r="O355" s="4"/>
      <c r="P355" s="4"/>
      <c r="Q355" s="4"/>
      <c r="R355" s="4"/>
      <c r="S355" s="4"/>
      <c r="T355" s="4"/>
      <c r="U355" s="4"/>
      <c r="V355" s="4"/>
      <c r="W355" s="4"/>
      <c r="X355" s="4"/>
      <c r="Y355" s="4"/>
      <c r="Z355" s="4"/>
      <c r="AA355" s="4"/>
      <c r="AB355" s="4"/>
      <c r="AC355" s="4"/>
      <c r="AD355" s="4"/>
      <c r="AE355" s="4"/>
      <c r="AF355" s="4"/>
      <c r="AG355" s="4"/>
      <c r="AH355" s="4"/>
      <c r="AI355" s="4"/>
      <c r="AJ355" s="4"/>
      <c r="AK355" s="4"/>
    </row>
    <row r="356" ht="13.5" customHeight="1" spans="1:37" x14ac:dyDescent="0.25">
      <c r="A356" s="344"/>
      <c r="B356" s="4"/>
      <c r="C356" s="4"/>
      <c r="D356" s="4"/>
      <c r="E356" s="4"/>
      <c r="F356" s="4"/>
      <c r="G356" s="4"/>
      <c r="H356" s="4"/>
      <c r="I356" s="4"/>
      <c r="J356" s="4"/>
      <c r="K356" s="4"/>
      <c r="L356" s="4"/>
      <c r="M356" s="4"/>
      <c r="N356" s="4"/>
      <c r="O356" s="4"/>
      <c r="P356" s="4"/>
      <c r="Q356" s="4"/>
      <c r="R356" s="4"/>
      <c r="S356" s="4"/>
      <c r="T356" s="4"/>
      <c r="U356" s="4"/>
      <c r="V356" s="4"/>
      <c r="W356" s="4"/>
      <c r="X356" s="4"/>
      <c r="Y356" s="4"/>
      <c r="Z356" s="4"/>
      <c r="AA356" s="4"/>
      <c r="AB356" s="4"/>
      <c r="AC356" s="4"/>
      <c r="AD356" s="4"/>
      <c r="AE356" s="4"/>
      <c r="AF356" s="4"/>
      <c r="AG356" s="4"/>
      <c r="AH356" s="4"/>
      <c r="AI356" s="4"/>
      <c r="AJ356" s="4"/>
      <c r="AK356" s="4"/>
    </row>
    <row r="357" ht="13.5" customHeight="1" spans="1:37" x14ac:dyDescent="0.25">
      <c r="A357" s="344"/>
      <c r="B357" s="4"/>
      <c r="C357" s="4"/>
      <c r="D357" s="4"/>
      <c r="E357" s="4"/>
      <c r="F357" s="4"/>
      <c r="G357" s="4"/>
      <c r="H357" s="4"/>
      <c r="I357" s="4"/>
      <c r="J357" s="4"/>
      <c r="K357" s="4"/>
      <c r="L357" s="4"/>
      <c r="M357" s="4"/>
      <c r="N357" s="4"/>
      <c r="O357" s="4"/>
      <c r="P357" s="4"/>
      <c r="Q357" s="4"/>
      <c r="R357" s="4"/>
      <c r="S357" s="4"/>
      <c r="T357" s="4"/>
      <c r="U357" s="4"/>
      <c r="V357" s="4"/>
      <c r="W357" s="4"/>
      <c r="X357" s="4"/>
      <c r="Y357" s="4"/>
      <c r="Z357" s="4"/>
      <c r="AA357" s="4"/>
      <c r="AB357" s="4"/>
      <c r="AC357" s="4"/>
      <c r="AD357" s="4"/>
      <c r="AE357" s="4"/>
      <c r="AF357" s="4"/>
      <c r="AG357" s="4"/>
      <c r="AH357" s="4"/>
      <c r="AI357" s="4"/>
      <c r="AJ357" s="4"/>
      <c r="AK357" s="4"/>
    </row>
    <row r="358" ht="13.5" customHeight="1" spans="1:37" x14ac:dyDescent="0.25">
      <c r="A358" s="344"/>
      <c r="B358" s="4"/>
      <c r="C358" s="4"/>
      <c r="D358" s="4"/>
      <c r="E358" s="4"/>
      <c r="F358" s="4"/>
      <c r="G358" s="4"/>
      <c r="H358" s="4"/>
      <c r="I358" s="4"/>
      <c r="J358" s="4"/>
      <c r="K358" s="4"/>
      <c r="L358" s="4"/>
      <c r="M358" s="4"/>
      <c r="N358" s="4"/>
      <c r="O358" s="4"/>
      <c r="P358" s="4"/>
      <c r="Q358" s="4"/>
      <c r="R358" s="4"/>
      <c r="S358" s="4"/>
      <c r="T358" s="4"/>
      <c r="U358" s="4"/>
      <c r="V358" s="4"/>
      <c r="W358" s="4"/>
      <c r="X358" s="4"/>
      <c r="Y358" s="4"/>
      <c r="Z358" s="4"/>
      <c r="AA358" s="4"/>
      <c r="AB358" s="4"/>
      <c r="AC358" s="4"/>
      <c r="AD358" s="4"/>
      <c r="AE358" s="4"/>
      <c r="AF358" s="4"/>
      <c r="AG358" s="4"/>
      <c r="AH358" s="4"/>
      <c r="AI358" s="4"/>
      <c r="AJ358" s="4"/>
      <c r="AK358" s="4"/>
    </row>
    <row r="359" ht="13.5" customHeight="1" spans="1:37" x14ac:dyDescent="0.25">
      <c r="A359" s="344"/>
      <c r="B359" s="4"/>
      <c r="C359" s="4"/>
      <c r="D359" s="4"/>
      <c r="E359" s="4"/>
      <c r="F359" s="4"/>
      <c r="G359" s="4"/>
      <c r="H359" s="4"/>
      <c r="I359" s="4"/>
      <c r="J359" s="4"/>
      <c r="K359" s="4"/>
      <c r="L359" s="4"/>
      <c r="M359" s="4"/>
      <c r="N359" s="4"/>
      <c r="O359" s="4"/>
      <c r="P359" s="4"/>
      <c r="Q359" s="4"/>
      <c r="R359" s="4"/>
      <c r="S359" s="4"/>
      <c r="T359" s="4"/>
      <c r="U359" s="4"/>
      <c r="V359" s="4"/>
      <c r="W359" s="4"/>
      <c r="X359" s="4"/>
      <c r="Y359" s="4"/>
      <c r="Z359" s="4"/>
      <c r="AA359" s="4"/>
      <c r="AB359" s="4"/>
      <c r="AC359" s="4"/>
      <c r="AD359" s="4"/>
      <c r="AE359" s="4"/>
      <c r="AF359" s="4"/>
      <c r="AG359" s="4"/>
      <c r="AH359" s="4"/>
      <c r="AI359" s="4"/>
      <c r="AJ359" s="4"/>
      <c r="AK359" s="4"/>
    </row>
    <row r="360" ht="13.5" customHeight="1" spans="1:37" x14ac:dyDescent="0.25">
      <c r="A360" s="344"/>
      <c r="B360" s="4"/>
      <c r="C360" s="4"/>
      <c r="D360" s="4"/>
      <c r="E360" s="4"/>
      <c r="F360" s="4"/>
      <c r="G360" s="4"/>
      <c r="H360" s="4"/>
      <c r="I360" s="4"/>
      <c r="J360" s="4"/>
      <c r="K360" s="4"/>
      <c r="L360" s="4"/>
      <c r="M360" s="4"/>
      <c r="N360" s="4"/>
      <c r="O360" s="4"/>
      <c r="P360" s="4"/>
      <c r="Q360" s="4"/>
      <c r="R360" s="4"/>
      <c r="S360" s="4"/>
      <c r="T360" s="4"/>
      <c r="U360" s="4"/>
      <c r="V360" s="4"/>
      <c r="W360" s="4"/>
      <c r="X360" s="4"/>
      <c r="Y360" s="4"/>
      <c r="Z360" s="4"/>
      <c r="AA360" s="4"/>
      <c r="AB360" s="4"/>
      <c r="AC360" s="4"/>
      <c r="AD360" s="4"/>
      <c r="AE360" s="4"/>
      <c r="AF360" s="4"/>
      <c r="AG360" s="4"/>
      <c r="AH360" s="4"/>
      <c r="AI360" s="4"/>
      <c r="AJ360" s="4"/>
      <c r="AK360" s="4"/>
    </row>
    <row r="361" ht="13.5" customHeight="1" spans="1:37" x14ac:dyDescent="0.25">
      <c r="A361" s="344"/>
      <c r="B361" s="4"/>
      <c r="C361" s="4"/>
      <c r="D361" s="4"/>
      <c r="E361" s="4"/>
      <c r="F361" s="4"/>
      <c r="G361" s="4"/>
      <c r="H361" s="4"/>
      <c r="I361" s="4"/>
      <c r="J361" s="4"/>
      <c r="K361" s="4"/>
      <c r="L361" s="4"/>
      <c r="M361" s="4"/>
      <c r="N361" s="4"/>
      <c r="O361" s="4"/>
      <c r="P361" s="4"/>
      <c r="Q361" s="4"/>
      <c r="R361" s="4"/>
      <c r="S361" s="4"/>
      <c r="T361" s="4"/>
      <c r="U361" s="4"/>
      <c r="V361" s="4"/>
      <c r="W361" s="4"/>
      <c r="X361" s="4"/>
      <c r="Y361" s="4"/>
      <c r="Z361" s="4"/>
      <c r="AA361" s="4"/>
      <c r="AB361" s="4"/>
      <c r="AC361" s="4"/>
      <c r="AD361" s="4"/>
      <c r="AE361" s="4"/>
      <c r="AF361" s="4"/>
      <c r="AG361" s="4"/>
      <c r="AH361" s="4"/>
      <c r="AI361" s="4"/>
      <c r="AJ361" s="4"/>
      <c r="AK361" s="4"/>
    </row>
    <row r="362" ht="13.5" customHeight="1" spans="1:37" x14ac:dyDescent="0.25">
      <c r="A362" s="344"/>
      <c r="B362" s="4"/>
      <c r="C362" s="4"/>
      <c r="D362" s="4"/>
      <c r="E362" s="4"/>
      <c r="F362" s="4"/>
      <c r="G362" s="4"/>
      <c r="H362" s="4"/>
      <c r="I362" s="4"/>
      <c r="J362" s="4"/>
      <c r="K362" s="4"/>
      <c r="L362" s="4"/>
      <c r="M362" s="4"/>
      <c r="N362" s="4"/>
      <c r="O362" s="4"/>
      <c r="P362" s="4"/>
      <c r="Q362" s="4"/>
      <c r="R362" s="4"/>
      <c r="S362" s="4"/>
      <c r="T362" s="4"/>
      <c r="U362" s="4"/>
      <c r="V362" s="4"/>
      <c r="W362" s="4"/>
      <c r="X362" s="4"/>
      <c r="Y362" s="4"/>
      <c r="Z362" s="4"/>
      <c r="AA362" s="4"/>
      <c r="AB362" s="4"/>
      <c r="AC362" s="4"/>
      <c r="AD362" s="4"/>
      <c r="AE362" s="4"/>
      <c r="AF362" s="4"/>
      <c r="AG362" s="4"/>
      <c r="AH362" s="4"/>
      <c r="AI362" s="4"/>
      <c r="AJ362" s="4"/>
      <c r="AK362" s="4"/>
    </row>
    <row r="363" ht="13.5" customHeight="1" spans="1:37" x14ac:dyDescent="0.25">
      <c r="A363" s="344"/>
      <c r="B363" s="4"/>
      <c r="C363" s="4"/>
      <c r="D363" s="4"/>
      <c r="E363" s="4"/>
      <c r="F363" s="4"/>
      <c r="G363" s="4"/>
      <c r="H363" s="4"/>
      <c r="I363" s="4"/>
      <c r="J363" s="4"/>
      <c r="K363" s="4"/>
      <c r="L363" s="4"/>
      <c r="M363" s="4"/>
      <c r="N363" s="4"/>
      <c r="O363" s="4"/>
      <c r="P363" s="4"/>
      <c r="Q363" s="4"/>
      <c r="R363" s="4"/>
      <c r="S363" s="4"/>
      <c r="T363" s="4"/>
      <c r="U363" s="4"/>
      <c r="V363" s="4"/>
      <c r="W363" s="4"/>
      <c r="X363" s="4"/>
      <c r="Y363" s="4"/>
      <c r="Z363" s="4"/>
      <c r="AA363" s="4"/>
      <c r="AB363" s="4"/>
      <c r="AC363" s="4"/>
      <c r="AD363" s="4"/>
      <c r="AE363" s="4"/>
      <c r="AF363" s="4"/>
      <c r="AG363" s="4"/>
      <c r="AH363" s="4"/>
      <c r="AI363" s="4"/>
      <c r="AJ363" s="4"/>
      <c r="AK363" s="4"/>
    </row>
    <row r="364" ht="13.5" customHeight="1" spans="1:37" x14ac:dyDescent="0.25">
      <c r="A364" s="344"/>
      <c r="B364" s="4"/>
      <c r="C364" s="4"/>
      <c r="D364" s="4"/>
      <c r="E364" s="4"/>
      <c r="F364" s="4"/>
      <c r="G364" s="4"/>
      <c r="H364" s="4"/>
      <c r="I364" s="4"/>
      <c r="J364" s="4"/>
      <c r="K364" s="4"/>
      <c r="L364" s="4"/>
      <c r="M364" s="4"/>
      <c r="N364" s="4"/>
      <c r="O364" s="4"/>
      <c r="P364" s="4"/>
      <c r="Q364" s="4"/>
      <c r="R364" s="4"/>
      <c r="S364" s="4"/>
      <c r="T364" s="4"/>
      <c r="U364" s="4"/>
      <c r="V364" s="4"/>
      <c r="W364" s="4"/>
      <c r="X364" s="4"/>
      <c r="Y364" s="4"/>
      <c r="Z364" s="4"/>
      <c r="AA364" s="4"/>
      <c r="AB364" s="4"/>
      <c r="AC364" s="4"/>
      <c r="AD364" s="4"/>
      <c r="AE364" s="4"/>
      <c r="AF364" s="4"/>
      <c r="AG364" s="4"/>
      <c r="AH364" s="4"/>
      <c r="AI364" s="4"/>
      <c r="AJ364" s="4"/>
      <c r="AK364" s="4"/>
    </row>
    <row r="365" ht="13.5" customHeight="1" spans="1:37" x14ac:dyDescent="0.25">
      <c r="A365" s="344"/>
      <c r="B365" s="4"/>
      <c r="C365" s="4"/>
      <c r="D365" s="4"/>
      <c r="E365" s="4"/>
      <c r="F365" s="4"/>
      <c r="G365" s="4"/>
      <c r="H365" s="4"/>
      <c r="I365" s="4"/>
      <c r="J365" s="4"/>
      <c r="K365" s="4"/>
      <c r="L365" s="4"/>
      <c r="M365" s="4"/>
      <c r="N365" s="4"/>
      <c r="O365" s="4"/>
      <c r="P365" s="4"/>
      <c r="Q365" s="4"/>
      <c r="R365" s="4"/>
      <c r="S365" s="4"/>
      <c r="T365" s="4"/>
      <c r="U365" s="4"/>
      <c r="V365" s="4"/>
      <c r="W365" s="4"/>
      <c r="X365" s="4"/>
      <c r="Y365" s="4"/>
      <c r="Z365" s="4"/>
      <c r="AA365" s="4"/>
      <c r="AB365" s="4"/>
      <c r="AC365" s="4"/>
      <c r="AD365" s="4"/>
      <c r="AE365" s="4"/>
      <c r="AF365" s="4"/>
      <c r="AG365" s="4"/>
      <c r="AH365" s="4"/>
      <c r="AI365" s="4"/>
      <c r="AJ365" s="4"/>
      <c r="AK365" s="4"/>
    </row>
    <row r="366" ht="13.5" customHeight="1" spans="1:37" x14ac:dyDescent="0.25">
      <c r="A366" s="344"/>
      <c r="B366" s="4"/>
      <c r="C366" s="4"/>
      <c r="D366" s="4"/>
      <c r="E366" s="4"/>
      <c r="F366" s="4"/>
      <c r="G366" s="4"/>
      <c r="H366" s="4"/>
      <c r="I366" s="4"/>
      <c r="J366" s="4"/>
      <c r="K366" s="4"/>
      <c r="L366" s="4"/>
      <c r="M366" s="4"/>
      <c r="N366" s="4"/>
      <c r="O366" s="4"/>
      <c r="P366" s="4"/>
      <c r="Q366" s="4"/>
      <c r="R366" s="4"/>
      <c r="S366" s="4"/>
      <c r="T366" s="4"/>
      <c r="U366" s="4"/>
      <c r="V366" s="4"/>
      <c r="W366" s="4"/>
      <c r="X366" s="4"/>
      <c r="Y366" s="4"/>
      <c r="Z366" s="4"/>
      <c r="AA366" s="4"/>
      <c r="AB366" s="4"/>
      <c r="AC366" s="4"/>
      <c r="AD366" s="4"/>
      <c r="AE366" s="4"/>
      <c r="AF366" s="4"/>
      <c r="AG366" s="4"/>
      <c r="AH366" s="4"/>
      <c r="AI366" s="4"/>
      <c r="AJ366" s="4"/>
      <c r="AK366" s="4"/>
    </row>
    <row r="367" ht="13.5" customHeight="1" spans="1:37" x14ac:dyDescent="0.25">
      <c r="A367" s="344"/>
      <c r="B367" s="4"/>
      <c r="C367" s="4"/>
      <c r="D367" s="4"/>
      <c r="E367" s="4"/>
      <c r="F367" s="4"/>
      <c r="G367" s="4"/>
      <c r="H367" s="4"/>
      <c r="I367" s="4"/>
      <c r="J367" s="4"/>
      <c r="K367" s="4"/>
      <c r="L367" s="4"/>
      <c r="M367" s="4"/>
      <c r="N367" s="4"/>
      <c r="O367" s="4"/>
      <c r="P367" s="4"/>
      <c r="Q367" s="4"/>
      <c r="R367" s="4"/>
      <c r="S367" s="4"/>
      <c r="T367" s="4"/>
      <c r="U367" s="4"/>
      <c r="V367" s="4"/>
      <c r="W367" s="4"/>
      <c r="X367" s="4"/>
      <c r="Y367" s="4"/>
      <c r="Z367" s="4"/>
      <c r="AA367" s="4"/>
      <c r="AB367" s="4"/>
      <c r="AC367" s="4"/>
      <c r="AD367" s="4"/>
      <c r="AE367" s="4"/>
      <c r="AF367" s="4"/>
      <c r="AG367" s="4"/>
      <c r="AH367" s="4"/>
      <c r="AI367" s="4"/>
      <c r="AJ367" s="4"/>
      <c r="AK367" s="4"/>
    </row>
    <row r="368" ht="13.5" customHeight="1" spans="1:37" x14ac:dyDescent="0.25">
      <c r="A368" s="344"/>
      <c r="B368" s="4"/>
      <c r="C368" s="4"/>
      <c r="D368" s="4"/>
      <c r="E368" s="4"/>
      <c r="F368" s="4"/>
      <c r="G368" s="4"/>
      <c r="H368" s="4"/>
      <c r="I368" s="4"/>
      <c r="J368" s="4"/>
      <c r="K368" s="4"/>
      <c r="L368" s="4"/>
      <c r="M368" s="4"/>
      <c r="N368" s="4"/>
      <c r="O368" s="4"/>
      <c r="P368" s="4"/>
      <c r="Q368" s="4"/>
      <c r="R368" s="4"/>
      <c r="S368" s="4"/>
      <c r="T368" s="4"/>
      <c r="U368" s="4"/>
      <c r="V368" s="4"/>
      <c r="W368" s="4"/>
      <c r="X368" s="4"/>
      <c r="Y368" s="4"/>
      <c r="Z368" s="4"/>
      <c r="AA368" s="4"/>
      <c r="AB368" s="4"/>
      <c r="AC368" s="4"/>
      <c r="AD368" s="4"/>
      <c r="AE368" s="4"/>
      <c r="AF368" s="4"/>
      <c r="AG368" s="4"/>
      <c r="AH368" s="4"/>
      <c r="AI368" s="4"/>
      <c r="AJ368" s="4"/>
      <c r="AK368" s="4"/>
    </row>
    <row r="369" ht="13.5" customHeight="1" spans="1:37" x14ac:dyDescent="0.25">
      <c r="A369" s="344"/>
      <c r="B369" s="4"/>
      <c r="C369" s="4"/>
      <c r="D369" s="4"/>
      <c r="E369" s="4"/>
      <c r="F369" s="4"/>
      <c r="G369" s="4"/>
      <c r="H369" s="4"/>
      <c r="I369" s="4"/>
      <c r="J369" s="4"/>
      <c r="K369" s="4"/>
      <c r="L369" s="4"/>
      <c r="M369" s="4"/>
      <c r="N369" s="4"/>
      <c r="O369" s="4"/>
      <c r="P369" s="4"/>
      <c r="Q369" s="4"/>
      <c r="R369" s="4"/>
      <c r="S369" s="4"/>
      <c r="T369" s="4"/>
      <c r="U369" s="4"/>
      <c r="V369" s="4"/>
      <c r="W369" s="4"/>
      <c r="X369" s="4"/>
      <c r="Y369" s="4"/>
      <c r="Z369" s="4"/>
      <c r="AA369" s="4"/>
      <c r="AB369" s="4"/>
      <c r="AC369" s="4"/>
      <c r="AD369" s="4"/>
      <c r="AE369" s="4"/>
      <c r="AF369" s="4"/>
      <c r="AG369" s="4"/>
      <c r="AH369" s="4"/>
      <c r="AI369" s="4"/>
      <c r="AJ369" s="4"/>
      <c r="AK369" s="4"/>
    </row>
    <row r="370" ht="13.5" customHeight="1" spans="1:37" x14ac:dyDescent="0.25">
      <c r="A370" s="344"/>
      <c r="B370" s="4"/>
      <c r="C370" s="4"/>
      <c r="D370" s="4"/>
      <c r="E370" s="4"/>
      <c r="F370" s="4"/>
      <c r="G370" s="4"/>
      <c r="H370" s="4"/>
      <c r="I370" s="4"/>
      <c r="J370" s="4"/>
      <c r="K370" s="4"/>
      <c r="L370" s="4"/>
      <c r="M370" s="4"/>
      <c r="N370" s="4"/>
      <c r="O370" s="4"/>
      <c r="P370" s="4"/>
      <c r="Q370" s="4"/>
      <c r="R370" s="4"/>
      <c r="S370" s="4"/>
      <c r="T370" s="4"/>
      <c r="U370" s="4"/>
      <c r="V370" s="4"/>
      <c r="W370" s="4"/>
      <c r="X370" s="4"/>
      <c r="Y370" s="4"/>
      <c r="Z370" s="4"/>
      <c r="AA370" s="4"/>
      <c r="AB370" s="4"/>
      <c r="AC370" s="4"/>
      <c r="AD370" s="4"/>
      <c r="AE370" s="4"/>
      <c r="AF370" s="4"/>
      <c r="AG370" s="4"/>
      <c r="AH370" s="4"/>
      <c r="AI370" s="4"/>
      <c r="AJ370" s="4"/>
      <c r="AK370" s="4"/>
    </row>
    <row r="371" ht="13.5" customHeight="1" spans="1:37" x14ac:dyDescent="0.25">
      <c r="A371" s="344"/>
      <c r="B371" s="4"/>
      <c r="C371" s="4"/>
      <c r="D371" s="4"/>
      <c r="E371" s="4"/>
      <c r="F371" s="4"/>
      <c r="G371" s="4"/>
      <c r="H371" s="4"/>
      <c r="I371" s="4"/>
      <c r="J371" s="4"/>
      <c r="K371" s="4"/>
      <c r="L371" s="4"/>
      <c r="M371" s="4"/>
      <c r="N371" s="4"/>
      <c r="O371" s="4"/>
      <c r="P371" s="4"/>
      <c r="Q371" s="4"/>
      <c r="R371" s="4"/>
      <c r="S371" s="4"/>
      <c r="T371" s="4"/>
      <c r="U371" s="4"/>
      <c r="V371" s="4"/>
      <c r="W371" s="4"/>
      <c r="X371" s="4"/>
      <c r="Y371" s="4"/>
      <c r="Z371" s="4"/>
      <c r="AA371" s="4"/>
      <c r="AB371" s="4"/>
      <c r="AC371" s="4"/>
      <c r="AD371" s="4"/>
      <c r="AE371" s="4"/>
      <c r="AF371" s="4"/>
      <c r="AG371" s="4"/>
      <c r="AH371" s="4"/>
      <c r="AI371" s="4"/>
      <c r="AJ371" s="4"/>
      <c r="AK371" s="4"/>
    </row>
    <row r="372" ht="13.5" customHeight="1" spans="1:37" x14ac:dyDescent="0.25">
      <c r="A372" s="344"/>
      <c r="B372" s="4"/>
      <c r="C372" s="4"/>
      <c r="D372" s="4"/>
      <c r="E372" s="4"/>
      <c r="F372" s="4"/>
      <c r="G372" s="4"/>
      <c r="H372" s="4"/>
      <c r="I372" s="4"/>
      <c r="J372" s="4"/>
      <c r="K372" s="4"/>
      <c r="L372" s="4"/>
      <c r="M372" s="4"/>
      <c r="N372" s="4"/>
      <c r="O372" s="4"/>
      <c r="P372" s="4"/>
      <c r="Q372" s="4"/>
      <c r="R372" s="4"/>
      <c r="S372" s="4"/>
      <c r="T372" s="4"/>
      <c r="U372" s="4"/>
      <c r="V372" s="4"/>
      <c r="W372" s="4"/>
      <c r="X372" s="4"/>
      <c r="Y372" s="4"/>
      <c r="Z372" s="4"/>
      <c r="AA372" s="4"/>
      <c r="AB372" s="4"/>
      <c r="AC372" s="4"/>
      <c r="AD372" s="4"/>
      <c r="AE372" s="4"/>
      <c r="AF372" s="4"/>
      <c r="AG372" s="4"/>
      <c r="AH372" s="4"/>
      <c r="AI372" s="4"/>
      <c r="AJ372" s="4"/>
      <c r="AK372" s="4"/>
    </row>
    <row r="373" ht="13.5" customHeight="1" spans="1:37" x14ac:dyDescent="0.25">
      <c r="A373" s="344"/>
      <c r="B373" s="4"/>
      <c r="C373" s="4"/>
      <c r="D373" s="4"/>
      <c r="E373" s="4"/>
      <c r="F373" s="4"/>
      <c r="G373" s="4"/>
      <c r="H373" s="4"/>
      <c r="I373" s="4"/>
      <c r="J373" s="4"/>
      <c r="K373" s="4"/>
      <c r="L373" s="4"/>
      <c r="M373" s="4"/>
      <c r="N373" s="4"/>
      <c r="O373" s="4"/>
      <c r="P373" s="4"/>
      <c r="Q373" s="4"/>
      <c r="R373" s="4"/>
      <c r="S373" s="4"/>
      <c r="T373" s="4"/>
      <c r="U373" s="4"/>
      <c r="V373" s="4"/>
      <c r="W373" s="4"/>
      <c r="X373" s="4"/>
      <c r="Y373" s="4"/>
      <c r="Z373" s="4"/>
      <c r="AA373" s="4"/>
      <c r="AB373" s="4"/>
      <c r="AC373" s="4"/>
      <c r="AD373" s="4"/>
      <c r="AE373" s="4"/>
      <c r="AF373" s="4"/>
      <c r="AG373" s="4"/>
      <c r="AH373" s="4"/>
      <c r="AI373" s="4"/>
      <c r="AJ373" s="4"/>
      <c r="AK373" s="4"/>
    </row>
    <row r="374" ht="13.5" customHeight="1" spans="1:37" x14ac:dyDescent="0.25">
      <c r="A374" s="344"/>
      <c r="B374" s="4"/>
      <c r="C374" s="4"/>
      <c r="D374" s="4"/>
      <c r="E374" s="4"/>
      <c r="F374" s="4"/>
      <c r="G374" s="4"/>
      <c r="H374" s="4"/>
      <c r="I374" s="4"/>
      <c r="J374" s="4"/>
      <c r="K374" s="4"/>
      <c r="L374" s="4"/>
      <c r="M374" s="4"/>
      <c r="N374" s="4"/>
      <c r="O374" s="4"/>
      <c r="P374" s="4"/>
      <c r="Q374" s="4"/>
      <c r="R374" s="4"/>
      <c r="S374" s="4"/>
      <c r="T374" s="4"/>
      <c r="U374" s="4"/>
      <c r="V374" s="4"/>
      <c r="W374" s="4"/>
      <c r="X374" s="4"/>
      <c r="Y374" s="4"/>
      <c r="Z374" s="4"/>
      <c r="AA374" s="4"/>
      <c r="AB374" s="4"/>
      <c r="AC374" s="4"/>
      <c r="AD374" s="4"/>
      <c r="AE374" s="4"/>
      <c r="AF374" s="4"/>
      <c r="AG374" s="4"/>
      <c r="AH374" s="4"/>
      <c r="AI374" s="4"/>
      <c r="AJ374" s="4"/>
      <c r="AK374" s="4"/>
    </row>
    <row r="375" ht="13.5" customHeight="1" spans="1:37" x14ac:dyDescent="0.25">
      <c r="A375" s="344"/>
      <c r="B375" s="4"/>
      <c r="C375" s="4"/>
      <c r="D375" s="4"/>
      <c r="E375" s="4"/>
      <c r="F375" s="4"/>
      <c r="G375" s="4"/>
      <c r="H375" s="4"/>
      <c r="I375" s="4"/>
      <c r="J375" s="4"/>
      <c r="K375" s="4"/>
      <c r="L375" s="4"/>
      <c r="M375" s="4"/>
      <c r="N375" s="4"/>
      <c r="O375" s="4"/>
      <c r="P375" s="4"/>
      <c r="Q375" s="4"/>
      <c r="R375" s="4"/>
      <c r="S375" s="4"/>
      <c r="T375" s="4"/>
      <c r="U375" s="4"/>
      <c r="V375" s="4"/>
      <c r="W375" s="4"/>
      <c r="X375" s="4"/>
      <c r="Y375" s="4"/>
      <c r="Z375" s="4"/>
      <c r="AA375" s="4"/>
      <c r="AB375" s="4"/>
      <c r="AC375" s="4"/>
      <c r="AD375" s="4"/>
      <c r="AE375" s="4"/>
      <c r="AF375" s="4"/>
      <c r="AG375" s="4"/>
      <c r="AH375" s="4"/>
      <c r="AI375" s="4"/>
      <c r="AJ375" s="4"/>
      <c r="AK375" s="4"/>
    </row>
    <row r="376" ht="13.5" customHeight="1" spans="1:37" x14ac:dyDescent="0.25">
      <c r="A376" s="344"/>
      <c r="B376" s="4"/>
      <c r="C376" s="4"/>
      <c r="D376" s="4"/>
      <c r="E376" s="4"/>
      <c r="F376" s="4"/>
      <c r="G376" s="4"/>
      <c r="H376" s="4"/>
      <c r="I376" s="4"/>
      <c r="J376" s="4"/>
      <c r="K376" s="4"/>
      <c r="L376" s="4"/>
      <c r="M376" s="4"/>
      <c r="N376" s="4"/>
      <c r="O376" s="4"/>
      <c r="P376" s="4"/>
      <c r="Q376" s="4"/>
      <c r="R376" s="4"/>
      <c r="S376" s="4"/>
      <c r="T376" s="4"/>
      <c r="U376" s="4"/>
      <c r="V376" s="4"/>
      <c r="W376" s="4"/>
      <c r="X376" s="4"/>
      <c r="Y376" s="4"/>
      <c r="Z376" s="4"/>
      <c r="AA376" s="4"/>
      <c r="AB376" s="4"/>
      <c r="AC376" s="4"/>
      <c r="AD376" s="4"/>
      <c r="AE376" s="4"/>
      <c r="AF376" s="4"/>
      <c r="AG376" s="4"/>
      <c r="AH376" s="4"/>
      <c r="AI376" s="4"/>
      <c r="AJ376" s="4"/>
      <c r="AK376" s="4"/>
    </row>
    <row r="377" ht="13.5" customHeight="1" spans="1:37" x14ac:dyDescent="0.25">
      <c r="A377" s="344"/>
      <c r="B377" s="4"/>
      <c r="C377" s="4"/>
      <c r="D377" s="4"/>
      <c r="E377" s="4"/>
      <c r="F377" s="4"/>
      <c r="G377" s="4"/>
      <c r="H377" s="4"/>
      <c r="I377" s="4"/>
      <c r="J377" s="4"/>
      <c r="K377" s="4"/>
      <c r="L377" s="4"/>
      <c r="M377" s="4"/>
      <c r="N377" s="4"/>
      <c r="O377" s="4"/>
      <c r="P377" s="4"/>
      <c r="Q377" s="4"/>
      <c r="R377" s="4"/>
      <c r="S377" s="4"/>
      <c r="T377" s="4"/>
      <c r="U377" s="4"/>
      <c r="V377" s="4"/>
      <c r="W377" s="4"/>
      <c r="X377" s="4"/>
      <c r="Y377" s="4"/>
      <c r="Z377" s="4"/>
      <c r="AA377" s="4"/>
      <c r="AB377" s="4"/>
      <c r="AC377" s="4"/>
      <c r="AD377" s="4"/>
      <c r="AE377" s="4"/>
      <c r="AF377" s="4"/>
      <c r="AG377" s="4"/>
      <c r="AH377" s="4"/>
      <c r="AI377" s="4"/>
      <c r="AJ377" s="4"/>
      <c r="AK377" s="4"/>
    </row>
    <row r="378" ht="13.5" customHeight="1" spans="1:37" x14ac:dyDescent="0.25">
      <c r="A378" s="344"/>
      <c r="B378" s="4"/>
      <c r="C378" s="4"/>
      <c r="D378" s="4"/>
      <c r="E378" s="4"/>
      <c r="F378" s="4"/>
      <c r="G378" s="4"/>
      <c r="H378" s="4"/>
      <c r="I378" s="4"/>
      <c r="J378" s="4"/>
      <c r="K378" s="4"/>
      <c r="L378" s="4"/>
      <c r="M378" s="4"/>
      <c r="N378" s="4"/>
      <c r="O378" s="4"/>
      <c r="P378" s="4"/>
      <c r="Q378" s="4"/>
      <c r="R378" s="4"/>
      <c r="S378" s="4"/>
      <c r="T378" s="4"/>
      <c r="U378" s="4"/>
      <c r="V378" s="4"/>
      <c r="W378" s="4"/>
      <c r="X378" s="4"/>
      <c r="Y378" s="4"/>
      <c r="Z378" s="4"/>
      <c r="AA378" s="4"/>
      <c r="AB378" s="4"/>
      <c r="AC378" s="4"/>
      <c r="AD378" s="4"/>
      <c r="AE378" s="4"/>
      <c r="AF378" s="4"/>
      <c r="AG378" s="4"/>
      <c r="AH378" s="4"/>
      <c r="AI378" s="4"/>
      <c r="AJ378" s="4"/>
      <c r="AK378" s="4"/>
    </row>
    <row r="379" ht="13.5" customHeight="1" spans="1:37" x14ac:dyDescent="0.25">
      <c r="A379" s="344"/>
      <c r="B379" s="4"/>
      <c r="C379" s="4"/>
      <c r="D379" s="4"/>
      <c r="E379" s="4"/>
      <c r="F379" s="4"/>
      <c r="G379" s="4"/>
      <c r="H379" s="4"/>
      <c r="I379" s="4"/>
      <c r="J379" s="4"/>
      <c r="K379" s="4"/>
      <c r="L379" s="4"/>
      <c r="M379" s="4"/>
      <c r="N379" s="4"/>
      <c r="O379" s="4"/>
      <c r="P379" s="4"/>
      <c r="Q379" s="4"/>
      <c r="R379" s="4"/>
      <c r="S379" s="4"/>
      <c r="T379" s="4"/>
      <c r="U379" s="4"/>
      <c r="V379" s="4"/>
      <c r="W379" s="4"/>
      <c r="X379" s="4"/>
      <c r="Y379" s="4"/>
      <c r="Z379" s="4"/>
      <c r="AA379" s="4"/>
      <c r="AB379" s="4"/>
      <c r="AC379" s="4"/>
      <c r="AD379" s="4"/>
      <c r="AE379" s="4"/>
      <c r="AF379" s="4"/>
      <c r="AG379" s="4"/>
      <c r="AH379" s="4"/>
      <c r="AI379" s="4"/>
      <c r="AJ379" s="4"/>
      <c r="AK379" s="4"/>
    </row>
    <row r="380" ht="13.5" customHeight="1" spans="1:37" x14ac:dyDescent="0.25">
      <c r="A380" s="344"/>
      <c r="B380" s="4"/>
      <c r="C380" s="4"/>
      <c r="D380" s="4"/>
      <c r="E380" s="4"/>
      <c r="F380" s="4"/>
      <c r="G380" s="4"/>
      <c r="H380" s="4"/>
      <c r="I380" s="4"/>
      <c r="J380" s="4"/>
      <c r="K380" s="4"/>
      <c r="L380" s="4"/>
      <c r="M380" s="4"/>
      <c r="N380" s="4"/>
      <c r="O380" s="4"/>
      <c r="P380" s="4"/>
      <c r="Q380" s="4"/>
      <c r="R380" s="4"/>
      <c r="S380" s="4"/>
      <c r="T380" s="4"/>
      <c r="U380" s="4"/>
      <c r="V380" s="4"/>
      <c r="W380" s="4"/>
      <c r="X380" s="4"/>
      <c r="Y380" s="4"/>
      <c r="Z380" s="4"/>
      <c r="AA380" s="4"/>
      <c r="AB380" s="4"/>
      <c r="AC380" s="4"/>
      <c r="AD380" s="4"/>
      <c r="AE380" s="4"/>
      <c r="AF380" s="4"/>
      <c r="AG380" s="4"/>
      <c r="AH380" s="4"/>
      <c r="AI380" s="4"/>
      <c r="AJ380" s="4"/>
      <c r="AK380" s="4"/>
    </row>
    <row r="381" ht="13.5" customHeight="1" spans="1:37" x14ac:dyDescent="0.25">
      <c r="A381" s="344"/>
      <c r="B381" s="4"/>
      <c r="C381" s="4"/>
      <c r="D381" s="4"/>
      <c r="E381" s="4"/>
      <c r="F381" s="4"/>
      <c r="G381" s="4"/>
      <c r="H381" s="4"/>
      <c r="I381" s="4"/>
      <c r="J381" s="4"/>
      <c r="K381" s="4"/>
      <c r="L381" s="4"/>
      <c r="M381" s="4"/>
      <c r="N381" s="4"/>
      <c r="O381" s="4"/>
      <c r="P381" s="4"/>
      <c r="Q381" s="4"/>
      <c r="R381" s="4"/>
      <c r="S381" s="4"/>
      <c r="T381" s="4"/>
      <c r="U381" s="4"/>
      <c r="V381" s="4"/>
      <c r="W381" s="4"/>
      <c r="X381" s="4"/>
      <c r="Y381" s="4"/>
      <c r="Z381" s="4"/>
      <c r="AA381" s="4"/>
      <c r="AB381" s="4"/>
      <c r="AC381" s="4"/>
      <c r="AD381" s="4"/>
      <c r="AE381" s="4"/>
      <c r="AF381" s="4"/>
      <c r="AG381" s="4"/>
      <c r="AH381" s="4"/>
      <c r="AI381" s="4"/>
      <c r="AJ381" s="4"/>
      <c r="AK381" s="4"/>
    </row>
    <row r="382" ht="13.5" customHeight="1" spans="1:37" x14ac:dyDescent="0.25">
      <c r="A382" s="344"/>
      <c r="B382" s="4"/>
      <c r="C382" s="4"/>
      <c r="D382" s="4"/>
      <c r="E382" s="4"/>
      <c r="F382" s="4"/>
      <c r="G382" s="4"/>
      <c r="H382" s="4"/>
      <c r="I382" s="4"/>
      <c r="J382" s="4"/>
      <c r="K382" s="4"/>
      <c r="L382" s="4"/>
      <c r="M382" s="4"/>
      <c r="N382" s="4"/>
      <c r="O382" s="4"/>
      <c r="P382" s="4"/>
      <c r="Q382" s="4"/>
      <c r="R382" s="4"/>
      <c r="S382" s="4"/>
      <c r="T382" s="4"/>
      <c r="U382" s="4"/>
      <c r="V382" s="4"/>
      <c r="W382" s="4"/>
      <c r="X382" s="4"/>
      <c r="Y382" s="4"/>
      <c r="Z382" s="4"/>
      <c r="AA382" s="4"/>
      <c r="AB382" s="4"/>
      <c r="AC382" s="4"/>
      <c r="AD382" s="4"/>
      <c r="AE382" s="4"/>
      <c r="AF382" s="4"/>
      <c r="AG382" s="4"/>
      <c r="AH382" s="4"/>
      <c r="AI382" s="4"/>
      <c r="AJ382" s="4"/>
      <c r="AK382" s="4"/>
    </row>
    <row r="383" ht="13.5" customHeight="1" spans="1:37" x14ac:dyDescent="0.25">
      <c r="A383" s="344"/>
      <c r="B383" s="4"/>
      <c r="C383" s="4"/>
      <c r="D383" s="4"/>
      <c r="E383" s="4"/>
      <c r="F383" s="4"/>
      <c r="G383" s="4"/>
      <c r="H383" s="4"/>
      <c r="I383" s="4"/>
      <c r="J383" s="4"/>
      <c r="K383" s="4"/>
      <c r="L383" s="4"/>
      <c r="M383" s="4"/>
      <c r="N383" s="4"/>
      <c r="O383" s="4"/>
      <c r="P383" s="4"/>
      <c r="Q383" s="4"/>
      <c r="R383" s="4"/>
      <c r="S383" s="4"/>
      <c r="T383" s="4"/>
      <c r="U383" s="4"/>
      <c r="V383" s="4"/>
      <c r="W383" s="4"/>
      <c r="X383" s="4"/>
      <c r="Y383" s="4"/>
      <c r="Z383" s="4"/>
      <c r="AA383" s="4"/>
      <c r="AB383" s="4"/>
      <c r="AC383" s="4"/>
      <c r="AD383" s="4"/>
      <c r="AE383" s="4"/>
      <c r="AF383" s="4"/>
      <c r="AG383" s="4"/>
      <c r="AH383" s="4"/>
      <c r="AI383" s="4"/>
      <c r="AJ383" s="4"/>
      <c r="AK383" s="4"/>
    </row>
    <row r="384" ht="13.5" customHeight="1" spans="1:37" x14ac:dyDescent="0.25">
      <c r="A384" s="344"/>
      <c r="B384" s="4"/>
      <c r="C384" s="4"/>
      <c r="D384" s="4"/>
      <c r="E384" s="4"/>
      <c r="F384" s="4"/>
      <c r="G384" s="4"/>
      <c r="H384" s="4"/>
      <c r="I384" s="4"/>
      <c r="J384" s="4"/>
      <c r="K384" s="4"/>
      <c r="L384" s="4"/>
      <c r="M384" s="4"/>
      <c r="N384" s="4"/>
      <c r="O384" s="4"/>
      <c r="P384" s="4"/>
      <c r="Q384" s="4"/>
      <c r="R384" s="4"/>
      <c r="S384" s="4"/>
      <c r="T384" s="4"/>
      <c r="U384" s="4"/>
      <c r="V384" s="4"/>
      <c r="W384" s="4"/>
      <c r="X384" s="4"/>
      <c r="Y384" s="4"/>
      <c r="Z384" s="4"/>
      <c r="AA384" s="4"/>
      <c r="AB384" s="4"/>
      <c r="AC384" s="4"/>
      <c r="AD384" s="4"/>
      <c r="AE384" s="4"/>
      <c r="AF384" s="4"/>
      <c r="AG384" s="4"/>
      <c r="AH384" s="4"/>
      <c r="AI384" s="4"/>
      <c r="AJ384" s="4"/>
      <c r="AK384" s="4"/>
    </row>
    <row r="385" ht="13.5" customHeight="1" spans="1:37" x14ac:dyDescent="0.25">
      <c r="A385" s="344"/>
      <c r="B385" s="4"/>
      <c r="C385" s="4"/>
      <c r="D385" s="4"/>
      <c r="E385" s="4"/>
      <c r="F385" s="4"/>
      <c r="G385" s="4"/>
      <c r="H385" s="4"/>
      <c r="I385" s="4"/>
      <c r="J385" s="4"/>
      <c r="K385" s="4"/>
      <c r="L385" s="4"/>
      <c r="M385" s="4"/>
      <c r="N385" s="4"/>
      <c r="O385" s="4"/>
      <c r="P385" s="4"/>
      <c r="Q385" s="4"/>
      <c r="R385" s="4"/>
      <c r="S385" s="4"/>
      <c r="T385" s="4"/>
      <c r="U385" s="4"/>
      <c r="V385" s="4"/>
      <c r="W385" s="4"/>
      <c r="X385" s="4"/>
      <c r="Y385" s="4"/>
      <c r="Z385" s="4"/>
      <c r="AA385" s="4"/>
      <c r="AB385" s="4"/>
      <c r="AC385" s="4"/>
      <c r="AD385" s="4"/>
      <c r="AE385" s="4"/>
      <c r="AF385" s="4"/>
      <c r="AG385" s="4"/>
      <c r="AH385" s="4"/>
      <c r="AI385" s="4"/>
      <c r="AJ385" s="4"/>
      <c r="AK385" s="4"/>
    </row>
    <row r="386" ht="13.5" customHeight="1" spans="1:37" x14ac:dyDescent="0.25">
      <c r="A386" s="344"/>
      <c r="B386" s="4"/>
      <c r="C386" s="4"/>
      <c r="D386" s="4"/>
      <c r="E386" s="4"/>
      <c r="F386" s="4"/>
      <c r="G386" s="4"/>
      <c r="H386" s="4"/>
      <c r="I386" s="4"/>
      <c r="J386" s="4"/>
      <c r="K386" s="4"/>
      <c r="L386" s="4"/>
      <c r="M386" s="4"/>
      <c r="N386" s="4"/>
      <c r="O386" s="4"/>
      <c r="P386" s="4"/>
      <c r="Q386" s="4"/>
      <c r="R386" s="4"/>
      <c r="S386" s="4"/>
      <c r="T386" s="4"/>
      <c r="U386" s="4"/>
      <c r="V386" s="4"/>
      <c r="W386" s="4"/>
      <c r="X386" s="4"/>
      <c r="Y386" s="4"/>
      <c r="Z386" s="4"/>
      <c r="AA386" s="4"/>
      <c r="AB386" s="4"/>
      <c r="AC386" s="4"/>
      <c r="AD386" s="4"/>
      <c r="AE386" s="4"/>
      <c r="AF386" s="4"/>
      <c r="AG386" s="4"/>
      <c r="AH386" s="4"/>
      <c r="AI386" s="4"/>
      <c r="AJ386" s="4"/>
      <c r="AK386" s="4"/>
    </row>
    <row r="387" ht="13.5" customHeight="1" spans="1:37" x14ac:dyDescent="0.25">
      <c r="A387" s="344"/>
      <c r="B387" s="4"/>
      <c r="C387" s="4"/>
      <c r="D387" s="4"/>
      <c r="E387" s="4"/>
      <c r="F387" s="4"/>
      <c r="G387" s="4"/>
      <c r="H387" s="4"/>
      <c r="I387" s="4"/>
      <c r="J387" s="4"/>
      <c r="K387" s="4"/>
      <c r="L387" s="4"/>
      <c r="M387" s="4"/>
      <c r="N387" s="4"/>
      <c r="O387" s="4"/>
      <c r="P387" s="4"/>
      <c r="Q387" s="4"/>
      <c r="R387" s="4"/>
      <c r="S387" s="4"/>
      <c r="T387" s="4"/>
      <c r="U387" s="4"/>
      <c r="V387" s="4"/>
      <c r="W387" s="4"/>
      <c r="X387" s="4"/>
      <c r="Y387" s="4"/>
      <c r="Z387" s="4"/>
      <c r="AA387" s="4"/>
      <c r="AB387" s="4"/>
      <c r="AC387" s="4"/>
      <c r="AD387" s="4"/>
      <c r="AE387" s="4"/>
      <c r="AF387" s="4"/>
      <c r="AG387" s="4"/>
      <c r="AH387" s="4"/>
      <c r="AI387" s="4"/>
      <c r="AJ387" s="4"/>
      <c r="AK387" s="4"/>
    </row>
    <row r="388" ht="13.5" customHeight="1" spans="1:37" x14ac:dyDescent="0.25">
      <c r="A388" s="344"/>
      <c r="B388" s="4"/>
      <c r="C388" s="4"/>
      <c r="D388" s="4"/>
      <c r="E388" s="4"/>
      <c r="F388" s="4"/>
      <c r="G388" s="4"/>
      <c r="H388" s="4"/>
      <c r="I388" s="4"/>
      <c r="J388" s="4"/>
      <c r="K388" s="4"/>
      <c r="L388" s="4"/>
      <c r="M388" s="4"/>
      <c r="N388" s="4"/>
      <c r="O388" s="4"/>
      <c r="P388" s="4"/>
      <c r="Q388" s="4"/>
      <c r="R388" s="4"/>
      <c r="S388" s="4"/>
      <c r="T388" s="4"/>
      <c r="U388" s="4"/>
      <c r="V388" s="4"/>
      <c r="W388" s="4"/>
      <c r="X388" s="4"/>
      <c r="Y388" s="4"/>
      <c r="Z388" s="4"/>
      <c r="AA388" s="4"/>
      <c r="AB388" s="4"/>
      <c r="AC388" s="4"/>
      <c r="AD388" s="4"/>
      <c r="AE388" s="4"/>
      <c r="AF388" s="4"/>
      <c r="AG388" s="4"/>
      <c r="AH388" s="4"/>
      <c r="AI388" s="4"/>
      <c r="AJ388" s="4"/>
      <c r="AK388" s="4"/>
    </row>
    <row r="389" ht="13.5" customHeight="1" spans="1:37" x14ac:dyDescent="0.25">
      <c r="A389" s="344"/>
      <c r="B389" s="4"/>
      <c r="C389" s="4"/>
      <c r="D389" s="4"/>
      <c r="E389" s="4"/>
      <c r="F389" s="4"/>
      <c r="G389" s="4"/>
      <c r="H389" s="4"/>
      <c r="I389" s="4"/>
      <c r="J389" s="4"/>
      <c r="K389" s="4"/>
      <c r="L389" s="4"/>
      <c r="M389" s="4"/>
      <c r="N389" s="4"/>
      <c r="O389" s="4"/>
      <c r="P389" s="4"/>
      <c r="Q389" s="4"/>
      <c r="R389" s="4"/>
      <c r="S389" s="4"/>
      <c r="T389" s="4"/>
      <c r="U389" s="4"/>
      <c r="V389" s="4"/>
      <c r="W389" s="4"/>
      <c r="X389" s="4"/>
      <c r="Y389" s="4"/>
      <c r="Z389" s="4"/>
      <c r="AA389" s="4"/>
      <c r="AB389" s="4"/>
      <c r="AC389" s="4"/>
      <c r="AD389" s="4"/>
      <c r="AE389" s="4"/>
      <c r="AF389" s="4"/>
      <c r="AG389" s="4"/>
      <c r="AH389" s="4"/>
      <c r="AI389" s="4"/>
      <c r="AJ389" s="4"/>
      <c r="AK389" s="4"/>
    </row>
    <row r="390" ht="13.5" customHeight="1" spans="1:37" x14ac:dyDescent="0.25">
      <c r="A390" s="344"/>
      <c r="B390" s="4"/>
      <c r="C390" s="4"/>
      <c r="D390" s="4"/>
      <c r="E390" s="4"/>
      <c r="F390" s="4"/>
      <c r="G390" s="4"/>
      <c r="H390" s="4"/>
      <c r="I390" s="4"/>
      <c r="J390" s="4"/>
      <c r="K390" s="4"/>
      <c r="L390" s="4"/>
      <c r="M390" s="4"/>
      <c r="N390" s="4"/>
      <c r="O390" s="4"/>
      <c r="P390" s="4"/>
      <c r="Q390" s="4"/>
      <c r="R390" s="4"/>
      <c r="S390" s="4"/>
      <c r="T390" s="4"/>
      <c r="U390" s="4"/>
      <c r="V390" s="4"/>
      <c r="W390" s="4"/>
      <c r="X390" s="4"/>
      <c r="Y390" s="4"/>
      <c r="Z390" s="4"/>
      <c r="AA390" s="4"/>
      <c r="AB390" s="4"/>
      <c r="AC390" s="4"/>
      <c r="AD390" s="4"/>
      <c r="AE390" s="4"/>
      <c r="AF390" s="4"/>
      <c r="AG390" s="4"/>
      <c r="AH390" s="4"/>
      <c r="AI390" s="4"/>
      <c r="AJ390" s="4"/>
      <c r="AK390" s="4"/>
    </row>
    <row r="391" ht="13.5" customHeight="1" spans="1:37" x14ac:dyDescent="0.25">
      <c r="A391" s="344"/>
      <c r="B391" s="4"/>
      <c r="C391" s="4"/>
      <c r="D391" s="4"/>
      <c r="E391" s="4"/>
      <c r="F391" s="4"/>
      <c r="G391" s="4"/>
      <c r="H391" s="4"/>
      <c r="I391" s="4"/>
      <c r="J391" s="4"/>
      <c r="K391" s="4"/>
      <c r="L391" s="4"/>
      <c r="M391" s="4"/>
      <c r="N391" s="4"/>
      <c r="O391" s="4"/>
      <c r="P391" s="4"/>
      <c r="Q391" s="4"/>
      <c r="R391" s="4"/>
      <c r="S391" s="4"/>
      <c r="T391" s="4"/>
      <c r="U391" s="4"/>
      <c r="V391" s="4"/>
      <c r="W391" s="4"/>
      <c r="X391" s="4"/>
      <c r="Y391" s="4"/>
      <c r="Z391" s="4"/>
      <c r="AA391" s="4"/>
      <c r="AB391" s="4"/>
      <c r="AC391" s="4"/>
      <c r="AD391" s="4"/>
      <c r="AE391" s="4"/>
      <c r="AF391" s="4"/>
      <c r="AG391" s="4"/>
      <c r="AH391" s="4"/>
      <c r="AI391" s="4"/>
      <c r="AJ391" s="4"/>
      <c r="AK391" s="4"/>
    </row>
    <row r="392" ht="13.5" customHeight="1" spans="1:37" x14ac:dyDescent="0.25">
      <c r="A392" s="344"/>
      <c r="B392" s="4"/>
      <c r="C392" s="4"/>
      <c r="D392" s="4"/>
      <c r="E392" s="4"/>
      <c r="F392" s="4"/>
      <c r="G392" s="4"/>
      <c r="H392" s="4"/>
      <c r="I392" s="4"/>
      <c r="J392" s="4"/>
      <c r="K392" s="4"/>
      <c r="L392" s="4"/>
      <c r="M392" s="4"/>
      <c r="N392" s="4"/>
      <c r="O392" s="4"/>
      <c r="P392" s="4"/>
      <c r="Q392" s="4"/>
      <c r="R392" s="4"/>
      <c r="S392" s="4"/>
      <c r="T392" s="4"/>
      <c r="U392" s="4"/>
      <c r="V392" s="4"/>
      <c r="W392" s="4"/>
      <c r="X392" s="4"/>
      <c r="Y392" s="4"/>
      <c r="Z392" s="4"/>
      <c r="AA392" s="4"/>
      <c r="AB392" s="4"/>
      <c r="AC392" s="4"/>
      <c r="AD392" s="4"/>
      <c r="AE392" s="4"/>
      <c r="AF392" s="4"/>
      <c r="AG392" s="4"/>
      <c r="AH392" s="4"/>
      <c r="AI392" s="4"/>
      <c r="AJ392" s="4"/>
      <c r="AK392" s="4"/>
    </row>
    <row r="393" ht="13.5" customHeight="1" spans="1:37" x14ac:dyDescent="0.25">
      <c r="A393" s="344"/>
      <c r="B393" s="4"/>
      <c r="C393" s="4"/>
      <c r="D393" s="4"/>
      <c r="E393" s="4"/>
      <c r="F393" s="4"/>
      <c r="G393" s="4"/>
      <c r="H393" s="4"/>
      <c r="I393" s="4"/>
      <c r="J393" s="4"/>
      <c r="K393" s="4"/>
      <c r="L393" s="4"/>
      <c r="M393" s="4"/>
      <c r="N393" s="4"/>
      <c r="O393" s="4"/>
      <c r="P393" s="4"/>
      <c r="Q393" s="4"/>
      <c r="R393" s="4"/>
      <c r="S393" s="4"/>
      <c r="T393" s="4"/>
      <c r="U393" s="4"/>
      <c r="V393" s="4"/>
      <c r="W393" s="4"/>
      <c r="X393" s="4"/>
      <c r="Y393" s="4"/>
      <c r="Z393" s="4"/>
      <c r="AA393" s="4"/>
      <c r="AB393" s="4"/>
      <c r="AC393" s="4"/>
      <c r="AD393" s="4"/>
      <c r="AE393" s="4"/>
      <c r="AF393" s="4"/>
      <c r="AG393" s="4"/>
      <c r="AH393" s="4"/>
      <c r="AI393" s="4"/>
      <c r="AJ393" s="4"/>
      <c r="AK393" s="4"/>
    </row>
    <row r="394" ht="13.5" customHeight="1" spans="1:37" x14ac:dyDescent="0.25">
      <c r="A394" s="344"/>
      <c r="B394" s="4"/>
      <c r="C394" s="4"/>
      <c r="D394" s="4"/>
      <c r="E394" s="4"/>
      <c r="F394" s="4"/>
      <c r="G394" s="4"/>
      <c r="H394" s="4"/>
      <c r="I394" s="4"/>
      <c r="J394" s="4"/>
      <c r="K394" s="4"/>
      <c r="L394" s="4"/>
      <c r="M394" s="4"/>
      <c r="N394" s="4"/>
      <c r="O394" s="4"/>
      <c r="P394" s="4"/>
      <c r="Q394" s="4"/>
      <c r="R394" s="4"/>
      <c r="S394" s="4"/>
      <c r="T394" s="4"/>
      <c r="U394" s="4"/>
      <c r="V394" s="4"/>
      <c r="W394" s="4"/>
      <c r="X394" s="4"/>
      <c r="Y394" s="4"/>
      <c r="Z394" s="4"/>
      <c r="AA394" s="4"/>
      <c r="AB394" s="4"/>
      <c r="AC394" s="4"/>
      <c r="AD394" s="4"/>
      <c r="AE394" s="4"/>
      <c r="AF394" s="4"/>
      <c r="AG394" s="4"/>
      <c r="AH394" s="4"/>
      <c r="AI394" s="4"/>
      <c r="AJ394" s="4"/>
      <c r="AK394" s="4"/>
    </row>
    <row r="395" ht="13.5" customHeight="1" spans="1:37" x14ac:dyDescent="0.25">
      <c r="A395" s="344"/>
      <c r="B395" s="4"/>
      <c r="C395" s="4"/>
      <c r="D395" s="4"/>
      <c r="E395" s="4"/>
      <c r="F395" s="4"/>
      <c r="G395" s="4"/>
      <c r="H395" s="4"/>
      <c r="I395" s="4"/>
      <c r="J395" s="4"/>
      <c r="K395" s="4"/>
      <c r="L395" s="4"/>
      <c r="M395" s="4"/>
      <c r="N395" s="4"/>
      <c r="O395" s="4"/>
      <c r="P395" s="4"/>
      <c r="Q395" s="4"/>
      <c r="R395" s="4"/>
      <c r="S395" s="4"/>
      <c r="T395" s="4"/>
      <c r="U395" s="4"/>
      <c r="V395" s="4"/>
      <c r="W395" s="4"/>
      <c r="X395" s="4"/>
      <c r="Y395" s="4"/>
      <c r="Z395" s="4"/>
      <c r="AA395" s="4"/>
      <c r="AB395" s="4"/>
      <c r="AC395" s="4"/>
      <c r="AD395" s="4"/>
      <c r="AE395" s="4"/>
      <c r="AF395" s="4"/>
      <c r="AG395" s="4"/>
      <c r="AH395" s="4"/>
      <c r="AI395" s="4"/>
      <c r="AJ395" s="4"/>
      <c r="AK395" s="4"/>
    </row>
    <row r="396" ht="13.5" customHeight="1" spans="1:37" x14ac:dyDescent="0.25">
      <c r="A396" s="344"/>
      <c r="B396" s="4"/>
      <c r="C396" s="4"/>
      <c r="D396" s="4"/>
      <c r="E396" s="4"/>
      <c r="F396" s="4"/>
      <c r="G396" s="4"/>
      <c r="H396" s="4"/>
      <c r="I396" s="4"/>
      <c r="J396" s="4"/>
      <c r="K396" s="4"/>
      <c r="L396" s="4"/>
      <c r="M396" s="4"/>
      <c r="N396" s="4"/>
      <c r="O396" s="4"/>
      <c r="P396" s="4"/>
      <c r="Q396" s="4"/>
      <c r="R396" s="4"/>
      <c r="S396" s="4"/>
      <c r="T396" s="4"/>
      <c r="U396" s="4"/>
      <c r="V396" s="4"/>
      <c r="W396" s="4"/>
      <c r="X396" s="4"/>
      <c r="Y396" s="4"/>
      <c r="Z396" s="4"/>
      <c r="AA396" s="4"/>
      <c r="AB396" s="4"/>
      <c r="AC396" s="4"/>
      <c r="AD396" s="4"/>
      <c r="AE396" s="4"/>
      <c r="AF396" s="4"/>
      <c r="AG396" s="4"/>
      <c r="AH396" s="4"/>
      <c r="AI396" s="4"/>
      <c r="AJ396" s="4"/>
      <c r="AK396" s="4"/>
    </row>
    <row r="397" ht="13.5" customHeight="1" spans="1:37" x14ac:dyDescent="0.25">
      <c r="A397" s="344"/>
      <c r="B397" s="4"/>
      <c r="C397" s="4"/>
      <c r="D397" s="4"/>
      <c r="E397" s="4"/>
      <c r="F397" s="4"/>
      <c r="G397" s="4"/>
      <c r="H397" s="4"/>
      <c r="I397" s="4"/>
      <c r="J397" s="4"/>
      <c r="K397" s="4"/>
      <c r="L397" s="4"/>
      <c r="M397" s="4"/>
      <c r="N397" s="4"/>
      <c r="O397" s="4"/>
      <c r="P397" s="4"/>
      <c r="Q397" s="4"/>
      <c r="R397" s="4"/>
      <c r="S397" s="4"/>
      <c r="T397" s="4"/>
      <c r="U397" s="4"/>
      <c r="V397" s="4"/>
      <c r="W397" s="4"/>
      <c r="X397" s="4"/>
      <c r="Y397" s="4"/>
      <c r="Z397" s="4"/>
      <c r="AA397" s="4"/>
      <c r="AB397" s="4"/>
      <c r="AC397" s="4"/>
      <c r="AD397" s="4"/>
      <c r="AE397" s="4"/>
      <c r="AF397" s="4"/>
      <c r="AG397" s="4"/>
      <c r="AH397" s="4"/>
      <c r="AI397" s="4"/>
      <c r="AJ397" s="4"/>
      <c r="AK397" s="4"/>
    </row>
    <row r="398" ht="13.5" customHeight="1" spans="1:37" x14ac:dyDescent="0.25">
      <c r="A398" s="344"/>
      <c r="B398" s="4"/>
      <c r="C398" s="4"/>
      <c r="D398" s="4"/>
      <c r="E398" s="4"/>
      <c r="F398" s="4"/>
      <c r="G398" s="4"/>
      <c r="H398" s="4"/>
      <c r="I398" s="4"/>
      <c r="J398" s="4"/>
      <c r="K398" s="4"/>
      <c r="L398" s="4"/>
      <c r="M398" s="4"/>
      <c r="N398" s="4"/>
      <c r="O398" s="4"/>
      <c r="P398" s="4"/>
      <c r="Q398" s="4"/>
      <c r="R398" s="4"/>
      <c r="S398" s="4"/>
      <c r="T398" s="4"/>
      <c r="U398" s="4"/>
      <c r="V398" s="4"/>
      <c r="W398" s="4"/>
      <c r="X398" s="4"/>
      <c r="Y398" s="4"/>
      <c r="Z398" s="4"/>
      <c r="AA398" s="4"/>
      <c r="AB398" s="4"/>
      <c r="AC398" s="4"/>
      <c r="AD398" s="4"/>
      <c r="AE398" s="4"/>
      <c r="AF398" s="4"/>
      <c r="AG398" s="4"/>
      <c r="AH398" s="4"/>
      <c r="AI398" s="4"/>
      <c r="AJ398" s="4"/>
      <c r="AK398" s="4"/>
    </row>
    <row r="399" ht="13.5" customHeight="1" spans="1:37" x14ac:dyDescent="0.25">
      <c r="A399" s="344"/>
      <c r="B399" s="4"/>
      <c r="C399" s="4"/>
      <c r="D399" s="4"/>
      <c r="E399" s="4"/>
      <c r="F399" s="4"/>
      <c r="G399" s="4"/>
      <c r="H399" s="4"/>
      <c r="I399" s="4"/>
      <c r="J399" s="4"/>
      <c r="K399" s="4"/>
      <c r="L399" s="4"/>
      <c r="M399" s="4"/>
      <c r="N399" s="4"/>
      <c r="O399" s="4"/>
      <c r="P399" s="4"/>
      <c r="Q399" s="4"/>
      <c r="R399" s="4"/>
      <c r="S399" s="4"/>
      <c r="T399" s="4"/>
      <c r="U399" s="4"/>
      <c r="V399" s="4"/>
      <c r="W399" s="4"/>
      <c r="X399" s="4"/>
      <c r="Y399" s="4"/>
      <c r="Z399" s="4"/>
      <c r="AA399" s="4"/>
      <c r="AB399" s="4"/>
      <c r="AC399" s="4"/>
      <c r="AD399" s="4"/>
      <c r="AE399" s="4"/>
      <c r="AF399" s="4"/>
      <c r="AG399" s="4"/>
      <c r="AH399" s="4"/>
      <c r="AI399" s="4"/>
      <c r="AJ399" s="4"/>
      <c r="AK399" s="4"/>
    </row>
    <row r="400" ht="13.5" customHeight="1" spans="1:37" x14ac:dyDescent="0.25">
      <c r="A400" s="344"/>
      <c r="B400" s="4"/>
      <c r="C400" s="4"/>
      <c r="D400" s="4"/>
      <c r="E400" s="4"/>
      <c r="F400" s="4"/>
      <c r="G400" s="4"/>
      <c r="H400" s="4"/>
      <c r="I400" s="4"/>
      <c r="J400" s="4"/>
      <c r="K400" s="4"/>
      <c r="L400" s="4"/>
      <c r="M400" s="4"/>
      <c r="N400" s="4"/>
      <c r="O400" s="4"/>
      <c r="P400" s="4"/>
      <c r="Q400" s="4"/>
      <c r="R400" s="4"/>
      <c r="S400" s="4"/>
      <c r="T400" s="4"/>
      <c r="U400" s="4"/>
      <c r="V400" s="4"/>
      <c r="W400" s="4"/>
      <c r="X400" s="4"/>
      <c r="Y400" s="4"/>
      <c r="Z400" s="4"/>
      <c r="AA400" s="4"/>
      <c r="AB400" s="4"/>
      <c r="AC400" s="4"/>
      <c r="AD400" s="4"/>
      <c r="AE400" s="4"/>
      <c r="AF400" s="4"/>
      <c r="AG400" s="4"/>
      <c r="AH400" s="4"/>
      <c r="AI400" s="4"/>
      <c r="AJ400" s="4"/>
      <c r="AK400" s="4"/>
    </row>
    <row r="401" ht="13.5" customHeight="1" spans="1:37" x14ac:dyDescent="0.25">
      <c r="A401" s="344"/>
      <c r="B401" s="4"/>
      <c r="C401" s="4"/>
      <c r="D401" s="4"/>
      <c r="E401" s="4"/>
      <c r="F401" s="4"/>
      <c r="G401" s="4"/>
      <c r="H401" s="4"/>
      <c r="I401" s="4"/>
      <c r="J401" s="4"/>
      <c r="K401" s="4"/>
      <c r="L401" s="4"/>
      <c r="M401" s="4"/>
      <c r="N401" s="4"/>
      <c r="O401" s="4"/>
      <c r="P401" s="4"/>
      <c r="Q401" s="4"/>
      <c r="R401" s="4"/>
      <c r="S401" s="4"/>
      <c r="T401" s="4"/>
      <c r="U401" s="4"/>
      <c r="V401" s="4"/>
      <c r="W401" s="4"/>
      <c r="X401" s="4"/>
      <c r="Y401" s="4"/>
      <c r="Z401" s="4"/>
      <c r="AA401" s="4"/>
      <c r="AB401" s="4"/>
      <c r="AC401" s="4"/>
      <c r="AD401" s="4"/>
      <c r="AE401" s="4"/>
      <c r="AF401" s="4"/>
      <c r="AG401" s="4"/>
      <c r="AH401" s="4"/>
      <c r="AI401" s="4"/>
      <c r="AJ401" s="4"/>
      <c r="AK401" s="4"/>
    </row>
    <row r="402" ht="13.5" customHeight="1" spans="1:37" x14ac:dyDescent="0.25">
      <c r="A402" s="344"/>
      <c r="B402" s="4"/>
      <c r="C402" s="4"/>
      <c r="D402" s="4"/>
      <c r="E402" s="4"/>
      <c r="F402" s="4"/>
      <c r="G402" s="4"/>
      <c r="H402" s="4"/>
      <c r="I402" s="4"/>
      <c r="J402" s="4"/>
      <c r="K402" s="4"/>
      <c r="L402" s="4"/>
      <c r="M402" s="4"/>
      <c r="N402" s="4"/>
      <c r="O402" s="4"/>
      <c r="P402" s="4"/>
      <c r="Q402" s="4"/>
      <c r="R402" s="4"/>
      <c r="S402" s="4"/>
      <c r="T402" s="4"/>
      <c r="U402" s="4"/>
      <c r="V402" s="4"/>
      <c r="W402" s="4"/>
      <c r="X402" s="4"/>
      <c r="Y402" s="4"/>
      <c r="Z402" s="4"/>
      <c r="AA402" s="4"/>
      <c r="AB402" s="4"/>
      <c r="AC402" s="4"/>
      <c r="AD402" s="4"/>
      <c r="AE402" s="4"/>
      <c r="AF402" s="4"/>
      <c r="AG402" s="4"/>
      <c r="AH402" s="4"/>
      <c r="AI402" s="4"/>
      <c r="AJ402" s="4"/>
      <c r="AK402" s="4"/>
    </row>
    <row r="403" ht="13.5" customHeight="1" spans="1:37" x14ac:dyDescent="0.25">
      <c r="A403" s="344"/>
      <c r="B403" s="4"/>
      <c r="C403" s="4"/>
      <c r="D403" s="4"/>
      <c r="E403" s="4"/>
      <c r="F403" s="4"/>
      <c r="G403" s="4"/>
      <c r="H403" s="4"/>
      <c r="I403" s="4"/>
      <c r="J403" s="4"/>
      <c r="K403" s="4"/>
      <c r="L403" s="4"/>
      <c r="M403" s="4"/>
      <c r="N403" s="4"/>
      <c r="O403" s="4"/>
      <c r="P403" s="4"/>
      <c r="Q403" s="4"/>
      <c r="R403" s="4"/>
      <c r="S403" s="4"/>
      <c r="T403" s="4"/>
      <c r="U403" s="4"/>
      <c r="V403" s="4"/>
      <c r="W403" s="4"/>
      <c r="X403" s="4"/>
      <c r="Y403" s="4"/>
      <c r="Z403" s="4"/>
      <c r="AA403" s="4"/>
      <c r="AB403" s="4"/>
      <c r="AC403" s="4"/>
      <c r="AD403" s="4"/>
      <c r="AE403" s="4"/>
      <c r="AF403" s="4"/>
      <c r="AG403" s="4"/>
      <c r="AH403" s="4"/>
      <c r="AI403" s="4"/>
      <c r="AJ403" s="4"/>
      <c r="AK403" s="4"/>
    </row>
    <row r="404" ht="13.5" customHeight="1" spans="1:37" x14ac:dyDescent="0.25">
      <c r="A404" s="344"/>
      <c r="B404" s="4"/>
      <c r="C404" s="4"/>
      <c r="D404" s="4"/>
      <c r="E404" s="4"/>
      <c r="F404" s="4"/>
      <c r="G404" s="4"/>
      <c r="H404" s="4"/>
      <c r="I404" s="4"/>
      <c r="J404" s="4"/>
      <c r="K404" s="4"/>
      <c r="L404" s="4"/>
      <c r="M404" s="4"/>
      <c r="N404" s="4"/>
      <c r="O404" s="4"/>
      <c r="P404" s="4"/>
      <c r="Q404" s="4"/>
      <c r="R404" s="4"/>
      <c r="S404" s="4"/>
      <c r="T404" s="4"/>
      <c r="U404" s="4"/>
      <c r="V404" s="4"/>
      <c r="W404" s="4"/>
      <c r="X404" s="4"/>
      <c r="Y404" s="4"/>
      <c r="Z404" s="4"/>
      <c r="AA404" s="4"/>
      <c r="AB404" s="4"/>
      <c r="AC404" s="4"/>
      <c r="AD404" s="4"/>
      <c r="AE404" s="4"/>
      <c r="AF404" s="4"/>
      <c r="AG404" s="4"/>
      <c r="AH404" s="4"/>
      <c r="AI404" s="4"/>
      <c r="AJ404" s="4"/>
      <c r="AK404" s="4"/>
    </row>
    <row r="405" ht="13.5" customHeight="1" spans="1:37" x14ac:dyDescent="0.25">
      <c r="A405" s="344"/>
      <c r="B405" s="4"/>
      <c r="C405" s="4"/>
      <c r="D405" s="4"/>
      <c r="E405" s="4"/>
      <c r="F405" s="4"/>
      <c r="G405" s="4"/>
      <c r="H405" s="4"/>
      <c r="I405" s="4"/>
      <c r="J405" s="4"/>
      <c r="K405" s="4"/>
      <c r="L405" s="4"/>
      <c r="M405" s="4"/>
      <c r="N405" s="4"/>
      <c r="O405" s="4"/>
      <c r="P405" s="4"/>
      <c r="Q405" s="4"/>
      <c r="R405" s="4"/>
      <c r="S405" s="4"/>
      <c r="T405" s="4"/>
      <c r="U405" s="4"/>
      <c r="V405" s="4"/>
      <c r="W405" s="4"/>
      <c r="X405" s="4"/>
      <c r="Y405" s="4"/>
      <c r="Z405" s="4"/>
      <c r="AA405" s="4"/>
      <c r="AB405" s="4"/>
      <c r="AC405" s="4"/>
      <c r="AD405" s="4"/>
      <c r="AE405" s="4"/>
      <c r="AF405" s="4"/>
      <c r="AG405" s="4"/>
      <c r="AH405" s="4"/>
      <c r="AI405" s="4"/>
      <c r="AJ405" s="4"/>
      <c r="AK405" s="4"/>
    </row>
    <row r="406" ht="13.5" customHeight="1" spans="1:37" x14ac:dyDescent="0.25">
      <c r="A406" s="344"/>
      <c r="B406" s="4"/>
      <c r="C406" s="4"/>
      <c r="D406" s="4"/>
      <c r="E406" s="4"/>
      <c r="F406" s="4"/>
      <c r="G406" s="4"/>
      <c r="H406" s="4"/>
      <c r="I406" s="4"/>
      <c r="J406" s="4"/>
      <c r="K406" s="4"/>
      <c r="L406" s="4"/>
      <c r="M406" s="4"/>
      <c r="N406" s="4"/>
      <c r="O406" s="4"/>
      <c r="P406" s="4"/>
      <c r="Q406" s="4"/>
      <c r="R406" s="4"/>
      <c r="S406" s="4"/>
      <c r="T406" s="4"/>
      <c r="U406" s="4"/>
      <c r="V406" s="4"/>
      <c r="W406" s="4"/>
      <c r="X406" s="4"/>
      <c r="Y406" s="4"/>
      <c r="Z406" s="4"/>
      <c r="AA406" s="4"/>
      <c r="AB406" s="4"/>
      <c r="AC406" s="4"/>
      <c r="AD406" s="4"/>
      <c r="AE406" s="4"/>
      <c r="AF406" s="4"/>
      <c r="AG406" s="4"/>
      <c r="AH406" s="4"/>
      <c r="AI406" s="4"/>
      <c r="AJ406" s="4"/>
      <c r="AK406" s="4"/>
    </row>
    <row r="407" ht="13.5" customHeight="1" spans="1:37" x14ac:dyDescent="0.25">
      <c r="A407" s="344"/>
      <c r="B407" s="4"/>
      <c r="C407" s="4"/>
      <c r="D407" s="4"/>
      <c r="E407" s="4"/>
      <c r="F407" s="4"/>
      <c r="G407" s="4"/>
      <c r="H407" s="4"/>
      <c r="I407" s="4"/>
      <c r="J407" s="4"/>
      <c r="K407" s="4"/>
      <c r="L407" s="4"/>
      <c r="M407" s="4"/>
      <c r="N407" s="4"/>
      <c r="O407" s="4"/>
      <c r="P407" s="4"/>
      <c r="Q407" s="4"/>
      <c r="R407" s="4"/>
      <c r="S407" s="4"/>
      <c r="T407" s="4"/>
      <c r="U407" s="4"/>
      <c r="V407" s="4"/>
      <c r="W407" s="4"/>
      <c r="X407" s="4"/>
      <c r="Y407" s="4"/>
      <c r="Z407" s="4"/>
      <c r="AA407" s="4"/>
      <c r="AB407" s="4"/>
      <c r="AC407" s="4"/>
      <c r="AD407" s="4"/>
      <c r="AE407" s="4"/>
      <c r="AF407" s="4"/>
      <c r="AG407" s="4"/>
      <c r="AH407" s="4"/>
      <c r="AI407" s="4"/>
      <c r="AJ407" s="4"/>
      <c r="AK407" s="4"/>
    </row>
    <row r="408" ht="13.5" customHeight="1" spans="1:37" x14ac:dyDescent="0.25">
      <c r="A408" s="344"/>
      <c r="B408" s="4"/>
      <c r="C408" s="4"/>
      <c r="D408" s="4"/>
      <c r="E408" s="4"/>
      <c r="F408" s="4"/>
      <c r="G408" s="4"/>
      <c r="H408" s="4"/>
      <c r="I408" s="4"/>
      <c r="J408" s="4"/>
      <c r="K408" s="4"/>
      <c r="L408" s="4"/>
      <c r="M408" s="4"/>
      <c r="N408" s="4"/>
      <c r="O408" s="4"/>
      <c r="P408" s="4"/>
      <c r="Q408" s="4"/>
      <c r="R408" s="4"/>
      <c r="S408" s="4"/>
      <c r="T408" s="4"/>
      <c r="U408" s="4"/>
      <c r="V408" s="4"/>
      <c r="W408" s="4"/>
      <c r="X408" s="4"/>
      <c r="Y408" s="4"/>
      <c r="Z408" s="4"/>
      <c r="AA408" s="4"/>
      <c r="AB408" s="4"/>
      <c r="AC408" s="4"/>
      <c r="AD408" s="4"/>
      <c r="AE408" s="4"/>
      <c r="AF408" s="4"/>
      <c r="AG408" s="4"/>
      <c r="AH408" s="4"/>
      <c r="AI408" s="4"/>
      <c r="AJ408" s="4"/>
      <c r="AK408" s="4"/>
    </row>
    <row r="409" ht="13.5" customHeight="1" spans="1:37" x14ac:dyDescent="0.25">
      <c r="A409" s="344"/>
      <c r="B409" s="4"/>
      <c r="C409" s="4"/>
      <c r="D409" s="4"/>
      <c r="E409" s="4"/>
      <c r="F409" s="4"/>
      <c r="G409" s="4"/>
      <c r="H409" s="4"/>
      <c r="I409" s="4"/>
      <c r="J409" s="4"/>
      <c r="K409" s="4"/>
      <c r="L409" s="4"/>
      <c r="M409" s="4"/>
      <c r="N409" s="4"/>
      <c r="O409" s="4"/>
      <c r="P409" s="4"/>
      <c r="Q409" s="4"/>
      <c r="R409" s="4"/>
      <c r="S409" s="4"/>
      <c r="T409" s="4"/>
      <c r="U409" s="4"/>
      <c r="V409" s="4"/>
      <c r="W409" s="4"/>
      <c r="X409" s="4"/>
      <c r="Y409" s="4"/>
      <c r="Z409" s="4"/>
      <c r="AA409" s="4"/>
      <c r="AB409" s="4"/>
      <c r="AC409" s="4"/>
      <c r="AD409" s="4"/>
      <c r="AE409" s="4"/>
      <c r="AF409" s="4"/>
      <c r="AG409" s="4"/>
      <c r="AH409" s="4"/>
      <c r="AI409" s="4"/>
      <c r="AJ409" s="4"/>
      <c r="AK409" s="4"/>
    </row>
    <row r="410" ht="13.5" customHeight="1" spans="1:37" x14ac:dyDescent="0.25">
      <c r="A410" s="344"/>
      <c r="B410" s="4"/>
      <c r="C410" s="4"/>
      <c r="D410" s="4"/>
      <c r="E410" s="4"/>
      <c r="F410" s="4"/>
      <c r="G410" s="4"/>
      <c r="H410" s="4"/>
      <c r="I410" s="4"/>
      <c r="J410" s="4"/>
      <c r="K410" s="4"/>
      <c r="L410" s="4"/>
      <c r="M410" s="4"/>
      <c r="N410" s="4"/>
      <c r="O410" s="4"/>
      <c r="P410" s="4"/>
      <c r="Q410" s="4"/>
      <c r="R410" s="4"/>
      <c r="S410" s="4"/>
      <c r="T410" s="4"/>
      <c r="U410" s="4"/>
      <c r="V410" s="4"/>
      <c r="W410" s="4"/>
      <c r="X410" s="4"/>
      <c r="Y410" s="4"/>
      <c r="Z410" s="4"/>
      <c r="AA410" s="4"/>
      <c r="AB410" s="4"/>
      <c r="AC410" s="4"/>
      <c r="AD410" s="4"/>
      <c r="AE410" s="4"/>
      <c r="AF410" s="4"/>
      <c r="AG410" s="4"/>
      <c r="AH410" s="4"/>
      <c r="AI410" s="4"/>
      <c r="AJ410" s="4"/>
      <c r="AK410" s="4"/>
    </row>
    <row r="411" ht="13.5" customHeight="1" spans="1:37" x14ac:dyDescent="0.25">
      <c r="A411" s="344"/>
      <c r="B411" s="4"/>
      <c r="C411" s="4"/>
      <c r="D411" s="4"/>
      <c r="E411" s="4"/>
      <c r="F411" s="4"/>
      <c r="G411" s="4"/>
      <c r="H411" s="4"/>
      <c r="I411" s="4"/>
      <c r="J411" s="4"/>
      <c r="K411" s="4"/>
      <c r="L411" s="4"/>
      <c r="M411" s="4"/>
      <c r="N411" s="4"/>
      <c r="O411" s="4"/>
      <c r="P411" s="4"/>
      <c r="Q411" s="4"/>
      <c r="R411" s="4"/>
      <c r="S411" s="4"/>
      <c r="T411" s="4"/>
      <c r="U411" s="4"/>
      <c r="V411" s="4"/>
      <c r="W411" s="4"/>
      <c r="X411" s="4"/>
      <c r="Y411" s="4"/>
      <c r="Z411" s="4"/>
      <c r="AA411" s="4"/>
      <c r="AB411" s="4"/>
      <c r="AC411" s="4"/>
      <c r="AD411" s="4"/>
      <c r="AE411" s="4"/>
      <c r="AF411" s="4"/>
      <c r="AG411" s="4"/>
      <c r="AH411" s="4"/>
      <c r="AI411" s="4"/>
      <c r="AJ411" s="4"/>
      <c r="AK411" s="4"/>
    </row>
    <row r="412" ht="13.5" customHeight="1" spans="1:37" x14ac:dyDescent="0.25">
      <c r="A412" s="344"/>
      <c r="B412" s="4"/>
      <c r="C412" s="4"/>
      <c r="D412" s="4"/>
      <c r="E412" s="4"/>
      <c r="F412" s="4"/>
      <c r="G412" s="4"/>
      <c r="H412" s="4"/>
      <c r="I412" s="4"/>
      <c r="J412" s="4"/>
      <c r="K412" s="4"/>
      <c r="L412" s="4"/>
      <c r="M412" s="4"/>
      <c r="N412" s="4"/>
      <c r="O412" s="4"/>
      <c r="P412" s="4"/>
      <c r="Q412" s="4"/>
      <c r="R412" s="4"/>
      <c r="S412" s="4"/>
      <c r="T412" s="4"/>
      <c r="U412" s="4"/>
      <c r="V412" s="4"/>
      <c r="W412" s="4"/>
      <c r="X412" s="4"/>
      <c r="Y412" s="4"/>
      <c r="Z412" s="4"/>
      <c r="AA412" s="4"/>
      <c r="AB412" s="4"/>
      <c r="AC412" s="4"/>
      <c r="AD412" s="4"/>
      <c r="AE412" s="4"/>
      <c r="AF412" s="4"/>
      <c r="AG412" s="4"/>
      <c r="AH412" s="4"/>
      <c r="AI412" s="4"/>
      <c r="AJ412" s="4"/>
      <c r="AK412" s="4"/>
    </row>
    <row r="413" ht="13.5" customHeight="1" spans="1:37" x14ac:dyDescent="0.25">
      <c r="A413" s="344"/>
      <c r="B413" s="4"/>
      <c r="C413" s="4"/>
      <c r="D413" s="4"/>
      <c r="E413" s="4"/>
      <c r="F413" s="4"/>
      <c r="G413" s="4"/>
      <c r="H413" s="4"/>
      <c r="I413" s="4"/>
      <c r="J413" s="4"/>
      <c r="K413" s="4"/>
      <c r="L413" s="4"/>
      <c r="M413" s="4"/>
      <c r="N413" s="4"/>
      <c r="O413" s="4"/>
      <c r="P413" s="4"/>
      <c r="Q413" s="4"/>
      <c r="R413" s="4"/>
      <c r="S413" s="4"/>
      <c r="T413" s="4"/>
      <c r="U413" s="4"/>
      <c r="V413" s="4"/>
      <c r="W413" s="4"/>
      <c r="X413" s="4"/>
      <c r="Y413" s="4"/>
      <c r="Z413" s="4"/>
      <c r="AA413" s="4"/>
      <c r="AB413" s="4"/>
      <c r="AC413" s="4"/>
      <c r="AD413" s="4"/>
      <c r="AE413" s="4"/>
      <c r="AF413" s="4"/>
      <c r="AG413" s="4"/>
      <c r="AH413" s="4"/>
      <c r="AI413" s="4"/>
      <c r="AJ413" s="4"/>
      <c r="AK413" s="4"/>
    </row>
    <row r="414" ht="13.5" customHeight="1" spans="1:37" x14ac:dyDescent="0.25">
      <c r="A414" s="344"/>
      <c r="B414" s="4"/>
      <c r="C414" s="4"/>
      <c r="D414" s="4"/>
      <c r="E414" s="4"/>
      <c r="F414" s="4"/>
      <c r="G414" s="4"/>
      <c r="H414" s="4"/>
      <c r="I414" s="4"/>
      <c r="J414" s="4"/>
      <c r="K414" s="4"/>
      <c r="L414" s="4"/>
      <c r="M414" s="4"/>
      <c r="N414" s="4"/>
      <c r="O414" s="4"/>
      <c r="P414" s="4"/>
      <c r="Q414" s="4"/>
      <c r="R414" s="4"/>
      <c r="S414" s="4"/>
      <c r="T414" s="4"/>
      <c r="U414" s="4"/>
      <c r="V414" s="4"/>
      <c r="W414" s="4"/>
      <c r="X414" s="4"/>
      <c r="Y414" s="4"/>
      <c r="Z414" s="4"/>
      <c r="AA414" s="4"/>
      <c r="AB414" s="4"/>
      <c r="AC414" s="4"/>
      <c r="AD414" s="4"/>
      <c r="AE414" s="4"/>
      <c r="AF414" s="4"/>
      <c r="AG414" s="4"/>
      <c r="AH414" s="4"/>
      <c r="AI414" s="4"/>
      <c r="AJ414" s="4"/>
      <c r="AK414" s="4"/>
    </row>
    <row r="415" ht="13.5" customHeight="1" spans="1:37" x14ac:dyDescent="0.25">
      <c r="A415" s="344"/>
      <c r="B415" s="4"/>
      <c r="C415" s="4"/>
      <c r="D415" s="4"/>
      <c r="E415" s="4"/>
      <c r="F415" s="4"/>
      <c r="G415" s="4"/>
      <c r="H415" s="4"/>
      <c r="I415" s="4"/>
      <c r="J415" s="4"/>
      <c r="K415" s="4"/>
      <c r="L415" s="4"/>
      <c r="M415" s="4"/>
      <c r="N415" s="4"/>
      <c r="O415" s="4"/>
      <c r="P415" s="4"/>
      <c r="Q415" s="4"/>
      <c r="R415" s="4"/>
      <c r="S415" s="4"/>
      <c r="T415" s="4"/>
      <c r="U415" s="4"/>
      <c r="V415" s="4"/>
      <c r="W415" s="4"/>
      <c r="X415" s="4"/>
      <c r="Y415" s="4"/>
      <c r="Z415" s="4"/>
      <c r="AA415" s="4"/>
      <c r="AB415" s="4"/>
      <c r="AC415" s="4"/>
      <c r="AD415" s="4"/>
      <c r="AE415" s="4"/>
      <c r="AF415" s="4"/>
      <c r="AG415" s="4"/>
      <c r="AH415" s="4"/>
      <c r="AI415" s="4"/>
      <c r="AJ415" s="4"/>
      <c r="AK415" s="4"/>
    </row>
    <row r="416" ht="13.5" customHeight="1" spans="1:37" x14ac:dyDescent="0.25">
      <c r="A416" s="344"/>
      <c r="B416" s="4"/>
      <c r="C416" s="4"/>
      <c r="D416" s="4"/>
      <c r="E416" s="4"/>
      <c r="F416" s="4"/>
      <c r="G416" s="4"/>
      <c r="H416" s="4"/>
      <c r="I416" s="4"/>
      <c r="J416" s="4"/>
      <c r="K416" s="4"/>
      <c r="L416" s="4"/>
      <c r="M416" s="4"/>
      <c r="N416" s="4"/>
      <c r="O416" s="4"/>
      <c r="P416" s="4"/>
      <c r="Q416" s="4"/>
      <c r="R416" s="4"/>
      <c r="S416" s="4"/>
      <c r="T416" s="4"/>
      <c r="U416" s="4"/>
      <c r="V416" s="4"/>
      <c r="W416" s="4"/>
      <c r="X416" s="4"/>
      <c r="Y416" s="4"/>
      <c r="Z416" s="4"/>
      <c r="AA416" s="4"/>
      <c r="AB416" s="4"/>
      <c r="AC416" s="4"/>
      <c r="AD416" s="4"/>
      <c r="AE416" s="4"/>
      <c r="AF416" s="4"/>
      <c r="AG416" s="4"/>
      <c r="AH416" s="4"/>
      <c r="AI416" s="4"/>
      <c r="AJ416" s="4"/>
      <c r="AK416" s="4"/>
    </row>
    <row r="417" ht="13.5" customHeight="1" spans="1:37" x14ac:dyDescent="0.25">
      <c r="A417" s="344"/>
      <c r="B417" s="4"/>
      <c r="C417" s="4"/>
      <c r="D417" s="4"/>
      <c r="E417" s="4"/>
      <c r="F417" s="4"/>
      <c r="G417" s="4"/>
      <c r="H417" s="4"/>
      <c r="I417" s="4"/>
      <c r="J417" s="4"/>
      <c r="K417" s="4"/>
      <c r="L417" s="4"/>
      <c r="M417" s="4"/>
      <c r="N417" s="4"/>
      <c r="O417" s="4"/>
      <c r="P417" s="4"/>
      <c r="Q417" s="4"/>
      <c r="R417" s="4"/>
      <c r="S417" s="4"/>
      <c r="T417" s="4"/>
      <c r="U417" s="4"/>
      <c r="V417" s="4"/>
      <c r="W417" s="4"/>
      <c r="X417" s="4"/>
      <c r="Y417" s="4"/>
      <c r="Z417" s="4"/>
      <c r="AA417" s="4"/>
      <c r="AB417" s="4"/>
      <c r="AC417" s="4"/>
      <c r="AD417" s="4"/>
      <c r="AE417" s="4"/>
      <c r="AF417" s="4"/>
      <c r="AG417" s="4"/>
      <c r="AH417" s="4"/>
      <c r="AI417" s="4"/>
      <c r="AJ417" s="4"/>
      <c r="AK417" s="4"/>
    </row>
    <row r="418" ht="13.5" customHeight="1" spans="1:37" x14ac:dyDescent="0.25">
      <c r="A418" s="344"/>
      <c r="B418" s="4"/>
      <c r="C418" s="4"/>
      <c r="D418" s="4"/>
      <c r="E418" s="4"/>
      <c r="F418" s="4"/>
      <c r="G418" s="4"/>
      <c r="H418" s="4"/>
      <c r="I418" s="4"/>
      <c r="J418" s="4"/>
      <c r="K418" s="4"/>
      <c r="L418" s="4"/>
      <c r="M418" s="4"/>
      <c r="N418" s="4"/>
      <c r="O418" s="4"/>
      <c r="P418" s="4"/>
      <c r="Q418" s="4"/>
      <c r="R418" s="4"/>
      <c r="S418" s="4"/>
      <c r="T418" s="4"/>
      <c r="U418" s="4"/>
      <c r="V418" s="4"/>
      <c r="W418" s="4"/>
      <c r="X418" s="4"/>
      <c r="Y418" s="4"/>
      <c r="Z418" s="4"/>
      <c r="AA418" s="4"/>
      <c r="AB418" s="4"/>
      <c r="AC418" s="4"/>
      <c r="AD418" s="4"/>
      <c r="AE418" s="4"/>
      <c r="AF418" s="4"/>
      <c r="AG418" s="4"/>
      <c r="AH418" s="4"/>
      <c r="AI418" s="4"/>
      <c r="AJ418" s="4"/>
      <c r="AK418" s="4"/>
    </row>
    <row r="419" ht="13.5" customHeight="1" spans="1:37" x14ac:dyDescent="0.25">
      <c r="A419" s="344"/>
      <c r="B419" s="4"/>
      <c r="C419" s="4"/>
      <c r="D419" s="4"/>
      <c r="E419" s="4"/>
      <c r="F419" s="4"/>
      <c r="G419" s="4"/>
      <c r="H419" s="4"/>
      <c r="I419" s="4"/>
      <c r="J419" s="4"/>
      <c r="K419" s="4"/>
      <c r="L419" s="4"/>
      <c r="M419" s="4"/>
      <c r="N419" s="4"/>
      <c r="O419" s="4"/>
      <c r="P419" s="4"/>
      <c r="Q419" s="4"/>
      <c r="R419" s="4"/>
      <c r="S419" s="4"/>
      <c r="T419" s="4"/>
      <c r="U419" s="4"/>
      <c r="V419" s="4"/>
      <c r="W419" s="4"/>
      <c r="X419" s="4"/>
      <c r="Y419" s="4"/>
      <c r="Z419" s="4"/>
      <c r="AA419" s="4"/>
      <c r="AB419" s="4"/>
      <c r="AC419" s="4"/>
      <c r="AD419" s="4"/>
      <c r="AE419" s="4"/>
      <c r="AF419" s="4"/>
      <c r="AG419" s="4"/>
      <c r="AH419" s="4"/>
      <c r="AI419" s="4"/>
      <c r="AJ419" s="4"/>
      <c r="AK419" s="4"/>
    </row>
    <row r="420" ht="13.5" customHeight="1" spans="1:37" x14ac:dyDescent="0.25">
      <c r="A420" s="344"/>
      <c r="B420" s="4"/>
      <c r="C420" s="4"/>
      <c r="D420" s="4"/>
      <c r="E420" s="4"/>
      <c r="F420" s="4"/>
      <c r="G420" s="4"/>
      <c r="H420" s="4"/>
      <c r="I420" s="4"/>
      <c r="J420" s="4"/>
      <c r="K420" s="4"/>
      <c r="L420" s="4"/>
      <c r="M420" s="4"/>
      <c r="N420" s="4"/>
      <c r="O420" s="4"/>
      <c r="P420" s="4"/>
      <c r="Q420" s="4"/>
      <c r="R420" s="4"/>
      <c r="S420" s="4"/>
      <c r="T420" s="4"/>
      <c r="U420" s="4"/>
      <c r="V420" s="4"/>
      <c r="W420" s="4"/>
      <c r="X420" s="4"/>
      <c r="Y420" s="4"/>
      <c r="Z420" s="4"/>
      <c r="AA420" s="4"/>
      <c r="AB420" s="4"/>
      <c r="AC420" s="4"/>
      <c r="AD420" s="4"/>
      <c r="AE420" s="4"/>
      <c r="AF420" s="4"/>
      <c r="AG420" s="4"/>
      <c r="AH420" s="4"/>
      <c r="AI420" s="4"/>
      <c r="AJ420" s="4"/>
      <c r="AK420" s="4"/>
    </row>
    <row r="421" ht="13.5" customHeight="1" spans="1:37" x14ac:dyDescent="0.25">
      <c r="A421" s="344"/>
      <c r="B421" s="4"/>
      <c r="C421" s="4"/>
      <c r="D421" s="4"/>
      <c r="E421" s="4"/>
      <c r="F421" s="4"/>
      <c r="G421" s="4"/>
      <c r="H421" s="4"/>
      <c r="I421" s="4"/>
      <c r="J421" s="4"/>
      <c r="K421" s="4"/>
      <c r="L421" s="4"/>
      <c r="M421" s="4"/>
      <c r="N421" s="4"/>
      <c r="O421" s="4"/>
      <c r="P421" s="4"/>
      <c r="Q421" s="4"/>
      <c r="R421" s="4"/>
      <c r="S421" s="4"/>
      <c r="T421" s="4"/>
      <c r="U421" s="4"/>
      <c r="V421" s="4"/>
      <c r="W421" s="4"/>
      <c r="X421" s="4"/>
      <c r="Y421" s="4"/>
      <c r="Z421" s="4"/>
      <c r="AA421" s="4"/>
      <c r="AB421" s="4"/>
      <c r="AC421" s="4"/>
      <c r="AD421" s="4"/>
      <c r="AE421" s="4"/>
      <c r="AF421" s="4"/>
      <c r="AG421" s="4"/>
      <c r="AH421" s="4"/>
      <c r="AI421" s="4"/>
      <c r="AJ421" s="4"/>
      <c r="AK421" s="4"/>
    </row>
    <row r="422" ht="13.5" customHeight="1" spans="1:37" x14ac:dyDescent="0.25">
      <c r="A422" s="344"/>
      <c r="B422" s="4"/>
      <c r="C422" s="4"/>
      <c r="D422" s="4"/>
      <c r="E422" s="4"/>
      <c r="F422" s="4"/>
      <c r="G422" s="4"/>
      <c r="H422" s="4"/>
      <c r="I422" s="4"/>
      <c r="J422" s="4"/>
      <c r="K422" s="4"/>
      <c r="L422" s="4"/>
      <c r="M422" s="4"/>
      <c r="N422" s="4"/>
      <c r="O422" s="4"/>
      <c r="P422" s="4"/>
      <c r="Q422" s="4"/>
      <c r="R422" s="4"/>
      <c r="S422" s="4"/>
      <c r="T422" s="4"/>
      <c r="U422" s="4"/>
      <c r="V422" s="4"/>
      <c r="W422" s="4"/>
      <c r="X422" s="4"/>
      <c r="Y422" s="4"/>
      <c r="Z422" s="4"/>
      <c r="AA422" s="4"/>
      <c r="AB422" s="4"/>
      <c r="AC422" s="4"/>
      <c r="AD422" s="4"/>
      <c r="AE422" s="4"/>
      <c r="AF422" s="4"/>
      <c r="AG422" s="4"/>
      <c r="AH422" s="4"/>
      <c r="AI422" s="4"/>
      <c r="AJ422" s="4"/>
      <c r="AK422" s="4"/>
    </row>
    <row r="423" ht="13.5" customHeight="1" spans="1:37" x14ac:dyDescent="0.25">
      <c r="A423" s="344"/>
      <c r="B423" s="4"/>
      <c r="C423" s="4"/>
      <c r="D423" s="4"/>
      <c r="E423" s="4"/>
      <c r="F423" s="4"/>
      <c r="G423" s="4"/>
      <c r="H423" s="4"/>
      <c r="I423" s="4"/>
      <c r="J423" s="4"/>
      <c r="K423" s="4"/>
      <c r="L423" s="4"/>
      <c r="M423" s="4"/>
      <c r="N423" s="4"/>
      <c r="O423" s="4"/>
      <c r="P423" s="4"/>
      <c r="Q423" s="4"/>
      <c r="R423" s="4"/>
      <c r="S423" s="4"/>
      <c r="T423" s="4"/>
      <c r="U423" s="4"/>
      <c r="V423" s="4"/>
      <c r="W423" s="4"/>
      <c r="X423" s="4"/>
      <c r="Y423" s="4"/>
      <c r="Z423" s="4"/>
      <c r="AA423" s="4"/>
      <c r="AB423" s="4"/>
      <c r="AC423" s="4"/>
      <c r="AD423" s="4"/>
      <c r="AE423" s="4"/>
      <c r="AF423" s="4"/>
      <c r="AG423" s="4"/>
      <c r="AH423" s="4"/>
      <c r="AI423" s="4"/>
      <c r="AJ423" s="4"/>
      <c r="AK423" s="4"/>
    </row>
    <row r="424" ht="13.5" customHeight="1" spans="1:37" x14ac:dyDescent="0.25">
      <c r="A424" s="344"/>
      <c r="B424" s="4"/>
      <c r="C424" s="4"/>
      <c r="D424" s="4"/>
      <c r="E424" s="4"/>
      <c r="F424" s="4"/>
      <c r="G424" s="4"/>
      <c r="H424" s="4"/>
      <c r="I424" s="4"/>
      <c r="J424" s="4"/>
      <c r="K424" s="4"/>
      <c r="L424" s="4"/>
      <c r="M424" s="4"/>
      <c r="N424" s="4"/>
      <c r="O424" s="4"/>
      <c r="P424" s="4"/>
      <c r="Q424" s="4"/>
      <c r="R424" s="4"/>
      <c r="S424" s="4"/>
      <c r="T424" s="4"/>
      <c r="U424" s="4"/>
      <c r="V424" s="4"/>
      <c r="W424" s="4"/>
      <c r="X424" s="4"/>
      <c r="Y424" s="4"/>
      <c r="Z424" s="4"/>
      <c r="AA424" s="4"/>
      <c r="AB424" s="4"/>
      <c r="AC424" s="4"/>
      <c r="AD424" s="4"/>
      <c r="AE424" s="4"/>
      <c r="AF424" s="4"/>
      <c r="AG424" s="4"/>
      <c r="AH424" s="4"/>
      <c r="AI424" s="4"/>
      <c r="AJ424" s="4"/>
      <c r="AK424" s="4"/>
    </row>
    <row r="425" ht="13.5" customHeight="1" spans="1:37" x14ac:dyDescent="0.25">
      <c r="A425" s="344"/>
      <c r="B425" s="4"/>
      <c r="C425" s="4"/>
      <c r="D425" s="4"/>
      <c r="E425" s="4"/>
      <c r="F425" s="4"/>
      <c r="G425" s="4"/>
      <c r="H425" s="4"/>
      <c r="I425" s="4"/>
      <c r="J425" s="4"/>
      <c r="K425" s="4"/>
      <c r="L425" s="4"/>
      <c r="M425" s="4"/>
      <c r="N425" s="4"/>
      <c r="O425" s="4"/>
      <c r="P425" s="4"/>
      <c r="Q425" s="4"/>
      <c r="R425" s="4"/>
      <c r="S425" s="4"/>
      <c r="T425" s="4"/>
      <c r="U425" s="4"/>
      <c r="V425" s="4"/>
      <c r="W425" s="4"/>
      <c r="X425" s="4"/>
      <c r="Y425" s="4"/>
      <c r="Z425" s="4"/>
      <c r="AA425" s="4"/>
      <c r="AB425" s="4"/>
      <c r="AC425" s="4"/>
      <c r="AD425" s="4"/>
      <c r="AE425" s="4"/>
      <c r="AF425" s="4"/>
      <c r="AG425" s="4"/>
      <c r="AH425" s="4"/>
      <c r="AI425" s="4"/>
      <c r="AJ425" s="4"/>
      <c r="AK425" s="4"/>
    </row>
    <row r="426" ht="13.5" customHeight="1" spans="1:37" x14ac:dyDescent="0.25">
      <c r="A426" s="344"/>
      <c r="B426" s="4"/>
      <c r="C426" s="4"/>
      <c r="D426" s="4"/>
      <c r="E426" s="4"/>
      <c r="F426" s="4"/>
      <c r="G426" s="4"/>
      <c r="H426" s="4"/>
      <c r="I426" s="4"/>
      <c r="J426" s="4"/>
      <c r="K426" s="4"/>
      <c r="L426" s="4"/>
      <c r="M426" s="4"/>
      <c r="N426" s="4"/>
      <c r="O426" s="4"/>
      <c r="P426" s="4"/>
      <c r="Q426" s="4"/>
      <c r="R426" s="4"/>
      <c r="S426" s="4"/>
      <c r="T426" s="4"/>
      <c r="U426" s="4"/>
      <c r="V426" s="4"/>
      <c r="W426" s="4"/>
      <c r="X426" s="4"/>
      <c r="Y426" s="4"/>
      <c r="Z426" s="4"/>
      <c r="AA426" s="4"/>
      <c r="AB426" s="4"/>
      <c r="AC426" s="4"/>
      <c r="AD426" s="4"/>
      <c r="AE426" s="4"/>
      <c r="AF426" s="4"/>
      <c r="AG426" s="4"/>
      <c r="AH426" s="4"/>
      <c r="AI426" s="4"/>
      <c r="AJ426" s="4"/>
      <c r="AK426" s="4"/>
    </row>
    <row r="427" ht="13.5" customHeight="1" spans="1:37" x14ac:dyDescent="0.25">
      <c r="A427" s="344"/>
      <c r="B427" s="4"/>
      <c r="C427" s="4"/>
      <c r="D427" s="4"/>
      <c r="E427" s="4"/>
      <c r="F427" s="4"/>
      <c r="G427" s="4"/>
      <c r="H427" s="4"/>
      <c r="I427" s="4"/>
      <c r="J427" s="4"/>
      <c r="K427" s="4"/>
      <c r="L427" s="4"/>
      <c r="M427" s="4"/>
      <c r="N427" s="4"/>
      <c r="O427" s="4"/>
      <c r="P427" s="4"/>
      <c r="Q427" s="4"/>
      <c r="R427" s="4"/>
      <c r="S427" s="4"/>
      <c r="T427" s="4"/>
      <c r="U427" s="4"/>
      <c r="V427" s="4"/>
      <c r="W427" s="4"/>
      <c r="X427" s="4"/>
      <c r="Y427" s="4"/>
      <c r="Z427" s="4"/>
      <c r="AA427" s="4"/>
      <c r="AB427" s="4"/>
      <c r="AC427" s="4"/>
      <c r="AD427" s="4"/>
      <c r="AE427" s="4"/>
      <c r="AF427" s="4"/>
      <c r="AG427" s="4"/>
      <c r="AH427" s="4"/>
      <c r="AI427" s="4"/>
      <c r="AJ427" s="4"/>
      <c r="AK427" s="4"/>
    </row>
    <row r="428" ht="13.5" customHeight="1" spans="1:37" x14ac:dyDescent="0.25">
      <c r="A428" s="344"/>
      <c r="B428" s="4"/>
      <c r="C428" s="4"/>
      <c r="D428" s="4"/>
      <c r="E428" s="4"/>
      <c r="F428" s="4"/>
      <c r="G428" s="4"/>
      <c r="H428" s="4"/>
      <c r="I428" s="4"/>
      <c r="J428" s="4"/>
      <c r="K428" s="4"/>
      <c r="L428" s="4"/>
      <c r="M428" s="4"/>
      <c r="N428" s="4"/>
      <c r="O428" s="4"/>
      <c r="P428" s="4"/>
      <c r="Q428" s="4"/>
      <c r="R428" s="4"/>
      <c r="S428" s="4"/>
      <c r="T428" s="4"/>
      <c r="U428" s="4"/>
      <c r="V428" s="4"/>
      <c r="W428" s="4"/>
      <c r="X428" s="4"/>
      <c r="Y428" s="4"/>
      <c r="Z428" s="4"/>
      <c r="AA428" s="4"/>
      <c r="AB428" s="4"/>
      <c r="AC428" s="4"/>
      <c r="AD428" s="4"/>
      <c r="AE428" s="4"/>
      <c r="AF428" s="4"/>
      <c r="AG428" s="4"/>
      <c r="AH428" s="4"/>
      <c r="AI428" s="4"/>
      <c r="AJ428" s="4"/>
      <c r="AK428" s="4"/>
    </row>
    <row r="429" ht="13.5" customHeight="1" spans="1:37" x14ac:dyDescent="0.25">
      <c r="A429" s="344"/>
      <c r="B429" s="4"/>
      <c r="C429" s="4"/>
      <c r="D429" s="4"/>
      <c r="E429" s="4"/>
      <c r="F429" s="4"/>
      <c r="G429" s="4"/>
      <c r="H429" s="4"/>
      <c r="I429" s="4"/>
      <c r="J429" s="4"/>
      <c r="K429" s="4"/>
      <c r="L429" s="4"/>
      <c r="M429" s="4"/>
      <c r="N429" s="4"/>
      <c r="O429" s="4"/>
      <c r="P429" s="4"/>
      <c r="Q429" s="4"/>
      <c r="R429" s="4"/>
      <c r="S429" s="4"/>
      <c r="T429" s="4"/>
      <c r="U429" s="4"/>
      <c r="V429" s="4"/>
      <c r="W429" s="4"/>
      <c r="X429" s="4"/>
      <c r="Y429" s="4"/>
      <c r="Z429" s="4"/>
      <c r="AA429" s="4"/>
      <c r="AB429" s="4"/>
      <c r="AC429" s="4"/>
      <c r="AD429" s="4"/>
      <c r="AE429" s="4"/>
      <c r="AF429" s="4"/>
      <c r="AG429" s="4"/>
      <c r="AH429" s="4"/>
      <c r="AI429" s="4"/>
      <c r="AJ429" s="4"/>
      <c r="AK429" s="4"/>
    </row>
    <row r="430" ht="13.5" customHeight="1" spans="1:37" x14ac:dyDescent="0.25">
      <c r="A430" s="344"/>
      <c r="B430" s="4"/>
      <c r="C430" s="4"/>
      <c r="D430" s="4"/>
      <c r="E430" s="4"/>
      <c r="F430" s="4"/>
      <c r="G430" s="4"/>
      <c r="H430" s="4"/>
      <c r="I430" s="4"/>
      <c r="J430" s="4"/>
      <c r="K430" s="4"/>
      <c r="L430" s="4"/>
      <c r="M430" s="4"/>
      <c r="N430" s="4"/>
      <c r="O430" s="4"/>
      <c r="P430" s="4"/>
      <c r="Q430" s="4"/>
      <c r="R430" s="4"/>
      <c r="S430" s="4"/>
      <c r="T430" s="4"/>
      <c r="U430" s="4"/>
      <c r="V430" s="4"/>
      <c r="W430" s="4"/>
      <c r="X430" s="4"/>
      <c r="Y430" s="4"/>
      <c r="Z430" s="4"/>
      <c r="AA430" s="4"/>
      <c r="AB430" s="4"/>
      <c r="AC430" s="4"/>
      <c r="AD430" s="4"/>
      <c r="AE430" s="4"/>
      <c r="AF430" s="4"/>
      <c r="AG430" s="4"/>
      <c r="AH430" s="4"/>
      <c r="AI430" s="4"/>
      <c r="AJ430" s="4"/>
      <c r="AK430" s="4"/>
    </row>
    <row r="431" ht="13.5" customHeight="1" spans="1:37" x14ac:dyDescent="0.25">
      <c r="A431" s="344"/>
      <c r="B431" s="4"/>
      <c r="C431" s="4"/>
      <c r="D431" s="4"/>
      <c r="E431" s="4"/>
      <c r="F431" s="4"/>
      <c r="G431" s="4"/>
      <c r="H431" s="4"/>
      <c r="I431" s="4"/>
      <c r="J431" s="4"/>
      <c r="K431" s="4"/>
      <c r="L431" s="4"/>
      <c r="M431" s="4"/>
      <c r="N431" s="4"/>
      <c r="O431" s="4"/>
      <c r="P431" s="4"/>
      <c r="Q431" s="4"/>
      <c r="R431" s="4"/>
      <c r="S431" s="4"/>
      <c r="T431" s="4"/>
      <c r="U431" s="4"/>
      <c r="V431" s="4"/>
      <c r="W431" s="4"/>
      <c r="X431" s="4"/>
      <c r="Y431" s="4"/>
      <c r="Z431" s="4"/>
      <c r="AA431" s="4"/>
      <c r="AB431" s="4"/>
      <c r="AC431" s="4"/>
      <c r="AD431" s="4"/>
      <c r="AE431" s="4"/>
      <c r="AF431" s="4"/>
      <c r="AG431" s="4"/>
      <c r="AH431" s="4"/>
      <c r="AI431" s="4"/>
      <c r="AJ431" s="4"/>
      <c r="AK431" s="4"/>
    </row>
    <row r="432" ht="13.5" customHeight="1" spans="1:37" x14ac:dyDescent="0.25">
      <c r="A432" s="344"/>
      <c r="B432" s="4"/>
      <c r="C432" s="4"/>
      <c r="D432" s="4"/>
      <c r="E432" s="4"/>
      <c r="F432" s="4"/>
      <c r="G432" s="4"/>
      <c r="H432" s="4"/>
      <c r="I432" s="4"/>
      <c r="J432" s="4"/>
      <c r="K432" s="4"/>
      <c r="L432" s="4"/>
      <c r="M432" s="4"/>
      <c r="N432" s="4"/>
      <c r="O432" s="4"/>
      <c r="P432" s="4"/>
      <c r="Q432" s="4"/>
      <c r="R432" s="4"/>
      <c r="S432" s="4"/>
      <c r="T432" s="4"/>
      <c r="U432" s="4"/>
      <c r="V432" s="4"/>
      <c r="W432" s="4"/>
      <c r="X432" s="4"/>
      <c r="Y432" s="4"/>
      <c r="Z432" s="4"/>
      <c r="AA432" s="4"/>
      <c r="AB432" s="4"/>
      <c r="AC432" s="4"/>
      <c r="AD432" s="4"/>
      <c r="AE432" s="4"/>
      <c r="AF432" s="4"/>
      <c r="AG432" s="4"/>
      <c r="AH432" s="4"/>
      <c r="AI432" s="4"/>
      <c r="AJ432" s="4"/>
      <c r="AK432" s="4"/>
    </row>
    <row r="433" ht="13.5" customHeight="1" spans="1:37" x14ac:dyDescent="0.25">
      <c r="A433" s="344"/>
      <c r="B433" s="4"/>
      <c r="C433" s="4"/>
      <c r="D433" s="4"/>
      <c r="E433" s="4"/>
      <c r="F433" s="4"/>
      <c r="G433" s="4"/>
      <c r="H433" s="4"/>
      <c r="I433" s="4"/>
      <c r="J433" s="4"/>
      <c r="K433" s="4"/>
      <c r="L433" s="4"/>
      <c r="M433" s="4"/>
      <c r="N433" s="4"/>
      <c r="O433" s="4"/>
      <c r="P433" s="4"/>
      <c r="Q433" s="4"/>
      <c r="R433" s="4"/>
      <c r="S433" s="4"/>
      <c r="T433" s="4"/>
      <c r="U433" s="4"/>
      <c r="V433" s="4"/>
      <c r="W433" s="4"/>
      <c r="X433" s="4"/>
      <c r="Y433" s="4"/>
      <c r="Z433" s="4"/>
      <c r="AA433" s="4"/>
      <c r="AB433" s="4"/>
      <c r="AC433" s="4"/>
      <c r="AD433" s="4"/>
      <c r="AE433" s="4"/>
      <c r="AF433" s="4"/>
      <c r="AG433" s="4"/>
      <c r="AH433" s="4"/>
      <c r="AI433" s="4"/>
      <c r="AJ433" s="4"/>
      <c r="AK433" s="4"/>
    </row>
    <row r="434" ht="13.5" customHeight="1" spans="1:37" x14ac:dyDescent="0.25">
      <c r="A434" s="344"/>
      <c r="B434" s="4"/>
      <c r="C434" s="4"/>
      <c r="D434" s="4"/>
      <c r="E434" s="4"/>
      <c r="F434" s="4"/>
      <c r="G434" s="4"/>
      <c r="H434" s="4"/>
      <c r="I434" s="4"/>
      <c r="J434" s="4"/>
      <c r="K434" s="4"/>
      <c r="L434" s="4"/>
      <c r="M434" s="4"/>
      <c r="N434" s="4"/>
      <c r="O434" s="4"/>
      <c r="P434" s="4"/>
      <c r="Q434" s="4"/>
      <c r="R434" s="4"/>
      <c r="S434" s="4"/>
      <c r="T434" s="4"/>
      <c r="U434" s="4"/>
      <c r="V434" s="4"/>
      <c r="W434" s="4"/>
      <c r="X434" s="4"/>
      <c r="Y434" s="4"/>
      <c r="Z434" s="4"/>
      <c r="AA434" s="4"/>
      <c r="AB434" s="4"/>
      <c r="AC434" s="4"/>
      <c r="AD434" s="4"/>
      <c r="AE434" s="4"/>
      <c r="AF434" s="4"/>
      <c r="AG434" s="4"/>
      <c r="AH434" s="4"/>
      <c r="AI434" s="4"/>
      <c r="AJ434" s="4"/>
      <c r="AK434" s="4"/>
    </row>
    <row r="435" ht="13.5" customHeight="1" spans="1:37" x14ac:dyDescent="0.25">
      <c r="A435" s="344"/>
      <c r="B435" s="4"/>
      <c r="C435" s="4"/>
      <c r="D435" s="4"/>
      <c r="E435" s="4"/>
      <c r="F435" s="4"/>
      <c r="G435" s="4"/>
      <c r="H435" s="4"/>
      <c r="I435" s="4"/>
      <c r="J435" s="4"/>
      <c r="K435" s="4"/>
      <c r="L435" s="4"/>
      <c r="M435" s="4"/>
      <c r="N435" s="4"/>
      <c r="O435" s="4"/>
      <c r="P435" s="4"/>
      <c r="Q435" s="4"/>
      <c r="R435" s="4"/>
      <c r="S435" s="4"/>
      <c r="T435" s="4"/>
      <c r="U435" s="4"/>
      <c r="V435" s="4"/>
      <c r="W435" s="4"/>
      <c r="X435" s="4"/>
      <c r="Y435" s="4"/>
      <c r="Z435" s="4"/>
      <c r="AA435" s="4"/>
      <c r="AB435" s="4"/>
      <c r="AC435" s="4"/>
      <c r="AD435" s="4"/>
      <c r="AE435" s="4"/>
      <c r="AF435" s="4"/>
      <c r="AG435" s="4"/>
      <c r="AH435" s="4"/>
      <c r="AI435" s="4"/>
      <c r="AJ435" s="4"/>
      <c r="AK435" s="4"/>
    </row>
    <row r="436" ht="13.5" customHeight="1" spans="1:37" x14ac:dyDescent="0.25">
      <c r="A436" s="344"/>
      <c r="B436" s="4"/>
      <c r="C436" s="4"/>
      <c r="D436" s="4"/>
      <c r="E436" s="4"/>
      <c r="F436" s="4"/>
      <c r="G436" s="4"/>
      <c r="H436" s="4"/>
      <c r="I436" s="4"/>
      <c r="J436" s="4"/>
      <c r="K436" s="4"/>
      <c r="L436" s="4"/>
      <c r="M436" s="4"/>
      <c r="N436" s="4"/>
      <c r="O436" s="4"/>
      <c r="P436" s="4"/>
      <c r="Q436" s="4"/>
      <c r="R436" s="4"/>
      <c r="S436" s="4"/>
      <c r="T436" s="4"/>
      <c r="U436" s="4"/>
      <c r="V436" s="4"/>
      <c r="W436" s="4"/>
      <c r="X436" s="4"/>
      <c r="Y436" s="4"/>
      <c r="Z436" s="4"/>
      <c r="AA436" s="4"/>
      <c r="AB436" s="4"/>
      <c r="AC436" s="4"/>
      <c r="AD436" s="4"/>
      <c r="AE436" s="4"/>
      <c r="AF436" s="4"/>
      <c r="AG436" s="4"/>
      <c r="AH436" s="4"/>
      <c r="AI436" s="4"/>
      <c r="AJ436" s="4"/>
      <c r="AK436" s="4"/>
    </row>
    <row r="437" ht="13.5" customHeight="1" spans="1:37" x14ac:dyDescent="0.25">
      <c r="A437" s="344"/>
      <c r="B437" s="4"/>
      <c r="C437" s="4"/>
      <c r="D437" s="4"/>
      <c r="E437" s="4"/>
      <c r="F437" s="4"/>
      <c r="G437" s="4"/>
      <c r="H437" s="4"/>
      <c r="I437" s="4"/>
      <c r="J437" s="4"/>
      <c r="K437" s="4"/>
      <c r="L437" s="4"/>
      <c r="M437" s="4"/>
      <c r="N437" s="4"/>
      <c r="O437" s="4"/>
      <c r="P437" s="4"/>
      <c r="Q437" s="4"/>
      <c r="R437" s="4"/>
      <c r="S437" s="4"/>
      <c r="T437" s="4"/>
      <c r="U437" s="4"/>
      <c r="V437" s="4"/>
      <c r="W437" s="4"/>
      <c r="X437" s="4"/>
      <c r="Y437" s="4"/>
      <c r="Z437" s="4"/>
      <c r="AA437" s="4"/>
      <c r="AB437" s="4"/>
      <c r="AC437" s="4"/>
      <c r="AD437" s="4"/>
      <c r="AE437" s="4"/>
      <c r="AF437" s="4"/>
      <c r="AG437" s="4"/>
      <c r="AH437" s="4"/>
      <c r="AI437" s="4"/>
      <c r="AJ437" s="4"/>
      <c r="AK437" s="4"/>
    </row>
    <row r="438" ht="13.5" customHeight="1" spans="1:37" x14ac:dyDescent="0.25">
      <c r="A438" s="344"/>
      <c r="B438" s="4"/>
      <c r="C438" s="4"/>
      <c r="D438" s="4"/>
      <c r="E438" s="4"/>
      <c r="F438" s="4"/>
      <c r="G438" s="4"/>
      <c r="H438" s="4"/>
      <c r="I438" s="4"/>
      <c r="J438" s="4"/>
      <c r="K438" s="4"/>
      <c r="L438" s="4"/>
      <c r="M438" s="4"/>
      <c r="N438" s="4"/>
      <c r="O438" s="4"/>
      <c r="P438" s="4"/>
      <c r="Q438" s="4"/>
      <c r="R438" s="4"/>
      <c r="S438" s="4"/>
      <c r="T438" s="4"/>
      <c r="U438" s="4"/>
      <c r="V438" s="4"/>
      <c r="W438" s="4"/>
      <c r="X438" s="4"/>
      <c r="Y438" s="4"/>
      <c r="Z438" s="4"/>
      <c r="AA438" s="4"/>
      <c r="AB438" s="4"/>
      <c r="AC438" s="4"/>
      <c r="AD438" s="4"/>
      <c r="AE438" s="4"/>
      <c r="AF438" s="4"/>
      <c r="AG438" s="4"/>
      <c r="AH438" s="4"/>
      <c r="AI438" s="4"/>
      <c r="AJ438" s="4"/>
      <c r="AK438" s="4"/>
    </row>
    <row r="439" ht="13.5" customHeight="1" spans="1:37" x14ac:dyDescent="0.25">
      <c r="A439" s="344"/>
      <c r="B439" s="4"/>
      <c r="C439" s="4"/>
      <c r="D439" s="4"/>
      <c r="E439" s="4"/>
      <c r="F439" s="4"/>
      <c r="G439" s="4"/>
      <c r="H439" s="4"/>
      <c r="I439" s="4"/>
      <c r="J439" s="4"/>
      <c r="K439" s="4"/>
      <c r="L439" s="4"/>
      <c r="M439" s="4"/>
      <c r="N439" s="4"/>
      <c r="O439" s="4"/>
      <c r="P439" s="4"/>
      <c r="Q439" s="4"/>
      <c r="R439" s="4"/>
      <c r="S439" s="4"/>
      <c r="T439" s="4"/>
      <c r="U439" s="4"/>
      <c r="V439" s="4"/>
      <c r="W439" s="4"/>
      <c r="X439" s="4"/>
      <c r="Y439" s="4"/>
      <c r="Z439" s="4"/>
      <c r="AA439" s="4"/>
      <c r="AB439" s="4"/>
      <c r="AC439" s="4"/>
      <c r="AD439" s="4"/>
      <c r="AE439" s="4"/>
      <c r="AF439" s="4"/>
      <c r="AG439" s="4"/>
      <c r="AH439" s="4"/>
      <c r="AI439" s="4"/>
      <c r="AJ439" s="4"/>
      <c r="AK439" s="4"/>
    </row>
    <row r="440" ht="13.5" customHeight="1" spans="1:37" x14ac:dyDescent="0.25">
      <c r="A440" s="344"/>
      <c r="B440" s="4"/>
      <c r="C440" s="4"/>
      <c r="D440" s="4"/>
      <c r="E440" s="4"/>
      <c r="F440" s="4"/>
      <c r="G440" s="4"/>
      <c r="H440" s="4"/>
      <c r="I440" s="4"/>
      <c r="J440" s="4"/>
      <c r="K440" s="4"/>
      <c r="L440" s="4"/>
      <c r="M440" s="4"/>
      <c r="N440" s="4"/>
      <c r="O440" s="4"/>
      <c r="P440" s="4"/>
      <c r="Q440" s="4"/>
      <c r="R440" s="4"/>
      <c r="S440" s="4"/>
      <c r="T440" s="4"/>
      <c r="U440" s="4"/>
      <c r="V440" s="4"/>
      <c r="W440" s="4"/>
      <c r="X440" s="4"/>
      <c r="Y440" s="4"/>
      <c r="Z440" s="4"/>
      <c r="AA440" s="4"/>
      <c r="AB440" s="4"/>
      <c r="AC440" s="4"/>
      <c r="AD440" s="4"/>
      <c r="AE440" s="4"/>
      <c r="AF440" s="4"/>
      <c r="AG440" s="4"/>
      <c r="AH440" s="4"/>
      <c r="AI440" s="4"/>
      <c r="AJ440" s="4"/>
      <c r="AK440" s="4"/>
    </row>
    <row r="441" ht="13.5" customHeight="1" spans="1:37" x14ac:dyDescent="0.25">
      <c r="A441" s="344"/>
      <c r="B441" s="4"/>
      <c r="C441" s="4"/>
      <c r="D441" s="4"/>
      <c r="E441" s="4"/>
      <c r="F441" s="4"/>
      <c r="G441" s="4"/>
      <c r="H441" s="4"/>
      <c r="I441" s="4"/>
      <c r="J441" s="4"/>
      <c r="K441" s="4"/>
      <c r="L441" s="4"/>
      <c r="M441" s="4"/>
      <c r="N441" s="4"/>
      <c r="O441" s="4"/>
      <c r="P441" s="4"/>
      <c r="Q441" s="4"/>
      <c r="R441" s="4"/>
      <c r="S441" s="4"/>
      <c r="T441" s="4"/>
      <c r="U441" s="4"/>
      <c r="V441" s="4"/>
      <c r="W441" s="4"/>
      <c r="X441" s="4"/>
      <c r="Y441" s="4"/>
      <c r="Z441" s="4"/>
      <c r="AA441" s="4"/>
      <c r="AB441" s="4"/>
      <c r="AC441" s="4"/>
      <c r="AD441" s="4"/>
      <c r="AE441" s="4"/>
      <c r="AF441" s="4"/>
      <c r="AG441" s="4"/>
      <c r="AH441" s="4"/>
      <c r="AI441" s="4"/>
      <c r="AJ441" s="4"/>
      <c r="AK441" s="4"/>
    </row>
    <row r="442" ht="13.5" customHeight="1" spans="1:37" x14ac:dyDescent="0.25">
      <c r="A442" s="344"/>
      <c r="B442" s="4"/>
      <c r="C442" s="4"/>
      <c r="D442" s="4"/>
      <c r="E442" s="4"/>
      <c r="F442" s="4"/>
      <c r="G442" s="4"/>
      <c r="H442" s="4"/>
      <c r="I442" s="4"/>
      <c r="J442" s="4"/>
      <c r="K442" s="4"/>
      <c r="L442" s="4"/>
      <c r="M442" s="4"/>
      <c r="N442" s="4"/>
      <c r="O442" s="4"/>
      <c r="P442" s="4"/>
      <c r="Q442" s="4"/>
      <c r="R442" s="4"/>
      <c r="S442" s="4"/>
      <c r="T442" s="4"/>
      <c r="U442" s="4"/>
      <c r="V442" s="4"/>
      <c r="W442" s="4"/>
      <c r="X442" s="4"/>
      <c r="Y442" s="4"/>
      <c r="Z442" s="4"/>
      <c r="AA442" s="4"/>
      <c r="AB442" s="4"/>
      <c r="AC442" s="4"/>
      <c r="AD442" s="4"/>
      <c r="AE442" s="4"/>
      <c r="AF442" s="4"/>
      <c r="AG442" s="4"/>
      <c r="AH442" s="4"/>
      <c r="AI442" s="4"/>
      <c r="AJ442" s="4"/>
      <c r="AK442" s="4"/>
    </row>
    <row r="443" ht="13.5" customHeight="1" spans="1:37" x14ac:dyDescent="0.25">
      <c r="A443" s="344"/>
      <c r="B443" s="4"/>
      <c r="C443" s="4"/>
      <c r="D443" s="4"/>
      <c r="E443" s="4"/>
      <c r="F443" s="4"/>
      <c r="G443" s="4"/>
      <c r="H443" s="4"/>
      <c r="I443" s="4"/>
      <c r="J443" s="4"/>
      <c r="K443" s="4"/>
      <c r="L443" s="4"/>
      <c r="M443" s="4"/>
      <c r="N443" s="4"/>
      <c r="O443" s="4"/>
      <c r="P443" s="4"/>
      <c r="Q443" s="4"/>
      <c r="R443" s="4"/>
      <c r="S443" s="4"/>
      <c r="T443" s="4"/>
      <c r="U443" s="4"/>
      <c r="V443" s="4"/>
      <c r="W443" s="4"/>
      <c r="X443" s="4"/>
      <c r="Y443" s="4"/>
      <c r="Z443" s="4"/>
      <c r="AA443" s="4"/>
      <c r="AB443" s="4"/>
      <c r="AC443" s="4"/>
      <c r="AD443" s="4"/>
      <c r="AE443" s="4"/>
      <c r="AF443" s="4"/>
      <c r="AG443" s="4"/>
      <c r="AH443" s="4"/>
      <c r="AI443" s="4"/>
      <c r="AJ443" s="4"/>
      <c r="AK443" s="4"/>
    </row>
    <row r="444" ht="13.5" customHeight="1" spans="1:37" x14ac:dyDescent="0.25">
      <c r="A444" s="344"/>
      <c r="B444" s="4"/>
      <c r="C444" s="4"/>
      <c r="D444" s="4"/>
      <c r="E444" s="4"/>
      <c r="F444" s="4"/>
      <c r="G444" s="4"/>
      <c r="H444" s="4"/>
      <c r="I444" s="4"/>
      <c r="J444" s="4"/>
      <c r="K444" s="4"/>
      <c r="L444" s="4"/>
      <c r="M444" s="4"/>
      <c r="N444" s="4"/>
      <c r="O444" s="4"/>
      <c r="P444" s="4"/>
      <c r="Q444" s="4"/>
      <c r="R444" s="4"/>
      <c r="S444" s="4"/>
      <c r="T444" s="4"/>
      <c r="U444" s="4"/>
      <c r="V444" s="4"/>
      <c r="W444" s="4"/>
      <c r="X444" s="4"/>
      <c r="Y444" s="4"/>
      <c r="Z444" s="4"/>
      <c r="AA444" s="4"/>
      <c r="AB444" s="4"/>
      <c r="AC444" s="4"/>
      <c r="AD444" s="4"/>
      <c r="AE444" s="4"/>
      <c r="AF444" s="4"/>
      <c r="AG444" s="4"/>
      <c r="AH444" s="4"/>
      <c r="AI444" s="4"/>
      <c r="AJ444" s="4"/>
      <c r="AK444" s="4"/>
    </row>
    <row r="445" ht="13.5" customHeight="1" spans="1:37" x14ac:dyDescent="0.25">
      <c r="A445" s="344"/>
      <c r="B445" s="4"/>
      <c r="C445" s="4"/>
      <c r="D445" s="4"/>
      <c r="E445" s="4"/>
      <c r="F445" s="4"/>
      <c r="G445" s="4"/>
      <c r="H445" s="4"/>
      <c r="I445" s="4"/>
      <c r="J445" s="4"/>
      <c r="K445" s="4"/>
      <c r="L445" s="4"/>
      <c r="M445" s="4"/>
      <c r="N445" s="4"/>
      <c r="O445" s="4"/>
      <c r="P445" s="4"/>
      <c r="Q445" s="4"/>
      <c r="R445" s="4"/>
      <c r="S445" s="4"/>
      <c r="T445" s="4"/>
      <c r="U445" s="4"/>
      <c r="V445" s="4"/>
      <c r="W445" s="4"/>
      <c r="X445" s="4"/>
      <c r="Y445" s="4"/>
      <c r="Z445" s="4"/>
      <c r="AA445" s="4"/>
      <c r="AB445" s="4"/>
      <c r="AC445" s="4"/>
      <c r="AD445" s="4"/>
      <c r="AE445" s="4"/>
      <c r="AF445" s="4"/>
      <c r="AG445" s="4"/>
      <c r="AH445" s="4"/>
      <c r="AI445" s="4"/>
      <c r="AJ445" s="4"/>
      <c r="AK445" s="4"/>
    </row>
    <row r="446" ht="13.5" customHeight="1" spans="1:37" x14ac:dyDescent="0.25">
      <c r="A446" s="344"/>
      <c r="B446" s="4"/>
      <c r="C446" s="4"/>
      <c r="D446" s="4"/>
      <c r="E446" s="4"/>
      <c r="F446" s="4"/>
      <c r="G446" s="4"/>
      <c r="H446" s="4"/>
      <c r="I446" s="4"/>
      <c r="J446" s="4"/>
      <c r="K446" s="4"/>
      <c r="L446" s="4"/>
      <c r="M446" s="4"/>
      <c r="N446" s="4"/>
      <c r="O446" s="4"/>
      <c r="P446" s="4"/>
      <c r="Q446" s="4"/>
      <c r="R446" s="4"/>
      <c r="S446" s="4"/>
      <c r="T446" s="4"/>
      <c r="U446" s="4"/>
      <c r="V446" s="4"/>
      <c r="W446" s="4"/>
      <c r="X446" s="4"/>
      <c r="Y446" s="4"/>
      <c r="Z446" s="4"/>
      <c r="AA446" s="4"/>
      <c r="AB446" s="4"/>
      <c r="AC446" s="4"/>
      <c r="AD446" s="4"/>
      <c r="AE446" s="4"/>
      <c r="AF446" s="4"/>
      <c r="AG446" s="4"/>
      <c r="AH446" s="4"/>
      <c r="AI446" s="4"/>
      <c r="AJ446" s="4"/>
      <c r="AK446" s="4"/>
    </row>
    <row r="447" ht="13.5" customHeight="1" spans="1:37" x14ac:dyDescent="0.25">
      <c r="A447" s="344"/>
      <c r="B447" s="4"/>
      <c r="C447" s="4"/>
      <c r="D447" s="4"/>
      <c r="E447" s="4"/>
      <c r="F447" s="4"/>
      <c r="G447" s="4"/>
      <c r="H447" s="4"/>
      <c r="I447" s="4"/>
      <c r="J447" s="4"/>
      <c r="K447" s="4"/>
      <c r="L447" s="4"/>
      <c r="M447" s="4"/>
      <c r="N447" s="4"/>
      <c r="O447" s="4"/>
      <c r="P447" s="4"/>
      <c r="Q447" s="4"/>
      <c r="R447" s="4"/>
      <c r="S447" s="4"/>
      <c r="T447" s="4"/>
      <c r="U447" s="4"/>
      <c r="V447" s="4"/>
      <c r="W447" s="4"/>
      <c r="X447" s="4"/>
      <c r="Y447" s="4"/>
      <c r="Z447" s="4"/>
      <c r="AA447" s="4"/>
      <c r="AB447" s="4"/>
      <c r="AC447" s="4"/>
      <c r="AD447" s="4"/>
      <c r="AE447" s="4"/>
      <c r="AF447" s="4"/>
      <c r="AG447" s="4"/>
      <c r="AH447" s="4"/>
      <c r="AI447" s="4"/>
      <c r="AJ447" s="4"/>
      <c r="AK447" s="4"/>
    </row>
    <row r="448" ht="13.5" customHeight="1" spans="1:37" x14ac:dyDescent="0.25">
      <c r="A448" s="344"/>
      <c r="B448" s="4"/>
      <c r="C448" s="4"/>
      <c r="D448" s="4"/>
      <c r="E448" s="4"/>
      <c r="F448" s="4"/>
      <c r="G448" s="4"/>
      <c r="H448" s="4"/>
      <c r="I448" s="4"/>
      <c r="J448" s="4"/>
      <c r="K448" s="4"/>
      <c r="L448" s="4"/>
      <c r="M448" s="4"/>
      <c r="N448" s="4"/>
      <c r="O448" s="4"/>
      <c r="P448" s="4"/>
      <c r="Q448" s="4"/>
      <c r="R448" s="4"/>
      <c r="S448" s="4"/>
      <c r="T448" s="4"/>
      <c r="U448" s="4"/>
      <c r="V448" s="4"/>
      <c r="W448" s="4"/>
      <c r="X448" s="4"/>
      <c r="Y448" s="4"/>
      <c r="Z448" s="4"/>
      <c r="AA448" s="4"/>
      <c r="AB448" s="4"/>
      <c r="AC448" s="4"/>
      <c r="AD448" s="4"/>
      <c r="AE448" s="4"/>
      <c r="AF448" s="4"/>
      <c r="AG448" s="4"/>
      <c r="AH448" s="4"/>
      <c r="AI448" s="4"/>
      <c r="AJ448" s="4"/>
      <c r="AK448" s="4"/>
    </row>
    <row r="449" ht="13.5" customHeight="1" spans="1:37" x14ac:dyDescent="0.25">
      <c r="A449" s="344"/>
      <c r="B449" s="4"/>
      <c r="C449" s="4"/>
      <c r="D449" s="4"/>
      <c r="E449" s="4"/>
      <c r="F449" s="4"/>
      <c r="G449" s="4"/>
      <c r="H449" s="4"/>
      <c r="I449" s="4"/>
      <c r="J449" s="4"/>
      <c r="K449" s="4"/>
      <c r="L449" s="4"/>
      <c r="M449" s="4"/>
      <c r="N449" s="4"/>
      <c r="O449" s="4"/>
      <c r="P449" s="4"/>
      <c r="Q449" s="4"/>
      <c r="R449" s="4"/>
      <c r="S449" s="4"/>
      <c r="T449" s="4"/>
      <c r="U449" s="4"/>
      <c r="V449" s="4"/>
      <c r="W449" s="4"/>
      <c r="X449" s="4"/>
      <c r="Y449" s="4"/>
      <c r="Z449" s="4"/>
      <c r="AA449" s="4"/>
      <c r="AB449" s="4"/>
      <c r="AC449" s="4"/>
      <c r="AD449" s="4"/>
      <c r="AE449" s="4"/>
      <c r="AF449" s="4"/>
      <c r="AG449" s="4"/>
      <c r="AH449" s="4"/>
      <c r="AI449" s="4"/>
      <c r="AJ449" s="4"/>
      <c r="AK449" s="4"/>
    </row>
    <row r="450" ht="13.5" customHeight="1" spans="1:37" x14ac:dyDescent="0.25">
      <c r="A450" s="344"/>
      <c r="B450" s="4"/>
      <c r="C450" s="4"/>
      <c r="D450" s="4"/>
      <c r="E450" s="4"/>
      <c r="F450" s="4"/>
      <c r="G450" s="4"/>
      <c r="H450" s="4"/>
      <c r="I450" s="4"/>
      <c r="J450" s="4"/>
      <c r="K450" s="4"/>
      <c r="L450" s="4"/>
      <c r="M450" s="4"/>
      <c r="N450" s="4"/>
      <c r="O450" s="4"/>
      <c r="P450" s="4"/>
      <c r="Q450" s="4"/>
      <c r="R450" s="4"/>
      <c r="S450" s="4"/>
      <c r="T450" s="4"/>
      <c r="U450" s="4"/>
      <c r="V450" s="4"/>
      <c r="W450" s="4"/>
      <c r="X450" s="4"/>
      <c r="Y450" s="4"/>
      <c r="Z450" s="4"/>
      <c r="AA450" s="4"/>
      <c r="AB450" s="4"/>
      <c r="AC450" s="4"/>
      <c r="AD450" s="4"/>
      <c r="AE450" s="4"/>
      <c r="AF450" s="4"/>
      <c r="AG450" s="4"/>
      <c r="AH450" s="4"/>
      <c r="AI450" s="4"/>
      <c r="AJ450" s="4"/>
      <c r="AK450" s="4"/>
    </row>
    <row r="451" ht="13.5" customHeight="1" spans="1:37" x14ac:dyDescent="0.25">
      <c r="A451" s="344"/>
      <c r="B451" s="4"/>
      <c r="C451" s="4"/>
      <c r="D451" s="4"/>
      <c r="E451" s="4"/>
      <c r="F451" s="4"/>
      <c r="G451" s="4"/>
      <c r="H451" s="4"/>
      <c r="I451" s="4"/>
      <c r="J451" s="4"/>
      <c r="K451" s="4"/>
      <c r="L451" s="4"/>
      <c r="M451" s="4"/>
      <c r="N451" s="4"/>
      <c r="O451" s="4"/>
      <c r="P451" s="4"/>
      <c r="Q451" s="4"/>
      <c r="R451" s="4"/>
      <c r="S451" s="4"/>
      <c r="T451" s="4"/>
      <c r="U451" s="4"/>
      <c r="V451" s="4"/>
      <c r="W451" s="4"/>
      <c r="X451" s="4"/>
      <c r="Y451" s="4"/>
      <c r="Z451" s="4"/>
      <c r="AA451" s="4"/>
      <c r="AB451" s="4"/>
      <c r="AC451" s="4"/>
      <c r="AD451" s="4"/>
      <c r="AE451" s="4"/>
      <c r="AF451" s="4"/>
      <c r="AG451" s="4"/>
      <c r="AH451" s="4"/>
      <c r="AI451" s="4"/>
      <c r="AJ451" s="4"/>
      <c r="AK451" s="4"/>
    </row>
    <row r="452" ht="13.5" customHeight="1" spans="1:37" x14ac:dyDescent="0.25">
      <c r="A452" s="344"/>
      <c r="B452" s="4"/>
      <c r="C452" s="4"/>
      <c r="D452" s="4"/>
      <c r="E452" s="4"/>
      <c r="F452" s="4"/>
      <c r="G452" s="4"/>
      <c r="H452" s="4"/>
      <c r="I452" s="4"/>
      <c r="J452" s="4"/>
      <c r="K452" s="4"/>
      <c r="L452" s="4"/>
      <c r="M452" s="4"/>
      <c r="N452" s="4"/>
      <c r="O452" s="4"/>
      <c r="P452" s="4"/>
      <c r="Q452" s="4"/>
      <c r="R452" s="4"/>
      <c r="S452" s="4"/>
      <c r="T452" s="4"/>
      <c r="U452" s="4"/>
      <c r="V452" s="4"/>
      <c r="W452" s="4"/>
      <c r="X452" s="4"/>
      <c r="Y452" s="4"/>
      <c r="Z452" s="4"/>
      <c r="AA452" s="4"/>
      <c r="AB452" s="4"/>
      <c r="AC452" s="4"/>
      <c r="AD452" s="4"/>
      <c r="AE452" s="4"/>
      <c r="AF452" s="4"/>
      <c r="AG452" s="4"/>
      <c r="AH452" s="4"/>
      <c r="AI452" s="4"/>
      <c r="AJ452" s="4"/>
      <c r="AK452" s="4"/>
    </row>
    <row r="453" ht="13.5" customHeight="1" spans="1:37" x14ac:dyDescent="0.25">
      <c r="A453" s="344"/>
      <c r="B453" s="4"/>
      <c r="C453" s="4"/>
      <c r="D453" s="4"/>
      <c r="E453" s="4"/>
      <c r="F453" s="4"/>
      <c r="G453" s="4"/>
      <c r="H453" s="4"/>
      <c r="I453" s="4"/>
      <c r="J453" s="4"/>
      <c r="K453" s="4"/>
      <c r="L453" s="4"/>
      <c r="M453" s="4"/>
      <c r="N453" s="4"/>
      <c r="O453" s="4"/>
      <c r="P453" s="4"/>
      <c r="Q453" s="4"/>
      <c r="R453" s="4"/>
      <c r="S453" s="4"/>
      <c r="T453" s="4"/>
      <c r="U453" s="4"/>
      <c r="V453" s="4"/>
      <c r="W453" s="4"/>
      <c r="X453" s="4"/>
      <c r="Y453" s="4"/>
      <c r="Z453" s="4"/>
      <c r="AA453" s="4"/>
      <c r="AB453" s="4"/>
      <c r="AC453" s="4"/>
      <c r="AD453" s="4"/>
      <c r="AE453" s="4"/>
      <c r="AF453" s="4"/>
      <c r="AG453" s="4"/>
      <c r="AH453" s="4"/>
      <c r="AI453" s="4"/>
      <c r="AJ453" s="4"/>
      <c r="AK453" s="4"/>
    </row>
    <row r="454" ht="13.5" customHeight="1" spans="1:37" x14ac:dyDescent="0.25">
      <c r="A454" s="344"/>
      <c r="B454" s="4"/>
      <c r="C454" s="4"/>
      <c r="D454" s="4"/>
      <c r="E454" s="4"/>
      <c r="F454" s="4"/>
      <c r="G454" s="4"/>
      <c r="H454" s="4"/>
      <c r="I454" s="4"/>
      <c r="J454" s="4"/>
      <c r="K454" s="4"/>
      <c r="L454" s="4"/>
      <c r="M454" s="4"/>
      <c r="N454" s="4"/>
      <c r="O454" s="4"/>
      <c r="P454" s="4"/>
      <c r="Q454" s="4"/>
      <c r="R454" s="4"/>
      <c r="S454" s="4"/>
      <c r="T454" s="4"/>
      <c r="U454" s="4"/>
      <c r="V454" s="4"/>
      <c r="W454" s="4"/>
      <c r="X454" s="4"/>
      <c r="Y454" s="4"/>
      <c r="Z454" s="4"/>
      <c r="AA454" s="4"/>
      <c r="AB454" s="4"/>
      <c r="AC454" s="4"/>
      <c r="AD454" s="4"/>
      <c r="AE454" s="4"/>
      <c r="AF454" s="4"/>
      <c r="AG454" s="4"/>
      <c r="AH454" s="4"/>
      <c r="AI454" s="4"/>
      <c r="AJ454" s="4"/>
      <c r="AK454" s="4"/>
    </row>
    <row r="455" ht="13.5" customHeight="1" spans="1:37" x14ac:dyDescent="0.25">
      <c r="A455" s="344"/>
      <c r="B455" s="4"/>
      <c r="C455" s="4"/>
      <c r="D455" s="4"/>
      <c r="E455" s="4"/>
      <c r="F455" s="4"/>
      <c r="G455" s="4"/>
      <c r="H455" s="4"/>
      <c r="I455" s="4"/>
      <c r="J455" s="4"/>
      <c r="K455" s="4"/>
      <c r="L455" s="4"/>
      <c r="M455" s="4"/>
      <c r="N455" s="4"/>
      <c r="O455" s="4"/>
      <c r="P455" s="4"/>
      <c r="Q455" s="4"/>
      <c r="R455" s="4"/>
      <c r="S455" s="4"/>
      <c r="T455" s="4"/>
      <c r="U455" s="4"/>
      <c r="V455" s="4"/>
      <c r="W455" s="4"/>
      <c r="X455" s="4"/>
      <c r="Y455" s="4"/>
      <c r="Z455" s="4"/>
      <c r="AA455" s="4"/>
      <c r="AB455" s="4"/>
      <c r="AC455" s="4"/>
      <c r="AD455" s="4"/>
      <c r="AE455" s="4"/>
      <c r="AF455" s="4"/>
      <c r="AG455" s="4"/>
      <c r="AH455" s="4"/>
      <c r="AI455" s="4"/>
      <c r="AJ455" s="4"/>
      <c r="AK455" s="4"/>
    </row>
    <row r="456" ht="13.5" customHeight="1" spans="1:37" x14ac:dyDescent="0.25">
      <c r="A456" s="344"/>
      <c r="B456" s="4"/>
      <c r="C456" s="4"/>
      <c r="D456" s="4"/>
      <c r="E456" s="4"/>
      <c r="F456" s="4"/>
      <c r="G456" s="4"/>
      <c r="H456" s="4"/>
      <c r="I456" s="4"/>
      <c r="J456" s="4"/>
      <c r="K456" s="4"/>
      <c r="L456" s="4"/>
      <c r="M456" s="4"/>
      <c r="N456" s="4"/>
      <c r="O456" s="4"/>
      <c r="P456" s="4"/>
      <c r="Q456" s="4"/>
      <c r="R456" s="4"/>
      <c r="S456" s="4"/>
      <c r="T456" s="4"/>
      <c r="U456" s="4"/>
      <c r="V456" s="4"/>
      <c r="W456" s="4"/>
      <c r="X456" s="4"/>
      <c r="Y456" s="4"/>
      <c r="Z456" s="4"/>
      <c r="AA456" s="4"/>
      <c r="AB456" s="4"/>
      <c r="AC456" s="4"/>
      <c r="AD456" s="4"/>
      <c r="AE456" s="4"/>
      <c r="AF456" s="4"/>
      <c r="AG456" s="4"/>
      <c r="AH456" s="4"/>
      <c r="AI456" s="4"/>
      <c r="AJ456" s="4"/>
      <c r="AK456" s="4"/>
    </row>
    <row r="457" ht="13.5" customHeight="1" spans="1:37" x14ac:dyDescent="0.25">
      <c r="A457" s="344"/>
      <c r="B457" s="4"/>
      <c r="C457" s="4"/>
      <c r="D457" s="4"/>
      <c r="E457" s="4"/>
      <c r="F457" s="4"/>
      <c r="G457" s="4"/>
      <c r="H457" s="4"/>
      <c r="I457" s="4"/>
      <c r="J457" s="4"/>
      <c r="K457" s="4"/>
      <c r="L457" s="4"/>
      <c r="M457" s="4"/>
      <c r="N457" s="4"/>
      <c r="O457" s="4"/>
      <c r="P457" s="4"/>
      <c r="Q457" s="4"/>
      <c r="R457" s="4"/>
      <c r="S457" s="4"/>
      <c r="T457" s="4"/>
      <c r="U457" s="4"/>
      <c r="V457" s="4"/>
      <c r="W457" s="4"/>
      <c r="X457" s="4"/>
      <c r="Y457" s="4"/>
      <c r="Z457" s="4"/>
      <c r="AA457" s="4"/>
      <c r="AB457" s="4"/>
      <c r="AC457" s="4"/>
      <c r="AD457" s="4"/>
      <c r="AE457" s="4"/>
      <c r="AF457" s="4"/>
      <c r="AG457" s="4"/>
      <c r="AH457" s="4"/>
      <c r="AI457" s="4"/>
      <c r="AJ457" s="4"/>
      <c r="AK457" s="4"/>
    </row>
    <row r="458" ht="13.5" customHeight="1" spans="1:37" x14ac:dyDescent="0.25">
      <c r="A458" s="344"/>
      <c r="B458" s="4"/>
      <c r="C458" s="4"/>
      <c r="D458" s="4"/>
      <c r="E458" s="4"/>
      <c r="F458" s="4"/>
      <c r="G458" s="4"/>
      <c r="H458" s="4"/>
      <c r="I458" s="4"/>
      <c r="J458" s="4"/>
      <c r="K458" s="4"/>
      <c r="L458" s="4"/>
      <c r="M458" s="4"/>
      <c r="N458" s="4"/>
      <c r="O458" s="4"/>
      <c r="P458" s="4"/>
      <c r="Q458" s="4"/>
      <c r="R458" s="4"/>
      <c r="S458" s="4"/>
      <c r="T458" s="4"/>
      <c r="U458" s="4"/>
      <c r="V458" s="4"/>
      <c r="W458" s="4"/>
      <c r="X458" s="4"/>
      <c r="Y458" s="4"/>
      <c r="Z458" s="4"/>
      <c r="AA458" s="4"/>
      <c r="AB458" s="4"/>
      <c r="AC458" s="4"/>
      <c r="AD458" s="4"/>
      <c r="AE458" s="4"/>
      <c r="AF458" s="4"/>
      <c r="AG458" s="4"/>
      <c r="AH458" s="4"/>
      <c r="AI458" s="4"/>
      <c r="AJ458" s="4"/>
      <c r="AK458" s="4"/>
    </row>
    <row r="459" ht="13.5" customHeight="1" spans="1:37" x14ac:dyDescent="0.25">
      <c r="A459" s="344"/>
      <c r="B459" s="4"/>
      <c r="C459" s="4"/>
      <c r="D459" s="4"/>
      <c r="E459" s="4"/>
      <c r="F459" s="4"/>
      <c r="G459" s="4"/>
      <c r="H459" s="4"/>
      <c r="I459" s="4"/>
      <c r="J459" s="4"/>
      <c r="K459" s="4"/>
      <c r="L459" s="4"/>
      <c r="M459" s="4"/>
      <c r="N459" s="4"/>
      <c r="O459" s="4"/>
      <c r="P459" s="4"/>
      <c r="Q459" s="4"/>
      <c r="R459" s="4"/>
      <c r="S459" s="4"/>
      <c r="T459" s="4"/>
      <c r="U459" s="4"/>
      <c r="V459" s="4"/>
      <c r="W459" s="4"/>
      <c r="X459" s="4"/>
      <c r="Y459" s="4"/>
      <c r="Z459" s="4"/>
      <c r="AA459" s="4"/>
      <c r="AB459" s="4"/>
      <c r="AC459" s="4"/>
      <c r="AD459" s="4"/>
      <c r="AE459" s="4"/>
      <c r="AF459" s="4"/>
      <c r="AG459" s="4"/>
      <c r="AH459" s="4"/>
      <c r="AI459" s="4"/>
      <c r="AJ459" s="4"/>
      <c r="AK459" s="4"/>
    </row>
    <row r="460" ht="13.5" customHeight="1" spans="1:37" x14ac:dyDescent="0.25">
      <c r="A460" s="344"/>
      <c r="B460" s="4"/>
      <c r="C460" s="4"/>
      <c r="D460" s="4"/>
      <c r="E460" s="4"/>
      <c r="F460" s="4"/>
      <c r="G460" s="4"/>
      <c r="H460" s="4"/>
      <c r="I460" s="4"/>
      <c r="J460" s="4"/>
      <c r="K460" s="4"/>
      <c r="L460" s="4"/>
      <c r="M460" s="4"/>
      <c r="N460" s="4"/>
      <c r="O460" s="4"/>
      <c r="P460" s="4"/>
      <c r="Q460" s="4"/>
      <c r="R460" s="4"/>
      <c r="S460" s="4"/>
      <c r="T460" s="4"/>
      <c r="U460" s="4"/>
      <c r="V460" s="4"/>
      <c r="W460" s="4"/>
      <c r="X460" s="4"/>
      <c r="Y460" s="4"/>
      <c r="Z460" s="4"/>
      <c r="AA460" s="4"/>
      <c r="AB460" s="4"/>
      <c r="AC460" s="4"/>
      <c r="AD460" s="4"/>
      <c r="AE460" s="4"/>
      <c r="AF460" s="4"/>
      <c r="AG460" s="4"/>
      <c r="AH460" s="4"/>
      <c r="AI460" s="4"/>
      <c r="AJ460" s="4"/>
      <c r="AK460" s="4"/>
    </row>
    <row r="461" ht="13.5" customHeight="1" spans="1:37" x14ac:dyDescent="0.25">
      <c r="A461" s="344"/>
      <c r="B461" s="4"/>
      <c r="C461" s="4"/>
      <c r="D461" s="4"/>
      <c r="E461" s="4"/>
      <c r="F461" s="4"/>
      <c r="G461" s="4"/>
      <c r="H461" s="4"/>
      <c r="I461" s="4"/>
      <c r="J461" s="4"/>
      <c r="K461" s="4"/>
      <c r="L461" s="4"/>
      <c r="M461" s="4"/>
      <c r="N461" s="4"/>
      <c r="O461" s="4"/>
      <c r="P461" s="4"/>
      <c r="Q461" s="4"/>
      <c r="R461" s="4"/>
      <c r="S461" s="4"/>
      <c r="T461" s="4"/>
      <c r="U461" s="4"/>
      <c r="V461" s="4"/>
      <c r="W461" s="4"/>
      <c r="X461" s="4"/>
      <c r="Y461" s="4"/>
      <c r="Z461" s="4"/>
      <c r="AA461" s="4"/>
      <c r="AB461" s="4"/>
      <c r="AC461" s="4"/>
      <c r="AD461" s="4"/>
      <c r="AE461" s="4"/>
      <c r="AF461" s="4"/>
      <c r="AG461" s="4"/>
      <c r="AH461" s="4"/>
      <c r="AI461" s="4"/>
      <c r="AJ461" s="4"/>
      <c r="AK461" s="4"/>
    </row>
    <row r="462" ht="13.5" customHeight="1" spans="1:37" x14ac:dyDescent="0.25">
      <c r="A462" s="344"/>
      <c r="B462" s="4"/>
      <c r="C462" s="4"/>
      <c r="D462" s="4"/>
      <c r="E462" s="4"/>
      <c r="F462" s="4"/>
      <c r="G462" s="4"/>
      <c r="H462" s="4"/>
      <c r="I462" s="4"/>
      <c r="J462" s="4"/>
      <c r="K462" s="4"/>
      <c r="L462" s="4"/>
      <c r="M462" s="4"/>
      <c r="N462" s="4"/>
      <c r="O462" s="4"/>
      <c r="P462" s="4"/>
      <c r="Q462" s="4"/>
      <c r="R462" s="4"/>
      <c r="S462" s="4"/>
      <c r="T462" s="4"/>
      <c r="U462" s="4"/>
      <c r="V462" s="4"/>
      <c r="W462" s="4"/>
      <c r="X462" s="4"/>
      <c r="Y462" s="4"/>
      <c r="Z462" s="4"/>
      <c r="AA462" s="4"/>
      <c r="AB462" s="4"/>
      <c r="AC462" s="4"/>
      <c r="AD462" s="4"/>
      <c r="AE462" s="4"/>
      <c r="AF462" s="4"/>
      <c r="AG462" s="4"/>
      <c r="AH462" s="4"/>
      <c r="AI462" s="4"/>
      <c r="AJ462" s="4"/>
      <c r="AK462" s="4"/>
    </row>
    <row r="463" ht="13.5" customHeight="1" spans="1:37" x14ac:dyDescent="0.25">
      <c r="A463" s="344"/>
      <c r="B463" s="4"/>
      <c r="C463" s="4"/>
      <c r="D463" s="4"/>
      <c r="E463" s="4"/>
      <c r="F463" s="4"/>
      <c r="G463" s="4"/>
      <c r="H463" s="4"/>
      <c r="I463" s="4"/>
      <c r="J463" s="4"/>
      <c r="K463" s="4"/>
      <c r="L463" s="4"/>
      <c r="M463" s="4"/>
      <c r="N463" s="4"/>
      <c r="O463" s="4"/>
      <c r="P463" s="4"/>
      <c r="Q463" s="4"/>
      <c r="R463" s="4"/>
      <c r="S463" s="4"/>
      <c r="T463" s="4"/>
      <c r="U463" s="4"/>
      <c r="V463" s="4"/>
      <c r="W463" s="4"/>
      <c r="X463" s="4"/>
      <c r="Y463" s="4"/>
      <c r="Z463" s="4"/>
      <c r="AA463" s="4"/>
      <c r="AB463" s="4"/>
      <c r="AC463" s="4"/>
      <c r="AD463" s="4"/>
      <c r="AE463" s="4"/>
      <c r="AF463" s="4"/>
      <c r="AG463" s="4"/>
      <c r="AH463" s="4"/>
      <c r="AI463" s="4"/>
      <c r="AJ463" s="4"/>
      <c r="AK463" s="4"/>
    </row>
    <row r="464" ht="13.5" customHeight="1" spans="1:37" x14ac:dyDescent="0.25">
      <c r="A464" s="344"/>
      <c r="B464" s="4"/>
      <c r="C464" s="4"/>
      <c r="D464" s="4"/>
      <c r="E464" s="4"/>
      <c r="F464" s="4"/>
      <c r="G464" s="4"/>
      <c r="H464" s="4"/>
      <c r="I464" s="4"/>
      <c r="J464" s="4"/>
      <c r="K464" s="4"/>
      <c r="L464" s="4"/>
      <c r="M464" s="4"/>
      <c r="N464" s="4"/>
      <c r="O464" s="4"/>
      <c r="P464" s="4"/>
      <c r="Q464" s="4"/>
      <c r="R464" s="4"/>
      <c r="S464" s="4"/>
      <c r="T464" s="4"/>
      <c r="U464" s="4"/>
      <c r="V464" s="4"/>
      <c r="W464" s="4"/>
      <c r="X464" s="4"/>
      <c r="Y464" s="4"/>
      <c r="Z464" s="4"/>
      <c r="AA464" s="4"/>
      <c r="AB464" s="4"/>
      <c r="AC464" s="4"/>
      <c r="AD464" s="4"/>
      <c r="AE464" s="4"/>
      <c r="AF464" s="4"/>
      <c r="AG464" s="4"/>
      <c r="AH464" s="4"/>
      <c r="AI464" s="4"/>
      <c r="AJ464" s="4"/>
      <c r="AK464" s="4"/>
    </row>
    <row r="465" ht="13.5" customHeight="1" spans="1:37" x14ac:dyDescent="0.25">
      <c r="A465" s="344"/>
      <c r="B465" s="4"/>
      <c r="C465" s="4"/>
      <c r="D465" s="4"/>
      <c r="E465" s="4"/>
      <c r="F465" s="4"/>
      <c r="G465" s="4"/>
      <c r="H465" s="4"/>
      <c r="I465" s="4"/>
      <c r="J465" s="4"/>
      <c r="K465" s="4"/>
      <c r="L465" s="4"/>
      <c r="M465" s="4"/>
      <c r="N465" s="4"/>
      <c r="O465" s="4"/>
      <c r="P465" s="4"/>
      <c r="Q465" s="4"/>
      <c r="R465" s="4"/>
      <c r="S465" s="4"/>
      <c r="T465" s="4"/>
      <c r="U465" s="4"/>
      <c r="V465" s="4"/>
      <c r="W465" s="4"/>
      <c r="X465" s="4"/>
      <c r="Y465" s="4"/>
      <c r="Z465" s="4"/>
      <c r="AA465" s="4"/>
      <c r="AB465" s="4"/>
      <c r="AC465" s="4"/>
      <c r="AD465" s="4"/>
      <c r="AE465" s="4"/>
      <c r="AF465" s="4"/>
      <c r="AG465" s="4"/>
      <c r="AH465" s="4"/>
      <c r="AI465" s="4"/>
      <c r="AJ465" s="4"/>
      <c r="AK465" s="4"/>
    </row>
    <row r="466" ht="13.5" customHeight="1" spans="1:37" x14ac:dyDescent="0.25">
      <c r="A466" s="344"/>
      <c r="B466" s="4"/>
      <c r="C466" s="4"/>
      <c r="D466" s="4"/>
      <c r="E466" s="4"/>
      <c r="F466" s="4"/>
      <c r="G466" s="4"/>
      <c r="H466" s="4"/>
      <c r="I466" s="4"/>
      <c r="J466" s="4"/>
      <c r="K466" s="4"/>
      <c r="L466" s="4"/>
      <c r="M466" s="4"/>
      <c r="N466" s="4"/>
      <c r="O466" s="4"/>
      <c r="P466" s="4"/>
      <c r="Q466" s="4"/>
      <c r="R466" s="4"/>
      <c r="S466" s="4"/>
      <c r="T466" s="4"/>
      <c r="U466" s="4"/>
      <c r="V466" s="4"/>
      <c r="W466" s="4"/>
      <c r="X466" s="4"/>
      <c r="Y466" s="4"/>
      <c r="Z466" s="4"/>
      <c r="AA466" s="4"/>
      <c r="AB466" s="4"/>
      <c r="AC466" s="4"/>
      <c r="AD466" s="4"/>
      <c r="AE466" s="4"/>
      <c r="AF466" s="4"/>
      <c r="AG466" s="4"/>
      <c r="AH466" s="4"/>
      <c r="AI466" s="4"/>
      <c r="AJ466" s="4"/>
      <c r="AK466" s="4"/>
    </row>
    <row r="467" ht="13.5" customHeight="1" spans="1:37" x14ac:dyDescent="0.25">
      <c r="A467" s="344"/>
      <c r="B467" s="4"/>
      <c r="C467" s="4"/>
      <c r="D467" s="4"/>
      <c r="E467" s="4"/>
      <c r="F467" s="4"/>
      <c r="G467" s="4"/>
      <c r="H467" s="4"/>
      <c r="I467" s="4"/>
      <c r="J467" s="4"/>
      <c r="K467" s="4"/>
      <c r="L467" s="4"/>
      <c r="M467" s="4"/>
      <c r="N467" s="4"/>
      <c r="O467" s="4"/>
      <c r="P467" s="4"/>
      <c r="Q467" s="4"/>
      <c r="R467" s="4"/>
      <c r="S467" s="4"/>
      <c r="T467" s="4"/>
      <c r="U467" s="4"/>
      <c r="V467" s="4"/>
      <c r="W467" s="4"/>
      <c r="X467" s="4"/>
      <c r="Y467" s="4"/>
      <c r="Z467" s="4"/>
      <c r="AA467" s="4"/>
      <c r="AB467" s="4"/>
      <c r="AC467" s="4"/>
      <c r="AD467" s="4"/>
      <c r="AE467" s="4"/>
      <c r="AF467" s="4"/>
      <c r="AG467" s="4"/>
      <c r="AH467" s="4"/>
      <c r="AI467" s="4"/>
      <c r="AJ467" s="4"/>
      <c r="AK467" s="4"/>
    </row>
    <row r="468" ht="13.5" customHeight="1" spans="1:37" x14ac:dyDescent="0.25">
      <c r="A468" s="344"/>
      <c r="B468" s="4"/>
      <c r="C468" s="4"/>
      <c r="D468" s="4"/>
      <c r="E468" s="4"/>
      <c r="F468" s="4"/>
      <c r="G468" s="4"/>
      <c r="H468" s="4"/>
      <c r="I468" s="4"/>
      <c r="J468" s="4"/>
      <c r="K468" s="4"/>
      <c r="L468" s="4"/>
      <c r="M468" s="4"/>
      <c r="N468" s="4"/>
      <c r="O468" s="4"/>
      <c r="P468" s="4"/>
      <c r="Q468" s="4"/>
      <c r="R468" s="4"/>
      <c r="S468" s="4"/>
      <c r="T468" s="4"/>
      <c r="U468" s="4"/>
      <c r="V468" s="4"/>
      <c r="W468" s="4"/>
      <c r="X468" s="4"/>
      <c r="Y468" s="4"/>
      <c r="Z468" s="4"/>
      <c r="AA468" s="4"/>
      <c r="AB468" s="4"/>
      <c r="AC468" s="4"/>
      <c r="AD468" s="4"/>
      <c r="AE468" s="4"/>
      <c r="AF468" s="4"/>
      <c r="AG468" s="4"/>
      <c r="AH468" s="4"/>
      <c r="AI468" s="4"/>
      <c r="AJ468" s="4"/>
      <c r="AK468" s="4"/>
    </row>
    <row r="469" ht="13.5" customHeight="1" spans="1:37" x14ac:dyDescent="0.25">
      <c r="A469" s="344"/>
      <c r="B469" s="4"/>
      <c r="C469" s="4"/>
      <c r="D469" s="4"/>
      <c r="E469" s="4"/>
      <c r="F469" s="4"/>
      <c r="G469" s="4"/>
      <c r="H469" s="4"/>
      <c r="I469" s="4"/>
      <c r="J469" s="4"/>
      <c r="K469" s="4"/>
      <c r="L469" s="4"/>
      <c r="M469" s="4"/>
      <c r="N469" s="4"/>
      <c r="O469" s="4"/>
      <c r="P469" s="4"/>
      <c r="Q469" s="4"/>
      <c r="R469" s="4"/>
      <c r="S469" s="4"/>
      <c r="T469" s="4"/>
      <c r="U469" s="4"/>
      <c r="V469" s="4"/>
      <c r="W469" s="4"/>
      <c r="X469" s="4"/>
      <c r="Y469" s="4"/>
      <c r="Z469" s="4"/>
      <c r="AA469" s="4"/>
      <c r="AB469" s="4"/>
      <c r="AC469" s="4"/>
      <c r="AD469" s="4"/>
      <c r="AE469" s="4"/>
      <c r="AF469" s="4"/>
      <c r="AG469" s="4"/>
      <c r="AH469" s="4"/>
      <c r="AI469" s="4"/>
      <c r="AJ469" s="4"/>
      <c r="AK469" s="4"/>
    </row>
    <row r="470" ht="13.5" customHeight="1" spans="1:37" x14ac:dyDescent="0.25">
      <c r="A470" s="344"/>
      <c r="B470" s="4"/>
      <c r="C470" s="4"/>
      <c r="D470" s="4"/>
      <c r="E470" s="4"/>
      <c r="F470" s="4"/>
      <c r="G470" s="4"/>
      <c r="H470" s="4"/>
      <c r="I470" s="4"/>
      <c r="J470" s="4"/>
      <c r="K470" s="4"/>
      <c r="L470" s="4"/>
      <c r="M470" s="4"/>
      <c r="N470" s="4"/>
      <c r="O470" s="4"/>
      <c r="P470" s="4"/>
      <c r="Q470" s="4"/>
      <c r="R470" s="4"/>
      <c r="S470" s="4"/>
      <c r="T470" s="4"/>
      <c r="U470" s="4"/>
      <c r="V470" s="4"/>
      <c r="W470" s="4"/>
      <c r="X470" s="4"/>
      <c r="Y470" s="4"/>
      <c r="Z470" s="4"/>
      <c r="AA470" s="4"/>
      <c r="AB470" s="4"/>
      <c r="AC470" s="4"/>
      <c r="AD470" s="4"/>
      <c r="AE470" s="4"/>
      <c r="AF470" s="4"/>
      <c r="AG470" s="4"/>
      <c r="AH470" s="4"/>
      <c r="AI470" s="4"/>
      <c r="AJ470" s="4"/>
      <c r="AK470" s="4"/>
    </row>
    <row r="471" ht="13.5" customHeight="1" spans="1:37" x14ac:dyDescent="0.25">
      <c r="A471" s="344"/>
      <c r="B471" s="4"/>
      <c r="C471" s="4"/>
      <c r="D471" s="4"/>
      <c r="E471" s="4"/>
      <c r="F471" s="4"/>
      <c r="G471" s="4"/>
      <c r="H471" s="4"/>
      <c r="I471" s="4"/>
      <c r="J471" s="4"/>
      <c r="K471" s="4"/>
      <c r="L471" s="4"/>
      <c r="M471" s="4"/>
      <c r="N471" s="4"/>
      <c r="O471" s="4"/>
      <c r="P471" s="4"/>
      <c r="Q471" s="4"/>
      <c r="R471" s="4"/>
      <c r="S471" s="4"/>
      <c r="T471" s="4"/>
      <c r="U471" s="4"/>
      <c r="V471" s="4"/>
      <c r="W471" s="4"/>
      <c r="X471" s="4"/>
      <c r="Y471" s="4"/>
      <c r="Z471" s="4"/>
      <c r="AA471" s="4"/>
      <c r="AB471" s="4"/>
      <c r="AC471" s="4"/>
      <c r="AD471" s="4"/>
      <c r="AE471" s="4"/>
      <c r="AF471" s="4"/>
      <c r="AG471" s="4"/>
      <c r="AH471" s="4"/>
      <c r="AI471" s="4"/>
      <c r="AJ471" s="4"/>
      <c r="AK471" s="4"/>
    </row>
    <row r="472" ht="13.5" customHeight="1" spans="1:37" x14ac:dyDescent="0.25">
      <c r="A472" s="344"/>
      <c r="B472" s="4"/>
      <c r="C472" s="4"/>
      <c r="D472" s="4"/>
      <c r="E472" s="4"/>
      <c r="F472" s="4"/>
      <c r="G472" s="4"/>
      <c r="H472" s="4"/>
      <c r="I472" s="4"/>
      <c r="J472" s="4"/>
      <c r="K472" s="4"/>
      <c r="L472" s="4"/>
      <c r="M472" s="4"/>
      <c r="N472" s="4"/>
      <c r="O472" s="4"/>
      <c r="P472" s="4"/>
      <c r="Q472" s="4"/>
      <c r="R472" s="4"/>
      <c r="S472" s="4"/>
      <c r="T472" s="4"/>
      <c r="U472" s="4"/>
      <c r="V472" s="4"/>
      <c r="W472" s="4"/>
      <c r="X472" s="4"/>
      <c r="Y472" s="4"/>
      <c r="Z472" s="4"/>
      <c r="AA472" s="4"/>
      <c r="AB472" s="4"/>
      <c r="AC472" s="4"/>
      <c r="AD472" s="4"/>
      <c r="AE472" s="4"/>
      <c r="AF472" s="4"/>
      <c r="AG472" s="4"/>
      <c r="AH472" s="4"/>
      <c r="AI472" s="4"/>
      <c r="AJ472" s="4"/>
      <c r="AK472" s="4"/>
    </row>
    <row r="473" ht="13.5" customHeight="1" spans="1:37" x14ac:dyDescent="0.25">
      <c r="A473" s="344"/>
      <c r="B473" s="4"/>
      <c r="C473" s="4"/>
      <c r="D473" s="4"/>
      <c r="E473" s="4"/>
      <c r="F473" s="4"/>
      <c r="G473" s="4"/>
      <c r="H473" s="4"/>
      <c r="I473" s="4"/>
      <c r="J473" s="4"/>
      <c r="K473" s="4"/>
      <c r="L473" s="4"/>
      <c r="M473" s="4"/>
      <c r="N473" s="4"/>
      <c r="O473" s="4"/>
      <c r="P473" s="4"/>
      <c r="Q473" s="4"/>
      <c r="R473" s="4"/>
      <c r="S473" s="4"/>
      <c r="T473" s="4"/>
      <c r="U473" s="4"/>
      <c r="V473" s="4"/>
      <c r="W473" s="4"/>
      <c r="X473" s="4"/>
      <c r="Y473" s="4"/>
      <c r="Z473" s="4"/>
      <c r="AA473" s="4"/>
      <c r="AB473" s="4"/>
      <c r="AC473" s="4"/>
      <c r="AD473" s="4"/>
      <c r="AE473" s="4"/>
      <c r="AF473" s="4"/>
      <c r="AG473" s="4"/>
      <c r="AH473" s="4"/>
      <c r="AI473" s="4"/>
      <c r="AJ473" s="4"/>
      <c r="AK473" s="4"/>
    </row>
    <row r="474" ht="13.5" customHeight="1" spans="1:37" x14ac:dyDescent="0.25">
      <c r="A474" s="344"/>
      <c r="B474" s="4"/>
      <c r="C474" s="4"/>
      <c r="D474" s="4"/>
      <c r="E474" s="4"/>
      <c r="F474" s="4"/>
      <c r="G474" s="4"/>
      <c r="H474" s="4"/>
      <c r="I474" s="4"/>
      <c r="J474" s="4"/>
      <c r="K474" s="4"/>
      <c r="L474" s="4"/>
      <c r="M474" s="4"/>
      <c r="N474" s="4"/>
      <c r="O474" s="4"/>
      <c r="P474" s="4"/>
      <c r="Q474" s="4"/>
      <c r="R474" s="4"/>
      <c r="S474" s="4"/>
      <c r="T474" s="4"/>
      <c r="U474" s="4"/>
      <c r="V474" s="4"/>
      <c r="W474" s="4"/>
      <c r="X474" s="4"/>
      <c r="Y474" s="4"/>
      <c r="Z474" s="4"/>
      <c r="AA474" s="4"/>
      <c r="AB474" s="4"/>
      <c r="AC474" s="4"/>
      <c r="AD474" s="4"/>
      <c r="AE474" s="4"/>
      <c r="AF474" s="4"/>
      <c r="AG474" s="4"/>
      <c r="AH474" s="4"/>
      <c r="AI474" s="4"/>
      <c r="AJ474" s="4"/>
      <c r="AK474" s="4"/>
    </row>
    <row r="475" ht="13.5" customHeight="1" spans="1:37" x14ac:dyDescent="0.25">
      <c r="A475" s="344"/>
      <c r="B475" s="4"/>
      <c r="C475" s="4"/>
      <c r="D475" s="4"/>
      <c r="E475" s="4"/>
      <c r="F475" s="4"/>
      <c r="G475" s="4"/>
      <c r="H475" s="4"/>
      <c r="I475" s="4"/>
      <c r="J475" s="4"/>
      <c r="K475" s="4"/>
      <c r="L475" s="4"/>
      <c r="M475" s="4"/>
      <c r="N475" s="4"/>
      <c r="O475" s="4"/>
      <c r="P475" s="4"/>
      <c r="Q475" s="4"/>
      <c r="R475" s="4"/>
      <c r="S475" s="4"/>
      <c r="T475" s="4"/>
      <c r="U475" s="4"/>
      <c r="V475" s="4"/>
      <c r="W475" s="4"/>
      <c r="X475" s="4"/>
      <c r="Y475" s="4"/>
      <c r="Z475" s="4"/>
      <c r="AA475" s="4"/>
      <c r="AB475" s="4"/>
      <c r="AC475" s="4"/>
      <c r="AD475" s="4"/>
      <c r="AE475" s="4"/>
      <c r="AF475" s="4"/>
      <c r="AG475" s="4"/>
      <c r="AH475" s="4"/>
      <c r="AI475" s="4"/>
      <c r="AJ475" s="4"/>
      <c r="AK475" s="4"/>
    </row>
    <row r="476" ht="13.5" customHeight="1" spans="1:37" x14ac:dyDescent="0.25">
      <c r="A476" s="344"/>
      <c r="B476" s="4"/>
      <c r="C476" s="4"/>
      <c r="D476" s="4"/>
      <c r="E476" s="4"/>
      <c r="F476" s="4"/>
      <c r="G476" s="4"/>
      <c r="H476" s="4"/>
      <c r="I476" s="4"/>
      <c r="J476" s="4"/>
      <c r="K476" s="4"/>
      <c r="L476" s="4"/>
      <c r="M476" s="4"/>
      <c r="N476" s="4"/>
      <c r="O476" s="4"/>
      <c r="P476" s="4"/>
      <c r="Q476" s="4"/>
      <c r="R476" s="4"/>
      <c r="S476" s="4"/>
      <c r="T476" s="4"/>
      <c r="U476" s="4"/>
      <c r="V476" s="4"/>
      <c r="W476" s="4"/>
      <c r="X476" s="4"/>
      <c r="Y476" s="4"/>
      <c r="Z476" s="4"/>
      <c r="AA476" s="4"/>
      <c r="AB476" s="4"/>
      <c r="AC476" s="4"/>
      <c r="AD476" s="4"/>
      <c r="AE476" s="4"/>
      <c r="AF476" s="4"/>
      <c r="AG476" s="4"/>
      <c r="AH476" s="4"/>
      <c r="AI476" s="4"/>
      <c r="AJ476" s="4"/>
      <c r="AK476" s="4"/>
    </row>
    <row r="477" ht="13.5" customHeight="1" spans="1:37" x14ac:dyDescent="0.25">
      <c r="A477" s="344"/>
      <c r="B477" s="4"/>
      <c r="C477" s="4"/>
      <c r="D477" s="4"/>
      <c r="E477" s="4"/>
      <c r="F477" s="4"/>
      <c r="G477" s="4"/>
      <c r="H477" s="4"/>
      <c r="I477" s="4"/>
      <c r="J477" s="4"/>
      <c r="K477" s="4"/>
      <c r="L477" s="4"/>
      <c r="M477" s="4"/>
      <c r="N477" s="4"/>
      <c r="O477" s="4"/>
      <c r="P477" s="4"/>
      <c r="Q477" s="4"/>
      <c r="R477" s="4"/>
      <c r="S477" s="4"/>
      <c r="T477" s="4"/>
      <c r="U477" s="4"/>
      <c r="V477" s="4"/>
      <c r="W477" s="4"/>
      <c r="X477" s="4"/>
      <c r="Y477" s="4"/>
      <c r="Z477" s="4"/>
      <c r="AA477" s="4"/>
      <c r="AB477" s="4"/>
      <c r="AC477" s="4"/>
      <c r="AD477" s="4"/>
      <c r="AE477" s="4"/>
      <c r="AF477" s="4"/>
      <c r="AG477" s="4"/>
      <c r="AH477" s="4"/>
      <c r="AI477" s="4"/>
      <c r="AJ477" s="4"/>
      <c r="AK477" s="4"/>
    </row>
    <row r="478" ht="13.5" customHeight="1" spans="1:37" x14ac:dyDescent="0.25">
      <c r="A478" s="344"/>
      <c r="B478" s="4"/>
      <c r="C478" s="4"/>
      <c r="D478" s="4"/>
      <c r="E478" s="4"/>
      <c r="F478" s="4"/>
      <c r="G478" s="4"/>
      <c r="H478" s="4"/>
      <c r="I478" s="4"/>
      <c r="J478" s="4"/>
      <c r="K478" s="4"/>
      <c r="L478" s="4"/>
      <c r="M478" s="4"/>
      <c r="N478" s="4"/>
      <c r="O478" s="4"/>
      <c r="P478" s="4"/>
      <c r="Q478" s="4"/>
      <c r="R478" s="4"/>
      <c r="S478" s="4"/>
      <c r="T478" s="4"/>
      <c r="U478" s="4"/>
      <c r="V478" s="4"/>
      <c r="W478" s="4"/>
      <c r="X478" s="4"/>
      <c r="Y478" s="4"/>
      <c r="Z478" s="4"/>
      <c r="AA478" s="4"/>
      <c r="AB478" s="4"/>
      <c r="AC478" s="4"/>
      <c r="AD478" s="4"/>
      <c r="AE478" s="4"/>
      <c r="AF478" s="4"/>
      <c r="AG478" s="4"/>
      <c r="AH478" s="4"/>
      <c r="AI478" s="4"/>
      <c r="AJ478" s="4"/>
      <c r="AK478" s="4"/>
    </row>
    <row r="479" ht="13.5" customHeight="1" spans="1:37" x14ac:dyDescent="0.25">
      <c r="A479" s="344"/>
      <c r="B479" s="4"/>
      <c r="C479" s="4"/>
      <c r="D479" s="4"/>
      <c r="E479" s="4"/>
      <c r="F479" s="4"/>
      <c r="G479" s="4"/>
      <c r="H479" s="4"/>
      <c r="I479" s="4"/>
      <c r="J479" s="4"/>
      <c r="K479" s="4"/>
      <c r="L479" s="4"/>
      <c r="M479" s="4"/>
      <c r="N479" s="4"/>
      <c r="O479" s="4"/>
      <c r="P479" s="4"/>
      <c r="Q479" s="4"/>
      <c r="R479" s="4"/>
      <c r="S479" s="4"/>
      <c r="T479" s="4"/>
      <c r="U479" s="4"/>
      <c r="V479" s="4"/>
      <c r="W479" s="4"/>
      <c r="X479" s="4"/>
      <c r="Y479" s="4"/>
      <c r="Z479" s="4"/>
      <c r="AA479" s="4"/>
      <c r="AB479" s="4"/>
      <c r="AC479" s="4"/>
      <c r="AD479" s="4"/>
      <c r="AE479" s="4"/>
      <c r="AF479" s="4"/>
      <c r="AG479" s="4"/>
      <c r="AH479" s="4"/>
      <c r="AI479" s="4"/>
      <c r="AJ479" s="4"/>
      <c r="AK479" s="4"/>
    </row>
    <row r="480" ht="13.5" customHeight="1" spans="1:37" x14ac:dyDescent="0.25">
      <c r="A480" s="344"/>
      <c r="B480" s="4"/>
      <c r="C480" s="4"/>
      <c r="D480" s="4"/>
      <c r="E480" s="4"/>
      <c r="F480" s="4"/>
      <c r="G480" s="4"/>
      <c r="H480" s="4"/>
      <c r="I480" s="4"/>
      <c r="J480" s="4"/>
      <c r="K480" s="4"/>
      <c r="L480" s="4"/>
      <c r="M480" s="4"/>
      <c r="N480" s="4"/>
      <c r="O480" s="4"/>
      <c r="P480" s="4"/>
      <c r="Q480" s="4"/>
      <c r="R480" s="4"/>
      <c r="S480" s="4"/>
      <c r="T480" s="4"/>
      <c r="U480" s="4"/>
      <c r="V480" s="4"/>
      <c r="W480" s="4"/>
      <c r="X480" s="4"/>
      <c r="Y480" s="4"/>
      <c r="Z480" s="4"/>
      <c r="AA480" s="4"/>
      <c r="AB480" s="4"/>
      <c r="AC480" s="4"/>
      <c r="AD480" s="4"/>
      <c r="AE480" s="4"/>
      <c r="AF480" s="4"/>
      <c r="AG480" s="4"/>
      <c r="AH480" s="4"/>
      <c r="AI480" s="4"/>
      <c r="AJ480" s="4"/>
      <c r="AK480" s="4"/>
    </row>
    <row r="481" ht="13.5" customHeight="1" spans="1:37" x14ac:dyDescent="0.25">
      <c r="A481" s="344"/>
      <c r="B481" s="4"/>
      <c r="C481" s="4"/>
      <c r="D481" s="4"/>
      <c r="E481" s="4"/>
      <c r="F481" s="4"/>
      <c r="G481" s="4"/>
      <c r="H481" s="4"/>
      <c r="I481" s="4"/>
      <c r="J481" s="4"/>
      <c r="K481" s="4"/>
      <c r="L481" s="4"/>
      <c r="M481" s="4"/>
      <c r="N481" s="4"/>
      <c r="O481" s="4"/>
      <c r="P481" s="4"/>
      <c r="Q481" s="4"/>
      <c r="R481" s="4"/>
      <c r="S481" s="4"/>
      <c r="T481" s="4"/>
      <c r="U481" s="4"/>
      <c r="V481" s="4"/>
      <c r="W481" s="4"/>
      <c r="X481" s="4"/>
      <c r="Y481" s="4"/>
      <c r="Z481" s="4"/>
      <c r="AA481" s="4"/>
      <c r="AB481" s="4"/>
      <c r="AC481" s="4"/>
      <c r="AD481" s="4"/>
      <c r="AE481" s="4"/>
      <c r="AF481" s="4"/>
      <c r="AG481" s="4"/>
      <c r="AH481" s="4"/>
      <c r="AI481" s="4"/>
      <c r="AJ481" s="4"/>
      <c r="AK481" s="4"/>
    </row>
    <row r="482" ht="13.5" customHeight="1" spans="1:37" x14ac:dyDescent="0.25">
      <c r="A482" s="344"/>
      <c r="B482" s="4"/>
      <c r="C482" s="4"/>
      <c r="D482" s="4"/>
      <c r="E482" s="4"/>
      <c r="F482" s="4"/>
      <c r="G482" s="4"/>
      <c r="H482" s="4"/>
      <c r="I482" s="4"/>
      <c r="J482" s="4"/>
      <c r="K482" s="4"/>
      <c r="L482" s="4"/>
      <c r="M482" s="4"/>
      <c r="N482" s="4"/>
      <c r="O482" s="4"/>
      <c r="P482" s="4"/>
      <c r="Q482" s="4"/>
      <c r="R482" s="4"/>
      <c r="S482" s="4"/>
      <c r="T482" s="4"/>
      <c r="U482" s="4"/>
      <c r="V482" s="4"/>
      <c r="W482" s="4"/>
      <c r="X482" s="4"/>
      <c r="Y482" s="4"/>
      <c r="Z482" s="4"/>
      <c r="AA482" s="4"/>
      <c r="AB482" s="4"/>
      <c r="AC482" s="4"/>
      <c r="AD482" s="4"/>
      <c r="AE482" s="4"/>
      <c r="AF482" s="4"/>
      <c r="AG482" s="4"/>
      <c r="AH482" s="4"/>
      <c r="AI482" s="4"/>
      <c r="AJ482" s="4"/>
      <c r="AK482" s="4"/>
    </row>
    <row r="483" ht="13.5" customHeight="1" spans="1:37" x14ac:dyDescent="0.25">
      <c r="A483" s="344"/>
      <c r="B483" s="4"/>
      <c r="C483" s="4"/>
      <c r="D483" s="4"/>
      <c r="E483" s="4"/>
      <c r="F483" s="4"/>
      <c r="G483" s="4"/>
      <c r="H483" s="4"/>
      <c r="I483" s="4"/>
      <c r="J483" s="4"/>
      <c r="K483" s="4"/>
      <c r="L483" s="4"/>
      <c r="M483" s="4"/>
      <c r="N483" s="4"/>
      <c r="O483" s="4"/>
      <c r="P483" s="4"/>
      <c r="Q483" s="4"/>
      <c r="R483" s="4"/>
      <c r="S483" s="4"/>
      <c r="T483" s="4"/>
      <c r="U483" s="4"/>
      <c r="V483" s="4"/>
      <c r="W483" s="4"/>
      <c r="X483" s="4"/>
      <c r="Y483" s="4"/>
      <c r="Z483" s="4"/>
      <c r="AA483" s="4"/>
      <c r="AB483" s="4"/>
      <c r="AC483" s="4"/>
      <c r="AD483" s="4"/>
      <c r="AE483" s="4"/>
      <c r="AF483" s="4"/>
      <c r="AG483" s="4"/>
      <c r="AH483" s="4"/>
      <c r="AI483" s="4"/>
      <c r="AJ483" s="4"/>
      <c r="AK483" s="4"/>
    </row>
    <row r="484" ht="13.5" customHeight="1" spans="1:37" x14ac:dyDescent="0.25">
      <c r="A484" s="344"/>
      <c r="B484" s="4"/>
      <c r="C484" s="4"/>
      <c r="D484" s="4"/>
      <c r="E484" s="4"/>
      <c r="F484" s="4"/>
      <c r="G484" s="4"/>
      <c r="H484" s="4"/>
      <c r="I484" s="4"/>
      <c r="J484" s="4"/>
      <c r="K484" s="4"/>
      <c r="L484" s="4"/>
      <c r="M484" s="4"/>
      <c r="N484" s="4"/>
      <c r="O484" s="4"/>
      <c r="P484" s="4"/>
      <c r="Q484" s="4"/>
      <c r="R484" s="4"/>
      <c r="S484" s="4"/>
      <c r="T484" s="4"/>
      <c r="U484" s="4"/>
      <c r="V484" s="4"/>
      <c r="W484" s="4"/>
      <c r="X484" s="4"/>
      <c r="Y484" s="4"/>
      <c r="Z484" s="4"/>
      <c r="AA484" s="4"/>
      <c r="AB484" s="4"/>
      <c r="AC484" s="4"/>
      <c r="AD484" s="4"/>
      <c r="AE484" s="4"/>
      <c r="AF484" s="4"/>
      <c r="AG484" s="4"/>
      <c r="AH484" s="4"/>
      <c r="AI484" s="4"/>
      <c r="AJ484" s="4"/>
      <c r="AK484" s="4"/>
    </row>
    <row r="485" ht="13.5" customHeight="1" spans="1:37" x14ac:dyDescent="0.25">
      <c r="A485" s="344"/>
      <c r="B485" s="4"/>
      <c r="C485" s="4"/>
      <c r="D485" s="4"/>
      <c r="E485" s="4"/>
      <c r="F485" s="4"/>
      <c r="G485" s="4"/>
      <c r="H485" s="4"/>
      <c r="I485" s="4"/>
      <c r="J485" s="4"/>
      <c r="K485" s="4"/>
      <c r="L485" s="4"/>
      <c r="M485" s="4"/>
      <c r="N485" s="4"/>
      <c r="O485" s="4"/>
      <c r="P485" s="4"/>
      <c r="Q485" s="4"/>
      <c r="R485" s="4"/>
      <c r="S485" s="4"/>
      <c r="T485" s="4"/>
      <c r="U485" s="4"/>
      <c r="V485" s="4"/>
      <c r="W485" s="4"/>
      <c r="X485" s="4"/>
      <c r="Y485" s="4"/>
      <c r="Z485" s="4"/>
      <c r="AA485" s="4"/>
      <c r="AB485" s="4"/>
      <c r="AC485" s="4"/>
      <c r="AD485" s="4"/>
      <c r="AE485" s="4"/>
      <c r="AF485" s="4"/>
      <c r="AG485" s="4"/>
      <c r="AH485" s="4"/>
      <c r="AI485" s="4"/>
      <c r="AJ485" s="4"/>
      <c r="AK485" s="4"/>
    </row>
    <row r="486" ht="13.5" customHeight="1" spans="1:37" x14ac:dyDescent="0.25">
      <c r="A486" s="344"/>
      <c r="B486" s="4"/>
      <c r="C486" s="4"/>
      <c r="D486" s="4"/>
      <c r="E486" s="4"/>
      <c r="F486" s="4"/>
      <c r="G486" s="4"/>
      <c r="H486" s="4"/>
      <c r="I486" s="4"/>
      <c r="J486" s="4"/>
      <c r="K486" s="4"/>
      <c r="L486" s="4"/>
      <c r="M486" s="4"/>
      <c r="N486" s="4"/>
      <c r="O486" s="4"/>
      <c r="P486" s="4"/>
      <c r="Q486" s="4"/>
      <c r="R486" s="4"/>
      <c r="S486" s="4"/>
      <c r="T486" s="4"/>
      <c r="U486" s="4"/>
      <c r="V486" s="4"/>
      <c r="W486" s="4"/>
      <c r="X486" s="4"/>
      <c r="Y486" s="4"/>
      <c r="Z486" s="4"/>
      <c r="AA486" s="4"/>
      <c r="AB486" s="4"/>
      <c r="AC486" s="4"/>
      <c r="AD486" s="4"/>
      <c r="AE486" s="4"/>
      <c r="AF486" s="4"/>
      <c r="AG486" s="4"/>
      <c r="AH486" s="4"/>
      <c r="AI486" s="4"/>
      <c r="AJ486" s="4"/>
      <c r="AK486" s="4"/>
    </row>
    <row r="487" ht="13.5" customHeight="1" spans="1:37" x14ac:dyDescent="0.25">
      <c r="A487" s="344"/>
      <c r="B487" s="4"/>
      <c r="C487" s="4"/>
      <c r="D487" s="4"/>
      <c r="E487" s="4"/>
      <c r="F487" s="4"/>
      <c r="G487" s="4"/>
      <c r="H487" s="4"/>
      <c r="I487" s="4"/>
      <c r="J487" s="4"/>
      <c r="K487" s="4"/>
      <c r="L487" s="4"/>
      <c r="M487" s="4"/>
      <c r="N487" s="4"/>
      <c r="O487" s="4"/>
      <c r="P487" s="4"/>
      <c r="Q487" s="4"/>
      <c r="R487" s="4"/>
      <c r="S487" s="4"/>
      <c r="T487" s="4"/>
      <c r="U487" s="4"/>
      <c r="V487" s="4"/>
      <c r="W487" s="4"/>
      <c r="X487" s="4"/>
      <c r="Y487" s="4"/>
      <c r="Z487" s="4"/>
      <c r="AA487" s="4"/>
      <c r="AB487" s="4"/>
      <c r="AC487" s="4"/>
      <c r="AD487" s="4"/>
      <c r="AE487" s="4"/>
      <c r="AF487" s="4"/>
      <c r="AG487" s="4"/>
      <c r="AH487" s="4"/>
      <c r="AI487" s="4"/>
      <c r="AJ487" s="4"/>
      <c r="AK487" s="4"/>
    </row>
    <row r="488" ht="13.5" customHeight="1" spans="1:37" x14ac:dyDescent="0.25">
      <c r="A488" s="344"/>
      <c r="B488" s="4"/>
      <c r="C488" s="4"/>
      <c r="D488" s="4"/>
      <c r="E488" s="4"/>
      <c r="F488" s="4"/>
      <c r="G488" s="4"/>
      <c r="H488" s="4"/>
      <c r="I488" s="4"/>
      <c r="J488" s="4"/>
      <c r="K488" s="4"/>
      <c r="L488" s="4"/>
      <c r="M488" s="4"/>
      <c r="N488" s="4"/>
      <c r="O488" s="4"/>
      <c r="P488" s="4"/>
      <c r="Q488" s="4"/>
      <c r="R488" s="4"/>
      <c r="S488" s="4"/>
      <c r="T488" s="4"/>
      <c r="U488" s="4"/>
      <c r="V488" s="4"/>
      <c r="W488" s="4"/>
      <c r="X488" s="4"/>
      <c r="Y488" s="4"/>
      <c r="Z488" s="4"/>
      <c r="AA488" s="4"/>
      <c r="AB488" s="4"/>
      <c r="AC488" s="4"/>
      <c r="AD488" s="4"/>
      <c r="AE488" s="4"/>
      <c r="AF488" s="4"/>
      <c r="AG488" s="4"/>
      <c r="AH488" s="4"/>
      <c r="AI488" s="4"/>
      <c r="AJ488" s="4"/>
      <c r="AK488" s="4"/>
    </row>
    <row r="489" ht="13.5" customHeight="1" spans="1:37" x14ac:dyDescent="0.25">
      <c r="A489" s="344"/>
      <c r="B489" s="4"/>
      <c r="C489" s="4"/>
      <c r="D489" s="4"/>
      <c r="E489" s="4"/>
      <c r="F489" s="4"/>
      <c r="G489" s="4"/>
      <c r="H489" s="4"/>
      <c r="I489" s="4"/>
      <c r="J489" s="4"/>
      <c r="K489" s="4"/>
      <c r="L489" s="4"/>
      <c r="M489" s="4"/>
      <c r="N489" s="4"/>
      <c r="O489" s="4"/>
      <c r="P489" s="4"/>
      <c r="Q489" s="4"/>
      <c r="R489" s="4"/>
      <c r="S489" s="4"/>
      <c r="T489" s="4"/>
      <c r="U489" s="4"/>
      <c r="V489" s="4"/>
      <c r="W489" s="4"/>
      <c r="X489" s="4"/>
      <c r="Y489" s="4"/>
      <c r="Z489" s="4"/>
      <c r="AA489" s="4"/>
      <c r="AB489" s="4"/>
      <c r="AC489" s="4"/>
      <c r="AD489" s="4"/>
      <c r="AE489" s="4"/>
      <c r="AF489" s="4"/>
      <c r="AG489" s="4"/>
      <c r="AH489" s="4"/>
      <c r="AI489" s="4"/>
      <c r="AJ489" s="4"/>
      <c r="AK489" s="4"/>
    </row>
    <row r="490" ht="13.5" customHeight="1" spans="1:37" x14ac:dyDescent="0.25">
      <c r="A490" s="344"/>
      <c r="B490" s="4"/>
      <c r="C490" s="4"/>
      <c r="D490" s="4"/>
      <c r="E490" s="4"/>
      <c r="F490" s="4"/>
      <c r="G490" s="4"/>
      <c r="H490" s="4"/>
      <c r="I490" s="4"/>
      <c r="J490" s="4"/>
      <c r="K490" s="4"/>
      <c r="L490" s="4"/>
      <c r="M490" s="4"/>
      <c r="N490" s="4"/>
      <c r="O490" s="4"/>
      <c r="P490" s="4"/>
      <c r="Q490" s="4"/>
      <c r="R490" s="4"/>
      <c r="S490" s="4"/>
      <c r="T490" s="4"/>
      <c r="U490" s="4"/>
      <c r="V490" s="4"/>
      <c r="W490" s="4"/>
      <c r="X490" s="4"/>
      <c r="Y490" s="4"/>
      <c r="Z490" s="4"/>
      <c r="AA490" s="4"/>
      <c r="AB490" s="4"/>
      <c r="AC490" s="4"/>
      <c r="AD490" s="4"/>
      <c r="AE490" s="4"/>
      <c r="AF490" s="4"/>
      <c r="AG490" s="4"/>
      <c r="AH490" s="4"/>
      <c r="AI490" s="4"/>
      <c r="AJ490" s="4"/>
      <c r="AK490" s="4"/>
    </row>
    <row r="491" ht="13.5" customHeight="1" spans="1:37" x14ac:dyDescent="0.25">
      <c r="A491" s="344"/>
      <c r="B491" s="4"/>
      <c r="C491" s="4"/>
      <c r="D491" s="4"/>
      <c r="E491" s="4"/>
      <c r="F491" s="4"/>
      <c r="G491" s="4"/>
      <c r="H491" s="4"/>
      <c r="I491" s="4"/>
      <c r="J491" s="4"/>
      <c r="K491" s="4"/>
      <c r="L491" s="4"/>
      <c r="M491" s="4"/>
      <c r="N491" s="4"/>
      <c r="O491" s="4"/>
      <c r="P491" s="4"/>
      <c r="Q491" s="4"/>
      <c r="R491" s="4"/>
      <c r="S491" s="4"/>
      <c r="T491" s="4"/>
      <c r="U491" s="4"/>
      <c r="V491" s="4"/>
      <c r="W491" s="4"/>
      <c r="X491" s="4"/>
      <c r="Y491" s="4"/>
      <c r="Z491" s="4"/>
      <c r="AA491" s="4"/>
      <c r="AB491" s="4"/>
      <c r="AC491" s="4"/>
      <c r="AD491" s="4"/>
      <c r="AE491" s="4"/>
      <c r="AF491" s="4"/>
      <c r="AG491" s="4"/>
      <c r="AH491" s="4"/>
      <c r="AI491" s="4"/>
      <c r="AJ491" s="4"/>
      <c r="AK491" s="4"/>
    </row>
    <row r="492" ht="13.5" customHeight="1" spans="1:37" x14ac:dyDescent="0.25">
      <c r="A492" s="344"/>
      <c r="B492" s="4"/>
      <c r="C492" s="4"/>
      <c r="D492" s="4"/>
      <c r="E492" s="4"/>
      <c r="F492" s="4"/>
      <c r="G492" s="4"/>
      <c r="H492" s="4"/>
      <c r="I492" s="4"/>
      <c r="J492" s="4"/>
      <c r="K492" s="4"/>
      <c r="L492" s="4"/>
      <c r="M492" s="4"/>
      <c r="N492" s="4"/>
      <c r="O492" s="4"/>
      <c r="P492" s="4"/>
      <c r="Q492" s="4"/>
      <c r="R492" s="4"/>
      <c r="S492" s="4"/>
      <c r="T492" s="4"/>
      <c r="U492" s="4"/>
      <c r="V492" s="4"/>
      <c r="W492" s="4"/>
      <c r="X492" s="4"/>
      <c r="Y492" s="4"/>
      <c r="Z492" s="4"/>
      <c r="AA492" s="4"/>
      <c r="AB492" s="4"/>
      <c r="AC492" s="4"/>
      <c r="AD492" s="4"/>
      <c r="AE492" s="4"/>
      <c r="AF492" s="4"/>
      <c r="AG492" s="4"/>
      <c r="AH492" s="4"/>
      <c r="AI492" s="4"/>
      <c r="AJ492" s="4"/>
      <c r="AK492" s="4"/>
    </row>
    <row r="493" ht="13.5" customHeight="1" spans="1:37" x14ac:dyDescent="0.25">
      <c r="A493" s="344"/>
      <c r="B493" s="4"/>
      <c r="C493" s="4"/>
      <c r="D493" s="4"/>
      <c r="E493" s="4"/>
      <c r="F493" s="4"/>
      <c r="G493" s="4"/>
      <c r="H493" s="4"/>
      <c r="I493" s="4"/>
      <c r="J493" s="4"/>
      <c r="K493" s="4"/>
      <c r="L493" s="4"/>
      <c r="M493" s="4"/>
      <c r="N493" s="4"/>
      <c r="O493" s="4"/>
      <c r="P493" s="4"/>
      <c r="Q493" s="4"/>
      <c r="R493" s="4"/>
      <c r="S493" s="4"/>
      <c r="T493" s="4"/>
      <c r="U493" s="4"/>
      <c r="V493" s="4"/>
      <c r="W493" s="4"/>
      <c r="X493" s="4"/>
      <c r="Y493" s="4"/>
      <c r="Z493" s="4"/>
      <c r="AA493" s="4"/>
      <c r="AB493" s="4"/>
      <c r="AC493" s="4"/>
      <c r="AD493" s="4"/>
      <c r="AE493" s="4"/>
      <c r="AF493" s="4"/>
      <c r="AG493" s="4"/>
      <c r="AH493" s="4"/>
      <c r="AI493" s="4"/>
      <c r="AJ493" s="4"/>
      <c r="AK493" s="4"/>
    </row>
    <row r="494" ht="13.5" customHeight="1" spans="1:37" x14ac:dyDescent="0.25">
      <c r="A494" s="344"/>
      <c r="B494" s="4"/>
      <c r="C494" s="4"/>
      <c r="D494" s="4"/>
      <c r="E494" s="4"/>
      <c r="F494" s="4"/>
      <c r="G494" s="4"/>
      <c r="H494" s="4"/>
      <c r="I494" s="4"/>
      <c r="J494" s="4"/>
      <c r="K494" s="4"/>
      <c r="L494" s="4"/>
      <c r="M494" s="4"/>
      <c r="N494" s="4"/>
      <c r="O494" s="4"/>
      <c r="P494" s="4"/>
      <c r="Q494" s="4"/>
      <c r="R494" s="4"/>
      <c r="S494" s="4"/>
      <c r="T494" s="4"/>
      <c r="U494" s="4"/>
      <c r="V494" s="4"/>
      <c r="W494" s="4"/>
      <c r="X494" s="4"/>
      <c r="Y494" s="4"/>
      <c r="Z494" s="4"/>
      <c r="AA494" s="4"/>
      <c r="AB494" s="4"/>
      <c r="AC494" s="4"/>
      <c r="AD494" s="4"/>
      <c r="AE494" s="4"/>
      <c r="AF494" s="4"/>
      <c r="AG494" s="4"/>
      <c r="AH494" s="4"/>
      <c r="AI494" s="4"/>
      <c r="AJ494" s="4"/>
      <c r="AK494" s="4"/>
    </row>
    <row r="495" ht="13.5" customHeight="1" spans="1:37" x14ac:dyDescent="0.25">
      <c r="A495" s="344"/>
      <c r="B495" s="4"/>
      <c r="C495" s="4"/>
      <c r="D495" s="4"/>
      <c r="E495" s="4"/>
      <c r="F495" s="4"/>
      <c r="G495" s="4"/>
      <c r="H495" s="4"/>
      <c r="I495" s="4"/>
      <c r="J495" s="4"/>
      <c r="K495" s="4"/>
      <c r="L495" s="4"/>
      <c r="M495" s="4"/>
      <c r="N495" s="4"/>
      <c r="O495" s="4"/>
      <c r="P495" s="4"/>
      <c r="Q495" s="4"/>
      <c r="R495" s="4"/>
      <c r="S495" s="4"/>
      <c r="T495" s="4"/>
      <c r="U495" s="4"/>
      <c r="V495" s="4"/>
      <c r="W495" s="4"/>
      <c r="X495" s="4"/>
      <c r="Y495" s="4"/>
      <c r="Z495" s="4"/>
      <c r="AA495" s="4"/>
      <c r="AB495" s="4"/>
      <c r="AC495" s="4"/>
      <c r="AD495" s="4"/>
      <c r="AE495" s="4"/>
      <c r="AF495" s="4"/>
      <c r="AG495" s="4"/>
      <c r="AH495" s="4"/>
      <c r="AI495" s="4"/>
      <c r="AJ495" s="4"/>
      <c r="AK495" s="4"/>
    </row>
    <row r="496" ht="13.5" customHeight="1" spans="1:37" x14ac:dyDescent="0.25">
      <c r="A496" s="344"/>
      <c r="B496" s="4"/>
      <c r="C496" s="4"/>
      <c r="D496" s="4"/>
      <c r="E496" s="4"/>
      <c r="F496" s="4"/>
      <c r="G496" s="4"/>
      <c r="H496" s="4"/>
      <c r="I496" s="4"/>
      <c r="J496" s="4"/>
      <c r="K496" s="4"/>
      <c r="L496" s="4"/>
      <c r="M496" s="4"/>
      <c r="N496" s="4"/>
      <c r="O496" s="4"/>
      <c r="P496" s="4"/>
      <c r="Q496" s="4"/>
      <c r="R496" s="4"/>
      <c r="S496" s="4"/>
      <c r="T496" s="4"/>
      <c r="U496" s="4"/>
      <c r="V496" s="4"/>
      <c r="W496" s="4"/>
      <c r="X496" s="4"/>
      <c r="Y496" s="4"/>
      <c r="Z496" s="4"/>
      <c r="AA496" s="4"/>
      <c r="AB496" s="4"/>
      <c r="AC496" s="4"/>
      <c r="AD496" s="4"/>
      <c r="AE496" s="4"/>
      <c r="AF496" s="4"/>
      <c r="AG496" s="4"/>
      <c r="AH496" s="4"/>
      <c r="AI496" s="4"/>
      <c r="AJ496" s="4"/>
      <c r="AK496" s="4"/>
    </row>
    <row r="497" ht="13.5" customHeight="1" spans="1:37" x14ac:dyDescent="0.25">
      <c r="A497" s="344"/>
      <c r="B497" s="4"/>
      <c r="C497" s="4"/>
      <c r="D497" s="4"/>
      <c r="E497" s="4"/>
      <c r="F497" s="4"/>
      <c r="G497" s="4"/>
      <c r="H497" s="4"/>
      <c r="I497" s="4"/>
      <c r="J497" s="4"/>
      <c r="K497" s="4"/>
      <c r="L497" s="4"/>
      <c r="M497" s="4"/>
      <c r="N497" s="4"/>
      <c r="O497" s="4"/>
      <c r="P497" s="4"/>
      <c r="Q497" s="4"/>
      <c r="R497" s="4"/>
      <c r="S497" s="4"/>
      <c r="T497" s="4"/>
      <c r="U497" s="4"/>
      <c r="V497" s="4"/>
      <c r="W497" s="4"/>
      <c r="X497" s="4"/>
      <c r="Y497" s="4"/>
      <c r="Z497" s="4"/>
      <c r="AA497" s="4"/>
      <c r="AB497" s="4"/>
      <c r="AC497" s="4"/>
      <c r="AD497" s="4"/>
      <c r="AE497" s="4"/>
      <c r="AF497" s="4"/>
      <c r="AG497" s="4"/>
      <c r="AH497" s="4"/>
      <c r="AI497" s="4"/>
      <c r="AJ497" s="4"/>
      <c r="AK497" s="4"/>
    </row>
    <row r="498" ht="13.5" customHeight="1" spans="1:37" x14ac:dyDescent="0.25">
      <c r="A498" s="344"/>
      <c r="B498" s="4"/>
      <c r="C498" s="4"/>
      <c r="D498" s="4"/>
      <c r="E498" s="4"/>
      <c r="F498" s="4"/>
      <c r="G498" s="4"/>
      <c r="H498" s="4"/>
      <c r="I498" s="4"/>
      <c r="J498" s="4"/>
      <c r="K498" s="4"/>
      <c r="L498" s="4"/>
      <c r="M498" s="4"/>
      <c r="N498" s="4"/>
      <c r="O498" s="4"/>
      <c r="P498" s="4"/>
      <c r="Q498" s="4"/>
      <c r="R498" s="4"/>
      <c r="S498" s="4"/>
      <c r="T498" s="4"/>
      <c r="U498" s="4"/>
      <c r="V498" s="4"/>
      <c r="W498" s="4"/>
      <c r="X498" s="4"/>
      <c r="Y498" s="4"/>
      <c r="Z498" s="4"/>
      <c r="AA498" s="4"/>
      <c r="AB498" s="4"/>
      <c r="AC498" s="4"/>
      <c r="AD498" s="4"/>
      <c r="AE498" s="4"/>
      <c r="AF498" s="4"/>
      <c r="AG498" s="4"/>
      <c r="AH498" s="4"/>
      <c r="AI498" s="4"/>
      <c r="AJ498" s="4"/>
      <c r="AK498" s="4"/>
    </row>
    <row r="499" ht="13.5" customHeight="1" spans="1:37" x14ac:dyDescent="0.25">
      <c r="A499" s="344"/>
      <c r="B499" s="4"/>
      <c r="C499" s="4"/>
      <c r="D499" s="4"/>
      <c r="E499" s="4"/>
      <c r="F499" s="4"/>
      <c r="G499" s="4"/>
      <c r="H499" s="4"/>
      <c r="I499" s="4"/>
      <c r="J499" s="4"/>
      <c r="K499" s="4"/>
      <c r="L499" s="4"/>
      <c r="M499" s="4"/>
      <c r="N499" s="4"/>
      <c r="O499" s="4"/>
      <c r="P499" s="4"/>
      <c r="Q499" s="4"/>
      <c r="R499" s="4"/>
      <c r="S499" s="4"/>
      <c r="T499" s="4"/>
      <c r="U499" s="4"/>
      <c r="V499" s="4"/>
      <c r="W499" s="4"/>
      <c r="X499" s="4"/>
      <c r="Y499" s="4"/>
      <c r="Z499" s="4"/>
      <c r="AA499" s="4"/>
      <c r="AB499" s="4"/>
      <c r="AC499" s="4"/>
      <c r="AD499" s="4"/>
      <c r="AE499" s="4"/>
      <c r="AF499" s="4"/>
      <c r="AG499" s="4"/>
      <c r="AH499" s="4"/>
      <c r="AI499" s="4"/>
      <c r="AJ499" s="4"/>
      <c r="AK499" s="4"/>
    </row>
    <row r="500" ht="13.5" customHeight="1" spans="1:37" x14ac:dyDescent="0.25">
      <c r="A500" s="344"/>
      <c r="B500" s="4"/>
      <c r="C500" s="4"/>
      <c r="D500" s="4"/>
      <c r="E500" s="4"/>
      <c r="F500" s="4"/>
      <c r="G500" s="4"/>
      <c r="H500" s="4"/>
      <c r="I500" s="4"/>
      <c r="J500" s="4"/>
      <c r="K500" s="4"/>
      <c r="L500" s="4"/>
      <c r="M500" s="4"/>
      <c r="N500" s="4"/>
      <c r="O500" s="4"/>
      <c r="P500" s="4"/>
      <c r="Q500" s="4"/>
      <c r="R500" s="4"/>
      <c r="S500" s="4"/>
      <c r="T500" s="4"/>
      <c r="U500" s="4"/>
      <c r="V500" s="4"/>
      <c r="W500" s="4"/>
      <c r="X500" s="4"/>
      <c r="Y500" s="4"/>
      <c r="Z500" s="4"/>
      <c r="AA500" s="4"/>
      <c r="AB500" s="4"/>
      <c r="AC500" s="4"/>
      <c r="AD500" s="4"/>
      <c r="AE500" s="4"/>
      <c r="AF500" s="4"/>
      <c r="AG500" s="4"/>
      <c r="AH500" s="4"/>
      <c r="AI500" s="4"/>
      <c r="AJ500" s="4"/>
      <c r="AK500" s="4"/>
    </row>
    <row r="501" ht="13.5" customHeight="1" spans="1:37" x14ac:dyDescent="0.25">
      <c r="A501" s="344"/>
      <c r="B501" s="4"/>
      <c r="C501" s="4"/>
      <c r="D501" s="4"/>
      <c r="E501" s="4"/>
      <c r="F501" s="4"/>
      <c r="G501" s="4"/>
      <c r="H501" s="4"/>
      <c r="I501" s="4"/>
      <c r="J501" s="4"/>
      <c r="K501" s="4"/>
      <c r="L501" s="4"/>
      <c r="M501" s="4"/>
      <c r="N501" s="4"/>
      <c r="O501" s="4"/>
      <c r="P501" s="4"/>
      <c r="Q501" s="4"/>
      <c r="R501" s="4"/>
      <c r="S501" s="4"/>
      <c r="T501" s="4"/>
      <c r="U501" s="4"/>
      <c r="V501" s="4"/>
      <c r="W501" s="4"/>
      <c r="X501" s="4"/>
      <c r="Y501" s="4"/>
      <c r="Z501" s="4"/>
      <c r="AA501" s="4"/>
      <c r="AB501" s="4"/>
      <c r="AC501" s="4"/>
      <c r="AD501" s="4"/>
      <c r="AE501" s="4"/>
      <c r="AF501" s="4"/>
      <c r="AG501" s="4"/>
      <c r="AH501" s="4"/>
      <c r="AI501" s="4"/>
      <c r="AJ501" s="4"/>
      <c r="AK501" s="4"/>
    </row>
    <row r="502" ht="13.5" customHeight="1" spans="1:37" x14ac:dyDescent="0.25">
      <c r="A502" s="344"/>
      <c r="B502" s="4"/>
      <c r="C502" s="4"/>
      <c r="D502" s="4"/>
      <c r="E502" s="4"/>
      <c r="F502" s="4"/>
      <c r="G502" s="4"/>
      <c r="H502" s="4"/>
      <c r="I502" s="4"/>
      <c r="J502" s="4"/>
      <c r="K502" s="4"/>
      <c r="L502" s="4"/>
      <c r="M502" s="4"/>
      <c r="N502" s="4"/>
      <c r="O502" s="4"/>
      <c r="P502" s="4"/>
      <c r="Q502" s="4"/>
      <c r="R502" s="4"/>
      <c r="S502" s="4"/>
      <c r="T502" s="4"/>
      <c r="U502" s="4"/>
      <c r="V502" s="4"/>
      <c r="W502" s="4"/>
      <c r="X502" s="4"/>
      <c r="Y502" s="4"/>
      <c r="Z502" s="4"/>
      <c r="AA502" s="4"/>
      <c r="AB502" s="4"/>
      <c r="AC502" s="4"/>
      <c r="AD502" s="4"/>
      <c r="AE502" s="4"/>
      <c r="AF502" s="4"/>
      <c r="AG502" s="4"/>
      <c r="AH502" s="4"/>
      <c r="AI502" s="4"/>
      <c r="AJ502" s="4"/>
      <c r="AK502" s="4"/>
    </row>
    <row r="503" ht="13.5" customHeight="1" spans="1:37" x14ac:dyDescent="0.25">
      <c r="A503" s="344"/>
      <c r="B503" s="4"/>
      <c r="C503" s="4"/>
      <c r="D503" s="4"/>
      <c r="E503" s="4"/>
      <c r="F503" s="4"/>
      <c r="G503" s="4"/>
      <c r="H503" s="4"/>
      <c r="I503" s="4"/>
      <c r="J503" s="4"/>
      <c r="K503" s="4"/>
      <c r="L503" s="4"/>
      <c r="M503" s="4"/>
      <c r="N503" s="4"/>
      <c r="O503" s="4"/>
      <c r="P503" s="4"/>
      <c r="Q503" s="4"/>
      <c r="R503" s="4"/>
      <c r="S503" s="4"/>
      <c r="T503" s="4"/>
      <c r="U503" s="4"/>
      <c r="V503" s="4"/>
      <c r="W503" s="4"/>
      <c r="X503" s="4"/>
      <c r="Y503" s="4"/>
      <c r="Z503" s="4"/>
      <c r="AA503" s="4"/>
      <c r="AB503" s="4"/>
      <c r="AC503" s="4"/>
      <c r="AD503" s="4"/>
      <c r="AE503" s="4"/>
      <c r="AF503" s="4"/>
      <c r="AG503" s="4"/>
      <c r="AH503" s="4"/>
      <c r="AI503" s="4"/>
      <c r="AJ503" s="4"/>
      <c r="AK503" s="4"/>
    </row>
    <row r="504" ht="13.5" customHeight="1" spans="1:37" x14ac:dyDescent="0.25">
      <c r="A504" s="344"/>
      <c r="B504" s="4"/>
      <c r="C504" s="4"/>
      <c r="D504" s="4"/>
      <c r="E504" s="4"/>
      <c r="F504" s="4"/>
      <c r="G504" s="4"/>
      <c r="H504" s="4"/>
      <c r="I504" s="4"/>
      <c r="J504" s="4"/>
      <c r="K504" s="4"/>
      <c r="L504" s="4"/>
      <c r="M504" s="4"/>
      <c r="N504" s="4"/>
      <c r="O504" s="4"/>
      <c r="P504" s="4"/>
      <c r="Q504" s="4"/>
      <c r="R504" s="4"/>
      <c r="S504" s="4"/>
      <c r="T504" s="4"/>
      <c r="U504" s="4"/>
      <c r="V504" s="4"/>
      <c r="W504" s="4"/>
      <c r="X504" s="4"/>
      <c r="Y504" s="4"/>
      <c r="Z504" s="4"/>
      <c r="AA504" s="4"/>
      <c r="AB504" s="4"/>
      <c r="AC504" s="4"/>
      <c r="AD504" s="4"/>
      <c r="AE504" s="4"/>
      <c r="AF504" s="4"/>
      <c r="AG504" s="4"/>
      <c r="AH504" s="4"/>
      <c r="AI504" s="4"/>
      <c r="AJ504" s="4"/>
      <c r="AK504" s="4"/>
    </row>
    <row r="505" ht="13.5" customHeight="1" spans="1:37" x14ac:dyDescent="0.25">
      <c r="A505" s="344"/>
      <c r="B505" s="4"/>
      <c r="C505" s="4"/>
      <c r="D505" s="4"/>
      <c r="E505" s="4"/>
      <c r="F505" s="4"/>
      <c r="G505" s="4"/>
      <c r="H505" s="4"/>
      <c r="I505" s="4"/>
      <c r="J505" s="4"/>
      <c r="K505" s="4"/>
      <c r="L505" s="4"/>
      <c r="M505" s="4"/>
      <c r="N505" s="4"/>
      <c r="O505" s="4"/>
      <c r="P505" s="4"/>
      <c r="Q505" s="4"/>
      <c r="R505" s="4"/>
      <c r="S505" s="4"/>
      <c r="T505" s="4"/>
      <c r="U505" s="4"/>
      <c r="V505" s="4"/>
      <c r="W505" s="4"/>
      <c r="X505" s="4"/>
      <c r="Y505" s="4"/>
      <c r="Z505" s="4"/>
      <c r="AA505" s="4"/>
      <c r="AB505" s="4"/>
      <c r="AC505" s="4"/>
      <c r="AD505" s="4"/>
      <c r="AE505" s="4"/>
      <c r="AF505" s="4"/>
      <c r="AG505" s="4"/>
      <c r="AH505" s="4"/>
      <c r="AI505" s="4"/>
      <c r="AJ505" s="4"/>
      <c r="AK505" s="4"/>
    </row>
    <row r="506" ht="13.5" customHeight="1" spans="1:37" x14ac:dyDescent="0.25">
      <c r="A506" s="344"/>
      <c r="B506" s="4"/>
      <c r="C506" s="4"/>
      <c r="D506" s="4"/>
      <c r="E506" s="4"/>
      <c r="F506" s="4"/>
      <c r="G506" s="4"/>
      <c r="H506" s="4"/>
      <c r="I506" s="4"/>
      <c r="J506" s="4"/>
      <c r="K506" s="4"/>
      <c r="L506" s="4"/>
      <c r="M506" s="4"/>
      <c r="N506" s="4"/>
      <c r="O506" s="4"/>
      <c r="P506" s="4"/>
      <c r="Q506" s="4"/>
      <c r="R506" s="4"/>
      <c r="S506" s="4"/>
      <c r="T506" s="4"/>
      <c r="U506" s="4"/>
      <c r="V506" s="4"/>
      <c r="W506" s="4"/>
      <c r="X506" s="4"/>
      <c r="Y506" s="4"/>
      <c r="Z506" s="4"/>
      <c r="AA506" s="4"/>
      <c r="AB506" s="4"/>
      <c r="AC506" s="4"/>
      <c r="AD506" s="4"/>
      <c r="AE506" s="4"/>
      <c r="AF506" s="4"/>
      <c r="AG506" s="4"/>
      <c r="AH506" s="4"/>
      <c r="AI506" s="4"/>
      <c r="AJ506" s="4"/>
      <c r="AK506" s="4"/>
    </row>
    <row r="507" ht="13.5" customHeight="1" spans="1:37" x14ac:dyDescent="0.25">
      <c r="A507" s="344"/>
      <c r="B507" s="4"/>
      <c r="C507" s="4"/>
      <c r="D507" s="4"/>
      <c r="E507" s="4"/>
      <c r="F507" s="4"/>
      <c r="G507" s="4"/>
      <c r="H507" s="4"/>
      <c r="I507" s="4"/>
      <c r="J507" s="4"/>
      <c r="K507" s="4"/>
      <c r="L507" s="4"/>
      <c r="M507" s="4"/>
      <c r="N507" s="4"/>
      <c r="O507" s="4"/>
      <c r="P507" s="4"/>
      <c r="Q507" s="4"/>
      <c r="R507" s="4"/>
      <c r="S507" s="4"/>
      <c r="T507" s="4"/>
      <c r="U507" s="4"/>
      <c r="V507" s="4"/>
      <c r="W507" s="4"/>
      <c r="X507" s="4"/>
      <c r="Y507" s="4"/>
      <c r="Z507" s="4"/>
      <c r="AA507" s="4"/>
      <c r="AB507" s="4"/>
      <c r="AC507" s="4"/>
      <c r="AD507" s="4"/>
      <c r="AE507" s="4"/>
      <c r="AF507" s="4"/>
      <c r="AG507" s="4"/>
      <c r="AH507" s="4"/>
      <c r="AI507" s="4"/>
      <c r="AJ507" s="4"/>
      <c r="AK507" s="4"/>
    </row>
    <row r="508" ht="13.5" customHeight="1" spans="1:37" x14ac:dyDescent="0.25">
      <c r="A508" s="344"/>
      <c r="B508" s="4"/>
      <c r="C508" s="4"/>
      <c r="D508" s="4"/>
      <c r="E508" s="4"/>
      <c r="F508" s="4"/>
      <c r="G508" s="4"/>
      <c r="H508" s="4"/>
      <c r="I508" s="4"/>
      <c r="J508" s="4"/>
      <c r="K508" s="4"/>
      <c r="L508" s="4"/>
      <c r="M508" s="4"/>
      <c r="N508" s="4"/>
      <c r="O508" s="4"/>
      <c r="P508" s="4"/>
      <c r="Q508" s="4"/>
      <c r="R508" s="4"/>
      <c r="S508" s="4"/>
      <c r="T508" s="4"/>
      <c r="U508" s="4"/>
      <c r="V508" s="4"/>
      <c r="W508" s="4"/>
      <c r="X508" s="4"/>
      <c r="Y508" s="4"/>
      <c r="Z508" s="4"/>
      <c r="AA508" s="4"/>
      <c r="AB508" s="4"/>
      <c r="AC508" s="4"/>
      <c r="AD508" s="4"/>
      <c r="AE508" s="4"/>
      <c r="AF508" s="4"/>
      <c r="AG508" s="4"/>
      <c r="AH508" s="4"/>
      <c r="AI508" s="4"/>
      <c r="AJ508" s="4"/>
      <c r="AK508" s="4"/>
    </row>
    <row r="509" ht="13.5" customHeight="1" spans="1:37" x14ac:dyDescent="0.25">
      <c r="A509" s="344"/>
      <c r="B509" s="4"/>
      <c r="C509" s="4"/>
      <c r="D509" s="4"/>
      <c r="E509" s="4"/>
      <c r="F509" s="4"/>
      <c r="G509" s="4"/>
      <c r="H509" s="4"/>
      <c r="I509" s="4"/>
      <c r="J509" s="4"/>
      <c r="K509" s="4"/>
      <c r="L509" s="4"/>
      <c r="M509" s="4"/>
      <c r="N509" s="4"/>
      <c r="O509" s="4"/>
      <c r="P509" s="4"/>
      <c r="Q509" s="4"/>
      <c r="R509" s="4"/>
      <c r="S509" s="4"/>
      <c r="T509" s="4"/>
      <c r="U509" s="4"/>
      <c r="V509" s="4"/>
      <c r="W509" s="4"/>
      <c r="X509" s="4"/>
      <c r="Y509" s="4"/>
      <c r="Z509" s="4"/>
      <c r="AA509" s="4"/>
      <c r="AB509" s="4"/>
      <c r="AC509" s="4"/>
      <c r="AD509" s="4"/>
      <c r="AE509" s="4"/>
      <c r="AF509" s="4"/>
      <c r="AG509" s="4"/>
      <c r="AH509" s="4"/>
      <c r="AI509" s="4"/>
      <c r="AJ509" s="4"/>
      <c r="AK509" s="4"/>
    </row>
    <row r="510" ht="13.5" customHeight="1" spans="1:37" x14ac:dyDescent="0.25">
      <c r="A510" s="344"/>
      <c r="B510" s="4"/>
      <c r="C510" s="4"/>
      <c r="D510" s="4"/>
      <c r="E510" s="4"/>
      <c r="F510" s="4"/>
      <c r="G510" s="4"/>
      <c r="H510" s="4"/>
      <c r="I510" s="4"/>
      <c r="J510" s="4"/>
      <c r="K510" s="4"/>
      <c r="L510" s="4"/>
      <c r="M510" s="4"/>
      <c r="N510" s="4"/>
      <c r="O510" s="4"/>
      <c r="P510" s="4"/>
      <c r="Q510" s="4"/>
      <c r="R510" s="4"/>
      <c r="S510" s="4"/>
      <c r="T510" s="4"/>
      <c r="U510" s="4"/>
      <c r="V510" s="4"/>
      <c r="W510" s="4"/>
      <c r="X510" s="4"/>
      <c r="Y510" s="4"/>
      <c r="Z510" s="4"/>
      <c r="AA510" s="4"/>
      <c r="AB510" s="4"/>
      <c r="AC510" s="4"/>
      <c r="AD510" s="4"/>
      <c r="AE510" s="4"/>
      <c r="AF510" s="4"/>
      <c r="AG510" s="4"/>
      <c r="AH510" s="4"/>
      <c r="AI510" s="4"/>
      <c r="AJ510" s="4"/>
      <c r="AK510" s="4"/>
    </row>
    <row r="511" ht="13.5" customHeight="1" spans="1:37" x14ac:dyDescent="0.25">
      <c r="A511" s="344"/>
      <c r="B511" s="4"/>
      <c r="C511" s="4"/>
      <c r="D511" s="4"/>
      <c r="E511" s="4"/>
      <c r="F511" s="4"/>
      <c r="G511" s="4"/>
      <c r="H511" s="4"/>
      <c r="I511" s="4"/>
      <c r="J511" s="4"/>
      <c r="K511" s="4"/>
      <c r="L511" s="4"/>
      <c r="M511" s="4"/>
      <c r="N511" s="4"/>
      <c r="O511" s="4"/>
      <c r="P511" s="4"/>
      <c r="Q511" s="4"/>
      <c r="R511" s="4"/>
      <c r="S511" s="4"/>
      <c r="T511" s="4"/>
      <c r="U511" s="4"/>
      <c r="V511" s="4"/>
      <c r="W511" s="4"/>
      <c r="X511" s="4"/>
      <c r="Y511" s="4"/>
      <c r="Z511" s="4"/>
      <c r="AA511" s="4"/>
      <c r="AB511" s="4"/>
      <c r="AC511" s="4"/>
      <c r="AD511" s="4"/>
      <c r="AE511" s="4"/>
      <c r="AF511" s="4"/>
      <c r="AG511" s="4"/>
      <c r="AH511" s="4"/>
      <c r="AI511" s="4"/>
      <c r="AJ511" s="4"/>
      <c r="AK511" s="4"/>
    </row>
    <row r="512" ht="13.5" customHeight="1" spans="1:37" x14ac:dyDescent="0.25">
      <c r="A512" s="344"/>
      <c r="B512" s="4"/>
      <c r="C512" s="4"/>
      <c r="D512" s="4"/>
      <c r="E512" s="4"/>
      <c r="F512" s="4"/>
      <c r="G512" s="4"/>
      <c r="H512" s="4"/>
      <c r="I512" s="4"/>
      <c r="J512" s="4"/>
      <c r="K512" s="4"/>
      <c r="L512" s="4"/>
      <c r="M512" s="4"/>
      <c r="N512" s="4"/>
      <c r="O512" s="4"/>
      <c r="P512" s="4"/>
      <c r="Q512" s="4"/>
      <c r="R512" s="4"/>
      <c r="S512" s="4"/>
      <c r="T512" s="4"/>
      <c r="U512" s="4"/>
      <c r="V512" s="4"/>
      <c r="W512" s="4"/>
      <c r="X512" s="4"/>
      <c r="Y512" s="4"/>
      <c r="Z512" s="4"/>
      <c r="AA512" s="4"/>
      <c r="AB512" s="4"/>
      <c r="AC512" s="4"/>
      <c r="AD512" s="4"/>
      <c r="AE512" s="4"/>
      <c r="AF512" s="4"/>
      <c r="AG512" s="4"/>
      <c r="AH512" s="4"/>
      <c r="AI512" s="4"/>
      <c r="AJ512" s="4"/>
      <c r="AK512" s="4"/>
    </row>
    <row r="513" ht="13.5" customHeight="1" spans="1:37" x14ac:dyDescent="0.25">
      <c r="A513" s="344"/>
      <c r="B513" s="4"/>
      <c r="C513" s="4"/>
      <c r="D513" s="4"/>
      <c r="E513" s="4"/>
      <c r="F513" s="4"/>
      <c r="G513" s="4"/>
      <c r="H513" s="4"/>
      <c r="I513" s="4"/>
      <c r="J513" s="4"/>
      <c r="K513" s="4"/>
      <c r="L513" s="4"/>
      <c r="M513" s="4"/>
      <c r="N513" s="4"/>
      <c r="O513" s="4"/>
      <c r="P513" s="4"/>
      <c r="Q513" s="4"/>
      <c r="R513" s="4"/>
      <c r="S513" s="4"/>
      <c r="T513" s="4"/>
      <c r="U513" s="4"/>
      <c r="V513" s="4"/>
      <c r="W513" s="4"/>
      <c r="X513" s="4"/>
      <c r="Y513" s="4"/>
      <c r="Z513" s="4"/>
      <c r="AA513" s="4"/>
      <c r="AB513" s="4"/>
      <c r="AC513" s="4"/>
      <c r="AD513" s="4"/>
      <c r="AE513" s="4"/>
      <c r="AF513" s="4"/>
      <c r="AG513" s="4"/>
      <c r="AH513" s="4"/>
      <c r="AI513" s="4"/>
      <c r="AJ513" s="4"/>
      <c r="AK513" s="4"/>
    </row>
    <row r="514" ht="13.5" customHeight="1" spans="1:37" x14ac:dyDescent="0.25">
      <c r="A514" s="344"/>
      <c r="B514" s="4"/>
      <c r="C514" s="4"/>
      <c r="D514" s="4"/>
      <c r="E514" s="4"/>
      <c r="F514" s="4"/>
      <c r="G514" s="4"/>
      <c r="H514" s="4"/>
      <c r="I514" s="4"/>
      <c r="J514" s="4"/>
      <c r="K514" s="4"/>
      <c r="L514" s="4"/>
      <c r="M514" s="4"/>
      <c r="N514" s="4"/>
      <c r="O514" s="4"/>
      <c r="P514" s="4"/>
      <c r="Q514" s="4"/>
      <c r="R514" s="4"/>
      <c r="S514" s="4"/>
      <c r="T514" s="4"/>
      <c r="U514" s="4"/>
      <c r="V514" s="4"/>
      <c r="W514" s="4"/>
      <c r="X514" s="4"/>
      <c r="Y514" s="4"/>
      <c r="Z514" s="4"/>
      <c r="AA514" s="4"/>
      <c r="AB514" s="4"/>
      <c r="AC514" s="4"/>
      <c r="AD514" s="4"/>
      <c r="AE514" s="4"/>
      <c r="AF514" s="4"/>
      <c r="AG514" s="4"/>
      <c r="AH514" s="4"/>
      <c r="AI514" s="4"/>
      <c r="AJ514" s="4"/>
      <c r="AK514" s="4"/>
    </row>
    <row r="515" ht="13.5" customHeight="1" spans="1:37" x14ac:dyDescent="0.25">
      <c r="A515" s="344"/>
      <c r="B515" s="4"/>
      <c r="C515" s="4"/>
      <c r="D515" s="4"/>
      <c r="E515" s="4"/>
      <c r="F515" s="4"/>
      <c r="G515" s="4"/>
      <c r="H515" s="4"/>
      <c r="I515" s="4"/>
      <c r="J515" s="4"/>
      <c r="K515" s="4"/>
      <c r="L515" s="4"/>
      <c r="M515" s="4"/>
      <c r="N515" s="4"/>
      <c r="O515" s="4"/>
      <c r="P515" s="4"/>
      <c r="Q515" s="4"/>
      <c r="R515" s="4"/>
      <c r="S515" s="4"/>
      <c r="T515" s="4"/>
      <c r="U515" s="4"/>
      <c r="V515" s="4"/>
      <c r="W515" s="4"/>
      <c r="X515" s="4"/>
      <c r="Y515" s="4"/>
      <c r="Z515" s="4"/>
      <c r="AA515" s="4"/>
      <c r="AB515" s="4"/>
      <c r="AC515" s="4"/>
      <c r="AD515" s="4"/>
      <c r="AE515" s="4"/>
      <c r="AF515" s="4"/>
      <c r="AG515" s="4"/>
      <c r="AH515" s="4"/>
      <c r="AI515" s="4"/>
      <c r="AJ515" s="4"/>
      <c r="AK515" s="4"/>
    </row>
    <row r="516" ht="13.5" customHeight="1" spans="1:37" x14ac:dyDescent="0.25">
      <c r="A516" s="344"/>
      <c r="B516" s="4"/>
      <c r="C516" s="4"/>
      <c r="D516" s="4"/>
      <c r="E516" s="4"/>
      <c r="F516" s="4"/>
      <c r="G516" s="4"/>
      <c r="H516" s="4"/>
      <c r="I516" s="4"/>
      <c r="J516" s="4"/>
      <c r="K516" s="4"/>
      <c r="L516" s="4"/>
      <c r="M516" s="4"/>
      <c r="N516" s="4"/>
      <c r="O516" s="4"/>
      <c r="P516" s="4"/>
      <c r="Q516" s="4"/>
      <c r="R516" s="4"/>
      <c r="S516" s="4"/>
      <c r="T516" s="4"/>
      <c r="U516" s="4"/>
      <c r="V516" s="4"/>
      <c r="W516" s="4"/>
      <c r="X516" s="4"/>
      <c r="Y516" s="4"/>
      <c r="Z516" s="4"/>
      <c r="AA516" s="4"/>
      <c r="AB516" s="4"/>
      <c r="AC516" s="4"/>
      <c r="AD516" s="4"/>
      <c r="AE516" s="4"/>
      <c r="AF516" s="4"/>
      <c r="AG516" s="4"/>
      <c r="AH516" s="4"/>
      <c r="AI516" s="4"/>
      <c r="AJ516" s="4"/>
      <c r="AK516" s="4"/>
    </row>
    <row r="517" ht="13.5" customHeight="1" spans="1:37" x14ac:dyDescent="0.25">
      <c r="A517" s="344"/>
      <c r="B517" s="4"/>
      <c r="C517" s="4"/>
      <c r="D517" s="4"/>
      <c r="E517" s="4"/>
      <c r="F517" s="4"/>
      <c r="G517" s="4"/>
      <c r="H517" s="4"/>
      <c r="I517" s="4"/>
      <c r="J517" s="4"/>
      <c r="K517" s="4"/>
      <c r="L517" s="4"/>
      <c r="M517" s="4"/>
      <c r="N517" s="4"/>
      <c r="O517" s="4"/>
      <c r="P517" s="4"/>
      <c r="Q517" s="4"/>
      <c r="R517" s="4"/>
      <c r="S517" s="4"/>
      <c r="T517" s="4"/>
      <c r="U517" s="4"/>
      <c r="V517" s="4"/>
      <c r="W517" s="4"/>
      <c r="X517" s="4"/>
      <c r="Y517" s="4"/>
      <c r="Z517" s="4"/>
      <c r="AA517" s="4"/>
      <c r="AB517" s="4"/>
      <c r="AC517" s="4"/>
      <c r="AD517" s="4"/>
      <c r="AE517" s="4"/>
      <c r="AF517" s="4"/>
      <c r="AG517" s="4"/>
      <c r="AH517" s="4"/>
      <c r="AI517" s="4"/>
      <c r="AJ517" s="4"/>
      <c r="AK517" s="4"/>
    </row>
    <row r="518" ht="13.5" customHeight="1" spans="1:37" x14ac:dyDescent="0.25">
      <c r="A518" s="344"/>
      <c r="B518" s="4"/>
      <c r="C518" s="4"/>
      <c r="D518" s="4"/>
      <c r="E518" s="4"/>
      <c r="F518" s="4"/>
      <c r="G518" s="4"/>
      <c r="H518" s="4"/>
      <c r="I518" s="4"/>
      <c r="J518" s="4"/>
      <c r="K518" s="4"/>
      <c r="L518" s="4"/>
      <c r="M518" s="4"/>
      <c r="N518" s="4"/>
      <c r="O518" s="4"/>
      <c r="P518" s="4"/>
      <c r="Q518" s="4"/>
      <c r="R518" s="4"/>
      <c r="S518" s="4"/>
      <c r="T518" s="4"/>
      <c r="U518" s="4"/>
      <c r="V518" s="4"/>
      <c r="W518" s="4"/>
      <c r="X518" s="4"/>
      <c r="Y518" s="4"/>
      <c r="Z518" s="4"/>
      <c r="AA518" s="4"/>
      <c r="AB518" s="4"/>
      <c r="AC518" s="4"/>
      <c r="AD518" s="4"/>
      <c r="AE518" s="4"/>
      <c r="AF518" s="4"/>
      <c r="AG518" s="4"/>
      <c r="AH518" s="4"/>
      <c r="AI518" s="4"/>
      <c r="AJ518" s="4"/>
      <c r="AK518" s="4"/>
    </row>
    <row r="519" ht="13.5" customHeight="1" spans="1:37" x14ac:dyDescent="0.25">
      <c r="A519" s="344"/>
      <c r="B519" s="4"/>
      <c r="C519" s="4"/>
      <c r="D519" s="4"/>
      <c r="E519" s="4"/>
      <c r="F519" s="4"/>
      <c r="G519" s="4"/>
      <c r="H519" s="4"/>
      <c r="I519" s="4"/>
      <c r="J519" s="4"/>
      <c r="K519" s="4"/>
      <c r="L519" s="4"/>
      <c r="M519" s="4"/>
      <c r="N519" s="4"/>
      <c r="O519" s="4"/>
      <c r="P519" s="4"/>
      <c r="Q519" s="4"/>
      <c r="R519" s="4"/>
      <c r="S519" s="4"/>
      <c r="T519" s="4"/>
      <c r="U519" s="4"/>
      <c r="V519" s="4"/>
      <c r="W519" s="4"/>
      <c r="X519" s="4"/>
      <c r="Y519" s="4"/>
      <c r="Z519" s="4"/>
      <c r="AA519" s="4"/>
      <c r="AB519" s="4"/>
      <c r="AC519" s="4"/>
      <c r="AD519" s="4"/>
      <c r="AE519" s="4"/>
      <c r="AF519" s="4"/>
      <c r="AG519" s="4"/>
      <c r="AH519" s="4"/>
      <c r="AI519" s="4"/>
      <c r="AJ519" s="4"/>
      <c r="AK519" s="4"/>
    </row>
    <row r="520" ht="13.5" customHeight="1" spans="1:37" x14ac:dyDescent="0.25">
      <c r="A520" s="344"/>
      <c r="B520" s="4"/>
      <c r="C520" s="4"/>
      <c r="D520" s="4"/>
      <c r="E520" s="4"/>
      <c r="F520" s="4"/>
      <c r="G520" s="4"/>
      <c r="H520" s="4"/>
      <c r="I520" s="4"/>
      <c r="J520" s="4"/>
      <c r="K520" s="4"/>
      <c r="L520" s="4"/>
      <c r="M520" s="4"/>
      <c r="N520" s="4"/>
      <c r="O520" s="4"/>
      <c r="P520" s="4"/>
      <c r="Q520" s="4"/>
      <c r="R520" s="4"/>
      <c r="S520" s="4"/>
      <c r="T520" s="4"/>
      <c r="U520" s="4"/>
      <c r="V520" s="4"/>
      <c r="W520" s="4"/>
      <c r="X520" s="4"/>
      <c r="Y520" s="4"/>
      <c r="Z520" s="4"/>
      <c r="AA520" s="4"/>
      <c r="AB520" s="4"/>
      <c r="AC520" s="4"/>
      <c r="AD520" s="4"/>
      <c r="AE520" s="4"/>
      <c r="AF520" s="4"/>
      <c r="AG520" s="4"/>
      <c r="AH520" s="4"/>
      <c r="AI520" s="4"/>
      <c r="AJ520" s="4"/>
      <c r="AK520" s="4"/>
    </row>
    <row r="521" ht="13.5" customHeight="1" spans="1:37" x14ac:dyDescent="0.25">
      <c r="A521" s="344"/>
      <c r="B521" s="4"/>
      <c r="C521" s="4"/>
      <c r="D521" s="4"/>
      <c r="E521" s="4"/>
      <c r="F521" s="4"/>
      <c r="G521" s="4"/>
      <c r="H521" s="4"/>
      <c r="I521" s="4"/>
      <c r="J521" s="4"/>
      <c r="K521" s="4"/>
      <c r="L521" s="4"/>
      <c r="M521" s="4"/>
      <c r="N521" s="4"/>
      <c r="O521" s="4"/>
      <c r="P521" s="4"/>
      <c r="Q521" s="4"/>
      <c r="R521" s="4"/>
      <c r="S521" s="4"/>
      <c r="T521" s="4"/>
      <c r="U521" s="4"/>
      <c r="V521" s="4"/>
      <c r="W521" s="4"/>
      <c r="X521" s="4"/>
      <c r="Y521" s="4"/>
      <c r="Z521" s="4"/>
      <c r="AA521" s="4"/>
      <c r="AB521" s="4"/>
      <c r="AC521" s="4"/>
      <c r="AD521" s="4"/>
      <c r="AE521" s="4"/>
      <c r="AF521" s="4"/>
      <c r="AG521" s="4"/>
      <c r="AH521" s="4"/>
      <c r="AI521" s="4"/>
      <c r="AJ521" s="4"/>
      <c r="AK521" s="4"/>
    </row>
    <row r="522" ht="13.5" customHeight="1" spans="1:37" x14ac:dyDescent="0.25">
      <c r="A522" s="344"/>
      <c r="B522" s="4"/>
      <c r="C522" s="4"/>
      <c r="D522" s="4"/>
      <c r="E522" s="4"/>
      <c r="F522" s="4"/>
      <c r="G522" s="4"/>
      <c r="H522" s="4"/>
      <c r="I522" s="4"/>
      <c r="J522" s="4"/>
      <c r="K522" s="4"/>
      <c r="L522" s="4"/>
      <c r="M522" s="4"/>
      <c r="N522" s="4"/>
      <c r="O522" s="4"/>
      <c r="P522" s="4"/>
      <c r="Q522" s="4"/>
      <c r="R522" s="4"/>
      <c r="S522" s="4"/>
      <c r="T522" s="4"/>
      <c r="U522" s="4"/>
      <c r="V522" s="4"/>
      <c r="W522" s="4"/>
      <c r="X522" s="4"/>
      <c r="Y522" s="4"/>
      <c r="Z522" s="4"/>
      <c r="AA522" s="4"/>
      <c r="AB522" s="4"/>
      <c r="AC522" s="4"/>
      <c r="AD522" s="4"/>
      <c r="AE522" s="4"/>
      <c r="AF522" s="4"/>
      <c r="AG522" s="4"/>
      <c r="AH522" s="4"/>
      <c r="AI522" s="4"/>
      <c r="AJ522" s="4"/>
      <c r="AK522" s="4"/>
    </row>
    <row r="523" ht="13.5" customHeight="1" spans="1:37" x14ac:dyDescent="0.25">
      <c r="A523" s="344"/>
      <c r="B523" s="4"/>
      <c r="C523" s="4"/>
      <c r="D523" s="4"/>
      <c r="E523" s="4"/>
      <c r="F523" s="4"/>
      <c r="G523" s="4"/>
      <c r="H523" s="4"/>
      <c r="I523" s="4"/>
      <c r="J523" s="4"/>
      <c r="K523" s="4"/>
      <c r="L523" s="4"/>
      <c r="M523" s="4"/>
      <c r="N523" s="4"/>
      <c r="O523" s="4"/>
      <c r="P523" s="4"/>
      <c r="Q523" s="4"/>
      <c r="R523" s="4"/>
      <c r="S523" s="4"/>
      <c r="T523" s="4"/>
      <c r="U523" s="4"/>
      <c r="V523" s="4"/>
      <c r="W523" s="4"/>
      <c r="X523" s="4"/>
      <c r="Y523" s="4"/>
      <c r="Z523" s="4"/>
      <c r="AA523" s="4"/>
      <c r="AB523" s="4"/>
      <c r="AC523" s="4"/>
      <c r="AD523" s="4"/>
      <c r="AE523" s="4"/>
      <c r="AF523" s="4"/>
      <c r="AG523" s="4"/>
      <c r="AH523" s="4"/>
      <c r="AI523" s="4"/>
      <c r="AJ523" s="4"/>
      <c r="AK523" s="4"/>
    </row>
    <row r="524" ht="13.5" customHeight="1" spans="1:37" x14ac:dyDescent="0.25">
      <c r="A524" s="344"/>
      <c r="B524" s="4"/>
      <c r="C524" s="4"/>
      <c r="D524" s="4"/>
      <c r="E524" s="4"/>
      <c r="F524" s="4"/>
      <c r="G524" s="4"/>
      <c r="H524" s="4"/>
      <c r="I524" s="4"/>
      <c r="J524" s="4"/>
      <c r="K524" s="4"/>
      <c r="L524" s="4"/>
      <c r="M524" s="4"/>
      <c r="N524" s="4"/>
      <c r="O524" s="4"/>
      <c r="P524" s="4"/>
      <c r="Q524" s="4"/>
      <c r="R524" s="4"/>
      <c r="S524" s="4"/>
      <c r="T524" s="4"/>
      <c r="U524" s="4"/>
      <c r="V524" s="4"/>
      <c r="W524" s="4"/>
      <c r="X524" s="4"/>
      <c r="Y524" s="4"/>
      <c r="Z524" s="4"/>
      <c r="AA524" s="4"/>
      <c r="AB524" s="4"/>
      <c r="AC524" s="4"/>
      <c r="AD524" s="4"/>
      <c r="AE524" s="4"/>
      <c r="AF524" s="4"/>
      <c r="AG524" s="4"/>
      <c r="AH524" s="4"/>
      <c r="AI524" s="4"/>
      <c r="AJ524" s="4"/>
      <c r="AK524" s="4"/>
    </row>
    <row r="525" ht="13.5" customHeight="1" spans="1:37" x14ac:dyDescent="0.25">
      <c r="A525" s="344"/>
      <c r="B525" s="4"/>
      <c r="C525" s="4"/>
      <c r="D525" s="4"/>
      <c r="E525" s="4"/>
      <c r="F525" s="4"/>
      <c r="G525" s="4"/>
      <c r="H525" s="4"/>
      <c r="I525" s="4"/>
      <c r="J525" s="4"/>
      <c r="K525" s="4"/>
      <c r="L525" s="4"/>
      <c r="M525" s="4"/>
      <c r="N525" s="4"/>
      <c r="O525" s="4"/>
      <c r="P525" s="4"/>
      <c r="Q525" s="4"/>
      <c r="R525" s="4"/>
      <c r="S525" s="4"/>
      <c r="T525" s="4"/>
      <c r="U525" s="4"/>
      <c r="V525" s="4"/>
      <c r="W525" s="4"/>
      <c r="X525" s="4"/>
      <c r="Y525" s="4"/>
      <c r="Z525" s="4"/>
      <c r="AA525" s="4"/>
      <c r="AB525" s="4"/>
      <c r="AC525" s="4"/>
      <c r="AD525" s="4"/>
      <c r="AE525" s="4"/>
      <c r="AF525" s="4"/>
      <c r="AG525" s="4"/>
      <c r="AH525" s="4"/>
      <c r="AI525" s="4"/>
      <c r="AJ525" s="4"/>
      <c r="AK525" s="4"/>
    </row>
    <row r="526" ht="13.5" customHeight="1" spans="1:37" x14ac:dyDescent="0.25">
      <c r="A526" s="344"/>
      <c r="B526" s="4"/>
      <c r="C526" s="4"/>
      <c r="D526" s="4"/>
      <c r="E526" s="4"/>
      <c r="F526" s="4"/>
      <c r="G526" s="4"/>
      <c r="H526" s="4"/>
      <c r="I526" s="4"/>
      <c r="J526" s="4"/>
      <c r="K526" s="4"/>
      <c r="L526" s="4"/>
      <c r="M526" s="4"/>
      <c r="N526" s="4"/>
      <c r="O526" s="4"/>
      <c r="P526" s="4"/>
      <c r="Q526" s="4"/>
      <c r="R526" s="4"/>
      <c r="S526" s="4"/>
      <c r="T526" s="4"/>
      <c r="U526" s="4"/>
      <c r="V526" s="4"/>
      <c r="W526" s="4"/>
      <c r="X526" s="4"/>
      <c r="Y526" s="4"/>
      <c r="Z526" s="4"/>
      <c r="AA526" s="4"/>
      <c r="AB526" s="4"/>
      <c r="AC526" s="4"/>
      <c r="AD526" s="4"/>
      <c r="AE526" s="4"/>
      <c r="AF526" s="4"/>
      <c r="AG526" s="4"/>
      <c r="AH526" s="4"/>
      <c r="AI526" s="4"/>
      <c r="AJ526" s="4"/>
      <c r="AK526" s="4"/>
    </row>
    <row r="527" ht="13.5" customHeight="1" spans="1:37" x14ac:dyDescent="0.25">
      <c r="A527" s="344"/>
      <c r="B527" s="4"/>
      <c r="C527" s="4"/>
      <c r="D527" s="4"/>
      <c r="E527" s="4"/>
      <c r="F527" s="4"/>
      <c r="G527" s="4"/>
      <c r="H527" s="4"/>
      <c r="I527" s="4"/>
      <c r="J527" s="4"/>
      <c r="K527" s="4"/>
      <c r="L527" s="4"/>
      <c r="M527" s="4"/>
      <c r="N527" s="4"/>
      <c r="O527" s="4"/>
      <c r="P527" s="4"/>
      <c r="Q527" s="4"/>
      <c r="R527" s="4"/>
      <c r="S527" s="4"/>
      <c r="T527" s="4"/>
      <c r="U527" s="4"/>
      <c r="V527" s="4"/>
      <c r="W527" s="4"/>
      <c r="X527" s="4"/>
      <c r="Y527" s="4"/>
      <c r="Z527" s="4"/>
      <c r="AA527" s="4"/>
      <c r="AB527" s="4"/>
      <c r="AC527" s="4"/>
      <c r="AD527" s="4"/>
      <c r="AE527" s="4"/>
      <c r="AF527" s="4"/>
      <c r="AG527" s="4"/>
      <c r="AH527" s="4"/>
      <c r="AI527" s="4"/>
      <c r="AJ527" s="4"/>
      <c r="AK527" s="4"/>
    </row>
    <row r="528" ht="13.5" customHeight="1" spans="1:37" x14ac:dyDescent="0.25">
      <c r="A528" s="344"/>
      <c r="B528" s="4"/>
      <c r="C528" s="4"/>
      <c r="D528" s="4"/>
      <c r="E528" s="4"/>
      <c r="F528" s="4"/>
      <c r="G528" s="4"/>
      <c r="H528" s="4"/>
      <c r="I528" s="4"/>
      <c r="J528" s="4"/>
      <c r="K528" s="4"/>
      <c r="L528" s="4"/>
      <c r="M528" s="4"/>
      <c r="N528" s="4"/>
      <c r="O528" s="4"/>
      <c r="P528" s="4"/>
      <c r="Q528" s="4"/>
      <c r="R528" s="4"/>
      <c r="S528" s="4"/>
      <c r="T528" s="4"/>
      <c r="U528" s="4"/>
      <c r="V528" s="4"/>
      <c r="W528" s="4"/>
      <c r="X528" s="4"/>
      <c r="Y528" s="4"/>
      <c r="Z528" s="4"/>
      <c r="AA528" s="4"/>
      <c r="AB528" s="4"/>
      <c r="AC528" s="4"/>
      <c r="AD528" s="4"/>
      <c r="AE528" s="4"/>
      <c r="AF528" s="4"/>
      <c r="AG528" s="4"/>
      <c r="AH528" s="4"/>
      <c r="AI528" s="4"/>
      <c r="AJ528" s="4"/>
      <c r="AK528" s="4"/>
    </row>
    <row r="529" ht="13.5" customHeight="1" spans="1:37" x14ac:dyDescent="0.25">
      <c r="A529" s="344"/>
      <c r="B529" s="4"/>
      <c r="C529" s="4"/>
      <c r="D529" s="4"/>
      <c r="E529" s="4"/>
      <c r="F529" s="4"/>
      <c r="G529" s="4"/>
      <c r="H529" s="4"/>
      <c r="I529" s="4"/>
      <c r="J529" s="4"/>
      <c r="K529" s="4"/>
      <c r="L529" s="4"/>
      <c r="M529" s="4"/>
      <c r="N529" s="4"/>
      <c r="O529" s="4"/>
      <c r="P529" s="4"/>
      <c r="Q529" s="4"/>
      <c r="R529" s="4"/>
      <c r="S529" s="4"/>
      <c r="T529" s="4"/>
      <c r="U529" s="4"/>
      <c r="V529" s="4"/>
      <c r="W529" s="4"/>
      <c r="X529" s="4"/>
      <c r="Y529" s="4"/>
      <c r="Z529" s="4"/>
      <c r="AA529" s="4"/>
      <c r="AB529" s="4"/>
      <c r="AC529" s="4"/>
      <c r="AD529" s="4"/>
      <c r="AE529" s="4"/>
      <c r="AF529" s="4"/>
      <c r="AG529" s="4"/>
      <c r="AH529" s="4"/>
      <c r="AI529" s="4"/>
      <c r="AJ529" s="4"/>
      <c r="AK529" s="4"/>
    </row>
    <row r="530" ht="13.5" customHeight="1" spans="1:37" x14ac:dyDescent="0.25">
      <c r="A530" s="344"/>
      <c r="B530" s="4"/>
      <c r="C530" s="4"/>
      <c r="D530" s="4"/>
      <c r="E530" s="4"/>
      <c r="F530" s="4"/>
      <c r="G530" s="4"/>
      <c r="H530" s="4"/>
      <c r="I530" s="4"/>
      <c r="J530" s="4"/>
      <c r="K530" s="4"/>
      <c r="L530" s="4"/>
      <c r="M530" s="4"/>
      <c r="N530" s="4"/>
      <c r="O530" s="4"/>
      <c r="P530" s="4"/>
      <c r="Q530" s="4"/>
      <c r="R530" s="4"/>
      <c r="S530" s="4"/>
      <c r="T530" s="4"/>
      <c r="U530" s="4"/>
      <c r="V530" s="4"/>
      <c r="W530" s="4"/>
      <c r="X530" s="4"/>
      <c r="Y530" s="4"/>
      <c r="Z530" s="4"/>
      <c r="AA530" s="4"/>
      <c r="AB530" s="4"/>
      <c r="AC530" s="4"/>
      <c r="AD530" s="4"/>
      <c r="AE530" s="4"/>
      <c r="AF530" s="4"/>
      <c r="AG530" s="4"/>
      <c r="AH530" s="4"/>
      <c r="AI530" s="4"/>
      <c r="AJ530" s="4"/>
      <c r="AK530" s="4"/>
    </row>
    <row r="531" ht="13.5" customHeight="1" spans="1:37" x14ac:dyDescent="0.25">
      <c r="A531" s="344"/>
      <c r="B531" s="4"/>
      <c r="C531" s="4"/>
      <c r="D531" s="4"/>
      <c r="E531" s="4"/>
      <c r="F531" s="4"/>
      <c r="G531" s="4"/>
      <c r="H531" s="4"/>
      <c r="I531" s="4"/>
      <c r="J531" s="4"/>
      <c r="K531" s="4"/>
      <c r="L531" s="4"/>
      <c r="M531" s="4"/>
      <c r="N531" s="4"/>
      <c r="O531" s="4"/>
      <c r="P531" s="4"/>
      <c r="Q531" s="4"/>
      <c r="R531" s="4"/>
      <c r="S531" s="4"/>
      <c r="T531" s="4"/>
      <c r="U531" s="4"/>
      <c r="V531" s="4"/>
      <c r="W531" s="4"/>
      <c r="X531" s="4"/>
      <c r="Y531" s="4"/>
      <c r="Z531" s="4"/>
      <c r="AA531" s="4"/>
      <c r="AB531" s="4"/>
      <c r="AC531" s="4"/>
      <c r="AD531" s="4"/>
      <c r="AE531" s="4"/>
      <c r="AF531" s="4"/>
      <c r="AG531" s="4"/>
      <c r="AH531" s="4"/>
      <c r="AI531" s="4"/>
      <c r="AJ531" s="4"/>
      <c r="AK531" s="4"/>
    </row>
    <row r="532" ht="13.5" customHeight="1" spans="1:37" x14ac:dyDescent="0.25">
      <c r="A532" s="344"/>
      <c r="B532" s="4"/>
      <c r="C532" s="4"/>
      <c r="D532" s="4"/>
      <c r="E532" s="4"/>
      <c r="F532" s="4"/>
      <c r="G532" s="4"/>
      <c r="H532" s="4"/>
      <c r="I532" s="4"/>
      <c r="J532" s="4"/>
      <c r="K532" s="4"/>
      <c r="L532" s="4"/>
      <c r="M532" s="4"/>
      <c r="N532" s="4"/>
      <c r="O532" s="4"/>
      <c r="P532" s="4"/>
      <c r="Q532" s="4"/>
      <c r="R532" s="4"/>
      <c r="S532" s="4"/>
      <c r="T532" s="4"/>
      <c r="U532" s="4"/>
      <c r="V532" s="4"/>
      <c r="W532" s="4"/>
      <c r="X532" s="4"/>
      <c r="Y532" s="4"/>
      <c r="Z532" s="4"/>
      <c r="AA532" s="4"/>
      <c r="AB532" s="4"/>
      <c r="AC532" s="4"/>
      <c r="AD532" s="4"/>
      <c r="AE532" s="4"/>
      <c r="AF532" s="4"/>
      <c r="AG532" s="4"/>
      <c r="AH532" s="4"/>
      <c r="AI532" s="4"/>
      <c r="AJ532" s="4"/>
      <c r="AK532" s="4"/>
    </row>
    <row r="533" ht="13.5" customHeight="1" spans="1:37" x14ac:dyDescent="0.25">
      <c r="A533" s="344"/>
      <c r="B533" s="4"/>
      <c r="C533" s="4"/>
      <c r="D533" s="4"/>
      <c r="E533" s="4"/>
      <c r="F533" s="4"/>
      <c r="G533" s="4"/>
      <c r="H533" s="4"/>
      <c r="I533" s="4"/>
      <c r="J533" s="4"/>
      <c r="K533" s="4"/>
      <c r="L533" s="4"/>
      <c r="M533" s="4"/>
      <c r="N533" s="4"/>
      <c r="O533" s="4"/>
      <c r="P533" s="4"/>
      <c r="Q533" s="4"/>
      <c r="R533" s="4"/>
      <c r="S533" s="4"/>
      <c r="T533" s="4"/>
      <c r="U533" s="4"/>
      <c r="V533" s="4"/>
      <c r="W533" s="4"/>
      <c r="X533" s="4"/>
      <c r="Y533" s="4"/>
      <c r="Z533" s="4"/>
      <c r="AA533" s="4"/>
      <c r="AB533" s="4"/>
      <c r="AC533" s="4"/>
      <c r="AD533" s="4"/>
      <c r="AE533" s="4"/>
      <c r="AF533" s="4"/>
      <c r="AG533" s="4"/>
      <c r="AH533" s="4"/>
      <c r="AI533" s="4"/>
      <c r="AJ533" s="4"/>
      <c r="AK533" s="4"/>
    </row>
    <row r="534" ht="13.5" customHeight="1" spans="1:37" x14ac:dyDescent="0.25">
      <c r="A534" s="344"/>
      <c r="B534" s="4"/>
      <c r="C534" s="4"/>
      <c r="D534" s="4"/>
      <c r="E534" s="4"/>
      <c r="F534" s="4"/>
      <c r="G534" s="4"/>
      <c r="H534" s="4"/>
      <c r="I534" s="4"/>
      <c r="J534" s="4"/>
      <c r="K534" s="4"/>
      <c r="L534" s="4"/>
      <c r="M534" s="4"/>
      <c r="N534" s="4"/>
      <c r="O534" s="4"/>
      <c r="P534" s="4"/>
      <c r="Q534" s="4"/>
      <c r="R534" s="4"/>
      <c r="S534" s="4"/>
      <c r="T534" s="4"/>
      <c r="U534" s="4"/>
      <c r="V534" s="4"/>
      <c r="W534" s="4"/>
      <c r="X534" s="4"/>
      <c r="Y534" s="4"/>
      <c r="Z534" s="4"/>
      <c r="AA534" s="4"/>
      <c r="AB534" s="4"/>
      <c r="AC534" s="4"/>
      <c r="AD534" s="4"/>
      <c r="AE534" s="4"/>
      <c r="AF534" s="4"/>
      <c r="AG534" s="4"/>
      <c r="AH534" s="4"/>
      <c r="AI534" s="4"/>
      <c r="AJ534" s="4"/>
      <c r="AK534" s="4"/>
    </row>
    <row r="535" ht="13.5" customHeight="1" spans="1:37" x14ac:dyDescent="0.25">
      <c r="A535" s="344"/>
      <c r="B535" s="4"/>
      <c r="C535" s="4"/>
      <c r="D535" s="4"/>
      <c r="E535" s="4"/>
      <c r="F535" s="4"/>
      <c r="G535" s="4"/>
      <c r="H535" s="4"/>
      <c r="I535" s="4"/>
      <c r="J535" s="4"/>
      <c r="K535" s="4"/>
      <c r="L535" s="4"/>
      <c r="M535" s="4"/>
      <c r="N535" s="4"/>
      <c r="O535" s="4"/>
      <c r="P535" s="4"/>
      <c r="Q535" s="4"/>
      <c r="R535" s="4"/>
      <c r="S535" s="4"/>
      <c r="T535" s="4"/>
      <c r="U535" s="4"/>
      <c r="V535" s="4"/>
      <c r="W535" s="4"/>
      <c r="X535" s="4"/>
      <c r="Y535" s="4"/>
      <c r="Z535" s="4"/>
      <c r="AA535" s="4"/>
      <c r="AB535" s="4"/>
      <c r="AC535" s="4"/>
      <c r="AD535" s="4"/>
      <c r="AE535" s="4"/>
      <c r="AF535" s="4"/>
      <c r="AG535" s="4"/>
      <c r="AH535" s="4"/>
      <c r="AI535" s="4"/>
      <c r="AJ535" s="4"/>
      <c r="AK535" s="4"/>
    </row>
    <row r="536" ht="13.5" customHeight="1" spans="1:37" x14ac:dyDescent="0.25">
      <c r="A536" s="344"/>
      <c r="B536" s="4"/>
      <c r="C536" s="4"/>
      <c r="D536" s="4"/>
      <c r="E536" s="4"/>
      <c r="F536" s="4"/>
      <c r="G536" s="4"/>
      <c r="H536" s="4"/>
      <c r="I536" s="4"/>
      <c r="J536" s="4"/>
      <c r="K536" s="4"/>
      <c r="L536" s="4"/>
      <c r="M536" s="4"/>
      <c r="N536" s="4"/>
      <c r="O536" s="4"/>
      <c r="P536" s="4"/>
      <c r="Q536" s="4"/>
      <c r="R536" s="4"/>
      <c r="S536" s="4"/>
      <c r="T536" s="4"/>
      <c r="U536" s="4"/>
      <c r="V536" s="4"/>
      <c r="W536" s="4"/>
      <c r="X536" s="4"/>
      <c r="Y536" s="4"/>
      <c r="Z536" s="4"/>
      <c r="AA536" s="4"/>
      <c r="AB536" s="4"/>
      <c r="AC536" s="4"/>
      <c r="AD536" s="4"/>
      <c r="AE536" s="4"/>
      <c r="AF536" s="4"/>
      <c r="AG536" s="4"/>
      <c r="AH536" s="4"/>
      <c r="AI536" s="4"/>
      <c r="AJ536" s="4"/>
      <c r="AK536" s="4"/>
    </row>
    <row r="537" ht="13.5" customHeight="1" spans="1:37" x14ac:dyDescent="0.25">
      <c r="A537" s="344"/>
      <c r="B537" s="4"/>
      <c r="C537" s="4"/>
      <c r="D537" s="4"/>
      <c r="E537" s="4"/>
      <c r="F537" s="4"/>
      <c r="G537" s="4"/>
      <c r="H537" s="4"/>
      <c r="I537" s="4"/>
      <c r="J537" s="4"/>
      <c r="K537" s="4"/>
      <c r="L537" s="4"/>
      <c r="M537" s="4"/>
      <c r="N537" s="4"/>
      <c r="O537" s="4"/>
      <c r="P537" s="4"/>
      <c r="Q537" s="4"/>
      <c r="R537" s="4"/>
      <c r="S537" s="4"/>
      <c r="T537" s="4"/>
      <c r="U537" s="4"/>
      <c r="V537" s="4"/>
      <c r="W537" s="4"/>
      <c r="X537" s="4"/>
      <c r="Y537" s="4"/>
      <c r="Z537" s="4"/>
      <c r="AA537" s="4"/>
      <c r="AB537" s="4"/>
      <c r="AC537" s="4"/>
      <c r="AD537" s="4"/>
      <c r="AE537" s="4"/>
      <c r="AF537" s="4"/>
      <c r="AG537" s="4"/>
      <c r="AH537" s="4"/>
      <c r="AI537" s="4"/>
      <c r="AJ537" s="4"/>
      <c r="AK537" s="4"/>
    </row>
    <row r="538" ht="13.5" customHeight="1" spans="1:37" x14ac:dyDescent="0.25">
      <c r="A538" s="344"/>
      <c r="B538" s="4"/>
      <c r="C538" s="4"/>
      <c r="D538" s="4"/>
      <c r="E538" s="4"/>
      <c r="F538" s="4"/>
      <c r="G538" s="4"/>
      <c r="H538" s="4"/>
      <c r="I538" s="4"/>
      <c r="J538" s="4"/>
      <c r="K538" s="4"/>
      <c r="L538" s="4"/>
      <c r="M538" s="4"/>
      <c r="N538" s="4"/>
      <c r="O538" s="4"/>
      <c r="P538" s="4"/>
      <c r="Q538" s="4"/>
      <c r="R538" s="4"/>
      <c r="S538" s="4"/>
      <c r="T538" s="4"/>
      <c r="U538" s="4"/>
      <c r="V538" s="4"/>
      <c r="W538" s="4"/>
      <c r="X538" s="4"/>
      <c r="Y538" s="4"/>
      <c r="Z538" s="4"/>
      <c r="AA538" s="4"/>
      <c r="AB538" s="4"/>
      <c r="AC538" s="4"/>
      <c r="AD538" s="4"/>
      <c r="AE538" s="4"/>
      <c r="AF538" s="4"/>
      <c r="AG538" s="4"/>
      <c r="AH538" s="4"/>
      <c r="AI538" s="4"/>
      <c r="AJ538" s="4"/>
      <c r="AK538" s="4"/>
    </row>
    <row r="539" ht="13.5" customHeight="1" spans="1:37" x14ac:dyDescent="0.25">
      <c r="A539" s="344"/>
      <c r="B539" s="4"/>
      <c r="C539" s="4"/>
      <c r="D539" s="4"/>
      <c r="E539" s="4"/>
      <c r="F539" s="4"/>
      <c r="G539" s="4"/>
      <c r="H539" s="4"/>
      <c r="I539" s="4"/>
      <c r="J539" s="4"/>
      <c r="K539" s="4"/>
      <c r="L539" s="4"/>
      <c r="M539" s="4"/>
      <c r="N539" s="4"/>
      <c r="O539" s="4"/>
      <c r="P539" s="4"/>
      <c r="Q539" s="4"/>
      <c r="R539" s="4"/>
      <c r="S539" s="4"/>
      <c r="T539" s="4"/>
      <c r="U539" s="4"/>
      <c r="V539" s="4"/>
      <c r="W539" s="4"/>
      <c r="X539" s="4"/>
      <c r="Y539" s="4"/>
      <c r="Z539" s="4"/>
      <c r="AA539" s="4"/>
      <c r="AB539" s="4"/>
      <c r="AC539" s="4"/>
      <c r="AD539" s="4"/>
      <c r="AE539" s="4"/>
      <c r="AF539" s="4"/>
      <c r="AG539" s="4"/>
      <c r="AH539" s="4"/>
      <c r="AI539" s="4"/>
      <c r="AJ539" s="4"/>
      <c r="AK539" s="4"/>
    </row>
    <row r="540" ht="13.5" customHeight="1" spans="1:37" x14ac:dyDescent="0.25">
      <c r="A540" s="344"/>
      <c r="B540" s="4"/>
      <c r="C540" s="4"/>
      <c r="D540" s="4"/>
      <c r="E540" s="4"/>
      <c r="F540" s="4"/>
      <c r="G540" s="4"/>
      <c r="H540" s="4"/>
      <c r="I540" s="4"/>
      <c r="J540" s="4"/>
      <c r="K540" s="4"/>
      <c r="L540" s="4"/>
      <c r="M540" s="4"/>
      <c r="N540" s="4"/>
      <c r="O540" s="4"/>
      <c r="P540" s="4"/>
      <c r="Q540" s="4"/>
      <c r="R540" s="4"/>
      <c r="S540" s="4"/>
      <c r="T540" s="4"/>
      <c r="U540" s="4"/>
      <c r="V540" s="4"/>
      <c r="W540" s="4"/>
      <c r="X540" s="4"/>
      <c r="Y540" s="4"/>
      <c r="Z540" s="4"/>
      <c r="AA540" s="4"/>
      <c r="AB540" s="4"/>
      <c r="AC540" s="4"/>
      <c r="AD540" s="4"/>
      <c r="AE540" s="4"/>
      <c r="AF540" s="4"/>
      <c r="AG540" s="4"/>
      <c r="AH540" s="4"/>
      <c r="AI540" s="4"/>
      <c r="AJ540" s="4"/>
      <c r="AK540" s="4"/>
    </row>
    <row r="541" ht="13.5" customHeight="1" spans="1:37" x14ac:dyDescent="0.25">
      <c r="A541" s="344"/>
      <c r="B541" s="4"/>
      <c r="C541" s="4"/>
      <c r="D541" s="4"/>
      <c r="E541" s="4"/>
      <c r="F541" s="4"/>
      <c r="G541" s="4"/>
      <c r="H541" s="4"/>
      <c r="I541" s="4"/>
      <c r="J541" s="4"/>
      <c r="K541" s="4"/>
      <c r="L541" s="4"/>
      <c r="M541" s="4"/>
      <c r="N541" s="4"/>
      <c r="O541" s="4"/>
      <c r="P541" s="4"/>
      <c r="Q541" s="4"/>
      <c r="R541" s="4"/>
      <c r="S541" s="4"/>
      <c r="T541" s="4"/>
      <c r="U541" s="4"/>
      <c r="V541" s="4"/>
      <c r="W541" s="4"/>
      <c r="X541" s="4"/>
      <c r="Y541" s="4"/>
      <c r="Z541" s="4"/>
      <c r="AA541" s="4"/>
      <c r="AB541" s="4"/>
      <c r="AC541" s="4"/>
      <c r="AD541" s="4"/>
      <c r="AE541" s="4"/>
      <c r="AF541" s="4"/>
      <c r="AG541" s="4"/>
      <c r="AH541" s="4"/>
      <c r="AI541" s="4"/>
      <c r="AJ541" s="4"/>
      <c r="AK541" s="4"/>
    </row>
    <row r="542" ht="13.5" customHeight="1" spans="1:37" x14ac:dyDescent="0.25">
      <c r="A542" s="344"/>
      <c r="B542" s="4"/>
      <c r="C542" s="4"/>
      <c r="D542" s="4"/>
      <c r="E542" s="4"/>
      <c r="F542" s="4"/>
      <c r="G542" s="4"/>
      <c r="H542" s="4"/>
      <c r="I542" s="4"/>
      <c r="J542" s="4"/>
      <c r="K542" s="4"/>
      <c r="L542" s="4"/>
      <c r="M542" s="4"/>
      <c r="N542" s="4"/>
      <c r="O542" s="4"/>
      <c r="P542" s="4"/>
      <c r="Q542" s="4"/>
      <c r="R542" s="4"/>
      <c r="S542" s="4"/>
      <c r="T542" s="4"/>
      <c r="U542" s="4"/>
      <c r="V542" s="4"/>
      <c r="W542" s="4"/>
      <c r="X542" s="4"/>
      <c r="Y542" s="4"/>
      <c r="Z542" s="4"/>
      <c r="AA542" s="4"/>
      <c r="AB542" s="4"/>
      <c r="AC542" s="4"/>
      <c r="AD542" s="4"/>
      <c r="AE542" s="4"/>
      <c r="AF542" s="4"/>
      <c r="AG542" s="4"/>
      <c r="AH542" s="4"/>
      <c r="AI542" s="4"/>
      <c r="AJ542" s="4"/>
      <c r="AK542" s="4"/>
    </row>
    <row r="543" ht="13.5" customHeight="1" spans="1:37" x14ac:dyDescent="0.25">
      <c r="A543" s="344"/>
      <c r="B543" s="4"/>
      <c r="C543" s="4"/>
      <c r="D543" s="4"/>
      <c r="E543" s="4"/>
      <c r="F543" s="4"/>
      <c r="G543" s="4"/>
      <c r="H543" s="4"/>
      <c r="I543" s="4"/>
      <c r="J543" s="4"/>
      <c r="K543" s="4"/>
      <c r="L543" s="4"/>
      <c r="M543" s="4"/>
      <c r="N543" s="4"/>
      <c r="O543" s="4"/>
      <c r="P543" s="4"/>
      <c r="Q543" s="4"/>
      <c r="R543" s="4"/>
      <c r="S543" s="4"/>
      <c r="T543" s="4"/>
      <c r="U543" s="4"/>
      <c r="V543" s="4"/>
      <c r="W543" s="4"/>
      <c r="X543" s="4"/>
      <c r="Y543" s="4"/>
      <c r="Z543" s="4"/>
      <c r="AA543" s="4"/>
      <c r="AB543" s="4"/>
      <c r="AC543" s="4"/>
      <c r="AD543" s="4"/>
      <c r="AE543" s="4"/>
      <c r="AF543" s="4"/>
      <c r="AG543" s="4"/>
      <c r="AH543" s="4"/>
      <c r="AI543" s="4"/>
      <c r="AJ543" s="4"/>
      <c r="AK543" s="4"/>
    </row>
    <row r="544" ht="13.5" customHeight="1" spans="1:37" x14ac:dyDescent="0.25">
      <c r="A544" s="344"/>
      <c r="B544" s="4"/>
      <c r="C544" s="4"/>
      <c r="D544" s="4"/>
      <c r="E544" s="4"/>
      <c r="F544" s="4"/>
      <c r="G544" s="4"/>
      <c r="H544" s="4"/>
      <c r="I544" s="4"/>
      <c r="J544" s="4"/>
      <c r="K544" s="4"/>
      <c r="L544" s="4"/>
      <c r="M544" s="4"/>
      <c r="N544" s="4"/>
      <c r="O544" s="4"/>
      <c r="P544" s="4"/>
      <c r="Q544" s="4"/>
      <c r="R544" s="4"/>
      <c r="S544" s="4"/>
      <c r="T544" s="4"/>
      <c r="U544" s="4"/>
      <c r="V544" s="4"/>
      <c r="W544" s="4"/>
      <c r="X544" s="4"/>
      <c r="Y544" s="4"/>
      <c r="Z544" s="4"/>
      <c r="AA544" s="4"/>
      <c r="AB544" s="4"/>
      <c r="AC544" s="4"/>
      <c r="AD544" s="4"/>
      <c r="AE544" s="4"/>
      <c r="AF544" s="4"/>
      <c r="AG544" s="4"/>
      <c r="AH544" s="4"/>
      <c r="AI544" s="4"/>
      <c r="AJ544" s="4"/>
      <c r="AK544" s="4"/>
    </row>
    <row r="545" ht="13.5" customHeight="1" spans="1:37" x14ac:dyDescent="0.25">
      <c r="A545" s="344"/>
      <c r="B545" s="4"/>
      <c r="C545" s="4"/>
      <c r="D545" s="4"/>
      <c r="E545" s="4"/>
      <c r="F545" s="4"/>
      <c r="G545" s="4"/>
      <c r="H545" s="4"/>
      <c r="I545" s="4"/>
      <c r="J545" s="4"/>
      <c r="K545" s="4"/>
      <c r="L545" s="4"/>
      <c r="M545" s="4"/>
      <c r="N545" s="4"/>
      <c r="O545" s="4"/>
      <c r="P545" s="4"/>
      <c r="Q545" s="4"/>
      <c r="R545" s="4"/>
      <c r="S545" s="4"/>
      <c r="T545" s="4"/>
      <c r="U545" s="4"/>
      <c r="V545" s="4"/>
      <c r="W545" s="4"/>
      <c r="X545" s="4"/>
      <c r="Y545" s="4"/>
      <c r="Z545" s="4"/>
      <c r="AA545" s="4"/>
      <c r="AB545" s="4"/>
      <c r="AC545" s="4"/>
      <c r="AD545" s="4"/>
      <c r="AE545" s="4"/>
      <c r="AF545" s="4"/>
      <c r="AG545" s="4"/>
      <c r="AH545" s="4"/>
      <c r="AI545" s="4"/>
      <c r="AJ545" s="4"/>
      <c r="AK545" s="4"/>
    </row>
    <row r="546" ht="13.5" customHeight="1" spans="1:37" x14ac:dyDescent="0.25">
      <c r="A546" s="344"/>
      <c r="B546" s="4"/>
      <c r="C546" s="4"/>
      <c r="D546" s="4"/>
      <c r="E546" s="4"/>
      <c r="F546" s="4"/>
      <c r="G546" s="4"/>
      <c r="H546" s="4"/>
      <c r="I546" s="4"/>
      <c r="J546" s="4"/>
      <c r="K546" s="4"/>
      <c r="L546" s="4"/>
      <c r="M546" s="4"/>
      <c r="N546" s="4"/>
      <c r="O546" s="4"/>
      <c r="P546" s="4"/>
      <c r="Q546" s="4"/>
      <c r="R546" s="4"/>
      <c r="S546" s="4"/>
      <c r="T546" s="4"/>
      <c r="U546" s="4"/>
      <c r="V546" s="4"/>
      <c r="W546" s="4"/>
      <c r="X546" s="4"/>
      <c r="Y546" s="4"/>
      <c r="Z546" s="4"/>
      <c r="AA546" s="4"/>
      <c r="AB546" s="4"/>
      <c r="AC546" s="4"/>
      <c r="AD546" s="4"/>
      <c r="AE546" s="4"/>
      <c r="AF546" s="4"/>
      <c r="AG546" s="4"/>
      <c r="AH546" s="4"/>
      <c r="AI546" s="4"/>
      <c r="AJ546" s="4"/>
      <c r="AK546" s="4"/>
    </row>
    <row r="547" ht="13.5" customHeight="1" spans="1:37" x14ac:dyDescent="0.25">
      <c r="A547" s="344"/>
      <c r="B547" s="4"/>
      <c r="C547" s="4"/>
      <c r="D547" s="4"/>
      <c r="E547" s="4"/>
      <c r="F547" s="4"/>
      <c r="G547" s="4"/>
      <c r="H547" s="4"/>
      <c r="I547" s="4"/>
      <c r="J547" s="4"/>
      <c r="K547" s="4"/>
      <c r="L547" s="4"/>
      <c r="M547" s="4"/>
      <c r="N547" s="4"/>
      <c r="O547" s="4"/>
      <c r="P547" s="4"/>
      <c r="Q547" s="4"/>
      <c r="R547" s="4"/>
      <c r="S547" s="4"/>
      <c r="T547" s="4"/>
      <c r="U547" s="4"/>
      <c r="V547" s="4"/>
      <c r="W547" s="4"/>
      <c r="X547" s="4"/>
      <c r="Y547" s="4"/>
      <c r="Z547" s="4"/>
      <c r="AA547" s="4"/>
      <c r="AB547" s="4"/>
      <c r="AC547" s="4"/>
      <c r="AD547" s="4"/>
      <c r="AE547" s="4"/>
      <c r="AF547" s="4"/>
      <c r="AG547" s="4"/>
      <c r="AH547" s="4"/>
      <c r="AI547" s="4"/>
      <c r="AJ547" s="4"/>
      <c r="AK547" s="4"/>
    </row>
    <row r="548" ht="13.5" customHeight="1" spans="1:37" x14ac:dyDescent="0.25">
      <c r="A548" s="344"/>
      <c r="B548" s="4"/>
      <c r="C548" s="4"/>
      <c r="D548" s="4"/>
      <c r="E548" s="4"/>
      <c r="F548" s="4"/>
      <c r="G548" s="4"/>
      <c r="H548" s="4"/>
      <c r="I548" s="4"/>
      <c r="J548" s="4"/>
      <c r="K548" s="4"/>
      <c r="L548" s="4"/>
      <c r="M548" s="4"/>
      <c r="N548" s="4"/>
      <c r="O548" s="4"/>
      <c r="P548" s="4"/>
      <c r="Q548" s="4"/>
      <c r="R548" s="4"/>
      <c r="S548" s="4"/>
      <c r="T548" s="4"/>
      <c r="U548" s="4"/>
      <c r="V548" s="4"/>
      <c r="W548" s="4"/>
      <c r="X548" s="4"/>
      <c r="Y548" s="4"/>
      <c r="Z548" s="4"/>
      <c r="AA548" s="4"/>
      <c r="AB548" s="4"/>
      <c r="AC548" s="4"/>
      <c r="AD548" s="4"/>
      <c r="AE548" s="4"/>
      <c r="AF548" s="4"/>
      <c r="AG548" s="4"/>
      <c r="AH548" s="4"/>
      <c r="AI548" s="4"/>
      <c r="AJ548" s="4"/>
      <c r="AK548" s="4"/>
    </row>
    <row r="549" ht="13.5" customHeight="1" spans="1:37" x14ac:dyDescent="0.25">
      <c r="A549" s="344"/>
      <c r="B549" s="4"/>
      <c r="C549" s="4"/>
      <c r="D549" s="4"/>
      <c r="E549" s="4"/>
      <c r="F549" s="4"/>
      <c r="G549" s="4"/>
      <c r="H549" s="4"/>
      <c r="I549" s="4"/>
      <c r="J549" s="4"/>
      <c r="K549" s="4"/>
      <c r="L549" s="4"/>
      <c r="M549" s="4"/>
      <c r="N549" s="4"/>
      <c r="O549" s="4"/>
      <c r="P549" s="4"/>
      <c r="Q549" s="4"/>
      <c r="R549" s="4"/>
      <c r="S549" s="4"/>
      <c r="T549" s="4"/>
      <c r="U549" s="4"/>
      <c r="V549" s="4"/>
      <c r="W549" s="4"/>
      <c r="X549" s="4"/>
      <c r="Y549" s="4"/>
      <c r="Z549" s="4"/>
      <c r="AA549" s="4"/>
      <c r="AB549" s="4"/>
      <c r="AC549" s="4"/>
      <c r="AD549" s="4"/>
      <c r="AE549" s="4"/>
      <c r="AF549" s="4"/>
      <c r="AG549" s="4"/>
      <c r="AH549" s="4"/>
      <c r="AI549" s="4"/>
      <c r="AJ549" s="4"/>
      <c r="AK549" s="4"/>
    </row>
    <row r="550" ht="13.5" customHeight="1" spans="1:37" x14ac:dyDescent="0.25">
      <c r="A550" s="344"/>
      <c r="B550" s="4"/>
      <c r="C550" s="4"/>
      <c r="D550" s="4"/>
      <c r="E550" s="4"/>
      <c r="F550" s="4"/>
      <c r="G550" s="4"/>
      <c r="H550" s="4"/>
      <c r="I550" s="4"/>
      <c r="J550" s="4"/>
      <c r="K550" s="4"/>
      <c r="L550" s="4"/>
      <c r="M550" s="4"/>
      <c r="N550" s="4"/>
      <c r="O550" s="4"/>
      <c r="P550" s="4"/>
      <c r="Q550" s="4"/>
      <c r="R550" s="4"/>
      <c r="S550" s="4"/>
      <c r="T550" s="4"/>
      <c r="U550" s="4"/>
      <c r="V550" s="4"/>
      <c r="W550" s="4"/>
      <c r="X550" s="4"/>
      <c r="Y550" s="4"/>
      <c r="Z550" s="4"/>
      <c r="AA550" s="4"/>
      <c r="AB550" s="4"/>
      <c r="AC550" s="4"/>
      <c r="AD550" s="4"/>
      <c r="AE550" s="4"/>
      <c r="AF550" s="4"/>
      <c r="AG550" s="4"/>
      <c r="AH550" s="4"/>
      <c r="AI550" s="4"/>
      <c r="AJ550" s="4"/>
      <c r="AK550" s="4"/>
    </row>
    <row r="551" ht="13.5" customHeight="1" spans="1:37" x14ac:dyDescent="0.25">
      <c r="A551" s="344"/>
      <c r="B551" s="4"/>
      <c r="C551" s="4"/>
      <c r="D551" s="4"/>
      <c r="E551" s="4"/>
      <c r="F551" s="4"/>
      <c r="G551" s="4"/>
      <c r="H551" s="4"/>
      <c r="I551" s="4"/>
      <c r="J551" s="4"/>
      <c r="K551" s="4"/>
      <c r="L551" s="4"/>
      <c r="M551" s="4"/>
      <c r="N551" s="4"/>
      <c r="O551" s="4"/>
      <c r="P551" s="4"/>
      <c r="Q551" s="4"/>
      <c r="R551" s="4"/>
      <c r="S551" s="4"/>
      <c r="T551" s="4"/>
      <c r="U551" s="4"/>
      <c r="V551" s="4"/>
      <c r="W551" s="4"/>
      <c r="X551" s="4"/>
      <c r="Y551" s="4"/>
      <c r="Z551" s="4"/>
      <c r="AA551" s="4"/>
      <c r="AB551" s="4"/>
      <c r="AC551" s="4"/>
      <c r="AD551" s="4"/>
      <c r="AE551" s="4"/>
      <c r="AF551" s="4"/>
      <c r="AG551" s="4"/>
      <c r="AH551" s="4"/>
      <c r="AI551" s="4"/>
      <c r="AJ551" s="4"/>
      <c r="AK551" s="4"/>
    </row>
    <row r="552" ht="13.5" customHeight="1" spans="1:37" x14ac:dyDescent="0.25">
      <c r="A552" s="344"/>
      <c r="B552" s="4"/>
      <c r="C552" s="4"/>
      <c r="D552" s="4"/>
      <c r="E552" s="4"/>
      <c r="F552" s="4"/>
      <c r="G552" s="4"/>
      <c r="H552" s="4"/>
      <c r="I552" s="4"/>
      <c r="J552" s="4"/>
      <c r="K552" s="4"/>
      <c r="L552" s="4"/>
      <c r="M552" s="4"/>
      <c r="N552" s="4"/>
      <c r="O552" s="4"/>
      <c r="P552" s="4"/>
      <c r="Q552" s="4"/>
      <c r="R552" s="4"/>
      <c r="S552" s="4"/>
      <c r="T552" s="4"/>
      <c r="U552" s="4"/>
      <c r="V552" s="4"/>
      <c r="W552" s="4"/>
      <c r="X552" s="4"/>
      <c r="Y552" s="4"/>
      <c r="Z552" s="4"/>
      <c r="AA552" s="4"/>
      <c r="AB552" s="4"/>
      <c r="AC552" s="4"/>
      <c r="AD552" s="4"/>
      <c r="AE552" s="4"/>
      <c r="AF552" s="4"/>
      <c r="AG552" s="4"/>
      <c r="AH552" s="4"/>
      <c r="AI552" s="4"/>
      <c r="AJ552" s="4"/>
      <c r="AK552" s="4"/>
    </row>
    <row r="553" ht="13.5" customHeight="1" spans="1:37" x14ac:dyDescent="0.25">
      <c r="A553" s="344"/>
      <c r="B553" s="4"/>
      <c r="C553" s="4"/>
      <c r="D553" s="4"/>
      <c r="E553" s="4"/>
      <c r="F553" s="4"/>
      <c r="G553" s="4"/>
      <c r="H553" s="4"/>
      <c r="I553" s="4"/>
      <c r="J553" s="4"/>
      <c r="K553" s="4"/>
      <c r="L553" s="4"/>
      <c r="M553" s="4"/>
      <c r="N553" s="4"/>
      <c r="O553" s="4"/>
      <c r="P553" s="4"/>
      <c r="Q553" s="4"/>
      <c r="R553" s="4"/>
      <c r="S553" s="4"/>
      <c r="T553" s="4"/>
      <c r="U553" s="4"/>
      <c r="V553" s="4"/>
      <c r="W553" s="4"/>
      <c r="X553" s="4"/>
      <c r="Y553" s="4"/>
      <c r="Z553" s="4"/>
      <c r="AA553" s="4"/>
      <c r="AB553" s="4"/>
      <c r="AC553" s="4"/>
      <c r="AD553" s="4"/>
      <c r="AE553" s="4"/>
      <c r="AF553" s="4"/>
      <c r="AG553" s="4"/>
      <c r="AH553" s="4"/>
      <c r="AI553" s="4"/>
      <c r="AJ553" s="4"/>
      <c r="AK553" s="4"/>
    </row>
    <row r="554" ht="13.5" customHeight="1" spans="1:37" x14ac:dyDescent="0.25">
      <c r="A554" s="344"/>
      <c r="B554" s="4"/>
      <c r="C554" s="4"/>
      <c r="D554" s="4"/>
      <c r="E554" s="4"/>
      <c r="F554" s="4"/>
      <c r="G554" s="4"/>
      <c r="H554" s="4"/>
      <c r="I554" s="4"/>
      <c r="J554" s="4"/>
      <c r="K554" s="4"/>
      <c r="L554" s="4"/>
      <c r="M554" s="4"/>
      <c r="N554" s="4"/>
      <c r="O554" s="4"/>
      <c r="P554" s="4"/>
      <c r="Q554" s="4"/>
      <c r="R554" s="4"/>
      <c r="S554" s="4"/>
      <c r="T554" s="4"/>
      <c r="U554" s="4"/>
      <c r="V554" s="4"/>
      <c r="W554" s="4"/>
      <c r="X554" s="4"/>
      <c r="Y554" s="4"/>
      <c r="Z554" s="4"/>
      <c r="AA554" s="4"/>
      <c r="AB554" s="4"/>
      <c r="AC554" s="4"/>
      <c r="AD554" s="4"/>
      <c r="AE554" s="4"/>
      <c r="AF554" s="4"/>
      <c r="AG554" s="4"/>
      <c r="AH554" s="4"/>
      <c r="AI554" s="4"/>
      <c r="AJ554" s="4"/>
      <c r="AK554" s="4"/>
    </row>
    <row r="555" ht="13.5" customHeight="1" spans="1:37" x14ac:dyDescent="0.25">
      <c r="A555" s="344"/>
      <c r="B555" s="4"/>
      <c r="C555" s="4"/>
      <c r="D555" s="4"/>
      <c r="E555" s="4"/>
      <c r="F555" s="4"/>
      <c r="G555" s="4"/>
      <c r="H555" s="4"/>
      <c r="I555" s="4"/>
      <c r="J555" s="4"/>
      <c r="K555" s="4"/>
      <c r="L555" s="4"/>
      <c r="M555" s="4"/>
      <c r="N555" s="4"/>
      <c r="O555" s="4"/>
      <c r="P555" s="4"/>
      <c r="Q555" s="4"/>
      <c r="R555" s="4"/>
      <c r="S555" s="4"/>
      <c r="T555" s="4"/>
      <c r="U555" s="4"/>
      <c r="V555" s="4"/>
      <c r="W555" s="4"/>
      <c r="X555" s="4"/>
      <c r="Y555" s="4"/>
      <c r="Z555" s="4"/>
      <c r="AA555" s="4"/>
      <c r="AB555" s="4"/>
      <c r="AC555" s="4"/>
      <c r="AD555" s="4"/>
      <c r="AE555" s="4"/>
      <c r="AF555" s="4"/>
      <c r="AG555" s="4"/>
      <c r="AH555" s="4"/>
      <c r="AI555" s="4"/>
      <c r="AJ555" s="4"/>
      <c r="AK555" s="4"/>
    </row>
    <row r="556" ht="13.5" customHeight="1" spans="1:37" x14ac:dyDescent="0.25">
      <c r="A556" s="344"/>
      <c r="B556" s="4"/>
      <c r="C556" s="4"/>
      <c r="D556" s="4"/>
      <c r="E556" s="4"/>
      <c r="F556" s="4"/>
      <c r="G556" s="4"/>
      <c r="H556" s="4"/>
      <c r="I556" s="4"/>
      <c r="J556" s="4"/>
      <c r="K556" s="4"/>
      <c r="L556" s="4"/>
      <c r="M556" s="4"/>
      <c r="N556" s="4"/>
      <c r="O556" s="4"/>
      <c r="P556" s="4"/>
      <c r="Q556" s="4"/>
      <c r="R556" s="4"/>
      <c r="S556" s="4"/>
      <c r="T556" s="4"/>
      <c r="U556" s="4"/>
      <c r="V556" s="4"/>
      <c r="W556" s="4"/>
      <c r="X556" s="4"/>
      <c r="Y556" s="4"/>
      <c r="Z556" s="4"/>
      <c r="AA556" s="4"/>
      <c r="AB556" s="4"/>
      <c r="AC556" s="4"/>
      <c r="AD556" s="4"/>
      <c r="AE556" s="4"/>
      <c r="AF556" s="4"/>
      <c r="AG556" s="4"/>
      <c r="AH556" s="4"/>
      <c r="AI556" s="4"/>
      <c r="AJ556" s="4"/>
      <c r="AK556" s="4"/>
    </row>
    <row r="557" ht="13.5" customHeight="1" spans="1:37" x14ac:dyDescent="0.25">
      <c r="A557" s="344"/>
      <c r="B557" s="4"/>
      <c r="C557" s="4"/>
      <c r="D557" s="4"/>
      <c r="E557" s="4"/>
      <c r="F557" s="4"/>
      <c r="G557" s="4"/>
      <c r="H557" s="4"/>
      <c r="I557" s="4"/>
      <c r="J557" s="4"/>
      <c r="K557" s="4"/>
      <c r="L557" s="4"/>
      <c r="M557" s="4"/>
      <c r="N557" s="4"/>
      <c r="O557" s="4"/>
      <c r="P557" s="4"/>
      <c r="Q557" s="4"/>
      <c r="R557" s="4"/>
      <c r="S557" s="4"/>
      <c r="T557" s="4"/>
      <c r="U557" s="4"/>
      <c r="V557" s="4"/>
      <c r="W557" s="4"/>
      <c r="X557" s="4"/>
      <c r="Y557" s="4"/>
      <c r="Z557" s="4"/>
      <c r="AA557" s="4"/>
      <c r="AB557" s="4"/>
      <c r="AC557" s="4"/>
      <c r="AD557" s="4"/>
      <c r="AE557" s="4"/>
      <c r="AF557" s="4"/>
      <c r="AG557" s="4"/>
      <c r="AH557" s="4"/>
      <c r="AI557" s="4"/>
      <c r="AJ557" s="4"/>
      <c r="AK557" s="4"/>
    </row>
    <row r="558" ht="13.5" customHeight="1" spans="1:37" x14ac:dyDescent="0.25">
      <c r="A558" s="344"/>
      <c r="B558" s="4"/>
      <c r="C558" s="4"/>
      <c r="D558" s="4"/>
      <c r="E558" s="4"/>
      <c r="F558" s="4"/>
      <c r="G558" s="4"/>
      <c r="H558" s="4"/>
      <c r="I558" s="4"/>
      <c r="J558" s="4"/>
      <c r="K558" s="4"/>
      <c r="L558" s="4"/>
      <c r="M558" s="4"/>
      <c r="N558" s="4"/>
      <c r="O558" s="4"/>
      <c r="P558" s="4"/>
      <c r="Q558" s="4"/>
      <c r="R558" s="4"/>
      <c r="S558" s="4"/>
      <c r="T558" s="4"/>
      <c r="U558" s="4"/>
      <c r="V558" s="4"/>
      <c r="W558" s="4"/>
      <c r="X558" s="4"/>
      <c r="Y558" s="4"/>
      <c r="Z558" s="4"/>
      <c r="AA558" s="4"/>
      <c r="AB558" s="4"/>
      <c r="AC558" s="4"/>
      <c r="AD558" s="4"/>
      <c r="AE558" s="4"/>
      <c r="AF558" s="4"/>
      <c r="AG558" s="4"/>
      <c r="AH558" s="4"/>
      <c r="AI558" s="4"/>
      <c r="AJ558" s="4"/>
      <c r="AK558" s="4"/>
    </row>
    <row r="559" ht="13.5" customHeight="1" spans="1:37" x14ac:dyDescent="0.25">
      <c r="A559" s="344"/>
      <c r="B559" s="4"/>
      <c r="C559" s="4"/>
      <c r="D559" s="4"/>
      <c r="E559" s="4"/>
      <c r="F559" s="4"/>
      <c r="G559" s="4"/>
      <c r="H559" s="4"/>
      <c r="I559" s="4"/>
      <c r="J559" s="4"/>
      <c r="K559" s="4"/>
      <c r="L559" s="4"/>
      <c r="M559" s="4"/>
      <c r="N559" s="4"/>
      <c r="O559" s="4"/>
      <c r="P559" s="4"/>
      <c r="Q559" s="4"/>
      <c r="R559" s="4"/>
      <c r="S559" s="4"/>
      <c r="T559" s="4"/>
      <c r="U559" s="4"/>
      <c r="V559" s="4"/>
      <c r="W559" s="4"/>
      <c r="X559" s="4"/>
      <c r="Y559" s="4"/>
      <c r="Z559" s="4"/>
      <c r="AA559" s="4"/>
      <c r="AB559" s="4"/>
      <c r="AC559" s="4"/>
      <c r="AD559" s="4"/>
      <c r="AE559" s="4"/>
      <c r="AF559" s="4"/>
      <c r="AG559" s="4"/>
      <c r="AH559" s="4"/>
      <c r="AI559" s="4"/>
      <c r="AJ559" s="4"/>
      <c r="AK559" s="4"/>
    </row>
    <row r="560" ht="13.5" customHeight="1" spans="1:37" x14ac:dyDescent="0.25">
      <c r="A560" s="344"/>
      <c r="B560" s="4"/>
      <c r="C560" s="4"/>
      <c r="D560" s="4"/>
      <c r="E560" s="4"/>
      <c r="F560" s="4"/>
      <c r="G560" s="4"/>
      <c r="H560" s="4"/>
      <c r="I560" s="4"/>
      <c r="J560" s="4"/>
      <c r="K560" s="4"/>
      <c r="L560" s="4"/>
      <c r="M560" s="4"/>
      <c r="N560" s="4"/>
      <c r="O560" s="4"/>
      <c r="P560" s="4"/>
      <c r="Q560" s="4"/>
      <c r="R560" s="4"/>
      <c r="S560" s="4"/>
      <c r="T560" s="4"/>
      <c r="U560" s="4"/>
      <c r="V560" s="4"/>
      <c r="W560" s="4"/>
      <c r="X560" s="4"/>
      <c r="Y560" s="4"/>
      <c r="Z560" s="4"/>
      <c r="AA560" s="4"/>
      <c r="AB560" s="4"/>
      <c r="AC560" s="4"/>
      <c r="AD560" s="4"/>
      <c r="AE560" s="4"/>
      <c r="AF560" s="4"/>
      <c r="AG560" s="4"/>
      <c r="AH560" s="4"/>
      <c r="AI560" s="4"/>
      <c r="AJ560" s="4"/>
      <c r="AK560" s="4"/>
    </row>
    <row r="561" ht="13.5" customHeight="1" spans="1:37" x14ac:dyDescent="0.25">
      <c r="A561" s="344"/>
      <c r="B561" s="4"/>
      <c r="C561" s="4"/>
      <c r="D561" s="4"/>
      <c r="E561" s="4"/>
      <c r="F561" s="4"/>
      <c r="G561" s="4"/>
      <c r="H561" s="4"/>
      <c r="I561" s="4"/>
      <c r="J561" s="4"/>
      <c r="K561" s="4"/>
      <c r="L561" s="4"/>
      <c r="M561" s="4"/>
      <c r="N561" s="4"/>
      <c r="O561" s="4"/>
      <c r="P561" s="4"/>
      <c r="Q561" s="4"/>
      <c r="R561" s="4"/>
      <c r="S561" s="4"/>
      <c r="T561" s="4"/>
      <c r="U561" s="4"/>
      <c r="V561" s="4"/>
      <c r="W561" s="4"/>
      <c r="X561" s="4"/>
      <c r="Y561" s="4"/>
      <c r="Z561" s="4"/>
      <c r="AA561" s="4"/>
      <c r="AB561" s="4"/>
      <c r="AC561" s="4"/>
      <c r="AD561" s="4"/>
      <c r="AE561" s="4"/>
      <c r="AF561" s="4"/>
      <c r="AG561" s="4"/>
      <c r="AH561" s="4"/>
      <c r="AI561" s="4"/>
      <c r="AJ561" s="4"/>
      <c r="AK561" s="4"/>
    </row>
    <row r="562" ht="13.5" customHeight="1" spans="1:37" x14ac:dyDescent="0.25">
      <c r="A562" s="344"/>
      <c r="B562" s="4"/>
      <c r="C562" s="4"/>
      <c r="D562" s="4"/>
      <c r="E562" s="4"/>
      <c r="F562" s="4"/>
      <c r="G562" s="4"/>
      <c r="H562" s="4"/>
      <c r="I562" s="4"/>
      <c r="J562" s="4"/>
      <c r="K562" s="4"/>
      <c r="L562" s="4"/>
      <c r="M562" s="4"/>
      <c r="N562" s="4"/>
      <c r="O562" s="4"/>
      <c r="P562" s="4"/>
      <c r="Q562" s="4"/>
      <c r="R562" s="4"/>
      <c r="S562" s="4"/>
      <c r="T562" s="4"/>
      <c r="U562" s="4"/>
      <c r="V562" s="4"/>
      <c r="W562" s="4"/>
      <c r="X562" s="4"/>
      <c r="Y562" s="4"/>
      <c r="Z562" s="4"/>
      <c r="AA562" s="4"/>
      <c r="AB562" s="4"/>
      <c r="AC562" s="4"/>
      <c r="AD562" s="4"/>
      <c r="AE562" s="4"/>
      <c r="AF562" s="4"/>
      <c r="AG562" s="4"/>
      <c r="AH562" s="4"/>
      <c r="AI562" s="4"/>
      <c r="AJ562" s="4"/>
      <c r="AK562" s="4"/>
    </row>
    <row r="563" ht="13.5" customHeight="1" spans="1:37" x14ac:dyDescent="0.25">
      <c r="A563" s="344"/>
      <c r="B563" s="4"/>
      <c r="C563" s="4"/>
      <c r="D563" s="4"/>
      <c r="E563" s="4"/>
      <c r="F563" s="4"/>
      <c r="G563" s="4"/>
      <c r="H563" s="4"/>
      <c r="I563" s="4"/>
      <c r="J563" s="4"/>
      <c r="K563" s="4"/>
      <c r="L563" s="4"/>
      <c r="M563" s="4"/>
      <c r="N563" s="4"/>
      <c r="O563" s="4"/>
      <c r="P563" s="4"/>
      <c r="Q563" s="4"/>
      <c r="R563" s="4"/>
      <c r="S563" s="4"/>
      <c r="T563" s="4"/>
      <c r="U563" s="4"/>
      <c r="V563" s="4"/>
      <c r="W563" s="4"/>
      <c r="X563" s="4"/>
      <c r="Y563" s="4"/>
      <c r="Z563" s="4"/>
      <c r="AA563" s="4"/>
      <c r="AB563" s="4"/>
      <c r="AC563" s="4"/>
      <c r="AD563" s="4"/>
      <c r="AE563" s="4"/>
      <c r="AF563" s="4"/>
      <c r="AG563" s="4"/>
      <c r="AH563" s="4"/>
      <c r="AI563" s="4"/>
      <c r="AJ563" s="4"/>
      <c r="AK563" s="4"/>
    </row>
    <row r="564" ht="13.5" customHeight="1" spans="1:37" x14ac:dyDescent="0.25">
      <c r="A564" s="344"/>
      <c r="B564" s="4"/>
      <c r="C564" s="4"/>
      <c r="D564" s="4"/>
      <c r="E564" s="4"/>
      <c r="F564" s="4"/>
      <c r="G564" s="4"/>
      <c r="H564" s="4"/>
      <c r="I564" s="4"/>
      <c r="J564" s="4"/>
      <c r="K564" s="4"/>
      <c r="L564" s="4"/>
      <c r="M564" s="4"/>
      <c r="N564" s="4"/>
      <c r="O564" s="4"/>
      <c r="P564" s="4"/>
      <c r="Q564" s="4"/>
      <c r="R564" s="4"/>
      <c r="S564" s="4"/>
      <c r="T564" s="4"/>
      <c r="U564" s="4"/>
      <c r="V564" s="4"/>
      <c r="W564" s="4"/>
      <c r="X564" s="4"/>
      <c r="Y564" s="4"/>
      <c r="Z564" s="4"/>
      <c r="AA564" s="4"/>
      <c r="AB564" s="4"/>
      <c r="AC564" s="4"/>
      <c r="AD564" s="4"/>
      <c r="AE564" s="4"/>
      <c r="AF564" s="4"/>
      <c r="AG564" s="4"/>
      <c r="AH564" s="4"/>
      <c r="AI564" s="4"/>
      <c r="AJ564" s="4"/>
      <c r="AK564" s="4"/>
    </row>
    <row r="565" ht="13.5" customHeight="1" spans="1:37" x14ac:dyDescent="0.25">
      <c r="A565" s="344"/>
      <c r="B565" s="4"/>
      <c r="C565" s="4"/>
      <c r="D565" s="4"/>
      <c r="E565" s="4"/>
      <c r="F565" s="4"/>
      <c r="G565" s="4"/>
      <c r="H565" s="4"/>
      <c r="I565" s="4"/>
      <c r="J565" s="4"/>
      <c r="K565" s="4"/>
      <c r="L565" s="4"/>
      <c r="M565" s="4"/>
      <c r="N565" s="4"/>
      <c r="O565" s="4"/>
      <c r="P565" s="4"/>
      <c r="Q565" s="4"/>
      <c r="R565" s="4"/>
      <c r="S565" s="4"/>
      <c r="T565" s="4"/>
      <c r="U565" s="4"/>
      <c r="V565" s="4"/>
      <c r="W565" s="4"/>
      <c r="X565" s="4"/>
      <c r="Y565" s="4"/>
      <c r="Z565" s="4"/>
      <c r="AA565" s="4"/>
      <c r="AB565" s="4"/>
      <c r="AC565" s="4"/>
      <c r="AD565" s="4"/>
      <c r="AE565" s="4"/>
      <c r="AF565" s="4"/>
      <c r="AG565" s="4"/>
      <c r="AH565" s="4"/>
      <c r="AI565" s="4"/>
      <c r="AJ565" s="4"/>
      <c r="AK565" s="4"/>
    </row>
    <row r="566" ht="13.5" customHeight="1" spans="1:37" x14ac:dyDescent="0.25">
      <c r="A566" s="344"/>
      <c r="B566" s="4"/>
      <c r="C566" s="4"/>
      <c r="D566" s="4"/>
      <c r="E566" s="4"/>
      <c r="F566" s="4"/>
      <c r="G566" s="4"/>
      <c r="H566" s="4"/>
      <c r="I566" s="4"/>
      <c r="J566" s="4"/>
      <c r="K566" s="4"/>
      <c r="L566" s="4"/>
      <c r="M566" s="4"/>
      <c r="N566" s="4"/>
      <c r="O566" s="4"/>
      <c r="P566" s="4"/>
      <c r="Q566" s="4"/>
      <c r="R566" s="4"/>
      <c r="S566" s="4"/>
      <c r="T566" s="4"/>
      <c r="U566" s="4"/>
      <c r="V566" s="4"/>
      <c r="W566" s="4"/>
      <c r="X566" s="4"/>
      <c r="Y566" s="4"/>
      <c r="Z566" s="4"/>
      <c r="AA566" s="4"/>
      <c r="AB566" s="4"/>
      <c r="AC566" s="4"/>
      <c r="AD566" s="4"/>
      <c r="AE566" s="4"/>
      <c r="AF566" s="4"/>
      <c r="AG566" s="4"/>
      <c r="AH566" s="4"/>
      <c r="AI566" s="4"/>
      <c r="AJ566" s="4"/>
      <c r="AK566" s="4"/>
    </row>
    <row r="567" ht="13.5" customHeight="1" spans="1:37" x14ac:dyDescent="0.25">
      <c r="A567" s="344"/>
      <c r="B567" s="4"/>
      <c r="C567" s="4"/>
      <c r="D567" s="4"/>
      <c r="E567" s="4"/>
      <c r="F567" s="4"/>
      <c r="G567" s="4"/>
      <c r="H567" s="4"/>
      <c r="I567" s="4"/>
      <c r="J567" s="4"/>
      <c r="K567" s="4"/>
      <c r="L567" s="4"/>
      <c r="M567" s="4"/>
      <c r="N567" s="4"/>
      <c r="O567" s="4"/>
      <c r="P567" s="4"/>
      <c r="Q567" s="4"/>
      <c r="R567" s="4"/>
      <c r="S567" s="4"/>
      <c r="T567" s="4"/>
      <c r="U567" s="4"/>
      <c r="V567" s="4"/>
      <c r="W567" s="4"/>
      <c r="X567" s="4"/>
      <c r="Y567" s="4"/>
      <c r="Z567" s="4"/>
      <c r="AA567" s="4"/>
      <c r="AB567" s="4"/>
      <c r="AC567" s="4"/>
      <c r="AD567" s="4"/>
      <c r="AE567" s="4"/>
      <c r="AF567" s="4"/>
      <c r="AG567" s="4"/>
      <c r="AH567" s="4"/>
      <c r="AI567" s="4"/>
      <c r="AJ567" s="4"/>
      <c r="AK567" s="4"/>
    </row>
    <row r="568" ht="13.5" customHeight="1" spans="1:37" x14ac:dyDescent="0.25">
      <c r="A568" s="344"/>
      <c r="B568" s="4"/>
      <c r="C568" s="4"/>
      <c r="D568" s="4"/>
      <c r="E568" s="4"/>
      <c r="F568" s="4"/>
      <c r="G568" s="4"/>
      <c r="H568" s="4"/>
      <c r="I568" s="4"/>
      <c r="J568" s="4"/>
      <c r="K568" s="4"/>
      <c r="L568" s="4"/>
      <c r="M568" s="4"/>
      <c r="N568" s="4"/>
      <c r="O568" s="4"/>
      <c r="P568" s="4"/>
      <c r="Q568" s="4"/>
      <c r="R568" s="4"/>
      <c r="S568" s="4"/>
      <c r="T568" s="4"/>
      <c r="U568" s="4"/>
      <c r="V568" s="4"/>
      <c r="W568" s="4"/>
      <c r="X568" s="4"/>
      <c r="Y568" s="4"/>
      <c r="Z568" s="4"/>
      <c r="AA568" s="4"/>
      <c r="AB568" s="4"/>
      <c r="AC568" s="4"/>
      <c r="AD568" s="4"/>
      <c r="AE568" s="4"/>
      <c r="AF568" s="4"/>
      <c r="AG568" s="4"/>
      <c r="AH568" s="4"/>
      <c r="AI568" s="4"/>
      <c r="AJ568" s="4"/>
      <c r="AK568" s="4"/>
    </row>
    <row r="569" ht="13.5" customHeight="1" spans="1:37" x14ac:dyDescent="0.25">
      <c r="A569" s="344"/>
      <c r="B569" s="4"/>
      <c r="C569" s="4"/>
      <c r="D569" s="4"/>
      <c r="E569" s="4"/>
      <c r="F569" s="4"/>
      <c r="G569" s="4"/>
      <c r="H569" s="4"/>
      <c r="I569" s="4"/>
      <c r="J569" s="4"/>
      <c r="K569" s="4"/>
      <c r="L569" s="4"/>
      <c r="M569" s="4"/>
      <c r="N569" s="4"/>
      <c r="O569" s="4"/>
      <c r="P569" s="4"/>
      <c r="Q569" s="4"/>
      <c r="R569" s="4"/>
      <c r="S569" s="4"/>
      <c r="T569" s="4"/>
      <c r="U569" s="4"/>
      <c r="V569" s="4"/>
      <c r="W569" s="4"/>
      <c r="X569" s="4"/>
      <c r="Y569" s="4"/>
      <c r="Z569" s="4"/>
      <c r="AA569" s="4"/>
      <c r="AB569" s="4"/>
      <c r="AC569" s="4"/>
      <c r="AD569" s="4"/>
      <c r="AE569" s="4"/>
      <c r="AF569" s="4"/>
      <c r="AG569" s="4"/>
      <c r="AH569" s="4"/>
      <c r="AI569" s="4"/>
      <c r="AJ569" s="4"/>
      <c r="AK569" s="4"/>
    </row>
    <row r="570" ht="13.5" customHeight="1" spans="1:37" x14ac:dyDescent="0.25">
      <c r="A570" s="344"/>
      <c r="B570" s="4"/>
      <c r="C570" s="4"/>
      <c r="D570" s="4"/>
      <c r="E570" s="4"/>
      <c r="F570" s="4"/>
      <c r="G570" s="4"/>
      <c r="H570" s="4"/>
      <c r="I570" s="4"/>
      <c r="J570" s="4"/>
      <c r="K570" s="4"/>
      <c r="L570" s="4"/>
      <c r="M570" s="4"/>
      <c r="N570" s="4"/>
      <c r="O570" s="4"/>
      <c r="P570" s="4"/>
      <c r="Q570" s="4"/>
      <c r="R570" s="4"/>
      <c r="S570" s="4"/>
      <c r="T570" s="4"/>
      <c r="U570" s="4"/>
      <c r="V570" s="4"/>
      <c r="W570" s="4"/>
      <c r="X570" s="4"/>
      <c r="Y570" s="4"/>
      <c r="Z570" s="4"/>
      <c r="AA570" s="4"/>
      <c r="AB570" s="4"/>
      <c r="AC570" s="4"/>
      <c r="AD570" s="4"/>
      <c r="AE570" s="4"/>
      <c r="AF570" s="4"/>
      <c r="AG570" s="4"/>
      <c r="AH570" s="4"/>
      <c r="AI570" s="4"/>
      <c r="AJ570" s="4"/>
      <c r="AK570" s="4"/>
    </row>
    <row r="571" ht="13.5" customHeight="1" spans="1:37" x14ac:dyDescent="0.25">
      <c r="A571" s="344"/>
      <c r="B571" s="4"/>
      <c r="C571" s="4"/>
      <c r="D571" s="4"/>
      <c r="E571" s="4"/>
      <c r="F571" s="4"/>
      <c r="G571" s="4"/>
      <c r="H571" s="4"/>
      <c r="I571" s="4"/>
      <c r="J571" s="4"/>
      <c r="K571" s="4"/>
      <c r="L571" s="4"/>
      <c r="M571" s="4"/>
      <c r="N571" s="4"/>
      <c r="O571" s="4"/>
      <c r="P571" s="4"/>
      <c r="Q571" s="4"/>
      <c r="R571" s="4"/>
      <c r="S571" s="4"/>
      <c r="T571" s="4"/>
      <c r="U571" s="4"/>
      <c r="V571" s="4"/>
      <c r="W571" s="4"/>
      <c r="X571" s="4"/>
      <c r="Y571" s="4"/>
      <c r="Z571" s="4"/>
      <c r="AA571" s="4"/>
      <c r="AB571" s="4"/>
      <c r="AC571" s="4"/>
      <c r="AD571" s="4"/>
      <c r="AE571" s="4"/>
      <c r="AF571" s="4"/>
      <c r="AG571" s="4"/>
      <c r="AH571" s="4"/>
      <c r="AI571" s="4"/>
      <c r="AJ571" s="4"/>
      <c r="AK571" s="4"/>
    </row>
    <row r="572" ht="13.5" customHeight="1" spans="1:37" x14ac:dyDescent="0.25">
      <c r="A572" s="344"/>
      <c r="B572" s="4"/>
      <c r="C572" s="4"/>
      <c r="D572" s="4"/>
      <c r="E572" s="4"/>
      <c r="F572" s="4"/>
      <c r="G572" s="4"/>
      <c r="H572" s="4"/>
      <c r="I572" s="4"/>
      <c r="J572" s="4"/>
      <c r="K572" s="4"/>
      <c r="L572" s="4"/>
      <c r="M572" s="4"/>
      <c r="N572" s="4"/>
      <c r="O572" s="4"/>
      <c r="P572" s="4"/>
      <c r="Q572" s="4"/>
      <c r="R572" s="4"/>
      <c r="S572" s="4"/>
      <c r="T572" s="4"/>
      <c r="U572" s="4"/>
      <c r="V572" s="4"/>
      <c r="W572" s="4"/>
      <c r="X572" s="4"/>
      <c r="Y572" s="4"/>
      <c r="Z572" s="4"/>
      <c r="AA572" s="4"/>
      <c r="AB572" s="4"/>
      <c r="AC572" s="4"/>
      <c r="AD572" s="4"/>
      <c r="AE572" s="4"/>
      <c r="AF572" s="4"/>
      <c r="AG572" s="4"/>
      <c r="AH572" s="4"/>
      <c r="AI572" s="4"/>
      <c r="AJ572" s="4"/>
      <c r="AK572" s="4"/>
    </row>
    <row r="573" ht="13.5" customHeight="1" spans="1:37" x14ac:dyDescent="0.25">
      <c r="A573" s="344"/>
      <c r="B573" s="4"/>
      <c r="C573" s="4"/>
      <c r="D573" s="4"/>
      <c r="E573" s="4"/>
      <c r="F573" s="4"/>
      <c r="G573" s="4"/>
      <c r="H573" s="4"/>
      <c r="I573" s="4"/>
      <c r="J573" s="4"/>
      <c r="K573" s="4"/>
      <c r="L573" s="4"/>
      <c r="M573" s="4"/>
      <c r="N573" s="4"/>
      <c r="O573" s="4"/>
      <c r="P573" s="4"/>
      <c r="Q573" s="4"/>
      <c r="R573" s="4"/>
      <c r="S573" s="4"/>
      <c r="T573" s="4"/>
      <c r="U573" s="4"/>
      <c r="V573" s="4"/>
      <c r="W573" s="4"/>
      <c r="X573" s="4"/>
      <c r="Y573" s="4"/>
      <c r="Z573" s="4"/>
      <c r="AA573" s="4"/>
      <c r="AB573" s="4"/>
      <c r="AC573" s="4"/>
      <c r="AD573" s="4"/>
      <c r="AE573" s="4"/>
      <c r="AF573" s="4"/>
      <c r="AG573" s="4"/>
      <c r="AH573" s="4"/>
      <c r="AI573" s="4"/>
      <c r="AJ573" s="4"/>
      <c r="AK573" s="4"/>
    </row>
    <row r="574" ht="13.5" customHeight="1" spans="1:37" x14ac:dyDescent="0.25">
      <c r="A574" s="344"/>
      <c r="B574" s="4"/>
      <c r="C574" s="4"/>
      <c r="D574" s="4"/>
      <c r="E574" s="4"/>
      <c r="F574" s="4"/>
      <c r="G574" s="4"/>
      <c r="H574" s="4"/>
      <c r="I574" s="4"/>
      <c r="J574" s="4"/>
      <c r="K574" s="4"/>
      <c r="L574" s="4"/>
      <c r="M574" s="4"/>
      <c r="N574" s="4"/>
      <c r="O574" s="4"/>
      <c r="P574" s="4"/>
      <c r="Q574" s="4"/>
      <c r="R574" s="4"/>
      <c r="S574" s="4"/>
      <c r="T574" s="4"/>
      <c r="U574" s="4"/>
      <c r="V574" s="4"/>
      <c r="W574" s="4"/>
      <c r="X574" s="4"/>
      <c r="Y574" s="4"/>
      <c r="Z574" s="4"/>
      <c r="AA574" s="4"/>
      <c r="AB574" s="4"/>
      <c r="AC574" s="4"/>
      <c r="AD574" s="4"/>
      <c r="AE574" s="4"/>
      <c r="AF574" s="4"/>
      <c r="AG574" s="4"/>
      <c r="AH574" s="4"/>
      <c r="AI574" s="4"/>
      <c r="AJ574" s="4"/>
      <c r="AK574" s="4"/>
    </row>
    <row r="575" ht="13.5" customHeight="1" spans="1:37" x14ac:dyDescent="0.25">
      <c r="A575" s="344"/>
      <c r="B575" s="4"/>
      <c r="C575" s="4"/>
      <c r="D575" s="4"/>
      <c r="E575" s="4"/>
      <c r="F575" s="4"/>
      <c r="G575" s="4"/>
      <c r="H575" s="4"/>
      <c r="I575" s="4"/>
      <c r="J575" s="4"/>
      <c r="K575" s="4"/>
      <c r="L575" s="4"/>
      <c r="M575" s="4"/>
      <c r="N575" s="4"/>
      <c r="O575" s="4"/>
      <c r="P575" s="4"/>
      <c r="Q575" s="4"/>
      <c r="R575" s="4"/>
      <c r="S575" s="4"/>
      <c r="T575" s="4"/>
      <c r="U575" s="4"/>
      <c r="V575" s="4"/>
      <c r="W575" s="4"/>
      <c r="X575" s="4"/>
      <c r="Y575" s="4"/>
      <c r="Z575" s="4"/>
      <c r="AA575" s="4"/>
      <c r="AB575" s="4"/>
      <c r="AC575" s="4"/>
      <c r="AD575" s="4"/>
      <c r="AE575" s="4"/>
      <c r="AF575" s="4"/>
      <c r="AG575" s="4"/>
      <c r="AH575" s="4"/>
      <c r="AI575" s="4"/>
      <c r="AJ575" s="4"/>
      <c r="AK575" s="4"/>
    </row>
    <row r="576" ht="13.5" customHeight="1" spans="1:37" x14ac:dyDescent="0.25">
      <c r="A576" s="344"/>
      <c r="B576" s="4"/>
      <c r="C576" s="4"/>
      <c r="D576" s="4"/>
      <c r="E576" s="4"/>
      <c r="F576" s="4"/>
      <c r="G576" s="4"/>
      <c r="H576" s="4"/>
      <c r="I576" s="4"/>
      <c r="J576" s="4"/>
      <c r="K576" s="4"/>
      <c r="L576" s="4"/>
      <c r="M576" s="4"/>
      <c r="N576" s="4"/>
      <c r="O576" s="4"/>
      <c r="P576" s="4"/>
      <c r="Q576" s="4"/>
      <c r="R576" s="4"/>
      <c r="S576" s="4"/>
      <c r="T576" s="4"/>
      <c r="U576" s="4"/>
      <c r="V576" s="4"/>
      <c r="W576" s="4"/>
      <c r="X576" s="4"/>
      <c r="Y576" s="4"/>
      <c r="Z576" s="4"/>
      <c r="AA576" s="4"/>
      <c r="AB576" s="4"/>
      <c r="AC576" s="4"/>
      <c r="AD576" s="4"/>
      <c r="AE576" s="4"/>
      <c r="AF576" s="4"/>
      <c r="AG576" s="4"/>
      <c r="AH576" s="4"/>
      <c r="AI576" s="4"/>
      <c r="AJ576" s="4"/>
      <c r="AK576" s="4"/>
    </row>
    <row r="577" ht="13.5" customHeight="1" spans="1:37" x14ac:dyDescent="0.25">
      <c r="A577" s="344"/>
      <c r="B577" s="4"/>
      <c r="C577" s="4"/>
      <c r="D577" s="4"/>
      <c r="E577" s="4"/>
      <c r="F577" s="4"/>
      <c r="G577" s="4"/>
      <c r="H577" s="4"/>
      <c r="I577" s="4"/>
      <c r="J577" s="4"/>
      <c r="K577" s="4"/>
      <c r="L577" s="4"/>
      <c r="M577" s="4"/>
      <c r="N577" s="4"/>
      <c r="O577" s="4"/>
      <c r="P577" s="4"/>
      <c r="Q577" s="4"/>
      <c r="R577" s="4"/>
      <c r="S577" s="4"/>
      <c r="T577" s="4"/>
      <c r="U577" s="4"/>
      <c r="V577" s="4"/>
      <c r="W577" s="4"/>
      <c r="X577" s="4"/>
      <c r="Y577" s="4"/>
      <c r="Z577" s="4"/>
      <c r="AA577" s="4"/>
      <c r="AB577" s="4"/>
      <c r="AC577" s="4"/>
      <c r="AD577" s="4"/>
      <c r="AE577" s="4"/>
      <c r="AF577" s="4"/>
      <c r="AG577" s="4"/>
      <c r="AH577" s="4"/>
      <c r="AI577" s="4"/>
      <c r="AJ577" s="4"/>
      <c r="AK577" s="4"/>
    </row>
    <row r="578" ht="13.5" customHeight="1" spans="1:37" x14ac:dyDescent="0.25">
      <c r="A578" s="344"/>
      <c r="B578" s="4"/>
      <c r="C578" s="4"/>
      <c r="D578" s="4"/>
      <c r="E578" s="4"/>
      <c r="F578" s="4"/>
      <c r="G578" s="4"/>
      <c r="H578" s="4"/>
      <c r="I578" s="4"/>
      <c r="J578" s="4"/>
      <c r="K578" s="4"/>
      <c r="L578" s="4"/>
      <c r="M578" s="4"/>
      <c r="N578" s="4"/>
      <c r="O578" s="4"/>
      <c r="P578" s="4"/>
      <c r="Q578" s="4"/>
      <c r="R578" s="4"/>
      <c r="S578" s="4"/>
      <c r="T578" s="4"/>
      <c r="U578" s="4"/>
      <c r="V578" s="4"/>
      <c r="W578" s="4"/>
      <c r="X578" s="4"/>
      <c r="Y578" s="4"/>
      <c r="Z578" s="4"/>
      <c r="AA578" s="4"/>
      <c r="AB578" s="4"/>
      <c r="AC578" s="4"/>
      <c r="AD578" s="4"/>
      <c r="AE578" s="4"/>
      <c r="AF578" s="4"/>
      <c r="AG578" s="4"/>
      <c r="AH578" s="4"/>
      <c r="AI578" s="4"/>
      <c r="AJ578" s="4"/>
      <c r="AK578" s="4"/>
    </row>
    <row r="579" ht="13.5" customHeight="1" spans="1:37" x14ac:dyDescent="0.25">
      <c r="A579" s="344"/>
      <c r="B579" s="4"/>
      <c r="C579" s="4"/>
      <c r="D579" s="4"/>
      <c r="E579" s="4"/>
      <c r="F579" s="4"/>
      <c r="G579" s="4"/>
      <c r="H579" s="4"/>
      <c r="I579" s="4"/>
      <c r="J579" s="4"/>
      <c r="K579" s="4"/>
      <c r="L579" s="4"/>
      <c r="M579" s="4"/>
      <c r="N579" s="4"/>
      <c r="O579" s="4"/>
      <c r="P579" s="4"/>
      <c r="Q579" s="4"/>
      <c r="R579" s="4"/>
      <c r="S579" s="4"/>
      <c r="T579" s="4"/>
      <c r="U579" s="4"/>
      <c r="V579" s="4"/>
      <c r="W579" s="4"/>
      <c r="X579" s="4"/>
      <c r="Y579" s="4"/>
      <c r="Z579" s="4"/>
      <c r="AA579" s="4"/>
      <c r="AB579" s="4"/>
      <c r="AC579" s="4"/>
      <c r="AD579" s="4"/>
      <c r="AE579" s="4"/>
      <c r="AF579" s="4"/>
      <c r="AG579" s="4"/>
      <c r="AH579" s="4"/>
      <c r="AI579" s="4"/>
      <c r="AJ579" s="4"/>
      <c r="AK579" s="4"/>
    </row>
    <row r="580" ht="13.5" customHeight="1" spans="1:37" x14ac:dyDescent="0.25">
      <c r="A580" s="344"/>
      <c r="B580" s="4"/>
      <c r="C580" s="4"/>
      <c r="D580" s="4"/>
      <c r="E580" s="4"/>
      <c r="F580" s="4"/>
      <c r="G580" s="4"/>
      <c r="H580" s="4"/>
      <c r="I580" s="4"/>
      <c r="J580" s="4"/>
      <c r="K580" s="4"/>
      <c r="L580" s="4"/>
      <c r="M580" s="4"/>
      <c r="N580" s="4"/>
      <c r="O580" s="4"/>
      <c r="P580" s="4"/>
      <c r="Q580" s="4"/>
      <c r="R580" s="4"/>
      <c r="S580" s="4"/>
      <c r="T580" s="4"/>
      <c r="U580" s="4"/>
      <c r="V580" s="4"/>
      <c r="W580" s="4"/>
      <c r="X580" s="4"/>
      <c r="Y580" s="4"/>
      <c r="Z580" s="4"/>
      <c r="AA580" s="4"/>
      <c r="AB580" s="4"/>
      <c r="AC580" s="4"/>
      <c r="AD580" s="4"/>
      <c r="AE580" s="4"/>
      <c r="AF580" s="4"/>
      <c r="AG580" s="4"/>
      <c r="AH580" s="4"/>
      <c r="AI580" s="4"/>
      <c r="AJ580" s="4"/>
      <c r="AK580" s="4"/>
    </row>
    <row r="581" ht="13.5" customHeight="1" spans="1:37" x14ac:dyDescent="0.25">
      <c r="A581" s="344"/>
      <c r="B581" s="4"/>
      <c r="C581" s="4"/>
      <c r="D581" s="4"/>
      <c r="E581" s="4"/>
      <c r="F581" s="4"/>
      <c r="G581" s="4"/>
      <c r="H581" s="4"/>
      <c r="I581" s="4"/>
      <c r="J581" s="4"/>
      <c r="K581" s="4"/>
      <c r="L581" s="4"/>
      <c r="M581" s="4"/>
      <c r="N581" s="4"/>
      <c r="O581" s="4"/>
      <c r="P581" s="4"/>
      <c r="Q581" s="4"/>
      <c r="R581" s="4"/>
      <c r="S581" s="4"/>
      <c r="T581" s="4"/>
      <c r="U581" s="4"/>
      <c r="V581" s="4"/>
      <c r="W581" s="4"/>
      <c r="X581" s="4"/>
      <c r="Y581" s="4"/>
      <c r="Z581" s="4"/>
      <c r="AA581" s="4"/>
      <c r="AB581" s="4"/>
      <c r="AC581" s="4"/>
      <c r="AD581" s="4"/>
      <c r="AE581" s="4"/>
      <c r="AF581" s="4"/>
      <c r="AG581" s="4"/>
      <c r="AH581" s="4"/>
      <c r="AI581" s="4"/>
      <c r="AJ581" s="4"/>
      <c r="AK581" s="4"/>
    </row>
    <row r="582" ht="13.5" customHeight="1" spans="1:37" x14ac:dyDescent="0.25">
      <c r="A582" s="344"/>
      <c r="B582" s="4"/>
      <c r="C582" s="4"/>
      <c r="D582" s="4"/>
      <c r="E582" s="4"/>
      <c r="F582" s="4"/>
      <c r="G582" s="4"/>
      <c r="H582" s="4"/>
      <c r="I582" s="4"/>
      <c r="J582" s="4"/>
      <c r="K582" s="4"/>
      <c r="L582" s="4"/>
      <c r="M582" s="4"/>
      <c r="N582" s="4"/>
      <c r="O582" s="4"/>
      <c r="P582" s="4"/>
      <c r="Q582" s="4"/>
      <c r="R582" s="4"/>
      <c r="S582" s="4"/>
      <c r="T582" s="4"/>
      <c r="U582" s="4"/>
      <c r="V582" s="4"/>
      <c r="W582" s="4"/>
      <c r="X582" s="4"/>
      <c r="Y582" s="4"/>
      <c r="Z582" s="4"/>
      <c r="AA582" s="4"/>
      <c r="AB582" s="4"/>
      <c r="AC582" s="4"/>
      <c r="AD582" s="4"/>
      <c r="AE582" s="4"/>
      <c r="AF582" s="4"/>
      <c r="AG582" s="4"/>
      <c r="AH582" s="4"/>
      <c r="AI582" s="4"/>
      <c r="AJ582" s="4"/>
      <c r="AK582" s="4"/>
    </row>
    <row r="583" ht="13.5" customHeight="1" spans="1:37" x14ac:dyDescent="0.25">
      <c r="A583" s="344"/>
      <c r="B583" s="4"/>
      <c r="C583" s="4"/>
      <c r="D583" s="4"/>
      <c r="E583" s="4"/>
      <c r="F583" s="4"/>
      <c r="G583" s="4"/>
      <c r="H583" s="4"/>
      <c r="I583" s="4"/>
      <c r="J583" s="4"/>
      <c r="K583" s="4"/>
      <c r="L583" s="4"/>
      <c r="M583" s="4"/>
      <c r="N583" s="4"/>
      <c r="O583" s="4"/>
      <c r="P583" s="4"/>
      <c r="Q583" s="4"/>
      <c r="R583" s="4"/>
      <c r="S583" s="4"/>
      <c r="T583" s="4"/>
      <c r="U583" s="4"/>
      <c r="V583" s="4"/>
      <c r="W583" s="4"/>
      <c r="X583" s="4"/>
      <c r="Y583" s="4"/>
      <c r="Z583" s="4"/>
      <c r="AA583" s="4"/>
      <c r="AB583" s="4"/>
      <c r="AC583" s="4"/>
      <c r="AD583" s="4"/>
      <c r="AE583" s="4"/>
      <c r="AF583" s="4"/>
      <c r="AG583" s="4"/>
      <c r="AH583" s="4"/>
      <c r="AI583" s="4"/>
      <c r="AJ583" s="4"/>
      <c r="AK583" s="4"/>
    </row>
    <row r="584" ht="13.5" customHeight="1" spans="1:37" x14ac:dyDescent="0.25">
      <c r="A584" s="344"/>
      <c r="B584" s="4"/>
      <c r="C584" s="4"/>
      <c r="D584" s="4"/>
      <c r="E584" s="4"/>
      <c r="F584" s="4"/>
      <c r="G584" s="4"/>
      <c r="H584" s="4"/>
      <c r="I584" s="4"/>
      <c r="J584" s="4"/>
      <c r="K584" s="4"/>
      <c r="L584" s="4"/>
      <c r="M584" s="4"/>
      <c r="N584" s="4"/>
      <c r="O584" s="4"/>
      <c r="P584" s="4"/>
      <c r="Q584" s="4"/>
      <c r="R584" s="4"/>
      <c r="S584" s="4"/>
      <c r="T584" s="4"/>
      <c r="U584" s="4"/>
      <c r="V584" s="4"/>
      <c r="W584" s="4"/>
      <c r="X584" s="4"/>
      <c r="Y584" s="4"/>
      <c r="Z584" s="4"/>
      <c r="AA584" s="4"/>
      <c r="AB584" s="4"/>
      <c r="AC584" s="4"/>
      <c r="AD584" s="4"/>
      <c r="AE584" s="4"/>
      <c r="AF584" s="4"/>
      <c r="AG584" s="4"/>
      <c r="AH584" s="4"/>
      <c r="AI584" s="4"/>
      <c r="AJ584" s="4"/>
      <c r="AK584" s="4"/>
    </row>
    <row r="585" ht="13.5" customHeight="1" spans="1:37" x14ac:dyDescent="0.25">
      <c r="A585" s="344"/>
      <c r="B585" s="4"/>
      <c r="C585" s="4"/>
      <c r="D585" s="4"/>
      <c r="E585" s="4"/>
      <c r="F585" s="4"/>
      <c r="G585" s="4"/>
      <c r="H585" s="4"/>
      <c r="I585" s="4"/>
      <c r="J585" s="4"/>
      <c r="K585" s="4"/>
      <c r="L585" s="4"/>
      <c r="M585" s="4"/>
      <c r="N585" s="4"/>
      <c r="O585" s="4"/>
      <c r="P585" s="4"/>
      <c r="Q585" s="4"/>
      <c r="R585" s="4"/>
      <c r="S585" s="4"/>
      <c r="T585" s="4"/>
      <c r="U585" s="4"/>
      <c r="V585" s="4"/>
      <c r="W585" s="4"/>
      <c r="X585" s="4"/>
      <c r="Y585" s="4"/>
      <c r="Z585" s="4"/>
      <c r="AA585" s="4"/>
      <c r="AB585" s="4"/>
      <c r="AC585" s="4"/>
      <c r="AD585" s="4"/>
      <c r="AE585" s="4"/>
      <c r="AF585" s="4"/>
      <c r="AG585" s="4"/>
      <c r="AH585" s="4"/>
      <c r="AI585" s="4"/>
      <c r="AJ585" s="4"/>
      <c r="AK585" s="4"/>
    </row>
    <row r="586" ht="13.5" customHeight="1" spans="1:37" x14ac:dyDescent="0.25">
      <c r="A586" s="344"/>
      <c r="B586" s="4"/>
      <c r="C586" s="4"/>
      <c r="D586" s="4"/>
      <c r="E586" s="4"/>
      <c r="F586" s="4"/>
      <c r="G586" s="4"/>
      <c r="H586" s="4"/>
      <c r="I586" s="4"/>
      <c r="J586" s="4"/>
      <c r="K586" s="4"/>
      <c r="L586" s="4"/>
      <c r="M586" s="4"/>
      <c r="N586" s="4"/>
      <c r="O586" s="4"/>
      <c r="P586" s="4"/>
      <c r="Q586" s="4"/>
      <c r="R586" s="4"/>
      <c r="S586" s="4"/>
      <c r="T586" s="4"/>
      <c r="U586" s="4"/>
      <c r="V586" s="4"/>
      <c r="W586" s="4"/>
      <c r="X586" s="4"/>
      <c r="Y586" s="4"/>
      <c r="Z586" s="4"/>
      <c r="AA586" s="4"/>
      <c r="AB586" s="4"/>
      <c r="AC586" s="4"/>
      <c r="AD586" s="4"/>
      <c r="AE586" s="4"/>
      <c r="AF586" s="4"/>
      <c r="AG586" s="4"/>
      <c r="AH586" s="4"/>
      <c r="AI586" s="4"/>
      <c r="AJ586" s="4"/>
      <c r="AK586" s="4"/>
    </row>
    <row r="587" ht="13.5" customHeight="1" spans="1:37" x14ac:dyDescent="0.25">
      <c r="A587" s="344"/>
      <c r="B587" s="4"/>
      <c r="C587" s="4"/>
      <c r="D587" s="4"/>
      <c r="E587" s="4"/>
      <c r="F587" s="4"/>
      <c r="G587" s="4"/>
      <c r="H587" s="4"/>
      <c r="I587" s="4"/>
      <c r="J587" s="4"/>
      <c r="K587" s="4"/>
      <c r="L587" s="4"/>
      <c r="M587" s="4"/>
      <c r="N587" s="4"/>
      <c r="O587" s="4"/>
      <c r="P587" s="4"/>
      <c r="Q587" s="4"/>
      <c r="R587" s="4"/>
      <c r="S587" s="4"/>
      <c r="T587" s="4"/>
      <c r="U587" s="4"/>
      <c r="V587" s="4"/>
      <c r="W587" s="4"/>
      <c r="X587" s="4"/>
      <c r="Y587" s="4"/>
      <c r="Z587" s="4"/>
      <c r="AA587" s="4"/>
      <c r="AB587" s="4"/>
      <c r="AC587" s="4"/>
      <c r="AD587" s="4"/>
      <c r="AE587" s="4"/>
      <c r="AF587" s="4"/>
      <c r="AG587" s="4"/>
      <c r="AH587" s="4"/>
      <c r="AI587" s="4"/>
      <c r="AJ587" s="4"/>
      <c r="AK587" s="4"/>
    </row>
    <row r="588" ht="13.5" customHeight="1" spans="1:37" x14ac:dyDescent="0.25">
      <c r="A588" s="344"/>
      <c r="B588" s="4"/>
      <c r="C588" s="4"/>
      <c r="D588" s="4"/>
      <c r="E588" s="4"/>
      <c r="F588" s="4"/>
      <c r="G588" s="4"/>
      <c r="H588" s="4"/>
      <c r="I588" s="4"/>
      <c r="J588" s="4"/>
      <c r="K588" s="4"/>
      <c r="L588" s="4"/>
      <c r="M588" s="4"/>
      <c r="N588" s="4"/>
      <c r="O588" s="4"/>
      <c r="P588" s="4"/>
      <c r="Q588" s="4"/>
      <c r="R588" s="4"/>
      <c r="S588" s="4"/>
      <c r="T588" s="4"/>
      <c r="U588" s="4"/>
      <c r="V588" s="4"/>
      <c r="W588" s="4"/>
      <c r="X588" s="4"/>
      <c r="Y588" s="4"/>
      <c r="Z588" s="4"/>
      <c r="AA588" s="4"/>
      <c r="AB588" s="4"/>
      <c r="AC588" s="4"/>
      <c r="AD588" s="4"/>
      <c r="AE588" s="4"/>
      <c r="AF588" s="4"/>
      <c r="AG588" s="4"/>
      <c r="AH588" s="4"/>
      <c r="AI588" s="4"/>
      <c r="AJ588" s="4"/>
      <c r="AK588" s="4"/>
    </row>
    <row r="589" ht="13.5" customHeight="1" spans="1:37" x14ac:dyDescent="0.25">
      <c r="A589" s="344"/>
      <c r="B589" s="4"/>
      <c r="C589" s="4"/>
      <c r="D589" s="4"/>
      <c r="E589" s="4"/>
      <c r="F589" s="4"/>
      <c r="G589" s="4"/>
      <c r="H589" s="4"/>
      <c r="I589" s="4"/>
      <c r="J589" s="4"/>
      <c r="K589" s="4"/>
      <c r="L589" s="4"/>
      <c r="M589" s="4"/>
      <c r="N589" s="4"/>
      <c r="O589" s="4"/>
      <c r="P589" s="4"/>
      <c r="Q589" s="4"/>
      <c r="R589" s="4"/>
      <c r="S589" s="4"/>
      <c r="T589" s="4"/>
      <c r="U589" s="4"/>
      <c r="V589" s="4"/>
      <c r="W589" s="4"/>
      <c r="X589" s="4"/>
      <c r="Y589" s="4"/>
      <c r="Z589" s="4"/>
      <c r="AA589" s="4"/>
      <c r="AB589" s="4"/>
      <c r="AC589" s="4"/>
      <c r="AD589" s="4"/>
      <c r="AE589" s="4"/>
      <c r="AF589" s="4"/>
      <c r="AG589" s="4"/>
      <c r="AH589" s="4"/>
      <c r="AI589" s="4"/>
      <c r="AJ589" s="4"/>
      <c r="AK589" s="4"/>
    </row>
    <row r="590" ht="13.5" customHeight="1" spans="1:37" x14ac:dyDescent="0.25">
      <c r="A590" s="344"/>
      <c r="B590" s="4"/>
      <c r="C590" s="4"/>
      <c r="D590" s="4"/>
      <c r="E590" s="4"/>
      <c r="F590" s="4"/>
      <c r="G590" s="4"/>
      <c r="H590" s="4"/>
      <c r="I590" s="4"/>
      <c r="J590" s="4"/>
      <c r="K590" s="4"/>
      <c r="L590" s="4"/>
      <c r="M590" s="4"/>
      <c r="N590" s="4"/>
      <c r="O590" s="4"/>
      <c r="P590" s="4"/>
      <c r="Q590" s="4"/>
      <c r="R590" s="4"/>
      <c r="S590" s="4"/>
      <c r="T590" s="4"/>
      <c r="U590" s="4"/>
      <c r="V590" s="4"/>
      <c r="W590" s="4"/>
      <c r="X590" s="4"/>
      <c r="Y590" s="4"/>
      <c r="Z590" s="4"/>
      <c r="AA590" s="4"/>
      <c r="AB590" s="4"/>
      <c r="AC590" s="4"/>
      <c r="AD590" s="4"/>
      <c r="AE590" s="4"/>
      <c r="AF590" s="4"/>
      <c r="AG590" s="4"/>
      <c r="AH590" s="4"/>
      <c r="AI590" s="4"/>
      <c r="AJ590" s="4"/>
      <c r="AK590" s="4"/>
    </row>
    <row r="591" ht="13.5" customHeight="1" spans="1:37" x14ac:dyDescent="0.25">
      <c r="A591" s="344"/>
      <c r="B591" s="4"/>
      <c r="C591" s="4"/>
      <c r="D591" s="4"/>
      <c r="E591" s="4"/>
      <c r="F591" s="4"/>
      <c r="G591" s="4"/>
      <c r="H591" s="4"/>
      <c r="I591" s="4"/>
      <c r="J591" s="4"/>
      <c r="K591" s="4"/>
      <c r="L591" s="4"/>
      <c r="M591" s="4"/>
      <c r="N591" s="4"/>
      <c r="O591" s="4"/>
      <c r="P591" s="4"/>
      <c r="Q591" s="4"/>
      <c r="R591" s="4"/>
      <c r="S591" s="4"/>
      <c r="T591" s="4"/>
      <c r="U591" s="4"/>
      <c r="V591" s="4"/>
      <c r="W591" s="4"/>
      <c r="X591" s="4"/>
      <c r="Y591" s="4"/>
      <c r="Z591" s="4"/>
      <c r="AA591" s="4"/>
      <c r="AB591" s="4"/>
      <c r="AC591" s="4"/>
      <c r="AD591" s="4"/>
      <c r="AE591" s="4"/>
      <c r="AF591" s="4"/>
      <c r="AG591" s="4"/>
      <c r="AH591" s="4"/>
      <c r="AI591" s="4"/>
      <c r="AJ591" s="4"/>
      <c r="AK591" s="4"/>
    </row>
    <row r="592" ht="13.5" customHeight="1" spans="1:37" x14ac:dyDescent="0.25">
      <c r="A592" s="344"/>
      <c r="B592" s="4"/>
      <c r="C592" s="4"/>
      <c r="D592" s="4"/>
      <c r="E592" s="4"/>
      <c r="F592" s="4"/>
      <c r="G592" s="4"/>
      <c r="H592" s="4"/>
      <c r="I592" s="4"/>
      <c r="J592" s="4"/>
      <c r="K592" s="4"/>
      <c r="L592" s="4"/>
      <c r="M592" s="4"/>
      <c r="N592" s="4"/>
      <c r="O592" s="4"/>
      <c r="P592" s="4"/>
      <c r="Q592" s="4"/>
      <c r="R592" s="4"/>
      <c r="S592" s="4"/>
      <c r="T592" s="4"/>
      <c r="U592" s="4"/>
      <c r="V592" s="4"/>
      <c r="W592" s="4"/>
      <c r="X592" s="4"/>
      <c r="Y592" s="4"/>
      <c r="Z592" s="4"/>
      <c r="AA592" s="4"/>
      <c r="AB592" s="4"/>
      <c r="AC592" s="4"/>
      <c r="AD592" s="4"/>
      <c r="AE592" s="4"/>
      <c r="AF592" s="4"/>
      <c r="AG592" s="4"/>
      <c r="AH592" s="4"/>
      <c r="AI592" s="4"/>
      <c r="AJ592" s="4"/>
      <c r="AK592" s="4"/>
    </row>
    <row r="593" ht="13.5" customHeight="1" spans="1:37" x14ac:dyDescent="0.25">
      <c r="A593" s="344"/>
      <c r="B593" s="4"/>
      <c r="C593" s="4"/>
      <c r="D593" s="4"/>
      <c r="E593" s="4"/>
      <c r="F593" s="4"/>
      <c r="G593" s="4"/>
      <c r="H593" s="4"/>
      <c r="I593" s="4"/>
      <c r="J593" s="4"/>
      <c r="K593" s="4"/>
      <c r="L593" s="4"/>
      <c r="M593" s="4"/>
      <c r="N593" s="4"/>
      <c r="O593" s="4"/>
      <c r="P593" s="4"/>
      <c r="Q593" s="4"/>
      <c r="R593" s="4"/>
      <c r="S593" s="4"/>
      <c r="T593" s="4"/>
      <c r="U593" s="4"/>
      <c r="V593" s="4"/>
      <c r="W593" s="4"/>
      <c r="X593" s="4"/>
      <c r="Y593" s="4"/>
      <c r="Z593" s="4"/>
      <c r="AA593" s="4"/>
      <c r="AB593" s="4"/>
      <c r="AC593" s="4"/>
      <c r="AD593" s="4"/>
      <c r="AE593" s="4"/>
      <c r="AF593" s="4"/>
      <c r="AG593" s="4"/>
      <c r="AH593" s="4"/>
      <c r="AI593" s="4"/>
      <c r="AJ593" s="4"/>
      <c r="AK593" s="4"/>
    </row>
    <row r="594" ht="13.5" customHeight="1" spans="1:37" x14ac:dyDescent="0.25">
      <c r="A594" s="344"/>
      <c r="B594" s="4"/>
      <c r="C594" s="4"/>
      <c r="D594" s="4"/>
      <c r="E594" s="4"/>
      <c r="F594" s="4"/>
      <c r="G594" s="4"/>
      <c r="H594" s="4"/>
      <c r="I594" s="4"/>
      <c r="J594" s="4"/>
      <c r="K594" s="4"/>
      <c r="L594" s="4"/>
      <c r="M594" s="4"/>
      <c r="N594" s="4"/>
      <c r="O594" s="4"/>
      <c r="P594" s="4"/>
      <c r="Q594" s="4"/>
      <c r="R594" s="4"/>
      <c r="S594" s="4"/>
      <c r="T594" s="4"/>
      <c r="U594" s="4"/>
      <c r="V594" s="4"/>
      <c r="W594" s="4"/>
      <c r="X594" s="4"/>
      <c r="Y594" s="4"/>
      <c r="Z594" s="4"/>
      <c r="AA594" s="4"/>
      <c r="AB594" s="4"/>
      <c r="AC594" s="4"/>
      <c r="AD594" s="4"/>
      <c r="AE594" s="4"/>
      <c r="AF594" s="4"/>
      <c r="AG594" s="4"/>
      <c r="AH594" s="4"/>
      <c r="AI594" s="4"/>
      <c r="AJ594" s="4"/>
      <c r="AK594" s="4"/>
    </row>
    <row r="595" ht="13.5" customHeight="1" spans="1:37" x14ac:dyDescent="0.25">
      <c r="A595" s="344"/>
      <c r="B595" s="4"/>
      <c r="C595" s="4"/>
      <c r="D595" s="4"/>
      <c r="E595" s="4"/>
      <c r="F595" s="4"/>
      <c r="G595" s="4"/>
      <c r="H595" s="4"/>
      <c r="I595" s="4"/>
      <c r="J595" s="4"/>
      <c r="K595" s="4"/>
      <c r="L595" s="4"/>
      <c r="M595" s="4"/>
      <c r="N595" s="4"/>
      <c r="O595" s="4"/>
      <c r="P595" s="4"/>
      <c r="Q595" s="4"/>
      <c r="R595" s="4"/>
      <c r="S595" s="4"/>
      <c r="T595" s="4"/>
      <c r="U595" s="4"/>
      <c r="V595" s="4"/>
      <c r="W595" s="4"/>
      <c r="X595" s="4"/>
      <c r="Y595" s="4"/>
      <c r="Z595" s="4"/>
      <c r="AA595" s="4"/>
      <c r="AB595" s="4"/>
      <c r="AC595" s="4"/>
      <c r="AD595" s="4"/>
      <c r="AE595" s="4"/>
      <c r="AF595" s="4"/>
      <c r="AG595" s="4"/>
      <c r="AH595" s="4"/>
      <c r="AI595" s="4"/>
      <c r="AJ595" s="4"/>
      <c r="AK595" s="4"/>
    </row>
    <row r="596" ht="13.5" customHeight="1" spans="1:37" x14ac:dyDescent="0.25">
      <c r="A596" s="344"/>
      <c r="B596" s="4"/>
      <c r="C596" s="4"/>
      <c r="D596" s="4"/>
      <c r="E596" s="4"/>
      <c r="F596" s="4"/>
      <c r="G596" s="4"/>
      <c r="H596" s="4"/>
      <c r="I596" s="4"/>
      <c r="J596" s="4"/>
      <c r="K596" s="4"/>
      <c r="L596" s="4"/>
      <c r="M596" s="4"/>
      <c r="N596" s="4"/>
      <c r="O596" s="4"/>
      <c r="P596" s="4"/>
      <c r="Q596" s="4"/>
      <c r="R596" s="4"/>
      <c r="S596" s="4"/>
      <c r="T596" s="4"/>
      <c r="U596" s="4"/>
      <c r="V596" s="4"/>
      <c r="W596" s="4"/>
      <c r="X596" s="4"/>
      <c r="Y596" s="4"/>
      <c r="Z596" s="4"/>
      <c r="AA596" s="4"/>
      <c r="AB596" s="4"/>
      <c r="AC596" s="4"/>
      <c r="AD596" s="4"/>
      <c r="AE596" s="4"/>
      <c r="AF596" s="4"/>
      <c r="AG596" s="4"/>
      <c r="AH596" s="4"/>
      <c r="AI596" s="4"/>
      <c r="AJ596" s="4"/>
      <c r="AK596" s="4"/>
    </row>
    <row r="597" ht="13.5" customHeight="1" spans="1:37" x14ac:dyDescent="0.25">
      <c r="A597" s="344"/>
      <c r="B597" s="4"/>
      <c r="C597" s="4"/>
      <c r="D597" s="4"/>
      <c r="E597" s="4"/>
      <c r="F597" s="4"/>
      <c r="G597" s="4"/>
      <c r="H597" s="4"/>
      <c r="I597" s="4"/>
      <c r="J597" s="4"/>
      <c r="K597" s="4"/>
      <c r="L597" s="4"/>
      <c r="M597" s="4"/>
      <c r="N597" s="4"/>
      <c r="O597" s="4"/>
      <c r="P597" s="4"/>
      <c r="Q597" s="4"/>
      <c r="R597" s="4"/>
      <c r="S597" s="4"/>
      <c r="T597" s="4"/>
      <c r="U597" s="4"/>
      <c r="V597" s="4"/>
      <c r="W597" s="4"/>
      <c r="X597" s="4"/>
      <c r="Y597" s="4"/>
      <c r="Z597" s="4"/>
      <c r="AA597" s="4"/>
      <c r="AB597" s="4"/>
      <c r="AC597" s="4"/>
      <c r="AD597" s="4"/>
      <c r="AE597" s="4"/>
      <c r="AF597" s="4"/>
      <c r="AG597" s="4"/>
      <c r="AH597" s="4"/>
      <c r="AI597" s="4"/>
      <c r="AJ597" s="4"/>
      <c r="AK597" s="4"/>
    </row>
    <row r="598" ht="13.5" customHeight="1" spans="1:37" x14ac:dyDescent="0.25">
      <c r="A598" s="344"/>
      <c r="B598" s="4"/>
      <c r="C598" s="4"/>
      <c r="D598" s="4"/>
      <c r="E598" s="4"/>
      <c r="F598" s="4"/>
      <c r="G598" s="4"/>
      <c r="H598" s="4"/>
      <c r="I598" s="4"/>
      <c r="J598" s="4"/>
      <c r="K598" s="4"/>
      <c r="L598" s="4"/>
      <c r="M598" s="4"/>
      <c r="N598" s="4"/>
      <c r="O598" s="4"/>
      <c r="P598" s="4"/>
      <c r="Q598" s="4"/>
      <c r="R598" s="4"/>
      <c r="S598" s="4"/>
      <c r="T598" s="4"/>
      <c r="U598" s="4"/>
      <c r="V598" s="4"/>
      <c r="W598" s="4"/>
      <c r="X598" s="4"/>
      <c r="Y598" s="4"/>
      <c r="Z598" s="4"/>
      <c r="AA598" s="4"/>
      <c r="AB598" s="4"/>
      <c r="AC598" s="4"/>
      <c r="AD598" s="4"/>
      <c r="AE598" s="4"/>
      <c r="AF598" s="4"/>
      <c r="AG598" s="4"/>
      <c r="AH598" s="4"/>
      <c r="AI598" s="4"/>
      <c r="AJ598" s="4"/>
      <c r="AK598" s="4"/>
    </row>
    <row r="599" ht="13.5" customHeight="1" spans="1:37" x14ac:dyDescent="0.25">
      <c r="A599" s="344"/>
      <c r="B599" s="4"/>
      <c r="C599" s="4"/>
      <c r="D599" s="4"/>
      <c r="E599" s="4"/>
      <c r="F599" s="4"/>
      <c r="G599" s="4"/>
      <c r="H599" s="4"/>
      <c r="I599" s="4"/>
      <c r="J599" s="4"/>
      <c r="K599" s="4"/>
      <c r="L599" s="4"/>
      <c r="M599" s="4"/>
      <c r="N599" s="4"/>
      <c r="O599" s="4"/>
      <c r="P599" s="4"/>
      <c r="Q599" s="4"/>
      <c r="R599" s="4"/>
      <c r="S599" s="4"/>
      <c r="T599" s="4"/>
      <c r="U599" s="4"/>
      <c r="V599" s="4"/>
      <c r="W599" s="4"/>
      <c r="X599" s="4"/>
      <c r="Y599" s="4"/>
      <c r="Z599" s="4"/>
      <c r="AA599" s="4"/>
      <c r="AB599" s="4"/>
      <c r="AC599" s="4"/>
      <c r="AD599" s="4"/>
      <c r="AE599" s="4"/>
      <c r="AF599" s="4"/>
      <c r="AG599" s="4"/>
      <c r="AH599" s="4"/>
      <c r="AI599" s="4"/>
      <c r="AJ599" s="4"/>
      <c r="AK599" s="4"/>
    </row>
    <row r="600" ht="13.5" customHeight="1" spans="1:37" x14ac:dyDescent="0.25">
      <c r="A600" s="344"/>
      <c r="B600" s="4"/>
      <c r="C600" s="4"/>
      <c r="D600" s="4"/>
      <c r="E600" s="4"/>
      <c r="F600" s="4"/>
      <c r="G600" s="4"/>
      <c r="H600" s="4"/>
      <c r="I600" s="4"/>
      <c r="J600" s="4"/>
      <c r="K600" s="4"/>
      <c r="L600" s="4"/>
      <c r="M600" s="4"/>
      <c r="N600" s="4"/>
      <c r="O600" s="4"/>
      <c r="P600" s="4"/>
      <c r="Q600" s="4"/>
      <c r="R600" s="4"/>
      <c r="S600" s="4"/>
      <c r="T600" s="4"/>
      <c r="U600" s="4"/>
      <c r="V600" s="4"/>
      <c r="W600" s="4"/>
      <c r="X600" s="4"/>
      <c r="Y600" s="4"/>
      <c r="Z600" s="4"/>
      <c r="AA600" s="4"/>
      <c r="AB600" s="4"/>
      <c r="AC600" s="4"/>
      <c r="AD600" s="4"/>
      <c r="AE600" s="4"/>
      <c r="AF600" s="4"/>
      <c r="AG600" s="4"/>
      <c r="AH600" s="4"/>
      <c r="AI600" s="4"/>
      <c r="AJ600" s="4"/>
      <c r="AK600" s="4"/>
    </row>
    <row r="601" ht="13.5" customHeight="1" spans="1:37" x14ac:dyDescent="0.25">
      <c r="A601" s="344"/>
      <c r="B601" s="4"/>
      <c r="C601" s="4"/>
      <c r="D601" s="4"/>
      <c r="E601" s="4"/>
      <c r="F601" s="4"/>
      <c r="G601" s="4"/>
      <c r="H601" s="4"/>
      <c r="I601" s="4"/>
      <c r="J601" s="4"/>
      <c r="K601" s="4"/>
      <c r="L601" s="4"/>
      <c r="M601" s="4"/>
      <c r="N601" s="4"/>
      <c r="O601" s="4"/>
      <c r="P601" s="4"/>
      <c r="Q601" s="4"/>
      <c r="R601" s="4"/>
      <c r="S601" s="4"/>
      <c r="T601" s="4"/>
      <c r="U601" s="4"/>
      <c r="V601" s="4"/>
      <c r="W601" s="4"/>
      <c r="X601" s="4"/>
      <c r="Y601" s="4"/>
      <c r="Z601" s="4"/>
      <c r="AA601" s="4"/>
      <c r="AB601" s="4"/>
      <c r="AC601" s="4"/>
      <c r="AD601" s="4"/>
      <c r="AE601" s="4"/>
      <c r="AF601" s="4"/>
      <c r="AG601" s="4"/>
      <c r="AH601" s="4"/>
      <c r="AI601" s="4"/>
      <c r="AJ601" s="4"/>
      <c r="AK601" s="4"/>
    </row>
    <row r="602" ht="13.5" customHeight="1" spans="1:37" x14ac:dyDescent="0.25">
      <c r="A602" s="344"/>
      <c r="B602" s="4"/>
      <c r="C602" s="4"/>
      <c r="D602" s="4"/>
      <c r="E602" s="4"/>
      <c r="F602" s="4"/>
      <c r="G602" s="4"/>
      <c r="H602" s="4"/>
      <c r="I602" s="4"/>
      <c r="J602" s="4"/>
      <c r="K602" s="4"/>
      <c r="L602" s="4"/>
      <c r="M602" s="4"/>
      <c r="N602" s="4"/>
      <c r="O602" s="4"/>
      <c r="P602" s="4"/>
      <c r="Q602" s="4"/>
      <c r="R602" s="4"/>
      <c r="S602" s="4"/>
      <c r="T602" s="4"/>
      <c r="U602" s="4"/>
      <c r="V602" s="4"/>
      <c r="W602" s="4"/>
      <c r="X602" s="4"/>
      <c r="Y602" s="4"/>
      <c r="Z602" s="4"/>
      <c r="AA602" s="4"/>
      <c r="AB602" s="4"/>
      <c r="AC602" s="4"/>
      <c r="AD602" s="4"/>
      <c r="AE602" s="4"/>
      <c r="AF602" s="4"/>
      <c r="AG602" s="4"/>
      <c r="AH602" s="4"/>
      <c r="AI602" s="4"/>
      <c r="AJ602" s="4"/>
      <c r="AK602" s="4"/>
    </row>
    <row r="603" ht="13.5" customHeight="1" spans="1:37" x14ac:dyDescent="0.25">
      <c r="A603" s="344"/>
      <c r="B603" s="4"/>
      <c r="C603" s="4"/>
      <c r="D603" s="4"/>
      <c r="E603" s="4"/>
      <c r="F603" s="4"/>
      <c r="G603" s="4"/>
      <c r="H603" s="4"/>
      <c r="I603" s="4"/>
      <c r="J603" s="4"/>
      <c r="K603" s="4"/>
      <c r="L603" s="4"/>
      <c r="M603" s="4"/>
      <c r="N603" s="4"/>
      <c r="O603" s="4"/>
      <c r="P603" s="4"/>
      <c r="Q603" s="4"/>
      <c r="R603" s="4"/>
      <c r="S603" s="4"/>
      <c r="T603" s="4"/>
      <c r="U603" s="4"/>
      <c r="V603" s="4"/>
      <c r="W603" s="4"/>
      <c r="X603" s="4"/>
      <c r="Y603" s="4"/>
      <c r="Z603" s="4"/>
      <c r="AA603" s="4"/>
      <c r="AB603" s="4"/>
      <c r="AC603" s="4"/>
      <c r="AD603" s="4"/>
      <c r="AE603" s="4"/>
      <c r="AF603" s="4"/>
      <c r="AG603" s="4"/>
      <c r="AH603" s="4"/>
      <c r="AI603" s="4"/>
      <c r="AJ603" s="4"/>
      <c r="AK603" s="4"/>
    </row>
    <row r="604" ht="13.5" customHeight="1" spans="1:37" x14ac:dyDescent="0.25">
      <c r="A604" s="344"/>
      <c r="B604" s="4"/>
      <c r="C604" s="4"/>
      <c r="D604" s="4"/>
      <c r="E604" s="4"/>
      <c r="F604" s="4"/>
      <c r="G604" s="4"/>
      <c r="H604" s="4"/>
      <c r="I604" s="4"/>
      <c r="J604" s="4"/>
      <c r="K604" s="4"/>
      <c r="L604" s="4"/>
      <c r="M604" s="4"/>
      <c r="N604" s="4"/>
      <c r="O604" s="4"/>
      <c r="P604" s="4"/>
      <c r="Q604" s="4"/>
      <c r="R604" s="4"/>
      <c r="S604" s="4"/>
      <c r="T604" s="4"/>
      <c r="U604" s="4"/>
      <c r="V604" s="4"/>
      <c r="W604" s="4"/>
      <c r="X604" s="4"/>
      <c r="Y604" s="4"/>
      <c r="Z604" s="4"/>
      <c r="AA604" s="4"/>
      <c r="AB604" s="4"/>
      <c r="AC604" s="4"/>
      <c r="AD604" s="4"/>
      <c r="AE604" s="4"/>
      <c r="AF604" s="4"/>
      <c r="AG604" s="4"/>
      <c r="AH604" s="4"/>
      <c r="AI604" s="4"/>
      <c r="AJ604" s="4"/>
      <c r="AK604" s="4"/>
    </row>
    <row r="605" ht="13.5" customHeight="1" spans="1:37" x14ac:dyDescent="0.25">
      <c r="A605" s="344"/>
      <c r="B605" s="4"/>
      <c r="C605" s="4"/>
      <c r="D605" s="4"/>
      <c r="E605" s="4"/>
      <c r="F605" s="4"/>
      <c r="G605" s="4"/>
      <c r="H605" s="4"/>
      <c r="I605" s="4"/>
      <c r="J605" s="4"/>
      <c r="K605" s="4"/>
      <c r="L605" s="4"/>
      <c r="M605" s="4"/>
      <c r="N605" s="4"/>
      <c r="O605" s="4"/>
      <c r="P605" s="4"/>
      <c r="Q605" s="4"/>
      <c r="R605" s="4"/>
      <c r="S605" s="4"/>
      <c r="T605" s="4"/>
      <c r="U605" s="4"/>
      <c r="V605" s="4"/>
      <c r="W605" s="4"/>
      <c r="X605" s="4"/>
      <c r="Y605" s="4"/>
      <c r="Z605" s="4"/>
      <c r="AA605" s="4"/>
      <c r="AB605" s="4"/>
      <c r="AC605" s="4"/>
      <c r="AD605" s="4"/>
      <c r="AE605" s="4"/>
      <c r="AF605" s="4"/>
      <c r="AG605" s="4"/>
      <c r="AH605" s="4"/>
      <c r="AI605" s="4"/>
      <c r="AJ605" s="4"/>
      <c r="AK605" s="4"/>
    </row>
    <row r="606" ht="13.5" customHeight="1" spans="1:37" x14ac:dyDescent="0.25">
      <c r="A606" s="344"/>
      <c r="B606" s="4"/>
      <c r="C606" s="4"/>
      <c r="D606" s="4"/>
      <c r="E606" s="4"/>
      <c r="F606" s="4"/>
      <c r="G606" s="4"/>
      <c r="H606" s="4"/>
      <c r="I606" s="4"/>
      <c r="J606" s="4"/>
      <c r="K606" s="4"/>
      <c r="L606" s="4"/>
      <c r="M606" s="4"/>
      <c r="N606" s="4"/>
      <c r="O606" s="4"/>
      <c r="P606" s="4"/>
      <c r="Q606" s="4"/>
      <c r="R606" s="4"/>
      <c r="S606" s="4"/>
      <c r="T606" s="4"/>
      <c r="U606" s="4"/>
      <c r="V606" s="4"/>
      <c r="W606" s="4"/>
      <c r="X606" s="4"/>
      <c r="Y606" s="4"/>
      <c r="Z606" s="4"/>
      <c r="AA606" s="4"/>
      <c r="AB606" s="4"/>
      <c r="AC606" s="4"/>
      <c r="AD606" s="4"/>
      <c r="AE606" s="4"/>
      <c r="AF606" s="4"/>
      <c r="AG606" s="4"/>
      <c r="AH606" s="4"/>
      <c r="AI606" s="4"/>
      <c r="AJ606" s="4"/>
      <c r="AK606" s="4"/>
    </row>
    <row r="607" ht="13.5" customHeight="1" spans="1:37" x14ac:dyDescent="0.25">
      <c r="A607" s="344"/>
      <c r="B607" s="4"/>
      <c r="C607" s="4"/>
      <c r="D607" s="4"/>
      <c r="E607" s="4"/>
      <c r="F607" s="4"/>
      <c r="G607" s="4"/>
      <c r="H607" s="4"/>
      <c r="I607" s="4"/>
      <c r="J607" s="4"/>
      <c r="K607" s="4"/>
      <c r="L607" s="4"/>
      <c r="M607" s="4"/>
      <c r="N607" s="4"/>
      <c r="O607" s="4"/>
      <c r="P607" s="4"/>
      <c r="Q607" s="4"/>
      <c r="R607" s="4"/>
      <c r="S607" s="4"/>
      <c r="T607" s="4"/>
      <c r="U607" s="4"/>
      <c r="V607" s="4"/>
      <c r="W607" s="4"/>
      <c r="X607" s="4"/>
      <c r="Y607" s="4"/>
      <c r="Z607" s="4"/>
      <c r="AA607" s="4"/>
      <c r="AB607" s="4"/>
      <c r="AC607" s="4"/>
      <c r="AD607" s="4"/>
      <c r="AE607" s="4"/>
      <c r="AF607" s="4"/>
      <c r="AG607" s="4"/>
      <c r="AH607" s="4"/>
      <c r="AI607" s="4"/>
      <c r="AJ607" s="4"/>
      <c r="AK607" s="4"/>
    </row>
    <row r="608" ht="13.5" customHeight="1" spans="1:37" x14ac:dyDescent="0.25">
      <c r="A608" s="344"/>
      <c r="B608" s="4"/>
      <c r="C608" s="4"/>
      <c r="D608" s="4"/>
      <c r="E608" s="4"/>
      <c r="F608" s="4"/>
      <c r="G608" s="4"/>
      <c r="H608" s="4"/>
      <c r="I608" s="4"/>
      <c r="J608" s="4"/>
      <c r="K608" s="4"/>
      <c r="L608" s="4"/>
      <c r="M608" s="4"/>
      <c r="N608" s="4"/>
      <c r="O608" s="4"/>
      <c r="P608" s="4"/>
      <c r="Q608" s="4"/>
      <c r="R608" s="4"/>
      <c r="S608" s="4"/>
      <c r="T608" s="4"/>
      <c r="U608" s="4"/>
      <c r="V608" s="4"/>
      <c r="W608" s="4"/>
      <c r="X608" s="4"/>
      <c r="Y608" s="4"/>
      <c r="Z608" s="4"/>
      <c r="AA608" s="4"/>
      <c r="AB608" s="4"/>
      <c r="AC608" s="4"/>
      <c r="AD608" s="4"/>
      <c r="AE608" s="4"/>
      <c r="AF608" s="4"/>
      <c r="AG608" s="4"/>
      <c r="AH608" s="4"/>
      <c r="AI608" s="4"/>
      <c r="AJ608" s="4"/>
      <c r="AK608" s="4"/>
    </row>
    <row r="609" ht="13.5" customHeight="1" spans="1:37" x14ac:dyDescent="0.25">
      <c r="A609" s="344"/>
      <c r="B609" s="4"/>
      <c r="C609" s="4"/>
      <c r="D609" s="4"/>
      <c r="E609" s="4"/>
      <c r="F609" s="4"/>
      <c r="G609" s="4"/>
      <c r="H609" s="4"/>
      <c r="I609" s="4"/>
      <c r="J609" s="4"/>
      <c r="K609" s="4"/>
      <c r="L609" s="4"/>
      <c r="M609" s="4"/>
      <c r="N609" s="4"/>
      <c r="O609" s="4"/>
      <c r="P609" s="4"/>
      <c r="Q609" s="4"/>
      <c r="R609" s="4"/>
      <c r="S609" s="4"/>
      <c r="T609" s="4"/>
      <c r="U609" s="4"/>
      <c r="V609" s="4"/>
      <c r="W609" s="4"/>
      <c r="X609" s="4"/>
      <c r="Y609" s="4"/>
      <c r="Z609" s="4"/>
      <c r="AA609" s="4"/>
      <c r="AB609" s="4"/>
      <c r="AC609" s="4"/>
      <c r="AD609" s="4"/>
      <c r="AE609" s="4"/>
      <c r="AF609" s="4"/>
      <c r="AG609" s="4"/>
      <c r="AH609" s="4"/>
      <c r="AI609" s="4"/>
      <c r="AJ609" s="4"/>
      <c r="AK609" s="4"/>
    </row>
    <row r="610" ht="13.5" customHeight="1" spans="1:37" x14ac:dyDescent="0.25">
      <c r="A610" s="344"/>
      <c r="B610" s="4"/>
      <c r="C610" s="4"/>
      <c r="D610" s="4"/>
      <c r="E610" s="4"/>
      <c r="F610" s="4"/>
      <c r="G610" s="4"/>
      <c r="H610" s="4"/>
      <c r="I610" s="4"/>
      <c r="J610" s="4"/>
      <c r="K610" s="4"/>
      <c r="L610" s="4"/>
      <c r="M610" s="4"/>
      <c r="N610" s="4"/>
      <c r="O610" s="4"/>
      <c r="P610" s="4"/>
      <c r="Q610" s="4"/>
      <c r="R610" s="4"/>
      <c r="S610" s="4"/>
      <c r="T610" s="4"/>
      <c r="U610" s="4"/>
      <c r="V610" s="4"/>
      <c r="W610" s="4"/>
      <c r="X610" s="4"/>
      <c r="Y610" s="4"/>
      <c r="Z610" s="4"/>
      <c r="AA610" s="4"/>
      <c r="AB610" s="4"/>
      <c r="AC610" s="4"/>
      <c r="AD610" s="4"/>
      <c r="AE610" s="4"/>
      <c r="AF610" s="4"/>
      <c r="AG610" s="4"/>
      <c r="AH610" s="4"/>
      <c r="AI610" s="4"/>
      <c r="AJ610" s="4"/>
      <c r="AK610" s="4"/>
    </row>
    <row r="611" ht="13.5" customHeight="1" spans="1:37" x14ac:dyDescent="0.25">
      <c r="A611" s="344"/>
      <c r="B611" s="4"/>
      <c r="C611" s="4"/>
      <c r="D611" s="4"/>
      <c r="E611" s="4"/>
      <c r="F611" s="4"/>
      <c r="G611" s="4"/>
      <c r="H611" s="4"/>
      <c r="I611" s="4"/>
      <c r="J611" s="4"/>
      <c r="K611" s="4"/>
      <c r="L611" s="4"/>
      <c r="M611" s="4"/>
      <c r="N611" s="4"/>
      <c r="O611" s="4"/>
      <c r="P611" s="4"/>
      <c r="Q611" s="4"/>
      <c r="R611" s="4"/>
      <c r="S611" s="4"/>
      <c r="T611" s="4"/>
      <c r="U611" s="4"/>
      <c r="V611" s="4"/>
      <c r="W611" s="4"/>
      <c r="X611" s="4"/>
      <c r="Y611" s="4"/>
      <c r="Z611" s="4"/>
      <c r="AA611" s="4"/>
      <c r="AB611" s="4"/>
      <c r="AC611" s="4"/>
      <c r="AD611" s="4"/>
      <c r="AE611" s="4"/>
      <c r="AF611" s="4"/>
      <c r="AG611" s="4"/>
      <c r="AH611" s="4"/>
      <c r="AI611" s="4"/>
      <c r="AJ611" s="4"/>
      <c r="AK611" s="4"/>
    </row>
    <row r="612" ht="13.5" customHeight="1" spans="1:37" x14ac:dyDescent="0.25">
      <c r="A612" s="344"/>
      <c r="B612" s="4"/>
      <c r="C612" s="4"/>
      <c r="D612" s="4"/>
      <c r="E612" s="4"/>
      <c r="F612" s="4"/>
      <c r="G612" s="4"/>
      <c r="H612" s="4"/>
      <c r="I612" s="4"/>
      <c r="J612" s="4"/>
      <c r="K612" s="4"/>
      <c r="L612" s="4"/>
      <c r="M612" s="4"/>
      <c r="N612" s="4"/>
      <c r="O612" s="4"/>
      <c r="P612" s="4"/>
      <c r="Q612" s="4"/>
      <c r="R612" s="4"/>
      <c r="S612" s="4"/>
      <c r="T612" s="4"/>
      <c r="U612" s="4"/>
      <c r="V612" s="4"/>
      <c r="W612" s="4"/>
      <c r="X612" s="4"/>
      <c r="Y612" s="4"/>
      <c r="Z612" s="4"/>
      <c r="AA612" s="4"/>
      <c r="AB612" s="4"/>
      <c r="AC612" s="4"/>
      <c r="AD612" s="4"/>
      <c r="AE612" s="4"/>
      <c r="AF612" s="4"/>
      <c r="AG612" s="4"/>
      <c r="AH612" s="4"/>
      <c r="AI612" s="4"/>
      <c r="AJ612" s="4"/>
      <c r="AK612" s="4"/>
    </row>
    <row r="613" ht="13.5" customHeight="1" spans="1:37" x14ac:dyDescent="0.25">
      <c r="A613" s="344"/>
      <c r="B613" s="4"/>
      <c r="C613" s="4"/>
      <c r="D613" s="4"/>
      <c r="E613" s="4"/>
      <c r="F613" s="4"/>
      <c r="G613" s="4"/>
      <c r="H613" s="4"/>
      <c r="I613" s="4"/>
      <c r="J613" s="4"/>
      <c r="K613" s="4"/>
      <c r="L613" s="4"/>
      <c r="M613" s="4"/>
      <c r="N613" s="4"/>
      <c r="O613" s="4"/>
      <c r="P613" s="4"/>
      <c r="Q613" s="4"/>
      <c r="R613" s="4"/>
      <c r="S613" s="4"/>
      <c r="T613" s="4"/>
      <c r="U613" s="4"/>
      <c r="V613" s="4"/>
      <c r="W613" s="4"/>
      <c r="X613" s="4"/>
      <c r="Y613" s="4"/>
      <c r="Z613" s="4"/>
      <c r="AA613" s="4"/>
      <c r="AB613" s="4"/>
      <c r="AC613" s="4"/>
      <c r="AD613" s="4"/>
      <c r="AE613" s="4"/>
      <c r="AF613" s="4"/>
      <c r="AG613" s="4"/>
      <c r="AH613" s="4"/>
      <c r="AI613" s="4"/>
      <c r="AJ613" s="4"/>
      <c r="AK613" s="4"/>
    </row>
    <row r="614" ht="13.5" customHeight="1" spans="1:37" x14ac:dyDescent="0.25">
      <c r="A614" s="344"/>
      <c r="B614" s="4"/>
      <c r="C614" s="4"/>
      <c r="D614" s="4"/>
      <c r="E614" s="4"/>
      <c r="F614" s="4"/>
      <c r="G614" s="4"/>
      <c r="H614" s="4"/>
      <c r="I614" s="4"/>
      <c r="J614" s="4"/>
      <c r="K614" s="4"/>
      <c r="L614" s="4"/>
      <c r="M614" s="4"/>
      <c r="N614" s="4"/>
      <c r="O614" s="4"/>
      <c r="P614" s="4"/>
      <c r="Q614" s="4"/>
      <c r="R614" s="4"/>
      <c r="S614" s="4"/>
      <c r="T614" s="4"/>
      <c r="U614" s="4"/>
      <c r="V614" s="4"/>
      <c r="W614" s="4"/>
      <c r="X614" s="4"/>
      <c r="Y614" s="4"/>
      <c r="Z614" s="4"/>
      <c r="AA614" s="4"/>
      <c r="AB614" s="4"/>
      <c r="AC614" s="4"/>
      <c r="AD614" s="4"/>
      <c r="AE614" s="4"/>
      <c r="AF614" s="4"/>
      <c r="AG614" s="4"/>
      <c r="AH614" s="4"/>
      <c r="AI614" s="4"/>
      <c r="AJ614" s="4"/>
      <c r="AK614" s="4"/>
    </row>
    <row r="615" ht="13.5" customHeight="1" spans="1:37" x14ac:dyDescent="0.25">
      <c r="A615" s="344"/>
      <c r="B615" s="4"/>
      <c r="C615" s="4"/>
      <c r="D615" s="4"/>
      <c r="E615" s="4"/>
      <c r="F615" s="4"/>
      <c r="G615" s="4"/>
      <c r="H615" s="4"/>
      <c r="I615" s="4"/>
      <c r="J615" s="4"/>
      <c r="K615" s="4"/>
      <c r="L615" s="4"/>
      <c r="M615" s="4"/>
      <c r="N615" s="4"/>
      <c r="O615" s="4"/>
      <c r="P615" s="4"/>
      <c r="Q615" s="4"/>
      <c r="R615" s="4"/>
      <c r="S615" s="4"/>
      <c r="T615" s="4"/>
      <c r="U615" s="4"/>
      <c r="V615" s="4"/>
      <c r="W615" s="4"/>
      <c r="X615" s="4"/>
      <c r="Y615" s="4"/>
      <c r="Z615" s="4"/>
      <c r="AA615" s="4"/>
      <c r="AB615" s="4"/>
      <c r="AC615" s="4"/>
      <c r="AD615" s="4"/>
      <c r="AE615" s="4"/>
      <c r="AF615" s="4"/>
      <c r="AG615" s="4"/>
      <c r="AH615" s="4"/>
      <c r="AI615" s="4"/>
      <c r="AJ615" s="4"/>
      <c r="AK615" s="4"/>
    </row>
    <row r="616" ht="13.5" customHeight="1" spans="1:37" x14ac:dyDescent="0.25">
      <c r="A616" s="344"/>
      <c r="B616" s="4"/>
      <c r="C616" s="4"/>
      <c r="D616" s="4"/>
      <c r="E616" s="4"/>
      <c r="F616" s="4"/>
      <c r="G616" s="4"/>
      <c r="H616" s="4"/>
      <c r="I616" s="4"/>
      <c r="J616" s="4"/>
      <c r="K616" s="4"/>
      <c r="L616" s="4"/>
      <c r="M616" s="4"/>
      <c r="N616" s="4"/>
      <c r="O616" s="4"/>
      <c r="P616" s="4"/>
      <c r="Q616" s="4"/>
      <c r="R616" s="4"/>
      <c r="S616" s="4"/>
      <c r="T616" s="4"/>
      <c r="U616" s="4"/>
      <c r="V616" s="4"/>
      <c r="W616" s="4"/>
      <c r="X616" s="4"/>
      <c r="Y616" s="4"/>
      <c r="Z616" s="4"/>
      <c r="AA616" s="4"/>
      <c r="AB616" s="4"/>
      <c r="AC616" s="4"/>
      <c r="AD616" s="4"/>
      <c r="AE616" s="4"/>
      <c r="AF616" s="4"/>
      <c r="AG616" s="4"/>
      <c r="AH616" s="4"/>
      <c r="AI616" s="4"/>
      <c r="AJ616" s="4"/>
      <c r="AK616" s="4"/>
    </row>
    <row r="617" ht="13.5" customHeight="1" spans="1:37" x14ac:dyDescent="0.25">
      <c r="A617" s="344"/>
      <c r="B617" s="4"/>
      <c r="C617" s="4"/>
      <c r="D617" s="4"/>
      <c r="E617" s="4"/>
      <c r="F617" s="4"/>
      <c r="G617" s="4"/>
      <c r="H617" s="4"/>
      <c r="I617" s="4"/>
      <c r="J617" s="4"/>
      <c r="K617" s="4"/>
      <c r="L617" s="4"/>
      <c r="M617" s="4"/>
      <c r="N617" s="4"/>
      <c r="O617" s="4"/>
      <c r="P617" s="4"/>
      <c r="Q617" s="4"/>
      <c r="R617" s="4"/>
      <c r="S617" s="4"/>
      <c r="T617" s="4"/>
      <c r="U617" s="4"/>
      <c r="V617" s="4"/>
      <c r="W617" s="4"/>
      <c r="X617" s="4"/>
      <c r="Y617" s="4"/>
      <c r="Z617" s="4"/>
      <c r="AA617" s="4"/>
      <c r="AB617" s="4"/>
      <c r="AC617" s="4"/>
      <c r="AD617" s="4"/>
      <c r="AE617" s="4"/>
      <c r="AF617" s="4"/>
      <c r="AG617" s="4"/>
      <c r="AH617" s="4"/>
      <c r="AI617" s="4"/>
      <c r="AJ617" s="4"/>
      <c r="AK617" s="4"/>
    </row>
    <row r="618" ht="13.5" customHeight="1" spans="1:37" x14ac:dyDescent="0.25">
      <c r="A618" s="344"/>
      <c r="B618" s="4"/>
      <c r="C618" s="4"/>
      <c r="D618" s="4"/>
      <c r="E618" s="4"/>
      <c r="F618" s="4"/>
      <c r="G618" s="4"/>
      <c r="H618" s="4"/>
      <c r="I618" s="4"/>
      <c r="J618" s="4"/>
      <c r="K618" s="4"/>
      <c r="L618" s="4"/>
      <c r="M618" s="4"/>
      <c r="N618" s="4"/>
      <c r="O618" s="4"/>
      <c r="P618" s="4"/>
      <c r="Q618" s="4"/>
      <c r="R618" s="4"/>
      <c r="S618" s="4"/>
      <c r="T618" s="4"/>
      <c r="U618" s="4"/>
      <c r="V618" s="4"/>
      <c r="W618" s="4"/>
      <c r="X618" s="4"/>
      <c r="Y618" s="4"/>
      <c r="Z618" s="4"/>
      <c r="AA618" s="4"/>
      <c r="AB618" s="4"/>
      <c r="AC618" s="4"/>
      <c r="AD618" s="4"/>
      <c r="AE618" s="4"/>
      <c r="AF618" s="4"/>
      <c r="AG618" s="4"/>
      <c r="AH618" s="4"/>
      <c r="AI618" s="4"/>
      <c r="AJ618" s="4"/>
      <c r="AK618" s="4"/>
    </row>
    <row r="619" ht="13.5" customHeight="1" spans="1:37" x14ac:dyDescent="0.25">
      <c r="A619" s="344"/>
      <c r="B619" s="4"/>
      <c r="C619" s="4"/>
      <c r="D619" s="4"/>
      <c r="E619" s="4"/>
      <c r="F619" s="4"/>
      <c r="G619" s="4"/>
      <c r="H619" s="4"/>
      <c r="I619" s="4"/>
      <c r="J619" s="4"/>
      <c r="K619" s="4"/>
      <c r="L619" s="4"/>
      <c r="M619" s="4"/>
      <c r="N619" s="4"/>
      <c r="O619" s="4"/>
      <c r="P619" s="4"/>
      <c r="Q619" s="4"/>
      <c r="R619" s="4"/>
      <c r="S619" s="4"/>
      <c r="T619" s="4"/>
      <c r="U619" s="4"/>
      <c r="V619" s="4"/>
      <c r="W619" s="4"/>
      <c r="X619" s="4"/>
      <c r="Y619" s="4"/>
      <c r="Z619" s="4"/>
      <c r="AA619" s="4"/>
      <c r="AB619" s="4"/>
      <c r="AC619" s="4"/>
      <c r="AD619" s="4"/>
      <c r="AE619" s="4"/>
      <c r="AF619" s="4"/>
      <c r="AG619" s="4"/>
      <c r="AH619" s="4"/>
      <c r="AI619" s="4"/>
      <c r="AJ619" s="4"/>
      <c r="AK619" s="4"/>
    </row>
    <row r="620" ht="13.5" customHeight="1" spans="1:37" x14ac:dyDescent="0.25">
      <c r="A620" s="344"/>
      <c r="B620" s="4"/>
      <c r="C620" s="4"/>
      <c r="D620" s="4"/>
      <c r="E620" s="4"/>
      <c r="F620" s="4"/>
      <c r="G620" s="4"/>
      <c r="H620" s="4"/>
      <c r="I620" s="4"/>
      <c r="J620" s="4"/>
      <c r="K620" s="4"/>
      <c r="L620" s="4"/>
      <c r="M620" s="4"/>
      <c r="N620" s="4"/>
      <c r="O620" s="4"/>
      <c r="P620" s="4"/>
      <c r="Q620" s="4"/>
      <c r="R620" s="4"/>
      <c r="S620" s="4"/>
      <c r="T620" s="4"/>
      <c r="U620" s="4"/>
      <c r="V620" s="4"/>
      <c r="W620" s="4"/>
      <c r="X620" s="4"/>
      <c r="Y620" s="4"/>
      <c r="Z620" s="4"/>
      <c r="AA620" s="4"/>
      <c r="AB620" s="4"/>
      <c r="AC620" s="4"/>
      <c r="AD620" s="4"/>
      <c r="AE620" s="4"/>
      <c r="AF620" s="4"/>
      <c r="AG620" s="4"/>
      <c r="AH620" s="4"/>
      <c r="AI620" s="4"/>
      <c r="AJ620" s="4"/>
      <c r="AK620" s="4"/>
    </row>
    <row r="621" ht="13.5" customHeight="1" spans="1:37" x14ac:dyDescent="0.25">
      <c r="A621" s="344"/>
      <c r="B621" s="4"/>
      <c r="C621" s="4"/>
      <c r="D621" s="4"/>
      <c r="E621" s="4"/>
      <c r="F621" s="4"/>
      <c r="G621" s="4"/>
      <c r="H621" s="4"/>
      <c r="I621" s="4"/>
      <c r="J621" s="4"/>
      <c r="K621" s="4"/>
      <c r="L621" s="4"/>
      <c r="M621" s="4"/>
      <c r="N621" s="4"/>
      <c r="O621" s="4"/>
      <c r="P621" s="4"/>
      <c r="Q621" s="4"/>
      <c r="R621" s="4"/>
      <c r="S621" s="4"/>
      <c r="T621" s="4"/>
      <c r="U621" s="4"/>
      <c r="V621" s="4"/>
      <c r="W621" s="4"/>
      <c r="X621" s="4"/>
      <c r="Y621" s="4"/>
      <c r="Z621" s="4"/>
      <c r="AA621" s="4"/>
      <c r="AB621" s="4"/>
      <c r="AC621" s="4"/>
      <c r="AD621" s="4"/>
      <c r="AE621" s="4"/>
      <c r="AF621" s="4"/>
      <c r="AG621" s="4"/>
      <c r="AH621" s="4"/>
      <c r="AI621" s="4"/>
      <c r="AJ621" s="4"/>
      <c r="AK621" s="4"/>
    </row>
    <row r="622" ht="13.5" customHeight="1" spans="1:37" x14ac:dyDescent="0.25">
      <c r="A622" s="344"/>
      <c r="B622" s="4"/>
      <c r="C622" s="4"/>
      <c r="D622" s="4"/>
      <c r="E622" s="4"/>
      <c r="F622" s="4"/>
      <c r="G622" s="4"/>
      <c r="H622" s="4"/>
      <c r="I622" s="4"/>
      <c r="J622" s="4"/>
      <c r="K622" s="4"/>
      <c r="L622" s="4"/>
      <c r="M622" s="4"/>
      <c r="N622" s="4"/>
      <c r="O622" s="4"/>
      <c r="P622" s="4"/>
      <c r="Q622" s="4"/>
      <c r="R622" s="4"/>
      <c r="S622" s="4"/>
      <c r="T622" s="4"/>
      <c r="U622" s="4"/>
      <c r="V622" s="4"/>
      <c r="W622" s="4"/>
      <c r="X622" s="4"/>
      <c r="Y622" s="4"/>
      <c r="Z622" s="4"/>
      <c r="AA622" s="4"/>
      <c r="AB622" s="4"/>
      <c r="AC622" s="4"/>
      <c r="AD622" s="4"/>
      <c r="AE622" s="4"/>
      <c r="AF622" s="4"/>
      <c r="AG622" s="4"/>
      <c r="AH622" s="4"/>
      <c r="AI622" s="4"/>
      <c r="AJ622" s="4"/>
      <c r="AK622" s="4"/>
    </row>
    <row r="623" ht="13.5" customHeight="1" spans="1:37" x14ac:dyDescent="0.25">
      <c r="A623" s="344"/>
      <c r="B623" s="4"/>
      <c r="C623" s="4"/>
      <c r="D623" s="4"/>
      <c r="E623" s="4"/>
      <c r="F623" s="4"/>
      <c r="G623" s="4"/>
      <c r="H623" s="4"/>
      <c r="I623" s="4"/>
      <c r="J623" s="4"/>
      <c r="K623" s="4"/>
      <c r="L623" s="4"/>
      <c r="M623" s="4"/>
      <c r="N623" s="4"/>
      <c r="O623" s="4"/>
      <c r="P623" s="4"/>
      <c r="Q623" s="4"/>
      <c r="R623" s="4"/>
      <c r="S623" s="4"/>
      <c r="T623" s="4"/>
      <c r="U623" s="4"/>
      <c r="V623" s="4"/>
      <c r="W623" s="4"/>
      <c r="X623" s="4"/>
      <c r="Y623" s="4"/>
      <c r="Z623" s="4"/>
      <c r="AA623" s="4"/>
      <c r="AB623" s="4"/>
      <c r="AC623" s="4"/>
      <c r="AD623" s="4"/>
      <c r="AE623" s="4"/>
      <c r="AF623" s="4"/>
      <c r="AG623" s="4"/>
      <c r="AH623" s="4"/>
      <c r="AI623" s="4"/>
      <c r="AJ623" s="4"/>
      <c r="AK623" s="4"/>
    </row>
    <row r="624" ht="13.5" customHeight="1" spans="1:37" x14ac:dyDescent="0.25">
      <c r="A624" s="344"/>
      <c r="B624" s="4"/>
      <c r="C624" s="4"/>
      <c r="D624" s="4"/>
      <c r="E624" s="4"/>
      <c r="F624" s="4"/>
      <c r="G624" s="4"/>
      <c r="H624" s="4"/>
      <c r="I624" s="4"/>
      <c r="J624" s="4"/>
      <c r="K624" s="4"/>
      <c r="L624" s="4"/>
      <c r="M624" s="4"/>
      <c r="N624" s="4"/>
      <c r="O624" s="4"/>
      <c r="P624" s="4"/>
      <c r="Q624" s="4"/>
      <c r="R624" s="4"/>
      <c r="S624" s="4"/>
      <c r="T624" s="4"/>
      <c r="U624" s="4"/>
      <c r="V624" s="4"/>
      <c r="W624" s="4"/>
      <c r="X624" s="4"/>
      <c r="Y624" s="4"/>
      <c r="Z624" s="4"/>
      <c r="AA624" s="4"/>
      <c r="AB624" s="4"/>
      <c r="AC624" s="4"/>
      <c r="AD624" s="4"/>
      <c r="AE624" s="4"/>
      <c r="AF624" s="4"/>
      <c r="AG624" s="4"/>
      <c r="AH624" s="4"/>
      <c r="AI624" s="4"/>
      <c r="AJ624" s="4"/>
      <c r="AK624" s="4"/>
    </row>
    <row r="625" ht="13.5" customHeight="1" spans="1:37" x14ac:dyDescent="0.25">
      <c r="A625" s="344"/>
      <c r="B625" s="4"/>
      <c r="C625" s="4"/>
      <c r="D625" s="4"/>
      <c r="E625" s="4"/>
      <c r="F625" s="4"/>
      <c r="G625" s="4"/>
      <c r="H625" s="4"/>
      <c r="I625" s="4"/>
      <c r="J625" s="4"/>
      <c r="K625" s="4"/>
      <c r="L625" s="4"/>
      <c r="M625" s="4"/>
      <c r="N625" s="4"/>
      <c r="O625" s="4"/>
      <c r="P625" s="4"/>
      <c r="Q625" s="4"/>
      <c r="R625" s="4"/>
      <c r="S625" s="4"/>
      <c r="T625" s="4"/>
      <c r="U625" s="4"/>
      <c r="V625" s="4"/>
      <c r="W625" s="4"/>
      <c r="X625" s="4"/>
      <c r="Y625" s="4"/>
      <c r="Z625" s="4"/>
      <c r="AA625" s="4"/>
      <c r="AB625" s="4"/>
      <c r="AC625" s="4"/>
      <c r="AD625" s="4"/>
      <c r="AE625" s="4"/>
      <c r="AF625" s="4"/>
      <c r="AG625" s="4"/>
      <c r="AH625" s="4"/>
      <c r="AI625" s="4"/>
      <c r="AJ625" s="4"/>
      <c r="AK625" s="4"/>
    </row>
    <row r="626" ht="13.5" customHeight="1" spans="1:37" x14ac:dyDescent="0.25">
      <c r="A626" s="344"/>
      <c r="B626" s="4"/>
      <c r="C626" s="4"/>
      <c r="D626" s="4"/>
      <c r="E626" s="4"/>
      <c r="F626" s="4"/>
      <c r="G626" s="4"/>
      <c r="H626" s="4"/>
      <c r="I626" s="4"/>
      <c r="J626" s="4"/>
      <c r="K626" s="4"/>
      <c r="L626" s="4"/>
      <c r="M626" s="4"/>
      <c r="N626" s="4"/>
      <c r="O626" s="4"/>
      <c r="P626" s="4"/>
      <c r="Q626" s="4"/>
      <c r="R626" s="4"/>
      <c r="S626" s="4"/>
      <c r="T626" s="4"/>
      <c r="U626" s="4"/>
      <c r="V626" s="4"/>
      <c r="W626" s="4"/>
      <c r="X626" s="4"/>
      <c r="Y626" s="4"/>
      <c r="Z626" s="4"/>
      <c r="AA626" s="4"/>
      <c r="AB626" s="4"/>
      <c r="AC626" s="4"/>
      <c r="AD626" s="4"/>
      <c r="AE626" s="4"/>
      <c r="AF626" s="4"/>
      <c r="AG626" s="4"/>
      <c r="AH626" s="4"/>
      <c r="AI626" s="4"/>
      <c r="AJ626" s="4"/>
      <c r="AK626" s="4"/>
    </row>
    <row r="627" ht="13.5" customHeight="1" spans="1:37" x14ac:dyDescent="0.25">
      <c r="A627" s="344"/>
      <c r="B627" s="4"/>
      <c r="C627" s="4"/>
      <c r="D627" s="4"/>
      <c r="E627" s="4"/>
      <c r="F627" s="4"/>
      <c r="G627" s="4"/>
      <c r="H627" s="4"/>
      <c r="I627" s="4"/>
      <c r="J627" s="4"/>
      <c r="K627" s="4"/>
      <c r="L627" s="4"/>
      <c r="M627" s="4"/>
      <c r="N627" s="4"/>
      <c r="O627" s="4"/>
      <c r="P627" s="4"/>
      <c r="Q627" s="4"/>
      <c r="R627" s="4"/>
      <c r="S627" s="4"/>
      <c r="T627" s="4"/>
      <c r="U627" s="4"/>
      <c r="V627" s="4"/>
      <c r="W627" s="4"/>
      <c r="X627" s="4"/>
      <c r="Y627" s="4"/>
      <c r="Z627" s="4"/>
      <c r="AA627" s="4"/>
      <c r="AB627" s="4"/>
      <c r="AC627" s="4"/>
      <c r="AD627" s="4"/>
      <c r="AE627" s="4"/>
      <c r="AF627" s="4"/>
      <c r="AG627" s="4"/>
      <c r="AH627" s="4"/>
      <c r="AI627" s="4"/>
      <c r="AJ627" s="4"/>
      <c r="AK627" s="4"/>
    </row>
    <row r="628" ht="13.5" customHeight="1" spans="1:37" x14ac:dyDescent="0.25">
      <c r="A628" s="344"/>
      <c r="B628" s="4"/>
      <c r="C628" s="4"/>
      <c r="D628" s="4"/>
      <c r="E628" s="4"/>
      <c r="F628" s="4"/>
      <c r="G628" s="4"/>
      <c r="H628" s="4"/>
      <c r="I628" s="4"/>
      <c r="J628" s="4"/>
      <c r="K628" s="4"/>
      <c r="L628" s="4"/>
      <c r="M628" s="4"/>
      <c r="N628" s="4"/>
      <c r="O628" s="4"/>
      <c r="P628" s="4"/>
      <c r="Q628" s="4"/>
      <c r="R628" s="4"/>
      <c r="S628" s="4"/>
      <c r="T628" s="4"/>
      <c r="U628" s="4"/>
      <c r="V628" s="4"/>
      <c r="W628" s="4"/>
      <c r="X628" s="4"/>
      <c r="Y628" s="4"/>
      <c r="Z628" s="4"/>
      <c r="AA628" s="4"/>
      <c r="AB628" s="4"/>
      <c r="AC628" s="4"/>
      <c r="AD628" s="4"/>
      <c r="AE628" s="4"/>
      <c r="AF628" s="4"/>
      <c r="AG628" s="4"/>
      <c r="AH628" s="4"/>
      <c r="AI628" s="4"/>
      <c r="AJ628" s="4"/>
      <c r="AK628" s="4"/>
    </row>
    <row r="629" ht="13.5" customHeight="1" spans="1:37" x14ac:dyDescent="0.25">
      <c r="A629" s="344"/>
      <c r="B629" s="4"/>
      <c r="C629" s="4"/>
      <c r="D629" s="4"/>
      <c r="E629" s="4"/>
      <c r="F629" s="4"/>
      <c r="G629" s="4"/>
      <c r="H629" s="4"/>
      <c r="I629" s="4"/>
      <c r="J629" s="4"/>
      <c r="K629" s="4"/>
      <c r="L629" s="4"/>
      <c r="M629" s="4"/>
      <c r="N629" s="4"/>
      <c r="O629" s="4"/>
      <c r="P629" s="4"/>
      <c r="Q629" s="4"/>
      <c r="R629" s="4"/>
      <c r="S629" s="4"/>
      <c r="T629" s="4"/>
      <c r="U629" s="4"/>
      <c r="V629" s="4"/>
      <c r="W629" s="4"/>
      <c r="X629" s="4"/>
      <c r="Y629" s="4"/>
      <c r="Z629" s="4"/>
      <c r="AA629" s="4"/>
      <c r="AB629" s="4"/>
      <c r="AC629" s="4"/>
      <c r="AD629" s="4"/>
      <c r="AE629" s="4"/>
      <c r="AF629" s="4"/>
      <c r="AG629" s="4"/>
      <c r="AH629" s="4"/>
      <c r="AI629" s="4"/>
      <c r="AJ629" s="4"/>
      <c r="AK629" s="4"/>
    </row>
    <row r="630" ht="13.5" customHeight="1" spans="1:37" x14ac:dyDescent="0.25">
      <c r="A630" s="344"/>
      <c r="B630" s="4"/>
      <c r="C630" s="4"/>
      <c r="D630" s="4"/>
      <c r="E630" s="4"/>
      <c r="F630" s="4"/>
      <c r="G630" s="4"/>
      <c r="H630" s="4"/>
      <c r="I630" s="4"/>
      <c r="J630" s="4"/>
      <c r="K630" s="4"/>
      <c r="L630" s="4"/>
      <c r="M630" s="4"/>
      <c r="N630" s="4"/>
      <c r="O630" s="4"/>
      <c r="P630" s="4"/>
      <c r="Q630" s="4"/>
      <c r="R630" s="4"/>
      <c r="S630" s="4"/>
      <c r="T630" s="4"/>
      <c r="U630" s="4"/>
      <c r="V630" s="4"/>
      <c r="W630" s="4"/>
      <c r="X630" s="4"/>
      <c r="Y630" s="4"/>
      <c r="Z630" s="4"/>
      <c r="AA630" s="4"/>
      <c r="AB630" s="4"/>
      <c r="AC630" s="4"/>
      <c r="AD630" s="4"/>
      <c r="AE630" s="4"/>
      <c r="AF630" s="4"/>
      <c r="AG630" s="4"/>
      <c r="AH630" s="4"/>
      <c r="AI630" s="4"/>
      <c r="AJ630" s="4"/>
      <c r="AK630" s="4"/>
    </row>
    <row r="631" ht="13.5" customHeight="1" spans="1:37" x14ac:dyDescent="0.25">
      <c r="A631" s="344"/>
      <c r="B631" s="4"/>
      <c r="C631" s="4"/>
      <c r="D631" s="4"/>
      <c r="E631" s="4"/>
      <c r="F631" s="4"/>
      <c r="G631" s="4"/>
      <c r="H631" s="4"/>
      <c r="I631" s="4"/>
      <c r="J631" s="4"/>
      <c r="K631" s="4"/>
      <c r="L631" s="4"/>
      <c r="M631" s="4"/>
      <c r="N631" s="4"/>
      <c r="O631" s="4"/>
      <c r="P631" s="4"/>
      <c r="Q631" s="4"/>
      <c r="R631" s="4"/>
      <c r="S631" s="4"/>
      <c r="T631" s="4"/>
      <c r="U631" s="4"/>
      <c r="V631" s="4"/>
      <c r="W631" s="4"/>
      <c r="X631" s="4"/>
      <c r="Y631" s="4"/>
      <c r="Z631" s="4"/>
      <c r="AA631" s="4"/>
      <c r="AB631" s="4"/>
      <c r="AC631" s="4"/>
      <c r="AD631" s="4"/>
      <c r="AE631" s="4"/>
      <c r="AF631" s="4"/>
      <c r="AG631" s="4"/>
      <c r="AH631" s="4"/>
      <c r="AI631" s="4"/>
      <c r="AJ631" s="4"/>
      <c r="AK631" s="4"/>
    </row>
    <row r="632" ht="13.5" customHeight="1" spans="1:37" x14ac:dyDescent="0.25">
      <c r="A632" s="344"/>
      <c r="B632" s="4"/>
      <c r="C632" s="4"/>
      <c r="D632" s="4"/>
      <c r="E632" s="4"/>
      <c r="F632" s="4"/>
      <c r="G632" s="4"/>
      <c r="H632" s="4"/>
      <c r="I632" s="4"/>
      <c r="J632" s="4"/>
      <c r="K632" s="4"/>
      <c r="L632" s="4"/>
      <c r="M632" s="4"/>
      <c r="N632" s="4"/>
      <c r="O632" s="4"/>
      <c r="P632" s="4"/>
      <c r="Q632" s="4"/>
      <c r="R632" s="4"/>
      <c r="S632" s="4"/>
      <c r="T632" s="4"/>
      <c r="U632" s="4"/>
      <c r="V632" s="4"/>
      <c r="W632" s="4"/>
      <c r="X632" s="4"/>
      <c r="Y632" s="4"/>
      <c r="Z632" s="4"/>
      <c r="AA632" s="4"/>
      <c r="AB632" s="4"/>
      <c r="AC632" s="4"/>
      <c r="AD632" s="4"/>
      <c r="AE632" s="4"/>
      <c r="AF632" s="4"/>
      <c r="AG632" s="4"/>
      <c r="AH632" s="4"/>
      <c r="AI632" s="4"/>
      <c r="AJ632" s="4"/>
      <c r="AK632" s="4"/>
    </row>
    <row r="633" ht="13.5" customHeight="1" spans="1:37" x14ac:dyDescent="0.25">
      <c r="A633" s="344"/>
      <c r="B633" s="4"/>
      <c r="C633" s="4"/>
      <c r="D633" s="4"/>
      <c r="E633" s="4"/>
      <c r="F633" s="4"/>
      <c r="G633" s="4"/>
      <c r="H633" s="4"/>
      <c r="I633" s="4"/>
      <c r="J633" s="4"/>
      <c r="K633" s="4"/>
      <c r="L633" s="4"/>
      <c r="M633" s="4"/>
      <c r="N633" s="4"/>
      <c r="O633" s="4"/>
      <c r="P633" s="4"/>
      <c r="Q633" s="4"/>
      <c r="R633" s="4"/>
      <c r="S633" s="4"/>
      <c r="T633" s="4"/>
      <c r="U633" s="4"/>
      <c r="V633" s="4"/>
      <c r="W633" s="4"/>
      <c r="X633" s="4"/>
      <c r="Y633" s="4"/>
      <c r="Z633" s="4"/>
      <c r="AA633" s="4"/>
      <c r="AB633" s="4"/>
      <c r="AC633" s="4"/>
      <c r="AD633" s="4"/>
      <c r="AE633" s="4"/>
      <c r="AF633" s="4"/>
      <c r="AG633" s="4"/>
      <c r="AH633" s="4"/>
      <c r="AI633" s="4"/>
      <c r="AJ633" s="4"/>
      <c r="AK633" s="4"/>
    </row>
    <row r="634" ht="13.5" customHeight="1" spans="1:37" x14ac:dyDescent="0.25">
      <c r="A634" s="344"/>
      <c r="B634" s="4"/>
      <c r="C634" s="4"/>
      <c r="D634" s="4"/>
      <c r="E634" s="4"/>
      <c r="F634" s="4"/>
      <c r="G634" s="4"/>
      <c r="H634" s="4"/>
      <c r="I634" s="4"/>
      <c r="J634" s="4"/>
      <c r="K634" s="4"/>
      <c r="L634" s="4"/>
      <c r="M634" s="4"/>
      <c r="N634" s="4"/>
      <c r="O634" s="4"/>
      <c r="P634" s="4"/>
      <c r="Q634" s="4"/>
      <c r="R634" s="4"/>
      <c r="S634" s="4"/>
      <c r="T634" s="4"/>
      <c r="U634" s="4"/>
      <c r="V634" s="4"/>
      <c r="W634" s="4"/>
      <c r="X634" s="4"/>
      <c r="Y634" s="4"/>
      <c r="Z634" s="4"/>
      <c r="AA634" s="4"/>
      <c r="AB634" s="4"/>
      <c r="AC634" s="4"/>
      <c r="AD634" s="4"/>
      <c r="AE634" s="4"/>
      <c r="AF634" s="4"/>
      <c r="AG634" s="4"/>
      <c r="AH634" s="4"/>
      <c r="AI634" s="4"/>
      <c r="AJ634" s="4"/>
      <c r="AK634" s="4"/>
    </row>
    <row r="635" ht="13.5" customHeight="1" spans="1:37" x14ac:dyDescent="0.25">
      <c r="A635" s="344"/>
      <c r="B635" s="4"/>
      <c r="C635" s="4"/>
      <c r="D635" s="4"/>
      <c r="E635" s="4"/>
      <c r="F635" s="4"/>
      <c r="G635" s="4"/>
      <c r="H635" s="4"/>
      <c r="I635" s="4"/>
      <c r="J635" s="4"/>
      <c r="K635" s="4"/>
      <c r="L635" s="4"/>
      <c r="M635" s="4"/>
      <c r="N635" s="4"/>
      <c r="O635" s="4"/>
      <c r="P635" s="4"/>
      <c r="Q635" s="4"/>
      <c r="R635" s="4"/>
      <c r="S635" s="4"/>
      <c r="T635" s="4"/>
      <c r="U635" s="4"/>
      <c r="V635" s="4"/>
      <c r="W635" s="4"/>
      <c r="X635" s="4"/>
      <c r="Y635" s="4"/>
      <c r="Z635" s="4"/>
      <c r="AA635" s="4"/>
      <c r="AB635" s="4"/>
      <c r="AC635" s="4"/>
      <c r="AD635" s="4"/>
      <c r="AE635" s="4"/>
      <c r="AF635" s="4"/>
      <c r="AG635" s="4"/>
      <c r="AH635" s="4"/>
      <c r="AI635" s="4"/>
      <c r="AJ635" s="4"/>
      <c r="AK635" s="4"/>
    </row>
    <row r="636" ht="13.5" customHeight="1" spans="1:37" x14ac:dyDescent="0.25">
      <c r="A636" s="344"/>
      <c r="B636" s="4"/>
      <c r="C636" s="4"/>
      <c r="D636" s="4"/>
      <c r="E636" s="4"/>
      <c r="F636" s="4"/>
      <c r="G636" s="4"/>
      <c r="H636" s="4"/>
      <c r="I636" s="4"/>
      <c r="J636" s="4"/>
      <c r="K636" s="4"/>
      <c r="L636" s="4"/>
      <c r="M636" s="4"/>
      <c r="N636" s="4"/>
      <c r="O636" s="4"/>
      <c r="P636" s="4"/>
      <c r="Q636" s="4"/>
      <c r="R636" s="4"/>
      <c r="S636" s="4"/>
      <c r="T636" s="4"/>
      <c r="U636" s="4"/>
      <c r="V636" s="4"/>
      <c r="W636" s="4"/>
      <c r="X636" s="4"/>
      <c r="Y636" s="4"/>
      <c r="Z636" s="4"/>
      <c r="AA636" s="4"/>
      <c r="AB636" s="4"/>
      <c r="AC636" s="4"/>
      <c r="AD636" s="4"/>
      <c r="AE636" s="4"/>
      <c r="AF636" s="4"/>
      <c r="AG636" s="4"/>
      <c r="AH636" s="4"/>
      <c r="AI636" s="4"/>
      <c r="AJ636" s="4"/>
      <c r="AK636" s="4"/>
    </row>
    <row r="637" ht="13.5" customHeight="1" spans="1:37" x14ac:dyDescent="0.25">
      <c r="A637" s="344"/>
      <c r="B637" s="4"/>
      <c r="C637" s="4"/>
      <c r="D637" s="4"/>
      <c r="E637" s="4"/>
      <c r="F637" s="4"/>
      <c r="G637" s="4"/>
      <c r="H637" s="4"/>
      <c r="I637" s="4"/>
      <c r="J637" s="4"/>
      <c r="K637" s="4"/>
      <c r="L637" s="4"/>
      <c r="M637" s="4"/>
      <c r="N637" s="4"/>
      <c r="O637" s="4"/>
      <c r="P637" s="4"/>
      <c r="Q637" s="4"/>
      <c r="R637" s="4"/>
      <c r="S637" s="4"/>
      <c r="T637" s="4"/>
      <c r="U637" s="4"/>
      <c r="V637" s="4"/>
      <c r="W637" s="4"/>
      <c r="X637" s="4"/>
      <c r="Y637" s="4"/>
      <c r="Z637" s="4"/>
      <c r="AA637" s="4"/>
      <c r="AB637" s="4"/>
      <c r="AC637" s="4"/>
      <c r="AD637" s="4"/>
      <c r="AE637" s="4"/>
      <c r="AF637" s="4"/>
      <c r="AG637" s="4"/>
      <c r="AH637" s="4"/>
      <c r="AI637" s="4"/>
      <c r="AJ637" s="4"/>
      <c r="AK637" s="4"/>
    </row>
    <row r="638" ht="13.5" customHeight="1" spans="1:37" x14ac:dyDescent="0.25">
      <c r="A638" s="344"/>
      <c r="B638" s="4"/>
      <c r="C638" s="4"/>
      <c r="D638" s="4"/>
      <c r="E638" s="4"/>
      <c r="F638" s="4"/>
      <c r="G638" s="4"/>
      <c r="H638" s="4"/>
      <c r="I638" s="4"/>
      <c r="J638" s="4"/>
      <c r="K638" s="4"/>
      <c r="L638" s="4"/>
      <c r="M638" s="4"/>
      <c r="N638" s="4"/>
      <c r="O638" s="4"/>
      <c r="P638" s="4"/>
      <c r="Q638" s="4"/>
      <c r="R638" s="4"/>
      <c r="S638" s="4"/>
      <c r="T638" s="4"/>
      <c r="U638" s="4"/>
      <c r="V638" s="4"/>
      <c r="W638" s="4"/>
      <c r="X638" s="4"/>
      <c r="Y638" s="4"/>
      <c r="Z638" s="4"/>
      <c r="AA638" s="4"/>
      <c r="AB638" s="4"/>
      <c r="AC638" s="4"/>
      <c r="AD638" s="4"/>
      <c r="AE638" s="4"/>
      <c r="AF638" s="4"/>
      <c r="AG638" s="4"/>
      <c r="AH638" s="4"/>
      <c r="AI638" s="4"/>
      <c r="AJ638" s="4"/>
      <c r="AK638" s="4"/>
    </row>
    <row r="639" ht="13.5" customHeight="1" spans="1:37" x14ac:dyDescent="0.25">
      <c r="A639" s="344"/>
      <c r="B639" s="4"/>
      <c r="C639" s="4"/>
      <c r="D639" s="4"/>
      <c r="E639" s="4"/>
      <c r="F639" s="4"/>
      <c r="G639" s="4"/>
      <c r="H639" s="4"/>
      <c r="I639" s="4"/>
      <c r="J639" s="4"/>
      <c r="K639" s="4"/>
      <c r="L639" s="4"/>
      <c r="M639" s="4"/>
      <c r="N639" s="4"/>
      <c r="O639" s="4"/>
      <c r="P639" s="4"/>
      <c r="Q639" s="4"/>
      <c r="R639" s="4"/>
      <c r="S639" s="4"/>
      <c r="T639" s="4"/>
      <c r="U639" s="4"/>
      <c r="V639" s="4"/>
      <c r="W639" s="4"/>
      <c r="X639" s="4"/>
      <c r="Y639" s="4"/>
      <c r="Z639" s="4"/>
      <c r="AA639" s="4"/>
      <c r="AB639" s="4"/>
      <c r="AC639" s="4"/>
      <c r="AD639" s="4"/>
      <c r="AE639" s="4"/>
      <c r="AF639" s="4"/>
      <c r="AG639" s="4"/>
      <c r="AH639" s="4"/>
      <c r="AI639" s="4"/>
      <c r="AJ639" s="4"/>
      <c r="AK639" s="4"/>
    </row>
    <row r="640" ht="13.5" customHeight="1" spans="1:37" x14ac:dyDescent="0.25">
      <c r="A640" s="344"/>
      <c r="B640" s="4"/>
      <c r="C640" s="4"/>
      <c r="D640" s="4"/>
      <c r="E640" s="4"/>
      <c r="F640" s="4"/>
      <c r="G640" s="4"/>
      <c r="H640" s="4"/>
      <c r="I640" s="4"/>
      <c r="J640" s="4"/>
      <c r="K640" s="4"/>
      <c r="L640" s="4"/>
      <c r="M640" s="4"/>
      <c r="N640" s="4"/>
      <c r="O640" s="4"/>
      <c r="P640" s="4"/>
      <c r="Q640" s="4"/>
      <c r="R640" s="4"/>
      <c r="S640" s="4"/>
      <c r="T640" s="4"/>
      <c r="U640" s="4"/>
      <c r="V640" s="4"/>
      <c r="W640" s="4"/>
      <c r="X640" s="4"/>
      <c r="Y640" s="4"/>
      <c r="Z640" s="4"/>
      <c r="AA640" s="4"/>
      <c r="AB640" s="4"/>
      <c r="AC640" s="4"/>
      <c r="AD640" s="4"/>
      <c r="AE640" s="4"/>
      <c r="AF640" s="4"/>
      <c r="AG640" s="4"/>
      <c r="AH640" s="4"/>
      <c r="AI640" s="4"/>
      <c r="AJ640" s="4"/>
      <c r="AK640" s="4"/>
    </row>
    <row r="641" ht="13.5" customHeight="1" spans="1:37" x14ac:dyDescent="0.25">
      <c r="A641" s="344"/>
      <c r="B641" s="4"/>
      <c r="C641" s="4"/>
      <c r="D641" s="4"/>
      <c r="E641" s="4"/>
      <c r="F641" s="4"/>
      <c r="G641" s="4"/>
      <c r="H641" s="4"/>
      <c r="I641" s="4"/>
      <c r="J641" s="4"/>
      <c r="K641" s="4"/>
      <c r="L641" s="4"/>
      <c r="M641" s="4"/>
      <c r="N641" s="4"/>
      <c r="O641" s="4"/>
      <c r="P641" s="4"/>
      <c r="Q641" s="4"/>
      <c r="R641" s="4"/>
      <c r="S641" s="4"/>
      <c r="T641" s="4"/>
      <c r="U641" s="4"/>
      <c r="V641" s="4"/>
      <c r="W641" s="4"/>
      <c r="X641" s="4"/>
      <c r="Y641" s="4"/>
      <c r="Z641" s="4"/>
      <c r="AA641" s="4"/>
      <c r="AB641" s="4"/>
      <c r="AC641" s="4"/>
      <c r="AD641" s="4"/>
      <c r="AE641" s="4"/>
      <c r="AF641" s="4"/>
      <c r="AG641" s="4"/>
      <c r="AH641" s="4"/>
      <c r="AI641" s="4"/>
      <c r="AJ641" s="4"/>
      <c r="AK641" s="4"/>
    </row>
    <row r="642" ht="13.5" customHeight="1" spans="1:37" x14ac:dyDescent="0.25">
      <c r="A642" s="344"/>
      <c r="B642" s="4"/>
      <c r="C642" s="4"/>
      <c r="D642" s="4"/>
      <c r="E642" s="4"/>
      <c r="F642" s="4"/>
      <c r="G642" s="4"/>
      <c r="H642" s="4"/>
      <c r="I642" s="4"/>
      <c r="J642" s="4"/>
      <c r="K642" s="4"/>
      <c r="L642" s="4"/>
      <c r="M642" s="4"/>
      <c r="N642" s="4"/>
      <c r="O642" s="4"/>
      <c r="P642" s="4"/>
      <c r="Q642" s="4"/>
      <c r="R642" s="4"/>
      <c r="S642" s="4"/>
      <c r="T642" s="4"/>
      <c r="U642" s="4"/>
      <c r="V642" s="4"/>
      <c r="W642" s="4"/>
      <c r="X642" s="4"/>
      <c r="Y642" s="4"/>
      <c r="Z642" s="4"/>
      <c r="AA642" s="4"/>
      <c r="AB642" s="4"/>
      <c r="AC642" s="4"/>
      <c r="AD642" s="4"/>
      <c r="AE642" s="4"/>
      <c r="AF642" s="4"/>
      <c r="AG642" s="4"/>
      <c r="AH642" s="4"/>
      <c r="AI642" s="4"/>
      <c r="AJ642" s="4"/>
      <c r="AK642" s="4"/>
    </row>
    <row r="643" ht="13.5" customHeight="1" spans="1:37" x14ac:dyDescent="0.25">
      <c r="A643" s="344"/>
      <c r="B643" s="4"/>
      <c r="C643" s="4"/>
      <c r="D643" s="4"/>
      <c r="E643" s="4"/>
      <c r="F643" s="4"/>
      <c r="G643" s="4"/>
      <c r="H643" s="4"/>
      <c r="I643" s="4"/>
      <c r="J643" s="4"/>
      <c r="K643" s="4"/>
      <c r="L643" s="4"/>
      <c r="M643" s="4"/>
      <c r="N643" s="4"/>
      <c r="O643" s="4"/>
      <c r="P643" s="4"/>
      <c r="Q643" s="4"/>
      <c r="R643" s="4"/>
      <c r="S643" s="4"/>
      <c r="T643" s="4"/>
      <c r="U643" s="4"/>
      <c r="V643" s="4"/>
      <c r="W643" s="4"/>
      <c r="X643" s="4"/>
      <c r="Y643" s="4"/>
      <c r="Z643" s="4"/>
      <c r="AA643" s="4"/>
      <c r="AB643" s="4"/>
      <c r="AC643" s="4"/>
      <c r="AD643" s="4"/>
      <c r="AE643" s="4"/>
      <c r="AF643" s="4"/>
      <c r="AG643" s="4"/>
      <c r="AH643" s="4"/>
      <c r="AI643" s="4"/>
      <c r="AJ643" s="4"/>
      <c r="AK643" s="4"/>
    </row>
    <row r="644" ht="13.5" customHeight="1" spans="1:37" x14ac:dyDescent="0.25">
      <c r="A644" s="344"/>
      <c r="B644" s="4"/>
      <c r="C644" s="4"/>
      <c r="D644" s="4"/>
      <c r="E644" s="4"/>
      <c r="F644" s="4"/>
      <c r="G644" s="4"/>
      <c r="H644" s="4"/>
      <c r="I644" s="4"/>
      <c r="J644" s="4"/>
      <c r="K644" s="4"/>
      <c r="L644" s="4"/>
      <c r="M644" s="4"/>
      <c r="N644" s="4"/>
      <c r="O644" s="4"/>
      <c r="P644" s="4"/>
      <c r="Q644" s="4"/>
      <c r="R644" s="4"/>
      <c r="S644" s="4"/>
      <c r="T644" s="4"/>
      <c r="U644" s="4"/>
      <c r="V644" s="4"/>
      <c r="W644" s="4"/>
      <c r="X644" s="4"/>
      <c r="Y644" s="4"/>
      <c r="Z644" s="4"/>
      <c r="AA644" s="4"/>
      <c r="AB644" s="4"/>
      <c r="AC644" s="4"/>
      <c r="AD644" s="4"/>
      <c r="AE644" s="4"/>
      <c r="AF644" s="4"/>
      <c r="AG644" s="4"/>
      <c r="AH644" s="4"/>
      <c r="AI644" s="4"/>
      <c r="AJ644" s="4"/>
      <c r="AK644" s="4"/>
    </row>
    <row r="645" ht="13.5" customHeight="1" spans="1:37" x14ac:dyDescent="0.25">
      <c r="A645" s="344"/>
      <c r="B645" s="4"/>
      <c r="C645" s="4"/>
      <c r="D645" s="4"/>
      <c r="E645" s="4"/>
      <c r="F645" s="4"/>
      <c r="G645" s="4"/>
      <c r="H645" s="4"/>
      <c r="I645" s="4"/>
      <c r="J645" s="4"/>
      <c r="K645" s="4"/>
      <c r="L645" s="4"/>
      <c r="M645" s="4"/>
      <c r="N645" s="4"/>
      <c r="O645" s="4"/>
      <c r="P645" s="4"/>
      <c r="Q645" s="4"/>
      <c r="R645" s="4"/>
      <c r="S645" s="4"/>
      <c r="T645" s="4"/>
      <c r="U645" s="4"/>
      <c r="V645" s="4"/>
      <c r="W645" s="4"/>
      <c r="X645" s="4"/>
      <c r="Y645" s="4"/>
      <c r="Z645" s="4"/>
      <c r="AA645" s="4"/>
      <c r="AB645" s="4"/>
      <c r="AC645" s="4"/>
      <c r="AD645" s="4"/>
      <c r="AE645" s="4"/>
      <c r="AF645" s="4"/>
      <c r="AG645" s="4"/>
      <c r="AH645" s="4"/>
      <c r="AI645" s="4"/>
      <c r="AJ645" s="4"/>
      <c r="AK645" s="4"/>
    </row>
    <row r="646" ht="13.5" customHeight="1" spans="1:37" x14ac:dyDescent="0.25">
      <c r="A646" s="344"/>
      <c r="B646" s="4"/>
      <c r="C646" s="4"/>
      <c r="D646" s="4"/>
      <c r="E646" s="4"/>
      <c r="F646" s="4"/>
      <c r="G646" s="4"/>
      <c r="H646" s="4"/>
      <c r="I646" s="4"/>
      <c r="J646" s="4"/>
      <c r="K646" s="4"/>
      <c r="L646" s="4"/>
      <c r="M646" s="4"/>
      <c r="N646" s="4"/>
      <c r="O646" s="4"/>
      <c r="P646" s="4"/>
      <c r="Q646" s="4"/>
      <c r="R646" s="4"/>
      <c r="S646" s="4"/>
      <c r="T646" s="4"/>
      <c r="U646" s="4"/>
      <c r="V646" s="4"/>
      <c r="W646" s="4"/>
      <c r="X646" s="4"/>
      <c r="Y646" s="4"/>
      <c r="Z646" s="4"/>
      <c r="AA646" s="4"/>
      <c r="AB646" s="4"/>
      <c r="AC646" s="4"/>
      <c r="AD646" s="4"/>
      <c r="AE646" s="4"/>
      <c r="AF646" s="4"/>
      <c r="AG646" s="4"/>
      <c r="AH646" s="4"/>
      <c r="AI646" s="4"/>
      <c r="AJ646" s="4"/>
      <c r="AK646" s="4"/>
    </row>
    <row r="647" ht="13.5" customHeight="1" spans="1:37" x14ac:dyDescent="0.25">
      <c r="A647" s="344"/>
      <c r="B647" s="4"/>
      <c r="C647" s="4"/>
      <c r="D647" s="4"/>
      <c r="E647" s="4"/>
      <c r="F647" s="4"/>
      <c r="G647" s="4"/>
      <c r="H647" s="4"/>
      <c r="I647" s="4"/>
      <c r="J647" s="4"/>
      <c r="K647" s="4"/>
      <c r="L647" s="4"/>
      <c r="M647" s="4"/>
      <c r="N647" s="4"/>
      <c r="O647" s="4"/>
      <c r="P647" s="4"/>
      <c r="Q647" s="4"/>
      <c r="R647" s="4"/>
      <c r="S647" s="4"/>
      <c r="T647" s="4"/>
      <c r="U647" s="4"/>
      <c r="V647" s="4"/>
      <c r="W647" s="4"/>
      <c r="X647" s="4"/>
      <c r="Y647" s="4"/>
      <c r="Z647" s="4"/>
      <c r="AA647" s="4"/>
      <c r="AB647" s="4"/>
      <c r="AC647" s="4"/>
      <c r="AD647" s="4"/>
      <c r="AE647" s="4"/>
      <c r="AF647" s="4"/>
      <c r="AG647" s="4"/>
      <c r="AH647" s="4"/>
      <c r="AI647" s="4"/>
      <c r="AJ647" s="4"/>
      <c r="AK647" s="4"/>
    </row>
    <row r="648" ht="13.5" customHeight="1" spans="1:37" x14ac:dyDescent="0.25">
      <c r="A648" s="344"/>
      <c r="B648" s="4"/>
      <c r="C648" s="4"/>
      <c r="D648" s="4"/>
      <c r="E648" s="4"/>
      <c r="F648" s="4"/>
      <c r="G648" s="4"/>
      <c r="H648" s="4"/>
      <c r="I648" s="4"/>
      <c r="J648" s="4"/>
      <c r="K648" s="4"/>
      <c r="L648" s="4"/>
      <c r="M648" s="4"/>
      <c r="N648" s="4"/>
      <c r="O648" s="4"/>
      <c r="P648" s="4"/>
      <c r="Q648" s="4"/>
      <c r="R648" s="4"/>
      <c r="S648" s="4"/>
      <c r="T648" s="4"/>
      <c r="U648" s="4"/>
      <c r="V648" s="4"/>
      <c r="W648" s="4"/>
      <c r="X648" s="4"/>
      <c r="Y648" s="4"/>
      <c r="Z648" s="4"/>
      <c r="AA648" s="4"/>
      <c r="AB648" s="4"/>
      <c r="AC648" s="4"/>
      <c r="AD648" s="4"/>
      <c r="AE648" s="4"/>
      <c r="AF648" s="4"/>
      <c r="AG648" s="4"/>
      <c r="AH648" s="4"/>
      <c r="AI648" s="4"/>
      <c r="AJ648" s="4"/>
      <c r="AK648" s="4"/>
    </row>
    <row r="649" ht="13.5" customHeight="1" spans="1:37" x14ac:dyDescent="0.25">
      <c r="A649" s="344"/>
      <c r="B649" s="4"/>
      <c r="C649" s="4"/>
      <c r="D649" s="4"/>
      <c r="E649" s="4"/>
      <c r="F649" s="4"/>
      <c r="G649" s="4"/>
      <c r="H649" s="4"/>
      <c r="I649" s="4"/>
      <c r="J649" s="4"/>
      <c r="K649" s="4"/>
      <c r="L649" s="4"/>
      <c r="M649" s="4"/>
      <c r="N649" s="4"/>
      <c r="O649" s="4"/>
      <c r="P649" s="4"/>
      <c r="Q649" s="4"/>
      <c r="R649" s="4"/>
      <c r="S649" s="4"/>
      <c r="T649" s="4"/>
      <c r="U649" s="4"/>
      <c r="V649" s="4"/>
      <c r="W649" s="4"/>
      <c r="X649" s="4"/>
      <c r="Y649" s="4"/>
      <c r="Z649" s="4"/>
      <c r="AA649" s="4"/>
      <c r="AB649" s="4"/>
      <c r="AC649" s="4"/>
      <c r="AD649" s="4"/>
      <c r="AE649" s="4"/>
      <c r="AF649" s="4"/>
      <c r="AG649" s="4"/>
      <c r="AH649" s="4"/>
      <c r="AI649" s="4"/>
      <c r="AJ649" s="4"/>
      <c r="AK649" s="4"/>
    </row>
    <row r="650" ht="13.5" customHeight="1" spans="1:37" x14ac:dyDescent="0.25">
      <c r="A650" s="344"/>
      <c r="B650" s="4"/>
      <c r="C650" s="4"/>
      <c r="D650" s="4"/>
      <c r="E650" s="4"/>
      <c r="F650" s="4"/>
      <c r="G650" s="4"/>
      <c r="H650" s="4"/>
      <c r="I650" s="4"/>
      <c r="J650" s="4"/>
      <c r="K650" s="4"/>
      <c r="L650" s="4"/>
      <c r="M650" s="4"/>
      <c r="N650" s="4"/>
      <c r="O650" s="4"/>
      <c r="P650" s="4"/>
      <c r="Q650" s="4"/>
      <c r="R650" s="4"/>
      <c r="S650" s="4"/>
      <c r="T650" s="4"/>
      <c r="U650" s="4"/>
      <c r="V650" s="4"/>
      <c r="W650" s="4"/>
      <c r="X650" s="4"/>
      <c r="Y650" s="4"/>
      <c r="Z650" s="4"/>
      <c r="AA650" s="4"/>
      <c r="AB650" s="4"/>
      <c r="AC650" s="4"/>
      <c r="AD650" s="4"/>
      <c r="AE650" s="4"/>
      <c r="AF650" s="4"/>
      <c r="AG650" s="4"/>
      <c r="AH650" s="4"/>
      <c r="AI650" s="4"/>
      <c r="AJ650" s="4"/>
      <c r="AK650" s="4"/>
    </row>
    <row r="651" ht="13.5" customHeight="1" spans="1:37" x14ac:dyDescent="0.25">
      <c r="A651" s="344"/>
      <c r="B651" s="4"/>
      <c r="C651" s="4"/>
      <c r="D651" s="4"/>
      <c r="E651" s="4"/>
      <c r="F651" s="4"/>
      <c r="G651" s="4"/>
      <c r="H651" s="4"/>
      <c r="I651" s="4"/>
      <c r="J651" s="4"/>
      <c r="K651" s="4"/>
      <c r="L651" s="4"/>
      <c r="M651" s="4"/>
      <c r="N651" s="4"/>
      <c r="O651" s="4"/>
      <c r="P651" s="4"/>
      <c r="Q651" s="4"/>
      <c r="R651" s="4"/>
      <c r="S651" s="4"/>
      <c r="T651" s="4"/>
      <c r="U651" s="4"/>
      <c r="V651" s="4"/>
      <c r="W651" s="4"/>
      <c r="X651" s="4"/>
      <c r="Y651" s="4"/>
      <c r="Z651" s="4"/>
      <c r="AA651" s="4"/>
      <c r="AB651" s="4"/>
      <c r="AC651" s="4"/>
      <c r="AD651" s="4"/>
      <c r="AE651" s="4"/>
      <c r="AF651" s="4"/>
      <c r="AG651" s="4"/>
      <c r="AH651" s="4"/>
      <c r="AI651" s="4"/>
      <c r="AJ651" s="4"/>
      <c r="AK651" s="4"/>
    </row>
    <row r="652" ht="13.5" customHeight="1" spans="1:37" x14ac:dyDescent="0.25">
      <c r="A652" s="344"/>
      <c r="B652" s="4"/>
      <c r="C652" s="4"/>
      <c r="D652" s="4"/>
      <c r="E652" s="4"/>
      <c r="F652" s="4"/>
      <c r="G652" s="4"/>
      <c r="H652" s="4"/>
      <c r="I652" s="4"/>
      <c r="J652" s="4"/>
      <c r="K652" s="4"/>
      <c r="L652" s="4"/>
      <c r="M652" s="4"/>
      <c r="N652" s="4"/>
      <c r="O652" s="4"/>
      <c r="P652" s="4"/>
      <c r="Q652" s="4"/>
      <c r="R652" s="4"/>
      <c r="S652" s="4"/>
      <c r="T652" s="4"/>
      <c r="U652" s="4"/>
      <c r="V652" s="4"/>
      <c r="W652" s="4"/>
      <c r="X652" s="4"/>
      <c r="Y652" s="4"/>
      <c r="Z652" s="4"/>
      <c r="AA652" s="4"/>
      <c r="AB652" s="4"/>
      <c r="AC652" s="4"/>
      <c r="AD652" s="4"/>
      <c r="AE652" s="4"/>
      <c r="AF652" s="4"/>
      <c r="AG652" s="4"/>
      <c r="AH652" s="4"/>
      <c r="AI652" s="4"/>
      <c r="AJ652" s="4"/>
      <c r="AK652" s="4"/>
    </row>
    <row r="653" ht="13.5" customHeight="1" spans="1:37" x14ac:dyDescent="0.25">
      <c r="A653" s="344"/>
      <c r="B653" s="4"/>
      <c r="C653" s="4"/>
      <c r="D653" s="4"/>
      <c r="E653" s="4"/>
      <c r="F653" s="4"/>
      <c r="G653" s="4"/>
      <c r="H653" s="4"/>
      <c r="I653" s="4"/>
      <c r="J653" s="4"/>
      <c r="K653" s="4"/>
      <c r="L653" s="4"/>
      <c r="M653" s="4"/>
      <c r="N653" s="4"/>
      <c r="O653" s="4"/>
      <c r="P653" s="4"/>
      <c r="Q653" s="4"/>
      <c r="R653" s="4"/>
      <c r="S653" s="4"/>
      <c r="T653" s="4"/>
      <c r="U653" s="4"/>
      <c r="V653" s="4"/>
      <c r="W653" s="4"/>
      <c r="X653" s="4"/>
      <c r="Y653" s="4"/>
      <c r="Z653" s="4"/>
      <c r="AA653" s="4"/>
      <c r="AB653" s="4"/>
      <c r="AC653" s="4"/>
      <c r="AD653" s="4"/>
      <c r="AE653" s="4"/>
      <c r="AF653" s="4"/>
      <c r="AG653" s="4"/>
      <c r="AH653" s="4"/>
      <c r="AI653" s="4"/>
      <c r="AJ653" s="4"/>
      <c r="AK653" s="4"/>
    </row>
    <row r="654" ht="13.5" customHeight="1" spans="1:37" x14ac:dyDescent="0.25">
      <c r="A654" s="344"/>
      <c r="B654" s="4"/>
      <c r="C654" s="4"/>
      <c r="D654" s="4"/>
      <c r="E654" s="4"/>
      <c r="F654" s="4"/>
      <c r="G654" s="4"/>
      <c r="H654" s="4"/>
      <c r="I654" s="4"/>
      <c r="J654" s="4"/>
      <c r="K654" s="4"/>
      <c r="L654" s="4"/>
      <c r="M654" s="4"/>
      <c r="N654" s="4"/>
      <c r="O654" s="4"/>
      <c r="P654" s="4"/>
      <c r="Q654" s="4"/>
      <c r="R654" s="4"/>
      <c r="S654" s="4"/>
      <c r="T654" s="4"/>
      <c r="U654" s="4"/>
      <c r="V654" s="4"/>
      <c r="W654" s="4"/>
      <c r="X654" s="4"/>
      <c r="Y654" s="4"/>
      <c r="Z654" s="4"/>
      <c r="AA654" s="4"/>
      <c r="AB654" s="4"/>
      <c r="AC654" s="4"/>
      <c r="AD654" s="4"/>
      <c r="AE654" s="4"/>
      <c r="AF654" s="4"/>
      <c r="AG654" s="4"/>
      <c r="AH654" s="4"/>
      <c r="AI654" s="4"/>
      <c r="AJ654" s="4"/>
      <c r="AK654" s="4"/>
    </row>
    <row r="655" ht="13.5" customHeight="1" spans="1:37" x14ac:dyDescent="0.25">
      <c r="A655" s="344"/>
      <c r="B655" s="4"/>
      <c r="C655" s="4"/>
      <c r="D655" s="4"/>
      <c r="E655" s="4"/>
      <c r="F655" s="4"/>
      <c r="G655" s="4"/>
      <c r="H655" s="4"/>
      <c r="I655" s="4"/>
      <c r="J655" s="4"/>
      <c r="K655" s="4"/>
      <c r="L655" s="4"/>
      <c r="M655" s="4"/>
      <c r="N655" s="4"/>
      <c r="O655" s="4"/>
      <c r="P655" s="4"/>
      <c r="Q655" s="4"/>
      <c r="R655" s="4"/>
      <c r="S655" s="4"/>
      <c r="T655" s="4"/>
      <c r="U655" s="4"/>
      <c r="V655" s="4"/>
      <c r="W655" s="4"/>
      <c r="X655" s="4"/>
      <c r="Y655" s="4"/>
      <c r="Z655" s="4"/>
      <c r="AA655" s="4"/>
      <c r="AB655" s="4"/>
      <c r="AC655" s="4"/>
      <c r="AD655" s="4"/>
      <c r="AE655" s="4"/>
      <c r="AF655" s="4"/>
      <c r="AG655" s="4"/>
      <c r="AH655" s="4"/>
      <c r="AI655" s="4"/>
      <c r="AJ655" s="4"/>
      <c r="AK655" s="4"/>
    </row>
    <row r="656" ht="13.5" customHeight="1" spans="1:37" x14ac:dyDescent="0.25">
      <c r="A656" s="344"/>
      <c r="B656" s="4"/>
      <c r="C656" s="4"/>
      <c r="D656" s="4"/>
      <c r="E656" s="4"/>
      <c r="F656" s="4"/>
      <c r="G656" s="4"/>
      <c r="H656" s="4"/>
      <c r="I656" s="4"/>
      <c r="J656" s="4"/>
      <c r="K656" s="4"/>
      <c r="L656" s="4"/>
      <c r="M656" s="4"/>
      <c r="N656" s="4"/>
      <c r="O656" s="4"/>
      <c r="P656" s="4"/>
      <c r="Q656" s="4"/>
      <c r="R656" s="4"/>
      <c r="S656" s="4"/>
      <c r="T656" s="4"/>
      <c r="U656" s="4"/>
      <c r="V656" s="4"/>
      <c r="W656" s="4"/>
      <c r="X656" s="4"/>
      <c r="Y656" s="4"/>
      <c r="Z656" s="4"/>
      <c r="AA656" s="4"/>
      <c r="AB656" s="4"/>
      <c r="AC656" s="4"/>
      <c r="AD656" s="4"/>
      <c r="AE656" s="4"/>
      <c r="AF656" s="4"/>
      <c r="AG656" s="4"/>
      <c r="AH656" s="4"/>
      <c r="AI656" s="4"/>
      <c r="AJ656" s="4"/>
      <c r="AK656" s="4"/>
    </row>
    <row r="657" ht="13.5" customHeight="1" spans="1:37" x14ac:dyDescent="0.25">
      <c r="A657" s="344"/>
      <c r="B657" s="4"/>
      <c r="C657" s="4"/>
      <c r="D657" s="4"/>
      <c r="E657" s="4"/>
      <c r="F657" s="4"/>
      <c r="G657" s="4"/>
      <c r="H657" s="4"/>
      <c r="I657" s="4"/>
      <c r="J657" s="4"/>
      <c r="K657" s="4"/>
      <c r="L657" s="4"/>
      <c r="M657" s="4"/>
      <c r="N657" s="4"/>
      <c r="O657" s="4"/>
      <c r="P657" s="4"/>
      <c r="Q657" s="4"/>
      <c r="R657" s="4"/>
      <c r="S657" s="4"/>
      <c r="T657" s="4"/>
      <c r="U657" s="4"/>
      <c r="V657" s="4"/>
      <c r="W657" s="4"/>
      <c r="X657" s="4"/>
      <c r="Y657" s="4"/>
      <c r="Z657" s="4"/>
      <c r="AA657" s="4"/>
      <c r="AB657" s="4"/>
      <c r="AC657" s="4"/>
      <c r="AD657" s="4"/>
      <c r="AE657" s="4"/>
      <c r="AF657" s="4"/>
      <c r="AG657" s="4"/>
      <c r="AH657" s="4"/>
      <c r="AI657" s="4"/>
      <c r="AJ657" s="4"/>
      <c r="AK657" s="4"/>
    </row>
    <row r="658" ht="13.5" customHeight="1" spans="1:37" x14ac:dyDescent="0.25">
      <c r="A658" s="344"/>
      <c r="B658" s="4"/>
      <c r="C658" s="4"/>
      <c r="D658" s="4"/>
      <c r="E658" s="4"/>
      <c r="F658" s="4"/>
      <c r="G658" s="4"/>
      <c r="H658" s="4"/>
      <c r="I658" s="4"/>
      <c r="J658" s="4"/>
      <c r="K658" s="4"/>
      <c r="L658" s="4"/>
      <c r="M658" s="4"/>
      <c r="N658" s="4"/>
      <c r="O658" s="4"/>
      <c r="P658" s="4"/>
      <c r="Q658" s="4"/>
      <c r="R658" s="4"/>
      <c r="S658" s="4"/>
      <c r="T658" s="4"/>
      <c r="U658" s="4"/>
      <c r="V658" s="4"/>
      <c r="W658" s="4"/>
      <c r="X658" s="4"/>
      <c r="Y658" s="4"/>
      <c r="Z658" s="4"/>
      <c r="AA658" s="4"/>
      <c r="AB658" s="4"/>
      <c r="AC658" s="4"/>
      <c r="AD658" s="4"/>
      <c r="AE658" s="4"/>
      <c r="AF658" s="4"/>
      <c r="AG658" s="4"/>
      <c r="AH658" s="4"/>
      <c r="AI658" s="4"/>
      <c r="AJ658" s="4"/>
      <c r="AK658" s="4"/>
    </row>
    <row r="659" ht="13.5" customHeight="1" spans="1:37" x14ac:dyDescent="0.25">
      <c r="A659" s="344"/>
      <c r="B659" s="4"/>
      <c r="C659" s="4"/>
      <c r="D659" s="4"/>
      <c r="E659" s="4"/>
      <c r="F659" s="4"/>
      <c r="G659" s="4"/>
      <c r="H659" s="4"/>
      <c r="I659" s="4"/>
      <c r="J659" s="4"/>
      <c r="K659" s="4"/>
      <c r="L659" s="4"/>
      <c r="M659" s="4"/>
      <c r="N659" s="4"/>
      <c r="O659" s="4"/>
      <c r="P659" s="4"/>
      <c r="Q659" s="4"/>
      <c r="R659" s="4"/>
      <c r="S659" s="4"/>
      <c r="T659" s="4"/>
      <c r="U659" s="4"/>
      <c r="V659" s="4"/>
      <c r="W659" s="4"/>
      <c r="X659" s="4"/>
      <c r="Y659" s="4"/>
      <c r="Z659" s="4"/>
      <c r="AA659" s="4"/>
      <c r="AB659" s="4"/>
      <c r="AC659" s="4"/>
      <c r="AD659" s="4"/>
      <c r="AE659" s="4"/>
      <c r="AF659" s="4"/>
      <c r="AG659" s="4"/>
      <c r="AH659" s="4"/>
      <c r="AI659" s="4"/>
      <c r="AJ659" s="4"/>
      <c r="AK659" s="4"/>
    </row>
    <row r="660" ht="13.5" customHeight="1" spans="1:37" x14ac:dyDescent="0.25">
      <c r="A660" s="344"/>
      <c r="B660" s="4"/>
      <c r="C660" s="4"/>
      <c r="D660" s="4"/>
      <c r="E660" s="4"/>
      <c r="F660" s="4"/>
      <c r="G660" s="4"/>
      <c r="H660" s="4"/>
      <c r="I660" s="4"/>
      <c r="J660" s="4"/>
      <c r="K660" s="4"/>
      <c r="L660" s="4"/>
      <c r="M660" s="4"/>
      <c r="N660" s="4"/>
      <c r="O660" s="4"/>
      <c r="P660" s="4"/>
      <c r="Q660" s="4"/>
      <c r="R660" s="4"/>
      <c r="S660" s="4"/>
      <c r="T660" s="4"/>
      <c r="U660" s="4"/>
      <c r="V660" s="4"/>
      <c r="W660" s="4"/>
      <c r="X660" s="4"/>
      <c r="Y660" s="4"/>
      <c r="Z660" s="4"/>
      <c r="AA660" s="4"/>
      <c r="AB660" s="4"/>
      <c r="AC660" s="4"/>
      <c r="AD660" s="4"/>
      <c r="AE660" s="4"/>
      <c r="AF660" s="4"/>
      <c r="AG660" s="4"/>
      <c r="AH660" s="4"/>
      <c r="AI660" s="4"/>
      <c r="AJ660" s="4"/>
      <c r="AK660" s="4"/>
    </row>
    <row r="661" ht="13.5" customHeight="1" spans="1:37" x14ac:dyDescent="0.25">
      <c r="A661" s="344"/>
      <c r="B661" s="4"/>
      <c r="C661" s="4"/>
      <c r="D661" s="4"/>
      <c r="E661" s="4"/>
      <c r="F661" s="4"/>
      <c r="G661" s="4"/>
      <c r="H661" s="4"/>
      <c r="I661" s="4"/>
      <c r="J661" s="4"/>
      <c r="K661" s="4"/>
      <c r="L661" s="4"/>
      <c r="M661" s="4"/>
      <c r="N661" s="4"/>
      <c r="O661" s="4"/>
      <c r="P661" s="4"/>
      <c r="Q661" s="4"/>
      <c r="R661" s="4"/>
      <c r="S661" s="4"/>
      <c r="T661" s="4"/>
      <c r="U661" s="4"/>
      <c r="V661" s="4"/>
      <c r="W661" s="4"/>
      <c r="X661" s="4"/>
      <c r="Y661" s="4"/>
      <c r="Z661" s="4"/>
      <c r="AA661" s="4"/>
      <c r="AB661" s="4"/>
      <c r="AC661" s="4"/>
      <c r="AD661" s="4"/>
      <c r="AE661" s="4"/>
      <c r="AF661" s="4"/>
      <c r="AG661" s="4"/>
      <c r="AH661" s="4"/>
      <c r="AI661" s="4"/>
      <c r="AJ661" s="4"/>
      <c r="AK661" s="4"/>
    </row>
    <row r="662" ht="13.5" customHeight="1" spans="1:37" x14ac:dyDescent="0.25">
      <c r="A662" s="344"/>
      <c r="B662" s="4"/>
      <c r="C662" s="4"/>
      <c r="D662" s="4"/>
      <c r="E662" s="4"/>
      <c r="F662" s="4"/>
      <c r="G662" s="4"/>
      <c r="H662" s="4"/>
      <c r="I662" s="4"/>
      <c r="J662" s="4"/>
      <c r="K662" s="4"/>
      <c r="L662" s="4"/>
      <c r="M662" s="4"/>
      <c r="N662" s="4"/>
      <c r="O662" s="4"/>
      <c r="P662" s="4"/>
      <c r="Q662" s="4"/>
      <c r="R662" s="4"/>
      <c r="S662" s="4"/>
      <c r="T662" s="4"/>
      <c r="U662" s="4"/>
      <c r="V662" s="4"/>
      <c r="W662" s="4"/>
      <c r="X662" s="4"/>
      <c r="Y662" s="4"/>
      <c r="Z662" s="4"/>
      <c r="AA662" s="4"/>
      <c r="AB662" s="4"/>
      <c r="AC662" s="4"/>
      <c r="AD662" s="4"/>
      <c r="AE662" s="4"/>
      <c r="AF662" s="4"/>
      <c r="AG662" s="4"/>
      <c r="AH662" s="4"/>
      <c r="AI662" s="4"/>
      <c r="AJ662" s="4"/>
      <c r="AK662" s="4"/>
    </row>
    <row r="663" ht="13.5" customHeight="1" spans="1:37" x14ac:dyDescent="0.25">
      <c r="A663" s="344"/>
      <c r="B663" s="4"/>
      <c r="C663" s="4"/>
      <c r="D663" s="4"/>
      <c r="E663" s="4"/>
      <c r="F663" s="4"/>
      <c r="G663" s="4"/>
      <c r="H663" s="4"/>
      <c r="I663" s="4"/>
      <c r="J663" s="4"/>
      <c r="K663" s="4"/>
      <c r="L663" s="4"/>
      <c r="M663" s="4"/>
      <c r="N663" s="4"/>
      <c r="O663" s="4"/>
      <c r="P663" s="4"/>
      <c r="Q663" s="4"/>
      <c r="R663" s="4"/>
      <c r="S663" s="4"/>
      <c r="T663" s="4"/>
      <c r="U663" s="4"/>
      <c r="V663" s="4"/>
      <c r="W663" s="4"/>
      <c r="X663" s="4"/>
      <c r="Y663" s="4"/>
      <c r="Z663" s="4"/>
      <c r="AA663" s="4"/>
      <c r="AB663" s="4"/>
      <c r="AC663" s="4"/>
      <c r="AD663" s="4"/>
      <c r="AE663" s="4"/>
      <c r="AF663" s="4"/>
      <c r="AG663" s="4"/>
      <c r="AH663" s="4"/>
      <c r="AI663" s="4"/>
      <c r="AJ663" s="4"/>
      <c r="AK663" s="4"/>
    </row>
    <row r="664" ht="13.5" customHeight="1" spans="1:37" x14ac:dyDescent="0.25">
      <c r="A664" s="344"/>
      <c r="B664" s="4"/>
      <c r="C664" s="4"/>
      <c r="D664" s="4"/>
      <c r="E664" s="4"/>
      <c r="F664" s="4"/>
      <c r="G664" s="4"/>
      <c r="H664" s="4"/>
      <c r="I664" s="4"/>
      <c r="J664" s="4"/>
      <c r="K664" s="4"/>
      <c r="L664" s="4"/>
      <c r="M664" s="4"/>
      <c r="N664" s="4"/>
      <c r="O664" s="4"/>
      <c r="P664" s="4"/>
      <c r="Q664" s="4"/>
      <c r="R664" s="4"/>
      <c r="S664" s="4"/>
      <c r="T664" s="4"/>
      <c r="U664" s="4"/>
      <c r="V664" s="4"/>
      <c r="W664" s="4"/>
      <c r="X664" s="4"/>
      <c r="Y664" s="4"/>
      <c r="Z664" s="4"/>
      <c r="AA664" s="4"/>
      <c r="AB664" s="4"/>
      <c r="AC664" s="4"/>
      <c r="AD664" s="4"/>
      <c r="AE664" s="4"/>
      <c r="AF664" s="4"/>
      <c r="AG664" s="4"/>
      <c r="AH664" s="4"/>
      <c r="AI664" s="4"/>
      <c r="AJ664" s="4"/>
      <c r="AK664" s="4"/>
    </row>
    <row r="665" ht="13.5" customHeight="1" spans="1:37" x14ac:dyDescent="0.25">
      <c r="A665" s="344"/>
      <c r="B665" s="4"/>
      <c r="C665" s="4"/>
      <c r="D665" s="4"/>
      <c r="E665" s="4"/>
      <c r="F665" s="4"/>
      <c r="G665" s="4"/>
      <c r="H665" s="4"/>
      <c r="I665" s="4"/>
      <c r="J665" s="4"/>
      <c r="K665" s="4"/>
      <c r="L665" s="4"/>
      <c r="M665" s="4"/>
      <c r="N665" s="4"/>
      <c r="O665" s="4"/>
      <c r="P665" s="4"/>
      <c r="Q665" s="4"/>
      <c r="R665" s="4"/>
      <c r="S665" s="4"/>
      <c r="T665" s="4"/>
      <c r="U665" s="4"/>
      <c r="V665" s="4"/>
      <c r="W665" s="4"/>
      <c r="X665" s="4"/>
      <c r="Y665" s="4"/>
      <c r="Z665" s="4"/>
      <c r="AA665" s="4"/>
      <c r="AB665" s="4"/>
      <c r="AC665" s="4"/>
      <c r="AD665" s="4"/>
      <c r="AE665" s="4"/>
      <c r="AF665" s="4"/>
      <c r="AG665" s="4"/>
      <c r="AH665" s="4"/>
      <c r="AI665" s="4"/>
      <c r="AJ665" s="4"/>
      <c r="AK665" s="4"/>
    </row>
    <row r="666" ht="13.5" customHeight="1" spans="1:37" x14ac:dyDescent="0.25">
      <c r="A666" s="344"/>
      <c r="B666" s="4"/>
      <c r="C666" s="4"/>
      <c r="D666" s="4"/>
      <c r="E666" s="4"/>
      <c r="F666" s="4"/>
      <c r="G666" s="4"/>
      <c r="H666" s="4"/>
      <c r="I666" s="4"/>
      <c r="J666" s="4"/>
      <c r="K666" s="4"/>
      <c r="L666" s="4"/>
      <c r="M666" s="4"/>
      <c r="N666" s="4"/>
      <c r="O666" s="4"/>
      <c r="P666" s="4"/>
      <c r="Q666" s="4"/>
      <c r="R666" s="4"/>
      <c r="S666" s="4"/>
      <c r="T666" s="4"/>
      <c r="U666" s="4"/>
      <c r="V666" s="4"/>
      <c r="W666" s="4"/>
      <c r="X666" s="4"/>
      <c r="Y666" s="4"/>
      <c r="Z666" s="4"/>
      <c r="AA666" s="4"/>
      <c r="AB666" s="4"/>
      <c r="AC666" s="4"/>
      <c r="AD666" s="4"/>
      <c r="AE666" s="4"/>
      <c r="AF666" s="4"/>
      <c r="AG666" s="4"/>
      <c r="AH666" s="4"/>
      <c r="AI666" s="4"/>
      <c r="AJ666" s="4"/>
      <c r="AK666" s="4"/>
    </row>
    <row r="667" ht="13.5" customHeight="1" spans="1:37" x14ac:dyDescent="0.25">
      <c r="A667" s="344"/>
      <c r="B667" s="4"/>
      <c r="C667" s="4"/>
      <c r="D667" s="4"/>
      <c r="E667" s="4"/>
      <c r="F667" s="4"/>
      <c r="G667" s="4"/>
      <c r="H667" s="4"/>
      <c r="I667" s="4"/>
      <c r="J667" s="4"/>
      <c r="K667" s="4"/>
      <c r="L667" s="4"/>
      <c r="M667" s="4"/>
      <c r="N667" s="4"/>
      <c r="O667" s="4"/>
      <c r="P667" s="4"/>
      <c r="Q667" s="4"/>
      <c r="R667" s="4"/>
      <c r="S667" s="4"/>
      <c r="T667" s="4"/>
      <c r="U667" s="4"/>
      <c r="V667" s="4"/>
      <c r="W667" s="4"/>
      <c r="X667" s="4"/>
      <c r="Y667" s="4"/>
      <c r="Z667" s="4"/>
      <c r="AA667" s="4"/>
      <c r="AB667" s="4"/>
      <c r="AC667" s="4"/>
      <c r="AD667" s="4"/>
      <c r="AE667" s="4"/>
      <c r="AF667" s="4"/>
      <c r="AG667" s="4"/>
      <c r="AH667" s="4"/>
      <c r="AI667" s="4"/>
      <c r="AJ667" s="4"/>
      <c r="AK667" s="4"/>
    </row>
    <row r="668" ht="13.5" customHeight="1" spans="1:37" x14ac:dyDescent="0.25">
      <c r="A668" s="344"/>
      <c r="B668" s="4"/>
      <c r="C668" s="4"/>
      <c r="D668" s="4"/>
      <c r="E668" s="4"/>
      <c r="F668" s="4"/>
      <c r="G668" s="4"/>
      <c r="H668" s="4"/>
      <c r="I668" s="4"/>
      <c r="J668" s="4"/>
      <c r="K668" s="4"/>
      <c r="L668" s="4"/>
      <c r="M668" s="4"/>
      <c r="N668" s="4"/>
      <c r="O668" s="4"/>
      <c r="P668" s="4"/>
      <c r="Q668" s="4"/>
      <c r="R668" s="4"/>
      <c r="S668" s="4"/>
      <c r="T668" s="4"/>
      <c r="U668" s="4"/>
      <c r="V668" s="4"/>
      <c r="W668" s="4"/>
      <c r="X668" s="4"/>
      <c r="Y668" s="4"/>
      <c r="Z668" s="4"/>
      <c r="AA668" s="4"/>
      <c r="AB668" s="4"/>
      <c r="AC668" s="4"/>
      <c r="AD668" s="4"/>
      <c r="AE668" s="4"/>
      <c r="AF668" s="4"/>
      <c r="AG668" s="4"/>
      <c r="AH668" s="4"/>
      <c r="AI668" s="4"/>
      <c r="AJ668" s="4"/>
      <c r="AK668" s="4"/>
    </row>
    <row r="669" ht="13.5" customHeight="1" spans="1:37" x14ac:dyDescent="0.25">
      <c r="A669" s="344"/>
      <c r="B669" s="4"/>
      <c r="C669" s="4"/>
      <c r="D669" s="4"/>
      <c r="E669" s="4"/>
      <c r="F669" s="4"/>
      <c r="G669" s="4"/>
      <c r="H669" s="4"/>
      <c r="I669" s="4"/>
      <c r="J669" s="4"/>
      <c r="K669" s="4"/>
      <c r="L669" s="4"/>
      <c r="M669" s="4"/>
      <c r="N669" s="4"/>
      <c r="O669" s="4"/>
      <c r="P669" s="4"/>
      <c r="Q669" s="4"/>
      <c r="R669" s="4"/>
      <c r="S669" s="4"/>
      <c r="T669" s="4"/>
      <c r="U669" s="4"/>
      <c r="V669" s="4"/>
      <c r="W669" s="4"/>
      <c r="X669" s="4"/>
      <c r="Y669" s="4"/>
      <c r="Z669" s="4"/>
      <c r="AA669" s="4"/>
      <c r="AB669" s="4"/>
      <c r="AC669" s="4"/>
      <c r="AD669" s="4"/>
      <c r="AE669" s="4"/>
      <c r="AF669" s="4"/>
      <c r="AG669" s="4"/>
      <c r="AH669" s="4"/>
      <c r="AI669" s="4"/>
      <c r="AJ669" s="4"/>
      <c r="AK669" s="4"/>
    </row>
    <row r="670" ht="13.5" customHeight="1" spans="1:37" x14ac:dyDescent="0.25">
      <c r="A670" s="344"/>
      <c r="B670" s="4"/>
      <c r="C670" s="4"/>
      <c r="D670" s="4"/>
      <c r="E670" s="4"/>
      <c r="F670" s="4"/>
      <c r="G670" s="4"/>
      <c r="H670" s="4"/>
      <c r="I670" s="4"/>
      <c r="J670" s="4"/>
      <c r="K670" s="4"/>
      <c r="L670" s="4"/>
      <c r="M670" s="4"/>
      <c r="N670" s="4"/>
      <c r="O670" s="4"/>
      <c r="P670" s="4"/>
      <c r="Q670" s="4"/>
      <c r="R670" s="4"/>
      <c r="S670" s="4"/>
      <c r="T670" s="4"/>
      <c r="U670" s="4"/>
      <c r="V670" s="4"/>
      <c r="W670" s="4"/>
      <c r="X670" s="4"/>
      <c r="Y670" s="4"/>
      <c r="Z670" s="4"/>
      <c r="AA670" s="4"/>
      <c r="AB670" s="4"/>
      <c r="AC670" s="4"/>
      <c r="AD670" s="4"/>
      <c r="AE670" s="4"/>
      <c r="AF670" s="4"/>
      <c r="AG670" s="4"/>
      <c r="AH670" s="4"/>
      <c r="AI670" s="4"/>
      <c r="AJ670" s="4"/>
      <c r="AK670" s="4"/>
    </row>
    <row r="671" ht="13.5" customHeight="1" spans="1:37" x14ac:dyDescent="0.25">
      <c r="A671" s="344"/>
      <c r="B671" s="4"/>
      <c r="C671" s="4"/>
      <c r="D671" s="4"/>
      <c r="E671" s="4"/>
      <c r="F671" s="4"/>
      <c r="G671" s="4"/>
      <c r="H671" s="4"/>
      <c r="I671" s="4"/>
      <c r="J671" s="4"/>
      <c r="K671" s="4"/>
      <c r="L671" s="4"/>
      <c r="M671" s="4"/>
      <c r="N671" s="4"/>
      <c r="O671" s="4"/>
      <c r="P671" s="4"/>
      <c r="Q671" s="4"/>
      <c r="R671" s="4"/>
      <c r="S671" s="4"/>
      <c r="T671" s="4"/>
      <c r="U671" s="4"/>
      <c r="V671" s="4"/>
      <c r="W671" s="4"/>
      <c r="X671" s="4"/>
      <c r="Y671" s="4"/>
      <c r="Z671" s="4"/>
      <c r="AA671" s="4"/>
      <c r="AB671" s="4"/>
      <c r="AC671" s="4"/>
      <c r="AD671" s="4"/>
      <c r="AE671" s="4"/>
      <c r="AF671" s="4"/>
      <c r="AG671" s="4"/>
      <c r="AH671" s="4"/>
      <c r="AI671" s="4"/>
      <c r="AJ671" s="4"/>
      <c r="AK671" s="4"/>
    </row>
    <row r="672" ht="13.5" customHeight="1" spans="1:37" x14ac:dyDescent="0.25">
      <c r="A672" s="344"/>
      <c r="B672" s="4"/>
      <c r="C672" s="4"/>
      <c r="D672" s="4"/>
      <c r="E672" s="4"/>
      <c r="F672" s="4"/>
      <c r="G672" s="4"/>
      <c r="H672" s="4"/>
      <c r="I672" s="4"/>
      <c r="J672" s="4"/>
      <c r="K672" s="4"/>
      <c r="L672" s="4"/>
      <c r="M672" s="4"/>
      <c r="N672" s="4"/>
      <c r="O672" s="4"/>
      <c r="P672" s="4"/>
      <c r="Q672" s="4"/>
      <c r="R672" s="4"/>
      <c r="S672" s="4"/>
      <c r="T672" s="4"/>
      <c r="U672" s="4"/>
      <c r="V672" s="4"/>
      <c r="W672" s="4"/>
      <c r="X672" s="4"/>
      <c r="Y672" s="4"/>
      <c r="Z672" s="4"/>
      <c r="AA672" s="4"/>
      <c r="AB672" s="4"/>
      <c r="AC672" s="4"/>
      <c r="AD672" s="4"/>
      <c r="AE672" s="4"/>
      <c r="AF672" s="4"/>
      <c r="AG672" s="4"/>
      <c r="AH672" s="4"/>
      <c r="AI672" s="4"/>
      <c r="AJ672" s="4"/>
      <c r="AK672" s="4"/>
    </row>
    <row r="673" ht="13.5" customHeight="1" spans="1:37" x14ac:dyDescent="0.25">
      <c r="A673" s="344"/>
      <c r="B673" s="4"/>
      <c r="C673" s="4"/>
      <c r="D673" s="4"/>
      <c r="E673" s="4"/>
      <c r="F673" s="4"/>
      <c r="G673" s="4"/>
      <c r="H673" s="4"/>
      <c r="I673" s="4"/>
      <c r="J673" s="4"/>
      <c r="K673" s="4"/>
      <c r="L673" s="4"/>
      <c r="M673" s="4"/>
      <c r="N673" s="4"/>
      <c r="O673" s="4"/>
      <c r="P673" s="4"/>
      <c r="Q673" s="4"/>
      <c r="R673" s="4"/>
      <c r="S673" s="4"/>
      <c r="T673" s="4"/>
      <c r="U673" s="4"/>
      <c r="V673" s="4"/>
      <c r="W673" s="4"/>
      <c r="X673" s="4"/>
      <c r="Y673" s="4"/>
      <c r="Z673" s="4"/>
      <c r="AA673" s="4"/>
      <c r="AB673" s="4"/>
      <c r="AC673" s="4"/>
      <c r="AD673" s="4"/>
      <c r="AE673" s="4"/>
      <c r="AF673" s="4"/>
      <c r="AG673" s="4"/>
      <c r="AH673" s="4"/>
      <c r="AI673" s="4"/>
      <c r="AJ673" s="4"/>
      <c r="AK673" s="4"/>
    </row>
    <row r="674" ht="13.5" customHeight="1" spans="1:37" x14ac:dyDescent="0.25">
      <c r="A674" s="344"/>
      <c r="B674" s="4"/>
      <c r="C674" s="4"/>
      <c r="D674" s="4"/>
      <c r="E674" s="4"/>
      <c r="F674" s="4"/>
      <c r="G674" s="4"/>
      <c r="H674" s="4"/>
      <c r="I674" s="4"/>
      <c r="J674" s="4"/>
      <c r="K674" s="4"/>
      <c r="L674" s="4"/>
      <c r="M674" s="4"/>
      <c r="N674" s="4"/>
      <c r="O674" s="4"/>
      <c r="P674" s="4"/>
      <c r="Q674" s="4"/>
      <c r="R674" s="4"/>
      <c r="S674" s="4"/>
      <c r="T674" s="4"/>
      <c r="U674" s="4"/>
      <c r="V674" s="4"/>
      <c r="W674" s="4"/>
      <c r="X674" s="4"/>
      <c r="Y674" s="4"/>
      <c r="Z674" s="4"/>
      <c r="AA674" s="4"/>
      <c r="AB674" s="4"/>
      <c r="AC674" s="4"/>
      <c r="AD674" s="4"/>
      <c r="AE674" s="4"/>
      <c r="AF674" s="4"/>
      <c r="AG674" s="4"/>
      <c r="AH674" s="4"/>
      <c r="AI674" s="4"/>
      <c r="AJ674" s="4"/>
      <c r="AK674" s="4"/>
    </row>
    <row r="675" ht="13.5" customHeight="1" spans="1:37" x14ac:dyDescent="0.25">
      <c r="A675" s="344"/>
      <c r="B675" s="4"/>
      <c r="C675" s="4"/>
      <c r="D675" s="4"/>
      <c r="E675" s="4"/>
      <c r="F675" s="4"/>
      <c r="G675" s="4"/>
      <c r="H675" s="4"/>
      <c r="I675" s="4"/>
      <c r="J675" s="4"/>
      <c r="K675" s="4"/>
      <c r="L675" s="4"/>
      <c r="M675" s="4"/>
      <c r="N675" s="4"/>
      <c r="O675" s="4"/>
      <c r="P675" s="4"/>
      <c r="Q675" s="4"/>
      <c r="R675" s="4"/>
      <c r="S675" s="4"/>
      <c r="T675" s="4"/>
      <c r="U675" s="4"/>
      <c r="V675" s="4"/>
      <c r="W675" s="4"/>
      <c r="X675" s="4"/>
      <c r="Y675" s="4"/>
      <c r="Z675" s="4"/>
      <c r="AA675" s="4"/>
      <c r="AB675" s="4"/>
      <c r="AC675" s="4"/>
      <c r="AD675" s="4"/>
      <c r="AE675" s="4"/>
      <c r="AF675" s="4"/>
      <c r="AG675" s="4"/>
      <c r="AH675" s="4"/>
      <c r="AI675" s="4"/>
      <c r="AJ675" s="4"/>
      <c r="AK675" s="4"/>
    </row>
    <row r="676" ht="13.5" customHeight="1" spans="1:37" x14ac:dyDescent="0.25">
      <c r="A676" s="344"/>
      <c r="B676" s="4"/>
      <c r="C676" s="4"/>
      <c r="D676" s="4"/>
      <c r="E676" s="4"/>
      <c r="F676" s="4"/>
      <c r="G676" s="4"/>
      <c r="H676" s="4"/>
      <c r="I676" s="4"/>
      <c r="J676" s="4"/>
      <c r="K676" s="4"/>
      <c r="L676" s="4"/>
      <c r="M676" s="4"/>
      <c r="N676" s="4"/>
      <c r="O676" s="4"/>
      <c r="P676" s="4"/>
      <c r="Q676" s="4"/>
      <c r="R676" s="4"/>
      <c r="S676" s="4"/>
      <c r="T676" s="4"/>
      <c r="U676" s="4"/>
      <c r="V676" s="4"/>
      <c r="W676" s="4"/>
      <c r="X676" s="4"/>
      <c r="Y676" s="4"/>
      <c r="Z676" s="4"/>
      <c r="AA676" s="4"/>
      <c r="AB676" s="4"/>
      <c r="AC676" s="4"/>
      <c r="AD676" s="4"/>
      <c r="AE676" s="4"/>
      <c r="AF676" s="4"/>
      <c r="AG676" s="4"/>
      <c r="AH676" s="4"/>
      <c r="AI676" s="4"/>
      <c r="AJ676" s="4"/>
      <c r="AK676" s="4"/>
    </row>
    <row r="677" ht="13.5" customHeight="1" spans="1:37" x14ac:dyDescent="0.25">
      <c r="A677" s="344"/>
      <c r="B677" s="4"/>
      <c r="C677" s="4"/>
      <c r="D677" s="4"/>
      <c r="E677" s="4"/>
      <c r="F677" s="4"/>
      <c r="G677" s="4"/>
      <c r="H677" s="4"/>
      <c r="I677" s="4"/>
      <c r="J677" s="4"/>
      <c r="K677" s="4"/>
      <c r="L677" s="4"/>
      <c r="M677" s="4"/>
      <c r="N677" s="4"/>
      <c r="O677" s="4"/>
      <c r="P677" s="4"/>
      <c r="Q677" s="4"/>
      <c r="R677" s="4"/>
      <c r="S677" s="4"/>
      <c r="T677" s="4"/>
      <c r="U677" s="4"/>
      <c r="V677" s="4"/>
      <c r="W677" s="4"/>
      <c r="X677" s="4"/>
      <c r="Y677" s="4"/>
      <c r="Z677" s="4"/>
      <c r="AA677" s="4"/>
      <c r="AB677" s="4"/>
      <c r="AC677" s="4"/>
      <c r="AD677" s="4"/>
      <c r="AE677" s="4"/>
      <c r="AF677" s="4"/>
      <c r="AG677" s="4"/>
      <c r="AH677" s="4"/>
      <c r="AI677" s="4"/>
      <c r="AJ677" s="4"/>
      <c r="AK677" s="4"/>
    </row>
    <row r="678" ht="13.5" customHeight="1" spans="1:37" x14ac:dyDescent="0.25">
      <c r="A678" s="344"/>
      <c r="B678" s="4"/>
      <c r="C678" s="4"/>
      <c r="D678" s="4"/>
      <c r="E678" s="4"/>
      <c r="F678" s="4"/>
      <c r="G678" s="4"/>
      <c r="H678" s="4"/>
      <c r="I678" s="4"/>
      <c r="J678" s="4"/>
      <c r="K678" s="4"/>
      <c r="L678" s="4"/>
      <c r="M678" s="4"/>
      <c r="N678" s="4"/>
      <c r="O678" s="4"/>
      <c r="P678" s="4"/>
      <c r="Q678" s="4"/>
      <c r="R678" s="4"/>
      <c r="S678" s="4"/>
      <c r="T678" s="4"/>
      <c r="U678" s="4"/>
      <c r="V678" s="4"/>
      <c r="W678" s="4"/>
      <c r="X678" s="4"/>
      <c r="Y678" s="4"/>
      <c r="Z678" s="4"/>
      <c r="AA678" s="4"/>
      <c r="AB678" s="4"/>
      <c r="AC678" s="4"/>
      <c r="AD678" s="4"/>
      <c r="AE678" s="4"/>
      <c r="AF678" s="4"/>
      <c r="AG678" s="4"/>
      <c r="AH678" s="4"/>
      <c r="AI678" s="4"/>
      <c r="AJ678" s="4"/>
      <c r="AK678" s="4"/>
    </row>
    <row r="679" ht="13.5" customHeight="1" spans="1:37" x14ac:dyDescent="0.25">
      <c r="A679" s="344"/>
      <c r="B679" s="4"/>
      <c r="C679" s="4"/>
      <c r="D679" s="4"/>
      <c r="E679" s="4"/>
      <c r="F679" s="4"/>
      <c r="G679" s="4"/>
      <c r="H679" s="4"/>
      <c r="I679" s="4"/>
      <c r="J679" s="4"/>
      <c r="K679" s="4"/>
      <c r="L679" s="4"/>
      <c r="M679" s="4"/>
      <c r="N679" s="4"/>
      <c r="O679" s="4"/>
      <c r="P679" s="4"/>
      <c r="Q679" s="4"/>
      <c r="R679" s="4"/>
      <c r="S679" s="4"/>
      <c r="T679" s="4"/>
      <c r="U679" s="4"/>
      <c r="V679" s="4"/>
      <c r="W679" s="4"/>
      <c r="X679" s="4"/>
      <c r="Y679" s="4"/>
      <c r="Z679" s="4"/>
      <c r="AA679" s="4"/>
      <c r="AB679" s="4"/>
      <c r="AC679" s="4"/>
      <c r="AD679" s="4"/>
      <c r="AE679" s="4"/>
      <c r="AF679" s="4"/>
      <c r="AG679" s="4"/>
      <c r="AH679" s="4"/>
      <c r="AI679" s="4"/>
      <c r="AJ679" s="4"/>
      <c r="AK679" s="4"/>
    </row>
    <row r="680" ht="13.5" customHeight="1" spans="1:37" x14ac:dyDescent="0.25">
      <c r="A680" s="344"/>
      <c r="B680" s="4"/>
      <c r="C680" s="4"/>
      <c r="D680" s="4"/>
      <c r="E680" s="4"/>
      <c r="F680" s="4"/>
      <c r="G680" s="4"/>
      <c r="H680" s="4"/>
      <c r="I680" s="4"/>
      <c r="J680" s="4"/>
      <c r="K680" s="4"/>
      <c r="L680" s="4"/>
      <c r="M680" s="4"/>
      <c r="N680" s="4"/>
      <c r="O680" s="4"/>
      <c r="P680" s="4"/>
      <c r="Q680" s="4"/>
      <c r="R680" s="4"/>
      <c r="S680" s="4"/>
      <c r="T680" s="4"/>
      <c r="U680" s="4"/>
      <c r="V680" s="4"/>
      <c r="W680" s="4"/>
      <c r="X680" s="4"/>
      <c r="Y680" s="4"/>
      <c r="Z680" s="4"/>
      <c r="AA680" s="4"/>
      <c r="AB680" s="4"/>
      <c r="AC680" s="4"/>
      <c r="AD680" s="4"/>
      <c r="AE680" s="4"/>
      <c r="AF680" s="4"/>
      <c r="AG680" s="4"/>
      <c r="AH680" s="4"/>
      <c r="AI680" s="4"/>
      <c r="AJ680" s="4"/>
      <c r="AK680" s="4"/>
    </row>
    <row r="681" ht="13.5" customHeight="1" spans="1:37" x14ac:dyDescent="0.25">
      <c r="A681" s="344"/>
      <c r="B681" s="4"/>
      <c r="C681" s="4"/>
      <c r="D681" s="4"/>
      <c r="E681" s="4"/>
      <c r="F681" s="4"/>
      <c r="G681" s="4"/>
      <c r="H681" s="4"/>
      <c r="I681" s="4"/>
      <c r="J681" s="4"/>
      <c r="K681" s="4"/>
      <c r="L681" s="4"/>
      <c r="M681" s="4"/>
      <c r="N681" s="4"/>
      <c r="O681" s="4"/>
      <c r="P681" s="4"/>
      <c r="Q681" s="4"/>
      <c r="R681" s="4"/>
      <c r="S681" s="4"/>
      <c r="T681" s="4"/>
      <c r="U681" s="4"/>
      <c r="V681" s="4"/>
      <c r="W681" s="4"/>
      <c r="X681" s="4"/>
      <c r="Y681" s="4"/>
      <c r="Z681" s="4"/>
      <c r="AA681" s="4"/>
      <c r="AB681" s="4"/>
      <c r="AC681" s="4"/>
      <c r="AD681" s="4"/>
      <c r="AE681" s="4"/>
      <c r="AF681" s="4"/>
      <c r="AG681" s="4"/>
      <c r="AH681" s="4"/>
      <c r="AI681" s="4"/>
      <c r="AJ681" s="4"/>
      <c r="AK681" s="4"/>
    </row>
    <row r="682" ht="13.5" customHeight="1" spans="1:37" x14ac:dyDescent="0.25">
      <c r="A682" s="344"/>
      <c r="B682" s="4"/>
      <c r="C682" s="4"/>
      <c r="D682" s="4"/>
      <c r="E682" s="4"/>
      <c r="F682" s="4"/>
      <c r="G682" s="4"/>
      <c r="H682" s="4"/>
      <c r="I682" s="4"/>
      <c r="J682" s="4"/>
      <c r="K682" s="4"/>
      <c r="L682" s="4"/>
      <c r="M682" s="4"/>
      <c r="N682" s="4"/>
      <c r="O682" s="4"/>
      <c r="P682" s="4"/>
      <c r="Q682" s="4"/>
      <c r="R682" s="4"/>
      <c r="S682" s="4"/>
      <c r="T682" s="4"/>
      <c r="U682" s="4"/>
      <c r="V682" s="4"/>
      <c r="W682" s="4"/>
      <c r="X682" s="4"/>
      <c r="Y682" s="4"/>
      <c r="Z682" s="4"/>
      <c r="AA682" s="4"/>
      <c r="AB682" s="4"/>
      <c r="AC682" s="4"/>
      <c r="AD682" s="4"/>
      <c r="AE682" s="4"/>
      <c r="AF682" s="4"/>
      <c r="AG682" s="4"/>
      <c r="AH682" s="4"/>
      <c r="AI682" s="4"/>
      <c r="AJ682" s="4"/>
      <c r="AK682" s="4"/>
    </row>
    <row r="683" ht="13.5" customHeight="1" spans="1:37" x14ac:dyDescent="0.25">
      <c r="A683" s="344"/>
      <c r="B683" s="4"/>
      <c r="C683" s="4"/>
      <c r="D683" s="4"/>
      <c r="E683" s="4"/>
      <c r="F683" s="4"/>
      <c r="G683" s="4"/>
      <c r="H683" s="4"/>
      <c r="I683" s="4"/>
      <c r="J683" s="4"/>
      <c r="K683" s="4"/>
      <c r="L683" s="4"/>
      <c r="M683" s="4"/>
      <c r="N683" s="4"/>
      <c r="O683" s="4"/>
      <c r="P683" s="4"/>
      <c r="Q683" s="4"/>
      <c r="R683" s="4"/>
      <c r="S683" s="4"/>
      <c r="T683" s="4"/>
      <c r="U683" s="4"/>
      <c r="V683" s="4"/>
      <c r="W683" s="4"/>
      <c r="X683" s="4"/>
      <c r="Y683" s="4"/>
      <c r="Z683" s="4"/>
      <c r="AA683" s="4"/>
      <c r="AB683" s="4"/>
      <c r="AC683" s="4"/>
      <c r="AD683" s="4"/>
      <c r="AE683" s="4"/>
      <c r="AF683" s="4"/>
      <c r="AG683" s="4"/>
      <c r="AH683" s="4"/>
      <c r="AI683" s="4"/>
      <c r="AJ683" s="4"/>
      <c r="AK683" s="4"/>
    </row>
    <row r="684" ht="13.5" customHeight="1" spans="1:37" x14ac:dyDescent="0.25">
      <c r="A684" s="344"/>
      <c r="B684" s="4"/>
      <c r="C684" s="4"/>
      <c r="D684" s="4"/>
      <c r="E684" s="4"/>
      <c r="F684" s="4"/>
      <c r="G684" s="4"/>
      <c r="H684" s="4"/>
      <c r="I684" s="4"/>
      <c r="J684" s="4"/>
      <c r="K684" s="4"/>
      <c r="L684" s="4"/>
      <c r="M684" s="4"/>
      <c r="N684" s="4"/>
      <c r="O684" s="4"/>
      <c r="P684" s="4"/>
      <c r="Q684" s="4"/>
      <c r="R684" s="4"/>
      <c r="S684" s="4"/>
      <c r="T684" s="4"/>
      <c r="U684" s="4"/>
      <c r="V684" s="4"/>
      <c r="W684" s="4"/>
      <c r="X684" s="4"/>
      <c r="Y684" s="4"/>
      <c r="Z684" s="4"/>
      <c r="AA684" s="4"/>
      <c r="AB684" s="4"/>
      <c r="AC684" s="4"/>
      <c r="AD684" s="4"/>
      <c r="AE684" s="4"/>
      <c r="AF684" s="4"/>
      <c r="AG684" s="4"/>
      <c r="AH684" s="4"/>
      <c r="AI684" s="4"/>
      <c r="AJ684" s="4"/>
      <c r="AK684" s="4"/>
    </row>
    <row r="685" ht="13.5" customHeight="1" spans="1:37" x14ac:dyDescent="0.25">
      <c r="A685" s="344"/>
      <c r="B685" s="4"/>
      <c r="C685" s="4"/>
      <c r="D685" s="4"/>
      <c r="E685" s="4"/>
      <c r="F685" s="4"/>
      <c r="G685" s="4"/>
      <c r="H685" s="4"/>
      <c r="I685" s="4"/>
      <c r="J685" s="4"/>
      <c r="K685" s="4"/>
      <c r="L685" s="4"/>
      <c r="M685" s="4"/>
      <c r="N685" s="4"/>
      <c r="O685" s="4"/>
      <c r="P685" s="4"/>
      <c r="Q685" s="4"/>
      <c r="R685" s="4"/>
      <c r="S685" s="4"/>
      <c r="T685" s="4"/>
      <c r="U685" s="4"/>
      <c r="V685" s="4"/>
      <c r="W685" s="4"/>
      <c r="X685" s="4"/>
      <c r="Y685" s="4"/>
      <c r="Z685" s="4"/>
      <c r="AA685" s="4"/>
      <c r="AB685" s="4"/>
      <c r="AC685" s="4"/>
      <c r="AD685" s="4"/>
      <c r="AE685" s="4"/>
      <c r="AF685" s="4"/>
      <c r="AG685" s="4"/>
      <c r="AH685" s="4"/>
      <c r="AI685" s="4"/>
      <c r="AJ685" s="4"/>
      <c r="AK685" s="4"/>
    </row>
    <row r="686" ht="13.5" customHeight="1" spans="1:37" x14ac:dyDescent="0.25">
      <c r="A686" s="344"/>
      <c r="B686" s="4"/>
      <c r="C686" s="4"/>
      <c r="D686" s="4"/>
      <c r="E686" s="4"/>
      <c r="F686" s="4"/>
      <c r="G686" s="4"/>
      <c r="H686" s="4"/>
      <c r="I686" s="4"/>
      <c r="J686" s="4"/>
      <c r="K686" s="4"/>
      <c r="L686" s="4"/>
      <c r="M686" s="4"/>
      <c r="N686" s="4"/>
      <c r="O686" s="4"/>
      <c r="P686" s="4"/>
      <c r="Q686" s="4"/>
      <c r="R686" s="4"/>
      <c r="S686" s="4"/>
      <c r="T686" s="4"/>
      <c r="U686" s="4"/>
      <c r="V686" s="4"/>
      <c r="W686" s="4"/>
      <c r="X686" s="4"/>
      <c r="Y686" s="4"/>
      <c r="Z686" s="4"/>
      <c r="AA686" s="4"/>
      <c r="AB686" s="4"/>
      <c r="AC686" s="4"/>
      <c r="AD686" s="4"/>
      <c r="AE686" s="4"/>
      <c r="AF686" s="4"/>
      <c r="AG686" s="4"/>
      <c r="AH686" s="4"/>
      <c r="AI686" s="4"/>
      <c r="AJ686" s="4"/>
      <c r="AK686" s="4"/>
    </row>
    <row r="687" ht="13.5" customHeight="1" spans="1:37" x14ac:dyDescent="0.25">
      <c r="A687" s="344"/>
      <c r="B687" s="4"/>
      <c r="C687" s="4"/>
      <c r="D687" s="4"/>
      <c r="E687" s="4"/>
      <c r="F687" s="4"/>
      <c r="G687" s="4"/>
      <c r="H687" s="4"/>
      <c r="I687" s="4"/>
      <c r="J687" s="4"/>
      <c r="K687" s="4"/>
      <c r="L687" s="4"/>
      <c r="M687" s="4"/>
      <c r="N687" s="4"/>
      <c r="O687" s="4"/>
      <c r="P687" s="4"/>
      <c r="Q687" s="4"/>
      <c r="R687" s="4"/>
      <c r="S687" s="4"/>
      <c r="T687" s="4"/>
      <c r="U687" s="4"/>
      <c r="V687" s="4"/>
      <c r="W687" s="4"/>
      <c r="X687" s="4"/>
      <c r="Y687" s="4"/>
      <c r="Z687" s="4"/>
      <c r="AA687" s="4"/>
      <c r="AB687" s="4"/>
      <c r="AC687" s="4"/>
      <c r="AD687" s="4"/>
      <c r="AE687" s="4"/>
      <c r="AF687" s="4"/>
      <c r="AG687" s="4"/>
      <c r="AH687" s="4"/>
      <c r="AI687" s="4"/>
      <c r="AJ687" s="4"/>
      <c r="AK687" s="4"/>
    </row>
    <row r="688" ht="13.5" customHeight="1" spans="1:37" x14ac:dyDescent="0.25">
      <c r="A688" s="344"/>
      <c r="B688" s="4"/>
      <c r="C688" s="4"/>
      <c r="D688" s="4"/>
      <c r="E688" s="4"/>
      <c r="F688" s="4"/>
      <c r="G688" s="4"/>
      <c r="H688" s="4"/>
      <c r="I688" s="4"/>
      <c r="J688" s="4"/>
      <c r="K688" s="4"/>
      <c r="L688" s="4"/>
      <c r="M688" s="4"/>
      <c r="N688" s="4"/>
      <c r="O688" s="4"/>
      <c r="P688" s="4"/>
      <c r="Q688" s="4"/>
      <c r="R688" s="4"/>
      <c r="S688" s="4"/>
      <c r="T688" s="4"/>
      <c r="U688" s="4"/>
      <c r="V688" s="4"/>
      <c r="W688" s="4"/>
      <c r="X688" s="4"/>
      <c r="Y688" s="4"/>
      <c r="Z688" s="4"/>
      <c r="AA688" s="4"/>
      <c r="AB688" s="4"/>
      <c r="AC688" s="4"/>
      <c r="AD688" s="4"/>
      <c r="AE688" s="4"/>
      <c r="AF688" s="4"/>
      <c r="AG688" s="4"/>
      <c r="AH688" s="4"/>
      <c r="AI688" s="4"/>
      <c r="AJ688" s="4"/>
      <c r="AK688" s="4"/>
    </row>
    <row r="689" ht="13.5" customHeight="1" spans="1:37" x14ac:dyDescent="0.25">
      <c r="A689" s="344"/>
      <c r="B689" s="4"/>
      <c r="C689" s="4"/>
      <c r="D689" s="4"/>
      <c r="E689" s="4"/>
      <c r="F689" s="4"/>
      <c r="G689" s="4"/>
      <c r="H689" s="4"/>
      <c r="I689" s="4"/>
      <c r="J689" s="4"/>
      <c r="K689" s="4"/>
      <c r="L689" s="4"/>
      <c r="M689" s="4"/>
      <c r="N689" s="4"/>
      <c r="O689" s="4"/>
      <c r="P689" s="4"/>
      <c r="Q689" s="4"/>
      <c r="R689" s="4"/>
      <c r="S689" s="4"/>
      <c r="T689" s="4"/>
      <c r="U689" s="4"/>
      <c r="V689" s="4"/>
      <c r="W689" s="4"/>
      <c r="X689" s="4"/>
      <c r="Y689" s="4"/>
      <c r="Z689" s="4"/>
      <c r="AA689" s="4"/>
      <c r="AB689" s="4"/>
      <c r="AC689" s="4"/>
      <c r="AD689" s="4"/>
      <c r="AE689" s="4"/>
      <c r="AF689" s="4"/>
      <c r="AG689" s="4"/>
      <c r="AH689" s="4"/>
      <c r="AI689" s="4"/>
      <c r="AJ689" s="4"/>
      <c r="AK689" s="4"/>
    </row>
    <row r="690" ht="13.5" customHeight="1" spans="1:37" x14ac:dyDescent="0.25">
      <c r="A690" s="344"/>
      <c r="B690" s="4"/>
      <c r="C690" s="4"/>
      <c r="D690" s="4"/>
      <c r="E690" s="4"/>
      <c r="F690" s="4"/>
      <c r="G690" s="4"/>
      <c r="H690" s="4"/>
      <c r="I690" s="4"/>
      <c r="J690" s="4"/>
      <c r="K690" s="4"/>
      <c r="L690" s="4"/>
      <c r="M690" s="4"/>
      <c r="N690" s="4"/>
      <c r="O690" s="4"/>
      <c r="P690" s="4"/>
      <c r="Q690" s="4"/>
      <c r="R690" s="4"/>
      <c r="S690" s="4"/>
      <c r="T690" s="4"/>
      <c r="U690" s="4"/>
      <c r="V690" s="4"/>
      <c r="W690" s="4"/>
      <c r="X690" s="4"/>
      <c r="Y690" s="4"/>
      <c r="Z690" s="4"/>
      <c r="AA690" s="4"/>
      <c r="AB690" s="4"/>
      <c r="AC690" s="4"/>
      <c r="AD690" s="4"/>
      <c r="AE690" s="4"/>
      <c r="AF690" s="4"/>
      <c r="AG690" s="4"/>
      <c r="AH690" s="4"/>
      <c r="AI690" s="4"/>
      <c r="AJ690" s="4"/>
      <c r="AK690" s="4"/>
    </row>
    <row r="691" ht="13.5" customHeight="1" spans="1:37" x14ac:dyDescent="0.25">
      <c r="A691" s="344"/>
      <c r="B691" s="4"/>
      <c r="C691" s="4"/>
      <c r="D691" s="4"/>
      <c r="E691" s="4"/>
      <c r="F691" s="4"/>
      <c r="G691" s="4"/>
      <c r="H691" s="4"/>
      <c r="I691" s="4"/>
      <c r="J691" s="4"/>
      <c r="K691" s="4"/>
      <c r="L691" s="4"/>
      <c r="M691" s="4"/>
      <c r="N691" s="4"/>
      <c r="O691" s="4"/>
      <c r="P691" s="4"/>
      <c r="Q691" s="4"/>
      <c r="R691" s="4"/>
      <c r="S691" s="4"/>
      <c r="T691" s="4"/>
      <c r="U691" s="4"/>
      <c r="V691" s="4"/>
      <c r="W691" s="4"/>
      <c r="X691" s="4"/>
      <c r="Y691" s="4"/>
      <c r="Z691" s="4"/>
      <c r="AA691" s="4"/>
      <c r="AB691" s="4"/>
      <c r="AC691" s="4"/>
      <c r="AD691" s="4"/>
      <c r="AE691" s="4"/>
      <c r="AF691" s="4"/>
      <c r="AG691" s="4"/>
      <c r="AH691" s="4"/>
      <c r="AI691" s="4"/>
      <c r="AJ691" s="4"/>
      <c r="AK691" s="4"/>
    </row>
    <row r="692" ht="13.5" customHeight="1" spans="1:37" x14ac:dyDescent="0.25">
      <c r="A692" s="344"/>
      <c r="B692" s="4"/>
      <c r="C692" s="4"/>
      <c r="D692" s="4"/>
      <c r="E692" s="4"/>
      <c r="F692" s="4"/>
      <c r="G692" s="4"/>
      <c r="H692" s="4"/>
      <c r="I692" s="4"/>
      <c r="J692" s="4"/>
      <c r="K692" s="4"/>
      <c r="L692" s="4"/>
      <c r="M692" s="4"/>
      <c r="N692" s="4"/>
      <c r="O692" s="4"/>
      <c r="P692" s="4"/>
      <c r="Q692" s="4"/>
      <c r="R692" s="4"/>
      <c r="S692" s="4"/>
      <c r="T692" s="4"/>
      <c r="U692" s="4"/>
      <c r="V692" s="4"/>
      <c r="W692" s="4"/>
      <c r="X692" s="4"/>
      <c r="Y692" s="4"/>
      <c r="Z692" s="4"/>
      <c r="AA692" s="4"/>
      <c r="AB692" s="4"/>
      <c r="AC692" s="4"/>
      <c r="AD692" s="4"/>
      <c r="AE692" s="4"/>
      <c r="AF692" s="4"/>
      <c r="AG692" s="4"/>
      <c r="AH692" s="4"/>
      <c r="AI692" s="4"/>
      <c r="AJ692" s="4"/>
      <c r="AK692" s="4"/>
    </row>
    <row r="693" ht="13.5" customHeight="1" spans="1:37" x14ac:dyDescent="0.25">
      <c r="A693" s="344"/>
      <c r="B693" s="4"/>
      <c r="C693" s="4"/>
      <c r="D693" s="4"/>
      <c r="E693" s="4"/>
      <c r="F693" s="4"/>
      <c r="G693" s="4"/>
      <c r="H693" s="4"/>
      <c r="I693" s="4"/>
      <c r="J693" s="4"/>
      <c r="K693" s="4"/>
      <c r="L693" s="4"/>
      <c r="M693" s="4"/>
      <c r="N693" s="4"/>
      <c r="O693" s="4"/>
      <c r="P693" s="4"/>
      <c r="Q693" s="4"/>
      <c r="R693" s="4"/>
      <c r="S693" s="4"/>
      <c r="T693" s="4"/>
      <c r="U693" s="4"/>
      <c r="V693" s="4"/>
      <c r="W693" s="4"/>
      <c r="X693" s="4"/>
      <c r="Y693" s="4"/>
      <c r="Z693" s="4"/>
      <c r="AA693" s="4"/>
      <c r="AB693" s="4"/>
      <c r="AC693" s="4"/>
      <c r="AD693" s="4"/>
      <c r="AE693" s="4"/>
      <c r="AF693" s="4"/>
      <c r="AG693" s="4"/>
      <c r="AH693" s="4"/>
      <c r="AI693" s="4"/>
      <c r="AJ693" s="4"/>
      <c r="AK693" s="4"/>
    </row>
    <row r="694" ht="13.5" customHeight="1" spans="1:37" x14ac:dyDescent="0.25">
      <c r="A694" s="344"/>
      <c r="B694" s="4"/>
      <c r="C694" s="4"/>
      <c r="D694" s="4"/>
      <c r="E694" s="4"/>
      <c r="F694" s="4"/>
      <c r="G694" s="4"/>
      <c r="H694" s="4"/>
      <c r="I694" s="4"/>
      <c r="J694" s="4"/>
      <c r="K694" s="4"/>
      <c r="L694" s="4"/>
      <c r="M694" s="4"/>
      <c r="N694" s="4"/>
      <c r="O694" s="4"/>
      <c r="P694" s="4"/>
      <c r="Q694" s="4"/>
      <c r="R694" s="4"/>
      <c r="S694" s="4"/>
      <c r="T694" s="4"/>
      <c r="U694" s="4"/>
      <c r="V694" s="4"/>
      <c r="W694" s="4"/>
      <c r="X694" s="4"/>
      <c r="Y694" s="4"/>
      <c r="Z694" s="4"/>
      <c r="AA694" s="4"/>
      <c r="AB694" s="4"/>
      <c r="AC694" s="4"/>
      <c r="AD694" s="4"/>
      <c r="AE694" s="4"/>
      <c r="AF694" s="4"/>
      <c r="AG694" s="4"/>
      <c r="AH694" s="4"/>
      <c r="AI694" s="4"/>
      <c r="AJ694" s="4"/>
      <c r="AK694" s="4"/>
    </row>
    <row r="695" ht="13.5" customHeight="1" spans="1:37" x14ac:dyDescent="0.25">
      <c r="A695" s="344"/>
      <c r="B695" s="4"/>
      <c r="C695" s="4"/>
      <c r="D695" s="4"/>
      <c r="E695" s="4"/>
      <c r="F695" s="4"/>
      <c r="G695" s="4"/>
      <c r="H695" s="4"/>
      <c r="I695" s="4"/>
      <c r="J695" s="4"/>
      <c r="K695" s="4"/>
      <c r="L695" s="4"/>
      <c r="M695" s="4"/>
      <c r="N695" s="4"/>
      <c r="O695" s="4"/>
      <c r="P695" s="4"/>
      <c r="Q695" s="4"/>
      <c r="R695" s="4"/>
      <c r="S695" s="4"/>
      <c r="T695" s="4"/>
      <c r="U695" s="4"/>
      <c r="V695" s="4"/>
      <c r="W695" s="4"/>
      <c r="X695" s="4"/>
      <c r="Y695" s="4"/>
      <c r="Z695" s="4"/>
      <c r="AA695" s="4"/>
      <c r="AB695" s="4"/>
      <c r="AC695" s="4"/>
      <c r="AD695" s="4"/>
      <c r="AE695" s="4"/>
      <c r="AF695" s="4"/>
      <c r="AG695" s="4"/>
      <c r="AH695" s="4"/>
      <c r="AI695" s="4"/>
      <c r="AJ695" s="4"/>
      <c r="AK695" s="4"/>
    </row>
    <row r="696" ht="13.5" customHeight="1" spans="1:37" x14ac:dyDescent="0.25">
      <c r="A696" s="344"/>
      <c r="B696" s="4"/>
      <c r="C696" s="4"/>
      <c r="D696" s="4"/>
      <c r="E696" s="4"/>
      <c r="F696" s="4"/>
      <c r="G696" s="4"/>
      <c r="H696" s="4"/>
      <c r="I696" s="4"/>
      <c r="J696" s="4"/>
      <c r="K696" s="4"/>
      <c r="L696" s="4"/>
      <c r="M696" s="4"/>
      <c r="N696" s="4"/>
      <c r="O696" s="4"/>
      <c r="P696" s="4"/>
      <c r="Q696" s="4"/>
      <c r="R696" s="4"/>
      <c r="S696" s="4"/>
      <c r="T696" s="4"/>
      <c r="U696" s="4"/>
      <c r="V696" s="4"/>
      <c r="W696" s="4"/>
      <c r="X696" s="4"/>
      <c r="Y696" s="4"/>
      <c r="Z696" s="4"/>
      <c r="AA696" s="4"/>
      <c r="AB696" s="4"/>
      <c r="AC696" s="4"/>
      <c r="AD696" s="4"/>
      <c r="AE696" s="4"/>
      <c r="AF696" s="4"/>
      <c r="AG696" s="4"/>
      <c r="AH696" s="4"/>
      <c r="AI696" s="4"/>
      <c r="AJ696" s="4"/>
      <c r="AK696" s="4"/>
    </row>
    <row r="697" ht="13.5" customHeight="1" spans="1:37" x14ac:dyDescent="0.25">
      <c r="A697" s="344"/>
      <c r="B697" s="4"/>
      <c r="C697" s="4"/>
      <c r="D697" s="4"/>
      <c r="E697" s="4"/>
      <c r="F697" s="4"/>
      <c r="G697" s="4"/>
      <c r="H697" s="4"/>
      <c r="I697" s="4"/>
      <c r="J697" s="4"/>
      <c r="K697" s="4"/>
      <c r="L697" s="4"/>
      <c r="M697" s="4"/>
      <c r="N697" s="4"/>
      <c r="O697" s="4"/>
      <c r="P697" s="4"/>
      <c r="Q697" s="4"/>
      <c r="R697" s="4"/>
      <c r="S697" s="4"/>
      <c r="T697" s="4"/>
      <c r="U697" s="4"/>
      <c r="V697" s="4"/>
      <c r="W697" s="4"/>
      <c r="X697" s="4"/>
      <c r="Y697" s="4"/>
      <c r="Z697" s="4"/>
      <c r="AA697" s="4"/>
      <c r="AB697" s="4"/>
      <c r="AC697" s="4"/>
      <c r="AD697" s="4"/>
      <c r="AE697" s="4"/>
      <c r="AF697" s="4"/>
      <c r="AG697" s="4"/>
      <c r="AH697" s="4"/>
      <c r="AI697" s="4"/>
      <c r="AJ697" s="4"/>
      <c r="AK697" s="4"/>
    </row>
    <row r="698" ht="13.5" customHeight="1" spans="1:37" x14ac:dyDescent="0.25">
      <c r="A698" s="344"/>
      <c r="B698" s="4"/>
      <c r="C698" s="4"/>
      <c r="D698" s="4"/>
      <c r="E698" s="4"/>
      <c r="F698" s="4"/>
      <c r="G698" s="4"/>
      <c r="H698" s="4"/>
      <c r="I698" s="4"/>
      <c r="J698" s="4"/>
      <c r="K698" s="4"/>
      <c r="L698" s="4"/>
      <c r="M698" s="4"/>
      <c r="N698" s="4"/>
      <c r="O698" s="4"/>
      <c r="P698" s="4"/>
      <c r="Q698" s="4"/>
      <c r="R698" s="4"/>
      <c r="S698" s="4"/>
      <c r="T698" s="4"/>
      <c r="U698" s="4"/>
      <c r="V698" s="4"/>
      <c r="W698" s="4"/>
      <c r="X698" s="4"/>
      <c r="Y698" s="4"/>
      <c r="Z698" s="4"/>
      <c r="AA698" s="4"/>
      <c r="AB698" s="4"/>
      <c r="AC698" s="4"/>
      <c r="AD698" s="4"/>
      <c r="AE698" s="4"/>
      <c r="AF698" s="4"/>
      <c r="AG698" s="4"/>
      <c r="AH698" s="4"/>
      <c r="AI698" s="4"/>
      <c r="AJ698" s="4"/>
      <c r="AK698" s="4"/>
    </row>
    <row r="699" ht="13.5" customHeight="1" spans="1:37" x14ac:dyDescent="0.25">
      <c r="A699" s="344"/>
      <c r="B699" s="4"/>
      <c r="C699" s="4"/>
      <c r="D699" s="4"/>
      <c r="E699" s="4"/>
      <c r="F699" s="4"/>
      <c r="G699" s="4"/>
      <c r="H699" s="4"/>
      <c r="I699" s="4"/>
      <c r="J699" s="4"/>
      <c r="K699" s="4"/>
      <c r="L699" s="4"/>
      <c r="M699" s="4"/>
      <c r="N699" s="4"/>
      <c r="O699" s="4"/>
      <c r="P699" s="4"/>
      <c r="Q699" s="4"/>
      <c r="R699" s="4"/>
      <c r="S699" s="4"/>
      <c r="T699" s="4"/>
      <c r="U699" s="4"/>
      <c r="V699" s="4"/>
      <c r="W699" s="4"/>
      <c r="X699" s="4"/>
      <c r="Y699" s="4"/>
      <c r="Z699" s="4"/>
      <c r="AA699" s="4"/>
      <c r="AB699" s="4"/>
      <c r="AC699" s="4"/>
      <c r="AD699" s="4"/>
      <c r="AE699" s="4"/>
      <c r="AF699" s="4"/>
      <c r="AG699" s="4"/>
      <c r="AH699" s="4"/>
      <c r="AI699" s="4"/>
      <c r="AJ699" s="4"/>
      <c r="AK699" s="4"/>
    </row>
    <row r="700" ht="13.5" customHeight="1" spans="1:37" x14ac:dyDescent="0.25">
      <c r="A700" s="344"/>
      <c r="B700" s="4"/>
      <c r="C700" s="4"/>
      <c r="D700" s="4"/>
      <c r="E700" s="4"/>
      <c r="F700" s="4"/>
      <c r="G700" s="4"/>
      <c r="H700" s="4"/>
      <c r="I700" s="4"/>
      <c r="J700" s="4"/>
      <c r="K700" s="4"/>
      <c r="L700" s="4"/>
      <c r="M700" s="4"/>
      <c r="N700" s="4"/>
      <c r="O700" s="4"/>
      <c r="P700" s="4"/>
      <c r="Q700" s="4"/>
      <c r="R700" s="4"/>
      <c r="S700" s="4"/>
      <c r="T700" s="4"/>
      <c r="U700" s="4"/>
      <c r="V700" s="4"/>
      <c r="W700" s="4"/>
      <c r="X700" s="4"/>
      <c r="Y700" s="4"/>
      <c r="Z700" s="4"/>
      <c r="AA700" s="4"/>
      <c r="AB700" s="4"/>
      <c r="AC700" s="4"/>
      <c r="AD700" s="4"/>
      <c r="AE700" s="4"/>
      <c r="AF700" s="4"/>
      <c r="AG700" s="4"/>
      <c r="AH700" s="4"/>
      <c r="AI700" s="4"/>
      <c r="AJ700" s="4"/>
      <c r="AK700" s="4"/>
    </row>
    <row r="701" ht="13.5" customHeight="1" spans="1:37" x14ac:dyDescent="0.25">
      <c r="A701" s="344"/>
      <c r="B701" s="4"/>
      <c r="C701" s="4"/>
      <c r="D701" s="4"/>
      <c r="E701" s="4"/>
      <c r="F701" s="4"/>
      <c r="G701" s="4"/>
      <c r="H701" s="4"/>
      <c r="I701" s="4"/>
      <c r="J701" s="4"/>
      <c r="K701" s="4"/>
      <c r="L701" s="4"/>
      <c r="M701" s="4"/>
      <c r="N701" s="4"/>
      <c r="O701" s="4"/>
      <c r="P701" s="4"/>
      <c r="Q701" s="4"/>
      <c r="R701" s="4"/>
      <c r="S701" s="4"/>
      <c r="T701" s="4"/>
      <c r="U701" s="4"/>
      <c r="V701" s="4"/>
      <c r="W701" s="4"/>
      <c r="X701" s="4"/>
      <c r="Y701" s="4"/>
      <c r="Z701" s="4"/>
      <c r="AA701" s="4"/>
      <c r="AB701" s="4"/>
      <c r="AC701" s="4"/>
      <c r="AD701" s="4"/>
      <c r="AE701" s="4"/>
      <c r="AF701" s="4"/>
      <c r="AG701" s="4"/>
      <c r="AH701" s="4"/>
      <c r="AI701" s="4"/>
      <c r="AJ701" s="4"/>
      <c r="AK701" s="4"/>
    </row>
    <row r="702" ht="13.5" customHeight="1" spans="1:37" x14ac:dyDescent="0.25">
      <c r="A702" s="344"/>
      <c r="B702" s="4"/>
      <c r="C702" s="4"/>
      <c r="D702" s="4"/>
      <c r="E702" s="4"/>
      <c r="F702" s="4"/>
      <c r="G702" s="4"/>
      <c r="H702" s="4"/>
      <c r="I702" s="4"/>
      <c r="J702" s="4"/>
      <c r="K702" s="4"/>
      <c r="L702" s="4"/>
      <c r="M702" s="4"/>
      <c r="N702" s="4"/>
      <c r="O702" s="4"/>
      <c r="P702" s="4"/>
      <c r="Q702" s="4"/>
      <c r="R702" s="4"/>
      <c r="S702" s="4"/>
      <c r="T702" s="4"/>
      <c r="U702" s="4"/>
      <c r="V702" s="4"/>
      <c r="W702" s="4"/>
      <c r="X702" s="4"/>
      <c r="Y702" s="4"/>
      <c r="Z702" s="4"/>
      <c r="AA702" s="4"/>
      <c r="AB702" s="4"/>
      <c r="AC702" s="4"/>
      <c r="AD702" s="4"/>
      <c r="AE702" s="4"/>
      <c r="AF702" s="4"/>
      <c r="AG702" s="4"/>
      <c r="AH702" s="4"/>
      <c r="AI702" s="4"/>
      <c r="AJ702" s="4"/>
      <c r="AK702" s="4"/>
    </row>
    <row r="703" ht="13.5" customHeight="1" spans="1:37" x14ac:dyDescent="0.25">
      <c r="A703" s="344"/>
      <c r="B703" s="4"/>
      <c r="C703" s="4"/>
      <c r="D703" s="4"/>
      <c r="E703" s="4"/>
      <c r="F703" s="4"/>
      <c r="G703" s="4"/>
      <c r="H703" s="4"/>
      <c r="I703" s="4"/>
      <c r="J703" s="4"/>
      <c r="K703" s="4"/>
      <c r="L703" s="4"/>
      <c r="M703" s="4"/>
      <c r="N703" s="4"/>
      <c r="O703" s="4"/>
      <c r="P703" s="4"/>
      <c r="Q703" s="4"/>
      <c r="R703" s="4"/>
      <c r="S703" s="4"/>
      <c r="T703" s="4"/>
      <c r="U703" s="4"/>
      <c r="V703" s="4"/>
      <c r="W703" s="4"/>
      <c r="X703" s="4"/>
      <c r="Y703" s="4"/>
      <c r="Z703" s="4"/>
      <c r="AA703" s="4"/>
      <c r="AB703" s="4"/>
      <c r="AC703" s="4"/>
      <c r="AD703" s="4"/>
      <c r="AE703" s="4"/>
      <c r="AF703" s="4"/>
      <c r="AG703" s="4"/>
      <c r="AH703" s="4"/>
      <c r="AI703" s="4"/>
      <c r="AJ703" s="4"/>
      <c r="AK703" s="4"/>
    </row>
    <row r="704" ht="13.5" customHeight="1" spans="1:37" x14ac:dyDescent="0.25">
      <c r="A704" s="344"/>
      <c r="B704" s="4"/>
      <c r="C704" s="4"/>
      <c r="D704" s="4"/>
      <c r="E704" s="4"/>
      <c r="F704" s="4"/>
      <c r="G704" s="4"/>
      <c r="H704" s="4"/>
      <c r="I704" s="4"/>
      <c r="J704" s="4"/>
      <c r="K704" s="4"/>
      <c r="L704" s="4"/>
      <c r="M704" s="4"/>
      <c r="N704" s="4"/>
      <c r="O704" s="4"/>
      <c r="P704" s="4"/>
      <c r="Q704" s="4"/>
      <c r="R704" s="4"/>
      <c r="S704" s="4"/>
      <c r="T704" s="4"/>
      <c r="U704" s="4"/>
      <c r="V704" s="4"/>
      <c r="W704" s="4"/>
      <c r="X704" s="4"/>
      <c r="Y704" s="4"/>
      <c r="Z704" s="4"/>
      <c r="AA704" s="4"/>
      <c r="AB704" s="4"/>
      <c r="AC704" s="4"/>
      <c r="AD704" s="4"/>
      <c r="AE704" s="4"/>
      <c r="AF704" s="4"/>
      <c r="AG704" s="4"/>
      <c r="AH704" s="4"/>
      <c r="AI704" s="4"/>
      <c r="AJ704" s="4"/>
      <c r="AK704" s="4"/>
    </row>
    <row r="705" ht="13.5" customHeight="1" spans="1:37" x14ac:dyDescent="0.25">
      <c r="A705" s="344"/>
      <c r="B705" s="4"/>
      <c r="C705" s="4"/>
      <c r="D705" s="4"/>
      <c r="E705" s="4"/>
      <c r="F705" s="4"/>
      <c r="G705" s="4"/>
      <c r="H705" s="4"/>
      <c r="I705" s="4"/>
      <c r="J705" s="4"/>
      <c r="K705" s="4"/>
      <c r="L705" s="4"/>
      <c r="M705" s="4"/>
      <c r="N705" s="4"/>
      <c r="O705" s="4"/>
      <c r="P705" s="4"/>
      <c r="Q705" s="4"/>
      <c r="R705" s="4"/>
      <c r="S705" s="4"/>
      <c r="T705" s="4"/>
      <c r="U705" s="4"/>
      <c r="V705" s="4"/>
      <c r="W705" s="4"/>
      <c r="X705" s="4"/>
      <c r="Y705" s="4"/>
      <c r="Z705" s="4"/>
      <c r="AA705" s="4"/>
      <c r="AB705" s="4"/>
      <c r="AC705" s="4"/>
      <c r="AD705" s="4"/>
      <c r="AE705" s="4"/>
      <c r="AF705" s="4"/>
      <c r="AG705" s="4"/>
      <c r="AH705" s="4"/>
      <c r="AI705" s="4"/>
      <c r="AJ705" s="4"/>
      <c r="AK705" s="4"/>
    </row>
    <row r="706" ht="13.5" customHeight="1" spans="1:37" x14ac:dyDescent="0.25">
      <c r="A706" s="344"/>
      <c r="B706" s="4"/>
      <c r="C706" s="4"/>
      <c r="D706" s="4"/>
      <c r="E706" s="4"/>
      <c r="F706" s="4"/>
      <c r="G706" s="4"/>
      <c r="H706" s="4"/>
      <c r="I706" s="4"/>
      <c r="J706" s="4"/>
      <c r="K706" s="4"/>
      <c r="L706" s="4"/>
      <c r="M706" s="4"/>
      <c r="N706" s="4"/>
      <c r="O706" s="4"/>
      <c r="P706" s="4"/>
      <c r="Q706" s="4"/>
      <c r="R706" s="4"/>
      <c r="S706" s="4"/>
      <c r="T706" s="4"/>
      <c r="U706" s="4"/>
      <c r="V706" s="4"/>
      <c r="W706" s="4"/>
      <c r="X706" s="4"/>
      <c r="Y706" s="4"/>
      <c r="Z706" s="4"/>
      <c r="AA706" s="4"/>
      <c r="AB706" s="4"/>
      <c r="AC706" s="4"/>
      <c r="AD706" s="4"/>
      <c r="AE706" s="4"/>
      <c r="AF706" s="4"/>
      <c r="AG706" s="4"/>
      <c r="AH706" s="4"/>
      <c r="AI706" s="4"/>
      <c r="AJ706" s="4"/>
      <c r="AK706" s="4"/>
    </row>
    <row r="707" ht="13.5" customHeight="1" spans="1:37" x14ac:dyDescent="0.25">
      <c r="A707" s="344"/>
      <c r="B707" s="4"/>
      <c r="C707" s="4"/>
      <c r="D707" s="4"/>
      <c r="E707" s="4"/>
      <c r="F707" s="4"/>
      <c r="G707" s="4"/>
      <c r="H707" s="4"/>
      <c r="I707" s="4"/>
      <c r="J707" s="4"/>
      <c r="K707" s="4"/>
      <c r="L707" s="4"/>
      <c r="M707" s="4"/>
      <c r="N707" s="4"/>
      <c r="O707" s="4"/>
      <c r="P707" s="4"/>
      <c r="Q707" s="4"/>
      <c r="R707" s="4"/>
      <c r="S707" s="4"/>
      <c r="T707" s="4"/>
      <c r="U707" s="4"/>
      <c r="V707" s="4"/>
      <c r="W707" s="4"/>
      <c r="X707" s="4"/>
      <c r="Y707" s="4"/>
      <c r="Z707" s="4"/>
      <c r="AA707" s="4"/>
      <c r="AB707" s="4"/>
      <c r="AC707" s="4"/>
      <c r="AD707" s="4"/>
      <c r="AE707" s="4"/>
      <c r="AF707" s="4"/>
      <c r="AG707" s="4"/>
      <c r="AH707" s="4"/>
      <c r="AI707" s="4"/>
      <c r="AJ707" s="4"/>
      <c r="AK707" s="4"/>
    </row>
    <row r="708" ht="13.5" customHeight="1" spans="1:37" x14ac:dyDescent="0.25">
      <c r="A708" s="344"/>
      <c r="B708" s="4"/>
      <c r="C708" s="4"/>
      <c r="D708" s="4"/>
      <c r="E708" s="4"/>
      <c r="F708" s="4"/>
      <c r="G708" s="4"/>
      <c r="H708" s="4"/>
      <c r="I708" s="4"/>
      <c r="J708" s="4"/>
      <c r="K708" s="4"/>
      <c r="L708" s="4"/>
      <c r="M708" s="4"/>
      <c r="N708" s="4"/>
      <c r="O708" s="4"/>
      <c r="P708" s="4"/>
      <c r="Q708" s="4"/>
      <c r="R708" s="4"/>
      <c r="S708" s="4"/>
      <c r="T708" s="4"/>
      <c r="U708" s="4"/>
      <c r="V708" s="4"/>
      <c r="W708" s="4"/>
      <c r="X708" s="4"/>
      <c r="Y708" s="4"/>
      <c r="Z708" s="4"/>
      <c r="AA708" s="4"/>
      <c r="AB708" s="4"/>
      <c r="AC708" s="4"/>
      <c r="AD708" s="4"/>
      <c r="AE708" s="4"/>
      <c r="AF708" s="4"/>
      <c r="AG708" s="4"/>
      <c r="AH708" s="4"/>
      <c r="AI708" s="4"/>
      <c r="AJ708" s="4"/>
      <c r="AK708" s="4"/>
    </row>
    <row r="709" ht="13.5" customHeight="1" spans="1:37" x14ac:dyDescent="0.25">
      <c r="A709" s="344"/>
      <c r="B709" s="4"/>
      <c r="C709" s="4"/>
      <c r="D709" s="4"/>
      <c r="E709" s="4"/>
      <c r="F709" s="4"/>
      <c r="G709" s="4"/>
      <c r="H709" s="4"/>
      <c r="I709" s="4"/>
      <c r="J709" s="4"/>
      <c r="K709" s="4"/>
      <c r="L709" s="4"/>
      <c r="M709" s="4"/>
      <c r="N709" s="4"/>
      <c r="O709" s="4"/>
      <c r="P709" s="4"/>
      <c r="Q709" s="4"/>
      <c r="R709" s="4"/>
      <c r="S709" s="4"/>
      <c r="T709" s="4"/>
      <c r="U709" s="4"/>
      <c r="V709" s="4"/>
      <c r="W709" s="4"/>
      <c r="X709" s="4"/>
      <c r="Y709" s="4"/>
      <c r="Z709" s="4"/>
      <c r="AA709" s="4"/>
      <c r="AB709" s="4"/>
      <c r="AC709" s="4"/>
      <c r="AD709" s="4"/>
      <c r="AE709" s="4"/>
      <c r="AF709" s="4"/>
      <c r="AG709" s="4"/>
      <c r="AH709" s="4"/>
      <c r="AI709" s="4"/>
      <c r="AJ709" s="4"/>
      <c r="AK709" s="4"/>
    </row>
    <row r="710" ht="13.5" customHeight="1" spans="1:37" x14ac:dyDescent="0.25">
      <c r="A710" s="344"/>
      <c r="B710" s="4"/>
      <c r="C710" s="4"/>
      <c r="D710" s="4"/>
      <c r="E710" s="4"/>
      <c r="F710" s="4"/>
      <c r="G710" s="4"/>
      <c r="H710" s="4"/>
      <c r="I710" s="4"/>
      <c r="J710" s="4"/>
      <c r="K710" s="4"/>
      <c r="L710" s="4"/>
      <c r="M710" s="4"/>
      <c r="N710" s="4"/>
      <c r="O710" s="4"/>
      <c r="P710" s="4"/>
      <c r="Q710" s="4"/>
      <c r="R710" s="4"/>
      <c r="S710" s="4"/>
      <c r="T710" s="4"/>
      <c r="U710" s="4"/>
      <c r="V710" s="4"/>
      <c r="W710" s="4"/>
      <c r="X710" s="4"/>
      <c r="Y710" s="4"/>
      <c r="Z710" s="4"/>
      <c r="AA710" s="4"/>
      <c r="AB710" s="4"/>
      <c r="AC710" s="4"/>
      <c r="AD710" s="4"/>
      <c r="AE710" s="4"/>
      <c r="AF710" s="4"/>
      <c r="AG710" s="4"/>
      <c r="AH710" s="4"/>
      <c r="AI710" s="4"/>
      <c r="AJ710" s="4"/>
      <c r="AK710" s="4"/>
    </row>
    <row r="711" ht="13.5" customHeight="1" spans="1:37" x14ac:dyDescent="0.25">
      <c r="A711" s="344"/>
      <c r="B711" s="4"/>
      <c r="C711" s="4"/>
      <c r="D711" s="4"/>
      <c r="E711" s="4"/>
      <c r="F711" s="4"/>
      <c r="G711" s="4"/>
      <c r="H711" s="4"/>
      <c r="I711" s="4"/>
      <c r="J711" s="4"/>
      <c r="K711" s="4"/>
      <c r="L711" s="4"/>
      <c r="M711" s="4"/>
      <c r="N711" s="4"/>
      <c r="O711" s="4"/>
      <c r="P711" s="4"/>
      <c r="Q711" s="4"/>
      <c r="R711" s="4"/>
      <c r="S711" s="4"/>
      <c r="T711" s="4"/>
      <c r="U711" s="4"/>
      <c r="V711" s="4"/>
      <c r="W711" s="4"/>
      <c r="X711" s="4"/>
      <c r="Y711" s="4"/>
      <c r="Z711" s="4"/>
      <c r="AA711" s="4"/>
      <c r="AB711" s="4"/>
      <c r="AC711" s="4"/>
      <c r="AD711" s="4"/>
      <c r="AE711" s="4"/>
      <c r="AF711" s="4"/>
      <c r="AG711" s="4"/>
      <c r="AH711" s="4"/>
      <c r="AI711" s="4"/>
      <c r="AJ711" s="4"/>
      <c r="AK711" s="4"/>
    </row>
    <row r="712" ht="13.5" customHeight="1" spans="1:37" x14ac:dyDescent="0.25">
      <c r="A712" s="344"/>
      <c r="B712" s="4"/>
      <c r="C712" s="4"/>
      <c r="D712" s="4"/>
      <c r="E712" s="4"/>
      <c r="F712" s="4"/>
      <c r="G712" s="4"/>
      <c r="H712" s="4"/>
      <c r="I712" s="4"/>
      <c r="J712" s="4"/>
      <c r="K712" s="4"/>
      <c r="L712" s="4"/>
      <c r="M712" s="4"/>
      <c r="N712" s="4"/>
      <c r="O712" s="4"/>
      <c r="P712" s="4"/>
      <c r="Q712" s="4"/>
      <c r="R712" s="4"/>
      <c r="S712" s="4"/>
      <c r="T712" s="4"/>
      <c r="U712" s="4"/>
      <c r="V712" s="4"/>
      <c r="W712" s="4"/>
      <c r="X712" s="4"/>
      <c r="Y712" s="4"/>
      <c r="Z712" s="4"/>
      <c r="AA712" s="4"/>
      <c r="AB712" s="4"/>
      <c r="AC712" s="4"/>
      <c r="AD712" s="4"/>
      <c r="AE712" s="4"/>
      <c r="AF712" s="4"/>
      <c r="AG712" s="4"/>
      <c r="AH712" s="4"/>
      <c r="AI712" s="4"/>
      <c r="AJ712" s="4"/>
      <c r="AK712" s="4"/>
    </row>
    <row r="713" ht="13.5" customHeight="1" spans="1:37" x14ac:dyDescent="0.25">
      <c r="A713" s="344"/>
      <c r="B713" s="4"/>
      <c r="C713" s="4"/>
      <c r="D713" s="4"/>
      <c r="E713" s="4"/>
      <c r="F713" s="4"/>
      <c r="G713" s="4"/>
      <c r="H713" s="4"/>
      <c r="I713" s="4"/>
      <c r="J713" s="4"/>
      <c r="K713" s="4"/>
      <c r="L713" s="4"/>
      <c r="M713" s="4"/>
      <c r="N713" s="4"/>
      <c r="O713" s="4"/>
      <c r="P713" s="4"/>
      <c r="Q713" s="4"/>
      <c r="R713" s="4"/>
      <c r="S713" s="4"/>
      <c r="T713" s="4"/>
      <c r="U713" s="4"/>
      <c r="V713" s="4"/>
      <c r="W713" s="4"/>
      <c r="X713" s="4"/>
      <c r="Y713" s="4"/>
      <c r="Z713" s="4"/>
      <c r="AA713" s="4"/>
      <c r="AB713" s="4"/>
      <c r="AC713" s="4"/>
      <c r="AD713" s="4"/>
      <c r="AE713" s="4"/>
      <c r="AF713" s="4"/>
      <c r="AG713" s="4"/>
      <c r="AH713" s="4"/>
      <c r="AI713" s="4"/>
      <c r="AJ713" s="4"/>
      <c r="AK713" s="4"/>
    </row>
    <row r="714" ht="13.5" customHeight="1" spans="1:37" x14ac:dyDescent="0.25">
      <c r="A714" s="344"/>
      <c r="B714" s="4"/>
      <c r="C714" s="4"/>
      <c r="D714" s="4"/>
      <c r="E714" s="4"/>
      <c r="F714" s="4"/>
      <c r="G714" s="4"/>
      <c r="H714" s="4"/>
      <c r="I714" s="4"/>
      <c r="J714" s="4"/>
      <c r="K714" s="4"/>
      <c r="L714" s="4"/>
      <c r="M714" s="4"/>
      <c r="N714" s="4"/>
      <c r="O714" s="4"/>
      <c r="P714" s="4"/>
      <c r="Q714" s="4"/>
      <c r="R714" s="4"/>
      <c r="S714" s="4"/>
      <c r="T714" s="4"/>
      <c r="U714" s="4"/>
      <c r="V714" s="4"/>
      <c r="W714" s="4"/>
      <c r="X714" s="4"/>
      <c r="Y714" s="4"/>
      <c r="Z714" s="4"/>
      <c r="AA714" s="4"/>
      <c r="AB714" s="4"/>
      <c r="AC714" s="4"/>
      <c r="AD714" s="4"/>
      <c r="AE714" s="4"/>
      <c r="AF714" s="4"/>
      <c r="AG714" s="4"/>
      <c r="AH714" s="4"/>
      <c r="AI714" s="4"/>
      <c r="AJ714" s="4"/>
      <c r="AK714" s="4"/>
    </row>
    <row r="715" ht="13.5" customHeight="1" spans="1:37" x14ac:dyDescent="0.25">
      <c r="A715" s="344"/>
      <c r="B715" s="4"/>
      <c r="C715" s="4"/>
      <c r="D715" s="4"/>
      <c r="E715" s="4"/>
      <c r="F715" s="4"/>
      <c r="G715" s="4"/>
      <c r="H715" s="4"/>
      <c r="I715" s="4"/>
      <c r="J715" s="4"/>
      <c r="K715" s="4"/>
      <c r="L715" s="4"/>
      <c r="M715" s="4"/>
      <c r="N715" s="4"/>
      <c r="O715" s="4"/>
      <c r="P715" s="4"/>
      <c r="Q715" s="4"/>
      <c r="R715" s="4"/>
      <c r="S715" s="4"/>
      <c r="T715" s="4"/>
      <c r="U715" s="4"/>
      <c r="V715" s="4"/>
      <c r="W715" s="4"/>
      <c r="X715" s="4"/>
      <c r="Y715" s="4"/>
      <c r="Z715" s="4"/>
      <c r="AA715" s="4"/>
      <c r="AB715" s="4"/>
      <c r="AC715" s="4"/>
      <c r="AD715" s="4"/>
      <c r="AE715" s="4"/>
      <c r="AF715" s="4"/>
      <c r="AG715" s="4"/>
      <c r="AH715" s="4"/>
      <c r="AI715" s="4"/>
      <c r="AJ715" s="4"/>
      <c r="AK715" s="4"/>
    </row>
    <row r="716" ht="13.5" customHeight="1" spans="1:37" x14ac:dyDescent="0.25">
      <c r="A716" s="344"/>
      <c r="B716" s="4"/>
      <c r="C716" s="4"/>
      <c r="D716" s="4"/>
      <c r="E716" s="4"/>
      <c r="F716" s="4"/>
      <c r="G716" s="4"/>
      <c r="H716" s="4"/>
      <c r="I716" s="4"/>
      <c r="J716" s="4"/>
      <c r="K716" s="4"/>
      <c r="L716" s="4"/>
      <c r="M716" s="4"/>
      <c r="N716" s="4"/>
      <c r="O716" s="4"/>
      <c r="P716" s="4"/>
      <c r="Q716" s="4"/>
      <c r="R716" s="4"/>
      <c r="S716" s="4"/>
      <c r="T716" s="4"/>
      <c r="U716" s="4"/>
      <c r="V716" s="4"/>
      <c r="W716" s="4"/>
      <c r="X716" s="4"/>
      <c r="Y716" s="4"/>
      <c r="Z716" s="4"/>
      <c r="AA716" s="4"/>
      <c r="AB716" s="4"/>
      <c r="AC716" s="4"/>
      <c r="AD716" s="4"/>
      <c r="AE716" s="4"/>
      <c r="AF716" s="4"/>
      <c r="AG716" s="4"/>
      <c r="AH716" s="4"/>
      <c r="AI716" s="4"/>
      <c r="AJ716" s="4"/>
      <c r="AK716" s="4"/>
    </row>
    <row r="717" ht="13.5" customHeight="1" spans="1:37" x14ac:dyDescent="0.25">
      <c r="A717" s="344"/>
      <c r="B717" s="4"/>
      <c r="C717" s="4"/>
      <c r="D717" s="4"/>
      <c r="E717" s="4"/>
      <c r="F717" s="4"/>
      <c r="G717" s="4"/>
      <c r="H717" s="4"/>
      <c r="I717" s="4"/>
      <c r="J717" s="4"/>
      <c r="K717" s="4"/>
      <c r="L717" s="4"/>
      <c r="M717" s="4"/>
      <c r="N717" s="4"/>
      <c r="O717" s="4"/>
      <c r="P717" s="4"/>
      <c r="Q717" s="4"/>
      <c r="R717" s="4"/>
      <c r="S717" s="4"/>
      <c r="T717" s="4"/>
      <c r="U717" s="4"/>
      <c r="V717" s="4"/>
      <c r="W717" s="4"/>
      <c r="X717" s="4"/>
      <c r="Y717" s="4"/>
      <c r="Z717" s="4"/>
      <c r="AA717" s="4"/>
      <c r="AB717" s="4"/>
      <c r="AC717" s="4"/>
      <c r="AD717" s="4"/>
      <c r="AE717" s="4"/>
      <c r="AF717" s="4"/>
      <c r="AG717" s="4"/>
      <c r="AH717" s="4"/>
      <c r="AI717" s="4"/>
      <c r="AJ717" s="4"/>
      <c r="AK717" s="4"/>
    </row>
    <row r="718" ht="13.5" customHeight="1" spans="1:37" x14ac:dyDescent="0.25">
      <c r="A718" s="344"/>
      <c r="B718" s="4"/>
      <c r="C718" s="4"/>
      <c r="D718" s="4"/>
      <c r="E718" s="4"/>
      <c r="F718" s="4"/>
      <c r="G718" s="4"/>
      <c r="H718" s="4"/>
      <c r="I718" s="4"/>
      <c r="J718" s="4"/>
      <c r="K718" s="4"/>
      <c r="L718" s="4"/>
      <c r="M718" s="4"/>
      <c r="N718" s="4"/>
      <c r="O718" s="4"/>
      <c r="P718" s="4"/>
      <c r="Q718" s="4"/>
      <c r="R718" s="4"/>
      <c r="S718" s="4"/>
      <c r="T718" s="4"/>
      <c r="U718" s="4"/>
      <c r="V718" s="4"/>
      <c r="W718" s="4"/>
      <c r="X718" s="4"/>
      <c r="Y718" s="4"/>
      <c r="Z718" s="4"/>
      <c r="AA718" s="4"/>
      <c r="AB718" s="4"/>
      <c r="AC718" s="4"/>
      <c r="AD718" s="4"/>
      <c r="AE718" s="4"/>
      <c r="AF718" s="4"/>
      <c r="AG718" s="4"/>
      <c r="AH718" s="4"/>
      <c r="AI718" s="4"/>
      <c r="AJ718" s="4"/>
      <c r="AK718" s="4"/>
    </row>
    <row r="719" ht="13.5" customHeight="1" spans="1:37" x14ac:dyDescent="0.25">
      <c r="A719" s="344"/>
      <c r="B719" s="4"/>
      <c r="C719" s="4"/>
      <c r="D719" s="4"/>
      <c r="E719" s="4"/>
      <c r="F719" s="4"/>
      <c r="G719" s="4"/>
      <c r="H719" s="4"/>
      <c r="I719" s="4"/>
      <c r="J719" s="4"/>
      <c r="K719" s="4"/>
      <c r="L719" s="4"/>
      <c r="M719" s="4"/>
      <c r="N719" s="4"/>
      <c r="O719" s="4"/>
      <c r="P719" s="4"/>
      <c r="Q719" s="4"/>
      <c r="R719" s="4"/>
      <c r="S719" s="4"/>
      <c r="T719" s="4"/>
      <c r="U719" s="4"/>
      <c r="V719" s="4"/>
      <c r="W719" s="4"/>
      <c r="X719" s="4"/>
      <c r="Y719" s="4"/>
      <c r="Z719" s="4"/>
      <c r="AA719" s="4"/>
      <c r="AB719" s="4"/>
      <c r="AC719" s="4"/>
      <c r="AD719" s="4"/>
      <c r="AE719" s="4"/>
      <c r="AF719" s="4"/>
      <c r="AG719" s="4"/>
      <c r="AH719" s="4"/>
      <c r="AI719" s="4"/>
      <c r="AJ719" s="4"/>
      <c r="AK719" s="4"/>
    </row>
    <row r="720" ht="13.5" customHeight="1" spans="1:37" x14ac:dyDescent="0.25">
      <c r="A720" s="344"/>
      <c r="B720" s="4"/>
      <c r="C720" s="4"/>
      <c r="D720" s="4"/>
      <c r="E720" s="4"/>
      <c r="F720" s="4"/>
      <c r="G720" s="4"/>
      <c r="H720" s="4"/>
      <c r="I720" s="4"/>
      <c r="J720" s="4"/>
      <c r="K720" s="4"/>
      <c r="L720" s="4"/>
      <c r="M720" s="4"/>
      <c r="N720" s="4"/>
      <c r="O720" s="4"/>
      <c r="P720" s="4"/>
      <c r="Q720" s="4"/>
      <c r="R720" s="4"/>
      <c r="S720" s="4"/>
      <c r="T720" s="4"/>
      <c r="U720" s="4"/>
      <c r="V720" s="4"/>
      <c r="W720" s="4"/>
      <c r="X720" s="4"/>
      <c r="Y720" s="4"/>
      <c r="Z720" s="4"/>
      <c r="AA720" s="4"/>
      <c r="AB720" s="4"/>
      <c r="AC720" s="4"/>
      <c r="AD720" s="4"/>
      <c r="AE720" s="4"/>
      <c r="AF720" s="4"/>
      <c r="AG720" s="4"/>
      <c r="AH720" s="4"/>
      <c r="AI720" s="4"/>
      <c r="AJ720" s="4"/>
      <c r="AK720" s="4"/>
    </row>
    <row r="721" ht="13.5" customHeight="1" spans="1:37" x14ac:dyDescent="0.25">
      <c r="A721" s="344"/>
      <c r="B721" s="4"/>
      <c r="C721" s="4"/>
      <c r="D721" s="4"/>
      <c r="E721" s="4"/>
      <c r="F721" s="4"/>
      <c r="G721" s="4"/>
      <c r="H721" s="4"/>
      <c r="I721" s="4"/>
      <c r="J721" s="4"/>
      <c r="K721" s="4"/>
      <c r="L721" s="4"/>
      <c r="M721" s="4"/>
      <c r="N721" s="4"/>
      <c r="O721" s="4"/>
      <c r="P721" s="4"/>
      <c r="Q721" s="4"/>
      <c r="R721" s="4"/>
      <c r="S721" s="4"/>
      <c r="T721" s="4"/>
      <c r="U721" s="4"/>
      <c r="V721" s="4"/>
      <c r="W721" s="4"/>
      <c r="X721" s="4"/>
      <c r="Y721" s="4"/>
      <c r="Z721" s="4"/>
      <c r="AA721" s="4"/>
      <c r="AB721" s="4"/>
      <c r="AC721" s="4"/>
      <c r="AD721" s="4"/>
      <c r="AE721" s="4"/>
      <c r="AF721" s="4"/>
      <c r="AG721" s="4"/>
      <c r="AH721" s="4"/>
      <c r="AI721" s="4"/>
      <c r="AJ721" s="4"/>
      <c r="AK721" s="4"/>
    </row>
    <row r="722" ht="13.5" customHeight="1" spans="1:37" x14ac:dyDescent="0.25">
      <c r="A722" s="344"/>
      <c r="B722" s="4"/>
      <c r="C722" s="4"/>
      <c r="D722" s="4"/>
      <c r="E722" s="4"/>
      <c r="F722" s="4"/>
      <c r="G722" s="4"/>
      <c r="H722" s="4"/>
      <c r="I722" s="4"/>
      <c r="J722" s="4"/>
      <c r="K722" s="4"/>
      <c r="L722" s="4"/>
      <c r="M722" s="4"/>
      <c r="N722" s="4"/>
      <c r="O722" s="4"/>
      <c r="P722" s="4"/>
      <c r="Q722" s="4"/>
      <c r="R722" s="4"/>
      <c r="S722" s="4"/>
      <c r="T722" s="4"/>
      <c r="U722" s="4"/>
      <c r="V722" s="4"/>
      <c r="W722" s="4"/>
      <c r="X722" s="4"/>
      <c r="Y722" s="4"/>
      <c r="Z722" s="4"/>
      <c r="AA722" s="4"/>
      <c r="AB722" s="4"/>
      <c r="AC722" s="4"/>
      <c r="AD722" s="4"/>
      <c r="AE722" s="4"/>
      <c r="AF722" s="4"/>
      <c r="AG722" s="4"/>
      <c r="AH722" s="4"/>
      <c r="AI722" s="4"/>
      <c r="AJ722" s="4"/>
      <c r="AK722" s="4"/>
    </row>
    <row r="723" ht="13.5" customHeight="1" spans="1:37" x14ac:dyDescent="0.25">
      <c r="A723" s="344"/>
      <c r="B723" s="4"/>
      <c r="C723" s="4"/>
      <c r="D723" s="4"/>
      <c r="E723" s="4"/>
      <c r="F723" s="4"/>
      <c r="G723" s="4"/>
      <c r="H723" s="4"/>
      <c r="I723" s="4"/>
      <c r="J723" s="4"/>
      <c r="K723" s="4"/>
      <c r="L723" s="4"/>
      <c r="M723" s="4"/>
      <c r="N723" s="4"/>
      <c r="O723" s="4"/>
      <c r="P723" s="4"/>
      <c r="Q723" s="4"/>
      <c r="R723" s="4"/>
      <c r="S723" s="4"/>
      <c r="T723" s="4"/>
      <c r="U723" s="4"/>
      <c r="V723" s="4"/>
      <c r="W723" s="4"/>
      <c r="X723" s="4"/>
      <c r="Y723" s="4"/>
      <c r="Z723" s="4"/>
      <c r="AA723" s="4"/>
      <c r="AB723" s="4"/>
      <c r="AC723" s="4"/>
      <c r="AD723" s="4"/>
      <c r="AE723" s="4"/>
      <c r="AF723" s="4"/>
      <c r="AG723" s="4"/>
      <c r="AH723" s="4"/>
      <c r="AI723" s="4"/>
      <c r="AJ723" s="4"/>
      <c r="AK723" s="4"/>
    </row>
    <row r="724" ht="13.5" customHeight="1" spans="1:37" x14ac:dyDescent="0.25">
      <c r="A724" s="344"/>
      <c r="B724" s="4"/>
      <c r="C724" s="4"/>
      <c r="D724" s="4"/>
      <c r="E724" s="4"/>
      <c r="F724" s="4"/>
      <c r="G724" s="4"/>
      <c r="H724" s="4"/>
      <c r="I724" s="4"/>
      <c r="J724" s="4"/>
      <c r="K724" s="4"/>
      <c r="L724" s="4"/>
      <c r="M724" s="4"/>
      <c r="N724" s="4"/>
      <c r="O724" s="4"/>
      <c r="P724" s="4"/>
      <c r="Q724" s="4"/>
      <c r="R724" s="4"/>
      <c r="S724" s="4"/>
      <c r="T724" s="4"/>
      <c r="U724" s="4"/>
      <c r="V724" s="4"/>
      <c r="W724" s="4"/>
      <c r="X724" s="4"/>
      <c r="Y724" s="4"/>
      <c r="Z724" s="4"/>
      <c r="AA724" s="4"/>
      <c r="AB724" s="4"/>
      <c r="AC724" s="4"/>
      <c r="AD724" s="4"/>
      <c r="AE724" s="4"/>
      <c r="AF724" s="4"/>
      <c r="AG724" s="4"/>
      <c r="AH724" s="4"/>
      <c r="AI724" s="4"/>
      <c r="AJ724" s="4"/>
      <c r="AK724" s="4"/>
    </row>
    <row r="725" ht="13.5" customHeight="1" spans="1:37" x14ac:dyDescent="0.25">
      <c r="A725" s="344"/>
      <c r="B725" s="4"/>
      <c r="C725" s="4"/>
      <c r="D725" s="4"/>
      <c r="E725" s="4"/>
      <c r="F725" s="4"/>
      <c r="G725" s="4"/>
      <c r="H725" s="4"/>
      <c r="I725" s="4"/>
      <c r="J725" s="4"/>
      <c r="K725" s="4"/>
      <c r="L725" s="4"/>
      <c r="M725" s="4"/>
      <c r="N725" s="4"/>
      <c r="O725" s="4"/>
      <c r="P725" s="4"/>
      <c r="Q725" s="4"/>
      <c r="R725" s="4"/>
      <c r="S725" s="4"/>
      <c r="T725" s="4"/>
      <c r="U725" s="4"/>
      <c r="V725" s="4"/>
      <c r="W725" s="4"/>
      <c r="X725" s="4"/>
      <c r="Y725" s="4"/>
      <c r="Z725" s="4"/>
      <c r="AA725" s="4"/>
      <c r="AB725" s="4"/>
      <c r="AC725" s="4"/>
      <c r="AD725" s="4"/>
      <c r="AE725" s="4"/>
      <c r="AF725" s="4"/>
      <c r="AG725" s="4"/>
      <c r="AH725" s="4"/>
      <c r="AI725" s="4"/>
      <c r="AJ725" s="4"/>
      <c r="AK725" s="4"/>
    </row>
    <row r="726" ht="13.5" customHeight="1" spans="1:37" x14ac:dyDescent="0.25">
      <c r="A726" s="344"/>
      <c r="B726" s="4"/>
      <c r="C726" s="4"/>
      <c r="D726" s="4"/>
      <c r="E726" s="4"/>
      <c r="F726" s="4"/>
      <c r="G726" s="4"/>
      <c r="H726" s="4"/>
      <c r="I726" s="4"/>
      <c r="J726" s="4"/>
      <c r="K726" s="4"/>
      <c r="L726" s="4"/>
      <c r="M726" s="4"/>
      <c r="N726" s="4"/>
      <c r="O726" s="4"/>
      <c r="P726" s="4"/>
      <c r="Q726" s="4"/>
      <c r="R726" s="4"/>
      <c r="S726" s="4"/>
      <c r="T726" s="4"/>
      <c r="U726" s="4"/>
      <c r="V726" s="4"/>
      <c r="W726" s="4"/>
      <c r="X726" s="4"/>
      <c r="Y726" s="4"/>
      <c r="Z726" s="4"/>
      <c r="AA726" s="4"/>
      <c r="AB726" s="4"/>
      <c r="AC726" s="4"/>
      <c r="AD726" s="4"/>
      <c r="AE726" s="4"/>
      <c r="AF726" s="4"/>
      <c r="AG726" s="4"/>
      <c r="AH726" s="4"/>
      <c r="AI726" s="4"/>
      <c r="AJ726" s="4"/>
      <c r="AK726" s="4"/>
    </row>
    <row r="727" ht="13.5" customHeight="1" spans="1:37" x14ac:dyDescent="0.25">
      <c r="A727" s="344"/>
      <c r="B727" s="4"/>
      <c r="C727" s="4"/>
      <c r="D727" s="4"/>
      <c r="E727" s="4"/>
      <c r="F727" s="4"/>
      <c r="G727" s="4"/>
      <c r="H727" s="4"/>
      <c r="I727" s="4"/>
      <c r="J727" s="4"/>
      <c r="K727" s="4"/>
      <c r="L727" s="4"/>
      <c r="M727" s="4"/>
      <c r="N727" s="4"/>
      <c r="O727" s="4"/>
      <c r="P727" s="4"/>
      <c r="Q727" s="4"/>
      <c r="R727" s="4"/>
      <c r="S727" s="4"/>
      <c r="T727" s="4"/>
      <c r="U727" s="4"/>
      <c r="V727" s="4"/>
      <c r="W727" s="4"/>
      <c r="X727" s="4"/>
      <c r="Y727" s="4"/>
      <c r="Z727" s="4"/>
      <c r="AA727" s="4"/>
      <c r="AB727" s="4"/>
      <c r="AC727" s="4"/>
      <c r="AD727" s="4"/>
      <c r="AE727" s="4"/>
      <c r="AF727" s="4"/>
      <c r="AG727" s="4"/>
      <c r="AH727" s="4"/>
      <c r="AI727" s="4"/>
      <c r="AJ727" s="4"/>
      <c r="AK727" s="4"/>
    </row>
    <row r="728" ht="13.5" customHeight="1" spans="1:37" x14ac:dyDescent="0.25">
      <c r="A728" s="344"/>
      <c r="B728" s="4"/>
      <c r="C728" s="4"/>
      <c r="D728" s="4"/>
      <c r="E728" s="4"/>
      <c r="F728" s="4"/>
      <c r="G728" s="4"/>
      <c r="H728" s="4"/>
      <c r="I728" s="4"/>
      <c r="J728" s="4"/>
      <c r="K728" s="4"/>
      <c r="L728" s="4"/>
      <c r="M728" s="4"/>
      <c r="N728" s="4"/>
      <c r="O728" s="4"/>
      <c r="P728" s="4"/>
      <c r="Q728" s="4"/>
      <c r="R728" s="4"/>
      <c r="S728" s="4"/>
      <c r="T728" s="4"/>
      <c r="U728" s="4"/>
      <c r="V728" s="4"/>
      <c r="W728" s="4"/>
      <c r="X728" s="4"/>
      <c r="Y728" s="4"/>
      <c r="Z728" s="4"/>
      <c r="AA728" s="4"/>
      <c r="AB728" s="4"/>
      <c r="AC728" s="4"/>
      <c r="AD728" s="4"/>
      <c r="AE728" s="4"/>
      <c r="AF728" s="4"/>
      <c r="AG728" s="4"/>
      <c r="AH728" s="4"/>
      <c r="AI728" s="4"/>
      <c r="AJ728" s="4"/>
      <c r="AK728" s="4"/>
    </row>
    <row r="729" ht="13.5" customHeight="1" spans="1:37" x14ac:dyDescent="0.25">
      <c r="A729" s="344"/>
      <c r="B729" s="4"/>
      <c r="C729" s="4"/>
      <c r="D729" s="4"/>
      <c r="E729" s="4"/>
      <c r="F729" s="4"/>
      <c r="G729" s="4"/>
      <c r="H729" s="4"/>
      <c r="I729" s="4"/>
      <c r="J729" s="4"/>
      <c r="K729" s="4"/>
      <c r="L729" s="4"/>
      <c r="M729" s="4"/>
      <c r="N729" s="4"/>
      <c r="O729" s="4"/>
      <c r="P729" s="4"/>
      <c r="Q729" s="4"/>
      <c r="R729" s="4"/>
      <c r="S729" s="4"/>
      <c r="T729" s="4"/>
      <c r="U729" s="4"/>
      <c r="V729" s="4"/>
      <c r="W729" s="4"/>
      <c r="X729" s="4"/>
      <c r="Y729" s="4"/>
      <c r="Z729" s="4"/>
      <c r="AA729" s="4"/>
      <c r="AB729" s="4"/>
      <c r="AC729" s="4"/>
      <c r="AD729" s="4"/>
      <c r="AE729" s="4"/>
      <c r="AF729" s="4"/>
      <c r="AG729" s="4"/>
      <c r="AH729" s="4"/>
      <c r="AI729" s="4"/>
      <c r="AJ729" s="4"/>
      <c r="AK729" s="4"/>
    </row>
    <row r="730" ht="13.5" customHeight="1" spans="1:37" x14ac:dyDescent="0.25">
      <c r="A730" s="344"/>
      <c r="B730" s="4"/>
      <c r="C730" s="4"/>
      <c r="D730" s="4"/>
      <c r="E730" s="4"/>
      <c r="F730" s="4"/>
      <c r="G730" s="4"/>
      <c r="H730" s="4"/>
      <c r="I730" s="4"/>
      <c r="J730" s="4"/>
      <c r="K730" s="4"/>
      <c r="L730" s="4"/>
      <c r="M730" s="4"/>
      <c r="N730" s="4"/>
      <c r="O730" s="4"/>
      <c r="P730" s="4"/>
      <c r="Q730" s="4"/>
      <c r="R730" s="4"/>
      <c r="S730" s="4"/>
      <c r="T730" s="4"/>
      <c r="U730" s="4"/>
      <c r="V730" s="4"/>
      <c r="W730" s="4"/>
      <c r="X730" s="4"/>
      <c r="Y730" s="4"/>
      <c r="Z730" s="4"/>
      <c r="AA730" s="4"/>
      <c r="AB730" s="4"/>
      <c r="AC730" s="4"/>
      <c r="AD730" s="4"/>
      <c r="AE730" s="4"/>
      <c r="AF730" s="4"/>
      <c r="AG730" s="4"/>
      <c r="AH730" s="4"/>
      <c r="AI730" s="4"/>
      <c r="AJ730" s="4"/>
      <c r="AK730" s="4"/>
    </row>
    <row r="731" ht="13.5" customHeight="1" spans="1:37" x14ac:dyDescent="0.25">
      <c r="A731" s="344"/>
      <c r="B731" s="4"/>
      <c r="C731" s="4"/>
      <c r="D731" s="4"/>
      <c r="E731" s="4"/>
      <c r="F731" s="4"/>
      <c r="G731" s="4"/>
      <c r="H731" s="4"/>
      <c r="I731" s="4"/>
      <c r="J731" s="4"/>
      <c r="K731" s="4"/>
      <c r="L731" s="4"/>
      <c r="M731" s="4"/>
      <c r="N731" s="4"/>
      <c r="O731" s="4"/>
      <c r="P731" s="4"/>
      <c r="Q731" s="4"/>
      <c r="R731" s="4"/>
      <c r="S731" s="4"/>
      <c r="T731" s="4"/>
      <c r="U731" s="4"/>
      <c r="V731" s="4"/>
      <c r="W731" s="4"/>
      <c r="X731" s="4"/>
      <c r="Y731" s="4"/>
      <c r="Z731" s="4"/>
      <c r="AA731" s="4"/>
      <c r="AB731" s="4"/>
      <c r="AC731" s="4"/>
      <c r="AD731" s="4"/>
      <c r="AE731" s="4"/>
      <c r="AF731" s="4"/>
      <c r="AG731" s="4"/>
      <c r="AH731" s="4"/>
      <c r="AI731" s="4"/>
      <c r="AJ731" s="4"/>
      <c r="AK731" s="4"/>
    </row>
    <row r="732" ht="13.5" customHeight="1" spans="1:37" x14ac:dyDescent="0.25">
      <c r="A732" s="344"/>
      <c r="B732" s="4"/>
      <c r="C732" s="4"/>
      <c r="D732" s="4"/>
      <c r="E732" s="4"/>
      <c r="F732" s="4"/>
      <c r="G732" s="4"/>
      <c r="H732" s="4"/>
      <c r="I732" s="4"/>
      <c r="J732" s="4"/>
      <c r="K732" s="4"/>
      <c r="L732" s="4"/>
      <c r="M732" s="4"/>
      <c r="N732" s="4"/>
      <c r="O732" s="4"/>
      <c r="P732" s="4"/>
      <c r="Q732" s="4"/>
      <c r="R732" s="4"/>
      <c r="S732" s="4"/>
      <c r="T732" s="4"/>
      <c r="U732" s="4"/>
      <c r="V732" s="4"/>
      <c r="W732" s="4"/>
      <c r="X732" s="4"/>
      <c r="Y732" s="4"/>
      <c r="Z732" s="4"/>
      <c r="AA732" s="4"/>
      <c r="AB732" s="4"/>
      <c r="AC732" s="4"/>
      <c r="AD732" s="4"/>
      <c r="AE732" s="4"/>
      <c r="AF732" s="4"/>
      <c r="AG732" s="4"/>
      <c r="AH732" s="4"/>
      <c r="AI732" s="4"/>
      <c r="AJ732" s="4"/>
      <c r="AK732" s="4"/>
    </row>
    <row r="733" ht="13.5" customHeight="1" spans="1:37" x14ac:dyDescent="0.25">
      <c r="A733" s="344"/>
      <c r="B733" s="4"/>
      <c r="C733" s="4"/>
      <c r="D733" s="4"/>
      <c r="E733" s="4"/>
      <c r="F733" s="4"/>
      <c r="G733" s="4"/>
      <c r="H733" s="4"/>
      <c r="I733" s="4"/>
      <c r="J733" s="4"/>
      <c r="K733" s="4"/>
      <c r="L733" s="4"/>
      <c r="M733" s="4"/>
      <c r="N733" s="4"/>
      <c r="O733" s="4"/>
      <c r="P733" s="4"/>
      <c r="Q733" s="4"/>
      <c r="R733" s="4"/>
      <c r="S733" s="4"/>
      <c r="T733" s="4"/>
      <c r="U733" s="4"/>
      <c r="V733" s="4"/>
      <c r="W733" s="4"/>
      <c r="X733" s="4"/>
      <c r="Y733" s="4"/>
      <c r="Z733" s="4"/>
      <c r="AA733" s="4"/>
      <c r="AB733" s="4"/>
      <c r="AC733" s="4"/>
      <c r="AD733" s="4"/>
      <c r="AE733" s="4"/>
      <c r="AF733" s="4"/>
      <c r="AG733" s="4"/>
      <c r="AH733" s="4"/>
      <c r="AI733" s="4"/>
      <c r="AJ733" s="4"/>
      <c r="AK733" s="4"/>
    </row>
    <row r="734" ht="13.5" customHeight="1" spans="1:37" x14ac:dyDescent="0.25">
      <c r="A734" s="344"/>
      <c r="B734" s="4"/>
      <c r="C734" s="4"/>
      <c r="D734" s="4"/>
      <c r="E734" s="4"/>
      <c r="F734" s="4"/>
      <c r="G734" s="4"/>
      <c r="H734" s="4"/>
      <c r="I734" s="4"/>
      <c r="J734" s="4"/>
      <c r="K734" s="4"/>
      <c r="L734" s="4"/>
      <c r="M734" s="4"/>
      <c r="N734" s="4"/>
      <c r="O734" s="4"/>
      <c r="P734" s="4"/>
      <c r="Q734" s="4"/>
      <c r="R734" s="4"/>
      <c r="S734" s="4"/>
      <c r="T734" s="4"/>
      <c r="U734" s="4"/>
      <c r="V734" s="4"/>
      <c r="W734" s="4"/>
      <c r="X734" s="4"/>
      <c r="Y734" s="4"/>
      <c r="Z734" s="4"/>
      <c r="AA734" s="4"/>
      <c r="AB734" s="4"/>
      <c r="AC734" s="4"/>
      <c r="AD734" s="4"/>
      <c r="AE734" s="4"/>
      <c r="AF734" s="4"/>
      <c r="AG734" s="4"/>
      <c r="AH734" s="4"/>
      <c r="AI734" s="4"/>
      <c r="AJ734" s="4"/>
      <c r="AK734" s="4"/>
    </row>
    <row r="735" ht="13.5" customHeight="1" spans="1:37" x14ac:dyDescent="0.25">
      <c r="A735" s="344"/>
      <c r="B735" s="4"/>
      <c r="C735" s="4"/>
      <c r="D735" s="4"/>
      <c r="E735" s="4"/>
      <c r="F735" s="4"/>
      <c r="G735" s="4"/>
      <c r="H735" s="4"/>
      <c r="I735" s="4"/>
      <c r="J735" s="4"/>
      <c r="K735" s="4"/>
      <c r="L735" s="4"/>
      <c r="M735" s="4"/>
      <c r="N735" s="4"/>
      <c r="O735" s="4"/>
      <c r="P735" s="4"/>
      <c r="Q735" s="4"/>
      <c r="R735" s="4"/>
      <c r="S735" s="4"/>
      <c r="T735" s="4"/>
      <c r="U735" s="4"/>
      <c r="V735" s="4"/>
      <c r="W735" s="4"/>
      <c r="X735" s="4"/>
      <c r="Y735" s="4"/>
      <c r="Z735" s="4"/>
      <c r="AA735" s="4"/>
      <c r="AB735" s="4"/>
      <c r="AC735" s="4"/>
      <c r="AD735" s="4"/>
      <c r="AE735" s="4"/>
      <c r="AF735" s="4"/>
      <c r="AG735" s="4"/>
      <c r="AH735" s="4"/>
      <c r="AI735" s="4"/>
      <c r="AJ735" s="4"/>
      <c r="AK735" s="4"/>
    </row>
    <row r="736" ht="13.5" customHeight="1" spans="1:37" x14ac:dyDescent="0.25">
      <c r="A736" s="344"/>
      <c r="B736" s="4"/>
      <c r="C736" s="4"/>
      <c r="D736" s="4"/>
      <c r="E736" s="4"/>
      <c r="F736" s="4"/>
      <c r="G736" s="4"/>
      <c r="H736" s="4"/>
      <c r="I736" s="4"/>
      <c r="J736" s="4"/>
      <c r="K736" s="4"/>
      <c r="L736" s="4"/>
      <c r="M736" s="4"/>
      <c r="N736" s="4"/>
      <c r="O736" s="4"/>
      <c r="P736" s="4"/>
      <c r="Q736" s="4"/>
      <c r="R736" s="4"/>
      <c r="S736" s="4"/>
      <c r="T736" s="4"/>
      <c r="U736" s="4"/>
      <c r="V736" s="4"/>
      <c r="W736" s="4"/>
      <c r="X736" s="4"/>
      <c r="Y736" s="4"/>
      <c r="Z736" s="4"/>
      <c r="AA736" s="4"/>
      <c r="AB736" s="4"/>
      <c r="AC736" s="4"/>
      <c r="AD736" s="4"/>
      <c r="AE736" s="4"/>
      <c r="AF736" s="4"/>
      <c r="AG736" s="4"/>
      <c r="AH736" s="4"/>
      <c r="AI736" s="4"/>
      <c r="AJ736" s="4"/>
      <c r="AK736" s="4"/>
    </row>
    <row r="737" ht="13.5" customHeight="1" spans="1:37" x14ac:dyDescent="0.25">
      <c r="A737" s="344"/>
      <c r="B737" s="4"/>
      <c r="C737" s="4"/>
      <c r="D737" s="4"/>
      <c r="E737" s="4"/>
      <c r="F737" s="4"/>
      <c r="G737" s="4"/>
      <c r="H737" s="4"/>
      <c r="I737" s="4"/>
      <c r="J737" s="4"/>
      <c r="K737" s="4"/>
      <c r="L737" s="4"/>
      <c r="M737" s="4"/>
      <c r="N737" s="4"/>
      <c r="O737" s="4"/>
      <c r="P737" s="4"/>
      <c r="Q737" s="4"/>
      <c r="R737" s="4"/>
      <c r="S737" s="4"/>
      <c r="T737" s="4"/>
      <c r="U737" s="4"/>
      <c r="V737" s="4"/>
      <c r="W737" s="4"/>
      <c r="X737" s="4"/>
      <c r="Y737" s="4"/>
      <c r="Z737" s="4"/>
      <c r="AA737" s="4"/>
      <c r="AB737" s="4"/>
      <c r="AC737" s="4"/>
      <c r="AD737" s="4"/>
      <c r="AE737" s="4"/>
      <c r="AF737" s="4"/>
      <c r="AG737" s="4"/>
      <c r="AH737" s="4"/>
      <c r="AI737" s="4"/>
      <c r="AJ737" s="4"/>
      <c r="AK737" s="4"/>
    </row>
    <row r="738" ht="13.5" customHeight="1" spans="1:37" x14ac:dyDescent="0.25">
      <c r="A738" s="344"/>
      <c r="B738" s="4"/>
      <c r="C738" s="4"/>
      <c r="D738" s="4"/>
      <c r="E738" s="4"/>
      <c r="F738" s="4"/>
      <c r="G738" s="4"/>
      <c r="H738" s="4"/>
      <c r="I738" s="4"/>
      <c r="J738" s="4"/>
      <c r="K738" s="4"/>
      <c r="L738" s="4"/>
      <c r="M738" s="4"/>
      <c r="N738" s="4"/>
      <c r="O738" s="4"/>
      <c r="P738" s="4"/>
      <c r="Q738" s="4"/>
      <c r="R738" s="4"/>
      <c r="S738" s="4"/>
      <c r="T738" s="4"/>
      <c r="U738" s="4"/>
      <c r="V738" s="4"/>
      <c r="W738" s="4"/>
      <c r="X738" s="4"/>
      <c r="Y738" s="4"/>
      <c r="Z738" s="4"/>
      <c r="AA738" s="4"/>
      <c r="AB738" s="4"/>
      <c r="AC738" s="4"/>
      <c r="AD738" s="4"/>
      <c r="AE738" s="4"/>
      <c r="AF738" s="4"/>
      <c r="AG738" s="4"/>
      <c r="AH738" s="4"/>
      <c r="AI738" s="4"/>
      <c r="AJ738" s="4"/>
      <c r="AK738" s="4"/>
    </row>
    <row r="739" ht="13.5" customHeight="1" spans="1:37" x14ac:dyDescent="0.25">
      <c r="A739" s="344"/>
      <c r="B739" s="4"/>
      <c r="C739" s="4"/>
      <c r="D739" s="4"/>
      <c r="E739" s="4"/>
      <c r="F739" s="4"/>
      <c r="G739" s="4"/>
      <c r="H739" s="4"/>
      <c r="I739" s="4"/>
      <c r="J739" s="4"/>
      <c r="K739" s="4"/>
      <c r="L739" s="4"/>
      <c r="M739" s="4"/>
      <c r="N739" s="4"/>
      <c r="O739" s="4"/>
      <c r="P739" s="4"/>
      <c r="Q739" s="4"/>
      <c r="R739" s="4"/>
      <c r="S739" s="4"/>
      <c r="T739" s="4"/>
      <c r="U739" s="4"/>
      <c r="V739" s="4"/>
      <c r="W739" s="4"/>
      <c r="X739" s="4"/>
      <c r="Y739" s="4"/>
      <c r="Z739" s="4"/>
      <c r="AA739" s="4"/>
      <c r="AB739" s="4"/>
      <c r="AC739" s="4"/>
      <c r="AD739" s="4"/>
      <c r="AE739" s="4"/>
      <c r="AF739" s="4"/>
      <c r="AG739" s="4"/>
      <c r="AH739" s="4"/>
      <c r="AI739" s="4"/>
      <c r="AJ739" s="4"/>
      <c r="AK739" s="4"/>
    </row>
    <row r="740" ht="13.5" customHeight="1" spans="1:37" x14ac:dyDescent="0.25">
      <c r="A740" s="344"/>
      <c r="B740" s="4"/>
      <c r="C740" s="4"/>
      <c r="D740" s="4"/>
      <c r="E740" s="4"/>
      <c r="F740" s="4"/>
      <c r="G740" s="4"/>
      <c r="H740" s="4"/>
      <c r="I740" s="4"/>
      <c r="J740" s="4"/>
      <c r="K740" s="4"/>
      <c r="L740" s="4"/>
      <c r="M740" s="4"/>
      <c r="N740" s="4"/>
      <c r="O740" s="4"/>
      <c r="P740" s="4"/>
      <c r="Q740" s="4"/>
      <c r="R740" s="4"/>
      <c r="S740" s="4"/>
      <c r="T740" s="4"/>
      <c r="U740" s="4"/>
      <c r="V740" s="4"/>
      <c r="W740" s="4"/>
      <c r="X740" s="4"/>
      <c r="Y740" s="4"/>
      <c r="Z740" s="4"/>
      <c r="AA740" s="4"/>
      <c r="AB740" s="4"/>
      <c r="AC740" s="4"/>
      <c r="AD740" s="4"/>
      <c r="AE740" s="4"/>
      <c r="AF740" s="4"/>
      <c r="AG740" s="4"/>
      <c r="AH740" s="4"/>
      <c r="AI740" s="4"/>
      <c r="AJ740" s="4"/>
      <c r="AK740" s="4"/>
    </row>
    <row r="741" ht="13.5" customHeight="1" spans="1:37" x14ac:dyDescent="0.25">
      <c r="A741" s="344"/>
      <c r="B741" s="4"/>
      <c r="C741" s="4"/>
      <c r="D741" s="4"/>
      <c r="E741" s="4"/>
      <c r="F741" s="4"/>
      <c r="G741" s="4"/>
      <c r="H741" s="4"/>
      <c r="I741" s="4"/>
      <c r="J741" s="4"/>
      <c r="K741" s="4"/>
      <c r="L741" s="4"/>
      <c r="M741" s="4"/>
      <c r="N741" s="4"/>
      <c r="O741" s="4"/>
      <c r="P741" s="4"/>
      <c r="Q741" s="4"/>
      <c r="R741" s="4"/>
      <c r="S741" s="4"/>
      <c r="T741" s="4"/>
      <c r="U741" s="4"/>
      <c r="V741" s="4"/>
      <c r="W741" s="4"/>
      <c r="X741" s="4"/>
      <c r="Y741" s="4"/>
      <c r="Z741" s="4"/>
      <c r="AA741" s="4"/>
      <c r="AB741" s="4"/>
      <c r="AC741" s="4"/>
      <c r="AD741" s="4"/>
      <c r="AE741" s="4"/>
      <c r="AF741" s="4"/>
      <c r="AG741" s="4"/>
      <c r="AH741" s="4"/>
      <c r="AI741" s="4"/>
      <c r="AJ741" s="4"/>
      <c r="AK741" s="4"/>
    </row>
    <row r="742" ht="13.5" customHeight="1" spans="1:37" x14ac:dyDescent="0.25">
      <c r="A742" s="344"/>
      <c r="B742" s="4"/>
      <c r="C742" s="4"/>
      <c r="D742" s="4"/>
      <c r="E742" s="4"/>
      <c r="F742" s="4"/>
      <c r="G742" s="4"/>
      <c r="H742" s="4"/>
      <c r="I742" s="4"/>
      <c r="J742" s="4"/>
      <c r="K742" s="4"/>
      <c r="L742" s="4"/>
      <c r="M742" s="4"/>
      <c r="N742" s="4"/>
      <c r="O742" s="4"/>
      <c r="P742" s="4"/>
      <c r="Q742" s="4"/>
      <c r="R742" s="4"/>
      <c r="S742" s="4"/>
      <c r="T742" s="4"/>
      <c r="U742" s="4"/>
      <c r="V742" s="4"/>
      <c r="W742" s="4"/>
      <c r="X742" s="4"/>
      <c r="Y742" s="4"/>
      <c r="Z742" s="4"/>
      <c r="AA742" s="4"/>
      <c r="AB742" s="4"/>
      <c r="AC742" s="4"/>
      <c r="AD742" s="4"/>
      <c r="AE742" s="4"/>
      <c r="AF742" s="4"/>
      <c r="AG742" s="4"/>
      <c r="AH742" s="4"/>
      <c r="AI742" s="4"/>
      <c r="AJ742" s="4"/>
      <c r="AK742" s="4"/>
    </row>
    <row r="743" ht="13.5" customHeight="1" spans="1:37" x14ac:dyDescent="0.25">
      <c r="A743" s="344"/>
      <c r="B743" s="4"/>
      <c r="C743" s="4"/>
      <c r="D743" s="4"/>
      <c r="E743" s="4"/>
      <c r="F743" s="4"/>
      <c r="G743" s="4"/>
      <c r="H743" s="4"/>
      <c r="I743" s="4"/>
      <c r="J743" s="4"/>
      <c r="K743" s="4"/>
      <c r="L743" s="4"/>
      <c r="M743" s="4"/>
      <c r="N743" s="4"/>
      <c r="O743" s="4"/>
      <c r="P743" s="4"/>
      <c r="Q743" s="4"/>
      <c r="R743" s="4"/>
      <c r="S743" s="4"/>
      <c r="T743" s="4"/>
      <c r="U743" s="4"/>
      <c r="V743" s="4"/>
      <c r="W743" s="4"/>
      <c r="X743" s="4"/>
      <c r="Y743" s="4"/>
      <c r="Z743" s="4"/>
      <c r="AA743" s="4"/>
      <c r="AB743" s="4"/>
      <c r="AC743" s="4"/>
      <c r="AD743" s="4"/>
      <c r="AE743" s="4"/>
      <c r="AF743" s="4"/>
      <c r="AG743" s="4"/>
      <c r="AH743" s="4"/>
      <c r="AI743" s="4"/>
      <c r="AJ743" s="4"/>
      <c r="AK743" s="4"/>
    </row>
    <row r="744" ht="13.5" customHeight="1" spans="1:37" x14ac:dyDescent="0.25">
      <c r="A744" s="344"/>
      <c r="B744" s="4"/>
      <c r="C744" s="4"/>
      <c r="D744" s="4"/>
      <c r="E744" s="4"/>
      <c r="F744" s="4"/>
      <c r="G744" s="4"/>
      <c r="H744" s="4"/>
      <c r="I744" s="4"/>
      <c r="J744" s="4"/>
      <c r="K744" s="4"/>
      <c r="L744" s="4"/>
      <c r="M744" s="4"/>
      <c r="N744" s="4"/>
      <c r="O744" s="4"/>
      <c r="P744" s="4"/>
      <c r="Q744" s="4"/>
      <c r="R744" s="4"/>
      <c r="S744" s="4"/>
      <c r="T744" s="4"/>
      <c r="U744" s="4"/>
      <c r="V744" s="4"/>
      <c r="W744" s="4"/>
      <c r="X744" s="4"/>
      <c r="Y744" s="4"/>
      <c r="Z744" s="4"/>
      <c r="AA744" s="4"/>
      <c r="AB744" s="4"/>
      <c r="AC744" s="4"/>
      <c r="AD744" s="4"/>
      <c r="AE744" s="4"/>
      <c r="AF744" s="4"/>
      <c r="AG744" s="4"/>
      <c r="AH744" s="4"/>
      <c r="AI744" s="4"/>
      <c r="AJ744" s="4"/>
      <c r="AK744" s="4"/>
    </row>
    <row r="745" ht="13.5" customHeight="1" spans="1:37" x14ac:dyDescent="0.25">
      <c r="A745" s="344"/>
      <c r="B745" s="4"/>
      <c r="C745" s="4"/>
      <c r="D745" s="4"/>
      <c r="E745" s="4"/>
      <c r="F745" s="4"/>
      <c r="G745" s="4"/>
      <c r="H745" s="4"/>
      <c r="I745" s="4"/>
      <c r="J745" s="4"/>
      <c r="K745" s="4"/>
      <c r="L745" s="4"/>
      <c r="M745" s="4"/>
      <c r="N745" s="4"/>
      <c r="O745" s="4"/>
      <c r="P745" s="4"/>
      <c r="Q745" s="4"/>
      <c r="R745" s="4"/>
      <c r="S745" s="4"/>
      <c r="T745" s="4"/>
      <c r="U745" s="4"/>
      <c r="V745" s="4"/>
      <c r="W745" s="4"/>
      <c r="X745" s="4"/>
      <c r="Y745" s="4"/>
      <c r="Z745" s="4"/>
      <c r="AA745" s="4"/>
      <c r="AB745" s="4"/>
      <c r="AC745" s="4"/>
      <c r="AD745" s="4"/>
      <c r="AE745" s="4"/>
      <c r="AF745" s="4"/>
      <c r="AG745" s="4"/>
      <c r="AH745" s="4"/>
      <c r="AI745" s="4"/>
      <c r="AJ745" s="4"/>
      <c r="AK745" s="4"/>
    </row>
    <row r="746" ht="13.5" customHeight="1" spans="1:37" x14ac:dyDescent="0.25">
      <c r="A746" s="344"/>
      <c r="B746" s="4"/>
      <c r="C746" s="4"/>
      <c r="D746" s="4"/>
      <c r="E746" s="4"/>
      <c r="F746" s="4"/>
      <c r="G746" s="4"/>
      <c r="H746" s="4"/>
      <c r="I746" s="4"/>
      <c r="J746" s="4"/>
      <c r="K746" s="4"/>
      <c r="L746" s="4"/>
      <c r="M746" s="4"/>
      <c r="N746" s="4"/>
      <c r="O746" s="4"/>
      <c r="P746" s="4"/>
      <c r="Q746" s="4"/>
      <c r="R746" s="4"/>
      <c r="S746" s="4"/>
      <c r="T746" s="4"/>
      <c r="U746" s="4"/>
      <c r="V746" s="4"/>
      <c r="W746" s="4"/>
      <c r="X746" s="4"/>
      <c r="Y746" s="4"/>
      <c r="Z746" s="4"/>
      <c r="AA746" s="4"/>
      <c r="AB746" s="4"/>
      <c r="AC746" s="4"/>
      <c r="AD746" s="4"/>
      <c r="AE746" s="4"/>
      <c r="AF746" s="4"/>
      <c r="AG746" s="4"/>
      <c r="AH746" s="4"/>
      <c r="AI746" s="4"/>
      <c r="AJ746" s="4"/>
      <c r="AK746" s="4"/>
    </row>
    <row r="747" ht="13.5" customHeight="1" spans="1:37" x14ac:dyDescent="0.25">
      <c r="A747" s="344"/>
      <c r="B747" s="4"/>
      <c r="C747" s="4"/>
      <c r="D747" s="4"/>
      <c r="E747" s="4"/>
      <c r="F747" s="4"/>
      <c r="G747" s="4"/>
      <c r="H747" s="4"/>
      <c r="I747" s="4"/>
      <c r="J747" s="4"/>
      <c r="K747" s="4"/>
      <c r="L747" s="4"/>
      <c r="M747" s="4"/>
      <c r="N747" s="4"/>
      <c r="O747" s="4"/>
      <c r="P747" s="4"/>
      <c r="Q747" s="4"/>
      <c r="R747" s="4"/>
      <c r="S747" s="4"/>
      <c r="T747" s="4"/>
      <c r="U747" s="4"/>
      <c r="V747" s="4"/>
      <c r="W747" s="4"/>
      <c r="X747" s="4"/>
      <c r="Y747" s="4"/>
      <c r="Z747" s="4"/>
      <c r="AA747" s="4"/>
      <c r="AB747" s="4"/>
      <c r="AC747" s="4"/>
      <c r="AD747" s="4"/>
      <c r="AE747" s="4"/>
      <c r="AF747" s="4"/>
      <c r="AG747" s="4"/>
      <c r="AH747" s="4"/>
      <c r="AI747" s="4"/>
      <c r="AJ747" s="4"/>
      <c r="AK747" s="4"/>
    </row>
    <row r="748" ht="13.5" customHeight="1" spans="1:37" x14ac:dyDescent="0.25">
      <c r="A748" s="344"/>
      <c r="B748" s="4"/>
      <c r="C748" s="4"/>
      <c r="D748" s="4"/>
      <c r="E748" s="4"/>
      <c r="F748" s="4"/>
      <c r="G748" s="4"/>
      <c r="H748" s="4"/>
      <c r="I748" s="4"/>
      <c r="J748" s="4"/>
      <c r="K748" s="4"/>
      <c r="L748" s="4"/>
      <c r="M748" s="4"/>
      <c r="N748" s="4"/>
      <c r="O748" s="4"/>
      <c r="P748" s="4"/>
      <c r="Q748" s="4"/>
      <c r="R748" s="4"/>
      <c r="S748" s="4"/>
      <c r="T748" s="4"/>
      <c r="U748" s="4"/>
      <c r="V748" s="4"/>
      <c r="W748" s="4"/>
      <c r="X748" s="4"/>
      <c r="Y748" s="4"/>
      <c r="Z748" s="4"/>
      <c r="AA748" s="4"/>
      <c r="AB748" s="4"/>
      <c r="AC748" s="4"/>
      <c r="AD748" s="4"/>
      <c r="AE748" s="4"/>
      <c r="AF748" s="4"/>
      <c r="AG748" s="4"/>
      <c r="AH748" s="4"/>
      <c r="AI748" s="4"/>
      <c r="AJ748" s="4"/>
      <c r="AK748" s="4"/>
    </row>
    <row r="749" ht="13.5" customHeight="1" spans="1:37" x14ac:dyDescent="0.25">
      <c r="A749" s="344"/>
      <c r="B749" s="4"/>
      <c r="C749" s="4"/>
      <c r="D749" s="4"/>
      <c r="E749" s="4"/>
      <c r="F749" s="4"/>
      <c r="G749" s="4"/>
      <c r="H749" s="4"/>
      <c r="I749" s="4"/>
      <c r="J749" s="4"/>
      <c r="K749" s="4"/>
      <c r="L749" s="4"/>
      <c r="M749" s="4"/>
      <c r="N749" s="4"/>
      <c r="O749" s="4"/>
      <c r="P749" s="4"/>
      <c r="Q749" s="4"/>
      <c r="R749" s="4"/>
      <c r="S749" s="4"/>
      <c r="T749" s="4"/>
      <c r="U749" s="4"/>
      <c r="V749" s="4"/>
      <c r="W749" s="4"/>
      <c r="X749" s="4"/>
      <c r="Y749" s="4"/>
      <c r="Z749" s="4"/>
      <c r="AA749" s="4"/>
      <c r="AB749" s="4"/>
      <c r="AC749" s="4"/>
      <c r="AD749" s="4"/>
      <c r="AE749" s="4"/>
      <c r="AF749" s="4"/>
      <c r="AG749" s="4"/>
      <c r="AH749" s="4"/>
      <c r="AI749" s="4"/>
      <c r="AJ749" s="4"/>
      <c r="AK749" s="4"/>
    </row>
    <row r="750" ht="13.5" customHeight="1" spans="1:37" x14ac:dyDescent="0.25">
      <c r="A750" s="344"/>
      <c r="B750" s="4"/>
      <c r="C750" s="4"/>
      <c r="D750" s="4"/>
      <c r="E750" s="4"/>
      <c r="F750" s="4"/>
      <c r="G750" s="4"/>
      <c r="H750" s="4"/>
      <c r="I750" s="4"/>
      <c r="J750" s="4"/>
      <c r="K750" s="4"/>
      <c r="L750" s="4"/>
      <c r="M750" s="4"/>
      <c r="N750" s="4"/>
      <c r="O750" s="4"/>
      <c r="P750" s="4"/>
      <c r="Q750" s="4"/>
      <c r="R750" s="4"/>
      <c r="S750" s="4"/>
      <c r="T750" s="4"/>
      <c r="U750" s="4"/>
      <c r="V750" s="4"/>
      <c r="W750" s="4"/>
      <c r="X750" s="4"/>
      <c r="Y750" s="4"/>
      <c r="Z750" s="4"/>
      <c r="AA750" s="4"/>
      <c r="AB750" s="4"/>
      <c r="AC750" s="4"/>
      <c r="AD750" s="4"/>
      <c r="AE750" s="4"/>
      <c r="AF750" s="4"/>
      <c r="AG750" s="4"/>
      <c r="AH750" s="4"/>
      <c r="AI750" s="4"/>
      <c r="AJ750" s="4"/>
      <c r="AK750" s="4"/>
    </row>
    <row r="751" ht="13.5" customHeight="1" spans="1:37" x14ac:dyDescent="0.25">
      <c r="A751" s="344"/>
      <c r="B751" s="4"/>
      <c r="C751" s="4"/>
      <c r="D751" s="4"/>
      <c r="E751" s="4"/>
      <c r="F751" s="4"/>
      <c r="G751" s="4"/>
      <c r="H751" s="4"/>
      <c r="I751" s="4"/>
      <c r="J751" s="4"/>
      <c r="K751" s="4"/>
      <c r="L751" s="4"/>
      <c r="M751" s="4"/>
      <c r="N751" s="4"/>
      <c r="O751" s="4"/>
      <c r="P751" s="4"/>
      <c r="Q751" s="4"/>
      <c r="R751" s="4"/>
      <c r="S751" s="4"/>
      <c r="T751" s="4"/>
      <c r="U751" s="4"/>
      <c r="V751" s="4"/>
      <c r="W751" s="4"/>
      <c r="X751" s="4"/>
      <c r="Y751" s="4"/>
      <c r="Z751" s="4"/>
      <c r="AA751" s="4"/>
      <c r="AB751" s="4"/>
      <c r="AC751" s="4"/>
      <c r="AD751" s="4"/>
      <c r="AE751" s="4"/>
      <c r="AF751" s="4"/>
      <c r="AG751" s="4"/>
      <c r="AH751" s="4"/>
      <c r="AI751" s="4"/>
      <c r="AJ751" s="4"/>
      <c r="AK751" s="4"/>
    </row>
    <row r="752" ht="13.5" customHeight="1" spans="1:37" x14ac:dyDescent="0.25">
      <c r="A752" s="344"/>
      <c r="B752" s="4"/>
      <c r="C752" s="4"/>
      <c r="D752" s="4"/>
      <c r="E752" s="4"/>
      <c r="F752" s="4"/>
      <c r="G752" s="4"/>
      <c r="H752" s="4"/>
      <c r="I752" s="4"/>
      <c r="J752" s="4"/>
      <c r="K752" s="4"/>
      <c r="L752" s="4"/>
      <c r="M752" s="4"/>
      <c r="N752" s="4"/>
      <c r="O752" s="4"/>
      <c r="P752" s="4"/>
      <c r="Q752" s="4"/>
      <c r="R752" s="4"/>
      <c r="S752" s="4"/>
      <c r="T752" s="4"/>
      <c r="U752" s="4"/>
      <c r="V752" s="4"/>
      <c r="W752" s="4"/>
      <c r="X752" s="4"/>
      <c r="Y752" s="4"/>
      <c r="Z752" s="4"/>
      <c r="AA752" s="4"/>
      <c r="AB752" s="4"/>
      <c r="AC752" s="4"/>
      <c r="AD752" s="4"/>
      <c r="AE752" s="4"/>
      <c r="AF752" s="4"/>
      <c r="AG752" s="4"/>
      <c r="AH752" s="4"/>
      <c r="AI752" s="4"/>
      <c r="AJ752" s="4"/>
      <c r="AK752" s="4"/>
    </row>
    <row r="753" ht="13.5" customHeight="1" spans="1:37" x14ac:dyDescent="0.25">
      <c r="A753" s="344"/>
      <c r="B753" s="4"/>
      <c r="C753" s="4"/>
      <c r="D753" s="4"/>
      <c r="E753" s="4"/>
      <c r="F753" s="4"/>
      <c r="G753" s="4"/>
      <c r="H753" s="4"/>
      <c r="I753" s="4"/>
      <c r="J753" s="4"/>
      <c r="K753" s="4"/>
      <c r="L753" s="4"/>
      <c r="M753" s="4"/>
      <c r="N753" s="4"/>
      <c r="O753" s="4"/>
      <c r="P753" s="4"/>
      <c r="Q753" s="4"/>
      <c r="R753" s="4"/>
      <c r="S753" s="4"/>
      <c r="T753" s="4"/>
      <c r="U753" s="4"/>
      <c r="V753" s="4"/>
      <c r="W753" s="4"/>
      <c r="X753" s="4"/>
      <c r="Y753" s="4"/>
      <c r="Z753" s="4"/>
      <c r="AA753" s="4"/>
      <c r="AB753" s="4"/>
      <c r="AC753" s="4"/>
      <c r="AD753" s="4"/>
      <c r="AE753" s="4"/>
      <c r="AF753" s="4"/>
      <c r="AG753" s="4"/>
      <c r="AH753" s="4"/>
      <c r="AI753" s="4"/>
      <c r="AJ753" s="4"/>
      <c r="AK753" s="4"/>
    </row>
    <row r="754" ht="13.5" customHeight="1" spans="1:37" x14ac:dyDescent="0.25">
      <c r="A754" s="344"/>
      <c r="B754" s="4"/>
      <c r="C754" s="4"/>
      <c r="D754" s="4"/>
      <c r="E754" s="4"/>
      <c r="F754" s="4"/>
      <c r="G754" s="4"/>
      <c r="H754" s="4"/>
      <c r="I754" s="4"/>
      <c r="J754" s="4"/>
      <c r="K754" s="4"/>
      <c r="L754" s="4"/>
      <c r="M754" s="4"/>
      <c r="N754" s="4"/>
      <c r="O754" s="4"/>
      <c r="P754" s="4"/>
      <c r="Q754" s="4"/>
      <c r="R754" s="4"/>
      <c r="S754" s="4"/>
      <c r="T754" s="4"/>
      <c r="U754" s="4"/>
      <c r="V754" s="4"/>
      <c r="W754" s="4"/>
      <c r="X754" s="4"/>
      <c r="Y754" s="4"/>
      <c r="Z754" s="4"/>
      <c r="AA754" s="4"/>
      <c r="AB754" s="4"/>
      <c r="AC754" s="4"/>
      <c r="AD754" s="4"/>
      <c r="AE754" s="4"/>
      <c r="AF754" s="4"/>
      <c r="AG754" s="4"/>
      <c r="AH754" s="4"/>
      <c r="AI754" s="4"/>
      <c r="AJ754" s="4"/>
      <c r="AK754" s="4"/>
    </row>
    <row r="755" ht="13.5" customHeight="1" spans="1:37" x14ac:dyDescent="0.25">
      <c r="A755" s="344"/>
      <c r="B755" s="4"/>
      <c r="C755" s="4"/>
      <c r="D755" s="4"/>
      <c r="E755" s="4"/>
      <c r="F755" s="4"/>
      <c r="G755" s="4"/>
      <c r="H755" s="4"/>
      <c r="I755" s="4"/>
      <c r="J755" s="4"/>
      <c r="K755" s="4"/>
      <c r="L755" s="4"/>
      <c r="M755" s="4"/>
      <c r="N755" s="4"/>
      <c r="O755" s="4"/>
      <c r="P755" s="4"/>
      <c r="Q755" s="4"/>
      <c r="R755" s="4"/>
      <c r="S755" s="4"/>
      <c r="T755" s="4"/>
      <c r="U755" s="4"/>
      <c r="V755" s="4"/>
      <c r="W755" s="4"/>
      <c r="X755" s="4"/>
      <c r="Y755" s="4"/>
      <c r="Z755" s="4"/>
      <c r="AA755" s="4"/>
      <c r="AB755" s="4"/>
      <c r="AC755" s="4"/>
      <c r="AD755" s="4"/>
      <c r="AE755" s="4"/>
      <c r="AF755" s="4"/>
      <c r="AG755" s="4"/>
      <c r="AH755" s="4"/>
      <c r="AI755" s="4"/>
      <c r="AJ755" s="4"/>
      <c r="AK755" s="4"/>
    </row>
    <row r="756" ht="13.5" customHeight="1" spans="1:37" x14ac:dyDescent="0.25">
      <c r="A756" s="344"/>
      <c r="B756" s="4"/>
      <c r="C756" s="4"/>
      <c r="D756" s="4"/>
      <c r="E756" s="4"/>
      <c r="F756" s="4"/>
      <c r="G756" s="4"/>
      <c r="H756" s="4"/>
      <c r="I756" s="4"/>
      <c r="J756" s="4"/>
      <c r="K756" s="4"/>
      <c r="L756" s="4"/>
      <c r="M756" s="4"/>
      <c r="N756" s="4"/>
      <c r="O756" s="4"/>
      <c r="P756" s="4"/>
      <c r="Q756" s="4"/>
      <c r="R756" s="4"/>
      <c r="S756" s="4"/>
      <c r="T756" s="4"/>
      <c r="U756" s="4"/>
      <c r="V756" s="4"/>
      <c r="W756" s="4"/>
      <c r="X756" s="4"/>
      <c r="Y756" s="4"/>
      <c r="Z756" s="4"/>
      <c r="AA756" s="4"/>
      <c r="AB756" s="4"/>
      <c r="AC756" s="4"/>
      <c r="AD756" s="4"/>
      <c r="AE756" s="4"/>
      <c r="AF756" s="4"/>
      <c r="AG756" s="4"/>
      <c r="AH756" s="4"/>
      <c r="AI756" s="4"/>
      <c r="AJ756" s="4"/>
      <c r="AK756" s="4"/>
    </row>
    <row r="757" ht="13.5" customHeight="1" spans="1:37" x14ac:dyDescent="0.25">
      <c r="A757" s="344"/>
      <c r="B757" s="4"/>
      <c r="C757" s="4"/>
      <c r="D757" s="4"/>
      <c r="E757" s="4"/>
      <c r="F757" s="4"/>
      <c r="G757" s="4"/>
      <c r="H757" s="4"/>
      <c r="I757" s="4"/>
      <c r="J757" s="4"/>
      <c r="K757" s="4"/>
      <c r="L757" s="4"/>
      <c r="M757" s="4"/>
      <c r="N757" s="4"/>
      <c r="O757" s="4"/>
      <c r="P757" s="4"/>
      <c r="Q757" s="4"/>
      <c r="R757" s="4"/>
      <c r="S757" s="4"/>
      <c r="T757" s="4"/>
      <c r="U757" s="4"/>
      <c r="V757" s="4"/>
      <c r="W757" s="4"/>
      <c r="X757" s="4"/>
      <c r="Y757" s="4"/>
      <c r="Z757" s="4"/>
      <c r="AA757" s="4"/>
      <c r="AB757" s="4"/>
      <c r="AC757" s="4"/>
      <c r="AD757" s="4"/>
      <c r="AE757" s="4"/>
      <c r="AF757" s="4"/>
      <c r="AG757" s="4"/>
      <c r="AH757" s="4"/>
      <c r="AI757" s="4"/>
      <c r="AJ757" s="4"/>
      <c r="AK757" s="4"/>
    </row>
    <row r="758" ht="13.5" customHeight="1" spans="1:37" x14ac:dyDescent="0.25">
      <c r="A758" s="344"/>
      <c r="B758" s="4"/>
      <c r="C758" s="4"/>
      <c r="D758" s="4"/>
      <c r="E758" s="4"/>
      <c r="F758" s="4"/>
      <c r="G758" s="4"/>
      <c r="H758" s="4"/>
      <c r="I758" s="4"/>
      <c r="J758" s="4"/>
      <c r="K758" s="4"/>
      <c r="L758" s="4"/>
      <c r="M758" s="4"/>
      <c r="N758" s="4"/>
      <c r="O758" s="4"/>
      <c r="P758" s="4"/>
      <c r="Q758" s="4"/>
      <c r="R758" s="4"/>
      <c r="S758" s="4"/>
      <c r="T758" s="4"/>
      <c r="U758" s="4"/>
      <c r="V758" s="4"/>
      <c r="W758" s="4"/>
      <c r="X758" s="4"/>
      <c r="Y758" s="4"/>
      <c r="Z758" s="4"/>
      <c r="AA758" s="4"/>
      <c r="AB758" s="4"/>
      <c r="AC758" s="4"/>
      <c r="AD758" s="4"/>
      <c r="AE758" s="4"/>
      <c r="AF758" s="4"/>
      <c r="AG758" s="4"/>
      <c r="AH758" s="4"/>
      <c r="AI758" s="4"/>
      <c r="AJ758" s="4"/>
      <c r="AK758" s="4"/>
    </row>
    <row r="759" ht="13.5" customHeight="1" spans="1:37" x14ac:dyDescent="0.25">
      <c r="A759" s="344"/>
      <c r="B759" s="4"/>
      <c r="C759" s="4"/>
      <c r="D759" s="4"/>
      <c r="E759" s="4"/>
      <c r="F759" s="4"/>
      <c r="G759" s="4"/>
      <c r="H759" s="4"/>
      <c r="I759" s="4"/>
      <c r="J759" s="4"/>
      <c r="K759" s="4"/>
      <c r="L759" s="4"/>
      <c r="M759" s="4"/>
      <c r="N759" s="4"/>
      <c r="O759" s="4"/>
      <c r="P759" s="4"/>
      <c r="Q759" s="4"/>
      <c r="R759" s="4"/>
      <c r="S759" s="4"/>
      <c r="T759" s="4"/>
      <c r="U759" s="4"/>
      <c r="V759" s="4"/>
      <c r="W759" s="4"/>
      <c r="X759" s="4"/>
      <c r="Y759" s="4"/>
      <c r="Z759" s="4"/>
      <c r="AA759" s="4"/>
      <c r="AB759" s="4"/>
      <c r="AC759" s="4"/>
      <c r="AD759" s="4"/>
      <c r="AE759" s="4"/>
      <c r="AF759" s="4"/>
      <c r="AG759" s="4"/>
      <c r="AH759" s="4"/>
      <c r="AI759" s="4"/>
      <c r="AJ759" s="4"/>
      <c r="AK759" s="4"/>
    </row>
    <row r="760" ht="13.5" customHeight="1" spans="1:37" x14ac:dyDescent="0.25">
      <c r="A760" s="344"/>
      <c r="B760" s="4"/>
      <c r="C760" s="4"/>
      <c r="D760" s="4"/>
      <c r="E760" s="4"/>
      <c r="F760" s="4"/>
      <c r="G760" s="4"/>
      <c r="H760" s="4"/>
      <c r="I760" s="4"/>
      <c r="J760" s="4"/>
      <c r="K760" s="4"/>
      <c r="L760" s="4"/>
      <c r="M760" s="4"/>
      <c r="N760" s="4"/>
      <c r="O760" s="4"/>
      <c r="P760" s="4"/>
      <c r="Q760" s="4"/>
      <c r="R760" s="4"/>
      <c r="S760" s="4"/>
      <c r="T760" s="4"/>
      <c r="U760" s="4"/>
      <c r="V760" s="4"/>
      <c r="W760" s="4"/>
      <c r="X760" s="4"/>
      <c r="Y760" s="4"/>
      <c r="Z760" s="4"/>
      <c r="AA760" s="4"/>
      <c r="AB760" s="4"/>
      <c r="AC760" s="4"/>
      <c r="AD760" s="4"/>
      <c r="AE760" s="4"/>
      <c r="AF760" s="4"/>
      <c r="AG760" s="4"/>
      <c r="AH760" s="4"/>
      <c r="AI760" s="4"/>
      <c r="AJ760" s="4"/>
      <c r="AK760" s="4"/>
    </row>
    <row r="761" ht="13.5" customHeight="1" spans="1:37" x14ac:dyDescent="0.25">
      <c r="A761" s="344"/>
      <c r="B761" s="4"/>
      <c r="C761" s="4"/>
      <c r="D761" s="4"/>
      <c r="E761" s="4"/>
      <c r="F761" s="4"/>
      <c r="G761" s="4"/>
      <c r="H761" s="4"/>
      <c r="I761" s="4"/>
      <c r="J761" s="4"/>
      <c r="K761" s="4"/>
      <c r="L761" s="4"/>
      <c r="M761" s="4"/>
      <c r="N761" s="4"/>
      <c r="O761" s="4"/>
      <c r="P761" s="4"/>
      <c r="Q761" s="4"/>
      <c r="R761" s="4"/>
      <c r="S761" s="4"/>
      <c r="T761" s="4"/>
      <c r="U761" s="4"/>
      <c r="V761" s="4"/>
      <c r="W761" s="4"/>
      <c r="X761" s="4"/>
      <c r="Y761" s="4"/>
      <c r="Z761" s="4"/>
      <c r="AA761" s="4"/>
      <c r="AB761" s="4"/>
      <c r="AC761" s="4"/>
      <c r="AD761" s="4"/>
      <c r="AE761" s="4"/>
      <c r="AF761" s="4"/>
      <c r="AG761" s="4"/>
      <c r="AH761" s="4"/>
      <c r="AI761" s="4"/>
      <c r="AJ761" s="4"/>
      <c r="AK761" s="4"/>
    </row>
    <row r="762" ht="13.5" customHeight="1" spans="1:37" x14ac:dyDescent="0.25">
      <c r="A762" s="344"/>
      <c r="B762" s="4"/>
      <c r="C762" s="4"/>
      <c r="D762" s="4"/>
      <c r="E762" s="4"/>
      <c r="F762" s="4"/>
      <c r="G762" s="4"/>
      <c r="H762" s="4"/>
      <c r="I762" s="4"/>
      <c r="J762" s="4"/>
      <c r="K762" s="4"/>
      <c r="L762" s="4"/>
      <c r="M762" s="4"/>
      <c r="N762" s="4"/>
      <c r="O762" s="4"/>
      <c r="P762" s="4"/>
      <c r="Q762" s="4"/>
      <c r="R762" s="4"/>
      <c r="S762" s="4"/>
      <c r="T762" s="4"/>
      <c r="U762" s="4"/>
      <c r="V762" s="4"/>
      <c r="W762" s="4"/>
      <c r="X762" s="4"/>
      <c r="Y762" s="4"/>
      <c r="Z762" s="4"/>
      <c r="AA762" s="4"/>
      <c r="AB762" s="4"/>
      <c r="AC762" s="4"/>
      <c r="AD762" s="4"/>
      <c r="AE762" s="4"/>
      <c r="AF762" s="4"/>
      <c r="AG762" s="4"/>
      <c r="AH762" s="4"/>
      <c r="AI762" s="4"/>
      <c r="AJ762" s="4"/>
      <c r="AK762" s="4"/>
    </row>
    <row r="763" ht="13.5" customHeight="1" spans="1:37" x14ac:dyDescent="0.25">
      <c r="A763" s="344"/>
      <c r="B763" s="4"/>
      <c r="C763" s="4"/>
      <c r="D763" s="4"/>
      <c r="E763" s="4"/>
      <c r="F763" s="4"/>
      <c r="G763" s="4"/>
      <c r="H763" s="4"/>
      <c r="I763" s="4"/>
      <c r="J763" s="4"/>
      <c r="K763" s="4"/>
      <c r="L763" s="4"/>
      <c r="M763" s="4"/>
      <c r="N763" s="4"/>
      <c r="O763" s="4"/>
      <c r="P763" s="4"/>
      <c r="Q763" s="4"/>
      <c r="R763" s="4"/>
      <c r="S763" s="4"/>
      <c r="T763" s="4"/>
      <c r="U763" s="4"/>
      <c r="V763" s="4"/>
      <c r="W763" s="4"/>
      <c r="X763" s="4"/>
      <c r="Y763" s="4"/>
      <c r="Z763" s="4"/>
      <c r="AA763" s="4"/>
      <c r="AB763" s="4"/>
      <c r="AC763" s="4"/>
      <c r="AD763" s="4"/>
      <c r="AE763" s="4"/>
      <c r="AF763" s="4"/>
      <c r="AG763" s="4"/>
      <c r="AH763" s="4"/>
      <c r="AI763" s="4"/>
      <c r="AJ763" s="4"/>
      <c r="AK763" s="4"/>
    </row>
    <row r="764" ht="13.5" customHeight="1" spans="1:37" x14ac:dyDescent="0.25">
      <c r="A764" s="344"/>
      <c r="B764" s="4"/>
      <c r="C764" s="4"/>
      <c r="D764" s="4"/>
      <c r="E764" s="4"/>
      <c r="F764" s="4"/>
      <c r="G764" s="4"/>
      <c r="H764" s="4"/>
      <c r="I764" s="4"/>
      <c r="J764" s="4"/>
      <c r="K764" s="4"/>
      <c r="L764" s="4"/>
      <c r="M764" s="4"/>
      <c r="N764" s="4"/>
      <c r="O764" s="4"/>
      <c r="P764" s="4"/>
      <c r="Q764" s="4"/>
      <c r="R764" s="4"/>
      <c r="S764" s="4"/>
      <c r="T764" s="4"/>
      <c r="U764" s="4"/>
      <c r="V764" s="4"/>
      <c r="W764" s="4"/>
      <c r="X764" s="4"/>
      <c r="Y764" s="4"/>
      <c r="Z764" s="4"/>
      <c r="AA764" s="4"/>
      <c r="AB764" s="4"/>
      <c r="AC764" s="4"/>
      <c r="AD764" s="4"/>
      <c r="AE764" s="4"/>
      <c r="AF764" s="4"/>
      <c r="AG764" s="4"/>
      <c r="AH764" s="4"/>
      <c r="AI764" s="4"/>
      <c r="AJ764" s="4"/>
      <c r="AK764" s="4"/>
    </row>
    <row r="765" ht="13.5" customHeight="1" spans="1:37" x14ac:dyDescent="0.25">
      <c r="A765" s="344"/>
      <c r="B765" s="4"/>
      <c r="C765" s="4"/>
      <c r="D765" s="4"/>
      <c r="E765" s="4"/>
      <c r="F765" s="4"/>
      <c r="G765" s="4"/>
      <c r="H765" s="4"/>
      <c r="I765" s="4"/>
      <c r="J765" s="4"/>
      <c r="K765" s="4"/>
      <c r="L765" s="4"/>
      <c r="M765" s="4"/>
      <c r="N765" s="4"/>
      <c r="O765" s="4"/>
      <c r="P765" s="4"/>
      <c r="Q765" s="4"/>
      <c r="R765" s="4"/>
      <c r="S765" s="4"/>
      <c r="T765" s="4"/>
      <c r="U765" s="4"/>
      <c r="V765" s="4"/>
      <c r="W765" s="4"/>
      <c r="X765" s="4"/>
      <c r="Y765" s="4"/>
      <c r="Z765" s="4"/>
      <c r="AA765" s="4"/>
      <c r="AB765" s="4"/>
      <c r="AC765" s="4"/>
      <c r="AD765" s="4"/>
      <c r="AE765" s="4"/>
      <c r="AF765" s="4"/>
      <c r="AG765" s="4"/>
      <c r="AH765" s="4"/>
      <c r="AI765" s="4"/>
      <c r="AJ765" s="4"/>
      <c r="AK765" s="4"/>
    </row>
    <row r="766" ht="13.5" customHeight="1" spans="1:37" x14ac:dyDescent="0.25">
      <c r="A766" s="344"/>
      <c r="B766" s="4"/>
      <c r="C766" s="4"/>
      <c r="D766" s="4"/>
      <c r="E766" s="4"/>
      <c r="F766" s="4"/>
      <c r="G766" s="4"/>
      <c r="H766" s="4"/>
      <c r="I766" s="4"/>
      <c r="J766" s="4"/>
      <c r="K766" s="4"/>
      <c r="L766" s="4"/>
      <c r="M766" s="4"/>
      <c r="N766" s="4"/>
      <c r="O766" s="4"/>
      <c r="P766" s="4"/>
      <c r="Q766" s="4"/>
      <c r="R766" s="4"/>
      <c r="S766" s="4"/>
      <c r="T766" s="4"/>
      <c r="U766" s="4"/>
      <c r="V766" s="4"/>
      <c r="W766" s="4"/>
      <c r="X766" s="4"/>
      <c r="Y766" s="4"/>
      <c r="Z766" s="4"/>
      <c r="AA766" s="4"/>
      <c r="AB766" s="4"/>
      <c r="AC766" s="4"/>
      <c r="AD766" s="4"/>
      <c r="AE766" s="4"/>
      <c r="AF766" s="4"/>
      <c r="AG766" s="4"/>
      <c r="AH766" s="4"/>
      <c r="AI766" s="4"/>
      <c r="AJ766" s="4"/>
      <c r="AK766" s="4"/>
    </row>
    <row r="767" ht="13.5" customHeight="1" spans="1:37" x14ac:dyDescent="0.25">
      <c r="A767" s="344"/>
      <c r="B767" s="4"/>
      <c r="C767" s="4"/>
      <c r="D767" s="4"/>
      <c r="E767" s="4"/>
      <c r="F767" s="4"/>
      <c r="G767" s="4"/>
      <c r="H767" s="4"/>
      <c r="I767" s="4"/>
      <c r="J767" s="4"/>
      <c r="K767" s="4"/>
      <c r="L767" s="4"/>
      <c r="M767" s="4"/>
      <c r="N767" s="4"/>
      <c r="O767" s="4"/>
      <c r="P767" s="4"/>
      <c r="Q767" s="4"/>
      <c r="R767" s="4"/>
      <c r="S767" s="4"/>
      <c r="T767" s="4"/>
      <c r="U767" s="4"/>
      <c r="V767" s="4"/>
      <c r="W767" s="4"/>
      <c r="X767" s="4"/>
      <c r="Y767" s="4"/>
      <c r="Z767" s="4"/>
      <c r="AA767" s="4"/>
      <c r="AB767" s="4"/>
      <c r="AC767" s="4"/>
      <c r="AD767" s="4"/>
      <c r="AE767" s="4"/>
      <c r="AF767" s="4"/>
      <c r="AG767" s="4"/>
      <c r="AH767" s="4"/>
      <c r="AI767" s="4"/>
      <c r="AJ767" s="4"/>
      <c r="AK767" s="4"/>
    </row>
    <row r="768" ht="13.5" customHeight="1" spans="1:37" x14ac:dyDescent="0.25">
      <c r="A768" s="344"/>
      <c r="B768" s="4"/>
      <c r="C768" s="4"/>
      <c r="D768" s="4"/>
      <c r="E768" s="4"/>
      <c r="F768" s="4"/>
      <c r="G768" s="4"/>
      <c r="H768" s="4"/>
      <c r="I768" s="4"/>
      <c r="J768" s="4"/>
      <c r="K768" s="4"/>
      <c r="L768" s="4"/>
      <c r="M768" s="4"/>
      <c r="N768" s="4"/>
      <c r="O768" s="4"/>
      <c r="P768" s="4"/>
      <c r="Q768" s="4"/>
      <c r="R768" s="4"/>
      <c r="S768" s="4"/>
      <c r="T768" s="4"/>
      <c r="U768" s="4"/>
      <c r="V768" s="4"/>
      <c r="W768" s="4"/>
      <c r="X768" s="4"/>
      <c r="Y768" s="4"/>
      <c r="Z768" s="4"/>
      <c r="AA768" s="4"/>
      <c r="AB768" s="4"/>
      <c r="AC768" s="4"/>
      <c r="AD768" s="4"/>
      <c r="AE768" s="4"/>
      <c r="AF768" s="4"/>
      <c r="AG768" s="4"/>
      <c r="AH768" s="4"/>
      <c r="AI768" s="4"/>
      <c r="AJ768" s="4"/>
      <c r="AK768" s="4"/>
    </row>
    <row r="769" ht="13.5" customHeight="1" spans="1:37" x14ac:dyDescent="0.25">
      <c r="A769" s="344"/>
      <c r="B769" s="4"/>
      <c r="C769" s="4"/>
      <c r="D769" s="4"/>
      <c r="E769" s="4"/>
      <c r="F769" s="4"/>
      <c r="G769" s="4"/>
      <c r="H769" s="4"/>
      <c r="I769" s="4"/>
      <c r="J769" s="4"/>
      <c r="K769" s="4"/>
      <c r="L769" s="4"/>
      <c r="M769" s="4"/>
      <c r="N769" s="4"/>
      <c r="O769" s="4"/>
      <c r="P769" s="4"/>
      <c r="Q769" s="4"/>
      <c r="R769" s="4"/>
      <c r="S769" s="4"/>
      <c r="T769" s="4"/>
      <c r="U769" s="4"/>
      <c r="V769" s="4"/>
      <c r="W769" s="4"/>
      <c r="X769" s="4"/>
      <c r="Y769" s="4"/>
      <c r="Z769" s="4"/>
      <c r="AA769" s="4"/>
      <c r="AB769" s="4"/>
      <c r="AC769" s="4"/>
      <c r="AD769" s="4"/>
      <c r="AE769" s="4"/>
      <c r="AF769" s="4"/>
      <c r="AG769" s="4"/>
      <c r="AH769" s="4"/>
      <c r="AI769" s="4"/>
      <c r="AJ769" s="4"/>
      <c r="AK769" s="4"/>
    </row>
    <row r="770" ht="13.5" customHeight="1" spans="1:37" x14ac:dyDescent="0.25">
      <c r="A770" s="344"/>
      <c r="B770" s="4"/>
      <c r="C770" s="4"/>
      <c r="D770" s="4"/>
      <c r="E770" s="4"/>
      <c r="F770" s="4"/>
      <c r="G770" s="4"/>
      <c r="H770" s="4"/>
      <c r="I770" s="4"/>
      <c r="J770" s="4"/>
      <c r="K770" s="4"/>
      <c r="L770" s="4"/>
      <c r="M770" s="4"/>
      <c r="N770" s="4"/>
      <c r="O770" s="4"/>
      <c r="P770" s="4"/>
      <c r="Q770" s="4"/>
      <c r="R770" s="4"/>
      <c r="S770" s="4"/>
      <c r="T770" s="4"/>
      <c r="U770" s="4"/>
      <c r="V770" s="4"/>
      <c r="W770" s="4"/>
      <c r="X770" s="4"/>
      <c r="Y770" s="4"/>
      <c r="Z770" s="4"/>
      <c r="AA770" s="4"/>
      <c r="AB770" s="4"/>
      <c r="AC770" s="4"/>
      <c r="AD770" s="4"/>
      <c r="AE770" s="4"/>
      <c r="AF770" s="4"/>
      <c r="AG770" s="4"/>
      <c r="AH770" s="4"/>
      <c r="AI770" s="4"/>
      <c r="AJ770" s="4"/>
      <c r="AK770" s="4"/>
    </row>
    <row r="771" ht="13.5" customHeight="1" spans="1:37" x14ac:dyDescent="0.25">
      <c r="A771" s="344"/>
      <c r="B771" s="4"/>
      <c r="C771" s="4"/>
      <c r="D771" s="4"/>
      <c r="E771" s="4"/>
      <c r="F771" s="4"/>
      <c r="G771" s="4"/>
      <c r="H771" s="4"/>
      <c r="I771" s="4"/>
      <c r="J771" s="4"/>
      <c r="K771" s="4"/>
      <c r="L771" s="4"/>
      <c r="M771" s="4"/>
      <c r="N771" s="4"/>
      <c r="O771" s="4"/>
      <c r="P771" s="4"/>
      <c r="Q771" s="4"/>
      <c r="R771" s="4"/>
      <c r="S771" s="4"/>
      <c r="T771" s="4"/>
      <c r="U771" s="4"/>
      <c r="V771" s="4"/>
      <c r="W771" s="4"/>
      <c r="X771" s="4"/>
      <c r="Y771" s="4"/>
      <c r="Z771" s="4"/>
      <c r="AA771" s="4"/>
      <c r="AB771" s="4"/>
      <c r="AC771" s="4"/>
      <c r="AD771" s="4"/>
      <c r="AE771" s="4"/>
      <c r="AF771" s="4"/>
      <c r="AG771" s="4"/>
      <c r="AH771" s="4"/>
      <c r="AI771" s="4"/>
      <c r="AJ771" s="4"/>
      <c r="AK771" s="4"/>
    </row>
    <row r="772" ht="13.5" customHeight="1" spans="1:37" x14ac:dyDescent="0.25">
      <c r="A772" s="344"/>
      <c r="B772" s="4"/>
      <c r="C772" s="4"/>
      <c r="D772" s="4"/>
      <c r="E772" s="4"/>
      <c r="F772" s="4"/>
      <c r="G772" s="4"/>
      <c r="H772" s="4"/>
      <c r="I772" s="4"/>
      <c r="J772" s="4"/>
      <c r="K772" s="4"/>
      <c r="L772" s="4"/>
      <c r="M772" s="4"/>
      <c r="N772" s="4"/>
      <c r="O772" s="4"/>
      <c r="P772" s="4"/>
      <c r="Q772" s="4"/>
      <c r="R772" s="4"/>
      <c r="S772" s="4"/>
      <c r="T772" s="4"/>
      <c r="U772" s="4"/>
      <c r="V772" s="4"/>
      <c r="W772" s="4"/>
      <c r="X772" s="4"/>
      <c r="Y772" s="4"/>
      <c r="Z772" s="4"/>
      <c r="AA772" s="4"/>
      <c r="AB772" s="4"/>
      <c r="AC772" s="4"/>
      <c r="AD772" s="4"/>
      <c r="AE772" s="4"/>
      <c r="AF772" s="4"/>
      <c r="AG772" s="4"/>
      <c r="AH772" s="4"/>
      <c r="AI772" s="4"/>
      <c r="AJ772" s="4"/>
      <c r="AK772" s="4"/>
    </row>
    <row r="773" ht="13.5" customHeight="1" spans="1:37" x14ac:dyDescent="0.25">
      <c r="A773" s="344"/>
      <c r="B773" s="4"/>
      <c r="C773" s="4"/>
      <c r="D773" s="4"/>
      <c r="E773" s="4"/>
      <c r="F773" s="4"/>
      <c r="G773" s="4"/>
      <c r="H773" s="4"/>
      <c r="I773" s="4"/>
      <c r="J773" s="4"/>
      <c r="K773" s="4"/>
      <c r="L773" s="4"/>
      <c r="M773" s="4"/>
      <c r="N773" s="4"/>
      <c r="O773" s="4"/>
      <c r="P773" s="4"/>
      <c r="Q773" s="4"/>
      <c r="R773" s="4"/>
      <c r="S773" s="4"/>
      <c r="T773" s="4"/>
      <c r="U773" s="4"/>
      <c r="V773" s="4"/>
      <c r="W773" s="4"/>
      <c r="X773" s="4"/>
      <c r="Y773" s="4"/>
      <c r="Z773" s="4"/>
      <c r="AA773" s="4"/>
      <c r="AB773" s="4"/>
      <c r="AC773" s="4"/>
      <c r="AD773" s="4"/>
      <c r="AE773" s="4"/>
      <c r="AF773" s="4"/>
      <c r="AG773" s="4"/>
      <c r="AH773" s="4"/>
      <c r="AI773" s="4"/>
      <c r="AJ773" s="4"/>
      <c r="AK773" s="4"/>
    </row>
    <row r="774" ht="13.5" customHeight="1" spans="1:37" x14ac:dyDescent="0.25">
      <c r="A774" s="344"/>
      <c r="B774" s="4"/>
      <c r="C774" s="4"/>
      <c r="D774" s="4"/>
      <c r="E774" s="4"/>
      <c r="F774" s="4"/>
      <c r="G774" s="4"/>
      <c r="H774" s="4"/>
      <c r="I774" s="4"/>
      <c r="J774" s="4"/>
      <c r="K774" s="4"/>
      <c r="L774" s="4"/>
      <c r="M774" s="4"/>
      <c r="N774" s="4"/>
      <c r="O774" s="4"/>
      <c r="P774" s="4"/>
      <c r="Q774" s="4"/>
      <c r="R774" s="4"/>
      <c r="S774" s="4"/>
      <c r="T774" s="4"/>
      <c r="U774" s="4"/>
      <c r="V774" s="4"/>
      <c r="W774" s="4"/>
      <c r="X774" s="4"/>
      <c r="Y774" s="4"/>
      <c r="Z774" s="4"/>
      <c r="AA774" s="4"/>
      <c r="AB774" s="4"/>
      <c r="AC774" s="4"/>
      <c r="AD774" s="4"/>
      <c r="AE774" s="4"/>
      <c r="AF774" s="4"/>
      <c r="AG774" s="4"/>
      <c r="AH774" s="4"/>
      <c r="AI774" s="4"/>
      <c r="AJ774" s="4"/>
      <c r="AK774" s="4"/>
    </row>
    <row r="775" ht="13.5" customHeight="1" spans="1:37" x14ac:dyDescent="0.25">
      <c r="A775" s="344"/>
      <c r="B775" s="4"/>
      <c r="C775" s="4"/>
      <c r="D775" s="4"/>
      <c r="E775" s="4"/>
      <c r="F775" s="4"/>
      <c r="G775" s="4"/>
      <c r="H775" s="4"/>
      <c r="I775" s="4"/>
      <c r="J775" s="4"/>
      <c r="K775" s="4"/>
      <c r="L775" s="4"/>
      <c r="M775" s="4"/>
      <c r="N775" s="4"/>
      <c r="O775" s="4"/>
      <c r="P775" s="4"/>
      <c r="Q775" s="4"/>
      <c r="R775" s="4"/>
      <c r="S775" s="4"/>
      <c r="T775" s="4"/>
      <c r="U775" s="4"/>
      <c r="V775" s="4"/>
      <c r="W775" s="4"/>
      <c r="X775" s="4"/>
      <c r="Y775" s="4"/>
      <c r="Z775" s="4"/>
      <c r="AA775" s="4"/>
      <c r="AB775" s="4"/>
      <c r="AC775" s="4"/>
      <c r="AD775" s="4"/>
      <c r="AE775" s="4"/>
      <c r="AF775" s="4"/>
      <c r="AG775" s="4"/>
      <c r="AH775" s="4"/>
      <c r="AI775" s="4"/>
      <c r="AJ775" s="4"/>
      <c r="AK775" s="4"/>
    </row>
    <row r="776" ht="13.5" customHeight="1" spans="1:37" x14ac:dyDescent="0.25">
      <c r="A776" s="344"/>
      <c r="B776" s="4"/>
      <c r="C776" s="4"/>
      <c r="D776" s="4"/>
      <c r="E776" s="4"/>
      <c r="F776" s="4"/>
      <c r="G776" s="4"/>
      <c r="H776" s="4"/>
      <c r="I776" s="4"/>
      <c r="J776" s="4"/>
      <c r="K776" s="4"/>
      <c r="L776" s="4"/>
      <c r="M776" s="4"/>
      <c r="N776" s="4"/>
      <c r="O776" s="4"/>
      <c r="P776" s="4"/>
      <c r="Q776" s="4"/>
      <c r="R776" s="4"/>
      <c r="S776" s="4"/>
      <c r="T776" s="4"/>
      <c r="U776" s="4"/>
      <c r="V776" s="4"/>
      <c r="W776" s="4"/>
      <c r="X776" s="4"/>
      <c r="Y776" s="4"/>
      <c r="Z776" s="4"/>
      <c r="AA776" s="4"/>
      <c r="AB776" s="4"/>
      <c r="AC776" s="4"/>
      <c r="AD776" s="4"/>
      <c r="AE776" s="4"/>
      <c r="AF776" s="4"/>
      <c r="AG776" s="4"/>
      <c r="AH776" s="4"/>
      <c r="AI776" s="4"/>
      <c r="AJ776" s="4"/>
      <c r="AK776" s="4"/>
    </row>
    <row r="777" ht="13.5" customHeight="1" spans="1:37" x14ac:dyDescent="0.25">
      <c r="A777" s="344"/>
      <c r="B777" s="4"/>
      <c r="C777" s="4"/>
      <c r="D777" s="4"/>
      <c r="E777" s="4"/>
      <c r="F777" s="4"/>
      <c r="G777" s="4"/>
      <c r="H777" s="4"/>
      <c r="I777" s="4"/>
      <c r="J777" s="4"/>
      <c r="K777" s="4"/>
      <c r="L777" s="4"/>
      <c r="M777" s="4"/>
      <c r="N777" s="4"/>
      <c r="O777" s="4"/>
      <c r="P777" s="4"/>
      <c r="Q777" s="4"/>
      <c r="R777" s="4"/>
      <c r="S777" s="4"/>
      <c r="T777" s="4"/>
      <c r="U777" s="4"/>
      <c r="V777" s="4"/>
      <c r="W777" s="4"/>
      <c r="X777" s="4"/>
      <c r="Y777" s="4"/>
      <c r="Z777" s="4"/>
      <c r="AA777" s="4"/>
      <c r="AB777" s="4"/>
      <c r="AC777" s="4"/>
      <c r="AD777" s="4"/>
      <c r="AE777" s="4"/>
      <c r="AF777" s="4"/>
      <c r="AG777" s="4"/>
      <c r="AH777" s="4"/>
      <c r="AI777" s="4"/>
      <c r="AJ777" s="4"/>
      <c r="AK777" s="4"/>
    </row>
    <row r="778" ht="13.5" customHeight="1" spans="1:37" x14ac:dyDescent="0.25">
      <c r="A778" s="344"/>
      <c r="B778" s="4"/>
      <c r="C778" s="4"/>
      <c r="D778" s="4"/>
      <c r="E778" s="4"/>
      <c r="F778" s="4"/>
      <c r="G778" s="4"/>
      <c r="H778" s="4"/>
      <c r="I778" s="4"/>
      <c r="J778" s="4"/>
      <c r="K778" s="4"/>
      <c r="L778" s="4"/>
      <c r="M778" s="4"/>
      <c r="N778" s="4"/>
      <c r="O778" s="4"/>
      <c r="P778" s="4"/>
      <c r="Q778" s="4"/>
      <c r="R778" s="4"/>
      <c r="S778" s="4"/>
      <c r="T778" s="4"/>
      <c r="U778" s="4"/>
      <c r="V778" s="4"/>
      <c r="W778" s="4"/>
      <c r="X778" s="4"/>
      <c r="Y778" s="4"/>
      <c r="Z778" s="4"/>
      <c r="AA778" s="4"/>
      <c r="AB778" s="4"/>
      <c r="AC778" s="4"/>
      <c r="AD778" s="4"/>
      <c r="AE778" s="4"/>
      <c r="AF778" s="4"/>
      <c r="AG778" s="4"/>
      <c r="AH778" s="4"/>
      <c r="AI778" s="4"/>
      <c r="AJ778" s="4"/>
      <c r="AK778" s="4"/>
    </row>
    <row r="779" ht="13.5" customHeight="1" spans="1:37" x14ac:dyDescent="0.25">
      <c r="A779" s="344"/>
      <c r="B779" s="4"/>
      <c r="C779" s="4"/>
      <c r="D779" s="4"/>
      <c r="E779" s="4"/>
      <c r="F779" s="4"/>
      <c r="G779" s="4"/>
      <c r="H779" s="4"/>
      <c r="I779" s="4"/>
      <c r="J779" s="4"/>
      <c r="K779" s="4"/>
      <c r="L779" s="4"/>
      <c r="M779" s="4"/>
      <c r="N779" s="4"/>
      <c r="O779" s="4"/>
      <c r="P779" s="4"/>
      <c r="Q779" s="4"/>
      <c r="R779" s="4"/>
      <c r="S779" s="4"/>
      <c r="T779" s="4"/>
      <c r="U779" s="4"/>
      <c r="V779" s="4"/>
      <c r="W779" s="4"/>
      <c r="X779" s="4"/>
      <c r="Y779" s="4"/>
      <c r="Z779" s="4"/>
      <c r="AA779" s="4"/>
      <c r="AB779" s="4"/>
      <c r="AC779" s="4"/>
      <c r="AD779" s="4"/>
      <c r="AE779" s="4"/>
      <c r="AF779" s="4"/>
      <c r="AG779" s="4"/>
      <c r="AH779" s="4"/>
      <c r="AI779" s="4"/>
      <c r="AJ779" s="4"/>
      <c r="AK779" s="4"/>
    </row>
    <row r="780" ht="13.5" customHeight="1" spans="1:37" x14ac:dyDescent="0.25">
      <c r="A780" s="344"/>
      <c r="B780" s="4"/>
      <c r="C780" s="4"/>
      <c r="D780" s="4"/>
      <c r="E780" s="4"/>
      <c r="F780" s="4"/>
      <c r="G780" s="4"/>
      <c r="H780" s="4"/>
      <c r="I780" s="4"/>
      <c r="J780" s="4"/>
      <c r="K780" s="4"/>
      <c r="L780" s="4"/>
      <c r="M780" s="4"/>
      <c r="N780" s="4"/>
      <c r="O780" s="4"/>
      <c r="P780" s="4"/>
      <c r="Q780" s="4"/>
      <c r="R780" s="4"/>
      <c r="S780" s="4"/>
      <c r="T780" s="4"/>
      <c r="U780" s="4"/>
      <c r="V780" s="4"/>
      <c r="W780" s="4"/>
      <c r="X780" s="4"/>
      <c r="Y780" s="4"/>
      <c r="Z780" s="4"/>
      <c r="AA780" s="4"/>
      <c r="AB780" s="4"/>
      <c r="AC780" s="4"/>
      <c r="AD780" s="4"/>
      <c r="AE780" s="4"/>
      <c r="AF780" s="4"/>
      <c r="AG780" s="4"/>
      <c r="AH780" s="4"/>
      <c r="AI780" s="4"/>
      <c r="AJ780" s="4"/>
      <c r="AK780" s="4"/>
    </row>
    <row r="781" ht="13.5" customHeight="1" spans="1:37" x14ac:dyDescent="0.25">
      <c r="A781" s="344"/>
      <c r="B781" s="4"/>
      <c r="C781" s="4"/>
      <c r="D781" s="4"/>
      <c r="E781" s="4"/>
      <c r="F781" s="4"/>
      <c r="G781" s="4"/>
      <c r="H781" s="4"/>
      <c r="I781" s="4"/>
      <c r="J781" s="4"/>
      <c r="K781" s="4"/>
      <c r="L781" s="4"/>
      <c r="M781" s="4"/>
      <c r="N781" s="4"/>
      <c r="O781" s="4"/>
      <c r="P781" s="4"/>
      <c r="Q781" s="4"/>
      <c r="R781" s="4"/>
      <c r="S781" s="4"/>
      <c r="T781" s="4"/>
      <c r="U781" s="4"/>
      <c r="V781" s="4"/>
      <c r="W781" s="4"/>
      <c r="X781" s="4"/>
      <c r="Y781" s="4"/>
      <c r="Z781" s="4"/>
      <c r="AA781" s="4"/>
      <c r="AB781" s="4"/>
      <c r="AC781" s="4"/>
      <c r="AD781" s="4"/>
      <c r="AE781" s="4"/>
      <c r="AF781" s="4"/>
      <c r="AG781" s="4"/>
      <c r="AH781" s="4"/>
      <c r="AI781" s="4"/>
      <c r="AJ781" s="4"/>
      <c r="AK781" s="4"/>
    </row>
    <row r="782" ht="13.5" customHeight="1" spans="1:37" x14ac:dyDescent="0.25">
      <c r="A782" s="344"/>
      <c r="B782" s="4"/>
      <c r="C782" s="4"/>
      <c r="D782" s="4"/>
      <c r="E782" s="4"/>
      <c r="F782" s="4"/>
      <c r="G782" s="4"/>
      <c r="H782" s="4"/>
      <c r="I782" s="4"/>
      <c r="J782" s="4"/>
      <c r="K782" s="4"/>
      <c r="L782" s="4"/>
      <c r="M782" s="4"/>
      <c r="N782" s="4"/>
      <c r="O782" s="4"/>
      <c r="P782" s="4"/>
      <c r="Q782" s="4"/>
      <c r="R782" s="4"/>
      <c r="S782" s="4"/>
      <c r="T782" s="4"/>
      <c r="U782" s="4"/>
      <c r="V782" s="4"/>
      <c r="W782" s="4"/>
      <c r="X782" s="4"/>
      <c r="Y782" s="4"/>
      <c r="Z782" s="4"/>
      <c r="AA782" s="4"/>
      <c r="AB782" s="4"/>
      <c r="AC782" s="4"/>
      <c r="AD782" s="4"/>
      <c r="AE782" s="4"/>
      <c r="AF782" s="4"/>
      <c r="AG782" s="4"/>
      <c r="AH782" s="4"/>
      <c r="AI782" s="4"/>
      <c r="AJ782" s="4"/>
      <c r="AK782" s="4"/>
    </row>
    <row r="783" ht="13.5" customHeight="1" spans="1:37" x14ac:dyDescent="0.25">
      <c r="A783" s="344"/>
      <c r="B783" s="4"/>
      <c r="C783" s="4"/>
      <c r="D783" s="4"/>
      <c r="E783" s="4"/>
      <c r="F783" s="4"/>
      <c r="G783" s="4"/>
      <c r="H783" s="4"/>
      <c r="I783" s="4"/>
      <c r="J783" s="4"/>
      <c r="K783" s="4"/>
      <c r="L783" s="4"/>
      <c r="M783" s="4"/>
      <c r="N783" s="4"/>
      <c r="O783" s="4"/>
      <c r="P783" s="4"/>
      <c r="Q783" s="4"/>
      <c r="R783" s="4"/>
      <c r="S783" s="4"/>
      <c r="T783" s="4"/>
      <c r="U783" s="4"/>
      <c r="V783" s="4"/>
      <c r="W783" s="4"/>
      <c r="X783" s="4"/>
      <c r="Y783" s="4"/>
      <c r="Z783" s="4"/>
      <c r="AA783" s="4"/>
      <c r="AB783" s="4"/>
      <c r="AC783" s="4"/>
      <c r="AD783" s="4"/>
      <c r="AE783" s="4"/>
      <c r="AF783" s="4"/>
      <c r="AG783" s="4"/>
      <c r="AH783" s="4"/>
      <c r="AI783" s="4"/>
      <c r="AJ783" s="4"/>
      <c r="AK783" s="4"/>
    </row>
    <row r="784" ht="13.5" customHeight="1" spans="1:37" x14ac:dyDescent="0.25">
      <c r="A784" s="344"/>
      <c r="B784" s="4"/>
      <c r="C784" s="4"/>
      <c r="D784" s="4"/>
      <c r="E784" s="4"/>
      <c r="F784" s="4"/>
      <c r="G784" s="4"/>
      <c r="H784" s="4"/>
      <c r="I784" s="4"/>
      <c r="J784" s="4"/>
      <c r="K784" s="4"/>
      <c r="L784" s="4"/>
      <c r="M784" s="4"/>
      <c r="N784" s="4"/>
      <c r="O784" s="4"/>
      <c r="P784" s="4"/>
      <c r="Q784" s="4"/>
      <c r="R784" s="4"/>
      <c r="S784" s="4"/>
      <c r="T784" s="4"/>
      <c r="U784" s="4"/>
      <c r="V784" s="4"/>
      <c r="W784" s="4"/>
      <c r="X784" s="4"/>
      <c r="Y784" s="4"/>
      <c r="Z784" s="4"/>
      <c r="AA784" s="4"/>
      <c r="AB784" s="4"/>
      <c r="AC784" s="4"/>
      <c r="AD784" s="4"/>
      <c r="AE784" s="4"/>
      <c r="AF784" s="4"/>
      <c r="AG784" s="4"/>
      <c r="AH784" s="4"/>
      <c r="AI784" s="4"/>
      <c r="AJ784" s="4"/>
      <c r="AK784" s="4"/>
    </row>
    <row r="785" ht="13.5" customHeight="1" spans="1:37" x14ac:dyDescent="0.25">
      <c r="A785" s="344"/>
      <c r="B785" s="4"/>
      <c r="C785" s="4"/>
      <c r="D785" s="4"/>
      <c r="E785" s="4"/>
      <c r="F785" s="4"/>
      <c r="G785" s="4"/>
      <c r="H785" s="4"/>
      <c r="I785" s="4"/>
      <c r="J785" s="4"/>
      <c r="K785" s="4"/>
      <c r="L785" s="4"/>
      <c r="M785" s="4"/>
      <c r="N785" s="4"/>
      <c r="O785" s="4"/>
      <c r="P785" s="4"/>
      <c r="Q785" s="4"/>
      <c r="R785" s="4"/>
      <c r="S785" s="4"/>
      <c r="T785" s="4"/>
      <c r="U785" s="4"/>
      <c r="V785" s="4"/>
      <c r="W785" s="4"/>
      <c r="X785" s="4"/>
      <c r="Y785" s="4"/>
      <c r="Z785" s="4"/>
      <c r="AA785" s="4"/>
      <c r="AB785" s="4"/>
      <c r="AC785" s="4"/>
      <c r="AD785" s="4"/>
      <c r="AE785" s="4"/>
      <c r="AF785" s="4"/>
      <c r="AG785" s="4"/>
      <c r="AH785" s="4"/>
      <c r="AI785" s="4"/>
      <c r="AJ785" s="4"/>
      <c r="AK785" s="4"/>
    </row>
    <row r="786" ht="13.5" customHeight="1" spans="1:37" x14ac:dyDescent="0.25">
      <c r="A786" s="344"/>
      <c r="B786" s="4"/>
      <c r="C786" s="4"/>
      <c r="D786" s="4"/>
      <c r="E786" s="4"/>
      <c r="F786" s="4"/>
      <c r="G786" s="4"/>
      <c r="H786" s="4"/>
      <c r="I786" s="4"/>
      <c r="J786" s="4"/>
      <c r="K786" s="4"/>
      <c r="L786" s="4"/>
      <c r="M786" s="4"/>
      <c r="N786" s="4"/>
      <c r="O786" s="4"/>
      <c r="P786" s="4"/>
      <c r="Q786" s="4"/>
      <c r="R786" s="4"/>
      <c r="S786" s="4"/>
      <c r="T786" s="4"/>
      <c r="U786" s="4"/>
      <c r="V786" s="4"/>
      <c r="W786" s="4"/>
      <c r="X786" s="4"/>
      <c r="Y786" s="4"/>
      <c r="Z786" s="4"/>
      <c r="AA786" s="4"/>
      <c r="AB786" s="4"/>
      <c r="AC786" s="4"/>
      <c r="AD786" s="4"/>
      <c r="AE786" s="4"/>
      <c r="AF786" s="4"/>
      <c r="AG786" s="4"/>
      <c r="AH786" s="4"/>
      <c r="AI786" s="4"/>
      <c r="AJ786" s="4"/>
      <c r="AK786" s="4"/>
    </row>
    <row r="787" ht="13.5" customHeight="1" spans="1:37" x14ac:dyDescent="0.25">
      <c r="A787" s="344"/>
      <c r="B787" s="4"/>
      <c r="C787" s="4"/>
      <c r="D787" s="4"/>
      <c r="E787" s="4"/>
      <c r="F787" s="4"/>
      <c r="G787" s="4"/>
      <c r="H787" s="4"/>
      <c r="I787" s="4"/>
      <c r="J787" s="4"/>
      <c r="K787" s="4"/>
      <c r="L787" s="4"/>
      <c r="M787" s="4"/>
      <c r="N787" s="4"/>
      <c r="O787" s="4"/>
      <c r="P787" s="4"/>
      <c r="Q787" s="4"/>
      <c r="R787" s="4"/>
      <c r="S787" s="4"/>
      <c r="T787" s="4"/>
      <c r="U787" s="4"/>
      <c r="V787" s="4"/>
      <c r="W787" s="4"/>
      <c r="X787" s="4"/>
      <c r="Y787" s="4"/>
      <c r="Z787" s="4"/>
      <c r="AA787" s="4"/>
      <c r="AB787" s="4"/>
      <c r="AC787" s="4"/>
      <c r="AD787" s="4"/>
      <c r="AE787" s="4"/>
      <c r="AF787" s="4"/>
      <c r="AG787" s="4"/>
      <c r="AH787" s="4"/>
      <c r="AI787" s="4"/>
      <c r="AJ787" s="4"/>
      <c r="AK787" s="4"/>
    </row>
    <row r="788" ht="13.5" customHeight="1" spans="1:37" x14ac:dyDescent="0.25">
      <c r="A788" s="344"/>
      <c r="B788" s="4"/>
      <c r="C788" s="4"/>
      <c r="D788" s="4"/>
      <c r="E788" s="4"/>
      <c r="F788" s="4"/>
      <c r="G788" s="4"/>
      <c r="H788" s="4"/>
      <c r="I788" s="4"/>
      <c r="J788" s="4"/>
      <c r="K788" s="4"/>
      <c r="L788" s="4"/>
      <c r="M788" s="4"/>
      <c r="N788" s="4"/>
      <c r="O788" s="4"/>
      <c r="P788" s="4"/>
      <c r="Q788" s="4"/>
      <c r="R788" s="4"/>
      <c r="S788" s="4"/>
      <c r="T788" s="4"/>
      <c r="U788" s="4"/>
      <c r="V788" s="4"/>
      <c r="W788" s="4"/>
      <c r="X788" s="4"/>
      <c r="Y788" s="4"/>
      <c r="Z788" s="4"/>
      <c r="AA788" s="4"/>
      <c r="AB788" s="4"/>
      <c r="AC788" s="4"/>
      <c r="AD788" s="4"/>
      <c r="AE788" s="4"/>
      <c r="AF788" s="4"/>
      <c r="AG788" s="4"/>
      <c r="AH788" s="4"/>
      <c r="AI788" s="4"/>
      <c r="AJ788" s="4"/>
      <c r="AK788" s="4"/>
    </row>
    <row r="789" ht="13.5" customHeight="1" spans="1:37" x14ac:dyDescent="0.25">
      <c r="A789" s="344"/>
      <c r="B789" s="4"/>
      <c r="C789" s="4"/>
      <c r="D789" s="4"/>
      <c r="E789" s="4"/>
      <c r="F789" s="4"/>
      <c r="G789" s="4"/>
      <c r="H789" s="4"/>
      <c r="I789" s="4"/>
      <c r="J789" s="4"/>
      <c r="K789" s="4"/>
      <c r="L789" s="4"/>
      <c r="M789" s="4"/>
      <c r="N789" s="4"/>
      <c r="O789" s="4"/>
      <c r="P789" s="4"/>
      <c r="Q789" s="4"/>
      <c r="R789" s="4"/>
      <c r="S789" s="4"/>
      <c r="T789" s="4"/>
      <c r="U789" s="4"/>
      <c r="V789" s="4"/>
      <c r="W789" s="4"/>
      <c r="X789" s="4"/>
      <c r="Y789" s="4"/>
      <c r="Z789" s="4"/>
      <c r="AA789" s="4"/>
      <c r="AB789" s="4"/>
      <c r="AC789" s="4"/>
      <c r="AD789" s="4"/>
      <c r="AE789" s="4"/>
      <c r="AF789" s="4"/>
      <c r="AG789" s="4"/>
      <c r="AH789" s="4"/>
      <c r="AI789" s="4"/>
      <c r="AJ789" s="4"/>
      <c r="AK789" s="4"/>
    </row>
    <row r="790" ht="13.5" customHeight="1" spans="1:37" x14ac:dyDescent="0.25">
      <c r="A790" s="344"/>
      <c r="B790" s="4"/>
      <c r="C790" s="4"/>
      <c r="D790" s="4"/>
      <c r="E790" s="4"/>
      <c r="F790" s="4"/>
      <c r="G790" s="4"/>
      <c r="H790" s="4"/>
      <c r="I790" s="4"/>
      <c r="J790" s="4"/>
      <c r="K790" s="4"/>
      <c r="L790" s="4"/>
      <c r="M790" s="4"/>
      <c r="N790" s="4"/>
      <c r="O790" s="4"/>
      <c r="P790" s="4"/>
      <c r="Q790" s="4"/>
      <c r="R790" s="4"/>
      <c r="S790" s="4"/>
      <c r="T790" s="4"/>
      <c r="U790" s="4"/>
      <c r="V790" s="4"/>
      <c r="W790" s="4"/>
      <c r="X790" s="4"/>
      <c r="Y790" s="4"/>
      <c r="Z790" s="4"/>
      <c r="AA790" s="4"/>
      <c r="AB790" s="4"/>
      <c r="AC790" s="4"/>
      <c r="AD790" s="4"/>
      <c r="AE790" s="4"/>
      <c r="AF790" s="4"/>
      <c r="AG790" s="4"/>
      <c r="AH790" s="4"/>
      <c r="AI790" s="4"/>
      <c r="AJ790" s="4"/>
      <c r="AK790" s="4"/>
    </row>
    <row r="791" ht="13.5" customHeight="1" spans="1:37" x14ac:dyDescent="0.25">
      <c r="A791" s="344"/>
      <c r="B791" s="4"/>
      <c r="C791" s="4"/>
      <c r="D791" s="4"/>
      <c r="E791" s="4"/>
      <c r="F791" s="4"/>
      <c r="G791" s="4"/>
      <c r="H791" s="4"/>
      <c r="I791" s="4"/>
      <c r="J791" s="4"/>
      <c r="K791" s="4"/>
      <c r="L791" s="4"/>
      <c r="M791" s="4"/>
      <c r="N791" s="4"/>
      <c r="O791" s="4"/>
      <c r="P791" s="4"/>
      <c r="Q791" s="4"/>
      <c r="R791" s="4"/>
      <c r="S791" s="4"/>
      <c r="T791" s="4"/>
      <c r="U791" s="4"/>
      <c r="V791" s="4"/>
      <c r="W791" s="4"/>
      <c r="X791" s="4"/>
      <c r="Y791" s="4"/>
      <c r="Z791" s="4"/>
      <c r="AA791" s="4"/>
      <c r="AB791" s="4"/>
      <c r="AC791" s="4"/>
      <c r="AD791" s="4"/>
      <c r="AE791" s="4"/>
      <c r="AF791" s="4"/>
      <c r="AG791" s="4"/>
      <c r="AH791" s="4"/>
      <c r="AI791" s="4"/>
      <c r="AJ791" s="4"/>
      <c r="AK791" s="4"/>
    </row>
    <row r="792" ht="13.5" customHeight="1" spans="1:37" x14ac:dyDescent="0.25">
      <c r="A792" s="344"/>
      <c r="B792" s="4"/>
      <c r="C792" s="4"/>
      <c r="D792" s="4"/>
      <c r="E792" s="4"/>
      <c r="F792" s="4"/>
      <c r="G792" s="4"/>
      <c r="H792" s="4"/>
      <c r="I792" s="4"/>
      <c r="J792" s="4"/>
      <c r="K792" s="4"/>
      <c r="L792" s="4"/>
      <c r="M792" s="4"/>
      <c r="N792" s="4"/>
      <c r="O792" s="4"/>
      <c r="P792" s="4"/>
      <c r="Q792" s="4"/>
      <c r="R792" s="4"/>
      <c r="S792" s="4"/>
      <c r="T792" s="4"/>
      <c r="U792" s="4"/>
      <c r="V792" s="4"/>
      <c r="W792" s="4"/>
      <c r="X792" s="4"/>
      <c r="Y792" s="4"/>
      <c r="Z792" s="4"/>
      <c r="AA792" s="4"/>
      <c r="AB792" s="4"/>
      <c r="AC792" s="4"/>
      <c r="AD792" s="4"/>
      <c r="AE792" s="4"/>
      <c r="AF792" s="4"/>
      <c r="AG792" s="4"/>
      <c r="AH792" s="4"/>
      <c r="AI792" s="4"/>
      <c r="AJ792" s="4"/>
      <c r="AK792" s="4"/>
    </row>
    <row r="793" ht="13.5" customHeight="1" spans="1:37" x14ac:dyDescent="0.25">
      <c r="A793" s="344"/>
      <c r="B793" s="4"/>
      <c r="C793" s="4"/>
      <c r="D793" s="4"/>
      <c r="E793" s="4"/>
      <c r="F793" s="4"/>
      <c r="G793" s="4"/>
      <c r="H793" s="4"/>
      <c r="I793" s="4"/>
      <c r="J793" s="4"/>
      <c r="K793" s="4"/>
      <c r="L793" s="4"/>
      <c r="M793" s="4"/>
      <c r="N793" s="4"/>
      <c r="O793" s="4"/>
      <c r="P793" s="4"/>
      <c r="Q793" s="4"/>
      <c r="R793" s="4"/>
      <c r="S793" s="4"/>
      <c r="T793" s="4"/>
      <c r="U793" s="4"/>
      <c r="V793" s="4"/>
      <c r="W793" s="4"/>
      <c r="X793" s="4"/>
      <c r="Y793" s="4"/>
      <c r="Z793" s="4"/>
      <c r="AA793" s="4"/>
      <c r="AB793" s="4"/>
      <c r="AC793" s="4"/>
      <c r="AD793" s="4"/>
      <c r="AE793" s="4"/>
      <c r="AF793" s="4"/>
      <c r="AG793" s="4"/>
      <c r="AH793" s="4"/>
      <c r="AI793" s="4"/>
      <c r="AJ793" s="4"/>
      <c r="AK793" s="4"/>
    </row>
    <row r="794" ht="13.5" customHeight="1" spans="1:37" x14ac:dyDescent="0.25">
      <c r="A794" s="344"/>
      <c r="B794" s="4"/>
      <c r="C794" s="4"/>
      <c r="D794" s="4"/>
      <c r="E794" s="4"/>
      <c r="F794" s="4"/>
      <c r="G794" s="4"/>
      <c r="H794" s="4"/>
      <c r="I794" s="4"/>
      <c r="J794" s="4"/>
      <c r="K794" s="4"/>
      <c r="L794" s="4"/>
      <c r="M794" s="4"/>
      <c r="N794" s="4"/>
      <c r="O794" s="4"/>
      <c r="P794" s="4"/>
      <c r="Q794" s="4"/>
      <c r="R794" s="4"/>
      <c r="S794" s="4"/>
      <c r="T794" s="4"/>
      <c r="U794" s="4"/>
      <c r="V794" s="4"/>
      <c r="W794" s="4"/>
      <c r="X794" s="4"/>
      <c r="Y794" s="4"/>
      <c r="Z794" s="4"/>
      <c r="AA794" s="4"/>
      <c r="AB794" s="4"/>
      <c r="AC794" s="4"/>
      <c r="AD794" s="4"/>
      <c r="AE794" s="4"/>
      <c r="AF794" s="4"/>
      <c r="AG794" s="4"/>
      <c r="AH794" s="4"/>
      <c r="AI794" s="4"/>
      <c r="AJ794" s="4"/>
      <c r="AK794" s="4"/>
    </row>
    <row r="795" ht="13.5" customHeight="1" spans="1:37" x14ac:dyDescent="0.25">
      <c r="A795" s="344"/>
      <c r="B795" s="4"/>
      <c r="C795" s="4"/>
      <c r="D795" s="4"/>
      <c r="E795" s="4"/>
      <c r="F795" s="4"/>
      <c r="G795" s="4"/>
      <c r="H795" s="4"/>
      <c r="I795" s="4"/>
      <c r="J795" s="4"/>
      <c r="K795" s="4"/>
      <c r="L795" s="4"/>
      <c r="M795" s="4"/>
      <c r="N795" s="4"/>
      <c r="O795" s="4"/>
      <c r="P795" s="4"/>
      <c r="Q795" s="4"/>
      <c r="R795" s="4"/>
      <c r="S795" s="4"/>
      <c r="T795" s="4"/>
      <c r="U795" s="4"/>
      <c r="V795" s="4"/>
      <c r="W795" s="4"/>
      <c r="X795" s="4"/>
      <c r="Y795" s="4"/>
      <c r="Z795" s="4"/>
      <c r="AA795" s="4"/>
      <c r="AB795" s="4"/>
      <c r="AC795" s="4"/>
      <c r="AD795" s="4"/>
      <c r="AE795" s="4"/>
      <c r="AF795" s="4"/>
      <c r="AG795" s="4"/>
      <c r="AH795" s="4"/>
      <c r="AI795" s="4"/>
      <c r="AJ795" s="4"/>
      <c r="AK795" s="4"/>
    </row>
    <row r="796" ht="13.5" customHeight="1" spans="1:37" x14ac:dyDescent="0.25">
      <c r="A796" s="344"/>
      <c r="B796" s="4"/>
      <c r="C796" s="4"/>
      <c r="D796" s="4"/>
      <c r="E796" s="4"/>
      <c r="F796" s="4"/>
      <c r="G796" s="4"/>
      <c r="H796" s="4"/>
      <c r="I796" s="4"/>
      <c r="J796" s="4"/>
      <c r="K796" s="4"/>
      <c r="L796" s="4"/>
      <c r="M796" s="4"/>
      <c r="N796" s="4"/>
      <c r="O796" s="4"/>
      <c r="P796" s="4"/>
      <c r="Q796" s="4"/>
      <c r="R796" s="4"/>
      <c r="S796" s="4"/>
      <c r="T796" s="4"/>
      <c r="U796" s="4"/>
      <c r="V796" s="4"/>
      <c r="W796" s="4"/>
      <c r="X796" s="4"/>
      <c r="Y796" s="4"/>
      <c r="Z796" s="4"/>
      <c r="AA796" s="4"/>
      <c r="AB796" s="4"/>
      <c r="AC796" s="4"/>
      <c r="AD796" s="4"/>
      <c r="AE796" s="4"/>
      <c r="AF796" s="4"/>
      <c r="AG796" s="4"/>
      <c r="AH796" s="4"/>
      <c r="AI796" s="4"/>
      <c r="AJ796" s="4"/>
      <c r="AK796" s="4"/>
    </row>
    <row r="797" ht="13.5" customHeight="1" spans="1:37" x14ac:dyDescent="0.25">
      <c r="A797" s="344"/>
      <c r="B797" s="4"/>
      <c r="C797" s="4"/>
      <c r="D797" s="4"/>
      <c r="E797" s="4"/>
      <c r="F797" s="4"/>
      <c r="G797" s="4"/>
      <c r="H797" s="4"/>
      <c r="I797" s="4"/>
      <c r="J797" s="4"/>
      <c r="K797" s="4"/>
      <c r="L797" s="4"/>
      <c r="M797" s="4"/>
      <c r="N797" s="4"/>
      <c r="O797" s="4"/>
      <c r="P797" s="4"/>
      <c r="Q797" s="4"/>
      <c r="R797" s="4"/>
      <c r="S797" s="4"/>
      <c r="T797" s="4"/>
      <c r="U797" s="4"/>
      <c r="V797" s="4"/>
      <c r="W797" s="4"/>
      <c r="X797" s="4"/>
      <c r="Y797" s="4"/>
      <c r="Z797" s="4"/>
      <c r="AA797" s="4"/>
      <c r="AB797" s="4"/>
      <c r="AC797" s="4"/>
      <c r="AD797" s="4"/>
      <c r="AE797" s="4"/>
      <c r="AF797" s="4"/>
      <c r="AG797" s="4"/>
      <c r="AH797" s="4"/>
      <c r="AI797" s="4"/>
      <c r="AJ797" s="4"/>
      <c r="AK797" s="4"/>
    </row>
    <row r="798" ht="13.5" customHeight="1" spans="1:37" x14ac:dyDescent="0.25">
      <c r="A798" s="344"/>
      <c r="B798" s="4"/>
      <c r="C798" s="4"/>
      <c r="D798" s="4"/>
      <c r="E798" s="4"/>
      <c r="F798" s="4"/>
      <c r="G798" s="4"/>
      <c r="H798" s="4"/>
      <c r="I798" s="4"/>
      <c r="J798" s="4"/>
      <c r="K798" s="4"/>
      <c r="L798" s="4"/>
      <c r="M798" s="4"/>
      <c r="N798" s="4"/>
      <c r="O798" s="4"/>
      <c r="P798" s="4"/>
      <c r="Q798" s="4"/>
      <c r="R798" s="4"/>
      <c r="S798" s="4"/>
      <c r="T798" s="4"/>
      <c r="U798" s="4"/>
      <c r="V798" s="4"/>
      <c r="W798" s="4"/>
      <c r="X798" s="4"/>
      <c r="Y798" s="4"/>
      <c r="Z798" s="4"/>
      <c r="AA798" s="4"/>
      <c r="AB798" s="4"/>
      <c r="AC798" s="4"/>
      <c r="AD798" s="4"/>
      <c r="AE798" s="4"/>
      <c r="AF798" s="4"/>
      <c r="AG798" s="4"/>
      <c r="AH798" s="4"/>
      <c r="AI798" s="4"/>
      <c r="AJ798" s="4"/>
      <c r="AK798" s="4"/>
    </row>
    <row r="799" ht="13.5" customHeight="1" spans="1:37" x14ac:dyDescent="0.25">
      <c r="A799" s="344"/>
      <c r="B799" s="4"/>
      <c r="C799" s="4"/>
      <c r="D799" s="4"/>
      <c r="E799" s="4"/>
      <c r="F799" s="4"/>
      <c r="G799" s="4"/>
      <c r="H799" s="4"/>
      <c r="I799" s="4"/>
      <c r="J799" s="4"/>
      <c r="K799" s="4"/>
      <c r="L799" s="4"/>
      <c r="M799" s="4"/>
      <c r="N799" s="4"/>
      <c r="O799" s="4"/>
      <c r="P799" s="4"/>
      <c r="Q799" s="4"/>
      <c r="R799" s="4"/>
      <c r="S799" s="4"/>
      <c r="T799" s="4"/>
      <c r="U799" s="4"/>
      <c r="V799" s="4"/>
      <c r="W799" s="4"/>
      <c r="X799" s="4"/>
      <c r="Y799" s="4"/>
      <c r="Z799" s="4"/>
      <c r="AA799" s="4"/>
      <c r="AB799" s="4"/>
      <c r="AC799" s="4"/>
      <c r="AD799" s="4"/>
      <c r="AE799" s="4"/>
      <c r="AF799" s="4"/>
      <c r="AG799" s="4"/>
      <c r="AH799" s="4"/>
      <c r="AI799" s="4"/>
      <c r="AJ799" s="4"/>
      <c r="AK799" s="4"/>
    </row>
    <row r="800" ht="13.5" customHeight="1" spans="1:37" x14ac:dyDescent="0.25">
      <c r="A800" s="344"/>
      <c r="B800" s="4"/>
      <c r="C800" s="4"/>
      <c r="D800" s="4"/>
      <c r="E800" s="4"/>
      <c r="F800" s="4"/>
      <c r="G800" s="4"/>
      <c r="H800" s="4"/>
      <c r="I800" s="4"/>
      <c r="J800" s="4"/>
      <c r="K800" s="4"/>
      <c r="L800" s="4"/>
      <c r="M800" s="4"/>
      <c r="N800" s="4"/>
      <c r="O800" s="4"/>
      <c r="P800" s="4"/>
      <c r="Q800" s="4"/>
      <c r="R800" s="4"/>
      <c r="S800" s="4"/>
      <c r="T800" s="4"/>
      <c r="U800" s="4"/>
      <c r="V800" s="4"/>
      <c r="W800" s="4"/>
      <c r="X800" s="4"/>
      <c r="Y800" s="4"/>
      <c r="Z800" s="4"/>
      <c r="AA800" s="4"/>
      <c r="AB800" s="4"/>
      <c r="AC800" s="4"/>
      <c r="AD800" s="4"/>
      <c r="AE800" s="4"/>
      <c r="AF800" s="4"/>
      <c r="AG800" s="4"/>
      <c r="AH800" s="4"/>
      <c r="AI800" s="4"/>
      <c r="AJ800" s="4"/>
      <c r="AK800" s="4"/>
    </row>
    <row r="801" ht="13.5" customHeight="1" spans="1:37" x14ac:dyDescent="0.25">
      <c r="A801" s="344"/>
      <c r="B801" s="4"/>
      <c r="C801" s="4"/>
      <c r="D801" s="4"/>
      <c r="E801" s="4"/>
      <c r="F801" s="4"/>
      <c r="G801" s="4"/>
      <c r="H801" s="4"/>
      <c r="I801" s="4"/>
      <c r="J801" s="4"/>
      <c r="K801" s="4"/>
      <c r="L801" s="4"/>
      <c r="M801" s="4"/>
      <c r="N801" s="4"/>
      <c r="O801" s="4"/>
      <c r="P801" s="4"/>
      <c r="Q801" s="4"/>
      <c r="R801" s="4"/>
      <c r="S801" s="4"/>
      <c r="T801" s="4"/>
      <c r="U801" s="4"/>
      <c r="V801" s="4"/>
      <c r="W801" s="4"/>
      <c r="X801" s="4"/>
      <c r="Y801" s="4"/>
      <c r="Z801" s="4"/>
      <c r="AA801" s="4"/>
      <c r="AB801" s="4"/>
      <c r="AC801" s="4"/>
      <c r="AD801" s="4"/>
      <c r="AE801" s="4"/>
      <c r="AF801" s="4"/>
      <c r="AG801" s="4"/>
      <c r="AH801" s="4"/>
      <c r="AI801" s="4"/>
      <c r="AJ801" s="4"/>
      <c r="AK801" s="4"/>
    </row>
    <row r="802" ht="13.5" customHeight="1" spans="1:37" x14ac:dyDescent="0.25">
      <c r="A802" s="344"/>
      <c r="B802" s="4"/>
      <c r="C802" s="4"/>
      <c r="D802" s="4"/>
      <c r="E802" s="4"/>
      <c r="F802" s="4"/>
      <c r="G802" s="4"/>
      <c r="H802" s="4"/>
      <c r="I802" s="4"/>
      <c r="J802" s="4"/>
      <c r="K802" s="4"/>
      <c r="L802" s="4"/>
      <c r="M802" s="4"/>
      <c r="N802" s="4"/>
      <c r="O802" s="4"/>
      <c r="P802" s="4"/>
      <c r="Q802" s="4"/>
      <c r="R802" s="4"/>
      <c r="S802" s="4"/>
      <c r="T802" s="4"/>
      <c r="U802" s="4"/>
      <c r="V802" s="4"/>
      <c r="W802" s="4"/>
      <c r="X802" s="4"/>
      <c r="Y802" s="4"/>
      <c r="Z802" s="4"/>
      <c r="AA802" s="4"/>
      <c r="AB802" s="4"/>
      <c r="AC802" s="4"/>
      <c r="AD802" s="4"/>
      <c r="AE802" s="4"/>
      <c r="AF802" s="4"/>
      <c r="AG802" s="4"/>
      <c r="AH802" s="4"/>
      <c r="AI802" s="4"/>
      <c r="AJ802" s="4"/>
      <c r="AK802" s="4"/>
    </row>
    <row r="803" ht="13.5" customHeight="1" spans="1:37" x14ac:dyDescent="0.25">
      <c r="A803" s="344"/>
      <c r="B803" s="4"/>
      <c r="C803" s="4"/>
      <c r="D803" s="4"/>
      <c r="E803" s="4"/>
      <c r="F803" s="4"/>
      <c r="G803" s="4"/>
      <c r="H803" s="4"/>
      <c r="I803" s="4"/>
      <c r="J803" s="4"/>
      <c r="K803" s="4"/>
      <c r="L803" s="4"/>
      <c r="M803" s="4"/>
      <c r="N803" s="4"/>
      <c r="O803" s="4"/>
      <c r="P803" s="4"/>
      <c r="Q803" s="4"/>
      <c r="R803" s="4"/>
      <c r="S803" s="4"/>
      <c r="T803" s="4"/>
      <c r="U803" s="4"/>
      <c r="V803" s="4"/>
      <c r="W803" s="4"/>
      <c r="X803" s="4"/>
      <c r="Y803" s="4"/>
      <c r="Z803" s="4"/>
      <c r="AA803" s="4"/>
      <c r="AB803" s="4"/>
      <c r="AC803" s="4"/>
      <c r="AD803" s="4"/>
      <c r="AE803" s="4"/>
      <c r="AF803" s="4"/>
      <c r="AG803" s="4"/>
      <c r="AH803" s="4"/>
      <c r="AI803" s="4"/>
      <c r="AJ803" s="4"/>
      <c r="AK803" s="4"/>
    </row>
    <row r="804" ht="13.5" customHeight="1" spans="1:37" x14ac:dyDescent="0.25">
      <c r="A804" s="344"/>
      <c r="B804" s="4"/>
      <c r="C804" s="4"/>
      <c r="D804" s="4"/>
      <c r="E804" s="4"/>
      <c r="F804" s="4"/>
      <c r="G804" s="4"/>
      <c r="H804" s="4"/>
      <c r="I804" s="4"/>
      <c r="J804" s="4"/>
      <c r="K804" s="4"/>
      <c r="L804" s="4"/>
      <c r="M804" s="4"/>
      <c r="N804" s="4"/>
      <c r="O804" s="4"/>
      <c r="P804" s="4"/>
      <c r="Q804" s="4"/>
      <c r="R804" s="4"/>
      <c r="S804" s="4"/>
      <c r="T804" s="4"/>
      <c r="U804" s="4"/>
      <c r="V804" s="4"/>
      <c r="W804" s="4"/>
      <c r="X804" s="4"/>
      <c r="Y804" s="4"/>
      <c r="Z804" s="4"/>
      <c r="AA804" s="4"/>
      <c r="AB804" s="4"/>
      <c r="AC804" s="4"/>
      <c r="AD804" s="4"/>
      <c r="AE804" s="4"/>
      <c r="AF804" s="4"/>
      <c r="AG804" s="4"/>
      <c r="AH804" s="4"/>
      <c r="AI804" s="4"/>
      <c r="AJ804" s="4"/>
      <c r="AK804" s="4"/>
    </row>
    <row r="805" ht="13.5" customHeight="1" spans="1:37" x14ac:dyDescent="0.25">
      <c r="A805" s="344"/>
      <c r="B805" s="4"/>
      <c r="C805" s="4"/>
      <c r="D805" s="4"/>
      <c r="E805" s="4"/>
      <c r="F805" s="4"/>
      <c r="G805" s="4"/>
      <c r="H805" s="4"/>
      <c r="I805" s="4"/>
      <c r="J805" s="4"/>
      <c r="K805" s="4"/>
      <c r="L805" s="4"/>
      <c r="M805" s="4"/>
      <c r="N805" s="4"/>
      <c r="O805" s="4"/>
      <c r="P805" s="4"/>
      <c r="Q805" s="4"/>
      <c r="R805" s="4"/>
      <c r="S805" s="4"/>
      <c r="T805" s="4"/>
      <c r="U805" s="4"/>
      <c r="V805" s="4"/>
      <c r="W805" s="4"/>
      <c r="X805" s="4"/>
      <c r="Y805" s="4"/>
      <c r="Z805" s="4"/>
      <c r="AA805" s="4"/>
      <c r="AB805" s="4"/>
      <c r="AC805" s="4"/>
      <c r="AD805" s="4"/>
      <c r="AE805" s="4"/>
      <c r="AF805" s="4"/>
      <c r="AG805" s="4"/>
      <c r="AH805" s="4"/>
      <c r="AI805" s="4"/>
      <c r="AJ805" s="4"/>
      <c r="AK805" s="4"/>
    </row>
    <row r="806" ht="13.5" customHeight="1" spans="1:37" x14ac:dyDescent="0.25">
      <c r="A806" s="344"/>
      <c r="B806" s="4"/>
      <c r="C806" s="4"/>
      <c r="D806" s="4"/>
      <c r="E806" s="4"/>
      <c r="F806" s="4"/>
      <c r="G806" s="4"/>
      <c r="H806" s="4"/>
      <c r="I806" s="4"/>
      <c r="J806" s="4"/>
      <c r="K806" s="4"/>
      <c r="L806" s="4"/>
      <c r="M806" s="4"/>
      <c r="N806" s="4"/>
      <c r="O806" s="4"/>
      <c r="P806" s="4"/>
      <c r="Q806" s="4"/>
      <c r="R806" s="4"/>
      <c r="S806" s="4"/>
      <c r="T806" s="4"/>
      <c r="U806" s="4"/>
      <c r="V806" s="4"/>
      <c r="W806" s="4"/>
      <c r="X806" s="4"/>
      <c r="Y806" s="4"/>
      <c r="Z806" s="4"/>
      <c r="AA806" s="4"/>
      <c r="AB806" s="4"/>
      <c r="AC806" s="4"/>
      <c r="AD806" s="4"/>
      <c r="AE806" s="4"/>
      <c r="AF806" s="4"/>
      <c r="AG806" s="4"/>
      <c r="AH806" s="4"/>
      <c r="AI806" s="4"/>
      <c r="AJ806" s="4"/>
      <c r="AK806" s="4"/>
    </row>
    <row r="807" ht="13.5" customHeight="1" spans="1:37" x14ac:dyDescent="0.25">
      <c r="A807" s="344"/>
      <c r="B807" s="4"/>
      <c r="C807" s="4"/>
      <c r="D807" s="4"/>
      <c r="E807" s="4"/>
      <c r="F807" s="4"/>
      <c r="G807" s="4"/>
      <c r="H807" s="4"/>
      <c r="I807" s="4"/>
      <c r="J807" s="4"/>
      <c r="K807" s="4"/>
      <c r="L807" s="4"/>
      <c r="M807" s="4"/>
      <c r="N807" s="4"/>
      <c r="O807" s="4"/>
      <c r="P807" s="4"/>
      <c r="Q807" s="4"/>
      <c r="R807" s="4"/>
      <c r="S807" s="4"/>
      <c r="T807" s="4"/>
      <c r="U807" s="4"/>
      <c r="V807" s="4"/>
      <c r="W807" s="4"/>
      <c r="X807" s="4"/>
      <c r="Y807" s="4"/>
      <c r="Z807" s="4"/>
      <c r="AA807" s="4"/>
      <c r="AB807" s="4"/>
      <c r="AC807" s="4"/>
      <c r="AD807" s="4"/>
      <c r="AE807" s="4"/>
      <c r="AF807" s="4"/>
      <c r="AG807" s="4"/>
      <c r="AH807" s="4"/>
      <c r="AI807" s="4"/>
      <c r="AJ807" s="4"/>
      <c r="AK807" s="4"/>
    </row>
    <row r="808" ht="13.5" customHeight="1" spans="1:37" x14ac:dyDescent="0.25">
      <c r="A808" s="344"/>
      <c r="B808" s="4"/>
      <c r="C808" s="4"/>
      <c r="D808" s="4"/>
      <c r="E808" s="4"/>
      <c r="F808" s="4"/>
      <c r="G808" s="4"/>
      <c r="H808" s="4"/>
      <c r="I808" s="4"/>
      <c r="J808" s="4"/>
      <c r="K808" s="4"/>
      <c r="L808" s="4"/>
      <c r="M808" s="4"/>
      <c r="N808" s="4"/>
      <c r="O808" s="4"/>
      <c r="P808" s="4"/>
      <c r="Q808" s="4"/>
      <c r="R808" s="4"/>
      <c r="S808" s="4"/>
      <c r="T808" s="4"/>
      <c r="U808" s="4"/>
      <c r="V808" s="4"/>
      <c r="W808" s="4"/>
      <c r="X808" s="4"/>
      <c r="Y808" s="4"/>
      <c r="Z808" s="4"/>
      <c r="AA808" s="4"/>
      <c r="AB808" s="4"/>
      <c r="AC808" s="4"/>
      <c r="AD808" s="4"/>
      <c r="AE808" s="4"/>
      <c r="AF808" s="4"/>
      <c r="AG808" s="4"/>
      <c r="AH808" s="4"/>
      <c r="AI808" s="4"/>
      <c r="AJ808" s="4"/>
      <c r="AK808" s="4"/>
    </row>
    <row r="809" ht="13.5" customHeight="1" spans="1:37" x14ac:dyDescent="0.25">
      <c r="A809" s="344"/>
      <c r="B809" s="4"/>
      <c r="C809" s="4"/>
      <c r="D809" s="4"/>
      <c r="E809" s="4"/>
      <c r="F809" s="4"/>
      <c r="G809" s="4"/>
      <c r="H809" s="4"/>
      <c r="I809" s="4"/>
      <c r="J809" s="4"/>
      <c r="K809" s="4"/>
      <c r="L809" s="4"/>
      <c r="M809" s="4"/>
      <c r="N809" s="4"/>
      <c r="O809" s="4"/>
      <c r="P809" s="4"/>
      <c r="Q809" s="4"/>
      <c r="R809" s="4"/>
      <c r="S809" s="4"/>
      <c r="T809" s="4"/>
      <c r="U809" s="4"/>
      <c r="V809" s="4"/>
      <c r="W809" s="4"/>
      <c r="X809" s="4"/>
      <c r="Y809" s="4"/>
      <c r="Z809" s="4"/>
      <c r="AA809" s="4"/>
      <c r="AB809" s="4"/>
      <c r="AC809" s="4"/>
      <c r="AD809" s="4"/>
      <c r="AE809" s="4"/>
      <c r="AF809" s="4"/>
      <c r="AG809" s="4"/>
      <c r="AH809" s="4"/>
      <c r="AI809" s="4"/>
      <c r="AJ809" s="4"/>
      <c r="AK809" s="4"/>
    </row>
    <row r="810" ht="13.5" customHeight="1" spans="1:37" x14ac:dyDescent="0.25">
      <c r="A810" s="344"/>
      <c r="B810" s="4"/>
      <c r="C810" s="4"/>
      <c r="D810" s="4"/>
      <c r="E810" s="4"/>
      <c r="F810" s="4"/>
      <c r="G810" s="4"/>
      <c r="H810" s="4"/>
      <c r="I810" s="4"/>
      <c r="J810" s="4"/>
      <c r="K810" s="4"/>
      <c r="L810" s="4"/>
      <c r="M810" s="4"/>
      <c r="N810" s="4"/>
      <c r="O810" s="4"/>
      <c r="P810" s="4"/>
      <c r="Q810" s="4"/>
      <c r="R810" s="4"/>
      <c r="S810" s="4"/>
      <c r="T810" s="4"/>
      <c r="U810" s="4"/>
      <c r="V810" s="4"/>
      <c r="W810" s="4"/>
      <c r="X810" s="4"/>
      <c r="Y810" s="4"/>
      <c r="Z810" s="4"/>
      <c r="AA810" s="4"/>
      <c r="AB810" s="4"/>
      <c r="AC810" s="4"/>
      <c r="AD810" s="4"/>
      <c r="AE810" s="4"/>
      <c r="AF810" s="4"/>
      <c r="AG810" s="4"/>
      <c r="AH810" s="4"/>
      <c r="AI810" s="4"/>
      <c r="AJ810" s="4"/>
      <c r="AK810" s="4"/>
    </row>
    <row r="811" ht="13.5" customHeight="1" spans="1:37" x14ac:dyDescent="0.25">
      <c r="A811" s="344"/>
      <c r="B811" s="4"/>
      <c r="C811" s="4"/>
      <c r="D811" s="4"/>
      <c r="E811" s="4"/>
      <c r="F811" s="4"/>
      <c r="G811" s="4"/>
      <c r="H811" s="4"/>
      <c r="I811" s="4"/>
      <c r="J811" s="4"/>
      <c r="K811" s="4"/>
      <c r="L811" s="4"/>
      <c r="M811" s="4"/>
      <c r="N811" s="4"/>
      <c r="O811" s="4"/>
      <c r="P811" s="4"/>
      <c r="Q811" s="4"/>
      <c r="R811" s="4"/>
      <c r="S811" s="4"/>
      <c r="T811" s="4"/>
      <c r="U811" s="4"/>
      <c r="V811" s="4"/>
      <c r="W811" s="4"/>
      <c r="X811" s="4"/>
      <c r="Y811" s="4"/>
      <c r="Z811" s="4"/>
      <c r="AA811" s="4"/>
      <c r="AB811" s="4"/>
      <c r="AC811" s="4"/>
      <c r="AD811" s="4"/>
      <c r="AE811" s="4"/>
      <c r="AF811" s="4"/>
      <c r="AG811" s="4"/>
      <c r="AH811" s="4"/>
      <c r="AI811" s="4"/>
      <c r="AJ811" s="4"/>
      <c r="AK811" s="4"/>
    </row>
    <row r="812" ht="13.5" customHeight="1" spans="1:37" x14ac:dyDescent="0.25">
      <c r="A812" s="344"/>
      <c r="B812" s="4"/>
      <c r="C812" s="4"/>
      <c r="D812" s="4"/>
      <c r="E812" s="4"/>
      <c r="F812" s="4"/>
      <c r="G812" s="4"/>
      <c r="H812" s="4"/>
      <c r="I812" s="4"/>
      <c r="J812" s="4"/>
      <c r="K812" s="4"/>
      <c r="L812" s="4"/>
      <c r="M812" s="4"/>
      <c r="N812" s="4"/>
      <c r="O812" s="4"/>
      <c r="P812" s="4"/>
      <c r="Q812" s="4"/>
      <c r="R812" s="4"/>
      <c r="S812" s="4"/>
      <c r="T812" s="4"/>
      <c r="U812" s="4"/>
      <c r="V812" s="4"/>
      <c r="W812" s="4"/>
      <c r="X812" s="4"/>
      <c r="Y812" s="4"/>
      <c r="Z812" s="4"/>
      <c r="AA812" s="4"/>
      <c r="AB812" s="4"/>
      <c r="AC812" s="4"/>
      <c r="AD812" s="4"/>
      <c r="AE812" s="4"/>
      <c r="AF812" s="4"/>
      <c r="AG812" s="4"/>
      <c r="AH812" s="4"/>
      <c r="AI812" s="4"/>
      <c r="AJ812" s="4"/>
      <c r="AK812" s="4"/>
    </row>
    <row r="813" ht="13.5" customHeight="1" spans="1:37" x14ac:dyDescent="0.25">
      <c r="A813" s="344"/>
      <c r="B813" s="4"/>
      <c r="C813" s="4"/>
      <c r="D813" s="4"/>
      <c r="E813" s="4"/>
      <c r="F813" s="4"/>
      <c r="G813" s="4"/>
      <c r="H813" s="4"/>
      <c r="I813" s="4"/>
      <c r="J813" s="4"/>
      <c r="K813" s="4"/>
      <c r="L813" s="4"/>
      <c r="M813" s="4"/>
      <c r="N813" s="4"/>
      <c r="O813" s="4"/>
      <c r="P813" s="4"/>
      <c r="Q813" s="4"/>
      <c r="R813" s="4"/>
      <c r="S813" s="4"/>
      <c r="T813" s="4"/>
      <c r="U813" s="4"/>
      <c r="V813" s="4"/>
      <c r="W813" s="4"/>
      <c r="X813" s="4"/>
      <c r="Y813" s="4"/>
      <c r="Z813" s="4"/>
      <c r="AA813" s="4"/>
      <c r="AB813" s="4"/>
      <c r="AC813" s="4"/>
      <c r="AD813" s="4"/>
      <c r="AE813" s="4"/>
      <c r="AF813" s="4"/>
      <c r="AG813" s="4"/>
      <c r="AH813" s="4"/>
      <c r="AI813" s="4"/>
      <c r="AJ813" s="4"/>
      <c r="AK813" s="4"/>
    </row>
    <row r="814" ht="13.5" customHeight="1" spans="1:37" x14ac:dyDescent="0.25">
      <c r="A814" s="344"/>
      <c r="B814" s="4"/>
      <c r="C814" s="4"/>
      <c r="D814" s="4"/>
      <c r="E814" s="4"/>
      <c r="F814" s="4"/>
      <c r="G814" s="4"/>
      <c r="H814" s="4"/>
      <c r="I814" s="4"/>
      <c r="J814" s="4"/>
      <c r="K814" s="4"/>
      <c r="L814" s="4"/>
      <c r="M814" s="4"/>
      <c r="N814" s="4"/>
      <c r="O814" s="4"/>
      <c r="P814" s="4"/>
      <c r="Q814" s="4"/>
      <c r="R814" s="4"/>
      <c r="S814" s="4"/>
      <c r="T814" s="4"/>
      <c r="U814" s="4"/>
      <c r="V814" s="4"/>
      <c r="W814" s="4"/>
      <c r="X814" s="4"/>
      <c r="Y814" s="4"/>
      <c r="Z814" s="4"/>
      <c r="AA814" s="4"/>
      <c r="AB814" s="4"/>
      <c r="AC814" s="4"/>
      <c r="AD814" s="4"/>
      <c r="AE814" s="4"/>
      <c r="AF814" s="4"/>
      <c r="AG814" s="4"/>
      <c r="AH814" s="4"/>
      <c r="AI814" s="4"/>
      <c r="AJ814" s="4"/>
      <c r="AK814" s="4"/>
    </row>
    <row r="815" ht="13.5" customHeight="1" spans="1:37" x14ac:dyDescent="0.25">
      <c r="A815" s="344"/>
      <c r="B815" s="4"/>
      <c r="C815" s="4"/>
      <c r="D815" s="4"/>
      <c r="E815" s="4"/>
      <c r="F815" s="4"/>
      <c r="G815" s="4"/>
      <c r="H815" s="4"/>
      <c r="I815" s="4"/>
      <c r="J815" s="4"/>
      <c r="K815" s="4"/>
      <c r="L815" s="4"/>
      <c r="M815" s="4"/>
      <c r="N815" s="4"/>
      <c r="O815" s="4"/>
      <c r="P815" s="4"/>
      <c r="Q815" s="4"/>
      <c r="R815" s="4"/>
      <c r="S815" s="4"/>
      <c r="T815" s="4"/>
      <c r="U815" s="4"/>
      <c r="V815" s="4"/>
      <c r="W815" s="4"/>
      <c r="X815" s="4"/>
      <c r="Y815" s="4"/>
      <c r="Z815" s="4"/>
      <c r="AA815" s="4"/>
      <c r="AB815" s="4"/>
      <c r="AC815" s="4"/>
      <c r="AD815" s="4"/>
      <c r="AE815" s="4"/>
      <c r="AF815" s="4"/>
      <c r="AG815" s="4"/>
      <c r="AH815" s="4"/>
      <c r="AI815" s="4"/>
      <c r="AJ815" s="4"/>
      <c r="AK815" s="4"/>
    </row>
    <row r="816" ht="13.5" customHeight="1" spans="1:37" x14ac:dyDescent="0.25">
      <c r="A816" s="344"/>
      <c r="B816" s="4"/>
      <c r="C816" s="4"/>
      <c r="D816" s="4"/>
      <c r="E816" s="4"/>
      <c r="F816" s="4"/>
      <c r="G816" s="4"/>
      <c r="H816" s="4"/>
      <c r="I816" s="4"/>
      <c r="J816" s="4"/>
      <c r="K816" s="4"/>
      <c r="L816" s="4"/>
      <c r="M816" s="4"/>
      <c r="N816" s="4"/>
      <c r="O816" s="4"/>
      <c r="P816" s="4"/>
      <c r="Q816" s="4"/>
      <c r="R816" s="4"/>
      <c r="S816" s="4"/>
      <c r="T816" s="4"/>
      <c r="U816" s="4"/>
      <c r="V816" s="4"/>
      <c r="W816" s="4"/>
      <c r="X816" s="4"/>
      <c r="Y816" s="4"/>
      <c r="Z816" s="4"/>
      <c r="AA816" s="4"/>
      <c r="AB816" s="4"/>
      <c r="AC816" s="4"/>
      <c r="AD816" s="4"/>
      <c r="AE816" s="4"/>
      <c r="AF816" s="4"/>
      <c r="AG816" s="4"/>
      <c r="AH816" s="4"/>
      <c r="AI816" s="4"/>
      <c r="AJ816" s="4"/>
      <c r="AK816" s="4"/>
    </row>
    <row r="817" ht="13.5" customHeight="1" spans="1:37" x14ac:dyDescent="0.25">
      <c r="A817" s="344"/>
      <c r="B817" s="4"/>
      <c r="C817" s="4"/>
      <c r="D817" s="4"/>
      <c r="E817" s="4"/>
      <c r="F817" s="4"/>
      <c r="G817" s="4"/>
      <c r="H817" s="4"/>
      <c r="I817" s="4"/>
      <c r="J817" s="4"/>
      <c r="K817" s="4"/>
      <c r="L817" s="4"/>
      <c r="M817" s="4"/>
      <c r="N817" s="4"/>
      <c r="O817" s="4"/>
      <c r="P817" s="4"/>
      <c r="Q817" s="4"/>
      <c r="R817" s="4"/>
      <c r="S817" s="4"/>
      <c r="T817" s="4"/>
      <c r="U817" s="4"/>
      <c r="V817" s="4"/>
      <c r="W817" s="4"/>
      <c r="X817" s="4"/>
      <c r="Y817" s="4"/>
      <c r="Z817" s="4"/>
      <c r="AA817" s="4"/>
      <c r="AB817" s="4"/>
      <c r="AC817" s="4"/>
      <c r="AD817" s="4"/>
      <c r="AE817" s="4"/>
      <c r="AF817" s="4"/>
      <c r="AG817" s="4"/>
      <c r="AH817" s="4"/>
      <c r="AI817" s="4"/>
      <c r="AJ817" s="4"/>
      <c r="AK817" s="4"/>
    </row>
    <row r="818" ht="13.5" customHeight="1" spans="1:37" x14ac:dyDescent="0.25">
      <c r="A818" s="344"/>
      <c r="B818" s="4"/>
      <c r="C818" s="4"/>
      <c r="D818" s="4"/>
      <c r="E818" s="4"/>
      <c r="F818" s="4"/>
      <c r="G818" s="4"/>
      <c r="H818" s="4"/>
      <c r="I818" s="4"/>
      <c r="J818" s="4"/>
      <c r="K818" s="4"/>
      <c r="L818" s="4"/>
      <c r="M818" s="4"/>
      <c r="N818" s="4"/>
      <c r="O818" s="4"/>
      <c r="P818" s="4"/>
      <c r="Q818" s="4"/>
      <c r="R818" s="4"/>
      <c r="S818" s="4"/>
      <c r="T818" s="4"/>
      <c r="U818" s="4"/>
      <c r="V818" s="4"/>
      <c r="W818" s="4"/>
      <c r="X818" s="4"/>
      <c r="Y818" s="4"/>
      <c r="Z818" s="4"/>
      <c r="AA818" s="4"/>
      <c r="AB818" s="4"/>
      <c r="AC818" s="4"/>
      <c r="AD818" s="4"/>
      <c r="AE818" s="4"/>
      <c r="AF818" s="4"/>
      <c r="AG818" s="4"/>
      <c r="AH818" s="4"/>
      <c r="AI818" s="4"/>
      <c r="AJ818" s="4"/>
      <c r="AK818" s="4"/>
    </row>
    <row r="819" ht="13.5" customHeight="1" spans="1:37" x14ac:dyDescent="0.25">
      <c r="A819" s="344"/>
      <c r="B819" s="4"/>
      <c r="C819" s="4"/>
      <c r="D819" s="4"/>
      <c r="E819" s="4"/>
      <c r="F819" s="4"/>
      <c r="G819" s="4"/>
      <c r="H819" s="4"/>
      <c r="I819" s="4"/>
      <c r="J819" s="4"/>
      <c r="K819" s="4"/>
      <c r="L819" s="4"/>
      <c r="M819" s="4"/>
      <c r="N819" s="4"/>
      <c r="O819" s="4"/>
      <c r="P819" s="4"/>
      <c r="Q819" s="4"/>
      <c r="R819" s="4"/>
      <c r="S819" s="4"/>
      <c r="T819" s="4"/>
      <c r="U819" s="4"/>
      <c r="V819" s="4"/>
      <c r="W819" s="4"/>
      <c r="X819" s="4"/>
      <c r="Y819" s="4"/>
      <c r="Z819" s="4"/>
      <c r="AA819" s="4"/>
      <c r="AB819" s="4"/>
      <c r="AC819" s="4"/>
      <c r="AD819" s="4"/>
      <c r="AE819" s="4"/>
      <c r="AF819" s="4"/>
      <c r="AG819" s="4"/>
      <c r="AH819" s="4"/>
      <c r="AI819" s="4"/>
      <c r="AJ819" s="4"/>
      <c r="AK819" s="4"/>
    </row>
    <row r="820" ht="13.5" customHeight="1" spans="1:37" x14ac:dyDescent="0.25">
      <c r="A820" s="344"/>
      <c r="B820" s="4"/>
      <c r="C820" s="4"/>
      <c r="D820" s="4"/>
      <c r="E820" s="4"/>
      <c r="F820" s="4"/>
      <c r="G820" s="4"/>
      <c r="H820" s="4"/>
      <c r="I820" s="4"/>
      <c r="J820" s="4"/>
      <c r="K820" s="4"/>
      <c r="L820" s="4"/>
      <c r="M820" s="4"/>
      <c r="N820" s="4"/>
      <c r="O820" s="4"/>
      <c r="P820" s="4"/>
      <c r="Q820" s="4"/>
      <c r="R820" s="4"/>
      <c r="S820" s="4"/>
      <c r="T820" s="4"/>
      <c r="U820" s="4"/>
      <c r="V820" s="4"/>
      <c r="W820" s="4"/>
      <c r="X820" s="4"/>
      <c r="Y820" s="4"/>
      <c r="Z820" s="4"/>
      <c r="AA820" s="4"/>
      <c r="AB820" s="4"/>
      <c r="AC820" s="4"/>
      <c r="AD820" s="4"/>
      <c r="AE820" s="4"/>
      <c r="AF820" s="4"/>
      <c r="AG820" s="4"/>
      <c r="AH820" s="4"/>
      <c r="AI820" s="4"/>
      <c r="AJ820" s="4"/>
      <c r="AK820" s="4"/>
    </row>
    <row r="821" ht="13.5" customHeight="1" spans="1:37" x14ac:dyDescent="0.25">
      <c r="A821" s="344"/>
      <c r="B821" s="4"/>
      <c r="C821" s="4"/>
      <c r="D821" s="4"/>
      <c r="E821" s="4"/>
      <c r="F821" s="4"/>
      <c r="G821" s="4"/>
      <c r="H821" s="4"/>
      <c r="I821" s="4"/>
      <c r="J821" s="4"/>
      <c r="K821" s="4"/>
      <c r="L821" s="4"/>
      <c r="M821" s="4"/>
      <c r="N821" s="4"/>
      <c r="O821" s="4"/>
      <c r="P821" s="4"/>
      <c r="Q821" s="4"/>
      <c r="R821" s="4"/>
      <c r="S821" s="4"/>
      <c r="T821" s="4"/>
      <c r="U821" s="4"/>
      <c r="V821" s="4"/>
      <c r="W821" s="4"/>
      <c r="X821" s="4"/>
      <c r="Y821" s="4"/>
      <c r="Z821" s="4"/>
      <c r="AA821" s="4"/>
      <c r="AB821" s="4"/>
      <c r="AC821" s="4"/>
      <c r="AD821" s="4"/>
      <c r="AE821" s="4"/>
      <c r="AF821" s="4"/>
      <c r="AG821" s="4"/>
      <c r="AH821" s="4"/>
      <c r="AI821" s="4"/>
      <c r="AJ821" s="4"/>
      <c r="AK821" s="4"/>
    </row>
    <row r="822" ht="13.5" customHeight="1" spans="1:37" x14ac:dyDescent="0.25">
      <c r="A822" s="344"/>
      <c r="B822" s="4"/>
      <c r="C822" s="4"/>
      <c r="D822" s="4"/>
      <c r="E822" s="4"/>
      <c r="F822" s="4"/>
      <c r="G822" s="4"/>
      <c r="H822" s="4"/>
      <c r="I822" s="4"/>
      <c r="J822" s="4"/>
      <c r="K822" s="4"/>
      <c r="L822" s="4"/>
      <c r="M822" s="4"/>
      <c r="N822" s="4"/>
      <c r="O822" s="4"/>
      <c r="P822" s="4"/>
      <c r="Q822" s="4"/>
      <c r="R822" s="4"/>
      <c r="S822" s="4"/>
      <c r="T822" s="4"/>
      <c r="U822" s="4"/>
      <c r="V822" s="4"/>
      <c r="W822" s="4"/>
      <c r="X822" s="4"/>
      <c r="Y822" s="4"/>
      <c r="Z822" s="4"/>
      <c r="AA822" s="4"/>
      <c r="AB822" s="4"/>
      <c r="AC822" s="4"/>
      <c r="AD822" s="4"/>
      <c r="AE822" s="4"/>
      <c r="AF822" s="4"/>
      <c r="AG822" s="4"/>
      <c r="AH822" s="4"/>
      <c r="AI822" s="4"/>
      <c r="AJ822" s="4"/>
      <c r="AK822" s="4"/>
    </row>
    <row r="823" ht="13.5" customHeight="1" spans="1:37" x14ac:dyDescent="0.25">
      <c r="A823" s="344"/>
      <c r="B823" s="4"/>
      <c r="C823" s="4"/>
      <c r="D823" s="4"/>
      <c r="E823" s="4"/>
      <c r="F823" s="4"/>
      <c r="G823" s="4"/>
      <c r="H823" s="4"/>
      <c r="I823" s="4"/>
      <c r="J823" s="4"/>
      <c r="K823" s="4"/>
      <c r="L823" s="4"/>
      <c r="M823" s="4"/>
      <c r="N823" s="4"/>
      <c r="O823" s="4"/>
      <c r="P823" s="4"/>
      <c r="Q823" s="4"/>
      <c r="R823" s="4"/>
      <c r="S823" s="4"/>
      <c r="T823" s="4"/>
      <c r="U823" s="4"/>
      <c r="V823" s="4"/>
      <c r="W823" s="4"/>
      <c r="X823" s="4"/>
      <c r="Y823" s="4"/>
      <c r="Z823" s="4"/>
      <c r="AA823" s="4"/>
      <c r="AB823" s="4"/>
      <c r="AC823" s="4"/>
      <c r="AD823" s="4"/>
      <c r="AE823" s="4"/>
      <c r="AF823" s="4"/>
      <c r="AG823" s="4"/>
      <c r="AH823" s="4"/>
      <c r="AI823" s="4"/>
      <c r="AJ823" s="4"/>
      <c r="AK823" s="4"/>
    </row>
    <row r="824" ht="13.5" customHeight="1" spans="1:37" x14ac:dyDescent="0.25">
      <c r="A824" s="344"/>
      <c r="B824" s="4"/>
      <c r="C824" s="4"/>
      <c r="D824" s="4"/>
      <c r="E824" s="4"/>
      <c r="F824" s="4"/>
      <c r="G824" s="4"/>
      <c r="H824" s="4"/>
      <c r="I824" s="4"/>
      <c r="J824" s="4"/>
      <c r="K824" s="4"/>
      <c r="L824" s="4"/>
      <c r="M824" s="4"/>
      <c r="N824" s="4"/>
      <c r="O824" s="4"/>
      <c r="P824" s="4"/>
      <c r="Q824" s="4"/>
      <c r="R824" s="4"/>
      <c r="S824" s="4"/>
      <c r="T824" s="4"/>
      <c r="U824" s="4"/>
      <c r="V824" s="4"/>
      <c r="W824" s="4"/>
      <c r="X824" s="4"/>
      <c r="Y824" s="4"/>
      <c r="Z824" s="4"/>
      <c r="AA824" s="4"/>
      <c r="AB824" s="4"/>
      <c r="AC824" s="4"/>
      <c r="AD824" s="4"/>
      <c r="AE824" s="4"/>
      <c r="AF824" s="4"/>
      <c r="AG824" s="4"/>
      <c r="AH824" s="4"/>
      <c r="AI824" s="4"/>
      <c r="AJ824" s="4"/>
      <c r="AK824" s="4"/>
    </row>
    <row r="825" ht="13.5" customHeight="1" spans="1:37" x14ac:dyDescent="0.25">
      <c r="A825" s="344"/>
      <c r="B825" s="4"/>
      <c r="C825" s="4"/>
      <c r="D825" s="4"/>
      <c r="E825" s="4"/>
      <c r="F825" s="4"/>
      <c r="G825" s="4"/>
      <c r="H825" s="4"/>
      <c r="I825" s="4"/>
      <c r="J825" s="4"/>
      <c r="K825" s="4"/>
      <c r="L825" s="4"/>
      <c r="M825" s="4"/>
      <c r="N825" s="4"/>
      <c r="O825" s="4"/>
      <c r="P825" s="4"/>
      <c r="Q825" s="4"/>
      <c r="R825" s="4"/>
      <c r="S825" s="4"/>
      <c r="T825" s="4"/>
      <c r="U825" s="4"/>
      <c r="V825" s="4"/>
      <c r="W825" s="4"/>
      <c r="X825" s="4"/>
      <c r="Y825" s="4"/>
      <c r="Z825" s="4"/>
      <c r="AA825" s="4"/>
      <c r="AB825" s="4"/>
      <c r="AC825" s="4"/>
      <c r="AD825" s="4"/>
      <c r="AE825" s="4"/>
      <c r="AF825" s="4"/>
      <c r="AG825" s="4"/>
      <c r="AH825" s="4"/>
      <c r="AI825" s="4"/>
      <c r="AJ825" s="4"/>
      <c r="AK825" s="4"/>
    </row>
    <row r="826" ht="13.5" customHeight="1" spans="1:37" x14ac:dyDescent="0.25">
      <c r="A826" s="344"/>
      <c r="B826" s="4"/>
      <c r="C826" s="4"/>
      <c r="D826" s="4"/>
      <c r="E826" s="4"/>
      <c r="F826" s="4"/>
      <c r="G826" s="4"/>
      <c r="H826" s="4"/>
      <c r="I826" s="4"/>
      <c r="J826" s="4"/>
      <c r="K826" s="4"/>
      <c r="L826" s="4"/>
      <c r="M826" s="4"/>
      <c r="N826" s="4"/>
      <c r="O826" s="4"/>
      <c r="P826" s="4"/>
      <c r="Q826" s="4"/>
      <c r="R826" s="4"/>
      <c r="S826" s="4"/>
      <c r="T826" s="4"/>
      <c r="U826" s="4"/>
      <c r="V826" s="4"/>
      <c r="W826" s="4"/>
      <c r="X826" s="4"/>
      <c r="Y826" s="4"/>
      <c r="Z826" s="4"/>
      <c r="AA826" s="4"/>
      <c r="AB826" s="4"/>
      <c r="AC826" s="4"/>
      <c r="AD826" s="4"/>
      <c r="AE826" s="4"/>
      <c r="AF826" s="4"/>
      <c r="AG826" s="4"/>
      <c r="AH826" s="4"/>
      <c r="AI826" s="4"/>
      <c r="AJ826" s="4"/>
      <c r="AK826" s="4"/>
    </row>
    <row r="827" ht="13.5" customHeight="1" spans="1:37" x14ac:dyDescent="0.25">
      <c r="A827" s="344"/>
      <c r="B827" s="4"/>
      <c r="C827" s="4"/>
      <c r="D827" s="4"/>
      <c r="E827" s="4"/>
      <c r="F827" s="4"/>
      <c r="G827" s="4"/>
      <c r="H827" s="4"/>
      <c r="I827" s="4"/>
      <c r="J827" s="4"/>
      <c r="K827" s="4"/>
      <c r="L827" s="4"/>
      <c r="M827" s="4"/>
      <c r="N827" s="4"/>
      <c r="O827" s="4"/>
      <c r="P827" s="4"/>
      <c r="Q827" s="4"/>
      <c r="R827" s="4"/>
      <c r="S827" s="4"/>
      <c r="T827" s="4"/>
      <c r="U827" s="4"/>
      <c r="V827" s="4"/>
      <c r="W827" s="4"/>
      <c r="X827" s="4"/>
      <c r="Y827" s="4"/>
      <c r="Z827" s="4"/>
      <c r="AA827" s="4"/>
      <c r="AB827" s="4"/>
      <c r="AC827" s="4"/>
      <c r="AD827" s="4"/>
      <c r="AE827" s="4"/>
      <c r="AF827" s="4"/>
      <c r="AG827" s="4"/>
      <c r="AH827" s="4"/>
      <c r="AI827" s="4"/>
      <c r="AJ827" s="4"/>
      <c r="AK827" s="4"/>
    </row>
    <row r="828" ht="13.5" customHeight="1" spans="1:37" x14ac:dyDescent="0.25">
      <c r="A828" s="344"/>
      <c r="B828" s="4"/>
      <c r="C828" s="4"/>
      <c r="D828" s="4"/>
      <c r="E828" s="4"/>
      <c r="F828" s="4"/>
      <c r="G828" s="4"/>
      <c r="H828" s="4"/>
      <c r="I828" s="4"/>
      <c r="J828" s="4"/>
      <c r="K828" s="4"/>
      <c r="L828" s="4"/>
      <c r="M828" s="4"/>
      <c r="N828" s="4"/>
      <c r="O828" s="4"/>
      <c r="P828" s="4"/>
      <c r="Q828" s="4"/>
      <c r="R828" s="4"/>
      <c r="S828" s="4"/>
      <c r="T828" s="4"/>
      <c r="U828" s="4"/>
      <c r="V828" s="4"/>
      <c r="W828" s="4"/>
      <c r="X828" s="4"/>
      <c r="Y828" s="4"/>
      <c r="Z828" s="4"/>
      <c r="AA828" s="4"/>
      <c r="AB828" s="4"/>
      <c r="AC828" s="4"/>
      <c r="AD828" s="4"/>
      <c r="AE828" s="4"/>
      <c r="AF828" s="4"/>
      <c r="AG828" s="4"/>
      <c r="AH828" s="4"/>
      <c r="AI828" s="4"/>
      <c r="AJ828" s="4"/>
      <c r="AK828" s="4"/>
    </row>
    <row r="829" ht="13.5" customHeight="1" spans="1:37" x14ac:dyDescent="0.25">
      <c r="A829" s="344"/>
      <c r="B829" s="4"/>
      <c r="C829" s="4"/>
      <c r="D829" s="4"/>
      <c r="E829" s="4"/>
      <c r="F829" s="4"/>
      <c r="G829" s="4"/>
      <c r="H829" s="4"/>
      <c r="I829" s="4"/>
      <c r="J829" s="4"/>
      <c r="K829" s="4"/>
      <c r="L829" s="4"/>
      <c r="M829" s="4"/>
      <c r="N829" s="4"/>
      <c r="O829" s="4"/>
      <c r="P829" s="4"/>
      <c r="Q829" s="4"/>
      <c r="R829" s="4"/>
      <c r="S829" s="4"/>
      <c r="T829" s="4"/>
      <c r="U829" s="4"/>
      <c r="V829" s="4"/>
      <c r="W829" s="4"/>
      <c r="X829" s="4"/>
      <c r="Y829" s="4"/>
      <c r="Z829" s="4"/>
      <c r="AA829" s="4"/>
      <c r="AB829" s="4"/>
      <c r="AC829" s="4"/>
      <c r="AD829" s="4"/>
      <c r="AE829" s="4"/>
      <c r="AF829" s="4"/>
      <c r="AG829" s="4"/>
      <c r="AH829" s="4"/>
      <c r="AI829" s="4"/>
      <c r="AJ829" s="4"/>
      <c r="AK829" s="4"/>
    </row>
    <row r="830" ht="13.5" customHeight="1" spans="1:37" x14ac:dyDescent="0.25">
      <c r="A830" s="344"/>
      <c r="B830" s="4"/>
      <c r="C830" s="4"/>
      <c r="D830" s="4"/>
      <c r="E830" s="4"/>
      <c r="F830" s="4"/>
      <c r="G830" s="4"/>
      <c r="H830" s="4"/>
      <c r="I830" s="4"/>
      <c r="J830" s="4"/>
      <c r="K830" s="4"/>
      <c r="L830" s="4"/>
      <c r="M830" s="4"/>
      <c r="N830" s="4"/>
      <c r="O830" s="4"/>
      <c r="P830" s="4"/>
      <c r="Q830" s="4"/>
      <c r="R830" s="4"/>
      <c r="S830" s="4"/>
      <c r="T830" s="4"/>
      <c r="U830" s="4"/>
      <c r="V830" s="4"/>
      <c r="W830" s="4"/>
      <c r="X830" s="4"/>
      <c r="Y830" s="4"/>
      <c r="Z830" s="4"/>
      <c r="AA830" s="4"/>
      <c r="AB830" s="4"/>
      <c r="AC830" s="4"/>
      <c r="AD830" s="4"/>
      <c r="AE830" s="4"/>
      <c r="AF830" s="4"/>
      <c r="AG830" s="4"/>
      <c r="AH830" s="4"/>
      <c r="AI830" s="4"/>
      <c r="AJ830" s="4"/>
      <c r="AK830" s="4"/>
    </row>
    <row r="831" ht="13.5" customHeight="1" spans="1:37" x14ac:dyDescent="0.25">
      <c r="A831" s="344"/>
      <c r="B831" s="4"/>
      <c r="C831" s="4"/>
      <c r="D831" s="4"/>
      <c r="E831" s="4"/>
      <c r="F831" s="4"/>
      <c r="G831" s="4"/>
      <c r="H831" s="4"/>
      <c r="I831" s="4"/>
      <c r="J831" s="4"/>
      <c r="K831" s="4"/>
      <c r="L831" s="4"/>
      <c r="M831" s="4"/>
      <c r="N831" s="4"/>
      <c r="O831" s="4"/>
      <c r="P831" s="4"/>
      <c r="Q831" s="4"/>
      <c r="R831" s="4"/>
      <c r="S831" s="4"/>
      <c r="T831" s="4"/>
      <c r="U831" s="4"/>
      <c r="V831" s="4"/>
      <c r="W831" s="4"/>
      <c r="X831" s="4"/>
      <c r="Y831" s="4"/>
      <c r="Z831" s="4"/>
      <c r="AA831" s="4"/>
      <c r="AB831" s="4"/>
      <c r="AC831" s="4"/>
      <c r="AD831" s="4"/>
      <c r="AE831" s="4"/>
      <c r="AF831" s="4"/>
      <c r="AG831" s="4"/>
      <c r="AH831" s="4"/>
      <c r="AI831" s="4"/>
      <c r="AJ831" s="4"/>
      <c r="AK831" s="4"/>
    </row>
    <row r="832" ht="13.5" customHeight="1" spans="1:37" x14ac:dyDescent="0.25">
      <c r="A832" s="344"/>
      <c r="B832" s="4"/>
      <c r="C832" s="4"/>
      <c r="D832" s="4"/>
      <c r="E832" s="4"/>
      <c r="F832" s="4"/>
      <c r="G832" s="4"/>
      <c r="H832" s="4"/>
      <c r="I832" s="4"/>
      <c r="J832" s="4"/>
      <c r="K832" s="4"/>
      <c r="L832" s="4"/>
      <c r="M832" s="4"/>
      <c r="N832" s="4"/>
      <c r="O832" s="4"/>
      <c r="P832" s="4"/>
      <c r="Q832" s="4"/>
      <c r="R832" s="4"/>
      <c r="S832" s="4"/>
      <c r="T832" s="4"/>
      <c r="U832" s="4"/>
      <c r="V832" s="4"/>
      <c r="W832" s="4"/>
      <c r="X832" s="4"/>
      <c r="Y832" s="4"/>
      <c r="Z832" s="4"/>
      <c r="AA832" s="4"/>
      <c r="AB832" s="4"/>
      <c r="AC832" s="4"/>
      <c r="AD832" s="4"/>
      <c r="AE832" s="4"/>
      <c r="AF832" s="4"/>
      <c r="AG832" s="4"/>
      <c r="AH832" s="4"/>
      <c r="AI832" s="4"/>
      <c r="AJ832" s="4"/>
      <c r="AK832" s="4"/>
    </row>
    <row r="833" ht="13.5" customHeight="1" spans="1:37" x14ac:dyDescent="0.25">
      <c r="A833" s="344"/>
      <c r="B833" s="4"/>
      <c r="C833" s="4"/>
      <c r="D833" s="4"/>
      <c r="E833" s="4"/>
      <c r="F833" s="4"/>
      <c r="G833" s="4"/>
      <c r="H833" s="4"/>
      <c r="I833" s="4"/>
      <c r="J833" s="4"/>
      <c r="K833" s="4"/>
      <c r="L833" s="4"/>
      <c r="M833" s="4"/>
      <c r="N833" s="4"/>
      <c r="O833" s="4"/>
      <c r="P833" s="4"/>
      <c r="Q833" s="4"/>
      <c r="R833" s="4"/>
      <c r="S833" s="4"/>
      <c r="T833" s="4"/>
      <c r="U833" s="4"/>
      <c r="V833" s="4"/>
      <c r="W833" s="4"/>
      <c r="X833" s="4"/>
      <c r="Y833" s="4"/>
      <c r="Z833" s="4"/>
      <c r="AA833" s="4"/>
      <c r="AB833" s="4"/>
      <c r="AC833" s="4"/>
      <c r="AD833" s="4"/>
      <c r="AE833" s="4"/>
      <c r="AF833" s="4"/>
      <c r="AG833" s="4"/>
      <c r="AH833" s="4"/>
      <c r="AI833" s="4"/>
      <c r="AJ833" s="4"/>
      <c r="AK833" s="4"/>
    </row>
    <row r="834" ht="13.5" customHeight="1" spans="1:37" x14ac:dyDescent="0.25">
      <c r="A834" s="344"/>
      <c r="B834" s="4"/>
      <c r="C834" s="4"/>
      <c r="D834" s="4"/>
      <c r="E834" s="4"/>
      <c r="F834" s="4"/>
      <c r="G834" s="4"/>
      <c r="H834" s="4"/>
      <c r="I834" s="4"/>
      <c r="J834" s="4"/>
      <c r="K834" s="4"/>
      <c r="L834" s="4"/>
      <c r="M834" s="4"/>
      <c r="N834" s="4"/>
      <c r="O834" s="4"/>
      <c r="P834" s="4"/>
      <c r="Q834" s="4"/>
      <c r="R834" s="4"/>
      <c r="S834" s="4"/>
      <c r="T834" s="4"/>
      <c r="U834" s="4"/>
      <c r="V834" s="4"/>
      <c r="W834" s="4"/>
      <c r="X834" s="4"/>
      <c r="Y834" s="4"/>
      <c r="Z834" s="4"/>
      <c r="AA834" s="4"/>
      <c r="AB834" s="4"/>
      <c r="AC834" s="4"/>
      <c r="AD834" s="4"/>
      <c r="AE834" s="4"/>
      <c r="AF834" s="4"/>
      <c r="AG834" s="4"/>
      <c r="AH834" s="4"/>
      <c r="AI834" s="4"/>
      <c r="AJ834" s="4"/>
      <c r="AK834" s="4"/>
    </row>
    <row r="835" ht="13.5" customHeight="1" spans="1:37" x14ac:dyDescent="0.25">
      <c r="A835" s="344"/>
      <c r="B835" s="4"/>
      <c r="C835" s="4"/>
      <c r="D835" s="4"/>
      <c r="E835" s="4"/>
      <c r="F835" s="4"/>
      <c r="G835" s="4"/>
      <c r="H835" s="4"/>
      <c r="I835" s="4"/>
      <c r="J835" s="4"/>
      <c r="K835" s="4"/>
      <c r="L835" s="4"/>
      <c r="M835" s="4"/>
      <c r="N835" s="4"/>
      <c r="O835" s="4"/>
      <c r="P835" s="4"/>
      <c r="Q835" s="4"/>
      <c r="R835" s="4"/>
      <c r="S835" s="4"/>
      <c r="T835" s="4"/>
      <c r="U835" s="4"/>
      <c r="V835" s="4"/>
      <c r="W835" s="4"/>
      <c r="X835" s="4"/>
      <c r="Y835" s="4"/>
      <c r="Z835" s="4"/>
      <c r="AA835" s="4"/>
      <c r="AB835" s="4"/>
      <c r="AC835" s="4"/>
      <c r="AD835" s="4"/>
      <c r="AE835" s="4"/>
      <c r="AF835" s="4"/>
      <c r="AG835" s="4"/>
      <c r="AH835" s="4"/>
      <c r="AI835" s="4"/>
      <c r="AJ835" s="4"/>
      <c r="AK835" s="4"/>
    </row>
    <row r="836" ht="13.5" customHeight="1" spans="1:37" x14ac:dyDescent="0.25">
      <c r="A836" s="344"/>
      <c r="B836" s="4"/>
      <c r="C836" s="4"/>
      <c r="D836" s="4"/>
      <c r="E836" s="4"/>
      <c r="F836" s="4"/>
      <c r="G836" s="4"/>
      <c r="H836" s="4"/>
      <c r="I836" s="4"/>
      <c r="J836" s="4"/>
      <c r="K836" s="4"/>
      <c r="L836" s="4"/>
      <c r="M836" s="4"/>
      <c r="N836" s="4"/>
      <c r="O836" s="4"/>
      <c r="P836" s="4"/>
      <c r="Q836" s="4"/>
      <c r="R836" s="4"/>
      <c r="S836" s="4"/>
      <c r="T836" s="4"/>
      <c r="U836" s="4"/>
      <c r="V836" s="4"/>
      <c r="W836" s="4"/>
      <c r="X836" s="4"/>
      <c r="Y836" s="4"/>
      <c r="Z836" s="4"/>
      <c r="AA836" s="4"/>
      <c r="AB836" s="4"/>
      <c r="AC836" s="4"/>
      <c r="AD836" s="4"/>
      <c r="AE836" s="4"/>
      <c r="AF836" s="4"/>
      <c r="AG836" s="4"/>
      <c r="AH836" s="4"/>
      <c r="AI836" s="4"/>
      <c r="AJ836" s="4"/>
      <c r="AK836" s="4"/>
    </row>
    <row r="837" ht="13.5" customHeight="1" spans="1:37" x14ac:dyDescent="0.25">
      <c r="A837" s="344"/>
      <c r="B837" s="4"/>
      <c r="C837" s="4"/>
      <c r="D837" s="4"/>
      <c r="E837" s="4"/>
      <c r="F837" s="4"/>
      <c r="G837" s="4"/>
      <c r="H837" s="4"/>
      <c r="I837" s="4"/>
      <c r="J837" s="4"/>
      <c r="K837" s="4"/>
      <c r="L837" s="4"/>
      <c r="M837" s="4"/>
      <c r="N837" s="4"/>
      <c r="O837" s="4"/>
      <c r="P837" s="4"/>
      <c r="Q837" s="4"/>
      <c r="R837" s="4"/>
      <c r="S837" s="4"/>
      <c r="T837" s="4"/>
      <c r="U837" s="4"/>
      <c r="V837" s="4"/>
      <c r="W837" s="4"/>
      <c r="X837" s="4"/>
      <c r="Y837" s="4"/>
      <c r="Z837" s="4"/>
      <c r="AA837" s="4"/>
      <c r="AB837" s="4"/>
      <c r="AC837" s="4"/>
      <c r="AD837" s="4"/>
      <c r="AE837" s="4"/>
      <c r="AF837" s="4"/>
      <c r="AG837" s="4"/>
      <c r="AH837" s="4"/>
      <c r="AI837" s="4"/>
      <c r="AJ837" s="4"/>
      <c r="AK837" s="4"/>
    </row>
    <row r="838" ht="13.5" customHeight="1" spans="1:37" x14ac:dyDescent="0.25">
      <c r="A838" s="344"/>
      <c r="B838" s="4"/>
      <c r="C838" s="4"/>
      <c r="D838" s="4"/>
      <c r="E838" s="4"/>
      <c r="F838" s="4"/>
      <c r="G838" s="4"/>
      <c r="H838" s="4"/>
      <c r="I838" s="4"/>
      <c r="J838" s="4"/>
      <c r="K838" s="4"/>
      <c r="L838" s="4"/>
      <c r="M838" s="4"/>
      <c r="N838" s="4"/>
      <c r="O838" s="4"/>
      <c r="P838" s="4"/>
      <c r="Q838" s="4"/>
      <c r="R838" s="4"/>
      <c r="S838" s="4"/>
      <c r="T838" s="4"/>
      <c r="U838" s="4"/>
      <c r="V838" s="4"/>
      <c r="W838" s="4"/>
      <c r="X838" s="4"/>
      <c r="Y838" s="4"/>
      <c r="Z838" s="4"/>
      <c r="AA838" s="4"/>
      <c r="AB838" s="4"/>
      <c r="AC838" s="4"/>
      <c r="AD838" s="4"/>
      <c r="AE838" s="4"/>
      <c r="AF838" s="4"/>
      <c r="AG838" s="4"/>
      <c r="AH838" s="4"/>
      <c r="AI838" s="4"/>
      <c r="AJ838" s="4"/>
      <c r="AK838" s="4"/>
    </row>
    <row r="839" ht="13.5" customHeight="1" spans="1:37" x14ac:dyDescent="0.25">
      <c r="A839" s="344"/>
      <c r="B839" s="4"/>
      <c r="C839" s="4"/>
      <c r="D839" s="4"/>
      <c r="E839" s="4"/>
      <c r="F839" s="4"/>
      <c r="G839" s="4"/>
      <c r="H839" s="4"/>
      <c r="I839" s="4"/>
      <c r="J839" s="4"/>
      <c r="K839" s="4"/>
      <c r="L839" s="4"/>
      <c r="M839" s="4"/>
      <c r="N839" s="4"/>
      <c r="O839" s="4"/>
      <c r="P839" s="4"/>
      <c r="Q839" s="4"/>
      <c r="R839" s="4"/>
      <c r="S839" s="4"/>
      <c r="T839" s="4"/>
      <c r="U839" s="4"/>
      <c r="V839" s="4"/>
      <c r="W839" s="4"/>
      <c r="X839" s="4"/>
      <c r="Y839" s="4"/>
      <c r="Z839" s="4"/>
      <c r="AA839" s="4"/>
      <c r="AB839" s="4"/>
      <c r="AC839" s="4"/>
      <c r="AD839" s="4"/>
      <c r="AE839" s="4"/>
      <c r="AF839" s="4"/>
      <c r="AG839" s="4"/>
      <c r="AH839" s="4"/>
      <c r="AI839" s="4"/>
      <c r="AJ839" s="4"/>
      <c r="AK839" s="4"/>
    </row>
    <row r="840" ht="13.5" customHeight="1" spans="1:37" x14ac:dyDescent="0.25">
      <c r="A840" s="344"/>
      <c r="B840" s="4"/>
      <c r="C840" s="4"/>
      <c r="D840" s="4"/>
      <c r="E840" s="4"/>
      <c r="F840" s="4"/>
      <c r="G840" s="4"/>
      <c r="H840" s="4"/>
      <c r="I840" s="4"/>
      <c r="J840" s="4"/>
      <c r="K840" s="4"/>
      <c r="L840" s="4"/>
      <c r="M840" s="4"/>
      <c r="N840" s="4"/>
      <c r="O840" s="4"/>
      <c r="P840" s="4"/>
      <c r="Q840" s="4"/>
      <c r="R840" s="4"/>
      <c r="S840" s="4"/>
      <c r="T840" s="4"/>
      <c r="U840" s="4"/>
      <c r="V840" s="4"/>
      <c r="W840" s="4"/>
      <c r="X840" s="4"/>
      <c r="Y840" s="4"/>
      <c r="Z840" s="4"/>
      <c r="AA840" s="4"/>
      <c r="AB840" s="4"/>
      <c r="AC840" s="4"/>
      <c r="AD840" s="4"/>
      <c r="AE840" s="4"/>
      <c r="AF840" s="4"/>
      <c r="AG840" s="4"/>
      <c r="AH840" s="4"/>
      <c r="AI840" s="4"/>
      <c r="AJ840" s="4"/>
      <c r="AK840" s="4"/>
    </row>
    <row r="841" ht="13.5" customHeight="1" spans="1:37" x14ac:dyDescent="0.25">
      <c r="A841" s="344"/>
      <c r="B841" s="4"/>
      <c r="C841" s="4"/>
      <c r="D841" s="4"/>
      <c r="E841" s="4"/>
      <c r="F841" s="4"/>
      <c r="G841" s="4"/>
      <c r="H841" s="4"/>
      <c r="I841" s="4"/>
      <c r="J841" s="4"/>
      <c r="K841" s="4"/>
      <c r="L841" s="4"/>
      <c r="M841" s="4"/>
      <c r="N841" s="4"/>
      <c r="O841" s="4"/>
      <c r="P841" s="4"/>
      <c r="Q841" s="4"/>
      <c r="R841" s="4"/>
      <c r="S841" s="4"/>
      <c r="T841" s="4"/>
      <c r="U841" s="4"/>
      <c r="V841" s="4"/>
      <c r="W841" s="4"/>
      <c r="X841" s="4"/>
      <c r="Y841" s="4"/>
      <c r="Z841" s="4"/>
      <c r="AA841" s="4"/>
      <c r="AB841" s="4"/>
      <c r="AC841" s="4"/>
      <c r="AD841" s="4"/>
      <c r="AE841" s="4"/>
      <c r="AF841" s="4"/>
      <c r="AG841" s="4"/>
      <c r="AH841" s="4"/>
      <c r="AI841" s="4"/>
      <c r="AJ841" s="4"/>
      <c r="AK841" s="4"/>
    </row>
    <row r="842" ht="13.5" customHeight="1" spans="1:37" x14ac:dyDescent="0.25">
      <c r="A842" s="344"/>
      <c r="B842" s="4"/>
      <c r="C842" s="4"/>
      <c r="D842" s="4"/>
      <c r="E842" s="4"/>
      <c r="F842" s="4"/>
      <c r="G842" s="4"/>
      <c r="H842" s="4"/>
      <c r="I842" s="4"/>
      <c r="J842" s="4"/>
      <c r="K842" s="4"/>
      <c r="L842" s="4"/>
      <c r="M842" s="4"/>
      <c r="N842" s="4"/>
      <c r="O842" s="4"/>
      <c r="P842" s="4"/>
      <c r="Q842" s="4"/>
      <c r="R842" s="4"/>
      <c r="S842" s="4"/>
      <c r="T842" s="4"/>
      <c r="U842" s="4"/>
      <c r="V842" s="4"/>
      <c r="W842" s="4"/>
      <c r="X842" s="4"/>
      <c r="Y842" s="4"/>
      <c r="Z842" s="4"/>
      <c r="AA842" s="4"/>
      <c r="AB842" s="4"/>
      <c r="AC842" s="4"/>
      <c r="AD842" s="4"/>
      <c r="AE842" s="4"/>
      <c r="AF842" s="4"/>
      <c r="AG842" s="4"/>
      <c r="AH842" s="4"/>
      <c r="AI842" s="4"/>
      <c r="AJ842" s="4"/>
      <c r="AK842" s="4"/>
    </row>
    <row r="843" ht="13.5" customHeight="1" spans="1:37" x14ac:dyDescent="0.25">
      <c r="A843" s="344"/>
      <c r="B843" s="4"/>
      <c r="C843" s="4"/>
      <c r="D843" s="4"/>
      <c r="E843" s="4"/>
      <c r="F843" s="4"/>
      <c r="G843" s="4"/>
      <c r="H843" s="4"/>
      <c r="I843" s="4"/>
      <c r="J843" s="4"/>
      <c r="K843" s="4"/>
      <c r="L843" s="4"/>
      <c r="M843" s="4"/>
      <c r="N843" s="4"/>
      <c r="O843" s="4"/>
      <c r="P843" s="4"/>
      <c r="Q843" s="4"/>
      <c r="R843" s="4"/>
      <c r="S843" s="4"/>
      <c r="T843" s="4"/>
      <c r="U843" s="4"/>
      <c r="V843" s="4"/>
      <c r="W843" s="4"/>
      <c r="X843" s="4"/>
      <c r="Y843" s="4"/>
      <c r="Z843" s="4"/>
      <c r="AA843" s="4"/>
      <c r="AB843" s="4"/>
      <c r="AC843" s="4"/>
      <c r="AD843" s="4"/>
      <c r="AE843" s="4"/>
      <c r="AF843" s="4"/>
      <c r="AG843" s="4"/>
      <c r="AH843" s="4"/>
      <c r="AI843" s="4"/>
      <c r="AJ843" s="4"/>
      <c r="AK843" s="4"/>
    </row>
    <row r="844" ht="13.5" customHeight="1" spans="1:37" x14ac:dyDescent="0.25">
      <c r="A844" s="344"/>
      <c r="B844" s="4"/>
      <c r="C844" s="4"/>
      <c r="D844" s="4"/>
      <c r="E844" s="4"/>
      <c r="F844" s="4"/>
      <c r="G844" s="4"/>
      <c r="H844" s="4"/>
      <c r="I844" s="4"/>
      <c r="J844" s="4"/>
      <c r="K844" s="4"/>
      <c r="L844" s="4"/>
      <c r="M844" s="4"/>
      <c r="N844" s="4"/>
      <c r="O844" s="4"/>
      <c r="P844" s="4"/>
      <c r="Q844" s="4"/>
      <c r="R844" s="4"/>
      <c r="S844" s="4"/>
      <c r="T844" s="4"/>
      <c r="U844" s="4"/>
      <c r="V844" s="4"/>
      <c r="W844" s="4"/>
      <c r="X844" s="4"/>
      <c r="Y844" s="4"/>
      <c r="Z844" s="4"/>
      <c r="AA844" s="4"/>
      <c r="AB844" s="4"/>
      <c r="AC844" s="4"/>
      <c r="AD844" s="4"/>
      <c r="AE844" s="4"/>
      <c r="AF844" s="4"/>
      <c r="AG844" s="4"/>
      <c r="AH844" s="4"/>
      <c r="AI844" s="4"/>
      <c r="AJ844" s="4"/>
      <c r="AK844" s="4"/>
    </row>
    <row r="845" ht="13.5" customHeight="1" spans="1:37" x14ac:dyDescent="0.25">
      <c r="A845" s="344"/>
      <c r="B845" s="4"/>
      <c r="C845" s="4"/>
      <c r="D845" s="4"/>
      <c r="E845" s="4"/>
      <c r="F845" s="4"/>
      <c r="G845" s="4"/>
      <c r="H845" s="4"/>
      <c r="I845" s="4"/>
      <c r="J845" s="4"/>
      <c r="K845" s="4"/>
      <c r="L845" s="4"/>
      <c r="M845" s="4"/>
      <c r="N845" s="4"/>
      <c r="O845" s="4"/>
      <c r="P845" s="4"/>
      <c r="Q845" s="4"/>
      <c r="R845" s="4"/>
      <c r="S845" s="4"/>
      <c r="T845" s="4"/>
      <c r="U845" s="4"/>
      <c r="V845" s="4"/>
      <c r="W845" s="4"/>
      <c r="X845" s="4"/>
      <c r="Y845" s="4"/>
      <c r="Z845" s="4"/>
      <c r="AA845" s="4"/>
      <c r="AB845" s="4"/>
      <c r="AC845" s="4"/>
      <c r="AD845" s="4"/>
      <c r="AE845" s="4"/>
      <c r="AF845" s="4"/>
      <c r="AG845" s="4"/>
      <c r="AH845" s="4"/>
      <c r="AI845" s="4"/>
      <c r="AJ845" s="4"/>
      <c r="AK845" s="4"/>
    </row>
    <row r="846" ht="13.5" customHeight="1" spans="1:37" x14ac:dyDescent="0.25">
      <c r="A846" s="344"/>
      <c r="B846" s="4"/>
      <c r="C846" s="4"/>
      <c r="D846" s="4"/>
      <c r="E846" s="4"/>
      <c r="F846" s="4"/>
      <c r="G846" s="4"/>
      <c r="H846" s="4"/>
      <c r="I846" s="4"/>
      <c r="J846" s="4"/>
      <c r="K846" s="4"/>
      <c r="L846" s="4"/>
      <c r="M846" s="4"/>
      <c r="N846" s="4"/>
      <c r="O846" s="4"/>
      <c r="P846" s="4"/>
      <c r="Q846" s="4"/>
      <c r="R846" s="4"/>
      <c r="S846" s="4"/>
      <c r="T846" s="4"/>
      <c r="U846" s="4"/>
      <c r="V846" s="4"/>
      <c r="W846" s="4"/>
      <c r="X846" s="4"/>
      <c r="Y846" s="4"/>
      <c r="Z846" s="4"/>
      <c r="AA846" s="4"/>
      <c r="AB846" s="4"/>
      <c r="AC846" s="4"/>
      <c r="AD846" s="4"/>
      <c r="AE846" s="4"/>
      <c r="AF846" s="4"/>
      <c r="AG846" s="4"/>
      <c r="AH846" s="4"/>
      <c r="AI846" s="4"/>
      <c r="AJ846" s="4"/>
      <c r="AK846" s="4"/>
    </row>
    <row r="847" ht="13.5" customHeight="1" spans="1:37" x14ac:dyDescent="0.25">
      <c r="A847" s="344"/>
      <c r="B847" s="4"/>
      <c r="C847" s="4"/>
      <c r="D847" s="4"/>
      <c r="E847" s="4"/>
      <c r="F847" s="4"/>
      <c r="G847" s="4"/>
      <c r="H847" s="4"/>
      <c r="I847" s="4"/>
      <c r="J847" s="4"/>
      <c r="K847" s="4"/>
      <c r="L847" s="4"/>
      <c r="M847" s="4"/>
      <c r="N847" s="4"/>
      <c r="O847" s="4"/>
      <c r="P847" s="4"/>
      <c r="Q847" s="4"/>
      <c r="R847" s="4"/>
      <c r="S847" s="4"/>
      <c r="T847" s="4"/>
      <c r="U847" s="4"/>
      <c r="V847" s="4"/>
      <c r="W847" s="4"/>
      <c r="X847" s="4"/>
      <c r="Y847" s="4"/>
      <c r="Z847" s="4"/>
      <c r="AA847" s="4"/>
      <c r="AB847" s="4"/>
      <c r="AC847" s="4"/>
      <c r="AD847" s="4"/>
      <c r="AE847" s="4"/>
      <c r="AF847" s="4"/>
      <c r="AG847" s="4"/>
      <c r="AH847" s="4"/>
      <c r="AI847" s="4"/>
      <c r="AJ847" s="4"/>
      <c r="AK847" s="4"/>
    </row>
    <row r="848" ht="13.5" customHeight="1" spans="1:37" x14ac:dyDescent="0.25">
      <c r="A848" s="344"/>
      <c r="B848" s="4"/>
      <c r="C848" s="4"/>
      <c r="D848" s="4"/>
      <c r="E848" s="4"/>
      <c r="F848" s="4"/>
      <c r="G848" s="4"/>
      <c r="H848" s="4"/>
      <c r="I848" s="4"/>
      <c r="J848" s="4"/>
      <c r="K848" s="4"/>
      <c r="L848" s="4"/>
      <c r="M848" s="4"/>
      <c r="N848" s="4"/>
      <c r="O848" s="4"/>
      <c r="P848" s="4"/>
      <c r="Q848" s="4"/>
      <c r="R848" s="4"/>
      <c r="S848" s="4"/>
      <c r="T848" s="4"/>
      <c r="U848" s="4"/>
      <c r="V848" s="4"/>
      <c r="W848" s="4"/>
      <c r="X848" s="4"/>
      <c r="Y848" s="4"/>
      <c r="Z848" s="4"/>
      <c r="AA848" s="4"/>
      <c r="AB848" s="4"/>
      <c r="AC848" s="4"/>
      <c r="AD848" s="4"/>
      <c r="AE848" s="4"/>
      <c r="AF848" s="4"/>
      <c r="AG848" s="4"/>
      <c r="AH848" s="4"/>
      <c r="AI848" s="4"/>
      <c r="AJ848" s="4"/>
      <c r="AK848" s="4"/>
    </row>
    <row r="849" ht="13.5" customHeight="1" spans="1:37" x14ac:dyDescent="0.25">
      <c r="A849" s="344"/>
      <c r="B849" s="4"/>
      <c r="C849" s="4"/>
      <c r="D849" s="4"/>
      <c r="E849" s="4"/>
      <c r="F849" s="4"/>
      <c r="G849" s="4"/>
      <c r="H849" s="4"/>
      <c r="I849" s="4"/>
      <c r="J849" s="4"/>
      <c r="K849" s="4"/>
      <c r="L849" s="4"/>
      <c r="M849" s="4"/>
      <c r="N849" s="4"/>
      <c r="O849" s="4"/>
      <c r="P849" s="4"/>
      <c r="Q849" s="4"/>
      <c r="R849" s="4"/>
      <c r="S849" s="4"/>
      <c r="T849" s="4"/>
      <c r="U849" s="4"/>
      <c r="V849" s="4"/>
      <c r="W849" s="4"/>
      <c r="X849" s="4"/>
      <c r="Y849" s="4"/>
      <c r="Z849" s="4"/>
      <c r="AA849" s="4"/>
      <c r="AB849" s="4"/>
      <c r="AC849" s="4"/>
      <c r="AD849" s="4"/>
      <c r="AE849" s="4"/>
      <c r="AF849" s="4"/>
      <c r="AG849" s="4"/>
      <c r="AH849" s="4"/>
      <c r="AI849" s="4"/>
      <c r="AJ849" s="4"/>
      <c r="AK849" s="4"/>
    </row>
    <row r="850" ht="13.5" customHeight="1" spans="1:37" x14ac:dyDescent="0.25">
      <c r="A850" s="344"/>
      <c r="B850" s="4"/>
      <c r="C850" s="4"/>
      <c r="D850" s="4"/>
      <c r="E850" s="4"/>
      <c r="F850" s="4"/>
      <c r="G850" s="4"/>
      <c r="H850" s="4"/>
      <c r="I850" s="4"/>
      <c r="J850" s="4"/>
      <c r="K850" s="4"/>
      <c r="L850" s="4"/>
      <c r="M850" s="4"/>
      <c r="N850" s="4"/>
      <c r="O850" s="4"/>
      <c r="P850" s="4"/>
      <c r="Q850" s="4"/>
      <c r="R850" s="4"/>
      <c r="S850" s="4"/>
      <c r="T850" s="4"/>
      <c r="U850" s="4"/>
      <c r="V850" s="4"/>
      <c r="W850" s="4"/>
      <c r="X850" s="4"/>
      <c r="Y850" s="4"/>
      <c r="Z850" s="4"/>
      <c r="AA850" s="4"/>
      <c r="AB850" s="4"/>
      <c r="AC850" s="4"/>
      <c r="AD850" s="4"/>
      <c r="AE850" s="4"/>
      <c r="AF850" s="4"/>
      <c r="AG850" s="4"/>
      <c r="AH850" s="4"/>
      <c r="AI850" s="4"/>
      <c r="AJ850" s="4"/>
      <c r="AK850" s="4"/>
    </row>
    <row r="851" ht="13.5" customHeight="1" spans="1:37" x14ac:dyDescent="0.25">
      <c r="A851" s="344"/>
      <c r="B851" s="4"/>
      <c r="C851" s="4"/>
      <c r="D851" s="4"/>
      <c r="E851" s="4"/>
      <c r="F851" s="4"/>
      <c r="G851" s="4"/>
      <c r="H851" s="4"/>
      <c r="I851" s="4"/>
      <c r="J851" s="4"/>
      <c r="K851" s="4"/>
      <c r="L851" s="4"/>
      <c r="M851" s="4"/>
      <c r="N851" s="4"/>
      <c r="O851" s="4"/>
      <c r="P851" s="4"/>
      <c r="Q851" s="4"/>
      <c r="R851" s="4"/>
      <c r="S851" s="4"/>
      <c r="T851" s="4"/>
      <c r="U851" s="4"/>
      <c r="V851" s="4"/>
      <c r="W851" s="4"/>
      <c r="X851" s="4"/>
      <c r="Y851" s="4"/>
      <c r="Z851" s="4"/>
      <c r="AA851" s="4"/>
      <c r="AB851" s="4"/>
      <c r="AC851" s="4"/>
      <c r="AD851" s="4"/>
      <c r="AE851" s="4"/>
      <c r="AF851" s="4"/>
      <c r="AG851" s="4"/>
      <c r="AH851" s="4"/>
      <c r="AI851" s="4"/>
      <c r="AJ851" s="4"/>
      <c r="AK851" s="4"/>
    </row>
    <row r="852" ht="13.5" customHeight="1" spans="1:37" x14ac:dyDescent="0.25">
      <c r="A852" s="344"/>
      <c r="B852" s="4"/>
      <c r="C852" s="4"/>
      <c r="D852" s="4"/>
      <c r="E852" s="4"/>
      <c r="F852" s="4"/>
      <c r="G852" s="4"/>
      <c r="H852" s="4"/>
      <c r="I852" s="4"/>
      <c r="J852" s="4"/>
      <c r="K852" s="4"/>
      <c r="L852" s="4"/>
      <c r="M852" s="4"/>
      <c r="N852" s="4"/>
      <c r="O852" s="4"/>
      <c r="P852" s="4"/>
      <c r="Q852" s="4"/>
      <c r="R852" s="4"/>
      <c r="S852" s="4"/>
      <c r="T852" s="4"/>
      <c r="U852" s="4"/>
      <c r="V852" s="4"/>
      <c r="W852" s="4"/>
      <c r="X852" s="4"/>
      <c r="Y852" s="4"/>
      <c r="Z852" s="4"/>
      <c r="AA852" s="4"/>
      <c r="AB852" s="4"/>
      <c r="AC852" s="4"/>
      <c r="AD852" s="4"/>
      <c r="AE852" s="4"/>
      <c r="AF852" s="4"/>
      <c r="AG852" s="4"/>
      <c r="AH852" s="4"/>
      <c r="AI852" s="4"/>
      <c r="AJ852" s="4"/>
      <c r="AK852" s="4"/>
    </row>
    <row r="853" ht="13.5" customHeight="1" spans="1:37" x14ac:dyDescent="0.25">
      <c r="A853" s="344"/>
      <c r="B853" s="4"/>
      <c r="C853" s="4"/>
      <c r="D853" s="4"/>
      <c r="E853" s="4"/>
      <c r="F853" s="4"/>
      <c r="G853" s="4"/>
      <c r="H853" s="4"/>
      <c r="I853" s="4"/>
      <c r="J853" s="4"/>
      <c r="K853" s="4"/>
      <c r="L853" s="4"/>
      <c r="M853" s="4"/>
      <c r="N853" s="4"/>
      <c r="O853" s="4"/>
      <c r="P853" s="4"/>
      <c r="Q853" s="4"/>
      <c r="R853" s="4"/>
      <c r="S853" s="4"/>
      <c r="T853" s="4"/>
      <c r="U853" s="4"/>
      <c r="V853" s="4"/>
      <c r="W853" s="4"/>
      <c r="X853" s="4"/>
      <c r="Y853" s="4"/>
      <c r="Z853" s="4"/>
      <c r="AA853" s="4"/>
      <c r="AB853" s="4"/>
      <c r="AC853" s="4"/>
      <c r="AD853" s="4"/>
      <c r="AE853" s="4"/>
      <c r="AF853" s="4"/>
      <c r="AG853" s="4"/>
      <c r="AH853" s="4"/>
      <c r="AI853" s="4"/>
      <c r="AJ853" s="4"/>
      <c r="AK853" s="4"/>
    </row>
    <row r="854" ht="13.5" customHeight="1" spans="1:37" x14ac:dyDescent="0.25">
      <c r="A854" s="344"/>
      <c r="B854" s="4"/>
      <c r="C854" s="4"/>
      <c r="D854" s="4"/>
      <c r="E854" s="4"/>
      <c r="F854" s="4"/>
      <c r="G854" s="4"/>
      <c r="H854" s="4"/>
      <c r="I854" s="4"/>
      <c r="J854" s="4"/>
      <c r="K854" s="4"/>
      <c r="L854" s="4"/>
      <c r="M854" s="4"/>
      <c r="N854" s="4"/>
      <c r="O854" s="4"/>
      <c r="P854" s="4"/>
      <c r="Q854" s="4"/>
      <c r="R854" s="4"/>
      <c r="S854" s="4"/>
      <c r="T854" s="4"/>
      <c r="U854" s="4"/>
      <c r="V854" s="4"/>
      <c r="W854" s="4"/>
      <c r="X854" s="4"/>
      <c r="Y854" s="4"/>
      <c r="Z854" s="4"/>
      <c r="AA854" s="4"/>
      <c r="AB854" s="4"/>
      <c r="AC854" s="4"/>
      <c r="AD854" s="4"/>
      <c r="AE854" s="4"/>
      <c r="AF854" s="4"/>
      <c r="AG854" s="4"/>
      <c r="AH854" s="4"/>
      <c r="AI854" s="4"/>
      <c r="AJ854" s="4"/>
      <c r="AK854" s="4"/>
    </row>
    <row r="855" ht="13.5" customHeight="1" spans="1:37" x14ac:dyDescent="0.25">
      <c r="A855" s="344"/>
      <c r="B855" s="4"/>
      <c r="C855" s="4"/>
      <c r="D855" s="4"/>
      <c r="E855" s="4"/>
      <c r="F855" s="4"/>
      <c r="G855" s="4"/>
      <c r="H855" s="4"/>
      <c r="I855" s="4"/>
      <c r="J855" s="4"/>
      <c r="K855" s="4"/>
      <c r="L855" s="4"/>
      <c r="M855" s="4"/>
      <c r="N855" s="4"/>
      <c r="O855" s="4"/>
      <c r="P855" s="4"/>
      <c r="Q855" s="4"/>
      <c r="R855" s="4"/>
      <c r="S855" s="4"/>
      <c r="T855" s="4"/>
      <c r="U855" s="4"/>
      <c r="V855" s="4"/>
      <c r="W855" s="4"/>
      <c r="X855" s="4"/>
      <c r="Y855" s="4"/>
      <c r="Z855" s="4"/>
      <c r="AA855" s="4"/>
      <c r="AB855" s="4"/>
      <c r="AC855" s="4"/>
      <c r="AD855" s="4"/>
      <c r="AE855" s="4"/>
      <c r="AF855" s="4"/>
      <c r="AG855" s="4"/>
      <c r="AH855" s="4"/>
      <c r="AI855" s="4"/>
      <c r="AJ855" s="4"/>
      <c r="AK855" s="4"/>
    </row>
    <row r="856" ht="13.5" customHeight="1" spans="1:37" x14ac:dyDescent="0.25">
      <c r="A856" s="344"/>
      <c r="B856" s="4"/>
      <c r="C856" s="4"/>
      <c r="D856" s="4"/>
      <c r="E856" s="4"/>
      <c r="F856" s="4"/>
      <c r="G856" s="4"/>
      <c r="H856" s="4"/>
      <c r="I856" s="4"/>
      <c r="J856" s="4"/>
      <c r="K856" s="4"/>
      <c r="L856" s="4"/>
      <c r="M856" s="4"/>
      <c r="N856" s="4"/>
      <c r="O856" s="4"/>
      <c r="P856" s="4"/>
      <c r="Q856" s="4"/>
      <c r="R856" s="4"/>
      <c r="S856" s="4"/>
      <c r="T856" s="4"/>
      <c r="U856" s="4"/>
      <c r="V856" s="4"/>
      <c r="W856" s="4"/>
      <c r="X856" s="4"/>
      <c r="Y856" s="4"/>
      <c r="Z856" s="4"/>
      <c r="AA856" s="4"/>
      <c r="AB856" s="4"/>
      <c r="AC856" s="4"/>
      <c r="AD856" s="4"/>
      <c r="AE856" s="4"/>
      <c r="AF856" s="4"/>
      <c r="AG856" s="4"/>
      <c r="AH856" s="4"/>
      <c r="AI856" s="4"/>
      <c r="AJ856" s="4"/>
      <c r="AK856" s="4"/>
    </row>
    <row r="857" ht="13.5" customHeight="1" spans="1:37" x14ac:dyDescent="0.25">
      <c r="A857" s="344"/>
      <c r="B857" s="4"/>
      <c r="C857" s="4"/>
      <c r="D857" s="4"/>
      <c r="E857" s="4"/>
      <c r="F857" s="4"/>
      <c r="G857" s="4"/>
      <c r="H857" s="4"/>
      <c r="I857" s="4"/>
      <c r="J857" s="4"/>
      <c r="K857" s="4"/>
      <c r="L857" s="4"/>
      <c r="M857" s="4"/>
      <c r="N857" s="4"/>
      <c r="O857" s="4"/>
      <c r="P857" s="4"/>
      <c r="Q857" s="4"/>
      <c r="R857" s="4"/>
      <c r="S857" s="4"/>
      <c r="T857" s="4"/>
      <c r="U857" s="4"/>
      <c r="V857" s="4"/>
      <c r="W857" s="4"/>
      <c r="X857" s="4"/>
      <c r="Y857" s="4"/>
      <c r="Z857" s="4"/>
      <c r="AA857" s="4"/>
      <c r="AB857" s="4"/>
      <c r="AC857" s="4"/>
      <c r="AD857" s="4"/>
      <c r="AE857" s="4"/>
      <c r="AF857" s="4"/>
      <c r="AG857" s="4"/>
      <c r="AH857" s="4"/>
      <c r="AI857" s="4"/>
      <c r="AJ857" s="4"/>
      <c r="AK857" s="4"/>
    </row>
    <row r="858" ht="13.5" customHeight="1" spans="1:37" x14ac:dyDescent="0.25">
      <c r="A858" s="344"/>
      <c r="B858" s="4"/>
      <c r="C858" s="4"/>
      <c r="D858" s="4"/>
      <c r="E858" s="4"/>
      <c r="F858" s="4"/>
      <c r="G858" s="4"/>
      <c r="H858" s="4"/>
      <c r="I858" s="4"/>
      <c r="J858" s="4"/>
      <c r="K858" s="4"/>
      <c r="L858" s="4"/>
      <c r="M858" s="4"/>
      <c r="N858" s="4"/>
      <c r="O858" s="4"/>
      <c r="P858" s="4"/>
      <c r="Q858" s="4"/>
      <c r="R858" s="4"/>
      <c r="S858" s="4"/>
      <c r="T858" s="4"/>
      <c r="U858" s="4"/>
      <c r="V858" s="4"/>
      <c r="W858" s="4"/>
      <c r="X858" s="4"/>
      <c r="Y858" s="4"/>
      <c r="Z858" s="4"/>
      <c r="AA858" s="4"/>
      <c r="AB858" s="4"/>
      <c r="AC858" s="4"/>
      <c r="AD858" s="4"/>
      <c r="AE858" s="4"/>
      <c r="AF858" s="4"/>
      <c r="AG858" s="4"/>
      <c r="AH858" s="4"/>
      <c r="AI858" s="4"/>
      <c r="AJ858" s="4"/>
      <c r="AK858" s="4"/>
    </row>
    <row r="859" ht="13.5" customHeight="1" spans="1:37" x14ac:dyDescent="0.25">
      <c r="A859" s="344"/>
      <c r="B859" s="4"/>
      <c r="C859" s="4"/>
      <c r="D859" s="4"/>
      <c r="E859" s="4"/>
      <c r="F859" s="4"/>
      <c r="G859" s="4"/>
      <c r="H859" s="4"/>
      <c r="I859" s="4"/>
      <c r="J859" s="4"/>
      <c r="K859" s="4"/>
      <c r="L859" s="4"/>
      <c r="M859" s="4"/>
      <c r="N859" s="4"/>
      <c r="O859" s="4"/>
      <c r="P859" s="4"/>
      <c r="Q859" s="4"/>
      <c r="R859" s="4"/>
      <c r="S859" s="4"/>
      <c r="T859" s="4"/>
      <c r="U859" s="4"/>
      <c r="V859" s="4"/>
      <c r="W859" s="4"/>
      <c r="X859" s="4"/>
      <c r="Y859" s="4"/>
      <c r="Z859" s="4"/>
      <c r="AA859" s="4"/>
      <c r="AB859" s="4"/>
      <c r="AC859" s="4"/>
      <c r="AD859" s="4"/>
      <c r="AE859" s="4"/>
      <c r="AF859" s="4"/>
      <c r="AG859" s="4"/>
      <c r="AH859" s="4"/>
      <c r="AI859" s="4"/>
      <c r="AJ859" s="4"/>
      <c r="AK859" s="4"/>
    </row>
    <row r="860" ht="13.5" customHeight="1" spans="1:37" x14ac:dyDescent="0.25">
      <c r="A860" s="344"/>
      <c r="B860" s="4"/>
      <c r="C860" s="4"/>
      <c r="D860" s="4"/>
      <c r="E860" s="4"/>
      <c r="F860" s="4"/>
      <c r="G860" s="4"/>
      <c r="H860" s="4"/>
      <c r="I860" s="4"/>
      <c r="J860" s="4"/>
      <c r="K860" s="4"/>
      <c r="L860" s="4"/>
      <c r="M860" s="4"/>
      <c r="N860" s="4"/>
      <c r="O860" s="4"/>
      <c r="P860" s="4"/>
      <c r="Q860" s="4"/>
      <c r="R860" s="4"/>
      <c r="S860" s="4"/>
      <c r="T860" s="4"/>
      <c r="U860" s="4"/>
      <c r="V860" s="4"/>
      <c r="W860" s="4"/>
      <c r="X860" s="4"/>
      <c r="Y860" s="4"/>
      <c r="Z860" s="4"/>
      <c r="AA860" s="4"/>
      <c r="AB860" s="4"/>
      <c r="AC860" s="4"/>
      <c r="AD860" s="4"/>
      <c r="AE860" s="4"/>
      <c r="AF860" s="4"/>
      <c r="AG860" s="4"/>
      <c r="AH860" s="4"/>
      <c r="AI860" s="4"/>
      <c r="AJ860" s="4"/>
      <c r="AK860" s="4"/>
    </row>
    <row r="861" ht="13.5" customHeight="1" spans="1:37" x14ac:dyDescent="0.25">
      <c r="A861" s="344"/>
      <c r="B861" s="4"/>
      <c r="C861" s="4"/>
      <c r="D861" s="4"/>
      <c r="E861" s="4"/>
      <c r="F861" s="4"/>
      <c r="G861" s="4"/>
      <c r="H861" s="4"/>
      <c r="I861" s="4"/>
      <c r="J861" s="4"/>
      <c r="K861" s="4"/>
      <c r="L861" s="4"/>
      <c r="M861" s="4"/>
      <c r="N861" s="4"/>
      <c r="O861" s="4"/>
      <c r="P861" s="4"/>
      <c r="Q861" s="4"/>
      <c r="R861" s="4"/>
      <c r="S861" s="4"/>
      <c r="T861" s="4"/>
      <c r="U861" s="4"/>
      <c r="V861" s="4"/>
      <c r="W861" s="4"/>
      <c r="X861" s="4"/>
      <c r="Y861" s="4"/>
      <c r="Z861" s="4"/>
      <c r="AA861" s="4"/>
      <c r="AB861" s="4"/>
      <c r="AC861" s="4"/>
      <c r="AD861" s="4"/>
      <c r="AE861" s="4"/>
      <c r="AF861" s="4"/>
      <c r="AG861" s="4"/>
      <c r="AH861" s="4"/>
      <c r="AI861" s="4"/>
      <c r="AJ861" s="4"/>
      <c r="AK861" s="4"/>
    </row>
    <row r="862" ht="13.5" customHeight="1" spans="1:37" x14ac:dyDescent="0.25">
      <c r="A862" s="344"/>
      <c r="B862" s="4"/>
      <c r="C862" s="4"/>
      <c r="D862" s="4"/>
      <c r="E862" s="4"/>
      <c r="F862" s="4"/>
      <c r="G862" s="4"/>
      <c r="H862" s="4"/>
      <c r="I862" s="4"/>
      <c r="J862" s="4"/>
      <c r="K862" s="4"/>
      <c r="L862" s="4"/>
      <c r="M862" s="4"/>
      <c r="N862" s="4"/>
      <c r="O862" s="4"/>
      <c r="P862" s="4"/>
      <c r="Q862" s="4"/>
      <c r="R862" s="4"/>
      <c r="S862" s="4"/>
      <c r="T862" s="4"/>
      <c r="U862" s="4"/>
      <c r="V862" s="4"/>
      <c r="W862" s="4"/>
      <c r="X862" s="4"/>
      <c r="Y862" s="4"/>
      <c r="Z862" s="4"/>
      <c r="AA862" s="4"/>
      <c r="AB862" s="4"/>
      <c r="AC862" s="4"/>
      <c r="AD862" s="4"/>
      <c r="AE862" s="4"/>
      <c r="AF862" s="4"/>
      <c r="AG862" s="4"/>
      <c r="AH862" s="4"/>
      <c r="AI862" s="4"/>
      <c r="AJ862" s="4"/>
      <c r="AK862" s="4"/>
    </row>
    <row r="863" ht="13.5" customHeight="1" spans="1:37" x14ac:dyDescent="0.25">
      <c r="A863" s="344"/>
      <c r="B863" s="4"/>
      <c r="C863" s="4"/>
      <c r="D863" s="4"/>
      <c r="E863" s="4"/>
      <c r="F863" s="4"/>
      <c r="G863" s="4"/>
      <c r="H863" s="4"/>
      <c r="I863" s="4"/>
      <c r="J863" s="4"/>
      <c r="K863" s="4"/>
      <c r="L863" s="4"/>
      <c r="M863" s="4"/>
      <c r="N863" s="4"/>
      <c r="O863" s="4"/>
      <c r="P863" s="4"/>
      <c r="Q863" s="4"/>
      <c r="R863" s="4"/>
      <c r="S863" s="4"/>
      <c r="T863" s="4"/>
      <c r="U863" s="4"/>
      <c r="V863" s="4"/>
      <c r="W863" s="4"/>
      <c r="X863" s="4"/>
      <c r="Y863" s="4"/>
      <c r="Z863" s="4"/>
      <c r="AA863" s="4"/>
      <c r="AB863" s="4"/>
      <c r="AC863" s="4"/>
      <c r="AD863" s="4"/>
      <c r="AE863" s="4"/>
      <c r="AF863" s="4"/>
      <c r="AG863" s="4"/>
      <c r="AH863" s="4"/>
      <c r="AI863" s="4"/>
      <c r="AJ863" s="4"/>
      <c r="AK863" s="4"/>
    </row>
    <row r="864" ht="13.5" customHeight="1" spans="1:37" x14ac:dyDescent="0.25">
      <c r="A864" s="344"/>
      <c r="B864" s="4"/>
      <c r="C864" s="4"/>
      <c r="D864" s="4"/>
      <c r="E864" s="4"/>
      <c r="F864" s="4"/>
      <c r="G864" s="4"/>
      <c r="H864" s="4"/>
      <c r="I864" s="4"/>
      <c r="J864" s="4"/>
      <c r="K864" s="4"/>
      <c r="L864" s="4"/>
      <c r="M864" s="4"/>
      <c r="N864" s="4"/>
      <c r="O864" s="4"/>
      <c r="P864" s="4"/>
      <c r="Q864" s="4"/>
      <c r="R864" s="4"/>
      <c r="S864" s="4"/>
      <c r="T864" s="4"/>
      <c r="U864" s="4"/>
      <c r="V864" s="4"/>
      <c r="W864" s="4"/>
      <c r="X864" s="4"/>
      <c r="Y864" s="4"/>
      <c r="Z864" s="4"/>
      <c r="AA864" s="4"/>
      <c r="AB864" s="4"/>
      <c r="AC864" s="4"/>
      <c r="AD864" s="4"/>
      <c r="AE864" s="4"/>
      <c r="AF864" s="4"/>
      <c r="AG864" s="4"/>
      <c r="AH864" s="4"/>
      <c r="AI864" s="4"/>
      <c r="AJ864" s="4"/>
      <c r="AK864" s="4"/>
    </row>
    <row r="865" ht="13.5" customHeight="1" spans="1:37" x14ac:dyDescent="0.25">
      <c r="A865" s="344"/>
      <c r="B865" s="4"/>
      <c r="C865" s="4"/>
      <c r="D865" s="4"/>
      <c r="E865" s="4"/>
      <c r="F865" s="4"/>
      <c r="G865" s="4"/>
      <c r="H865" s="4"/>
      <c r="I865" s="4"/>
      <c r="J865" s="4"/>
      <c r="K865" s="4"/>
      <c r="L865" s="4"/>
      <c r="M865" s="4"/>
      <c r="N865" s="4"/>
      <c r="O865" s="4"/>
      <c r="P865" s="4"/>
      <c r="Q865" s="4"/>
      <c r="R865" s="4"/>
      <c r="S865" s="4"/>
      <c r="T865" s="4"/>
      <c r="U865" s="4"/>
      <c r="V865" s="4"/>
      <c r="W865" s="4"/>
      <c r="X865" s="4"/>
      <c r="Y865" s="4"/>
      <c r="Z865" s="4"/>
      <c r="AA865" s="4"/>
      <c r="AB865" s="4"/>
      <c r="AC865" s="4"/>
      <c r="AD865" s="4"/>
      <c r="AE865" s="4"/>
      <c r="AF865" s="4"/>
      <c r="AG865" s="4"/>
      <c r="AH865" s="4"/>
      <c r="AI865" s="4"/>
      <c r="AJ865" s="4"/>
      <c r="AK865" s="4"/>
    </row>
    <row r="866" ht="13.5" customHeight="1" spans="1:37" x14ac:dyDescent="0.25">
      <c r="A866" s="344"/>
      <c r="B866" s="4"/>
      <c r="C866" s="4"/>
      <c r="D866" s="4"/>
      <c r="E866" s="4"/>
      <c r="F866" s="4"/>
      <c r="G866" s="4"/>
      <c r="H866" s="4"/>
      <c r="I866" s="4"/>
      <c r="J866" s="4"/>
      <c r="K866" s="4"/>
      <c r="L866" s="4"/>
      <c r="M866" s="4"/>
      <c r="N866" s="4"/>
      <c r="O866" s="4"/>
      <c r="P866" s="4"/>
      <c r="Q866" s="4"/>
      <c r="R866" s="4"/>
      <c r="S866" s="4"/>
      <c r="T866" s="4"/>
      <c r="U866" s="4"/>
      <c r="V866" s="4"/>
      <c r="W866" s="4"/>
      <c r="X866" s="4"/>
      <c r="Y866" s="4"/>
      <c r="Z866" s="4"/>
      <c r="AA866" s="4"/>
      <c r="AB866" s="4"/>
      <c r="AC866" s="4"/>
      <c r="AD866" s="4"/>
      <c r="AE866" s="4"/>
      <c r="AF866" s="4"/>
      <c r="AG866" s="4"/>
      <c r="AH866" s="4"/>
      <c r="AI866" s="4"/>
      <c r="AJ866" s="4"/>
      <c r="AK866" s="4"/>
    </row>
    <row r="867" ht="13.5" customHeight="1" spans="1:37" x14ac:dyDescent="0.25">
      <c r="A867" s="344"/>
      <c r="B867" s="4"/>
      <c r="C867" s="4"/>
      <c r="D867" s="4"/>
      <c r="E867" s="4"/>
      <c r="F867" s="4"/>
      <c r="G867" s="4"/>
      <c r="H867" s="4"/>
      <c r="I867" s="4"/>
      <c r="J867" s="4"/>
      <c r="K867" s="4"/>
      <c r="L867" s="4"/>
      <c r="M867" s="4"/>
      <c r="N867" s="4"/>
      <c r="O867" s="4"/>
      <c r="P867" s="4"/>
      <c r="Q867" s="4"/>
      <c r="R867" s="4"/>
      <c r="S867" s="4"/>
      <c r="T867" s="4"/>
      <c r="U867" s="4"/>
      <c r="V867" s="4"/>
      <c r="W867" s="4"/>
      <c r="X867" s="4"/>
      <c r="Y867" s="4"/>
      <c r="Z867" s="4"/>
      <c r="AA867" s="4"/>
      <c r="AB867" s="4"/>
      <c r="AC867" s="4"/>
      <c r="AD867" s="4"/>
      <c r="AE867" s="4"/>
      <c r="AF867" s="4"/>
      <c r="AG867" s="4"/>
      <c r="AH867" s="4"/>
      <c r="AI867" s="4"/>
      <c r="AJ867" s="4"/>
      <c r="AK867" s="4"/>
    </row>
    <row r="868" ht="13.5" customHeight="1" spans="1:37" x14ac:dyDescent="0.25">
      <c r="A868" s="344"/>
      <c r="B868" s="4"/>
      <c r="C868" s="4"/>
      <c r="D868" s="4"/>
      <c r="E868" s="4"/>
      <c r="F868" s="4"/>
      <c r="G868" s="4"/>
      <c r="H868" s="4"/>
      <c r="I868" s="4"/>
      <c r="J868" s="4"/>
      <c r="K868" s="4"/>
      <c r="L868" s="4"/>
      <c r="M868" s="4"/>
      <c r="N868" s="4"/>
      <c r="O868" s="4"/>
      <c r="P868" s="4"/>
      <c r="Q868" s="4"/>
      <c r="R868" s="4"/>
      <c r="S868" s="4"/>
      <c r="T868" s="4"/>
      <c r="U868" s="4"/>
      <c r="V868" s="4"/>
      <c r="W868" s="4"/>
      <c r="X868" s="4"/>
      <c r="Y868" s="4"/>
      <c r="Z868" s="4"/>
      <c r="AA868" s="4"/>
      <c r="AB868" s="4"/>
      <c r="AC868" s="4"/>
      <c r="AD868" s="4"/>
      <c r="AE868" s="4"/>
      <c r="AF868" s="4"/>
      <c r="AG868" s="4"/>
      <c r="AH868" s="4"/>
      <c r="AI868" s="4"/>
      <c r="AJ868" s="4"/>
      <c r="AK868" s="4"/>
    </row>
    <row r="869" ht="13.5" customHeight="1" spans="1:37" x14ac:dyDescent="0.25">
      <c r="A869" s="344"/>
      <c r="B869" s="4"/>
      <c r="C869" s="4"/>
      <c r="D869" s="4"/>
      <c r="E869" s="4"/>
      <c r="F869" s="4"/>
      <c r="G869" s="4"/>
      <c r="H869" s="4"/>
      <c r="I869" s="4"/>
      <c r="J869" s="4"/>
      <c r="K869" s="4"/>
      <c r="L869" s="4"/>
      <c r="M869" s="4"/>
      <c r="N869" s="4"/>
      <c r="O869" s="4"/>
      <c r="P869" s="4"/>
      <c r="Q869" s="4"/>
      <c r="R869" s="4"/>
      <c r="S869" s="4"/>
      <c r="T869" s="4"/>
      <c r="U869" s="4"/>
      <c r="V869" s="4"/>
      <c r="W869" s="4"/>
      <c r="X869" s="4"/>
      <c r="Y869" s="4"/>
      <c r="Z869" s="4"/>
      <c r="AA869" s="4"/>
      <c r="AB869" s="4"/>
      <c r="AC869" s="4"/>
      <c r="AD869" s="4"/>
      <c r="AE869" s="4"/>
      <c r="AF869" s="4"/>
      <c r="AG869" s="4"/>
      <c r="AH869" s="4"/>
      <c r="AI869" s="4"/>
      <c r="AJ869" s="4"/>
      <c r="AK869" s="4"/>
    </row>
    <row r="870" ht="13.5" customHeight="1" spans="1:37" x14ac:dyDescent="0.25">
      <c r="A870" s="344"/>
      <c r="B870" s="4"/>
      <c r="C870" s="4"/>
      <c r="D870" s="4"/>
      <c r="E870" s="4"/>
      <c r="F870" s="4"/>
      <c r="G870" s="4"/>
      <c r="H870" s="4"/>
      <c r="I870" s="4"/>
      <c r="J870" s="4"/>
      <c r="K870" s="4"/>
      <c r="L870" s="4"/>
      <c r="M870" s="4"/>
      <c r="N870" s="4"/>
      <c r="O870" s="4"/>
      <c r="P870" s="4"/>
      <c r="Q870" s="4"/>
      <c r="R870" s="4"/>
      <c r="S870" s="4"/>
      <c r="T870" s="4"/>
      <c r="U870" s="4"/>
      <c r="V870" s="4"/>
      <c r="W870" s="4"/>
      <c r="X870" s="4"/>
      <c r="Y870" s="4"/>
      <c r="Z870" s="4"/>
      <c r="AA870" s="4"/>
      <c r="AB870" s="4"/>
      <c r="AC870" s="4"/>
      <c r="AD870" s="4"/>
      <c r="AE870" s="4"/>
      <c r="AF870" s="4"/>
      <c r="AG870" s="4"/>
      <c r="AH870" s="4"/>
      <c r="AI870" s="4"/>
      <c r="AJ870" s="4"/>
      <c r="AK870" s="4"/>
    </row>
    <row r="871" ht="13.5" customHeight="1" spans="1:37" x14ac:dyDescent="0.25">
      <c r="A871" s="344"/>
      <c r="B871" s="4"/>
      <c r="C871" s="4"/>
      <c r="D871" s="4"/>
      <c r="E871" s="4"/>
      <c r="F871" s="4"/>
      <c r="G871" s="4"/>
      <c r="H871" s="4"/>
      <c r="I871" s="4"/>
      <c r="J871" s="4"/>
      <c r="K871" s="4"/>
      <c r="L871" s="4"/>
      <c r="M871" s="4"/>
      <c r="N871" s="4"/>
      <c r="O871" s="4"/>
      <c r="P871" s="4"/>
      <c r="Q871" s="4"/>
      <c r="R871" s="4"/>
      <c r="S871" s="4"/>
      <c r="T871" s="4"/>
      <c r="U871" s="4"/>
      <c r="V871" s="4"/>
      <c r="W871" s="4"/>
      <c r="X871" s="4"/>
      <c r="Y871" s="4"/>
      <c r="Z871" s="4"/>
      <c r="AA871" s="4"/>
      <c r="AB871" s="4"/>
      <c r="AC871" s="4"/>
      <c r="AD871" s="4"/>
      <c r="AE871" s="4"/>
      <c r="AF871" s="4"/>
      <c r="AG871" s="4"/>
      <c r="AH871" s="4"/>
      <c r="AI871" s="4"/>
      <c r="AJ871" s="4"/>
      <c r="AK871" s="4"/>
    </row>
    <row r="872" ht="13.5" customHeight="1" spans="1:37" x14ac:dyDescent="0.25">
      <c r="A872" s="344"/>
      <c r="B872" s="4"/>
      <c r="C872" s="4"/>
      <c r="D872" s="4"/>
      <c r="E872" s="4"/>
      <c r="F872" s="4"/>
      <c r="G872" s="4"/>
      <c r="H872" s="4"/>
      <c r="I872" s="4"/>
      <c r="J872" s="4"/>
      <c r="K872" s="4"/>
      <c r="L872" s="4"/>
      <c r="M872" s="4"/>
      <c r="N872" s="4"/>
      <c r="O872" s="4"/>
      <c r="P872" s="4"/>
      <c r="Q872" s="4"/>
      <c r="R872" s="4"/>
      <c r="S872" s="4"/>
      <c r="T872" s="4"/>
      <c r="U872" s="4"/>
      <c r="V872" s="4"/>
      <c r="W872" s="4"/>
      <c r="X872" s="4"/>
      <c r="Y872" s="4"/>
      <c r="Z872" s="4"/>
      <c r="AA872" s="4"/>
      <c r="AB872" s="4"/>
      <c r="AC872" s="4"/>
      <c r="AD872" s="4"/>
      <c r="AE872" s="4"/>
      <c r="AF872" s="4"/>
      <c r="AG872" s="4"/>
      <c r="AH872" s="4"/>
      <c r="AI872" s="4"/>
      <c r="AJ872" s="4"/>
      <c r="AK872" s="4"/>
    </row>
    <row r="873" ht="13.5" customHeight="1" spans="1:37" x14ac:dyDescent="0.25">
      <c r="A873" s="344"/>
      <c r="B873" s="4"/>
      <c r="C873" s="4"/>
      <c r="D873" s="4"/>
      <c r="E873" s="4"/>
      <c r="F873" s="4"/>
      <c r="G873" s="4"/>
      <c r="H873" s="4"/>
      <c r="I873" s="4"/>
      <c r="J873" s="4"/>
      <c r="K873" s="4"/>
      <c r="L873" s="4"/>
      <c r="M873" s="4"/>
      <c r="N873" s="4"/>
      <c r="O873" s="4"/>
      <c r="P873" s="4"/>
      <c r="Q873" s="4"/>
      <c r="R873" s="4"/>
      <c r="S873" s="4"/>
      <c r="T873" s="4"/>
      <c r="U873" s="4"/>
      <c r="V873" s="4"/>
      <c r="W873" s="4"/>
      <c r="X873" s="4"/>
      <c r="Y873" s="4"/>
      <c r="Z873" s="4"/>
      <c r="AA873" s="4"/>
      <c r="AB873" s="4"/>
      <c r="AC873" s="4"/>
      <c r="AD873" s="4"/>
      <c r="AE873" s="4"/>
      <c r="AF873" s="4"/>
      <c r="AG873" s="4"/>
      <c r="AH873" s="4"/>
      <c r="AI873" s="4"/>
      <c r="AJ873" s="4"/>
      <c r="AK873" s="4"/>
    </row>
    <row r="874" ht="13.5" customHeight="1" spans="1:37" x14ac:dyDescent="0.25">
      <c r="A874" s="344"/>
      <c r="B874" s="4"/>
      <c r="C874" s="4"/>
      <c r="D874" s="4"/>
      <c r="E874" s="4"/>
      <c r="F874" s="4"/>
      <c r="G874" s="4"/>
      <c r="H874" s="4"/>
      <c r="I874" s="4"/>
      <c r="J874" s="4"/>
      <c r="K874" s="4"/>
      <c r="L874" s="4"/>
      <c r="M874" s="4"/>
      <c r="N874" s="4"/>
      <c r="O874" s="4"/>
      <c r="P874" s="4"/>
      <c r="Q874" s="4"/>
      <c r="R874" s="4"/>
      <c r="S874" s="4"/>
      <c r="T874" s="4"/>
      <c r="U874" s="4"/>
      <c r="V874" s="4"/>
      <c r="W874" s="4"/>
      <c r="X874" s="4"/>
      <c r="Y874" s="4"/>
      <c r="Z874" s="4"/>
      <c r="AA874" s="4"/>
      <c r="AB874" s="4"/>
      <c r="AC874" s="4"/>
      <c r="AD874" s="4"/>
      <c r="AE874" s="4"/>
      <c r="AF874" s="4"/>
      <c r="AG874" s="4"/>
      <c r="AH874" s="4"/>
      <c r="AI874" s="4"/>
      <c r="AJ874" s="4"/>
      <c r="AK874" s="4"/>
    </row>
    <row r="875" ht="13.5" customHeight="1" spans="1:37" x14ac:dyDescent="0.25">
      <c r="A875" s="344"/>
      <c r="B875" s="4"/>
      <c r="C875" s="4"/>
      <c r="D875" s="4"/>
      <c r="E875" s="4"/>
      <c r="F875" s="4"/>
      <c r="G875" s="4"/>
      <c r="H875" s="4"/>
      <c r="I875" s="4"/>
      <c r="J875" s="4"/>
      <c r="K875" s="4"/>
      <c r="L875" s="4"/>
      <c r="M875" s="4"/>
      <c r="N875" s="4"/>
      <c r="O875" s="4"/>
      <c r="P875" s="4"/>
      <c r="Q875" s="4"/>
      <c r="R875" s="4"/>
      <c r="S875" s="4"/>
      <c r="T875" s="4"/>
      <c r="U875" s="4"/>
      <c r="V875" s="4"/>
      <c r="W875" s="4"/>
      <c r="X875" s="4"/>
      <c r="Y875" s="4"/>
      <c r="Z875" s="4"/>
      <c r="AA875" s="4"/>
      <c r="AB875" s="4"/>
      <c r="AC875" s="4"/>
      <c r="AD875" s="4"/>
      <c r="AE875" s="4"/>
      <c r="AF875" s="4"/>
      <c r="AG875" s="4"/>
      <c r="AH875" s="4"/>
      <c r="AI875" s="4"/>
      <c r="AJ875" s="4"/>
      <c r="AK875" s="4"/>
    </row>
    <row r="876" ht="13.5" customHeight="1" spans="1:37" x14ac:dyDescent="0.25">
      <c r="A876" s="344"/>
      <c r="B876" s="4"/>
      <c r="C876" s="4"/>
      <c r="D876" s="4"/>
      <c r="E876" s="4"/>
      <c r="F876" s="4"/>
      <c r="G876" s="4"/>
      <c r="H876" s="4"/>
      <c r="I876" s="4"/>
      <c r="J876" s="4"/>
      <c r="K876" s="4"/>
      <c r="L876" s="4"/>
      <c r="M876" s="4"/>
      <c r="N876" s="4"/>
      <c r="O876" s="4"/>
      <c r="P876" s="4"/>
      <c r="Q876" s="4"/>
      <c r="R876" s="4"/>
      <c r="S876" s="4"/>
      <c r="T876" s="4"/>
      <c r="U876" s="4"/>
      <c r="V876" s="4"/>
      <c r="W876" s="4"/>
      <c r="X876" s="4"/>
      <c r="Y876" s="4"/>
      <c r="Z876" s="4"/>
      <c r="AA876" s="4"/>
      <c r="AB876" s="4"/>
      <c r="AC876" s="4"/>
      <c r="AD876" s="4"/>
      <c r="AE876" s="4"/>
      <c r="AF876" s="4"/>
      <c r="AG876" s="4"/>
      <c r="AH876" s="4"/>
      <c r="AI876" s="4"/>
      <c r="AJ876" s="4"/>
      <c r="AK876" s="4"/>
    </row>
    <row r="877" ht="13.5" customHeight="1" spans="1:37" x14ac:dyDescent="0.25">
      <c r="A877" s="344"/>
      <c r="B877" s="4"/>
      <c r="C877" s="4"/>
      <c r="D877" s="4"/>
      <c r="E877" s="4"/>
      <c r="F877" s="4"/>
      <c r="G877" s="4"/>
      <c r="H877" s="4"/>
      <c r="I877" s="4"/>
      <c r="J877" s="4"/>
      <c r="K877" s="4"/>
      <c r="L877" s="4"/>
      <c r="M877" s="4"/>
      <c r="N877" s="4"/>
      <c r="O877" s="4"/>
      <c r="P877" s="4"/>
      <c r="Q877" s="4"/>
      <c r="R877" s="4"/>
      <c r="S877" s="4"/>
      <c r="T877" s="4"/>
      <c r="U877" s="4"/>
      <c r="V877" s="4"/>
      <c r="W877" s="4"/>
      <c r="X877" s="4"/>
      <c r="Y877" s="4"/>
      <c r="Z877" s="4"/>
      <c r="AA877" s="4"/>
      <c r="AB877" s="4"/>
      <c r="AC877" s="4"/>
      <c r="AD877" s="4"/>
      <c r="AE877" s="4"/>
      <c r="AF877" s="4"/>
      <c r="AG877" s="4"/>
      <c r="AH877" s="4"/>
      <c r="AI877" s="4"/>
      <c r="AJ877" s="4"/>
      <c r="AK877" s="4"/>
    </row>
    <row r="878" ht="13.5" customHeight="1" spans="1:37" x14ac:dyDescent="0.25">
      <c r="A878" s="344"/>
      <c r="B878" s="4"/>
      <c r="C878" s="4"/>
      <c r="D878" s="4"/>
      <c r="E878" s="4"/>
      <c r="F878" s="4"/>
      <c r="G878" s="4"/>
      <c r="H878" s="4"/>
      <c r="I878" s="4"/>
      <c r="J878" s="4"/>
      <c r="K878" s="4"/>
      <c r="L878" s="4"/>
      <c r="M878" s="4"/>
      <c r="N878" s="4"/>
      <c r="O878" s="4"/>
      <c r="P878" s="4"/>
      <c r="Q878" s="4"/>
      <c r="R878" s="4"/>
      <c r="S878" s="4"/>
      <c r="T878" s="4"/>
      <c r="U878" s="4"/>
      <c r="V878" s="4"/>
      <c r="W878" s="4"/>
      <c r="X878" s="4"/>
      <c r="Y878" s="4"/>
      <c r="Z878" s="4"/>
      <c r="AA878" s="4"/>
      <c r="AB878" s="4"/>
      <c r="AC878" s="4"/>
      <c r="AD878" s="4"/>
      <c r="AE878" s="4"/>
      <c r="AF878" s="4"/>
      <c r="AG878" s="4"/>
      <c r="AH878" s="4"/>
      <c r="AI878" s="4"/>
      <c r="AJ878" s="4"/>
      <c r="AK878" s="4"/>
    </row>
    <row r="879" ht="13.5" customHeight="1" spans="1:37" x14ac:dyDescent="0.25">
      <c r="A879" s="344"/>
      <c r="B879" s="4"/>
      <c r="C879" s="4"/>
      <c r="D879" s="4"/>
      <c r="E879" s="4"/>
      <c r="F879" s="4"/>
      <c r="G879" s="4"/>
      <c r="H879" s="4"/>
      <c r="I879" s="4"/>
      <c r="J879" s="4"/>
      <c r="K879" s="4"/>
      <c r="L879" s="4"/>
      <c r="M879" s="4"/>
      <c r="N879" s="4"/>
      <c r="O879" s="4"/>
      <c r="P879" s="4"/>
      <c r="Q879" s="4"/>
      <c r="R879" s="4"/>
      <c r="S879" s="4"/>
      <c r="T879" s="4"/>
      <c r="U879" s="4"/>
      <c r="V879" s="4"/>
      <c r="W879" s="4"/>
      <c r="X879" s="4"/>
      <c r="Y879" s="4"/>
      <c r="Z879" s="4"/>
      <c r="AA879" s="4"/>
      <c r="AB879" s="4"/>
      <c r="AC879" s="4"/>
      <c r="AD879" s="4"/>
      <c r="AE879" s="4"/>
      <c r="AF879" s="4"/>
      <c r="AG879" s="4"/>
      <c r="AH879" s="4"/>
      <c r="AI879" s="4"/>
      <c r="AJ879" s="4"/>
      <c r="AK879" s="4"/>
    </row>
    <row r="880" ht="13.5" customHeight="1" spans="1:37" x14ac:dyDescent="0.25">
      <c r="A880" s="344"/>
      <c r="B880" s="4"/>
      <c r="C880" s="4"/>
      <c r="D880" s="4"/>
      <c r="E880" s="4"/>
      <c r="F880" s="4"/>
      <c r="G880" s="4"/>
      <c r="H880" s="4"/>
      <c r="I880" s="4"/>
      <c r="J880" s="4"/>
      <c r="K880" s="4"/>
      <c r="L880" s="4"/>
      <c r="M880" s="4"/>
      <c r="N880" s="4"/>
      <c r="O880" s="4"/>
      <c r="P880" s="4"/>
      <c r="Q880" s="4"/>
      <c r="R880" s="4"/>
      <c r="S880" s="4"/>
      <c r="T880" s="4"/>
      <c r="U880" s="4"/>
      <c r="V880" s="4"/>
      <c r="W880" s="4"/>
      <c r="X880" s="4"/>
      <c r="Y880" s="4"/>
      <c r="Z880" s="4"/>
      <c r="AA880" s="4"/>
      <c r="AB880" s="4"/>
      <c r="AC880" s="4"/>
      <c r="AD880" s="4"/>
      <c r="AE880" s="4"/>
      <c r="AF880" s="4"/>
      <c r="AG880" s="4"/>
      <c r="AH880" s="4"/>
      <c r="AI880" s="4"/>
      <c r="AJ880" s="4"/>
      <c r="AK880" s="4"/>
    </row>
    <row r="881" ht="13.5" customHeight="1" spans="1:37" x14ac:dyDescent="0.25">
      <c r="A881" s="344"/>
      <c r="B881" s="4"/>
      <c r="C881" s="4"/>
      <c r="D881" s="4"/>
      <c r="E881" s="4"/>
      <c r="F881" s="4"/>
      <c r="G881" s="4"/>
      <c r="H881" s="4"/>
      <c r="I881" s="4"/>
      <c r="J881" s="4"/>
      <c r="K881" s="4"/>
      <c r="L881" s="4"/>
      <c r="M881" s="4"/>
      <c r="N881" s="4"/>
      <c r="O881" s="4"/>
      <c r="P881" s="4"/>
      <c r="Q881" s="4"/>
      <c r="R881" s="4"/>
      <c r="S881" s="4"/>
      <c r="T881" s="4"/>
      <c r="U881" s="4"/>
      <c r="V881" s="4"/>
      <c r="W881" s="4"/>
      <c r="X881" s="4"/>
      <c r="Y881" s="4"/>
      <c r="Z881" s="4"/>
      <c r="AA881" s="4"/>
      <c r="AB881" s="4"/>
      <c r="AC881" s="4"/>
      <c r="AD881" s="4"/>
      <c r="AE881" s="4"/>
      <c r="AF881" s="4"/>
      <c r="AG881" s="4"/>
      <c r="AH881" s="4"/>
      <c r="AI881" s="4"/>
      <c r="AJ881" s="4"/>
      <c r="AK881" s="4"/>
    </row>
    <row r="882" ht="13.5" customHeight="1" spans="1:37" x14ac:dyDescent="0.25">
      <c r="A882" s="344"/>
      <c r="B882" s="4"/>
      <c r="C882" s="4"/>
      <c r="D882" s="4"/>
      <c r="E882" s="4"/>
      <c r="F882" s="4"/>
      <c r="G882" s="4"/>
      <c r="H882" s="4"/>
      <c r="I882" s="4"/>
      <c r="J882" s="4"/>
      <c r="K882" s="4"/>
      <c r="L882" s="4"/>
      <c r="M882" s="4"/>
      <c r="N882" s="4"/>
      <c r="O882" s="4"/>
      <c r="P882" s="4"/>
      <c r="Q882" s="4"/>
      <c r="R882" s="4"/>
      <c r="S882" s="4"/>
      <c r="T882" s="4"/>
      <c r="U882" s="4"/>
      <c r="V882" s="4"/>
      <c r="W882" s="4"/>
      <c r="X882" s="4"/>
      <c r="Y882" s="4"/>
      <c r="Z882" s="4"/>
      <c r="AA882" s="4"/>
      <c r="AB882" s="4"/>
      <c r="AC882" s="4"/>
      <c r="AD882" s="4"/>
      <c r="AE882" s="4"/>
      <c r="AF882" s="4"/>
      <c r="AG882" s="4"/>
      <c r="AH882" s="4"/>
      <c r="AI882" s="4"/>
      <c r="AJ882" s="4"/>
      <c r="AK882" s="4"/>
    </row>
    <row r="883" ht="13.5" customHeight="1" spans="1:37" x14ac:dyDescent="0.25">
      <c r="A883" s="344"/>
      <c r="B883" s="4"/>
      <c r="C883" s="4"/>
      <c r="D883" s="4"/>
      <c r="E883" s="4"/>
      <c r="F883" s="4"/>
      <c r="G883" s="4"/>
      <c r="H883" s="4"/>
      <c r="I883" s="4"/>
      <c r="J883" s="4"/>
      <c r="K883" s="4"/>
      <c r="L883" s="4"/>
      <c r="M883" s="4"/>
      <c r="N883" s="4"/>
      <c r="O883" s="4"/>
      <c r="P883" s="4"/>
      <c r="Q883" s="4"/>
      <c r="R883" s="4"/>
      <c r="S883" s="4"/>
      <c r="T883" s="4"/>
      <c r="U883" s="4"/>
      <c r="V883" s="4"/>
      <c r="W883" s="4"/>
      <c r="X883" s="4"/>
      <c r="Y883" s="4"/>
      <c r="Z883" s="4"/>
      <c r="AA883" s="4"/>
      <c r="AB883" s="4"/>
      <c r="AC883" s="4"/>
      <c r="AD883" s="4"/>
      <c r="AE883" s="4"/>
      <c r="AF883" s="4"/>
      <c r="AG883" s="4"/>
      <c r="AH883" s="4"/>
      <c r="AI883" s="4"/>
      <c r="AJ883" s="4"/>
      <c r="AK883" s="4"/>
    </row>
    <row r="884" ht="13.5" customHeight="1" spans="1:37" x14ac:dyDescent="0.25">
      <c r="A884" s="344"/>
      <c r="B884" s="4"/>
      <c r="C884" s="4"/>
      <c r="D884" s="4"/>
      <c r="E884" s="4"/>
      <c r="F884" s="4"/>
      <c r="G884" s="4"/>
      <c r="H884" s="4"/>
      <c r="I884" s="4"/>
      <c r="J884" s="4"/>
      <c r="K884" s="4"/>
      <c r="L884" s="4"/>
      <c r="M884" s="4"/>
      <c r="N884" s="4"/>
      <c r="O884" s="4"/>
      <c r="P884" s="4"/>
      <c r="Q884" s="4"/>
      <c r="R884" s="4"/>
      <c r="S884" s="4"/>
      <c r="T884" s="4"/>
      <c r="U884" s="4"/>
      <c r="V884" s="4"/>
      <c r="W884" s="4"/>
      <c r="X884" s="4"/>
      <c r="Y884" s="4"/>
      <c r="Z884" s="4"/>
      <c r="AA884" s="4"/>
      <c r="AB884" s="4"/>
      <c r="AC884" s="4"/>
      <c r="AD884" s="4"/>
      <c r="AE884" s="4"/>
      <c r="AF884" s="4"/>
      <c r="AG884" s="4"/>
      <c r="AH884" s="4"/>
      <c r="AI884" s="4"/>
      <c r="AJ884" s="4"/>
      <c r="AK884" s="4"/>
    </row>
    <row r="885" ht="13.5" customHeight="1" spans="1:37" x14ac:dyDescent="0.25">
      <c r="A885" s="344"/>
      <c r="B885" s="4"/>
      <c r="C885" s="4"/>
      <c r="D885" s="4"/>
      <c r="E885" s="4"/>
      <c r="F885" s="4"/>
      <c r="G885" s="4"/>
      <c r="H885" s="4"/>
      <c r="I885" s="4"/>
      <c r="J885" s="4"/>
      <c r="K885" s="4"/>
      <c r="L885" s="4"/>
      <c r="M885" s="4"/>
      <c r="N885" s="4"/>
      <c r="O885" s="4"/>
      <c r="P885" s="4"/>
      <c r="Q885" s="4"/>
      <c r="R885" s="4"/>
      <c r="S885" s="4"/>
      <c r="T885" s="4"/>
      <c r="U885" s="4"/>
      <c r="V885" s="4"/>
      <c r="W885" s="4"/>
      <c r="X885" s="4"/>
      <c r="Y885" s="4"/>
      <c r="Z885" s="4"/>
      <c r="AA885" s="4"/>
      <c r="AB885" s="4"/>
      <c r="AC885" s="4"/>
      <c r="AD885" s="4"/>
      <c r="AE885" s="4"/>
      <c r="AF885" s="4"/>
      <c r="AG885" s="4"/>
      <c r="AH885" s="4"/>
      <c r="AI885" s="4"/>
      <c r="AJ885" s="4"/>
      <c r="AK885" s="4"/>
    </row>
    <row r="886" ht="13.5" customHeight="1" spans="1:37" x14ac:dyDescent="0.25">
      <c r="A886" s="344"/>
      <c r="B886" s="4"/>
      <c r="C886" s="4"/>
      <c r="D886" s="4"/>
      <c r="E886" s="4"/>
      <c r="F886" s="4"/>
      <c r="G886" s="4"/>
      <c r="H886" s="4"/>
      <c r="I886" s="4"/>
      <c r="J886" s="4"/>
      <c r="K886" s="4"/>
      <c r="L886" s="4"/>
      <c r="M886" s="4"/>
      <c r="N886" s="4"/>
      <c r="O886" s="4"/>
      <c r="P886" s="4"/>
      <c r="Q886" s="4"/>
      <c r="R886" s="4"/>
      <c r="S886" s="4"/>
      <c r="T886" s="4"/>
      <c r="U886" s="4"/>
      <c r="V886" s="4"/>
      <c r="W886" s="4"/>
      <c r="X886" s="4"/>
      <c r="Y886" s="4"/>
      <c r="Z886" s="4"/>
      <c r="AA886" s="4"/>
      <c r="AB886" s="4"/>
      <c r="AC886" s="4"/>
      <c r="AD886" s="4"/>
      <c r="AE886" s="4"/>
      <c r="AF886" s="4"/>
      <c r="AG886" s="4"/>
      <c r="AH886" s="4"/>
      <c r="AI886" s="4"/>
      <c r="AJ886" s="4"/>
      <c r="AK886" s="4"/>
    </row>
    <row r="887" ht="13.5" customHeight="1" spans="1:37" x14ac:dyDescent="0.25">
      <c r="A887" s="344"/>
      <c r="B887" s="4"/>
      <c r="C887" s="4"/>
      <c r="D887" s="4"/>
      <c r="E887" s="4"/>
      <c r="F887" s="4"/>
      <c r="G887" s="4"/>
      <c r="H887" s="4"/>
      <c r="I887" s="4"/>
      <c r="J887" s="4"/>
      <c r="K887" s="4"/>
      <c r="L887" s="4"/>
      <c r="M887" s="4"/>
      <c r="N887" s="4"/>
      <c r="O887" s="4"/>
      <c r="P887" s="4"/>
      <c r="Q887" s="4"/>
      <c r="R887" s="4"/>
      <c r="S887" s="4"/>
      <c r="T887" s="4"/>
      <c r="U887" s="4"/>
      <c r="V887" s="4"/>
      <c r="W887" s="4"/>
      <c r="X887" s="4"/>
      <c r="Y887" s="4"/>
      <c r="Z887" s="4"/>
      <c r="AA887" s="4"/>
      <c r="AB887" s="4"/>
      <c r="AC887" s="4"/>
      <c r="AD887" s="4"/>
      <c r="AE887" s="4"/>
      <c r="AF887" s="4"/>
      <c r="AG887" s="4"/>
      <c r="AH887" s="4"/>
      <c r="AI887" s="4"/>
      <c r="AJ887" s="4"/>
      <c r="AK887" s="4"/>
    </row>
    <row r="888" ht="13.5" customHeight="1" spans="1:37" x14ac:dyDescent="0.25">
      <c r="A888" s="344"/>
      <c r="B888" s="4"/>
      <c r="C888" s="4"/>
      <c r="D888" s="4"/>
      <c r="E888" s="4"/>
      <c r="F888" s="4"/>
      <c r="G888" s="4"/>
      <c r="H888" s="4"/>
      <c r="I888" s="4"/>
      <c r="J888" s="4"/>
      <c r="K888" s="4"/>
      <c r="L888" s="4"/>
      <c r="M888" s="4"/>
      <c r="N888" s="4"/>
      <c r="O888" s="4"/>
      <c r="P888" s="4"/>
      <c r="Q888" s="4"/>
      <c r="R888" s="4"/>
      <c r="S888" s="4"/>
      <c r="T888" s="4"/>
      <c r="U888" s="4"/>
      <c r="V888" s="4"/>
      <c r="W888" s="4"/>
      <c r="X888" s="4"/>
      <c r="Y888" s="4"/>
      <c r="Z888" s="4"/>
      <c r="AA888" s="4"/>
      <c r="AB888" s="4"/>
      <c r="AC888" s="4"/>
      <c r="AD888" s="4"/>
      <c r="AE888" s="4"/>
      <c r="AF888" s="4"/>
      <c r="AG888" s="4"/>
      <c r="AH888" s="4"/>
      <c r="AI888" s="4"/>
      <c r="AJ888" s="4"/>
      <c r="AK888" s="4"/>
    </row>
    <row r="889" ht="13.5" customHeight="1" spans="1:37" x14ac:dyDescent="0.25">
      <c r="A889" s="344"/>
      <c r="B889" s="4"/>
      <c r="C889" s="4"/>
      <c r="D889" s="4"/>
      <c r="E889" s="4"/>
      <c r="F889" s="4"/>
      <c r="G889" s="4"/>
      <c r="H889" s="4"/>
      <c r="I889" s="4"/>
      <c r="J889" s="4"/>
      <c r="K889" s="4"/>
      <c r="L889" s="4"/>
      <c r="M889" s="4"/>
      <c r="N889" s="4"/>
      <c r="O889" s="4"/>
      <c r="P889" s="4"/>
      <c r="Q889" s="4"/>
      <c r="R889" s="4"/>
      <c r="S889" s="4"/>
      <c r="T889" s="4"/>
      <c r="U889" s="4"/>
      <c r="V889" s="4"/>
      <c r="W889" s="4"/>
      <c r="X889" s="4"/>
      <c r="Y889" s="4"/>
      <c r="Z889" s="4"/>
      <c r="AA889" s="4"/>
      <c r="AB889" s="4"/>
      <c r="AC889" s="4"/>
      <c r="AD889" s="4"/>
      <c r="AE889" s="4"/>
      <c r="AF889" s="4"/>
      <c r="AG889" s="4"/>
      <c r="AH889" s="4"/>
      <c r="AI889" s="4"/>
      <c r="AJ889" s="4"/>
      <c r="AK889" s="4"/>
    </row>
    <row r="890" ht="13.5" customHeight="1" spans="1:37" x14ac:dyDescent="0.25">
      <c r="A890" s="344"/>
      <c r="B890" s="4"/>
      <c r="C890" s="4"/>
      <c r="D890" s="4"/>
      <c r="E890" s="4"/>
      <c r="F890" s="4"/>
      <c r="G890" s="4"/>
      <c r="H890" s="4"/>
      <c r="I890" s="4"/>
      <c r="J890" s="4"/>
      <c r="K890" s="4"/>
      <c r="L890" s="4"/>
      <c r="M890" s="4"/>
      <c r="N890" s="4"/>
      <c r="O890" s="4"/>
      <c r="P890" s="4"/>
      <c r="Q890" s="4"/>
      <c r="R890" s="4"/>
      <c r="S890" s="4"/>
      <c r="T890" s="4"/>
      <c r="U890" s="4"/>
      <c r="V890" s="4"/>
      <c r="W890" s="4"/>
      <c r="X890" s="4"/>
      <c r="Y890" s="4"/>
      <c r="Z890" s="4"/>
      <c r="AA890" s="4"/>
      <c r="AB890" s="4"/>
      <c r="AC890" s="4"/>
      <c r="AD890" s="4"/>
      <c r="AE890" s="4"/>
      <c r="AF890" s="4"/>
      <c r="AG890" s="4"/>
      <c r="AH890" s="4"/>
      <c r="AI890" s="4"/>
      <c r="AJ890" s="4"/>
      <c r="AK890" s="4"/>
    </row>
    <row r="891" ht="13.5" customHeight="1" spans="1:37" x14ac:dyDescent="0.25">
      <c r="A891" s="344"/>
      <c r="B891" s="4"/>
      <c r="C891" s="4"/>
      <c r="D891" s="4"/>
      <c r="E891" s="4"/>
      <c r="F891" s="4"/>
      <c r="G891" s="4"/>
      <c r="H891" s="4"/>
      <c r="I891" s="4"/>
      <c r="J891" s="4"/>
      <c r="K891" s="4"/>
      <c r="L891" s="4"/>
      <c r="M891" s="4"/>
      <c r="N891" s="4"/>
      <c r="O891" s="4"/>
      <c r="P891" s="4"/>
      <c r="Q891" s="4"/>
      <c r="R891" s="4"/>
      <c r="S891" s="4"/>
      <c r="T891" s="4"/>
      <c r="U891" s="4"/>
      <c r="V891" s="4"/>
      <c r="W891" s="4"/>
      <c r="X891" s="4"/>
      <c r="Y891" s="4"/>
      <c r="Z891" s="4"/>
      <c r="AA891" s="4"/>
      <c r="AB891" s="4"/>
      <c r="AC891" s="4"/>
      <c r="AD891" s="4"/>
      <c r="AE891" s="4"/>
      <c r="AF891" s="4"/>
      <c r="AG891" s="4"/>
      <c r="AH891" s="4"/>
      <c r="AI891" s="4"/>
      <c r="AJ891" s="4"/>
      <c r="AK891" s="4"/>
    </row>
    <row r="892" ht="13.5" customHeight="1" spans="1:37" x14ac:dyDescent="0.25">
      <c r="A892" s="344"/>
      <c r="B892" s="4"/>
      <c r="C892" s="4"/>
      <c r="D892" s="4"/>
      <c r="E892" s="4"/>
      <c r="F892" s="4"/>
      <c r="G892" s="4"/>
      <c r="H892" s="4"/>
      <c r="I892" s="4"/>
      <c r="J892" s="4"/>
      <c r="K892" s="4"/>
      <c r="L892" s="4"/>
      <c r="M892" s="4"/>
      <c r="N892" s="4"/>
      <c r="O892" s="4"/>
      <c r="P892" s="4"/>
      <c r="Q892" s="4"/>
      <c r="R892" s="4"/>
      <c r="S892" s="4"/>
      <c r="T892" s="4"/>
      <c r="U892" s="4"/>
      <c r="V892" s="4"/>
      <c r="W892" s="4"/>
      <c r="X892" s="4"/>
      <c r="Y892" s="4"/>
      <c r="Z892" s="4"/>
      <c r="AA892" s="4"/>
      <c r="AB892" s="4"/>
      <c r="AC892" s="4"/>
      <c r="AD892" s="4"/>
      <c r="AE892" s="4"/>
      <c r="AF892" s="4"/>
      <c r="AG892" s="4"/>
      <c r="AH892" s="4"/>
      <c r="AI892" s="4"/>
      <c r="AJ892" s="4"/>
      <c r="AK892" s="4"/>
    </row>
    <row r="893" ht="13.5" customHeight="1" spans="1:37" x14ac:dyDescent="0.25">
      <c r="A893" s="344"/>
      <c r="B893" s="4"/>
      <c r="C893" s="4"/>
      <c r="D893" s="4"/>
      <c r="E893" s="4"/>
      <c r="F893" s="4"/>
      <c r="G893" s="4"/>
      <c r="H893" s="4"/>
      <c r="I893" s="4"/>
      <c r="J893" s="4"/>
      <c r="K893" s="4"/>
      <c r="L893" s="4"/>
      <c r="M893" s="4"/>
      <c r="N893" s="4"/>
      <c r="O893" s="4"/>
      <c r="P893" s="4"/>
      <c r="Q893" s="4"/>
      <c r="R893" s="4"/>
      <c r="S893" s="4"/>
      <c r="T893" s="4"/>
      <c r="U893" s="4"/>
      <c r="V893" s="4"/>
      <c r="W893" s="4"/>
      <c r="X893" s="4"/>
      <c r="Y893" s="4"/>
      <c r="Z893" s="4"/>
      <c r="AA893" s="4"/>
      <c r="AB893" s="4"/>
      <c r="AC893" s="4"/>
      <c r="AD893" s="4"/>
      <c r="AE893" s="4"/>
      <c r="AF893" s="4"/>
      <c r="AG893" s="4"/>
      <c r="AH893" s="4"/>
      <c r="AI893" s="4"/>
      <c r="AJ893" s="4"/>
      <c r="AK893" s="4"/>
    </row>
    <row r="894" ht="13.5" customHeight="1" spans="1:37" x14ac:dyDescent="0.25">
      <c r="A894" s="344"/>
      <c r="B894" s="4"/>
      <c r="C894" s="4"/>
      <c r="D894" s="4"/>
      <c r="E894" s="4"/>
      <c r="F894" s="4"/>
      <c r="G894" s="4"/>
      <c r="H894" s="4"/>
      <c r="I894" s="4"/>
      <c r="J894" s="4"/>
      <c r="K894" s="4"/>
      <c r="L894" s="4"/>
      <c r="M894" s="4"/>
      <c r="N894" s="4"/>
      <c r="O894" s="4"/>
      <c r="P894" s="4"/>
      <c r="Q894" s="4"/>
      <c r="R894" s="4"/>
      <c r="S894" s="4"/>
      <c r="T894" s="4"/>
      <c r="U894" s="4"/>
      <c r="V894" s="4"/>
      <c r="W894" s="4"/>
      <c r="X894" s="4"/>
      <c r="Y894" s="4"/>
      <c r="Z894" s="4"/>
      <c r="AA894" s="4"/>
      <c r="AB894" s="4"/>
      <c r="AC894" s="4"/>
      <c r="AD894" s="4"/>
      <c r="AE894" s="4"/>
      <c r="AF894" s="4"/>
      <c r="AG894" s="4"/>
      <c r="AH894" s="4"/>
      <c r="AI894" s="4"/>
      <c r="AJ894" s="4"/>
      <c r="AK894" s="4"/>
    </row>
    <row r="895" ht="13.5" customHeight="1" spans="1:37" x14ac:dyDescent="0.25">
      <c r="A895" s="344"/>
      <c r="B895" s="4"/>
      <c r="C895" s="4"/>
      <c r="D895" s="4"/>
      <c r="E895" s="4"/>
      <c r="F895" s="4"/>
      <c r="G895" s="4"/>
      <c r="H895" s="4"/>
      <c r="I895" s="4"/>
      <c r="J895" s="4"/>
      <c r="K895" s="4"/>
      <c r="L895" s="4"/>
      <c r="M895" s="4"/>
      <c r="N895" s="4"/>
      <c r="O895" s="4"/>
      <c r="P895" s="4"/>
      <c r="Q895" s="4"/>
      <c r="R895" s="4"/>
      <c r="S895" s="4"/>
      <c r="T895" s="4"/>
      <c r="U895" s="4"/>
      <c r="V895" s="4"/>
      <c r="W895" s="4"/>
      <c r="X895" s="4"/>
      <c r="Y895" s="4"/>
      <c r="Z895" s="4"/>
      <c r="AA895" s="4"/>
      <c r="AB895" s="4"/>
      <c r="AC895" s="4"/>
      <c r="AD895" s="4"/>
      <c r="AE895" s="4"/>
      <c r="AF895" s="4"/>
      <c r="AG895" s="4"/>
      <c r="AH895" s="4"/>
      <c r="AI895" s="4"/>
      <c r="AJ895" s="4"/>
      <c r="AK895" s="4"/>
    </row>
    <row r="896" ht="13.5" customHeight="1" spans="1:37" x14ac:dyDescent="0.25">
      <c r="A896" s="344"/>
      <c r="B896" s="4"/>
      <c r="C896" s="4"/>
      <c r="D896" s="4"/>
      <c r="E896" s="4"/>
      <c r="F896" s="4"/>
      <c r="G896" s="4"/>
      <c r="H896" s="4"/>
      <c r="I896" s="4"/>
      <c r="J896" s="4"/>
      <c r="K896" s="4"/>
      <c r="L896" s="4"/>
      <c r="M896" s="4"/>
      <c r="N896" s="4"/>
      <c r="O896" s="4"/>
      <c r="P896" s="4"/>
      <c r="Q896" s="4"/>
      <c r="R896" s="4"/>
      <c r="S896" s="4"/>
      <c r="T896" s="4"/>
      <c r="U896" s="4"/>
      <c r="V896" s="4"/>
      <c r="W896" s="4"/>
      <c r="X896" s="4"/>
      <c r="Y896" s="4"/>
      <c r="Z896" s="4"/>
      <c r="AA896" s="4"/>
      <c r="AB896" s="4"/>
      <c r="AC896" s="4"/>
      <c r="AD896" s="4"/>
      <c r="AE896" s="4"/>
      <c r="AF896" s="4"/>
      <c r="AG896" s="4"/>
      <c r="AH896" s="4"/>
      <c r="AI896" s="4"/>
      <c r="AJ896" s="4"/>
      <c r="AK896" s="4"/>
    </row>
    <row r="897" ht="13.5" customHeight="1" spans="1:37" x14ac:dyDescent="0.25">
      <c r="A897" s="344"/>
      <c r="B897" s="4"/>
      <c r="C897" s="4"/>
      <c r="D897" s="4"/>
      <c r="E897" s="4"/>
      <c r="F897" s="4"/>
      <c r="G897" s="4"/>
      <c r="H897" s="4"/>
      <c r="I897" s="4"/>
      <c r="J897" s="4"/>
      <c r="K897" s="4"/>
      <c r="L897" s="4"/>
      <c r="M897" s="4"/>
      <c r="N897" s="4"/>
      <c r="O897" s="4"/>
      <c r="P897" s="4"/>
      <c r="Q897" s="4"/>
      <c r="R897" s="4"/>
      <c r="S897" s="4"/>
      <c r="T897" s="4"/>
      <c r="U897" s="4"/>
      <c r="V897" s="4"/>
      <c r="W897" s="4"/>
      <c r="X897" s="4"/>
      <c r="Y897" s="4"/>
      <c r="Z897" s="4"/>
      <c r="AA897" s="4"/>
      <c r="AB897" s="4"/>
      <c r="AC897" s="4"/>
      <c r="AD897" s="4"/>
      <c r="AE897" s="4"/>
      <c r="AF897" s="4"/>
      <c r="AG897" s="4"/>
      <c r="AH897" s="4"/>
      <c r="AI897" s="4"/>
      <c r="AJ897" s="4"/>
      <c r="AK897" s="4"/>
    </row>
    <row r="898" ht="13.5" customHeight="1" spans="1:37" x14ac:dyDescent="0.25">
      <c r="A898" s="344"/>
      <c r="B898" s="4"/>
      <c r="C898" s="4"/>
      <c r="D898" s="4"/>
      <c r="E898" s="4"/>
      <c r="F898" s="4"/>
      <c r="G898" s="4"/>
      <c r="H898" s="4"/>
      <c r="I898" s="4"/>
      <c r="J898" s="4"/>
      <c r="K898" s="4"/>
      <c r="L898" s="4"/>
      <c r="M898" s="4"/>
      <c r="N898" s="4"/>
      <c r="O898" s="4"/>
      <c r="P898" s="4"/>
      <c r="Q898" s="4"/>
      <c r="R898" s="4"/>
      <c r="S898" s="4"/>
      <c r="T898" s="4"/>
      <c r="U898" s="4"/>
      <c r="V898" s="4"/>
      <c r="W898" s="4"/>
      <c r="X898" s="4"/>
      <c r="Y898" s="4"/>
      <c r="Z898" s="4"/>
      <c r="AA898" s="4"/>
      <c r="AB898" s="4"/>
      <c r="AC898" s="4"/>
      <c r="AD898" s="4"/>
      <c r="AE898" s="4"/>
      <c r="AF898" s="4"/>
      <c r="AG898" s="4"/>
      <c r="AH898" s="4"/>
      <c r="AI898" s="4"/>
      <c r="AJ898" s="4"/>
      <c r="AK898" s="4"/>
    </row>
    <row r="899" ht="13.5" customHeight="1" spans="1:37" x14ac:dyDescent="0.25">
      <c r="A899" s="344"/>
      <c r="B899" s="4"/>
      <c r="C899" s="4"/>
      <c r="D899" s="4"/>
      <c r="E899" s="4"/>
      <c r="F899" s="4"/>
      <c r="G899" s="4"/>
      <c r="H899" s="4"/>
      <c r="I899" s="4"/>
      <c r="J899" s="4"/>
      <c r="K899" s="4"/>
      <c r="L899" s="4"/>
      <c r="M899" s="4"/>
      <c r="N899" s="4"/>
      <c r="O899" s="4"/>
      <c r="P899" s="4"/>
      <c r="Q899" s="4"/>
      <c r="R899" s="4"/>
      <c r="S899" s="4"/>
      <c r="T899" s="4"/>
      <c r="U899" s="4"/>
      <c r="V899" s="4"/>
      <c r="W899" s="4"/>
      <c r="X899" s="4"/>
      <c r="Y899" s="4"/>
      <c r="Z899" s="4"/>
      <c r="AA899" s="4"/>
      <c r="AB899" s="4"/>
      <c r="AC899" s="4"/>
      <c r="AD899" s="4"/>
      <c r="AE899" s="4"/>
      <c r="AF899" s="4"/>
      <c r="AG899" s="4"/>
      <c r="AH899" s="4"/>
      <c r="AI899" s="4"/>
      <c r="AJ899" s="4"/>
      <c r="AK899" s="4"/>
    </row>
    <row r="900" ht="13.5" customHeight="1" spans="1:37" x14ac:dyDescent="0.25">
      <c r="A900" s="344"/>
      <c r="B900" s="4"/>
      <c r="C900" s="4"/>
      <c r="D900" s="4"/>
      <c r="E900" s="4"/>
      <c r="F900" s="4"/>
      <c r="G900" s="4"/>
      <c r="H900" s="4"/>
      <c r="I900" s="4"/>
      <c r="J900" s="4"/>
      <c r="K900" s="4"/>
      <c r="L900" s="4"/>
      <c r="M900" s="4"/>
      <c r="N900" s="4"/>
      <c r="O900" s="4"/>
      <c r="P900" s="4"/>
      <c r="Q900" s="4"/>
      <c r="R900" s="4"/>
      <c r="S900" s="4"/>
      <c r="T900" s="4"/>
      <c r="U900" s="4"/>
      <c r="V900" s="4"/>
      <c r="W900" s="4"/>
      <c r="X900" s="4"/>
      <c r="Y900" s="4"/>
      <c r="Z900" s="4"/>
      <c r="AA900" s="4"/>
      <c r="AB900" s="4"/>
      <c r="AC900" s="4"/>
      <c r="AD900" s="4"/>
      <c r="AE900" s="4"/>
      <c r="AF900" s="4"/>
      <c r="AG900" s="4"/>
      <c r="AH900" s="4"/>
      <c r="AI900" s="4"/>
      <c r="AJ900" s="4"/>
      <c r="AK900" s="4"/>
    </row>
    <row r="901" ht="13.5" customHeight="1" spans="1:37" x14ac:dyDescent="0.25">
      <c r="A901" s="344"/>
      <c r="B901" s="4"/>
      <c r="C901" s="4"/>
      <c r="D901" s="4"/>
      <c r="E901" s="4"/>
      <c r="F901" s="4"/>
      <c r="G901" s="4"/>
      <c r="H901" s="4"/>
      <c r="I901" s="4"/>
      <c r="J901" s="4"/>
      <c r="K901" s="4"/>
      <c r="L901" s="4"/>
      <c r="M901" s="4"/>
      <c r="N901" s="4"/>
      <c r="O901" s="4"/>
      <c r="P901" s="4"/>
      <c r="Q901" s="4"/>
      <c r="R901" s="4"/>
      <c r="S901" s="4"/>
      <c r="T901" s="4"/>
      <c r="U901" s="4"/>
      <c r="V901" s="4"/>
      <c r="W901" s="4"/>
      <c r="X901" s="4"/>
      <c r="Y901" s="4"/>
      <c r="Z901" s="4"/>
      <c r="AA901" s="4"/>
      <c r="AB901" s="4"/>
      <c r="AC901" s="4"/>
      <c r="AD901" s="4"/>
      <c r="AE901" s="4"/>
      <c r="AF901" s="4"/>
      <c r="AG901" s="4"/>
      <c r="AH901" s="4"/>
      <c r="AI901" s="4"/>
      <c r="AJ901" s="4"/>
      <c r="AK901" s="4"/>
    </row>
    <row r="902" ht="13.5" customHeight="1" spans="1:37" x14ac:dyDescent="0.25">
      <c r="A902" s="344"/>
      <c r="B902" s="4"/>
      <c r="C902" s="4"/>
      <c r="D902" s="4"/>
      <c r="E902" s="4"/>
      <c r="F902" s="4"/>
      <c r="G902" s="4"/>
      <c r="H902" s="4"/>
      <c r="I902" s="4"/>
      <c r="J902" s="4"/>
      <c r="K902" s="4"/>
      <c r="L902" s="4"/>
      <c r="M902" s="4"/>
      <c r="N902" s="4"/>
      <c r="O902" s="4"/>
      <c r="P902" s="4"/>
      <c r="Q902" s="4"/>
      <c r="R902" s="4"/>
      <c r="S902" s="4"/>
      <c r="T902" s="4"/>
      <c r="U902" s="4"/>
      <c r="V902" s="4"/>
      <c r="W902" s="4"/>
      <c r="X902" s="4"/>
      <c r="Y902" s="4"/>
      <c r="Z902" s="4"/>
      <c r="AA902" s="4"/>
      <c r="AB902" s="4"/>
      <c r="AC902" s="4"/>
      <c r="AD902" s="4"/>
      <c r="AE902" s="4"/>
      <c r="AF902" s="4"/>
      <c r="AG902" s="4"/>
      <c r="AH902" s="4"/>
      <c r="AI902" s="4"/>
      <c r="AJ902" s="4"/>
      <c r="AK902" s="4"/>
    </row>
    <row r="903" ht="13.5" customHeight="1" spans="1:37" x14ac:dyDescent="0.25">
      <c r="A903" s="344"/>
      <c r="B903" s="4"/>
      <c r="C903" s="4"/>
      <c r="D903" s="4"/>
      <c r="E903" s="4"/>
      <c r="F903" s="4"/>
      <c r="G903" s="4"/>
      <c r="H903" s="4"/>
      <c r="I903" s="4"/>
      <c r="J903" s="4"/>
      <c r="K903" s="4"/>
      <c r="L903" s="4"/>
      <c r="M903" s="4"/>
      <c r="N903" s="4"/>
      <c r="O903" s="4"/>
      <c r="P903" s="4"/>
      <c r="Q903" s="4"/>
      <c r="R903" s="4"/>
      <c r="S903" s="4"/>
      <c r="T903" s="4"/>
      <c r="U903" s="4"/>
      <c r="V903" s="4"/>
      <c r="W903" s="4"/>
      <c r="X903" s="4"/>
      <c r="Y903" s="4"/>
      <c r="Z903" s="4"/>
      <c r="AA903" s="4"/>
      <c r="AB903" s="4"/>
      <c r="AC903" s="4"/>
      <c r="AD903" s="4"/>
      <c r="AE903" s="4"/>
      <c r="AF903" s="4"/>
      <c r="AG903" s="4"/>
      <c r="AH903" s="4"/>
      <c r="AI903" s="4"/>
      <c r="AJ903" s="4"/>
      <c r="AK903" s="4"/>
    </row>
    <row r="904" ht="13.5" customHeight="1" spans="1:37" x14ac:dyDescent="0.25">
      <c r="A904" s="344"/>
      <c r="B904" s="4"/>
      <c r="C904" s="4"/>
      <c r="D904" s="4"/>
      <c r="E904" s="4"/>
      <c r="F904" s="4"/>
      <c r="G904" s="4"/>
      <c r="H904" s="4"/>
      <c r="I904" s="4"/>
      <c r="J904" s="4"/>
      <c r="K904" s="4"/>
      <c r="L904" s="4"/>
      <c r="M904" s="4"/>
      <c r="N904" s="4"/>
      <c r="O904" s="4"/>
      <c r="P904" s="4"/>
      <c r="Q904" s="4"/>
      <c r="R904" s="4"/>
      <c r="S904" s="4"/>
      <c r="T904" s="4"/>
      <c r="U904" s="4"/>
      <c r="V904" s="4"/>
      <c r="W904" s="4"/>
      <c r="X904" s="4"/>
      <c r="Y904" s="4"/>
      <c r="Z904" s="4"/>
      <c r="AA904" s="4"/>
      <c r="AB904" s="4"/>
      <c r="AC904" s="4"/>
      <c r="AD904" s="4"/>
      <c r="AE904" s="4"/>
      <c r="AF904" s="4"/>
      <c r="AG904" s="4"/>
      <c r="AH904" s="4"/>
      <c r="AI904" s="4"/>
      <c r="AJ904" s="4"/>
      <c r="AK904" s="4"/>
    </row>
    <row r="905" ht="13.5" customHeight="1" spans="1:37" x14ac:dyDescent="0.25">
      <c r="A905" s="344"/>
      <c r="B905" s="4"/>
      <c r="C905" s="4"/>
      <c r="D905" s="4"/>
      <c r="E905" s="4"/>
      <c r="F905" s="4"/>
      <c r="G905" s="4"/>
      <c r="H905" s="4"/>
      <c r="I905" s="4"/>
      <c r="J905" s="4"/>
      <c r="K905" s="4"/>
      <c r="L905" s="4"/>
      <c r="M905" s="4"/>
      <c r="N905" s="4"/>
      <c r="O905" s="4"/>
      <c r="P905" s="4"/>
      <c r="Q905" s="4"/>
      <c r="R905" s="4"/>
      <c r="S905" s="4"/>
      <c r="T905" s="4"/>
      <c r="U905" s="4"/>
      <c r="V905" s="4"/>
      <c r="W905" s="4"/>
      <c r="X905" s="4"/>
      <c r="Y905" s="4"/>
      <c r="Z905" s="4"/>
      <c r="AA905" s="4"/>
      <c r="AB905" s="4"/>
      <c r="AC905" s="4"/>
      <c r="AD905" s="4"/>
      <c r="AE905" s="4"/>
      <c r="AF905" s="4"/>
      <c r="AG905" s="4"/>
      <c r="AH905" s="4"/>
      <c r="AI905" s="4"/>
      <c r="AJ905" s="4"/>
      <c r="AK905" s="4"/>
    </row>
    <row r="906" ht="13.5" customHeight="1" spans="1:37" x14ac:dyDescent="0.25">
      <c r="A906" s="344"/>
      <c r="B906" s="4"/>
      <c r="C906" s="4"/>
      <c r="D906" s="4"/>
      <c r="E906" s="4"/>
      <c r="F906" s="4"/>
      <c r="G906" s="4"/>
      <c r="H906" s="4"/>
      <c r="I906" s="4"/>
      <c r="J906" s="4"/>
      <c r="K906" s="4"/>
      <c r="L906" s="4"/>
      <c r="M906" s="4"/>
      <c r="N906" s="4"/>
      <c r="O906" s="4"/>
      <c r="P906" s="4"/>
      <c r="Q906" s="4"/>
      <c r="R906" s="4"/>
      <c r="S906" s="4"/>
      <c r="T906" s="4"/>
      <c r="U906" s="4"/>
      <c r="V906" s="4"/>
      <c r="W906" s="4"/>
      <c r="X906" s="4"/>
      <c r="Y906" s="4"/>
      <c r="Z906" s="4"/>
      <c r="AA906" s="4"/>
      <c r="AB906" s="4"/>
      <c r="AC906" s="4"/>
      <c r="AD906" s="4"/>
      <c r="AE906" s="4"/>
      <c r="AF906" s="4"/>
      <c r="AG906" s="4"/>
      <c r="AH906" s="4"/>
      <c r="AI906" s="4"/>
      <c r="AJ906" s="4"/>
      <c r="AK906" s="4"/>
    </row>
    <row r="907" ht="13.5" customHeight="1" spans="1:37" x14ac:dyDescent="0.25">
      <c r="A907" s="344"/>
      <c r="B907" s="4"/>
      <c r="C907" s="4"/>
      <c r="D907" s="4"/>
      <c r="E907" s="4"/>
      <c r="F907" s="4"/>
      <c r="G907" s="4"/>
      <c r="H907" s="4"/>
      <c r="I907" s="4"/>
      <c r="J907" s="4"/>
      <c r="K907" s="4"/>
      <c r="L907" s="4"/>
      <c r="M907" s="4"/>
      <c r="N907" s="4"/>
      <c r="O907" s="4"/>
      <c r="P907" s="4"/>
      <c r="Q907" s="4"/>
      <c r="R907" s="4"/>
      <c r="S907" s="4"/>
      <c r="T907" s="4"/>
      <c r="U907" s="4"/>
      <c r="V907" s="4"/>
      <c r="W907" s="4"/>
      <c r="X907" s="4"/>
      <c r="Y907" s="4"/>
      <c r="Z907" s="4"/>
      <c r="AA907" s="4"/>
      <c r="AB907" s="4"/>
      <c r="AC907" s="4"/>
      <c r="AD907" s="4"/>
      <c r="AE907" s="4"/>
      <c r="AF907" s="4"/>
      <c r="AG907" s="4"/>
      <c r="AH907" s="4"/>
      <c r="AI907" s="4"/>
      <c r="AJ907" s="4"/>
      <c r="AK907" s="4"/>
    </row>
    <row r="908" ht="13.5" customHeight="1" spans="1:37" x14ac:dyDescent="0.25">
      <c r="A908" s="344"/>
      <c r="B908" s="4"/>
      <c r="C908" s="4"/>
      <c r="D908" s="4"/>
      <c r="E908" s="4"/>
      <c r="F908" s="4"/>
      <c r="G908" s="4"/>
      <c r="H908" s="4"/>
      <c r="I908" s="4"/>
      <c r="J908" s="4"/>
      <c r="K908" s="4"/>
      <c r="L908" s="4"/>
      <c r="M908" s="4"/>
      <c r="N908" s="4"/>
      <c r="O908" s="4"/>
      <c r="P908" s="4"/>
      <c r="Q908" s="4"/>
      <c r="R908" s="4"/>
      <c r="S908" s="4"/>
      <c r="T908" s="4"/>
      <c r="U908" s="4"/>
      <c r="V908" s="4"/>
      <c r="W908" s="4"/>
      <c r="X908" s="4"/>
      <c r="Y908" s="4"/>
      <c r="Z908" s="4"/>
      <c r="AA908" s="4"/>
      <c r="AB908" s="4"/>
      <c r="AC908" s="4"/>
      <c r="AD908" s="4"/>
      <c r="AE908" s="4"/>
      <c r="AF908" s="4"/>
      <c r="AG908" s="4"/>
      <c r="AH908" s="4"/>
      <c r="AI908" s="4"/>
      <c r="AJ908" s="4"/>
      <c r="AK908" s="4"/>
    </row>
    <row r="909" ht="13.5" customHeight="1" spans="1:37" x14ac:dyDescent="0.25">
      <c r="A909" s="344"/>
      <c r="B909" s="4"/>
      <c r="C909" s="4"/>
      <c r="D909" s="4"/>
      <c r="E909" s="4"/>
      <c r="F909" s="4"/>
      <c r="G909" s="4"/>
      <c r="H909" s="4"/>
      <c r="I909" s="4"/>
      <c r="J909" s="4"/>
      <c r="K909" s="4"/>
      <c r="L909" s="4"/>
      <c r="M909" s="4"/>
      <c r="N909" s="4"/>
      <c r="O909" s="4"/>
      <c r="P909" s="4"/>
      <c r="Q909" s="4"/>
      <c r="R909" s="4"/>
      <c r="S909" s="4"/>
      <c r="T909" s="4"/>
      <c r="U909" s="4"/>
      <c r="V909" s="4"/>
      <c r="W909" s="4"/>
      <c r="X909" s="4"/>
      <c r="Y909" s="4"/>
      <c r="Z909" s="4"/>
      <c r="AA909" s="4"/>
      <c r="AB909" s="4"/>
      <c r="AC909" s="4"/>
      <c r="AD909" s="4"/>
      <c r="AE909" s="4"/>
      <c r="AF909" s="4"/>
      <c r="AG909" s="4"/>
      <c r="AH909" s="4"/>
      <c r="AI909" s="4"/>
      <c r="AJ909" s="4"/>
      <c r="AK909" s="4"/>
    </row>
    <row r="910" ht="13.5" customHeight="1" spans="1:37" x14ac:dyDescent="0.25">
      <c r="A910" s="344"/>
      <c r="B910" s="4"/>
      <c r="C910" s="4"/>
      <c r="D910" s="4"/>
      <c r="E910" s="4"/>
      <c r="F910" s="4"/>
      <c r="G910" s="4"/>
      <c r="H910" s="4"/>
      <c r="I910" s="4"/>
      <c r="J910" s="4"/>
      <c r="K910" s="4"/>
      <c r="L910" s="4"/>
      <c r="M910" s="4"/>
      <c r="N910" s="4"/>
      <c r="O910" s="4"/>
      <c r="P910" s="4"/>
      <c r="Q910" s="4"/>
      <c r="R910" s="4"/>
      <c r="S910" s="4"/>
      <c r="T910" s="4"/>
      <c r="U910" s="4"/>
      <c r="V910" s="4"/>
      <c r="W910" s="4"/>
      <c r="X910" s="4"/>
      <c r="Y910" s="4"/>
      <c r="Z910" s="4"/>
      <c r="AA910" s="4"/>
      <c r="AB910" s="4"/>
      <c r="AC910" s="4"/>
      <c r="AD910" s="4"/>
      <c r="AE910" s="4"/>
      <c r="AF910" s="4"/>
      <c r="AG910" s="4"/>
      <c r="AH910" s="4"/>
      <c r="AI910" s="4"/>
      <c r="AJ910" s="4"/>
      <c r="AK910" s="4"/>
    </row>
    <row r="911" ht="13.5" customHeight="1" spans="1:37" x14ac:dyDescent="0.25">
      <c r="A911" s="344"/>
      <c r="B911" s="4"/>
      <c r="C911" s="4"/>
      <c r="D911" s="4"/>
      <c r="E911" s="4"/>
      <c r="F911" s="4"/>
      <c r="G911" s="4"/>
      <c r="H911" s="4"/>
      <c r="I911" s="4"/>
      <c r="J911" s="4"/>
      <c r="K911" s="4"/>
      <c r="L911" s="4"/>
      <c r="M911" s="4"/>
      <c r="N911" s="4"/>
      <c r="O911" s="4"/>
      <c r="P911" s="4"/>
      <c r="Q911" s="4"/>
      <c r="R911" s="4"/>
      <c r="S911" s="4"/>
      <c r="T911" s="4"/>
      <c r="U911" s="4"/>
      <c r="V911" s="4"/>
      <c r="W911" s="4"/>
      <c r="X911" s="4"/>
      <c r="Y911" s="4"/>
      <c r="Z911" s="4"/>
      <c r="AA911" s="4"/>
      <c r="AB911" s="4"/>
      <c r="AC911" s="4"/>
      <c r="AD911" s="4"/>
      <c r="AE911" s="4"/>
      <c r="AF911" s="4"/>
      <c r="AG911" s="4"/>
      <c r="AH911" s="4"/>
      <c r="AI911" s="4"/>
      <c r="AJ911" s="4"/>
      <c r="AK911" s="4"/>
    </row>
    <row r="912" ht="13.5" customHeight="1" spans="1:37" x14ac:dyDescent="0.25">
      <c r="A912" s="344"/>
      <c r="B912" s="4"/>
      <c r="C912" s="4"/>
      <c r="D912" s="4"/>
      <c r="E912" s="4"/>
      <c r="F912" s="4"/>
      <c r="G912" s="4"/>
      <c r="H912" s="4"/>
      <c r="I912" s="4"/>
      <c r="J912" s="4"/>
      <c r="K912" s="4"/>
      <c r="L912" s="4"/>
      <c r="M912" s="4"/>
      <c r="N912" s="4"/>
      <c r="O912" s="4"/>
      <c r="P912" s="4"/>
      <c r="Q912" s="4"/>
      <c r="R912" s="4"/>
      <c r="S912" s="4"/>
      <c r="T912" s="4"/>
      <c r="U912" s="4"/>
      <c r="V912" s="4"/>
      <c r="W912" s="4"/>
      <c r="X912" s="4"/>
      <c r="Y912" s="4"/>
      <c r="Z912" s="4"/>
      <c r="AA912" s="4"/>
      <c r="AB912" s="4"/>
      <c r="AC912" s="4"/>
      <c r="AD912" s="4"/>
      <c r="AE912" s="4"/>
      <c r="AF912" s="4"/>
      <c r="AG912" s="4"/>
      <c r="AH912" s="4"/>
      <c r="AI912" s="4"/>
      <c r="AJ912" s="4"/>
      <c r="AK912" s="4"/>
    </row>
    <row r="913" ht="13.5" customHeight="1" spans="1:37" x14ac:dyDescent="0.25">
      <c r="A913" s="344"/>
      <c r="B913" s="4"/>
      <c r="C913" s="4"/>
      <c r="D913" s="4"/>
      <c r="E913" s="4"/>
      <c r="F913" s="4"/>
      <c r="G913" s="4"/>
      <c r="H913" s="4"/>
      <c r="I913" s="4"/>
      <c r="J913" s="4"/>
      <c r="K913" s="4"/>
      <c r="L913" s="4"/>
      <c r="M913" s="4"/>
      <c r="N913" s="4"/>
      <c r="O913" s="4"/>
      <c r="P913" s="4"/>
      <c r="Q913" s="4"/>
      <c r="R913" s="4"/>
      <c r="S913" s="4"/>
      <c r="T913" s="4"/>
      <c r="U913" s="4"/>
      <c r="V913" s="4"/>
      <c r="W913" s="4"/>
      <c r="X913" s="4"/>
      <c r="Y913" s="4"/>
      <c r="Z913" s="4"/>
      <c r="AA913" s="4"/>
      <c r="AB913" s="4"/>
      <c r="AC913" s="4"/>
      <c r="AD913" s="4"/>
      <c r="AE913" s="4"/>
      <c r="AF913" s="4"/>
      <c r="AG913" s="4"/>
      <c r="AH913" s="4"/>
      <c r="AI913" s="4"/>
      <c r="AJ913" s="4"/>
      <c r="AK913" s="4"/>
    </row>
    <row r="914" ht="13.5" customHeight="1" spans="1:37" x14ac:dyDescent="0.25">
      <c r="A914" s="344"/>
      <c r="B914" s="4"/>
      <c r="C914" s="4"/>
      <c r="D914" s="4"/>
      <c r="E914" s="4"/>
      <c r="F914" s="4"/>
      <c r="G914" s="4"/>
      <c r="H914" s="4"/>
      <c r="I914" s="4"/>
      <c r="J914" s="4"/>
      <c r="K914" s="4"/>
      <c r="L914" s="4"/>
      <c r="M914" s="4"/>
      <c r="N914" s="4"/>
      <c r="O914" s="4"/>
      <c r="P914" s="4"/>
      <c r="Q914" s="4"/>
      <c r="R914" s="4"/>
      <c r="S914" s="4"/>
      <c r="T914" s="4"/>
      <c r="U914" s="4"/>
      <c r="V914" s="4"/>
      <c r="W914" s="4"/>
      <c r="X914" s="4"/>
      <c r="Y914" s="4"/>
      <c r="Z914" s="4"/>
      <c r="AA914" s="4"/>
      <c r="AB914" s="4"/>
      <c r="AC914" s="4"/>
      <c r="AD914" s="4"/>
      <c r="AE914" s="4"/>
      <c r="AF914" s="4"/>
      <c r="AG914" s="4"/>
      <c r="AH914" s="4"/>
      <c r="AI914" s="4"/>
      <c r="AJ914" s="4"/>
      <c r="AK914" s="4"/>
    </row>
    <row r="915" ht="13.5" customHeight="1" spans="1:37" x14ac:dyDescent="0.25">
      <c r="A915" s="344"/>
      <c r="B915" s="4"/>
      <c r="C915" s="4"/>
      <c r="D915" s="4"/>
      <c r="E915" s="4"/>
      <c r="F915" s="4"/>
      <c r="G915" s="4"/>
      <c r="H915" s="4"/>
      <c r="I915" s="4"/>
      <c r="J915" s="4"/>
      <c r="K915" s="4"/>
      <c r="L915" s="4"/>
      <c r="M915" s="4"/>
      <c r="N915" s="4"/>
      <c r="O915" s="4"/>
      <c r="P915" s="4"/>
      <c r="Q915" s="4"/>
      <c r="R915" s="4"/>
      <c r="S915" s="4"/>
      <c r="T915" s="4"/>
      <c r="U915" s="4"/>
      <c r="V915" s="4"/>
      <c r="W915" s="4"/>
      <c r="X915" s="4"/>
      <c r="Y915" s="4"/>
      <c r="Z915" s="4"/>
      <c r="AA915" s="4"/>
      <c r="AB915" s="4"/>
      <c r="AC915" s="4"/>
      <c r="AD915" s="4"/>
      <c r="AE915" s="4"/>
      <c r="AF915" s="4"/>
      <c r="AG915" s="4"/>
      <c r="AH915" s="4"/>
      <c r="AI915" s="4"/>
      <c r="AJ915" s="4"/>
      <c r="AK915" s="4"/>
    </row>
    <row r="916" ht="13.5" customHeight="1" spans="1:37" x14ac:dyDescent="0.25">
      <c r="A916" s="344"/>
      <c r="B916" s="4"/>
      <c r="C916" s="4"/>
      <c r="D916" s="4"/>
      <c r="E916" s="4"/>
      <c r="F916" s="4"/>
      <c r="G916" s="4"/>
      <c r="H916" s="4"/>
      <c r="I916" s="4"/>
      <c r="J916" s="4"/>
      <c r="K916" s="4"/>
      <c r="L916" s="4"/>
      <c r="M916" s="4"/>
      <c r="N916" s="4"/>
      <c r="O916" s="4"/>
      <c r="P916" s="4"/>
      <c r="Q916" s="4"/>
      <c r="R916" s="4"/>
      <c r="S916" s="4"/>
      <c r="T916" s="4"/>
      <c r="U916" s="4"/>
      <c r="V916" s="4"/>
      <c r="W916" s="4"/>
      <c r="X916" s="4"/>
      <c r="Y916" s="4"/>
      <c r="Z916" s="4"/>
      <c r="AA916" s="4"/>
      <c r="AB916" s="4"/>
      <c r="AC916" s="4"/>
      <c r="AD916" s="4"/>
      <c r="AE916" s="4"/>
      <c r="AF916" s="4"/>
      <c r="AG916" s="4"/>
      <c r="AH916" s="4"/>
      <c r="AI916" s="4"/>
      <c r="AJ916" s="4"/>
      <c r="AK916" s="4"/>
    </row>
    <row r="917" ht="13.5" customHeight="1" spans="1:37" x14ac:dyDescent="0.25">
      <c r="A917" s="344"/>
      <c r="B917" s="4"/>
      <c r="C917" s="4"/>
      <c r="D917" s="4"/>
      <c r="E917" s="4"/>
      <c r="F917" s="4"/>
      <c r="G917" s="4"/>
      <c r="H917" s="4"/>
      <c r="I917" s="4"/>
      <c r="J917" s="4"/>
      <c r="K917" s="4"/>
      <c r="L917" s="4"/>
      <c r="M917" s="4"/>
      <c r="N917" s="4"/>
      <c r="O917" s="4"/>
      <c r="P917" s="4"/>
      <c r="Q917" s="4"/>
      <c r="R917" s="4"/>
      <c r="S917" s="4"/>
      <c r="T917" s="4"/>
      <c r="U917" s="4"/>
      <c r="V917" s="4"/>
      <c r="W917" s="4"/>
      <c r="X917" s="4"/>
      <c r="Y917" s="4"/>
      <c r="Z917" s="4"/>
      <c r="AA917" s="4"/>
      <c r="AB917" s="4"/>
      <c r="AC917" s="4"/>
      <c r="AD917" s="4"/>
      <c r="AE917" s="4"/>
      <c r="AF917" s="4"/>
      <c r="AG917" s="4"/>
      <c r="AH917" s="4"/>
      <c r="AI917" s="4"/>
      <c r="AJ917" s="4"/>
      <c r="AK917" s="4"/>
    </row>
    <row r="918" ht="13.5" customHeight="1" spans="1:37" x14ac:dyDescent="0.25">
      <c r="A918" s="344"/>
      <c r="B918" s="4"/>
      <c r="C918" s="4"/>
      <c r="D918" s="4"/>
      <c r="E918" s="4"/>
      <c r="F918" s="4"/>
      <c r="G918" s="4"/>
      <c r="H918" s="4"/>
      <c r="I918" s="4"/>
      <c r="J918" s="4"/>
      <c r="K918" s="4"/>
      <c r="L918" s="4"/>
      <c r="M918" s="4"/>
      <c r="N918" s="4"/>
      <c r="O918" s="4"/>
      <c r="P918" s="4"/>
      <c r="Q918" s="4"/>
      <c r="R918" s="4"/>
      <c r="S918" s="4"/>
      <c r="T918" s="4"/>
      <c r="U918" s="4"/>
      <c r="V918" s="4"/>
      <c r="W918" s="4"/>
      <c r="X918" s="4"/>
      <c r="Y918" s="4"/>
      <c r="Z918" s="4"/>
      <c r="AA918" s="4"/>
      <c r="AB918" s="4"/>
      <c r="AC918" s="4"/>
      <c r="AD918" s="4"/>
      <c r="AE918" s="4"/>
      <c r="AF918" s="4"/>
      <c r="AG918" s="4"/>
      <c r="AH918" s="4"/>
      <c r="AI918" s="4"/>
      <c r="AJ918" s="4"/>
      <c r="AK918" s="4"/>
    </row>
    <row r="919" ht="13.5" customHeight="1" spans="1:37" x14ac:dyDescent="0.25">
      <c r="A919" s="344"/>
      <c r="B919" s="4"/>
      <c r="C919" s="4"/>
      <c r="D919" s="4"/>
      <c r="E919" s="4"/>
      <c r="F919" s="4"/>
      <c r="G919" s="4"/>
      <c r="H919" s="4"/>
      <c r="I919" s="4"/>
      <c r="J919" s="4"/>
      <c r="K919" s="4"/>
      <c r="L919" s="4"/>
      <c r="M919" s="4"/>
      <c r="N919" s="4"/>
      <c r="O919" s="4"/>
      <c r="P919" s="4"/>
      <c r="Q919" s="4"/>
      <c r="R919" s="4"/>
      <c r="S919" s="4"/>
      <c r="T919" s="4"/>
      <c r="U919" s="4"/>
      <c r="V919" s="4"/>
      <c r="W919" s="4"/>
      <c r="X919" s="4"/>
      <c r="Y919" s="4"/>
      <c r="Z919" s="4"/>
      <c r="AA919" s="4"/>
      <c r="AB919" s="4"/>
      <c r="AC919" s="4"/>
      <c r="AD919" s="4"/>
      <c r="AE919" s="4"/>
      <c r="AF919" s="4"/>
      <c r="AG919" s="4"/>
      <c r="AH919" s="4"/>
      <c r="AI919" s="4"/>
      <c r="AJ919" s="4"/>
      <c r="AK919" s="4"/>
    </row>
    <row r="920" ht="13.5" customHeight="1" spans="1:37" x14ac:dyDescent="0.25">
      <c r="A920" s="344"/>
      <c r="B920" s="4"/>
      <c r="C920" s="4"/>
      <c r="D920" s="4"/>
      <c r="E920" s="4"/>
      <c r="F920" s="4"/>
      <c r="G920" s="4"/>
      <c r="H920" s="4"/>
      <c r="I920" s="4"/>
      <c r="J920" s="4"/>
      <c r="K920" s="4"/>
      <c r="L920" s="4"/>
      <c r="M920" s="4"/>
      <c r="N920" s="4"/>
      <c r="O920" s="4"/>
      <c r="P920" s="4"/>
      <c r="Q920" s="4"/>
      <c r="R920" s="4"/>
      <c r="S920" s="4"/>
      <c r="T920" s="4"/>
      <c r="U920" s="4"/>
      <c r="V920" s="4"/>
      <c r="W920" s="4"/>
      <c r="X920" s="4"/>
      <c r="Y920" s="4"/>
      <c r="Z920" s="4"/>
      <c r="AA920" s="4"/>
      <c r="AB920" s="4"/>
      <c r="AC920" s="4"/>
      <c r="AD920" s="4"/>
      <c r="AE920" s="4"/>
      <c r="AF920" s="4"/>
      <c r="AG920" s="4"/>
      <c r="AH920" s="4"/>
      <c r="AI920" s="4"/>
      <c r="AJ920" s="4"/>
      <c r="AK920" s="4"/>
    </row>
    <row r="921" ht="13.5" customHeight="1" spans="1:37" x14ac:dyDescent="0.25">
      <c r="A921" s="344"/>
      <c r="B921" s="4"/>
      <c r="C921" s="4"/>
      <c r="D921" s="4"/>
      <c r="E921" s="4"/>
      <c r="F921" s="4"/>
      <c r="G921" s="4"/>
      <c r="H921" s="4"/>
      <c r="I921" s="4"/>
      <c r="J921" s="4"/>
      <c r="K921" s="4"/>
      <c r="L921" s="4"/>
      <c r="M921" s="4"/>
      <c r="N921" s="4"/>
      <c r="O921" s="4"/>
      <c r="P921" s="4"/>
      <c r="Q921" s="4"/>
      <c r="R921" s="4"/>
      <c r="S921" s="4"/>
      <c r="T921" s="4"/>
      <c r="U921" s="4"/>
      <c r="V921" s="4"/>
      <c r="W921" s="4"/>
      <c r="X921" s="4"/>
      <c r="Y921" s="4"/>
      <c r="Z921" s="4"/>
      <c r="AA921" s="4"/>
      <c r="AB921" s="4"/>
      <c r="AC921" s="4"/>
      <c r="AD921" s="4"/>
      <c r="AE921" s="4"/>
      <c r="AF921" s="4"/>
      <c r="AG921" s="4"/>
      <c r="AH921" s="4"/>
      <c r="AI921" s="4"/>
      <c r="AJ921" s="4"/>
      <c r="AK921" s="4"/>
    </row>
    <row r="922" ht="13.5" customHeight="1" spans="1:37" x14ac:dyDescent="0.25">
      <c r="A922" s="344"/>
      <c r="B922" s="4"/>
      <c r="C922" s="4"/>
      <c r="D922" s="4"/>
      <c r="E922" s="4"/>
      <c r="F922" s="4"/>
      <c r="G922" s="4"/>
      <c r="H922" s="4"/>
      <c r="I922" s="4"/>
      <c r="J922" s="4"/>
      <c r="K922" s="4"/>
      <c r="L922" s="4"/>
      <c r="M922" s="4"/>
      <c r="N922" s="4"/>
      <c r="O922" s="4"/>
      <c r="P922" s="4"/>
      <c r="Q922" s="4"/>
      <c r="R922" s="4"/>
      <c r="S922" s="4"/>
      <c r="T922" s="4"/>
      <c r="U922" s="4"/>
      <c r="V922" s="4"/>
      <c r="W922" s="4"/>
      <c r="X922" s="4"/>
      <c r="Y922" s="4"/>
      <c r="Z922" s="4"/>
      <c r="AA922" s="4"/>
      <c r="AB922" s="4"/>
      <c r="AC922" s="4"/>
      <c r="AD922" s="4"/>
      <c r="AE922" s="4"/>
      <c r="AF922" s="4"/>
      <c r="AG922" s="4"/>
      <c r="AH922" s="4"/>
      <c r="AI922" s="4"/>
      <c r="AJ922" s="4"/>
      <c r="AK922" s="4"/>
    </row>
    <row r="923" ht="13.5" customHeight="1" spans="1:37" x14ac:dyDescent="0.25">
      <c r="A923" s="344"/>
      <c r="B923" s="4"/>
      <c r="C923" s="4"/>
      <c r="D923" s="4"/>
      <c r="E923" s="4"/>
      <c r="F923" s="4"/>
      <c r="G923" s="4"/>
      <c r="H923" s="4"/>
      <c r="I923" s="4"/>
      <c r="J923" s="4"/>
      <c r="K923" s="4"/>
      <c r="L923" s="4"/>
      <c r="M923" s="4"/>
      <c r="N923" s="4"/>
      <c r="O923" s="4"/>
      <c r="P923" s="4"/>
      <c r="Q923" s="4"/>
      <c r="R923" s="4"/>
      <c r="S923" s="4"/>
      <c r="T923" s="4"/>
      <c r="U923" s="4"/>
      <c r="V923" s="4"/>
      <c r="W923" s="4"/>
      <c r="X923" s="4"/>
      <c r="Y923" s="4"/>
      <c r="Z923" s="4"/>
      <c r="AA923" s="4"/>
      <c r="AB923" s="4"/>
      <c r="AC923" s="4"/>
      <c r="AD923" s="4"/>
      <c r="AE923" s="4"/>
      <c r="AF923" s="4"/>
      <c r="AG923" s="4"/>
      <c r="AH923" s="4"/>
      <c r="AI923" s="4"/>
      <c r="AJ923" s="4"/>
      <c r="AK923" s="4"/>
    </row>
    <row r="924" ht="13.5" customHeight="1" spans="1:37" x14ac:dyDescent="0.25">
      <c r="A924" s="344"/>
      <c r="B924" s="4"/>
      <c r="C924" s="4"/>
      <c r="D924" s="4"/>
      <c r="E924" s="4"/>
      <c r="F924" s="4"/>
      <c r="G924" s="4"/>
      <c r="H924" s="4"/>
      <c r="I924" s="4"/>
      <c r="J924" s="4"/>
      <c r="K924" s="4"/>
      <c r="L924" s="4"/>
      <c r="M924" s="4"/>
      <c r="N924" s="4"/>
      <c r="O924" s="4"/>
      <c r="P924" s="4"/>
      <c r="Q924" s="4"/>
      <c r="R924" s="4"/>
      <c r="S924" s="4"/>
      <c r="T924" s="4"/>
      <c r="U924" s="4"/>
      <c r="V924" s="4"/>
      <c r="W924" s="4"/>
      <c r="X924" s="4"/>
      <c r="Y924" s="4"/>
      <c r="Z924" s="4"/>
      <c r="AA924" s="4"/>
      <c r="AB924" s="4"/>
      <c r="AC924" s="4"/>
      <c r="AD924" s="4"/>
      <c r="AE924" s="4"/>
      <c r="AF924" s="4"/>
      <c r="AG924" s="4"/>
      <c r="AH924" s="4"/>
      <c r="AI924" s="4"/>
      <c r="AJ924" s="4"/>
      <c r="AK924" s="4"/>
    </row>
    <row r="925" ht="13.5" customHeight="1" spans="1:37" x14ac:dyDescent="0.25">
      <c r="A925" s="344"/>
      <c r="B925" s="4"/>
      <c r="C925" s="4"/>
      <c r="D925" s="4"/>
      <c r="E925" s="4"/>
      <c r="F925" s="4"/>
      <c r="G925" s="4"/>
      <c r="H925" s="4"/>
      <c r="I925" s="4"/>
      <c r="J925" s="4"/>
      <c r="K925" s="4"/>
      <c r="L925" s="4"/>
      <c r="M925" s="4"/>
      <c r="N925" s="4"/>
      <c r="O925" s="4"/>
      <c r="P925" s="4"/>
      <c r="Q925" s="4"/>
      <c r="R925" s="4"/>
      <c r="S925" s="4"/>
      <c r="T925" s="4"/>
      <c r="U925" s="4"/>
      <c r="V925" s="4"/>
      <c r="W925" s="4"/>
      <c r="X925" s="4"/>
      <c r="Y925" s="4"/>
      <c r="Z925" s="4"/>
      <c r="AA925" s="4"/>
      <c r="AB925" s="4"/>
      <c r="AC925" s="4"/>
      <c r="AD925" s="4"/>
      <c r="AE925" s="4"/>
      <c r="AF925" s="4"/>
      <c r="AG925" s="4"/>
      <c r="AH925" s="4"/>
      <c r="AI925" s="4"/>
      <c r="AJ925" s="4"/>
      <c r="AK925" s="4"/>
    </row>
    <row r="926" ht="13.5" customHeight="1" spans="1:37" x14ac:dyDescent="0.25">
      <c r="A926" s="344"/>
      <c r="B926" s="4"/>
      <c r="C926" s="4"/>
      <c r="D926" s="4"/>
      <c r="E926" s="4"/>
      <c r="F926" s="4"/>
      <c r="G926" s="4"/>
      <c r="H926" s="4"/>
      <c r="I926" s="4"/>
      <c r="J926" s="4"/>
      <c r="K926" s="4"/>
      <c r="L926" s="4"/>
      <c r="M926" s="4"/>
      <c r="N926" s="4"/>
      <c r="O926" s="4"/>
      <c r="P926" s="4"/>
      <c r="Q926" s="4"/>
      <c r="R926" s="4"/>
      <c r="S926" s="4"/>
      <c r="T926" s="4"/>
      <c r="U926" s="4"/>
      <c r="V926" s="4"/>
      <c r="W926" s="4"/>
      <c r="X926" s="4"/>
      <c r="Y926" s="4"/>
      <c r="Z926" s="4"/>
      <c r="AA926" s="4"/>
      <c r="AB926" s="4"/>
      <c r="AC926" s="4"/>
      <c r="AD926" s="4"/>
      <c r="AE926" s="4"/>
      <c r="AF926" s="4"/>
      <c r="AG926" s="4"/>
      <c r="AH926" s="4"/>
      <c r="AI926" s="4"/>
      <c r="AJ926" s="4"/>
      <c r="AK926" s="4"/>
    </row>
    <row r="927" ht="13.5" customHeight="1" spans="1:37" x14ac:dyDescent="0.25">
      <c r="A927" s="344"/>
      <c r="B927" s="4"/>
      <c r="C927" s="4"/>
      <c r="D927" s="4"/>
      <c r="E927" s="4"/>
      <c r="F927" s="4"/>
      <c r="G927" s="4"/>
      <c r="H927" s="4"/>
      <c r="I927" s="4"/>
      <c r="J927" s="4"/>
      <c r="K927" s="4"/>
      <c r="L927" s="4"/>
      <c r="M927" s="4"/>
      <c r="N927" s="4"/>
      <c r="O927" s="4"/>
      <c r="P927" s="4"/>
      <c r="Q927" s="4"/>
      <c r="R927" s="4"/>
      <c r="S927" s="4"/>
      <c r="T927" s="4"/>
      <c r="U927" s="4"/>
      <c r="V927" s="4"/>
      <c r="W927" s="4"/>
      <c r="X927" s="4"/>
      <c r="Y927" s="4"/>
      <c r="Z927" s="4"/>
      <c r="AA927" s="4"/>
      <c r="AB927" s="4"/>
      <c r="AC927" s="4"/>
      <c r="AD927" s="4"/>
      <c r="AE927" s="4"/>
      <c r="AF927" s="4"/>
      <c r="AG927" s="4"/>
      <c r="AH927" s="4"/>
      <c r="AI927" s="4"/>
      <c r="AJ927" s="4"/>
      <c r="AK927" s="4"/>
    </row>
    <row r="928" ht="13.5" customHeight="1" spans="1:37" x14ac:dyDescent="0.25">
      <c r="A928" s="344"/>
      <c r="B928" s="4"/>
      <c r="C928" s="4"/>
      <c r="D928" s="4"/>
      <c r="E928" s="4"/>
      <c r="F928" s="4"/>
      <c r="G928" s="4"/>
      <c r="H928" s="4"/>
      <c r="I928" s="4"/>
      <c r="J928" s="4"/>
      <c r="K928" s="4"/>
      <c r="L928" s="4"/>
      <c r="M928" s="4"/>
      <c r="N928" s="4"/>
      <c r="O928" s="4"/>
      <c r="P928" s="4"/>
      <c r="Q928" s="4"/>
      <c r="R928" s="4"/>
      <c r="S928" s="4"/>
      <c r="T928" s="4"/>
      <c r="U928" s="4"/>
      <c r="V928" s="4"/>
      <c r="W928" s="4"/>
      <c r="X928" s="4"/>
      <c r="Y928" s="4"/>
      <c r="Z928" s="4"/>
      <c r="AA928" s="4"/>
      <c r="AB928" s="4"/>
      <c r="AC928" s="4"/>
      <c r="AD928" s="4"/>
      <c r="AE928" s="4"/>
      <c r="AF928" s="4"/>
      <c r="AG928" s="4"/>
      <c r="AH928" s="4"/>
      <c r="AI928" s="4"/>
      <c r="AJ928" s="4"/>
      <c r="AK928" s="4"/>
    </row>
    <row r="929" ht="13.5" customHeight="1" spans="1:37" x14ac:dyDescent="0.25">
      <c r="A929" s="344"/>
      <c r="B929" s="4"/>
      <c r="C929" s="4"/>
      <c r="D929" s="4"/>
      <c r="E929" s="4"/>
      <c r="F929" s="4"/>
      <c r="G929" s="4"/>
      <c r="H929" s="4"/>
      <c r="I929" s="4"/>
      <c r="J929" s="4"/>
      <c r="K929" s="4"/>
      <c r="L929" s="4"/>
      <c r="M929" s="4"/>
      <c r="N929" s="4"/>
      <c r="O929" s="4"/>
      <c r="P929" s="4"/>
      <c r="Q929" s="4"/>
      <c r="R929" s="4"/>
      <c r="S929" s="4"/>
      <c r="T929" s="4"/>
      <c r="U929" s="4"/>
      <c r="V929" s="4"/>
      <c r="W929" s="4"/>
      <c r="X929" s="4"/>
      <c r="Y929" s="4"/>
      <c r="Z929" s="4"/>
      <c r="AA929" s="4"/>
      <c r="AB929" s="4"/>
      <c r="AC929" s="4"/>
      <c r="AD929" s="4"/>
      <c r="AE929" s="4"/>
      <c r="AF929" s="4"/>
      <c r="AG929" s="4"/>
      <c r="AH929" s="4"/>
      <c r="AI929" s="4"/>
      <c r="AJ929" s="4"/>
      <c r="AK929" s="4"/>
    </row>
    <row r="930" ht="13.5" customHeight="1" spans="1:37" x14ac:dyDescent="0.25">
      <c r="A930" s="344"/>
      <c r="B930" s="4"/>
      <c r="C930" s="4"/>
      <c r="D930" s="4"/>
      <c r="E930" s="4"/>
      <c r="F930" s="4"/>
      <c r="G930" s="4"/>
      <c r="H930" s="4"/>
      <c r="I930" s="4"/>
      <c r="J930" s="4"/>
      <c r="K930" s="4"/>
      <c r="L930" s="4"/>
      <c r="M930" s="4"/>
      <c r="N930" s="4"/>
      <c r="O930" s="4"/>
      <c r="P930" s="4"/>
      <c r="Q930" s="4"/>
      <c r="R930" s="4"/>
      <c r="S930" s="4"/>
      <c r="T930" s="4"/>
      <c r="U930" s="4"/>
      <c r="V930" s="4"/>
      <c r="W930" s="4"/>
      <c r="X930" s="4"/>
      <c r="Y930" s="4"/>
      <c r="Z930" s="4"/>
      <c r="AA930" s="4"/>
      <c r="AB930" s="4"/>
      <c r="AC930" s="4"/>
      <c r="AD930" s="4"/>
      <c r="AE930" s="4"/>
      <c r="AF930" s="4"/>
      <c r="AG930" s="4"/>
      <c r="AH930" s="4"/>
      <c r="AI930" s="4"/>
      <c r="AJ930" s="4"/>
      <c r="AK930" s="4"/>
    </row>
    <row r="931" ht="13.5" customHeight="1" spans="1:37" x14ac:dyDescent="0.25">
      <c r="A931" s="344"/>
      <c r="B931" s="4"/>
      <c r="C931" s="4"/>
      <c r="D931" s="4"/>
      <c r="E931" s="4"/>
      <c r="F931" s="4"/>
      <c r="G931" s="4"/>
      <c r="H931" s="4"/>
      <c r="I931" s="4"/>
      <c r="J931" s="4"/>
      <c r="K931" s="4"/>
      <c r="L931" s="4"/>
      <c r="M931" s="4"/>
      <c r="N931" s="4"/>
      <c r="O931" s="4"/>
      <c r="P931" s="4"/>
      <c r="Q931" s="4"/>
      <c r="R931" s="4"/>
      <c r="S931" s="4"/>
      <c r="T931" s="4"/>
      <c r="U931" s="4"/>
      <c r="V931" s="4"/>
      <c r="W931" s="4"/>
      <c r="X931" s="4"/>
      <c r="Y931" s="4"/>
      <c r="Z931" s="4"/>
      <c r="AA931" s="4"/>
      <c r="AB931" s="4"/>
      <c r="AC931" s="4"/>
      <c r="AD931" s="4"/>
      <c r="AE931" s="4"/>
      <c r="AF931" s="4"/>
      <c r="AG931" s="4"/>
      <c r="AH931" s="4"/>
      <c r="AI931" s="4"/>
      <c r="AJ931" s="4"/>
      <c r="AK931" s="4"/>
    </row>
    <row r="932" ht="13.5" customHeight="1" spans="1:37" x14ac:dyDescent="0.25">
      <c r="A932" s="344"/>
      <c r="B932" s="4"/>
      <c r="C932" s="4"/>
      <c r="D932" s="4"/>
      <c r="E932" s="4"/>
      <c r="F932" s="4"/>
      <c r="G932" s="4"/>
      <c r="H932" s="4"/>
      <c r="I932" s="4"/>
      <c r="J932" s="4"/>
      <c r="K932" s="4"/>
      <c r="L932" s="4"/>
      <c r="M932" s="4"/>
      <c r="N932" s="4"/>
      <c r="O932" s="4"/>
      <c r="P932" s="4"/>
      <c r="Q932" s="4"/>
      <c r="R932" s="4"/>
      <c r="S932" s="4"/>
      <c r="T932" s="4"/>
      <c r="U932" s="4"/>
      <c r="V932" s="4"/>
      <c r="W932" s="4"/>
      <c r="X932" s="4"/>
      <c r="Y932" s="4"/>
      <c r="Z932" s="4"/>
      <c r="AA932" s="4"/>
      <c r="AB932" s="4"/>
      <c r="AC932" s="4"/>
      <c r="AD932" s="4"/>
      <c r="AE932" s="4"/>
      <c r="AF932" s="4"/>
      <c r="AG932" s="4"/>
      <c r="AH932" s="4"/>
      <c r="AI932" s="4"/>
      <c r="AJ932" s="4"/>
      <c r="AK932" s="4"/>
    </row>
    <row r="933" ht="13.5" customHeight="1" spans="1:37" x14ac:dyDescent="0.25">
      <c r="A933" s="344"/>
      <c r="B933" s="4"/>
      <c r="C933" s="4"/>
      <c r="D933" s="4"/>
      <c r="E933" s="4"/>
      <c r="F933" s="4"/>
      <c r="G933" s="4"/>
      <c r="H933" s="4"/>
      <c r="I933" s="4"/>
      <c r="J933" s="4"/>
      <c r="K933" s="4"/>
      <c r="L933" s="4"/>
      <c r="M933" s="4"/>
      <c r="N933" s="4"/>
      <c r="O933" s="4"/>
      <c r="P933" s="4"/>
      <c r="Q933" s="4"/>
      <c r="R933" s="4"/>
      <c r="S933" s="4"/>
      <c r="T933" s="4"/>
      <c r="U933" s="4"/>
      <c r="V933" s="4"/>
      <c r="W933" s="4"/>
      <c r="X933" s="4"/>
      <c r="Y933" s="4"/>
      <c r="Z933" s="4"/>
      <c r="AA933" s="4"/>
      <c r="AB933" s="4"/>
      <c r="AC933" s="4"/>
      <c r="AD933" s="4"/>
      <c r="AE933" s="4"/>
      <c r="AF933" s="4"/>
      <c r="AG933" s="4"/>
      <c r="AH933" s="4"/>
      <c r="AI933" s="4"/>
      <c r="AJ933" s="4"/>
      <c r="AK933" s="4"/>
    </row>
    <row r="934" ht="13.5" customHeight="1" spans="1:37" x14ac:dyDescent="0.25">
      <c r="A934" s="344"/>
      <c r="B934" s="4"/>
      <c r="C934" s="4"/>
      <c r="D934" s="4"/>
      <c r="E934" s="4"/>
      <c r="F934" s="4"/>
      <c r="G934" s="4"/>
      <c r="H934" s="4"/>
      <c r="I934" s="4"/>
      <c r="J934" s="4"/>
      <c r="K934" s="4"/>
      <c r="L934" s="4"/>
      <c r="M934" s="4"/>
      <c r="N934" s="4"/>
      <c r="O934" s="4"/>
      <c r="P934" s="4"/>
      <c r="Q934" s="4"/>
      <c r="R934" s="4"/>
      <c r="S934" s="4"/>
      <c r="T934" s="4"/>
      <c r="U934" s="4"/>
      <c r="V934" s="4"/>
      <c r="W934" s="4"/>
      <c r="X934" s="4"/>
      <c r="Y934" s="4"/>
      <c r="Z934" s="4"/>
      <c r="AA934" s="4"/>
      <c r="AB934" s="4"/>
      <c r="AC934" s="4"/>
      <c r="AD934" s="4"/>
      <c r="AE934" s="4"/>
      <c r="AF934" s="4"/>
      <c r="AG934" s="4"/>
      <c r="AH934" s="4"/>
      <c r="AI934" s="4"/>
      <c r="AJ934" s="4"/>
      <c r="AK934" s="4"/>
    </row>
    <row r="935" ht="13.5" customHeight="1" spans="1:37" x14ac:dyDescent="0.25">
      <c r="A935" s="344"/>
      <c r="B935" s="4"/>
      <c r="C935" s="4"/>
      <c r="D935" s="4"/>
      <c r="E935" s="4"/>
      <c r="F935" s="4"/>
      <c r="G935" s="4"/>
      <c r="H935" s="4"/>
      <c r="I935" s="4"/>
      <c r="J935" s="4"/>
      <c r="K935" s="4"/>
      <c r="L935" s="4"/>
      <c r="M935" s="4"/>
      <c r="N935" s="4"/>
      <c r="O935" s="4"/>
      <c r="P935" s="4"/>
      <c r="Q935" s="4"/>
      <c r="R935" s="4"/>
      <c r="S935" s="4"/>
      <c r="T935" s="4"/>
      <c r="U935" s="4"/>
      <c r="V935" s="4"/>
      <c r="W935" s="4"/>
      <c r="X935" s="4"/>
      <c r="Y935" s="4"/>
      <c r="Z935" s="4"/>
      <c r="AA935" s="4"/>
      <c r="AB935" s="4"/>
      <c r="AC935" s="4"/>
      <c r="AD935" s="4"/>
      <c r="AE935" s="4"/>
      <c r="AF935" s="4"/>
      <c r="AG935" s="4"/>
      <c r="AH935" s="4"/>
      <c r="AI935" s="4"/>
      <c r="AJ935" s="4"/>
      <c r="AK935" s="4"/>
    </row>
    <row r="936" ht="13.5" customHeight="1" spans="1:37" x14ac:dyDescent="0.25">
      <c r="A936" s="344"/>
      <c r="B936" s="4"/>
      <c r="C936" s="4"/>
      <c r="D936" s="4"/>
      <c r="E936" s="4"/>
      <c r="F936" s="4"/>
      <c r="G936" s="4"/>
      <c r="H936" s="4"/>
      <c r="I936" s="4"/>
      <c r="J936" s="4"/>
      <c r="K936" s="4"/>
      <c r="L936" s="4"/>
      <c r="M936" s="4"/>
      <c r="N936" s="4"/>
      <c r="O936" s="4"/>
      <c r="P936" s="4"/>
      <c r="Q936" s="4"/>
      <c r="R936" s="4"/>
      <c r="S936" s="4"/>
      <c r="T936" s="4"/>
      <c r="U936" s="4"/>
      <c r="V936" s="4"/>
      <c r="W936" s="4"/>
      <c r="X936" s="4"/>
      <c r="Y936" s="4"/>
      <c r="Z936" s="4"/>
      <c r="AA936" s="4"/>
      <c r="AB936" s="4"/>
      <c r="AC936" s="4"/>
      <c r="AD936" s="4"/>
      <c r="AE936" s="4"/>
      <c r="AF936" s="4"/>
      <c r="AG936" s="4"/>
      <c r="AH936" s="4"/>
      <c r="AI936" s="4"/>
      <c r="AJ936" s="4"/>
      <c r="AK936" s="4"/>
    </row>
    <row r="937" ht="13.5" customHeight="1" spans="1:37" x14ac:dyDescent="0.25">
      <c r="A937" s="344"/>
      <c r="B937" s="4"/>
      <c r="C937" s="4"/>
      <c r="D937" s="4"/>
      <c r="E937" s="4"/>
      <c r="F937" s="4"/>
      <c r="G937" s="4"/>
      <c r="H937" s="4"/>
      <c r="I937" s="4"/>
      <c r="J937" s="4"/>
      <c r="K937" s="4"/>
      <c r="L937" s="4"/>
      <c r="M937" s="4"/>
      <c r="N937" s="4"/>
      <c r="O937" s="4"/>
      <c r="P937" s="4"/>
      <c r="Q937" s="4"/>
      <c r="R937" s="4"/>
      <c r="S937" s="4"/>
      <c r="T937" s="4"/>
      <c r="U937" s="4"/>
      <c r="V937" s="4"/>
      <c r="W937" s="4"/>
      <c r="X937" s="4"/>
      <c r="Y937" s="4"/>
      <c r="Z937" s="4"/>
      <c r="AA937" s="4"/>
      <c r="AB937" s="4"/>
      <c r="AC937" s="4"/>
      <c r="AD937" s="4"/>
      <c r="AE937" s="4"/>
      <c r="AF937" s="4"/>
      <c r="AG937" s="4"/>
      <c r="AH937" s="4"/>
      <c r="AI937" s="4"/>
      <c r="AJ937" s="4"/>
      <c r="AK937" s="4"/>
    </row>
    <row r="938" ht="13.5" customHeight="1" spans="1:37" x14ac:dyDescent="0.25">
      <c r="A938" s="344"/>
      <c r="B938" s="4"/>
      <c r="C938" s="4"/>
      <c r="D938" s="4"/>
      <c r="E938" s="4"/>
      <c r="F938" s="4"/>
      <c r="G938" s="4"/>
      <c r="H938" s="4"/>
      <c r="I938" s="4"/>
      <c r="J938" s="4"/>
      <c r="K938" s="4"/>
      <c r="L938" s="4"/>
      <c r="M938" s="4"/>
      <c r="N938" s="4"/>
      <c r="O938" s="4"/>
      <c r="P938" s="4"/>
      <c r="Q938" s="4"/>
      <c r="R938" s="4"/>
      <c r="S938" s="4"/>
      <c r="T938" s="4"/>
      <c r="U938" s="4"/>
      <c r="V938" s="4"/>
      <c r="W938" s="4"/>
      <c r="X938" s="4"/>
      <c r="Y938" s="4"/>
      <c r="Z938" s="4"/>
      <c r="AA938" s="4"/>
      <c r="AB938" s="4"/>
      <c r="AC938" s="4"/>
      <c r="AD938" s="4"/>
      <c r="AE938" s="4"/>
      <c r="AF938" s="4"/>
      <c r="AG938" s="4"/>
      <c r="AH938" s="4"/>
      <c r="AI938" s="4"/>
      <c r="AJ938" s="4"/>
      <c r="AK938" s="4"/>
    </row>
    <row r="939" ht="13.5" customHeight="1" spans="1:37" x14ac:dyDescent="0.25">
      <c r="A939" s="344"/>
      <c r="B939" s="4"/>
      <c r="C939" s="4"/>
      <c r="D939" s="4"/>
      <c r="E939" s="4"/>
      <c r="F939" s="4"/>
      <c r="G939" s="4"/>
      <c r="H939" s="4"/>
      <c r="I939" s="4"/>
      <c r="J939" s="4"/>
      <c r="K939" s="4"/>
      <c r="L939" s="4"/>
      <c r="M939" s="4"/>
      <c r="N939" s="4"/>
      <c r="O939" s="4"/>
      <c r="P939" s="4"/>
      <c r="Q939" s="4"/>
      <c r="R939" s="4"/>
      <c r="S939" s="4"/>
      <c r="T939" s="4"/>
      <c r="U939" s="4"/>
      <c r="V939" s="4"/>
      <c r="W939" s="4"/>
      <c r="X939" s="4"/>
      <c r="Y939" s="4"/>
      <c r="Z939" s="4"/>
      <c r="AA939" s="4"/>
      <c r="AB939" s="4"/>
      <c r="AC939" s="4"/>
      <c r="AD939" s="4"/>
      <c r="AE939" s="4"/>
      <c r="AF939" s="4"/>
      <c r="AG939" s="4"/>
      <c r="AH939" s="4"/>
      <c r="AI939" s="4"/>
      <c r="AJ939" s="4"/>
      <c r="AK939" s="4"/>
    </row>
    <row r="940" ht="13.5" customHeight="1" spans="1:37" x14ac:dyDescent="0.25">
      <c r="A940" s="344"/>
      <c r="B940" s="4"/>
      <c r="C940" s="4"/>
      <c r="D940" s="4"/>
      <c r="E940" s="4"/>
      <c r="F940" s="4"/>
      <c r="G940" s="4"/>
      <c r="H940" s="4"/>
      <c r="I940" s="4"/>
      <c r="J940" s="4"/>
      <c r="K940" s="4"/>
      <c r="L940" s="4"/>
      <c r="M940" s="4"/>
      <c r="N940" s="4"/>
      <c r="O940" s="4"/>
      <c r="P940" s="4"/>
      <c r="Q940" s="4"/>
      <c r="R940" s="4"/>
      <c r="S940" s="4"/>
      <c r="T940" s="4"/>
      <c r="U940" s="4"/>
      <c r="V940" s="4"/>
      <c r="W940" s="4"/>
      <c r="X940" s="4"/>
      <c r="Y940" s="4"/>
      <c r="Z940" s="4"/>
      <c r="AA940" s="4"/>
      <c r="AB940" s="4"/>
      <c r="AC940" s="4"/>
      <c r="AD940" s="4"/>
      <c r="AE940" s="4"/>
      <c r="AF940" s="4"/>
      <c r="AG940" s="4"/>
      <c r="AH940" s="4"/>
      <c r="AI940" s="4"/>
      <c r="AJ940" s="4"/>
      <c r="AK940" s="4"/>
    </row>
    <row r="941" ht="13.5" customHeight="1" spans="1:37" x14ac:dyDescent="0.25">
      <c r="A941" s="344"/>
      <c r="B941" s="4"/>
      <c r="C941" s="4"/>
      <c r="D941" s="4"/>
      <c r="E941" s="4"/>
      <c r="F941" s="4"/>
      <c r="G941" s="4"/>
      <c r="H941" s="4"/>
      <c r="I941" s="4"/>
      <c r="J941" s="4"/>
      <c r="K941" s="4"/>
      <c r="L941" s="4"/>
      <c r="M941" s="4"/>
      <c r="N941" s="4"/>
      <c r="O941" s="4"/>
      <c r="P941" s="4"/>
      <c r="Q941" s="4"/>
      <c r="R941" s="4"/>
      <c r="S941" s="4"/>
      <c r="T941" s="4"/>
      <c r="U941" s="4"/>
      <c r="V941" s="4"/>
      <c r="W941" s="4"/>
      <c r="X941" s="4"/>
      <c r="Y941" s="4"/>
      <c r="Z941" s="4"/>
      <c r="AA941" s="4"/>
      <c r="AB941" s="4"/>
      <c r="AC941" s="4"/>
      <c r="AD941" s="4"/>
      <c r="AE941" s="4"/>
      <c r="AF941" s="4"/>
      <c r="AG941" s="4"/>
      <c r="AH941" s="4"/>
      <c r="AI941" s="4"/>
      <c r="AJ941" s="4"/>
      <c r="AK941" s="4"/>
    </row>
    <row r="942" ht="13.5" customHeight="1" spans="1:37" x14ac:dyDescent="0.25">
      <c r="A942" s="344"/>
      <c r="B942" s="4"/>
      <c r="C942" s="4"/>
      <c r="D942" s="4"/>
      <c r="E942" s="4"/>
      <c r="F942" s="4"/>
      <c r="G942" s="4"/>
      <c r="H942" s="4"/>
      <c r="I942" s="4"/>
      <c r="J942" s="4"/>
      <c r="K942" s="4"/>
      <c r="L942" s="4"/>
      <c r="M942" s="4"/>
      <c r="N942" s="4"/>
      <c r="O942" s="4"/>
      <c r="P942" s="4"/>
      <c r="Q942" s="4"/>
      <c r="R942" s="4"/>
      <c r="S942" s="4"/>
      <c r="T942" s="4"/>
      <c r="U942" s="4"/>
      <c r="V942" s="4"/>
      <c r="W942" s="4"/>
      <c r="X942" s="4"/>
      <c r="Y942" s="4"/>
      <c r="Z942" s="4"/>
      <c r="AA942" s="4"/>
      <c r="AB942" s="4"/>
      <c r="AC942" s="4"/>
      <c r="AD942" s="4"/>
      <c r="AE942" s="4"/>
      <c r="AF942" s="4"/>
      <c r="AG942" s="4"/>
      <c r="AH942" s="4"/>
      <c r="AI942" s="4"/>
      <c r="AJ942" s="4"/>
      <c r="AK942" s="4"/>
    </row>
    <row r="943" ht="13.5" customHeight="1" spans="1:37" x14ac:dyDescent="0.25">
      <c r="A943" s="344"/>
      <c r="B943" s="4"/>
      <c r="C943" s="4"/>
      <c r="D943" s="4"/>
      <c r="E943" s="4"/>
      <c r="F943" s="4"/>
      <c r="G943" s="4"/>
      <c r="H943" s="4"/>
      <c r="I943" s="4"/>
      <c r="J943" s="4"/>
      <c r="K943" s="4"/>
      <c r="L943" s="4"/>
      <c r="M943" s="4"/>
      <c r="N943" s="4"/>
      <c r="O943" s="4"/>
      <c r="P943" s="4"/>
      <c r="Q943" s="4"/>
      <c r="R943" s="4"/>
      <c r="S943" s="4"/>
      <c r="T943" s="4"/>
      <c r="U943" s="4"/>
      <c r="V943" s="4"/>
      <c r="W943" s="4"/>
      <c r="X943" s="4"/>
      <c r="Y943" s="4"/>
      <c r="Z943" s="4"/>
      <c r="AA943" s="4"/>
      <c r="AB943" s="4"/>
      <c r="AC943" s="4"/>
      <c r="AD943" s="4"/>
      <c r="AE943" s="4"/>
      <c r="AF943" s="4"/>
      <c r="AG943" s="4"/>
      <c r="AH943" s="4"/>
      <c r="AI943" s="4"/>
      <c r="AJ943" s="4"/>
      <c r="AK943" s="4"/>
    </row>
    <row r="944" ht="13.5" customHeight="1" spans="1:37" x14ac:dyDescent="0.25">
      <c r="A944" s="344"/>
      <c r="B944" s="4"/>
      <c r="C944" s="4"/>
      <c r="D944" s="4"/>
      <c r="E944" s="4"/>
      <c r="F944" s="4"/>
      <c r="G944" s="4"/>
      <c r="H944" s="4"/>
      <c r="I944" s="4"/>
      <c r="J944" s="4"/>
      <c r="K944" s="4"/>
      <c r="L944" s="4"/>
      <c r="M944" s="4"/>
      <c r="N944" s="4"/>
      <c r="O944" s="4"/>
      <c r="P944" s="4"/>
      <c r="Q944" s="4"/>
      <c r="R944" s="4"/>
      <c r="S944" s="4"/>
      <c r="T944" s="4"/>
      <c r="U944" s="4"/>
      <c r="V944" s="4"/>
      <c r="W944" s="4"/>
      <c r="X944" s="4"/>
      <c r="Y944" s="4"/>
      <c r="Z944" s="4"/>
      <c r="AA944" s="4"/>
      <c r="AB944" s="4"/>
      <c r="AC944" s="4"/>
      <c r="AD944" s="4"/>
      <c r="AE944" s="4"/>
      <c r="AF944" s="4"/>
      <c r="AG944" s="4"/>
      <c r="AH944" s="4"/>
      <c r="AI944" s="4"/>
      <c r="AJ944" s="4"/>
      <c r="AK944" s="4"/>
    </row>
    <row r="945" ht="13.5" customHeight="1" spans="1:37" x14ac:dyDescent="0.25">
      <c r="A945" s="344"/>
      <c r="B945" s="4"/>
      <c r="C945" s="4"/>
      <c r="D945" s="4"/>
      <c r="E945" s="4"/>
      <c r="F945" s="4"/>
      <c r="G945" s="4"/>
      <c r="H945" s="4"/>
      <c r="I945" s="4"/>
      <c r="J945" s="4"/>
      <c r="K945" s="4"/>
      <c r="L945" s="4"/>
      <c r="M945" s="4"/>
      <c r="N945" s="4"/>
      <c r="O945" s="4"/>
      <c r="P945" s="4"/>
      <c r="Q945" s="4"/>
      <c r="R945" s="4"/>
      <c r="S945" s="4"/>
      <c r="T945" s="4"/>
      <c r="U945" s="4"/>
      <c r="V945" s="4"/>
      <c r="W945" s="4"/>
      <c r="X945" s="4"/>
      <c r="Y945" s="4"/>
      <c r="Z945" s="4"/>
      <c r="AA945" s="4"/>
      <c r="AB945" s="4"/>
      <c r="AC945" s="4"/>
      <c r="AD945" s="4"/>
      <c r="AE945" s="4"/>
      <c r="AF945" s="4"/>
      <c r="AG945" s="4"/>
      <c r="AH945" s="4"/>
      <c r="AI945" s="4"/>
      <c r="AJ945" s="4"/>
      <c r="AK945" s="4"/>
    </row>
    <row r="946" ht="13.5" customHeight="1" spans="1:37" x14ac:dyDescent="0.25">
      <c r="A946" s="344"/>
      <c r="B946" s="4"/>
      <c r="C946" s="4"/>
      <c r="D946" s="4"/>
      <c r="E946" s="4"/>
      <c r="F946" s="4"/>
      <c r="G946" s="4"/>
      <c r="H946" s="4"/>
      <c r="I946" s="4"/>
      <c r="J946" s="4"/>
      <c r="K946" s="4"/>
      <c r="L946" s="4"/>
      <c r="M946" s="4"/>
      <c r="N946" s="4"/>
      <c r="O946" s="4"/>
      <c r="P946" s="4"/>
      <c r="Q946" s="4"/>
      <c r="R946" s="4"/>
      <c r="S946" s="4"/>
      <c r="T946" s="4"/>
      <c r="U946" s="4"/>
      <c r="V946" s="4"/>
      <c r="W946" s="4"/>
      <c r="X946" s="4"/>
      <c r="Y946" s="4"/>
      <c r="Z946" s="4"/>
      <c r="AA946" s="4"/>
      <c r="AB946" s="4"/>
      <c r="AC946" s="4"/>
      <c r="AD946" s="4"/>
      <c r="AE946" s="4"/>
      <c r="AF946" s="4"/>
      <c r="AG946" s="4"/>
      <c r="AH946" s="4"/>
      <c r="AI946" s="4"/>
      <c r="AJ946" s="4"/>
      <c r="AK946" s="4"/>
    </row>
    <row r="947" ht="13.5" customHeight="1" spans="1:37" x14ac:dyDescent="0.25">
      <c r="A947" s="344"/>
      <c r="B947" s="4"/>
      <c r="C947" s="4"/>
      <c r="D947" s="4"/>
      <c r="E947" s="4"/>
      <c r="F947" s="4"/>
      <c r="G947" s="4"/>
      <c r="H947" s="4"/>
      <c r="I947" s="4"/>
      <c r="J947" s="4"/>
      <c r="K947" s="4"/>
      <c r="L947" s="4"/>
      <c r="M947" s="4"/>
      <c r="N947" s="4"/>
      <c r="O947" s="4"/>
      <c r="P947" s="4"/>
      <c r="Q947" s="4"/>
      <c r="R947" s="4"/>
      <c r="S947" s="4"/>
      <c r="T947" s="4"/>
      <c r="U947" s="4"/>
      <c r="V947" s="4"/>
      <c r="W947" s="4"/>
      <c r="X947" s="4"/>
      <c r="Y947" s="4"/>
      <c r="Z947" s="4"/>
      <c r="AA947" s="4"/>
      <c r="AB947" s="4"/>
      <c r="AC947" s="4"/>
      <c r="AD947" s="4"/>
      <c r="AE947" s="4"/>
      <c r="AF947" s="4"/>
      <c r="AG947" s="4"/>
      <c r="AH947" s="4"/>
      <c r="AI947" s="4"/>
      <c r="AJ947" s="4"/>
      <c r="AK947" s="4"/>
    </row>
    <row r="948" ht="13.5" customHeight="1" spans="1:37" x14ac:dyDescent="0.25">
      <c r="A948" s="344"/>
      <c r="B948" s="4"/>
      <c r="C948" s="4"/>
      <c r="D948" s="4"/>
      <c r="E948" s="4"/>
      <c r="F948" s="4"/>
      <c r="G948" s="4"/>
      <c r="H948" s="4"/>
      <c r="I948" s="4"/>
      <c r="J948" s="4"/>
      <c r="K948" s="4"/>
      <c r="L948" s="4"/>
      <c r="M948" s="4"/>
      <c r="N948" s="4"/>
      <c r="O948" s="4"/>
      <c r="P948" s="4"/>
      <c r="Q948" s="4"/>
      <c r="R948" s="4"/>
      <c r="S948" s="4"/>
      <c r="T948" s="4"/>
      <c r="U948" s="4"/>
      <c r="V948" s="4"/>
      <c r="W948" s="4"/>
      <c r="X948" s="4"/>
      <c r="Y948" s="4"/>
      <c r="Z948" s="4"/>
      <c r="AA948" s="4"/>
      <c r="AB948" s="4"/>
      <c r="AC948" s="4"/>
      <c r="AD948" s="4"/>
      <c r="AE948" s="4"/>
      <c r="AF948" s="4"/>
      <c r="AG948" s="4"/>
      <c r="AH948" s="4"/>
      <c r="AI948" s="4"/>
      <c r="AJ948" s="4"/>
      <c r="AK948" s="4"/>
    </row>
    <row r="949" ht="13.5" customHeight="1" spans="1:37" x14ac:dyDescent="0.25">
      <c r="A949" s="344"/>
      <c r="B949" s="4"/>
      <c r="C949" s="4"/>
      <c r="D949" s="4"/>
      <c r="E949" s="4"/>
      <c r="F949" s="4"/>
      <c r="G949" s="4"/>
      <c r="H949" s="4"/>
      <c r="I949" s="4"/>
      <c r="J949" s="4"/>
      <c r="K949" s="4"/>
      <c r="L949" s="4"/>
      <c r="M949" s="4"/>
      <c r="N949" s="4"/>
      <c r="O949" s="4"/>
      <c r="P949" s="4"/>
      <c r="Q949" s="4"/>
      <c r="R949" s="4"/>
      <c r="S949" s="4"/>
      <c r="T949" s="4"/>
      <c r="U949" s="4"/>
      <c r="V949" s="4"/>
      <c r="W949" s="4"/>
      <c r="X949" s="4"/>
      <c r="Y949" s="4"/>
      <c r="Z949" s="4"/>
      <c r="AA949" s="4"/>
      <c r="AB949" s="4"/>
      <c r="AC949" s="4"/>
      <c r="AD949" s="4"/>
      <c r="AE949" s="4"/>
      <c r="AF949" s="4"/>
      <c r="AG949" s="4"/>
      <c r="AH949" s="4"/>
      <c r="AI949" s="4"/>
      <c r="AJ949" s="4"/>
      <c r="AK949" s="4"/>
    </row>
    <row r="950" ht="13.5" customHeight="1" spans="1:37" x14ac:dyDescent="0.25">
      <c r="A950" s="344"/>
      <c r="B950" s="4"/>
      <c r="C950" s="4"/>
      <c r="D950" s="4"/>
      <c r="E950" s="4"/>
      <c r="F950" s="4"/>
      <c r="G950" s="4"/>
      <c r="H950" s="4"/>
      <c r="I950" s="4"/>
      <c r="J950" s="4"/>
      <c r="K950" s="4"/>
      <c r="L950" s="4"/>
      <c r="M950" s="4"/>
      <c r="N950" s="4"/>
      <c r="O950" s="4"/>
      <c r="P950" s="4"/>
      <c r="Q950" s="4"/>
      <c r="R950" s="4"/>
      <c r="S950" s="4"/>
      <c r="T950" s="4"/>
      <c r="U950" s="4"/>
      <c r="V950" s="4"/>
      <c r="W950" s="4"/>
      <c r="X950" s="4"/>
      <c r="Y950" s="4"/>
      <c r="Z950" s="4"/>
      <c r="AA950" s="4"/>
      <c r="AB950" s="4"/>
      <c r="AC950" s="4"/>
      <c r="AD950" s="4"/>
      <c r="AE950" s="4"/>
      <c r="AF950" s="4"/>
      <c r="AG950" s="4"/>
      <c r="AH950" s="4"/>
      <c r="AI950" s="4"/>
      <c r="AJ950" s="4"/>
      <c r="AK950" s="4"/>
    </row>
    <row r="951" ht="13.5" customHeight="1" spans="1:37" x14ac:dyDescent="0.25">
      <c r="A951" s="344"/>
      <c r="B951" s="4"/>
      <c r="C951" s="4"/>
      <c r="D951" s="4"/>
      <c r="E951" s="4"/>
      <c r="F951" s="4"/>
      <c r="G951" s="4"/>
      <c r="H951" s="4"/>
      <c r="I951" s="4"/>
      <c r="J951" s="4"/>
      <c r="K951" s="4"/>
      <c r="L951" s="4"/>
      <c r="M951" s="4"/>
      <c r="N951" s="4"/>
      <c r="O951" s="4"/>
      <c r="P951" s="4"/>
      <c r="Q951" s="4"/>
      <c r="R951" s="4"/>
      <c r="S951" s="4"/>
      <c r="T951" s="4"/>
      <c r="U951" s="4"/>
      <c r="V951" s="4"/>
      <c r="W951" s="4"/>
      <c r="X951" s="4"/>
      <c r="Y951" s="4"/>
      <c r="Z951" s="4"/>
      <c r="AA951" s="4"/>
      <c r="AB951" s="4"/>
      <c r="AC951" s="4"/>
      <c r="AD951" s="4"/>
      <c r="AE951" s="4"/>
      <c r="AF951" s="4"/>
      <c r="AG951" s="4"/>
      <c r="AH951" s="4"/>
      <c r="AI951" s="4"/>
      <c r="AJ951" s="4"/>
      <c r="AK951" s="4"/>
    </row>
    <row r="952" ht="13.5" customHeight="1" spans="1:37" x14ac:dyDescent="0.25">
      <c r="A952" s="344"/>
      <c r="B952" s="4"/>
      <c r="C952" s="4"/>
      <c r="D952" s="4"/>
      <c r="E952" s="4"/>
      <c r="F952" s="4"/>
      <c r="G952" s="4"/>
      <c r="H952" s="4"/>
      <c r="I952" s="4"/>
      <c r="J952" s="4"/>
      <c r="K952" s="4"/>
      <c r="L952" s="4"/>
      <c r="M952" s="4"/>
      <c r="N952" s="4"/>
      <c r="O952" s="4"/>
      <c r="P952" s="4"/>
      <c r="Q952" s="4"/>
      <c r="R952" s="4"/>
      <c r="S952" s="4"/>
      <c r="T952" s="4"/>
      <c r="U952" s="4"/>
      <c r="V952" s="4"/>
      <c r="W952" s="4"/>
      <c r="X952" s="4"/>
      <c r="Y952" s="4"/>
      <c r="Z952" s="4"/>
      <c r="AA952" s="4"/>
      <c r="AB952" s="4"/>
      <c r="AC952" s="4"/>
      <c r="AD952" s="4"/>
      <c r="AE952" s="4"/>
      <c r="AF952" s="4"/>
      <c r="AG952" s="4"/>
      <c r="AH952" s="4"/>
      <c r="AI952" s="4"/>
      <c r="AJ952" s="4"/>
      <c r="AK952" s="4"/>
    </row>
    <row r="953" ht="13.5" customHeight="1" spans="1:37" x14ac:dyDescent="0.25">
      <c r="A953" s="344"/>
      <c r="B953" s="4"/>
      <c r="C953" s="4"/>
      <c r="D953" s="4"/>
      <c r="E953" s="4"/>
      <c r="F953" s="4"/>
      <c r="G953" s="4"/>
      <c r="H953" s="4"/>
      <c r="I953" s="4"/>
      <c r="J953" s="4"/>
      <c r="K953" s="4"/>
      <c r="L953" s="4"/>
      <c r="M953" s="4"/>
      <c r="N953" s="4"/>
      <c r="O953" s="4"/>
      <c r="P953" s="4"/>
      <c r="Q953" s="4"/>
      <c r="R953" s="4"/>
      <c r="S953" s="4"/>
      <c r="T953" s="4"/>
      <c r="U953" s="4"/>
      <c r="V953" s="4"/>
      <c r="W953" s="4"/>
      <c r="X953" s="4"/>
      <c r="Y953" s="4"/>
      <c r="Z953" s="4"/>
      <c r="AA953" s="4"/>
      <c r="AB953" s="4"/>
      <c r="AC953" s="4"/>
      <c r="AD953" s="4"/>
      <c r="AE953" s="4"/>
      <c r="AF953" s="4"/>
      <c r="AG953" s="4"/>
      <c r="AH953" s="4"/>
      <c r="AI953" s="4"/>
      <c r="AJ953" s="4"/>
      <c r="AK953" s="4"/>
    </row>
    <row r="954" ht="13.5" customHeight="1" spans="1:37" x14ac:dyDescent="0.25">
      <c r="A954" s="344"/>
      <c r="B954" s="4"/>
      <c r="C954" s="4"/>
      <c r="D954" s="4"/>
      <c r="E954" s="4"/>
      <c r="F954" s="4"/>
      <c r="G954" s="4"/>
      <c r="H954" s="4"/>
      <c r="I954" s="4"/>
      <c r="J954" s="4"/>
      <c r="K954" s="4"/>
      <c r="L954" s="4"/>
      <c r="M954" s="4"/>
      <c r="N954" s="4"/>
      <c r="O954" s="4"/>
      <c r="P954" s="4"/>
      <c r="Q954" s="4"/>
      <c r="R954" s="4"/>
      <c r="S954" s="4"/>
      <c r="T954" s="4"/>
      <c r="U954" s="4"/>
      <c r="V954" s="4"/>
      <c r="W954" s="4"/>
      <c r="X954" s="4"/>
      <c r="Y954" s="4"/>
      <c r="Z954" s="4"/>
      <c r="AA954" s="4"/>
      <c r="AB954" s="4"/>
      <c r="AC954" s="4"/>
      <c r="AD954" s="4"/>
      <c r="AE954" s="4"/>
      <c r="AF954" s="4"/>
      <c r="AG954" s="4"/>
      <c r="AH954" s="4"/>
      <c r="AI954" s="4"/>
      <c r="AJ954" s="4"/>
      <c r="AK954" s="4"/>
    </row>
    <row r="955" ht="13.5" customHeight="1" spans="1:37" x14ac:dyDescent="0.25">
      <c r="A955" s="344"/>
      <c r="B955" s="4"/>
      <c r="C955" s="4"/>
      <c r="D955" s="4"/>
      <c r="E955" s="4"/>
      <c r="F955" s="4"/>
      <c r="G955" s="4"/>
      <c r="H955" s="4"/>
      <c r="I955" s="4"/>
      <c r="J955" s="4"/>
      <c r="K955" s="4"/>
      <c r="L955" s="4"/>
      <c r="M955" s="4"/>
      <c r="N955" s="4"/>
      <c r="O955" s="4"/>
      <c r="P955" s="4"/>
      <c r="Q955" s="4"/>
      <c r="R955" s="4"/>
      <c r="S955" s="4"/>
      <c r="T955" s="4"/>
      <c r="U955" s="4"/>
      <c r="V955" s="4"/>
      <c r="W955" s="4"/>
      <c r="X955" s="4"/>
      <c r="Y955" s="4"/>
      <c r="Z955" s="4"/>
      <c r="AA955" s="4"/>
      <c r="AB955" s="4"/>
      <c r="AC955" s="4"/>
      <c r="AD955" s="4"/>
      <c r="AE955" s="4"/>
      <c r="AF955" s="4"/>
      <c r="AG955" s="4"/>
      <c r="AH955" s="4"/>
      <c r="AI955" s="4"/>
      <c r="AJ955" s="4"/>
      <c r="AK955" s="4"/>
    </row>
    <row r="956" ht="13.5" customHeight="1" spans="1:37" x14ac:dyDescent="0.25">
      <c r="A956" s="344"/>
      <c r="B956" s="4"/>
      <c r="C956" s="4"/>
      <c r="D956" s="4"/>
      <c r="E956" s="4"/>
      <c r="F956" s="4"/>
      <c r="G956" s="4"/>
      <c r="H956" s="4"/>
      <c r="I956" s="4"/>
      <c r="J956" s="4"/>
      <c r="K956" s="4"/>
      <c r="L956" s="4"/>
      <c r="M956" s="4"/>
      <c r="N956" s="4"/>
      <c r="O956" s="4"/>
      <c r="P956" s="4"/>
      <c r="Q956" s="4"/>
      <c r="R956" s="4"/>
      <c r="S956" s="4"/>
      <c r="T956" s="4"/>
      <c r="U956" s="4"/>
      <c r="V956" s="4"/>
      <c r="W956" s="4"/>
      <c r="X956" s="4"/>
      <c r="Y956" s="4"/>
      <c r="Z956" s="4"/>
      <c r="AA956" s="4"/>
      <c r="AB956" s="4"/>
      <c r="AC956" s="4"/>
      <c r="AD956" s="4"/>
      <c r="AE956" s="4"/>
      <c r="AF956" s="4"/>
      <c r="AG956" s="4"/>
      <c r="AH956" s="4"/>
      <c r="AI956" s="4"/>
      <c r="AJ956" s="4"/>
      <c r="AK956" s="4"/>
    </row>
    <row r="957" ht="13.5" customHeight="1" spans="1:37" x14ac:dyDescent="0.25">
      <c r="A957" s="344"/>
      <c r="B957" s="4"/>
      <c r="C957" s="4"/>
      <c r="D957" s="4"/>
      <c r="E957" s="4"/>
      <c r="F957" s="4"/>
      <c r="G957" s="4"/>
      <c r="H957" s="4"/>
      <c r="I957" s="4"/>
      <c r="J957" s="4"/>
      <c r="K957" s="4"/>
      <c r="L957" s="4"/>
      <c r="M957" s="4"/>
      <c r="N957" s="4"/>
      <c r="O957" s="4"/>
      <c r="P957" s="4"/>
      <c r="Q957" s="4"/>
      <c r="R957" s="4"/>
      <c r="S957" s="4"/>
      <c r="T957" s="4"/>
      <c r="U957" s="4"/>
      <c r="V957" s="4"/>
      <c r="W957" s="4"/>
      <c r="X957" s="4"/>
      <c r="Y957" s="4"/>
      <c r="Z957" s="4"/>
      <c r="AA957" s="4"/>
      <c r="AB957" s="4"/>
      <c r="AC957" s="4"/>
      <c r="AD957" s="4"/>
      <c r="AE957" s="4"/>
      <c r="AF957" s="4"/>
      <c r="AG957" s="4"/>
      <c r="AH957" s="4"/>
      <c r="AI957" s="4"/>
      <c r="AJ957" s="4"/>
      <c r="AK957" s="4"/>
    </row>
    <row r="958" ht="13.5" customHeight="1" spans="1:37" x14ac:dyDescent="0.25">
      <c r="A958" s="344"/>
      <c r="B958" s="4"/>
      <c r="C958" s="4"/>
      <c r="D958" s="4"/>
      <c r="E958" s="4"/>
      <c r="F958" s="4"/>
      <c r="G958" s="4"/>
      <c r="H958" s="4"/>
      <c r="I958" s="4"/>
      <c r="J958" s="4"/>
      <c r="K958" s="4"/>
      <c r="L958" s="4"/>
      <c r="M958" s="4"/>
      <c r="N958" s="4"/>
      <c r="O958" s="4"/>
      <c r="P958" s="4"/>
      <c r="Q958" s="4"/>
      <c r="R958" s="4"/>
      <c r="S958" s="4"/>
      <c r="T958" s="4"/>
      <c r="U958" s="4"/>
      <c r="V958" s="4"/>
      <c r="W958" s="4"/>
      <c r="X958" s="4"/>
      <c r="Y958" s="4"/>
      <c r="Z958" s="4"/>
      <c r="AA958" s="4"/>
      <c r="AB958" s="4"/>
      <c r="AC958" s="4"/>
      <c r="AD958" s="4"/>
      <c r="AE958" s="4"/>
      <c r="AF958" s="4"/>
      <c r="AG958" s="4"/>
      <c r="AH958" s="4"/>
      <c r="AI958" s="4"/>
      <c r="AJ958" s="4"/>
      <c r="AK958" s="4"/>
    </row>
    <row r="959" ht="13.5" customHeight="1" spans="1:37" x14ac:dyDescent="0.25">
      <c r="A959" s="344"/>
      <c r="B959" s="4"/>
      <c r="C959" s="4"/>
      <c r="D959" s="4"/>
      <c r="E959" s="4"/>
      <c r="F959" s="4"/>
      <c r="G959" s="4"/>
      <c r="H959" s="4"/>
      <c r="I959" s="4"/>
      <c r="J959" s="4"/>
      <c r="K959" s="4"/>
      <c r="L959" s="4"/>
      <c r="M959" s="4"/>
      <c r="N959" s="4"/>
      <c r="O959" s="4"/>
      <c r="P959" s="4"/>
      <c r="Q959" s="4"/>
      <c r="R959" s="4"/>
      <c r="S959" s="4"/>
      <c r="T959" s="4"/>
      <c r="U959" s="4"/>
      <c r="V959" s="4"/>
      <c r="W959" s="4"/>
      <c r="X959" s="4"/>
      <c r="Y959" s="4"/>
      <c r="Z959" s="4"/>
      <c r="AA959" s="4"/>
      <c r="AB959" s="4"/>
      <c r="AC959" s="4"/>
      <c r="AD959" s="4"/>
      <c r="AE959" s="4"/>
      <c r="AF959" s="4"/>
      <c r="AG959" s="4"/>
      <c r="AH959" s="4"/>
      <c r="AI959" s="4"/>
      <c r="AJ959" s="4"/>
      <c r="AK959" s="4"/>
    </row>
    <row r="960" ht="13.5" customHeight="1" spans="1:37" x14ac:dyDescent="0.25">
      <c r="A960" s="344"/>
      <c r="B960" s="4"/>
      <c r="C960" s="4"/>
      <c r="D960" s="4"/>
      <c r="E960" s="4"/>
      <c r="F960" s="4"/>
      <c r="G960" s="4"/>
      <c r="H960" s="4"/>
      <c r="I960" s="4"/>
      <c r="J960" s="4"/>
      <c r="K960" s="4"/>
      <c r="L960" s="4"/>
      <c r="M960" s="4"/>
      <c r="N960" s="4"/>
      <c r="O960" s="4"/>
      <c r="P960" s="4"/>
      <c r="Q960" s="4"/>
      <c r="R960" s="4"/>
      <c r="S960" s="4"/>
      <c r="T960" s="4"/>
      <c r="U960" s="4"/>
      <c r="V960" s="4"/>
      <c r="W960" s="4"/>
      <c r="X960" s="4"/>
      <c r="Y960" s="4"/>
      <c r="Z960" s="4"/>
      <c r="AA960" s="4"/>
      <c r="AB960" s="4"/>
      <c r="AC960" s="4"/>
      <c r="AD960" s="4"/>
      <c r="AE960" s="4"/>
      <c r="AF960" s="4"/>
      <c r="AG960" s="4"/>
      <c r="AH960" s="4"/>
      <c r="AI960" s="4"/>
      <c r="AJ960" s="4"/>
      <c r="AK960" s="4"/>
    </row>
    <row r="961" ht="13.5" customHeight="1" spans="1:37" x14ac:dyDescent="0.25">
      <c r="A961" s="344"/>
      <c r="B961" s="4"/>
      <c r="C961" s="4"/>
      <c r="D961" s="4"/>
      <c r="E961" s="4"/>
      <c r="F961" s="4"/>
      <c r="G961" s="4"/>
      <c r="H961" s="4"/>
      <c r="I961" s="4"/>
      <c r="J961" s="4"/>
      <c r="K961" s="4"/>
      <c r="L961" s="4"/>
      <c r="M961" s="4"/>
      <c r="N961" s="4"/>
      <c r="O961" s="4"/>
      <c r="P961" s="4"/>
      <c r="Q961" s="4"/>
      <c r="R961" s="4"/>
      <c r="S961" s="4"/>
      <c r="T961" s="4"/>
      <c r="U961" s="4"/>
      <c r="V961" s="4"/>
      <c r="W961" s="4"/>
      <c r="X961" s="4"/>
      <c r="Y961" s="4"/>
      <c r="Z961" s="4"/>
      <c r="AA961" s="4"/>
      <c r="AB961" s="4"/>
      <c r="AC961" s="4"/>
      <c r="AD961" s="4"/>
      <c r="AE961" s="4"/>
      <c r="AF961" s="4"/>
      <c r="AG961" s="4"/>
      <c r="AH961" s="4"/>
      <c r="AI961" s="4"/>
      <c r="AJ961" s="4"/>
      <c r="AK961" s="4"/>
    </row>
    <row r="962" ht="13.5" customHeight="1" spans="1:37" x14ac:dyDescent="0.25">
      <c r="A962" s="344"/>
      <c r="B962" s="4"/>
      <c r="C962" s="4"/>
      <c r="D962" s="4"/>
      <c r="E962" s="4"/>
      <c r="F962" s="4"/>
      <c r="G962" s="4"/>
      <c r="H962" s="4"/>
      <c r="I962" s="4"/>
      <c r="J962" s="4"/>
      <c r="K962" s="4"/>
      <c r="L962" s="4"/>
      <c r="M962" s="4"/>
      <c r="N962" s="4"/>
      <c r="O962" s="4"/>
      <c r="P962" s="4"/>
      <c r="Q962" s="4"/>
      <c r="R962" s="4"/>
      <c r="S962" s="4"/>
      <c r="T962" s="4"/>
      <c r="U962" s="4"/>
      <c r="V962" s="4"/>
      <c r="W962" s="4"/>
      <c r="X962" s="4"/>
      <c r="Y962" s="4"/>
      <c r="Z962" s="4"/>
      <c r="AA962" s="4"/>
      <c r="AB962" s="4"/>
      <c r="AC962" s="4"/>
      <c r="AD962" s="4"/>
      <c r="AE962" s="4"/>
      <c r="AF962" s="4"/>
      <c r="AG962" s="4"/>
      <c r="AH962" s="4"/>
      <c r="AI962" s="4"/>
      <c r="AJ962" s="4"/>
      <c r="AK962" s="4"/>
    </row>
    <row r="963" ht="13.5" customHeight="1" spans="1:37" x14ac:dyDescent="0.25">
      <c r="A963" s="344"/>
      <c r="B963" s="4"/>
      <c r="C963" s="4"/>
      <c r="D963" s="4"/>
      <c r="E963" s="4"/>
      <c r="F963" s="4"/>
      <c r="G963" s="4"/>
      <c r="H963" s="4"/>
      <c r="I963" s="4"/>
      <c r="J963" s="4"/>
      <c r="K963" s="4"/>
      <c r="L963" s="4"/>
      <c r="M963" s="4"/>
      <c r="N963" s="4"/>
      <c r="O963" s="4"/>
      <c r="P963" s="4"/>
      <c r="Q963" s="4"/>
      <c r="R963" s="4"/>
      <c r="S963" s="4"/>
      <c r="T963" s="4"/>
      <c r="U963" s="4"/>
      <c r="V963" s="4"/>
      <c r="W963" s="4"/>
      <c r="X963" s="4"/>
      <c r="Y963" s="4"/>
      <c r="Z963" s="4"/>
      <c r="AA963" s="4"/>
      <c r="AB963" s="4"/>
      <c r="AC963" s="4"/>
      <c r="AD963" s="4"/>
      <c r="AE963" s="4"/>
      <c r="AF963" s="4"/>
      <c r="AG963" s="4"/>
      <c r="AH963" s="4"/>
      <c r="AI963" s="4"/>
      <c r="AJ963" s="4"/>
      <c r="AK963" s="4"/>
    </row>
    <row r="964" ht="13.5" customHeight="1" spans="1:37" x14ac:dyDescent="0.25">
      <c r="A964" s="344"/>
      <c r="B964" s="4"/>
      <c r="C964" s="4"/>
      <c r="D964" s="4"/>
      <c r="E964" s="4"/>
      <c r="F964" s="4"/>
      <c r="G964" s="4"/>
      <c r="H964" s="4"/>
      <c r="I964" s="4"/>
      <c r="J964" s="4"/>
      <c r="K964" s="4"/>
      <c r="L964" s="4"/>
      <c r="M964" s="4"/>
      <c r="N964" s="4"/>
      <c r="O964" s="4"/>
      <c r="P964" s="4"/>
      <c r="Q964" s="4"/>
      <c r="R964" s="4"/>
      <c r="S964" s="4"/>
      <c r="T964" s="4"/>
      <c r="U964" s="4"/>
      <c r="V964" s="4"/>
      <c r="W964" s="4"/>
      <c r="X964" s="4"/>
      <c r="Y964" s="4"/>
      <c r="Z964" s="4"/>
      <c r="AA964" s="4"/>
      <c r="AB964" s="4"/>
      <c r="AC964" s="4"/>
      <c r="AD964" s="4"/>
      <c r="AE964" s="4"/>
      <c r="AF964" s="4"/>
      <c r="AG964" s="4"/>
      <c r="AH964" s="4"/>
      <c r="AI964" s="4"/>
      <c r="AJ964" s="4"/>
      <c r="AK964" s="4"/>
    </row>
    <row r="965" ht="13.5" customHeight="1" spans="1:37" x14ac:dyDescent="0.25">
      <c r="A965" s="344"/>
      <c r="B965" s="4"/>
      <c r="C965" s="4"/>
      <c r="D965" s="4"/>
      <c r="E965" s="4"/>
      <c r="F965" s="4"/>
      <c r="G965" s="4"/>
      <c r="H965" s="4"/>
      <c r="I965" s="4"/>
      <c r="J965" s="4"/>
      <c r="K965" s="4"/>
      <c r="L965" s="4"/>
      <c r="M965" s="4"/>
      <c r="N965" s="4"/>
      <c r="O965" s="4"/>
      <c r="P965" s="4"/>
      <c r="Q965" s="4"/>
      <c r="R965" s="4"/>
      <c r="S965" s="4"/>
      <c r="T965" s="4"/>
      <c r="U965" s="4"/>
      <c r="V965" s="4"/>
      <c r="W965" s="4"/>
      <c r="X965" s="4"/>
      <c r="Y965" s="4"/>
      <c r="Z965" s="4"/>
      <c r="AA965" s="4"/>
      <c r="AB965" s="4"/>
      <c r="AC965" s="4"/>
      <c r="AD965" s="4"/>
      <c r="AE965" s="4"/>
      <c r="AF965" s="4"/>
      <c r="AG965" s="4"/>
      <c r="AH965" s="4"/>
      <c r="AI965" s="4"/>
      <c r="AJ965" s="4"/>
      <c r="AK965" s="4"/>
    </row>
    <row r="966" ht="13.5" customHeight="1" spans="1:37" x14ac:dyDescent="0.25">
      <c r="A966" s="344"/>
      <c r="B966" s="4"/>
      <c r="C966" s="4"/>
      <c r="D966" s="4"/>
      <c r="E966" s="4"/>
      <c r="F966" s="4"/>
      <c r="G966" s="4"/>
      <c r="H966" s="4"/>
      <c r="I966" s="4"/>
      <c r="J966" s="4"/>
      <c r="K966" s="4"/>
      <c r="L966" s="4"/>
      <c r="M966" s="4"/>
      <c r="N966" s="4"/>
      <c r="O966" s="4"/>
      <c r="P966" s="4"/>
      <c r="Q966" s="4"/>
      <c r="R966" s="4"/>
      <c r="S966" s="4"/>
      <c r="T966" s="4"/>
      <c r="U966" s="4"/>
      <c r="V966" s="4"/>
      <c r="W966" s="4"/>
      <c r="X966" s="4"/>
      <c r="Y966" s="4"/>
      <c r="Z966" s="4"/>
      <c r="AA966" s="4"/>
      <c r="AB966" s="4"/>
      <c r="AC966" s="4"/>
      <c r="AD966" s="4"/>
      <c r="AE966" s="4"/>
      <c r="AF966" s="4"/>
      <c r="AG966" s="4"/>
      <c r="AH966" s="4"/>
      <c r="AI966" s="4"/>
      <c r="AJ966" s="4"/>
      <c r="AK966" s="4"/>
    </row>
    <row r="967" ht="13.5" customHeight="1" spans="1:37" x14ac:dyDescent="0.25">
      <c r="A967" s="344"/>
      <c r="B967" s="4"/>
      <c r="C967" s="4"/>
      <c r="D967" s="4"/>
      <c r="E967" s="4"/>
      <c r="F967" s="4"/>
      <c r="G967" s="4"/>
      <c r="H967" s="4"/>
      <c r="I967" s="4"/>
      <c r="J967" s="4"/>
      <c r="K967" s="4"/>
      <c r="L967" s="4"/>
      <c r="M967" s="4"/>
      <c r="N967" s="4"/>
      <c r="O967" s="4"/>
      <c r="P967" s="4"/>
      <c r="Q967" s="4"/>
      <c r="R967" s="4"/>
      <c r="S967" s="4"/>
      <c r="T967" s="4"/>
      <c r="U967" s="4"/>
      <c r="V967" s="4"/>
      <c r="W967" s="4"/>
      <c r="X967" s="4"/>
      <c r="Y967" s="4"/>
      <c r="Z967" s="4"/>
      <c r="AA967" s="4"/>
      <c r="AB967" s="4"/>
      <c r="AC967" s="4"/>
      <c r="AD967" s="4"/>
      <c r="AE967" s="4"/>
      <c r="AF967" s="4"/>
      <c r="AG967" s="4"/>
      <c r="AH967" s="4"/>
      <c r="AI967" s="4"/>
      <c r="AJ967" s="4"/>
      <c r="AK967" s="4"/>
    </row>
    <row r="968" ht="13.5" customHeight="1" spans="1:37" x14ac:dyDescent="0.25">
      <c r="A968" s="344"/>
      <c r="B968" s="4"/>
      <c r="C968" s="4"/>
      <c r="D968" s="4"/>
      <c r="E968" s="4"/>
      <c r="F968" s="4"/>
      <c r="G968" s="4"/>
      <c r="H968" s="4"/>
      <c r="I968" s="4"/>
      <c r="J968" s="4"/>
      <c r="K968" s="4"/>
      <c r="L968" s="4"/>
      <c r="M968" s="4"/>
      <c r="N968" s="4"/>
      <c r="O968" s="4"/>
      <c r="P968" s="4"/>
      <c r="Q968" s="4"/>
      <c r="R968" s="4"/>
      <c r="S968" s="4"/>
      <c r="T968" s="4"/>
      <c r="U968" s="4"/>
      <c r="V968" s="4"/>
      <c r="W968" s="4"/>
      <c r="X968" s="4"/>
      <c r="Y968" s="4"/>
      <c r="Z968" s="4"/>
      <c r="AA968" s="4"/>
      <c r="AB968" s="4"/>
      <c r="AC968" s="4"/>
      <c r="AD968" s="4"/>
      <c r="AE968" s="4"/>
      <c r="AF968" s="4"/>
      <c r="AG968" s="4"/>
      <c r="AH968" s="4"/>
      <c r="AI968" s="4"/>
      <c r="AJ968" s="4"/>
      <c r="AK968" s="4"/>
    </row>
    <row r="969" ht="13.5" customHeight="1" spans="1:37" x14ac:dyDescent="0.25">
      <c r="A969" s="344"/>
      <c r="B969" s="4"/>
      <c r="C969" s="4"/>
      <c r="D969" s="4"/>
      <c r="E969" s="4"/>
      <c r="F969" s="4"/>
      <c r="G969" s="4"/>
      <c r="H969" s="4"/>
      <c r="I969" s="4"/>
      <c r="J969" s="4"/>
      <c r="K969" s="4"/>
      <c r="L969" s="4"/>
      <c r="M969" s="4"/>
      <c r="N969" s="4"/>
      <c r="O969" s="4"/>
      <c r="P969" s="4"/>
      <c r="Q969" s="4"/>
      <c r="R969" s="4"/>
      <c r="S969" s="4"/>
      <c r="T969" s="4"/>
      <c r="U969" s="4"/>
      <c r="V969" s="4"/>
      <c r="W969" s="4"/>
      <c r="X969" s="4"/>
      <c r="Y969" s="4"/>
      <c r="Z969" s="4"/>
      <c r="AA969" s="4"/>
      <c r="AB969" s="4"/>
      <c r="AC969" s="4"/>
      <c r="AD969" s="4"/>
      <c r="AE969" s="4"/>
      <c r="AF969" s="4"/>
      <c r="AG969" s="4"/>
      <c r="AH969" s="4"/>
      <c r="AI969" s="4"/>
      <c r="AJ969" s="4"/>
      <c r="AK969" s="4"/>
    </row>
    <row r="970" ht="13.5" customHeight="1" spans="1:37" x14ac:dyDescent="0.25">
      <c r="A970" s="344"/>
      <c r="B970" s="4"/>
      <c r="C970" s="4"/>
      <c r="D970" s="4"/>
      <c r="E970" s="4"/>
      <c r="F970" s="4"/>
      <c r="G970" s="4"/>
      <c r="H970" s="4"/>
      <c r="I970" s="4"/>
      <c r="J970" s="4"/>
      <c r="K970" s="4"/>
      <c r="L970" s="4"/>
      <c r="M970" s="4"/>
      <c r="N970" s="4"/>
      <c r="O970" s="4"/>
      <c r="P970" s="4"/>
      <c r="Q970" s="4"/>
      <c r="R970" s="4"/>
      <c r="S970" s="4"/>
      <c r="T970" s="4"/>
      <c r="U970" s="4"/>
      <c r="V970" s="4"/>
      <c r="W970" s="4"/>
      <c r="X970" s="4"/>
      <c r="Y970" s="4"/>
      <c r="Z970" s="4"/>
      <c r="AA970" s="4"/>
      <c r="AB970" s="4"/>
      <c r="AC970" s="4"/>
      <c r="AD970" s="4"/>
      <c r="AE970" s="4"/>
      <c r="AF970" s="4"/>
      <c r="AG970" s="4"/>
      <c r="AH970" s="4"/>
      <c r="AI970" s="4"/>
      <c r="AJ970" s="4"/>
      <c r="AK970" s="4"/>
    </row>
    <row r="971" ht="13.5" customHeight="1" spans="1:37" x14ac:dyDescent="0.25">
      <c r="A971" s="344"/>
      <c r="B971" s="4"/>
      <c r="C971" s="4"/>
      <c r="D971" s="4"/>
      <c r="E971" s="4"/>
      <c r="F971" s="4"/>
      <c r="G971" s="4"/>
      <c r="H971" s="4"/>
      <c r="I971" s="4"/>
      <c r="J971" s="4"/>
      <c r="K971" s="4"/>
      <c r="L971" s="4"/>
      <c r="M971" s="4"/>
      <c r="N971" s="4"/>
      <c r="O971" s="4"/>
      <c r="P971" s="4"/>
      <c r="Q971" s="4"/>
      <c r="R971" s="4"/>
      <c r="S971" s="4"/>
      <c r="T971" s="4"/>
      <c r="U971" s="4"/>
      <c r="V971" s="4"/>
      <c r="W971" s="4"/>
      <c r="X971" s="4"/>
      <c r="Y971" s="4"/>
      <c r="Z971" s="4"/>
      <c r="AA971" s="4"/>
      <c r="AB971" s="4"/>
      <c r="AC971" s="4"/>
      <c r="AD971" s="4"/>
      <c r="AE971" s="4"/>
      <c r="AF971" s="4"/>
      <c r="AG971" s="4"/>
      <c r="AH971" s="4"/>
      <c r="AI971" s="4"/>
      <c r="AJ971" s="4"/>
      <c r="AK971" s="4"/>
    </row>
    <row r="972" ht="13.5" customHeight="1" spans="1:37" x14ac:dyDescent="0.25">
      <c r="A972" s="344"/>
      <c r="B972" s="4"/>
      <c r="C972" s="4"/>
      <c r="D972" s="4"/>
      <c r="E972" s="4"/>
      <c r="F972" s="4"/>
      <c r="G972" s="4"/>
      <c r="H972" s="4"/>
      <c r="I972" s="4"/>
      <c r="J972" s="4"/>
      <c r="K972" s="4"/>
      <c r="L972" s="4"/>
      <c r="M972" s="4"/>
      <c r="N972" s="4"/>
      <c r="O972" s="4"/>
      <c r="P972" s="4"/>
      <c r="Q972" s="4"/>
      <c r="R972" s="4"/>
      <c r="S972" s="4"/>
      <c r="T972" s="4"/>
      <c r="U972" s="4"/>
      <c r="V972" s="4"/>
      <c r="W972" s="4"/>
      <c r="X972" s="4"/>
      <c r="Y972" s="4"/>
      <c r="Z972" s="4"/>
      <c r="AA972" s="4"/>
      <c r="AB972" s="4"/>
      <c r="AC972" s="4"/>
      <c r="AD972" s="4"/>
      <c r="AE972" s="4"/>
      <c r="AF972" s="4"/>
      <c r="AG972" s="4"/>
      <c r="AH972" s="4"/>
      <c r="AI972" s="4"/>
      <c r="AJ972" s="4"/>
      <c r="AK972" s="4"/>
    </row>
    <row r="973" ht="13.5" customHeight="1" spans="1:37" x14ac:dyDescent="0.25">
      <c r="A973" s="344"/>
      <c r="B973" s="4"/>
      <c r="C973" s="4"/>
      <c r="D973" s="4"/>
      <c r="E973" s="4"/>
      <c r="F973" s="4"/>
      <c r="G973" s="4"/>
      <c r="H973" s="4"/>
      <c r="I973" s="4"/>
      <c r="J973" s="4"/>
      <c r="K973" s="4"/>
      <c r="L973" s="4"/>
      <c r="M973" s="4"/>
      <c r="N973" s="4"/>
      <c r="O973" s="4"/>
      <c r="P973" s="4"/>
      <c r="Q973" s="4"/>
      <c r="R973" s="4"/>
      <c r="S973" s="4"/>
      <c r="T973" s="4"/>
      <c r="U973" s="4"/>
      <c r="V973" s="4"/>
      <c r="W973" s="4"/>
      <c r="X973" s="4"/>
      <c r="Y973" s="4"/>
      <c r="Z973" s="4"/>
      <c r="AA973" s="4"/>
      <c r="AB973" s="4"/>
      <c r="AC973" s="4"/>
      <c r="AD973" s="4"/>
      <c r="AE973" s="4"/>
      <c r="AF973" s="4"/>
      <c r="AG973" s="4"/>
      <c r="AH973" s="4"/>
      <c r="AI973" s="4"/>
      <c r="AJ973" s="4"/>
      <c r="AK973" s="4"/>
    </row>
    <row r="974" ht="13.5" customHeight="1" spans="1:37" x14ac:dyDescent="0.25">
      <c r="A974" s="344"/>
      <c r="B974" s="4"/>
      <c r="C974" s="4"/>
      <c r="D974" s="4"/>
      <c r="E974" s="4"/>
      <c r="F974" s="4"/>
      <c r="G974" s="4"/>
      <c r="H974" s="4"/>
      <c r="I974" s="4"/>
      <c r="J974" s="4"/>
      <c r="K974" s="4"/>
      <c r="L974" s="4"/>
      <c r="M974" s="4"/>
      <c r="N974" s="4"/>
      <c r="O974" s="4"/>
      <c r="P974" s="4"/>
      <c r="Q974" s="4"/>
      <c r="R974" s="4"/>
      <c r="S974" s="4"/>
      <c r="T974" s="4"/>
      <c r="U974" s="4"/>
      <c r="V974" s="4"/>
      <c r="W974" s="4"/>
      <c r="X974" s="4"/>
      <c r="Y974" s="4"/>
      <c r="Z974" s="4"/>
      <c r="AA974" s="4"/>
      <c r="AB974" s="4"/>
      <c r="AC974" s="4"/>
      <c r="AD974" s="4"/>
      <c r="AE974" s="4"/>
      <c r="AF974" s="4"/>
      <c r="AG974" s="4"/>
      <c r="AH974" s="4"/>
      <c r="AI974" s="4"/>
      <c r="AJ974" s="4"/>
      <c r="AK974" s="4"/>
    </row>
    <row r="975" ht="13.5" customHeight="1" spans="1:37" x14ac:dyDescent="0.25">
      <c r="A975" s="344"/>
      <c r="B975" s="4"/>
      <c r="C975" s="4"/>
      <c r="D975" s="4"/>
      <c r="E975" s="4"/>
      <c r="F975" s="4"/>
      <c r="G975" s="4"/>
      <c r="H975" s="4"/>
      <c r="I975" s="4"/>
      <c r="J975" s="4"/>
      <c r="K975" s="4"/>
      <c r="L975" s="4"/>
      <c r="M975" s="4"/>
      <c r="N975" s="4"/>
      <c r="O975" s="4"/>
      <c r="P975" s="4"/>
      <c r="Q975" s="4"/>
      <c r="R975" s="4"/>
      <c r="S975" s="4"/>
      <c r="T975" s="4"/>
      <c r="U975" s="4"/>
      <c r="V975" s="4"/>
      <c r="W975" s="4"/>
      <c r="X975" s="4"/>
      <c r="Y975" s="4"/>
      <c r="Z975" s="4"/>
      <c r="AA975" s="4"/>
      <c r="AB975" s="4"/>
      <c r="AC975" s="4"/>
      <c r="AD975" s="4"/>
      <c r="AE975" s="4"/>
      <c r="AF975" s="4"/>
      <c r="AG975" s="4"/>
      <c r="AH975" s="4"/>
      <c r="AI975" s="4"/>
      <c r="AJ975" s="4"/>
      <c r="AK975" s="4"/>
    </row>
    <row r="976" ht="13.5" customHeight="1" spans="1:37" x14ac:dyDescent="0.25">
      <c r="A976" s="344"/>
      <c r="B976" s="4"/>
      <c r="C976" s="4"/>
      <c r="D976" s="4"/>
      <c r="E976" s="4"/>
      <c r="F976" s="4"/>
      <c r="G976" s="4"/>
      <c r="H976" s="4"/>
      <c r="I976" s="4"/>
      <c r="J976" s="4"/>
      <c r="K976" s="4"/>
      <c r="L976" s="4"/>
      <c r="M976" s="4"/>
      <c r="N976" s="4"/>
      <c r="O976" s="4"/>
      <c r="P976" s="4"/>
      <c r="Q976" s="4"/>
      <c r="R976" s="4"/>
      <c r="S976" s="4"/>
      <c r="T976" s="4"/>
      <c r="U976" s="4"/>
      <c r="V976" s="4"/>
      <c r="W976" s="4"/>
      <c r="X976" s="4"/>
      <c r="Y976" s="4"/>
      <c r="Z976" s="4"/>
      <c r="AA976" s="4"/>
      <c r="AB976" s="4"/>
      <c r="AC976" s="4"/>
      <c r="AD976" s="4"/>
      <c r="AE976" s="4"/>
      <c r="AF976" s="4"/>
      <c r="AG976" s="4"/>
      <c r="AH976" s="4"/>
      <c r="AI976" s="4"/>
      <c r="AJ976" s="4"/>
      <c r="AK976" s="4"/>
    </row>
    <row r="977" ht="13.5" customHeight="1" spans="1:37" x14ac:dyDescent="0.25">
      <c r="A977" s="344"/>
      <c r="B977" s="4"/>
      <c r="C977" s="4"/>
      <c r="D977" s="4"/>
      <c r="E977" s="4"/>
      <c r="F977" s="4"/>
      <c r="G977" s="4"/>
      <c r="H977" s="4"/>
      <c r="I977" s="4"/>
      <c r="J977" s="4"/>
      <c r="K977" s="4"/>
      <c r="L977" s="4"/>
      <c r="M977" s="4"/>
      <c r="N977" s="4"/>
      <c r="O977" s="4"/>
      <c r="P977" s="4"/>
      <c r="Q977" s="4"/>
      <c r="R977" s="4"/>
      <c r="S977" s="4"/>
      <c r="T977" s="4"/>
      <c r="U977" s="4"/>
      <c r="V977" s="4"/>
      <c r="W977" s="4"/>
      <c r="X977" s="4"/>
      <c r="Y977" s="4"/>
      <c r="Z977" s="4"/>
      <c r="AA977" s="4"/>
      <c r="AB977" s="4"/>
      <c r="AC977" s="4"/>
      <c r="AD977" s="4"/>
      <c r="AE977" s="4"/>
      <c r="AF977" s="4"/>
      <c r="AG977" s="4"/>
      <c r="AH977" s="4"/>
      <c r="AI977" s="4"/>
      <c r="AJ977" s="4"/>
      <c r="AK977" s="4"/>
    </row>
    <row r="978" ht="13.5" customHeight="1" spans="1:37" x14ac:dyDescent="0.25">
      <c r="A978" s="344"/>
      <c r="B978" s="4"/>
      <c r="C978" s="4"/>
      <c r="D978" s="4"/>
      <c r="E978" s="4"/>
      <c r="F978" s="4"/>
      <c r="G978" s="4"/>
      <c r="H978" s="4"/>
      <c r="I978" s="4"/>
      <c r="J978" s="4"/>
      <c r="K978" s="4"/>
      <c r="L978" s="4"/>
      <c r="M978" s="4"/>
      <c r="N978" s="4"/>
      <c r="O978" s="4"/>
      <c r="P978" s="4"/>
      <c r="Q978" s="4"/>
      <c r="R978" s="4"/>
      <c r="S978" s="4"/>
      <c r="T978" s="4"/>
      <c r="U978" s="4"/>
      <c r="V978" s="4"/>
      <c r="W978" s="4"/>
      <c r="X978" s="4"/>
      <c r="Y978" s="4"/>
      <c r="Z978" s="4"/>
      <c r="AA978" s="4"/>
      <c r="AB978" s="4"/>
      <c r="AC978" s="4"/>
      <c r="AD978" s="4"/>
      <c r="AE978" s="4"/>
      <c r="AF978" s="4"/>
      <c r="AG978" s="4"/>
      <c r="AH978" s="4"/>
      <c r="AI978" s="4"/>
      <c r="AJ978" s="4"/>
      <c r="AK978" s="4"/>
    </row>
    <row r="979" ht="13.5" customHeight="1" spans="1:37" x14ac:dyDescent="0.25">
      <c r="A979" s="344"/>
      <c r="B979" s="4"/>
      <c r="C979" s="4"/>
      <c r="D979" s="4"/>
      <c r="E979" s="4"/>
      <c r="F979" s="4"/>
      <c r="G979" s="4"/>
      <c r="H979" s="4"/>
      <c r="I979" s="4"/>
      <c r="J979" s="4"/>
      <c r="K979" s="4"/>
      <c r="L979" s="4"/>
      <c r="M979" s="4"/>
      <c r="N979" s="4"/>
      <c r="O979" s="4"/>
      <c r="P979" s="4"/>
      <c r="Q979" s="4"/>
      <c r="R979" s="4"/>
      <c r="S979" s="4"/>
      <c r="T979" s="4"/>
      <c r="U979" s="4"/>
      <c r="V979" s="4"/>
      <c r="W979" s="4"/>
      <c r="X979" s="4"/>
      <c r="Y979" s="4"/>
      <c r="Z979" s="4"/>
      <c r="AA979" s="4"/>
      <c r="AB979" s="4"/>
      <c r="AC979" s="4"/>
      <c r="AD979" s="4"/>
      <c r="AE979" s="4"/>
      <c r="AF979" s="4"/>
      <c r="AG979" s="4"/>
      <c r="AH979" s="4"/>
      <c r="AI979" s="4"/>
      <c r="AJ979" s="4"/>
      <c r="AK979" s="4"/>
    </row>
    <row r="980" ht="13.5" customHeight="1" spans="1:37" x14ac:dyDescent="0.25">
      <c r="A980" s="344"/>
      <c r="B980" s="4"/>
      <c r="C980" s="4"/>
      <c r="D980" s="4"/>
      <c r="E980" s="4"/>
      <c r="F980" s="4"/>
      <c r="G980" s="4"/>
      <c r="H980" s="4"/>
      <c r="I980" s="4"/>
      <c r="J980" s="4"/>
      <c r="K980" s="4"/>
      <c r="L980" s="4"/>
      <c r="M980" s="4"/>
      <c r="N980" s="4"/>
      <c r="O980" s="4"/>
      <c r="P980" s="4"/>
      <c r="Q980" s="4"/>
      <c r="R980" s="4"/>
      <c r="S980" s="4"/>
      <c r="T980" s="4"/>
      <c r="U980" s="4"/>
      <c r="V980" s="4"/>
      <c r="W980" s="4"/>
      <c r="X980" s="4"/>
      <c r="Y980" s="4"/>
      <c r="Z980" s="4"/>
      <c r="AA980" s="4"/>
      <c r="AB980" s="4"/>
      <c r="AC980" s="4"/>
      <c r="AD980" s="4"/>
      <c r="AE980" s="4"/>
      <c r="AF980" s="4"/>
      <c r="AG980" s="4"/>
      <c r="AH980" s="4"/>
      <c r="AI980" s="4"/>
      <c r="AJ980" s="4"/>
      <c r="AK980" s="4"/>
    </row>
    <row r="981" ht="13.5" customHeight="1" spans="1:37" x14ac:dyDescent="0.25">
      <c r="A981" s="344"/>
      <c r="B981" s="4"/>
      <c r="C981" s="4"/>
      <c r="D981" s="4"/>
      <c r="E981" s="4"/>
      <c r="F981" s="4"/>
      <c r="G981" s="4"/>
      <c r="H981" s="4"/>
      <c r="I981" s="4"/>
      <c r="J981" s="4"/>
      <c r="K981" s="4"/>
      <c r="L981" s="4"/>
      <c r="M981" s="4"/>
      <c r="N981" s="4"/>
      <c r="O981" s="4"/>
      <c r="P981" s="4"/>
      <c r="Q981" s="4"/>
      <c r="R981" s="4"/>
      <c r="S981" s="4"/>
      <c r="T981" s="4"/>
      <c r="U981" s="4"/>
      <c r="V981" s="4"/>
      <c r="W981" s="4"/>
      <c r="X981" s="4"/>
      <c r="Y981" s="4"/>
      <c r="Z981" s="4"/>
      <c r="AA981" s="4"/>
      <c r="AB981" s="4"/>
      <c r="AC981" s="4"/>
      <c r="AD981" s="4"/>
      <c r="AE981" s="4"/>
      <c r="AF981" s="4"/>
      <c r="AG981" s="4"/>
      <c r="AH981" s="4"/>
      <c r="AI981" s="4"/>
      <c r="AJ981" s="4"/>
      <c r="AK981" s="4"/>
    </row>
    <row r="982" ht="13.5" customHeight="1" spans="1:37" x14ac:dyDescent="0.25">
      <c r="A982" s="344"/>
      <c r="B982" s="4"/>
      <c r="C982" s="4"/>
      <c r="D982" s="4"/>
      <c r="E982" s="4"/>
      <c r="F982" s="4"/>
      <c r="G982" s="4"/>
      <c r="H982" s="4"/>
      <c r="I982" s="4"/>
      <c r="J982" s="4"/>
      <c r="K982" s="4"/>
      <c r="L982" s="4"/>
      <c r="M982" s="4"/>
      <c r="N982" s="4"/>
      <c r="O982" s="4"/>
      <c r="P982" s="4"/>
      <c r="Q982" s="4"/>
      <c r="R982" s="4"/>
      <c r="S982" s="4"/>
      <c r="T982" s="4"/>
      <c r="U982" s="4"/>
      <c r="V982" s="4"/>
      <c r="W982" s="4"/>
      <c r="X982" s="4"/>
      <c r="Y982" s="4"/>
      <c r="Z982" s="4"/>
      <c r="AA982" s="4"/>
      <c r="AB982" s="4"/>
      <c r="AC982" s="4"/>
      <c r="AD982" s="4"/>
      <c r="AE982" s="4"/>
      <c r="AF982" s="4"/>
      <c r="AG982" s="4"/>
      <c r="AH982" s="4"/>
      <c r="AI982" s="4"/>
      <c r="AJ982" s="4"/>
      <c r="AK982" s="4"/>
    </row>
    <row r="983" ht="13.5" customHeight="1" spans="1:37" x14ac:dyDescent="0.25">
      <c r="A983" s="344"/>
      <c r="B983" s="4"/>
      <c r="C983" s="4"/>
      <c r="D983" s="4"/>
      <c r="E983" s="4"/>
      <c r="F983" s="4"/>
      <c r="G983" s="4"/>
      <c r="H983" s="4"/>
      <c r="I983" s="4"/>
      <c r="J983" s="4"/>
      <c r="K983" s="4"/>
      <c r="L983" s="4"/>
      <c r="M983" s="4"/>
      <c r="N983" s="4"/>
      <c r="O983" s="4"/>
      <c r="P983" s="4"/>
      <c r="Q983" s="4"/>
      <c r="R983" s="4"/>
      <c r="S983" s="4"/>
      <c r="T983" s="4"/>
      <c r="U983" s="4"/>
      <c r="V983" s="4"/>
      <c r="W983" s="4"/>
      <c r="X983" s="4"/>
      <c r="Y983" s="4"/>
      <c r="Z983" s="4"/>
      <c r="AA983" s="4"/>
      <c r="AB983" s="4"/>
      <c r="AC983" s="4"/>
      <c r="AD983" s="4"/>
      <c r="AE983" s="4"/>
      <c r="AF983" s="4"/>
      <c r="AG983" s="4"/>
      <c r="AH983" s="4"/>
      <c r="AI983" s="4"/>
      <c r="AJ983" s="4"/>
      <c r="AK983" s="4"/>
    </row>
    <row r="984" ht="13.5" customHeight="1" spans="1:37" x14ac:dyDescent="0.25">
      <c r="A984" s="344"/>
      <c r="B984" s="4"/>
      <c r="C984" s="4"/>
      <c r="D984" s="4"/>
      <c r="E984" s="4"/>
      <c r="F984" s="4"/>
      <c r="G984" s="4"/>
      <c r="H984" s="4"/>
      <c r="I984" s="4"/>
      <c r="J984" s="4"/>
      <c r="K984" s="4"/>
      <c r="L984" s="4"/>
      <c r="M984" s="4"/>
      <c r="N984" s="4"/>
      <c r="O984" s="4"/>
      <c r="P984" s="4"/>
      <c r="Q984" s="4"/>
      <c r="R984" s="4"/>
      <c r="S984" s="4"/>
      <c r="T984" s="4"/>
      <c r="U984" s="4"/>
      <c r="V984" s="4"/>
      <c r="W984" s="4"/>
      <c r="X984" s="4"/>
      <c r="Y984" s="4"/>
      <c r="Z984" s="4"/>
      <c r="AA984" s="4"/>
      <c r="AB984" s="4"/>
      <c r="AC984" s="4"/>
      <c r="AD984" s="4"/>
      <c r="AE984" s="4"/>
      <c r="AF984" s="4"/>
      <c r="AG984" s="4"/>
      <c r="AH984" s="4"/>
      <c r="AI984" s="4"/>
      <c r="AJ984" s="4"/>
      <c r="AK984" s="4"/>
    </row>
    <row r="985" ht="13.5" customHeight="1" spans="1:37" x14ac:dyDescent="0.25">
      <c r="A985" s="344"/>
      <c r="B985" s="4"/>
      <c r="C985" s="4"/>
      <c r="D985" s="4"/>
      <c r="E985" s="4"/>
      <c r="F985" s="4"/>
      <c r="G985" s="4"/>
      <c r="H985" s="4"/>
      <c r="I985" s="4"/>
      <c r="J985" s="4"/>
      <c r="K985" s="4"/>
      <c r="L985" s="4"/>
      <c r="M985" s="4"/>
      <c r="N985" s="4"/>
      <c r="O985" s="4"/>
      <c r="P985" s="4"/>
      <c r="Q985" s="4"/>
      <c r="R985" s="4"/>
      <c r="S985" s="4"/>
      <c r="T985" s="4"/>
      <c r="U985" s="4"/>
      <c r="V985" s="4"/>
      <c r="W985" s="4"/>
      <c r="X985" s="4"/>
      <c r="Y985" s="4"/>
      <c r="Z985" s="4"/>
      <c r="AA985" s="4"/>
      <c r="AB985" s="4"/>
      <c r="AC985" s="4"/>
      <c r="AD985" s="4"/>
      <c r="AE985" s="4"/>
      <c r="AF985" s="4"/>
      <c r="AG985" s="4"/>
      <c r="AH985" s="4"/>
      <c r="AI985" s="4"/>
      <c r="AJ985" s="4"/>
      <c r="AK985" s="4"/>
    </row>
    <row r="986" ht="13.5" customHeight="1" spans="1:37" x14ac:dyDescent="0.25">
      <c r="A986" s="344"/>
      <c r="B986" s="4"/>
      <c r="C986" s="4"/>
      <c r="D986" s="4"/>
      <c r="E986" s="4"/>
      <c r="F986" s="4"/>
      <c r="G986" s="4"/>
      <c r="H986" s="4"/>
      <c r="I986" s="4"/>
      <c r="J986" s="4"/>
      <c r="K986" s="4"/>
      <c r="L986" s="4"/>
      <c r="M986" s="4"/>
      <c r="N986" s="4"/>
      <c r="O986" s="4"/>
      <c r="P986" s="4"/>
      <c r="Q986" s="4"/>
      <c r="R986" s="4"/>
      <c r="S986" s="4"/>
      <c r="T986" s="4"/>
      <c r="U986" s="4"/>
      <c r="V986" s="4"/>
      <c r="W986" s="4"/>
      <c r="X986" s="4"/>
      <c r="Y986" s="4"/>
      <c r="Z986" s="4"/>
      <c r="AA986" s="4"/>
      <c r="AB986" s="4"/>
      <c r="AC986" s="4"/>
      <c r="AD986" s="4"/>
      <c r="AE986" s="4"/>
      <c r="AF986" s="4"/>
      <c r="AG986" s="4"/>
      <c r="AH986" s="4"/>
      <c r="AI986" s="4"/>
      <c r="AJ986" s="4"/>
      <c r="AK986" s="4"/>
    </row>
    <row r="987" ht="13.5" customHeight="1" spans="1:37" x14ac:dyDescent="0.25">
      <c r="A987" s="344"/>
      <c r="B987" s="4"/>
      <c r="C987" s="4"/>
      <c r="D987" s="4"/>
      <c r="E987" s="4"/>
      <c r="F987" s="4"/>
      <c r="G987" s="4"/>
      <c r="H987" s="4"/>
      <c r="I987" s="4"/>
      <c r="J987" s="4"/>
      <c r="K987" s="4"/>
      <c r="L987" s="4"/>
      <c r="M987" s="4"/>
      <c r="N987" s="4"/>
      <c r="O987" s="4"/>
      <c r="P987" s="4"/>
      <c r="Q987" s="4"/>
      <c r="R987" s="4"/>
      <c r="S987" s="4"/>
      <c r="T987" s="4"/>
      <c r="U987" s="4"/>
      <c r="V987" s="4"/>
      <c r="W987" s="4"/>
      <c r="X987" s="4"/>
      <c r="Y987" s="4"/>
      <c r="Z987" s="4"/>
      <c r="AA987" s="4"/>
      <c r="AB987" s="4"/>
      <c r="AC987" s="4"/>
      <c r="AD987" s="4"/>
      <c r="AE987" s="4"/>
      <c r="AF987" s="4"/>
      <c r="AG987" s="4"/>
      <c r="AH987" s="4"/>
      <c r="AI987" s="4"/>
      <c r="AJ987" s="4"/>
      <c r="AK987" s="4"/>
    </row>
    <row r="988" ht="13.5" customHeight="1" spans="1:37" x14ac:dyDescent="0.25">
      <c r="A988" s="344"/>
      <c r="B988" s="4"/>
      <c r="C988" s="4"/>
      <c r="D988" s="4"/>
      <c r="E988" s="4"/>
      <c r="F988" s="4"/>
      <c r="G988" s="4"/>
      <c r="H988" s="4"/>
      <c r="I988" s="4"/>
      <c r="J988" s="4"/>
      <c r="K988" s="4"/>
      <c r="L988" s="4"/>
      <c r="M988" s="4"/>
      <c r="N988" s="4"/>
      <c r="O988" s="4"/>
      <c r="P988" s="4"/>
      <c r="Q988" s="4"/>
      <c r="R988" s="4"/>
      <c r="S988" s="4"/>
      <c r="T988" s="4"/>
      <c r="U988" s="4"/>
      <c r="V988" s="4"/>
      <c r="W988" s="4"/>
      <c r="X988" s="4"/>
      <c r="Y988" s="4"/>
      <c r="Z988" s="4"/>
      <c r="AA988" s="4"/>
      <c r="AB988" s="4"/>
      <c r="AC988" s="4"/>
      <c r="AD988" s="4"/>
      <c r="AE988" s="4"/>
      <c r="AF988" s="4"/>
      <c r="AG988" s="4"/>
      <c r="AH988" s="4"/>
      <c r="AI988" s="4"/>
      <c r="AJ988" s="4"/>
      <c r="AK988" s="4"/>
    </row>
    <row r="989" ht="13.5" customHeight="1" spans="1:37" x14ac:dyDescent="0.25">
      <c r="A989" s="344"/>
      <c r="B989" s="4"/>
      <c r="C989" s="4"/>
      <c r="D989" s="4"/>
      <c r="E989" s="4"/>
      <c r="F989" s="4"/>
      <c r="G989" s="4"/>
      <c r="H989" s="4"/>
      <c r="I989" s="4"/>
      <c r="J989" s="4"/>
      <c r="K989" s="4"/>
      <c r="L989" s="4"/>
      <c r="M989" s="4"/>
      <c r="N989" s="4"/>
      <c r="O989" s="4"/>
      <c r="P989" s="4"/>
      <c r="Q989" s="4"/>
      <c r="R989" s="4"/>
      <c r="S989" s="4"/>
      <c r="T989" s="4"/>
      <c r="U989" s="4"/>
      <c r="V989" s="4"/>
      <c r="W989" s="4"/>
      <c r="X989" s="4"/>
      <c r="Y989" s="4"/>
      <c r="Z989" s="4"/>
      <c r="AA989" s="4"/>
      <c r="AB989" s="4"/>
      <c r="AC989" s="4"/>
      <c r="AD989" s="4"/>
      <c r="AE989" s="4"/>
      <c r="AF989" s="4"/>
      <c r="AG989" s="4"/>
      <c r="AH989" s="4"/>
      <c r="AI989" s="4"/>
      <c r="AJ989" s="4"/>
      <c r="AK989" s="4"/>
    </row>
    <row r="990" ht="13.5" customHeight="1" spans="1:37" x14ac:dyDescent="0.25">
      <c r="A990" s="344"/>
      <c r="B990" s="4"/>
      <c r="C990" s="4"/>
      <c r="D990" s="4"/>
      <c r="E990" s="4"/>
      <c r="F990" s="4"/>
      <c r="G990" s="4"/>
      <c r="H990" s="4"/>
      <c r="I990" s="4"/>
      <c r="J990" s="4"/>
      <c r="K990" s="4"/>
      <c r="L990" s="4"/>
      <c r="M990" s="4"/>
      <c r="N990" s="4"/>
      <c r="O990" s="4"/>
      <c r="P990" s="4"/>
      <c r="Q990" s="4"/>
      <c r="R990" s="4"/>
      <c r="S990" s="4"/>
      <c r="T990" s="4"/>
      <c r="U990" s="4"/>
      <c r="V990" s="4"/>
      <c r="W990" s="4"/>
      <c r="X990" s="4"/>
      <c r="Y990" s="4"/>
      <c r="Z990" s="4"/>
      <c r="AA990" s="4"/>
      <c r="AB990" s="4"/>
      <c r="AC990" s="4"/>
      <c r="AD990" s="4"/>
      <c r="AE990" s="4"/>
      <c r="AF990" s="4"/>
      <c r="AG990" s="4"/>
      <c r="AH990" s="4"/>
      <c r="AI990" s="4"/>
      <c r="AJ990" s="4"/>
      <c r="AK990" s="4"/>
    </row>
    <row r="991" ht="13.5" customHeight="1" spans="1:37" x14ac:dyDescent="0.25">
      <c r="A991" s="344"/>
      <c r="B991" s="4"/>
      <c r="C991" s="4"/>
      <c r="D991" s="4"/>
      <c r="E991" s="4"/>
      <c r="F991" s="4"/>
      <c r="G991" s="4"/>
      <c r="H991" s="4"/>
      <c r="I991" s="4"/>
      <c r="J991" s="4"/>
      <c r="K991" s="4"/>
      <c r="L991" s="4"/>
      <c r="M991" s="4"/>
      <c r="N991" s="4"/>
      <c r="O991" s="4"/>
      <c r="P991" s="4"/>
      <c r="Q991" s="4"/>
      <c r="R991" s="4"/>
      <c r="S991" s="4"/>
      <c r="T991" s="4"/>
      <c r="U991" s="4"/>
      <c r="V991" s="4"/>
      <c r="W991" s="4"/>
      <c r="X991" s="4"/>
      <c r="Y991" s="4"/>
      <c r="Z991" s="4"/>
      <c r="AA991" s="4"/>
      <c r="AB991" s="4"/>
      <c r="AC991" s="4"/>
      <c r="AD991" s="4"/>
      <c r="AE991" s="4"/>
      <c r="AF991" s="4"/>
      <c r="AG991" s="4"/>
      <c r="AH991" s="4"/>
      <c r="AI991" s="4"/>
      <c r="AJ991" s="4"/>
      <c r="AK991" s="4"/>
    </row>
    <row r="992" ht="13.5" customHeight="1" spans="1:37" x14ac:dyDescent="0.25">
      <c r="A992" s="344"/>
      <c r="B992" s="4"/>
      <c r="C992" s="4"/>
      <c r="D992" s="4"/>
      <c r="E992" s="4"/>
      <c r="F992" s="4"/>
      <c r="G992" s="4"/>
      <c r="H992" s="4"/>
      <c r="I992" s="4"/>
      <c r="J992" s="4"/>
      <c r="K992" s="4"/>
      <c r="L992" s="4"/>
      <c r="M992" s="4"/>
      <c r="N992" s="4"/>
      <c r="O992" s="4"/>
      <c r="P992" s="4"/>
      <c r="Q992" s="4"/>
      <c r="R992" s="4"/>
      <c r="S992" s="4"/>
      <c r="T992" s="4"/>
      <c r="U992" s="4"/>
      <c r="V992" s="4"/>
      <c r="W992" s="4"/>
      <c r="X992" s="4"/>
      <c r="Y992" s="4"/>
      <c r="Z992" s="4"/>
      <c r="AA992" s="4"/>
      <c r="AB992" s="4"/>
      <c r="AC992" s="4"/>
      <c r="AD992" s="4"/>
      <c r="AE992" s="4"/>
      <c r="AF992" s="4"/>
      <c r="AG992" s="4"/>
      <c r="AH992" s="4"/>
      <c r="AI992" s="4"/>
      <c r="AJ992" s="4"/>
      <c r="AK992" s="4"/>
    </row>
    <row r="993" ht="13.5" customHeight="1" spans="1:37" x14ac:dyDescent="0.25">
      <c r="A993" s="344"/>
      <c r="B993" s="4"/>
      <c r="C993" s="4"/>
      <c r="D993" s="4"/>
      <c r="E993" s="4"/>
      <c r="F993" s="4"/>
      <c r="G993" s="4"/>
      <c r="H993" s="4"/>
      <c r="I993" s="4"/>
      <c r="J993" s="4"/>
      <c r="K993" s="4"/>
      <c r="L993" s="4"/>
      <c r="M993" s="4"/>
      <c r="N993" s="4"/>
      <c r="O993" s="4"/>
      <c r="P993" s="4"/>
      <c r="Q993" s="4"/>
      <c r="R993" s="4"/>
      <c r="S993" s="4"/>
      <c r="T993" s="4"/>
      <c r="U993" s="4"/>
      <c r="V993" s="4"/>
      <c r="W993" s="4"/>
      <c r="X993" s="4"/>
      <c r="Y993" s="4"/>
      <c r="Z993" s="4"/>
      <c r="AA993" s="4"/>
      <c r="AB993" s="4"/>
      <c r="AC993" s="4"/>
      <c r="AD993" s="4"/>
      <c r="AE993" s="4"/>
      <c r="AF993" s="4"/>
      <c r="AG993" s="4"/>
      <c r="AH993" s="4"/>
      <c r="AI993" s="4"/>
      <c r="AJ993" s="4"/>
      <c r="AK993" s="4"/>
    </row>
    <row r="994" ht="13.5" customHeight="1" spans="1:37" x14ac:dyDescent="0.25">
      <c r="A994" s="344"/>
      <c r="B994" s="4"/>
      <c r="C994" s="4"/>
      <c r="D994" s="4"/>
      <c r="E994" s="4"/>
      <c r="F994" s="4"/>
      <c r="G994" s="4"/>
      <c r="H994" s="4"/>
      <c r="I994" s="4"/>
      <c r="J994" s="4"/>
      <c r="K994" s="4"/>
      <c r="L994" s="4"/>
      <c r="M994" s="4"/>
      <c r="N994" s="4"/>
      <c r="O994" s="4"/>
      <c r="P994" s="4"/>
      <c r="Q994" s="4"/>
      <c r="R994" s="4"/>
      <c r="S994" s="4"/>
      <c r="T994" s="4"/>
      <c r="U994" s="4"/>
      <c r="V994" s="4"/>
      <c r="W994" s="4"/>
      <c r="X994" s="4"/>
      <c r="Y994" s="4"/>
      <c r="Z994" s="4"/>
      <c r="AA994" s="4"/>
      <c r="AB994" s="4"/>
      <c r="AC994" s="4"/>
      <c r="AD994" s="4"/>
      <c r="AE994" s="4"/>
      <c r="AF994" s="4"/>
      <c r="AG994" s="4"/>
      <c r="AH994" s="4"/>
      <c r="AI994" s="4"/>
      <c r="AJ994" s="4"/>
      <c r="AK994" s="4"/>
    </row>
    <row r="995" ht="13.5" customHeight="1" spans="1:37" x14ac:dyDescent="0.25">
      <c r="A995" s="344"/>
      <c r="B995" s="4"/>
      <c r="C995" s="4"/>
      <c r="D995" s="4"/>
      <c r="E995" s="4"/>
      <c r="F995" s="4"/>
      <c r="G995" s="4"/>
      <c r="H995" s="4"/>
      <c r="I995" s="4"/>
      <c r="J995" s="4"/>
      <c r="K995" s="4"/>
      <c r="L995" s="4"/>
      <c r="M995" s="4"/>
      <c r="N995" s="4"/>
      <c r="O995" s="4"/>
      <c r="P995" s="4"/>
      <c r="Q995" s="4"/>
      <c r="R995" s="4"/>
      <c r="S995" s="4"/>
      <c r="T995" s="4"/>
      <c r="U995" s="4"/>
      <c r="V995" s="4"/>
      <c r="W995" s="4"/>
      <c r="X995" s="4"/>
      <c r="Y995" s="4"/>
      <c r="Z995" s="4"/>
      <c r="AA995" s="4"/>
      <c r="AB995" s="4"/>
      <c r="AC995" s="4"/>
      <c r="AD995" s="4"/>
      <c r="AE995" s="4"/>
      <c r="AF995" s="4"/>
      <c r="AG995" s="4"/>
      <c r="AH995" s="4"/>
      <c r="AI995" s="4"/>
      <c r="AJ995" s="4"/>
      <c r="AK995" s="4"/>
    </row>
    <row r="996" ht="13.5" customHeight="1" spans="1:37" x14ac:dyDescent="0.25">
      <c r="A996" s="344"/>
      <c r="B996" s="4"/>
      <c r="C996" s="4"/>
      <c r="D996" s="4"/>
      <c r="E996" s="4"/>
      <c r="F996" s="4"/>
      <c r="G996" s="4"/>
      <c r="H996" s="4"/>
      <c r="I996" s="4"/>
      <c r="J996" s="4"/>
      <c r="K996" s="4"/>
      <c r="L996" s="4"/>
      <c r="M996" s="4"/>
      <c r="N996" s="4"/>
      <c r="O996" s="4"/>
      <c r="P996" s="4"/>
      <c r="Q996" s="4"/>
      <c r="R996" s="4"/>
      <c r="S996" s="4"/>
      <c r="T996" s="4"/>
      <c r="U996" s="4"/>
      <c r="V996" s="4"/>
      <c r="W996" s="4"/>
      <c r="X996" s="4"/>
      <c r="Y996" s="4"/>
      <c r="Z996" s="4"/>
      <c r="AA996" s="4"/>
      <c r="AB996" s="4"/>
      <c r="AC996" s="4"/>
      <c r="AD996" s="4"/>
      <c r="AE996" s="4"/>
      <c r="AF996" s="4"/>
      <c r="AG996" s="4"/>
      <c r="AH996" s="4"/>
      <c r="AI996" s="4"/>
      <c r="AJ996" s="4"/>
      <c r="AK996" s="4"/>
    </row>
    <row r="997" ht="13.5" customHeight="1" spans="1:37" x14ac:dyDescent="0.25">
      <c r="A997" s="344"/>
      <c r="B997" s="4"/>
      <c r="C997" s="4"/>
      <c r="D997" s="4"/>
      <c r="E997" s="4"/>
      <c r="F997" s="4"/>
      <c r="G997" s="4"/>
      <c r="H997" s="4"/>
      <c r="I997" s="4"/>
      <c r="J997" s="4"/>
      <c r="K997" s="4"/>
      <c r="L997" s="4"/>
      <c r="M997" s="4"/>
      <c r="N997" s="4"/>
      <c r="O997" s="4"/>
      <c r="P997" s="4"/>
      <c r="Q997" s="4"/>
      <c r="R997" s="4"/>
      <c r="S997" s="4"/>
      <c r="T997" s="4"/>
      <c r="U997" s="4"/>
      <c r="V997" s="4"/>
      <c r="W997" s="4"/>
      <c r="X997" s="4"/>
      <c r="Y997" s="4"/>
      <c r="Z997" s="4"/>
      <c r="AA997" s="4"/>
      <c r="AB997" s="4"/>
      <c r="AC997" s="4"/>
      <c r="AD997" s="4"/>
      <c r="AE997" s="4"/>
      <c r="AF997" s="4"/>
      <c r="AG997" s="4"/>
      <c r="AH997" s="4"/>
      <c r="AI997" s="4"/>
      <c r="AJ997" s="4"/>
      <c r="AK997" s="4"/>
    </row>
    <row r="998" ht="13.5" customHeight="1" spans="1:37" x14ac:dyDescent="0.25">
      <c r="A998" s="344"/>
      <c r="B998" s="4"/>
      <c r="C998" s="4"/>
      <c r="D998" s="4"/>
      <c r="E998" s="4"/>
      <c r="F998" s="4"/>
      <c r="G998" s="4"/>
      <c r="H998" s="4"/>
      <c r="I998" s="4"/>
      <c r="J998" s="4"/>
      <c r="K998" s="4"/>
      <c r="L998" s="4"/>
      <c r="M998" s="4"/>
      <c r="N998" s="4"/>
      <c r="O998" s="4"/>
      <c r="P998" s="4"/>
      <c r="Q998" s="4"/>
      <c r="R998" s="4"/>
      <c r="S998" s="4"/>
      <c r="T998" s="4"/>
      <c r="U998" s="4"/>
      <c r="V998" s="4"/>
      <c r="W998" s="4"/>
      <c r="X998" s="4"/>
      <c r="Y998" s="4"/>
      <c r="Z998" s="4"/>
      <c r="AA998" s="4"/>
      <c r="AB998" s="4"/>
      <c r="AC998" s="4"/>
      <c r="AD998" s="4"/>
      <c r="AE998" s="4"/>
      <c r="AF998" s="4"/>
      <c r="AG998" s="4"/>
      <c r="AH998" s="4"/>
      <c r="AI998" s="4"/>
      <c r="AJ998" s="4"/>
      <c r="AK998" s="4"/>
    </row>
    <row r="999" ht="13.5" customHeight="1" spans="1:37" x14ac:dyDescent="0.25">
      <c r="A999" s="344"/>
      <c r="B999" s="4"/>
      <c r="C999" s="4"/>
      <c r="D999" s="4"/>
      <c r="E999" s="4"/>
      <c r="F999" s="4"/>
      <c r="G999" s="4"/>
      <c r="H999" s="4"/>
      <c r="I999" s="4"/>
      <c r="J999" s="4"/>
      <c r="K999" s="4"/>
      <c r="L999" s="4"/>
      <c r="M999" s="4"/>
      <c r="N999" s="4"/>
      <c r="O999" s="4"/>
      <c r="P999" s="4"/>
      <c r="Q999" s="4"/>
      <c r="R999" s="4"/>
      <c r="S999" s="4"/>
      <c r="T999" s="4"/>
      <c r="U999" s="4"/>
      <c r="V999" s="4"/>
      <c r="W999" s="4"/>
      <c r="X999" s="4"/>
      <c r="Y999" s="4"/>
      <c r="Z999" s="4"/>
      <c r="AA999" s="4"/>
      <c r="AB999" s="4"/>
      <c r="AC999" s="4"/>
      <c r="AD999" s="4"/>
      <c r="AE999" s="4"/>
      <c r="AF999" s="4"/>
      <c r="AG999" s="4"/>
      <c r="AH999" s="4"/>
      <c r="AI999" s="4"/>
      <c r="AJ999" s="4"/>
      <c r="AK999" s="4"/>
    </row>
    <row r="1000" ht="13.5" customHeight="1" spans="1:37" x14ac:dyDescent="0.25">
      <c r="A1000" s="34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c r="AA1000" s="4"/>
      <c r="AB1000" s="4"/>
      <c r="AC1000" s="4"/>
      <c r="AD1000" s="4"/>
      <c r="AE1000" s="4"/>
      <c r="AF1000" s="4"/>
      <c r="AG1000" s="4"/>
      <c r="AH1000" s="4"/>
      <c r="AI1000" s="4"/>
      <c r="AJ1000" s="4"/>
      <c r="AK1000" s="4"/>
    </row>
  </sheetData>
  <conditionalFormatting sqref="C28:AG61">
    <cfRule type="expression" dxfId="19" priority="1">
      <formula>$C$5="Report"</formula>
    </cfRule>
  </conditionalFormatting>
  <conditionalFormatting sqref="C75:AG104 C120:AG158">
    <cfRule type="expression" dxfId="20" priority="2">
      <formula>$C$5="Report"</formula>
    </cfRule>
  </conditionalFormatting>
  <dataValidations count="3">
    <dataValidation type="list" allowBlank="1" showErrorMessage="1" sqref="C34">
      <formula1>"Depreciation &amp; Amortization (incl. in SG&amp;A),Depreciation &amp; Amortization"</formula1>
    </dataValidation>
    <dataValidation type="list" allowBlank="1" showErrorMessage="1" sqref="C5">
      <formula1>"Report,Working"</formula1>
    </dataValidation>
    <dataValidation type="list" allowBlank="1" showErrorMessage="1" sqref="C8:C9">
      <formula1>"On,Off"</formula1>
    </dataValidation>
  </dataValidations>
  <pageMargins left="0.7" right="0.7" top="0.75" bottom="0.75" header="0" footer="0"/>
  <pageSetup orientation="portrait" horizontalDpi="4294967295" verticalDpi="4294967295" scale="100" fitToWidth="1" fitToHeight="1" firstPageNumber="1" useFirstPageNumber="1" copies="1"/>
  <legacy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355F"/>
  </sheetPr>
  <dimension ref="A1:AG1000"/>
  <sheetViews>
    <sheetView workbookViewId="0" showGridLines="0" zoomScale="100" zoomScaleNormal="100"/>
  </sheetViews>
  <sheetFormatPr defaultRowHeight="15" outlineLevelRow="2" outlineLevelCol="1" x14ac:dyDescent="0" defaultColWidth="14.5"/>
  <cols>
    <col min="1" max="2" width="1.6640625" customWidth="1"/>
    <col min="3" max="3" width="51.33203125" customWidth="1"/>
    <col min="4" max="5" width="1.6640625" customWidth="1"/>
    <col min="6" max="9" width="12.6640625" outlineLevel="1" collapsed="1" customWidth="1"/>
    <col min="10" max="10" width="12.83203125" customWidth="1"/>
    <col min="11" max="14" width="12.6640625" outlineLevel="1" collapsed="1" customWidth="1"/>
    <col min="15" max="15" width="12.83203125" customWidth="1"/>
    <col min="16" max="19" width="12.6640625" outlineLevel="1" collapsed="1" customWidth="1"/>
    <col min="20" max="20" width="13.5" customWidth="1"/>
    <col min="21" max="24" width="12.6640625" outlineLevel="1" collapsed="1" customWidth="1"/>
    <col min="25" max="25" width="13.5" customWidth="1"/>
    <col min="26" max="29" width="12.6640625" outlineLevel="1" collapsed="1" customWidth="1"/>
    <col min="30" max="33" width="13.5" customWidth="1"/>
  </cols>
  <sheetData>
    <row r="1" ht="14.25" customHeight="1" spans="1:33" x14ac:dyDescent="0.25">
      <c r="A1" s="343"/>
      <c r="B1" s="11"/>
      <c r="C1" s="12" t="str">
        <f ca="1">Company_Name&amp;" - "&amp;MID(CELL("filename",A1),FIND("]",CELL("filename",A1))+1,255)&amp;": "&amp;Case_Scenario&amp;" Case"</f>
        <v>Lowe's Companies, Inc. - Segment Analysis: Base Case</v>
      </c>
      <c r="D1" s="11"/>
      <c r="E1" s="11"/>
      <c r="F1" s="11"/>
      <c r="G1" s="11"/>
      <c r="H1" s="11"/>
      <c r="I1" s="11"/>
      <c r="J1" s="11"/>
      <c r="K1" s="11"/>
      <c r="L1" s="11"/>
      <c r="M1" s="11"/>
      <c r="N1" s="11"/>
      <c r="O1" s="11"/>
      <c r="P1" s="11"/>
      <c r="Q1" s="11"/>
      <c r="R1" s="11"/>
      <c r="S1" s="11"/>
      <c r="T1" s="11"/>
      <c r="U1" s="11"/>
      <c r="V1" s="11"/>
      <c r="W1" s="11"/>
      <c r="X1" s="11"/>
      <c r="Y1" s="11"/>
      <c r="Z1" s="11"/>
      <c r="AA1" s="11"/>
      <c r="AB1" s="11"/>
      <c r="AC1" s="11"/>
      <c r="AD1" s="11"/>
      <c r="AE1" s="11"/>
      <c r="AF1" s="11"/>
      <c r="AG1" s="11"/>
    </row>
    <row r="2" ht="14.25" customHeight="1" spans="1:33" x14ac:dyDescent="0.25">
      <c r="A2" s="344"/>
      <c r="B2" s="4"/>
      <c r="C2" s="14" t="str">
        <f ca="1">Cover!C2</f>
        <v>$ in Millions Except Per Share Data</v>
      </c>
      <c r="D2" s="4"/>
      <c r="E2" s="4"/>
      <c r="F2" s="4"/>
      <c r="G2" s="4"/>
      <c r="H2" s="4"/>
      <c r="I2" s="4"/>
      <c r="J2" s="4"/>
      <c r="K2" s="4"/>
      <c r="L2" s="4"/>
      <c r="M2" s="4"/>
      <c r="N2" s="4"/>
      <c r="O2" s="4"/>
      <c r="P2" s="4"/>
      <c r="Q2" s="4"/>
      <c r="R2" s="4"/>
      <c r="S2" s="4"/>
      <c r="T2" s="4"/>
      <c r="U2" s="4"/>
      <c r="V2" s="4"/>
      <c r="W2" s="4"/>
      <c r="X2" s="4"/>
      <c r="Y2" s="4"/>
      <c r="Z2" s="4"/>
      <c r="AA2" s="4"/>
      <c r="AB2" s="4"/>
      <c r="AC2" s="4"/>
      <c r="AD2" s="4"/>
      <c r="AE2" s="4"/>
      <c r="AF2" s="4"/>
      <c r="AG2" s="4"/>
    </row>
    <row r="3" ht="14.25" customHeight="1" spans="1:33" x14ac:dyDescent="0.25">
      <c r="A3" s="344"/>
      <c r="B3" s="4"/>
      <c r="C3" s="303"/>
      <c r="D3" s="4"/>
      <c r="E3" s="4"/>
      <c r="F3" s="4"/>
      <c r="G3" s="4"/>
      <c r="H3" s="4"/>
      <c r="I3" s="4"/>
      <c r="J3" s="4"/>
      <c r="K3" s="4"/>
      <c r="L3" s="4"/>
      <c r="M3" s="4"/>
      <c r="N3" s="4"/>
      <c r="O3" s="4"/>
      <c r="P3" s="4"/>
      <c r="Q3" s="4"/>
      <c r="R3" s="4"/>
      <c r="S3" s="4"/>
      <c r="T3" s="4"/>
      <c r="U3" s="4"/>
      <c r="V3" s="4"/>
      <c r="W3" s="4"/>
      <c r="X3" s="4"/>
      <c r="Y3" s="4"/>
      <c r="Z3" s="4"/>
      <c r="AA3" s="4"/>
      <c r="AB3" s="4"/>
      <c r="AC3" s="4"/>
      <c r="AD3" s="4"/>
      <c r="AE3" s="4"/>
      <c r="AF3" s="4"/>
      <c r="AG3" s="4"/>
    </row>
    <row r="4" ht="14.25" customHeight="1" spans="1:33" x14ac:dyDescent="0.25">
      <c r="A4" s="344"/>
      <c r="B4" s="4"/>
      <c r="C4" s="303"/>
      <c r="D4" s="4"/>
      <c r="E4" s="4"/>
      <c r="F4" s="4"/>
      <c r="G4" s="4"/>
      <c r="H4" s="4"/>
      <c r="I4" s="4"/>
      <c r="J4" s="4"/>
      <c r="K4" s="4"/>
      <c r="L4" s="4"/>
      <c r="M4" s="4"/>
      <c r="N4" s="4"/>
      <c r="O4" s="4"/>
      <c r="P4" s="4"/>
      <c r="Q4" s="4"/>
      <c r="R4" s="4"/>
      <c r="S4" s="4"/>
      <c r="T4" s="4"/>
      <c r="U4" s="4"/>
      <c r="V4" s="4"/>
      <c r="W4" s="4"/>
      <c r="X4" s="4"/>
      <c r="Y4" s="4"/>
      <c r="Z4" s="4"/>
      <c r="AA4" s="4"/>
      <c r="AB4" s="4"/>
      <c r="AC4" s="4"/>
      <c r="AD4" s="4"/>
      <c r="AE4" s="4"/>
      <c r="AF4" s="4"/>
      <c r="AG4" s="4"/>
    </row>
    <row r="5" ht="14.25" customHeight="1" spans="1:33" x14ac:dyDescent="0.25">
      <c r="C5" s="350" t="s">
        <v>44</v>
      </c>
      <c r="D5" s="373"/>
      <c r="E5" s="373"/>
      <c r="F5" s="351" t="str">
        <f ca="1">Model!F63</f>
        <v>1Q23</v>
      </c>
      <c r="G5" s="351" t="str">
        <f ca="1">Model!G63</f>
        <v>2Q23</v>
      </c>
      <c r="H5" s="351" t="str">
        <f ca="1">Model!H63</f>
        <v>3Q23</v>
      </c>
      <c r="I5" s="351" t="str">
        <f ca="1">Model!I63</f>
        <v>4Q23</v>
      </c>
      <c r="J5" s="351">
        <f ca="1">Model!J63</f>
        <v>2023</v>
      </c>
      <c r="K5" s="351" t="str">
        <f ca="1">Model!K63</f>
        <v>1Q24</v>
      </c>
      <c r="L5" s="351" t="str">
        <f ca="1">Model!L63</f>
        <v>2Q24</v>
      </c>
      <c r="M5" s="351" t="str">
        <f ca="1">Model!M63</f>
        <v>3Q24</v>
      </c>
      <c r="N5" s="351" t="str">
        <f ca="1">Model!N63</f>
        <v>4Q24</v>
      </c>
      <c r="O5" s="351">
        <f ca="1">Model!O63</f>
        <v>2024</v>
      </c>
      <c r="P5" s="351" t="str">
        <f ca="1">Model!P63</f>
        <v>1Q25</v>
      </c>
      <c r="Q5" s="351" t="str">
        <f ca="1">Model!Q63</f>
        <v>2Q25</v>
      </c>
      <c r="R5" s="351" t="str">
        <f ca="1">Model!R63</f>
        <v>3Q25</v>
      </c>
      <c r="S5" s="351" t="str">
        <f ca="1">Model!S63</f>
        <v>4Q25</v>
      </c>
      <c r="T5" s="351">
        <f ca="1">Model!T63</f>
        <v>2025</v>
      </c>
      <c r="U5" s="351" t="str">
        <f ca="1">Model!U63</f>
        <v>1Q26</v>
      </c>
      <c r="V5" s="351" t="str">
        <f ca="1">Model!V63</f>
        <v>2Q26</v>
      </c>
      <c r="W5" s="351" t="str">
        <f ca="1">Model!W63</f>
        <v>3Q26e</v>
      </c>
      <c r="X5" s="351" t="str">
        <f ca="1">Model!X63</f>
        <v>4Q26e</v>
      </c>
      <c r="Y5" s="351" t="str">
        <f ca="1">Model!Y63</f>
        <v>2026e</v>
      </c>
      <c r="Z5" s="351" t="str">
        <f ca="1">Model!Z63</f>
        <v>1Q27e</v>
      </c>
      <c r="AA5" s="351" t="str">
        <f ca="1">Model!AA63</f>
        <v>2Q27e</v>
      </c>
      <c r="AB5" s="351" t="str">
        <f ca="1">Model!AB63</f>
        <v>3Q27e</v>
      </c>
      <c r="AC5" s="351" t="str">
        <f ca="1">Model!AC63</f>
        <v>4Q27e</v>
      </c>
      <c r="AD5" s="351" t="str">
        <f ca="1">Model!AD63</f>
        <v>2027e</v>
      </c>
      <c r="AE5" s="351" t="str">
        <f ca="1">Model!AE63</f>
        <v>2028e</v>
      </c>
      <c r="AF5" s="351" t="str">
        <f ca="1">Model!AF63</f>
        <v>2029e</v>
      </c>
      <c r="AG5" s="351" t="str">
        <f ca="1">Model!AG63</f>
        <v>2030e</v>
      </c>
    </row>
    <row r="6" ht="14.25" customHeight="1" spans="1:33" x14ac:dyDescent="0.25">
      <c r="C6" s="43" t="s">
        <v>46</v>
      </c>
      <c r="D6" s="44"/>
      <c r="E6" s="44"/>
      <c r="F6" s="44"/>
      <c r="G6" s="44"/>
      <c r="H6" s="44"/>
      <c r="I6" s="44"/>
      <c r="J6" s="44"/>
      <c r="K6" s="44"/>
      <c r="L6" s="44"/>
      <c r="M6" s="44"/>
      <c r="N6" s="44"/>
      <c r="O6" s="44"/>
      <c r="P6" s="44"/>
      <c r="Q6" s="44"/>
      <c r="R6" s="44"/>
      <c r="S6" s="44"/>
      <c r="T6" s="44"/>
      <c r="U6" s="44"/>
      <c r="V6" s="44"/>
      <c r="W6" s="44"/>
      <c r="X6" s="44"/>
      <c r="Y6" s="44"/>
      <c r="Z6" s="44"/>
      <c r="AA6" s="44"/>
      <c r="AB6" s="44"/>
      <c r="AC6" s="44"/>
      <c r="AD6" s="44"/>
      <c r="AE6" s="44"/>
      <c r="AF6" s="44"/>
      <c r="AG6" s="396"/>
    </row>
    <row r="7" ht="14.25" customHeight="1" spans="1:33" x14ac:dyDescent="0.25">
      <c r="C7" s="16" t="s">
        <v>247</v>
      </c>
      <c r="D7" s="16"/>
      <c r="E7" s="16"/>
      <c r="F7" s="317">
        <f ca="1">SUM(F8:F13)</f>
        <v>8288</v>
      </c>
      <c r="G7" s="317">
        <f ca="1">SUM(G8:G13)</f>
        <v>6704</v>
      </c>
      <c r="H7" s="317">
        <f ca="1">SUM(H8:H13)</f>
        <v>5931</v>
      </c>
      <c r="I7" s="317">
        <f ca="1">SUM(I8:I13)</f>
        <v>6051</v>
      </c>
      <c r="J7" s="287">
        <f ca="1">SUM(F7:I7)</f>
        <v>26974</v>
      </c>
      <c r="K7" s="317">
        <f ca="1">SUM(K8:K13)</f>
        <v>7192</v>
      </c>
      <c r="L7" s="317">
        <f ca="1">SUM(L8:L13)</f>
        <v>13507</v>
      </c>
      <c r="M7" s="317">
        <f ca="1">SUM(M8:M13)</f>
        <v>18120</v>
      </c>
      <c r="N7" s="317">
        <f ca="1">SUM(N8:N13)</f>
        <v>22103</v>
      </c>
      <c r="O7" s="287">
        <f ca="1">SUM(K7:N7)</f>
        <v>60922</v>
      </c>
      <c r="P7" s="317">
        <f ca="1">SUM(P8:P13)</f>
        <v>26044</v>
      </c>
      <c r="Q7" s="317">
        <f ca="1">SUM(Q8:Q13)</f>
        <v>30040</v>
      </c>
      <c r="R7" s="317">
        <f ca="1">SUM(R8:R13)</f>
        <v>35082</v>
      </c>
      <c r="S7" s="317">
        <f ca="1">SUM(S8:S13)</f>
        <v>39331</v>
      </c>
      <c r="T7" s="287">
        <f ca="1">SUM(P7:S7)</f>
        <v>130497</v>
      </c>
      <c r="U7" s="317">
        <f ca="1">SUM(U8:U13)</f>
        <v>44062</v>
      </c>
      <c r="V7" s="317">
        <f ca="1">SUM(V8:V13)</f>
        <v>46743</v>
      </c>
      <c r="W7" s="317">
        <f ca="1">SUM(W8:W13)</f>
        <v>22918</v>
      </c>
      <c r="X7" s="286">
        <f ca="1">SUM(X8:X13)</f>
        <v>21772.1</v>
      </c>
      <c r="Y7" s="287">
        <f t="shared" ref="Y7:Y13" si="0" ca="1">SUM(U7:X7)</f>
        <v>96682.1</v>
      </c>
      <c r="Z7" s="286">
        <f t="shared" ref="Z7:AC7" si="1" ca="1">SUM(Z8:Z13)</f>
        <v>25691.077999999998</v>
      </c>
      <c r="AA7" s="286">
        <f ca="1">SUM(AA8:AA13)</f>
        <v>29287.82892</v>
      </c>
      <c r="AB7" s="286">
        <f ca="1">SUM(AB8:AB13)</f>
        <v>25773.2894496</v>
      </c>
      <c r="AC7" s="286">
        <f ca="1">SUM(AC8:AC13)</f>
        <v>24484.62497712</v>
      </c>
      <c r="AD7" s="287">
        <f t="shared" ref="AD7:AD13" si="2" ca="1">SUM(Z7:AC7)</f>
        <v>105236.82134671998</v>
      </c>
      <c r="AE7" s="287">
        <f t="shared" ref="AE7:AG7" si="3" ca="1">SUM(AE8:AE13)</f>
        <v>107341.55777365438</v>
      </c>
      <c r="AF7" s="287">
        <f ca="1">SUM(AF8:AF13)</f>
        <v>109488.38892912747</v>
      </c>
      <c r="AG7" s="287">
        <f ca="1">SUM(AG8:AG13)</f>
        <v>111678.15670771002</v>
      </c>
    </row>
    <row r="8" ht="14.25" customHeight="1" spans="1:33" x14ac:dyDescent="0.25">
      <c r="C8" s="139" t="s">
        <v>445</v>
      </c>
      <c r="D8" s="16"/>
      <c r="E8" s="16"/>
      <c r="F8" s="469">
        <v>8288</v>
      </c>
      <c r="G8" s="469">
        <v>6704</v>
      </c>
      <c r="H8" s="469">
        <v>5931</v>
      </c>
      <c r="I8" s="469">
        <f ca="1">26974-SUM(F8:H8)</f>
        <v>6051</v>
      </c>
      <c r="J8" s="470">
        <f ca="1">SUM(F8:I8)</f>
        <v>26974</v>
      </c>
      <c r="K8" s="469">
        <v>7192</v>
      </c>
      <c r="L8" s="469">
        <v>13507</v>
      </c>
      <c r="M8" s="469">
        <v>18120</v>
      </c>
      <c r="N8" s="469">
        <v>22103</v>
      </c>
      <c r="O8" s="470">
        <f ca="1">SUM(K8:N8)</f>
        <v>60922</v>
      </c>
      <c r="P8" s="469">
        <v>26044</v>
      </c>
      <c r="Q8" s="469">
        <v>30040</v>
      </c>
      <c r="R8" s="469">
        <v>35082</v>
      </c>
      <c r="S8" s="469">
        <v>39331</v>
      </c>
      <c r="T8" s="470">
        <f ca="1">SUM(P8:S8)</f>
        <v>130497</v>
      </c>
      <c r="U8" s="469">
        <v>44062</v>
      </c>
      <c r="V8" s="469">
        <v>46743</v>
      </c>
      <c r="W8" s="469">
        <v>22918</v>
      </c>
      <c r="X8" s="471">
        <f ca="1">'Revenue Build'!X32</f>
        <v>21772.1</v>
      </c>
      <c r="Y8" s="470">
        <f ca="1">SUM(U8:X8)</f>
        <v>96682.1</v>
      </c>
      <c r="Z8" s="471">
        <f ca="1">'Revenue Build'!Z32</f>
        <v>25691.077999999998</v>
      </c>
      <c r="AA8" s="471">
        <f ca="1">'Revenue Build'!AA32</f>
        <v>29287.82892</v>
      </c>
      <c r="AB8" s="471">
        <f ca="1">'Revenue Build'!AB32</f>
        <v>25773.2894496</v>
      </c>
      <c r="AC8" s="471">
        <f ca="1">'Revenue Build'!AC32</f>
        <v>24484.62497712</v>
      </c>
      <c r="AD8" s="470">
        <f ca="1">SUM(Z8:AC8)</f>
        <v>105236.82134671998</v>
      </c>
      <c r="AE8" s="472">
        <f ca="1">'Revenue Build'!AE32</f>
        <v>107341.55777365438</v>
      </c>
      <c r="AF8" s="472">
        <f ca="1">'Revenue Build'!AF32</f>
        <v>109488.38892912747</v>
      </c>
      <c r="AG8" s="472">
        <f ca="1">'Revenue Build'!AG32</f>
        <v>111678.15670771002</v>
      </c>
    </row>
    <row r="9" ht="14.25" customHeight="1" hidden="1" spans="1:33" x14ac:dyDescent="0.25" outlineLevel="1">
      <c r="C9" s="139" t="s">
        <v>446</v>
      </c>
      <c r="D9" s="16"/>
      <c r="E9" s="16"/>
      <c r="F9" s="469">
        <v>0</v>
      </c>
      <c r="G9" s="469">
        <v>0</v>
      </c>
      <c r="H9" s="469">
        <v>0</v>
      </c>
      <c r="I9" s="469">
        <v>0</v>
      </c>
      <c r="J9" s="470">
        <f ca="1">SUM(F9:I9)</f>
        <v>1e-12</v>
      </c>
      <c r="K9" s="469">
        <v>0</v>
      </c>
      <c r="L9" s="469">
        <v>0</v>
      </c>
      <c r="M9" s="469">
        <v>0</v>
      </c>
      <c r="N9" s="469">
        <v>0</v>
      </c>
      <c r="O9" s="470">
        <f ca="1">SUM(K9:N9)</f>
        <v>1e-12</v>
      </c>
      <c r="P9" s="469">
        <v>0</v>
      </c>
      <c r="Q9" s="469">
        <v>0</v>
      </c>
      <c r="R9" s="469">
        <v>0</v>
      </c>
      <c r="S9" s="469">
        <v>0</v>
      </c>
      <c r="T9" s="470">
        <f ca="1">SUM(P9:S9)</f>
        <v>1e-12</v>
      </c>
      <c r="U9" s="469">
        <v>0</v>
      </c>
      <c r="V9" s="469">
        <v>0</v>
      </c>
      <c r="W9" s="469">
        <v>0</v>
      </c>
      <c r="X9" s="471">
        <f ca="1">'Revenue Build'!X35</f>
        <v>1e-12</v>
      </c>
      <c r="Y9" s="470">
        <f ca="1">SUM(U9:X9)</f>
        <v>1e-12</v>
      </c>
      <c r="Z9" s="471">
        <f ca="1">'Revenue Build'!Z35</f>
        <v>1e-12</v>
      </c>
      <c r="AA9" s="471">
        <f ca="1">'Revenue Build'!AA35</f>
        <v>1e-12</v>
      </c>
      <c r="AB9" s="471">
        <f ca="1">'Revenue Build'!AB35</f>
        <v>1e-12</v>
      </c>
      <c r="AC9" s="471">
        <f ca="1">'Revenue Build'!AC35</f>
        <v>1e-12</v>
      </c>
      <c r="AD9" s="470">
        <f ca="1">SUM(Z9:AC9)</f>
        <v>1e-12</v>
      </c>
      <c r="AE9" s="472">
        <f ca="1">'Revenue Build'!AE35</f>
        <v>1e-12</v>
      </c>
      <c r="AF9" s="472">
        <f ca="1">'Revenue Build'!AF35</f>
        <v>1e-12</v>
      </c>
      <c r="AG9" s="472">
        <f ca="1">'Revenue Build'!AG35</f>
        <v>1e-12</v>
      </c>
    </row>
    <row r="10" ht="14.25" customHeight="1" hidden="1" spans="1:33" x14ac:dyDescent="0.25" outlineLevel="1">
      <c r="C10" s="139" t="s">
        <v>446</v>
      </c>
      <c r="D10" s="16"/>
      <c r="E10" s="16"/>
      <c r="F10" s="469">
        <v>0</v>
      </c>
      <c r="G10" s="469">
        <v>0</v>
      </c>
      <c r="H10" s="469">
        <v>0</v>
      </c>
      <c r="I10" s="469">
        <v>0</v>
      </c>
      <c r="J10" s="470">
        <f ca="1">SUM(F10:I10)</f>
        <v>1e-12</v>
      </c>
      <c r="K10" s="469">
        <v>0</v>
      </c>
      <c r="L10" s="469">
        <v>0</v>
      </c>
      <c r="M10" s="469">
        <v>0</v>
      </c>
      <c r="N10" s="469">
        <v>0</v>
      </c>
      <c r="O10" s="470">
        <f ca="1">SUM(K10:N10)</f>
        <v>1e-12</v>
      </c>
      <c r="P10" s="469">
        <v>0</v>
      </c>
      <c r="Q10" s="469">
        <v>0</v>
      </c>
      <c r="R10" s="469">
        <v>0</v>
      </c>
      <c r="S10" s="469">
        <v>0</v>
      </c>
      <c r="T10" s="470">
        <f ca="1">SUM(P10:S10)</f>
        <v>1e-12</v>
      </c>
      <c r="U10" s="469">
        <v>0</v>
      </c>
      <c r="V10" s="469">
        <v>0</v>
      </c>
      <c r="W10" s="469">
        <v>0</v>
      </c>
      <c r="X10" s="471">
        <f ca="1">'Revenue Build'!X38</f>
        <v>1e-12</v>
      </c>
      <c r="Y10" s="470">
        <f ca="1">SUM(U10:X10)</f>
        <v>1e-12</v>
      </c>
      <c r="Z10" s="471">
        <f ca="1">'Revenue Build'!Z38</f>
        <v>1e-12</v>
      </c>
      <c r="AA10" s="471">
        <f ca="1">'Revenue Build'!AA38</f>
        <v>1e-12</v>
      </c>
      <c r="AB10" s="471">
        <f ca="1">'Revenue Build'!AB38</f>
        <v>1e-12</v>
      </c>
      <c r="AC10" s="471">
        <f ca="1">'Revenue Build'!AC38</f>
        <v>1e-12</v>
      </c>
      <c r="AD10" s="470">
        <f ca="1">SUM(Z10:AC10)</f>
        <v>1e-12</v>
      </c>
      <c r="AE10" s="472">
        <f ca="1">'Revenue Build'!AE38</f>
        <v>1e-12</v>
      </c>
      <c r="AF10" s="472">
        <f ca="1">'Revenue Build'!AF38</f>
        <v>1e-12</v>
      </c>
      <c r="AG10" s="472">
        <f ca="1">'Revenue Build'!AG38</f>
        <v>1e-12</v>
      </c>
    </row>
    <row r="11" ht="14.25" customHeight="1" hidden="1" spans="1:33" x14ac:dyDescent="0.25" outlineLevel="1">
      <c r="C11" s="139" t="s">
        <v>446</v>
      </c>
      <c r="D11" s="16"/>
      <c r="E11" s="16"/>
      <c r="F11" s="469">
        <v>0</v>
      </c>
      <c r="G11" s="469">
        <v>0</v>
      </c>
      <c r="H11" s="469">
        <v>0</v>
      </c>
      <c r="I11" s="469">
        <v>0</v>
      </c>
      <c r="J11" s="470">
        <f ca="1">SUM(F11:I11)</f>
        <v>1e-12</v>
      </c>
      <c r="K11" s="469">
        <v>0</v>
      </c>
      <c r="L11" s="469">
        <v>0</v>
      </c>
      <c r="M11" s="469">
        <v>0</v>
      </c>
      <c r="N11" s="469">
        <v>0</v>
      </c>
      <c r="O11" s="470">
        <f ca="1">SUM(K11:N11)</f>
        <v>1e-12</v>
      </c>
      <c r="P11" s="469">
        <v>0</v>
      </c>
      <c r="Q11" s="469">
        <v>0</v>
      </c>
      <c r="R11" s="469">
        <v>0</v>
      </c>
      <c r="S11" s="469">
        <v>0</v>
      </c>
      <c r="T11" s="470">
        <f ca="1">SUM(P11:S11)</f>
        <v>1e-12</v>
      </c>
      <c r="U11" s="469">
        <v>0</v>
      </c>
      <c r="V11" s="469">
        <v>0</v>
      </c>
      <c r="W11" s="469">
        <v>0</v>
      </c>
      <c r="X11" s="471">
        <f ca="1">'Revenue Build'!X41</f>
        <v>1e-12</v>
      </c>
      <c r="Y11" s="470">
        <f ca="1">SUM(U11:X11)</f>
        <v>1e-12</v>
      </c>
      <c r="Z11" s="471">
        <f ca="1">'Revenue Build'!Z41</f>
        <v>1e-12</v>
      </c>
      <c r="AA11" s="471">
        <f ca="1">'Revenue Build'!AA41</f>
        <v>1e-12</v>
      </c>
      <c r="AB11" s="471">
        <f ca="1">'Revenue Build'!AB41</f>
        <v>1e-12</v>
      </c>
      <c r="AC11" s="471">
        <f ca="1">'Revenue Build'!AC41</f>
        <v>1e-12</v>
      </c>
      <c r="AD11" s="470">
        <f ca="1">SUM(Z11:AC11)</f>
        <v>1e-12</v>
      </c>
      <c r="AE11" s="472">
        <f ca="1">'Revenue Build'!AE41</f>
        <v>1e-12</v>
      </c>
      <c r="AF11" s="472">
        <f ca="1">'Revenue Build'!AF41</f>
        <v>1e-12</v>
      </c>
      <c r="AG11" s="472">
        <f ca="1">'Revenue Build'!AG41</f>
        <v>1e-12</v>
      </c>
    </row>
    <row r="12" ht="14.25" customHeight="1" hidden="1" spans="1:33" x14ac:dyDescent="0.25" outlineLevel="1">
      <c r="C12" s="139" t="s">
        <v>446</v>
      </c>
      <c r="D12" s="16"/>
      <c r="E12" s="16"/>
      <c r="F12" s="469">
        <v>0</v>
      </c>
      <c r="G12" s="469">
        <v>0</v>
      </c>
      <c r="H12" s="469">
        <v>0</v>
      </c>
      <c r="I12" s="469">
        <v>0</v>
      </c>
      <c r="J12" s="470">
        <f ca="1">SUM(F12:I12)</f>
        <v>1e-12</v>
      </c>
      <c r="K12" s="469">
        <v>0</v>
      </c>
      <c r="L12" s="469">
        <v>0</v>
      </c>
      <c r="M12" s="469">
        <v>0</v>
      </c>
      <c r="N12" s="469">
        <v>0</v>
      </c>
      <c r="O12" s="470">
        <f ca="1">SUM(K12:N12)</f>
        <v>1e-12</v>
      </c>
      <c r="P12" s="469">
        <v>0</v>
      </c>
      <c r="Q12" s="469">
        <v>0</v>
      </c>
      <c r="R12" s="469">
        <v>0</v>
      </c>
      <c r="S12" s="469">
        <v>0</v>
      </c>
      <c r="T12" s="470">
        <f ca="1">SUM(P12:S12)</f>
        <v>1e-12</v>
      </c>
      <c r="U12" s="469">
        <v>0</v>
      </c>
      <c r="V12" s="469">
        <v>0</v>
      </c>
      <c r="W12" s="469">
        <v>0</v>
      </c>
      <c r="X12" s="471">
        <f ca="1">'Revenue Build'!X44</f>
        <v>1e-12</v>
      </c>
      <c r="Y12" s="470">
        <f ca="1">SUM(U12:X12)</f>
        <v>1e-12</v>
      </c>
      <c r="Z12" s="471">
        <f ca="1">'Revenue Build'!Z44</f>
        <v>1e-12</v>
      </c>
      <c r="AA12" s="471">
        <f ca="1">'Revenue Build'!AA44</f>
        <v>1e-12</v>
      </c>
      <c r="AB12" s="471">
        <f ca="1">'Revenue Build'!AB44</f>
        <v>1e-12</v>
      </c>
      <c r="AC12" s="471">
        <f ca="1">'Revenue Build'!AC44</f>
        <v>1e-12</v>
      </c>
      <c r="AD12" s="470">
        <f ca="1">SUM(Z12:AC12)</f>
        <v>1e-12</v>
      </c>
      <c r="AE12" s="472">
        <f ca="1">'Revenue Build'!AE44</f>
        <v>1e-12</v>
      </c>
      <c r="AF12" s="472">
        <f ca="1">'Revenue Build'!AF44</f>
        <v>1e-12</v>
      </c>
      <c r="AG12" s="472">
        <f ca="1">'Revenue Build'!AG44</f>
        <v>1e-12</v>
      </c>
    </row>
    <row r="13" ht="14.25" customHeight="1" hidden="1" spans="1:33" x14ac:dyDescent="0.25" outlineLevel="2" collapsed="1">
      <c r="C13" s="139" t="s">
        <v>446</v>
      </c>
      <c r="D13" s="16"/>
      <c r="E13" s="16"/>
      <c r="F13" s="469">
        <v>0</v>
      </c>
      <c r="G13" s="469">
        <v>0</v>
      </c>
      <c r="H13" s="469">
        <v>0</v>
      </c>
      <c r="I13" s="469">
        <v>0</v>
      </c>
      <c r="J13" s="470">
        <f ca="1">SUM(F13:I13)</f>
        <v>1e-12</v>
      </c>
      <c r="K13" s="469">
        <v>0</v>
      </c>
      <c r="L13" s="469">
        <v>0</v>
      </c>
      <c r="M13" s="469">
        <v>0</v>
      </c>
      <c r="N13" s="469">
        <v>0</v>
      </c>
      <c r="O13" s="470">
        <f ca="1">SUM(K13:N13)</f>
        <v>1e-12</v>
      </c>
      <c r="P13" s="469">
        <v>0</v>
      </c>
      <c r="Q13" s="469">
        <v>0</v>
      </c>
      <c r="R13" s="469">
        <v>0</v>
      </c>
      <c r="S13" s="469">
        <v>0</v>
      </c>
      <c r="T13" s="470">
        <f ca="1">SUM(P13:S13)</f>
        <v>1e-12</v>
      </c>
      <c r="U13" s="469">
        <v>0</v>
      </c>
      <c r="V13" s="469">
        <v>0</v>
      </c>
      <c r="W13" s="469">
        <v>0</v>
      </c>
      <c r="X13" s="471">
        <f ca="1">'Revenue Build'!X47</f>
        <v>1e-12</v>
      </c>
      <c r="Y13" s="470">
        <f ca="1">SUM(U13:X13)</f>
        <v>1e-12</v>
      </c>
      <c r="Z13" s="471">
        <f ca="1">'Revenue Build'!Z47</f>
        <v>1e-12</v>
      </c>
      <c r="AA13" s="471">
        <f ca="1">'Revenue Build'!AA47</f>
        <v>1e-12</v>
      </c>
      <c r="AB13" s="471">
        <f ca="1">'Revenue Build'!AB47</f>
        <v>1e-12</v>
      </c>
      <c r="AC13" s="471">
        <f ca="1">'Revenue Build'!AC47</f>
        <v>1e-12</v>
      </c>
      <c r="AD13" s="470">
        <f ca="1">SUM(Z13:AC13)</f>
        <v>1e-12</v>
      </c>
      <c r="AE13" s="472">
        <f ca="1">'Revenue Build'!AE47</f>
        <v>1e-12</v>
      </c>
      <c r="AF13" s="472">
        <f ca="1">'Revenue Build'!AF47</f>
        <v>1e-12</v>
      </c>
      <c r="AG13" s="472">
        <f ca="1">'Revenue Build'!AG47</f>
        <v>1e-12</v>
      </c>
    </row>
    <row r="14" ht="14.25" customHeight="1" spans="1:33" x14ac:dyDescent="0.25">
      <c r="C14" s="16"/>
      <c r="D14" s="16"/>
      <c r="E14" s="16"/>
      <c r="F14" s="319"/>
      <c r="G14" s="319"/>
      <c r="H14" s="319"/>
      <c r="I14" s="319"/>
      <c r="J14" s="168">
        <f ca="1">SUM(F14:I14)</f>
        <v>1e-12</v>
      </c>
      <c r="K14" s="319"/>
      <c r="L14" s="319"/>
      <c r="M14" s="473"/>
      <c r="N14" s="319"/>
      <c r="O14" s="168">
        <f ca="1">SUM(K14:N14)</f>
        <v>1e-12</v>
      </c>
      <c r="P14" s="319"/>
      <c r="Q14" s="319"/>
      <c r="R14" s="319"/>
      <c r="S14" s="319"/>
      <c r="T14" s="168">
        <f ca="1">SUM(P14:S14)</f>
        <v>1e-12</v>
      </c>
      <c r="U14" s="319"/>
      <c r="V14" s="319"/>
      <c r="W14" s="319"/>
      <c r="X14" s="322"/>
      <c r="Y14" s="168"/>
      <c r="Z14" s="322"/>
      <c r="AA14" s="322"/>
      <c r="AB14" s="322"/>
      <c r="AC14" s="322"/>
      <c r="AD14" s="168"/>
      <c r="AE14" s="168"/>
      <c r="AF14" s="168"/>
      <c r="AG14" s="168"/>
    </row>
    <row r="15" ht="14.25" customHeight="1" spans="1:33" x14ac:dyDescent="0.25">
      <c r="C15" s="16" t="s">
        <v>447</v>
      </c>
      <c r="D15" s="16"/>
      <c r="E15" s="16"/>
      <c r="F15" s="474"/>
      <c r="G15" s="474"/>
      <c r="H15" s="474"/>
      <c r="I15" s="474"/>
      <c r="J15" s="168"/>
      <c r="K15" s="474"/>
      <c r="L15" s="474"/>
      <c r="M15" s="473"/>
      <c r="N15" s="474"/>
      <c r="O15" s="168"/>
      <c r="P15" s="474"/>
      <c r="Q15" s="474"/>
      <c r="R15" s="474"/>
      <c r="S15" s="474"/>
      <c r="T15" s="168"/>
      <c r="U15" s="474"/>
      <c r="V15" s="474"/>
      <c r="W15" s="474"/>
      <c r="X15" s="475"/>
      <c r="Y15" s="168"/>
      <c r="Z15" s="475"/>
      <c r="AA15" s="475"/>
      <c r="AB15" s="475"/>
      <c r="AC15" s="475"/>
      <c r="AD15" s="168"/>
      <c r="AE15" s="168"/>
      <c r="AF15" s="168"/>
      <c r="AG15" s="168"/>
    </row>
    <row r="16" ht="14.25" customHeight="1" spans="1:33" x14ac:dyDescent="0.25">
      <c r="C16" s="476" t="s">
        <v>448</v>
      </c>
      <c r="D16" s="16"/>
      <c r="E16" s="16"/>
      <c r="F16" s="377">
        <f t="shared" ref="F16:AG16" si="4" ca="1">IFERROR(F8/F$7,"N/A")</f>
        <v>1</v>
      </c>
      <c r="G16" s="377">
        <f ca="1">IFERROR(G8/G$7,"N/A")</f>
        <v>1</v>
      </c>
      <c r="H16" s="377">
        <f ca="1">IFERROR(H8/H$7,"N/A")</f>
        <v>1</v>
      </c>
      <c r="I16" s="377">
        <f ca="1">IFERROR(I8/I$7,"N/A")</f>
        <v>1</v>
      </c>
      <c r="J16" s="378">
        <f ca="1">IFERROR(J8/J$7,"N/A")</f>
        <v>1</v>
      </c>
      <c r="K16" s="377">
        <f ca="1">IFERROR(K8/K$7,"N/A")</f>
        <v>1</v>
      </c>
      <c r="L16" s="377">
        <f ca="1">IFERROR(L8/L$7,"N/A")</f>
        <v>1</v>
      </c>
      <c r="M16" s="377">
        <f ca="1">IFERROR(M8/M$7,"N/A")</f>
        <v>1</v>
      </c>
      <c r="N16" s="377">
        <f ca="1">IFERROR(N8/N$7,"N/A")</f>
        <v>1</v>
      </c>
      <c r="O16" s="378">
        <f ca="1">IFERROR(O8/O$7,"N/A")</f>
        <v>1</v>
      </c>
      <c r="P16" s="377">
        <f ca="1">IFERROR(P8/P$7,"N/A")</f>
        <v>1</v>
      </c>
      <c r="Q16" s="377">
        <f ca="1">IFERROR(Q8/Q$7,"N/A")</f>
        <v>1</v>
      </c>
      <c r="R16" s="377">
        <f ca="1">IFERROR(R8/R$7,"N/A")</f>
        <v>1</v>
      </c>
      <c r="S16" s="377">
        <f ca="1">IFERROR(S8/S$7,"N/A")</f>
        <v>1</v>
      </c>
      <c r="T16" s="378">
        <f ca="1">IFERROR(T8/T$7,"N/A")</f>
        <v>1</v>
      </c>
      <c r="U16" s="377">
        <f ca="1">IFERROR(U8/U$7,"N/A")</f>
        <v>1</v>
      </c>
      <c r="V16" s="377">
        <f ca="1">IFERROR(V8/V$7,"N/A")</f>
        <v>1</v>
      </c>
      <c r="W16" s="377">
        <f ca="1">IFERROR(W8/W$7,"N/A")</f>
        <v>1</v>
      </c>
      <c r="X16" s="379">
        <f ca="1">IFERROR(X8/X$7,"N/A")</f>
        <v>1</v>
      </c>
      <c r="Y16" s="378">
        <f ca="1">IFERROR(Y8/Y$7,"N/A")</f>
        <v>1</v>
      </c>
      <c r="Z16" s="379">
        <f ca="1">IFERROR(Z8/Z$7,"N/A")</f>
        <v>1</v>
      </c>
      <c r="AA16" s="379">
        <f ca="1">IFERROR(AA8/AA$7,"N/A")</f>
        <v>1</v>
      </c>
      <c r="AB16" s="379">
        <f ca="1">IFERROR(AB8/AB$7,"N/A")</f>
        <v>1</v>
      </c>
      <c r="AC16" s="379">
        <f ca="1">IFERROR(AC8/AC$7,"N/A")</f>
        <v>1</v>
      </c>
      <c r="AD16" s="378">
        <f ca="1">IFERROR(AD8/AD$7,"N/A")</f>
        <v>1</v>
      </c>
      <c r="AE16" s="378">
        <f ca="1">IFERROR(AE8/AE$7,"N/A")</f>
        <v>1</v>
      </c>
      <c r="AF16" s="378">
        <f ca="1">IFERROR(AF8/AF$7,"N/A")</f>
        <v>1</v>
      </c>
      <c r="AG16" s="378">
        <f ca="1">IFERROR(AG8/AG$7,"N/A")</f>
        <v>1</v>
      </c>
    </row>
    <row r="17" ht="14.25" customHeight="1" hidden="1" spans="1:33" x14ac:dyDescent="0.25" outlineLevel="1">
      <c r="C17" s="476" t="s">
        <v>449</v>
      </c>
      <c r="D17" s="16"/>
      <c r="E17" s="16"/>
      <c r="F17" s="377">
        <f t="shared" ref="F17:AG17" si="5" ca="1">IFERROR(F9/F$7,"N/A")</f>
        <v>0</v>
      </c>
      <c r="G17" s="377">
        <f ca="1">IFERROR(G9/G$7,"N/A")</f>
      </c>
      <c r="H17" s="377">
        <f ca="1">IFERROR(H9/H$7,"N/A")</f>
      </c>
      <c r="I17" s="377">
        <f ca="1">IFERROR(I9/I$7,"N/A")</f>
      </c>
      <c r="J17" s="378">
        <f ca="1">IFERROR(J9/J$7,"N/A")</f>
      </c>
      <c r="K17" s="377">
        <f ca="1">IFERROR(K9/K$7,"N/A")</f>
      </c>
      <c r="L17" s="377">
        <f ca="1">IFERROR(L9/L$7,"N/A")</f>
      </c>
      <c r="M17" s="377">
        <f ca="1">IFERROR(M9/M$7,"N/A")</f>
      </c>
      <c r="N17" s="377">
        <f ca="1">IFERROR(N9/N$7,"N/A")</f>
      </c>
      <c r="O17" s="378">
        <f ca="1">IFERROR(O9/O$7,"N/A")</f>
      </c>
      <c r="P17" s="377">
        <f ca="1">IFERROR(P9/P$7,"N/A")</f>
      </c>
      <c r="Q17" s="377">
        <f ca="1">IFERROR(Q9/Q$7,"N/A")</f>
      </c>
      <c r="R17" s="377">
        <f ca="1">IFERROR(R9/R$7,"N/A")</f>
      </c>
      <c r="S17" s="377">
        <f ca="1">IFERROR(S9/S$7,"N/A")</f>
      </c>
      <c r="T17" s="378">
        <f ca="1">IFERROR(T9/T$7,"N/A")</f>
      </c>
      <c r="U17" s="377">
        <f ca="1">IFERROR(U9/U$7,"N/A")</f>
      </c>
      <c r="V17" s="377">
        <f ca="1">IFERROR(V9/V$7,"N/A")</f>
      </c>
      <c r="W17" s="377">
        <f ca="1">IFERROR(W9/W$7,"N/A")</f>
      </c>
      <c r="X17" s="379">
        <f ca="1">IFERROR(X9/X$7,"N/A")</f>
      </c>
      <c r="Y17" s="378">
        <f ca="1">IFERROR(Y9/Y$7,"N/A")</f>
      </c>
      <c r="Z17" s="379">
        <f ca="1">IFERROR(Z9/Z$7,"N/A")</f>
      </c>
      <c r="AA17" s="379">
        <f ca="1">IFERROR(AA9/AA$7,"N/A")</f>
      </c>
      <c r="AB17" s="379">
        <f ca="1">IFERROR(AB9/AB$7,"N/A")</f>
      </c>
      <c r="AC17" s="379">
        <f ca="1">IFERROR(AC9/AC$7,"N/A")</f>
      </c>
      <c r="AD17" s="378">
        <f ca="1">IFERROR(AD9/AD$7,"N/A")</f>
      </c>
      <c r="AE17" s="378">
        <f ca="1">IFERROR(AE9/AE$7,"N/A")</f>
      </c>
      <c r="AF17" s="378">
        <f ca="1">IFERROR(AF9/AF$7,"N/A")</f>
      </c>
      <c r="AG17" s="378">
        <f ca="1">IFERROR(AG9/AG$7,"N/A")</f>
      </c>
    </row>
    <row r="18" ht="14.25" customHeight="1" hidden="1" spans="1:33" x14ac:dyDescent="0.25" outlineLevel="1">
      <c r="C18" s="476" t="s">
        <v>450</v>
      </c>
      <c r="D18" s="16"/>
      <c r="E18" s="16"/>
      <c r="F18" s="377">
        <f t="shared" ref="F18:AG18" si="6" ca="1">IFERROR(F10/F$7,"N/A")</f>
        <v>0</v>
      </c>
      <c r="G18" s="377">
        <f ca="1">IFERROR(G10/G$7,"N/A")</f>
      </c>
      <c r="H18" s="377">
        <f ca="1">IFERROR(H10/H$7,"N/A")</f>
      </c>
      <c r="I18" s="377">
        <f ca="1">IFERROR(I10/I$7,"N/A")</f>
      </c>
      <c r="J18" s="378">
        <f ca="1">IFERROR(J10/J$7,"N/A")</f>
      </c>
      <c r="K18" s="377">
        <f ca="1">IFERROR(K10/K$7,"N/A")</f>
      </c>
      <c r="L18" s="377">
        <f ca="1">IFERROR(L10/L$7,"N/A")</f>
      </c>
      <c r="M18" s="377">
        <f ca="1">IFERROR(M10/M$7,"N/A")</f>
      </c>
      <c r="N18" s="377">
        <f ca="1">IFERROR(N10/N$7,"N/A")</f>
      </c>
      <c r="O18" s="378">
        <f ca="1">IFERROR(O10/O$7,"N/A")</f>
      </c>
      <c r="P18" s="377">
        <f ca="1">IFERROR(P10/P$7,"N/A")</f>
      </c>
      <c r="Q18" s="377">
        <f ca="1">IFERROR(Q10/Q$7,"N/A")</f>
      </c>
      <c r="R18" s="377">
        <f ca="1">IFERROR(R10/R$7,"N/A")</f>
      </c>
      <c r="S18" s="377">
        <f ca="1">IFERROR(S10/S$7,"N/A")</f>
      </c>
      <c r="T18" s="378">
        <f ca="1">IFERROR(T10/T$7,"N/A")</f>
      </c>
      <c r="U18" s="377">
        <f ca="1">IFERROR(U10/U$7,"N/A")</f>
      </c>
      <c r="V18" s="377">
        <f ca="1">IFERROR(V10/V$7,"N/A")</f>
      </c>
      <c r="W18" s="377">
        <f ca="1">IFERROR(W10/W$7,"N/A")</f>
      </c>
      <c r="X18" s="379">
        <f ca="1">IFERROR(X10/X$7,"N/A")</f>
      </c>
      <c r="Y18" s="378">
        <f ca="1">IFERROR(Y10/Y$7,"N/A")</f>
      </c>
      <c r="Z18" s="379">
        <f ca="1">IFERROR(Z10/Z$7,"N/A")</f>
      </c>
      <c r="AA18" s="379">
        <f ca="1">IFERROR(AA10/AA$7,"N/A")</f>
      </c>
      <c r="AB18" s="379">
        <f ca="1">IFERROR(AB10/AB$7,"N/A")</f>
      </c>
      <c r="AC18" s="379">
        <f ca="1">IFERROR(AC10/AC$7,"N/A")</f>
      </c>
      <c r="AD18" s="378">
        <f ca="1">IFERROR(AD10/AD$7,"N/A")</f>
      </c>
      <c r="AE18" s="378">
        <f ca="1">IFERROR(AE10/AE$7,"N/A")</f>
      </c>
      <c r="AF18" s="378">
        <f ca="1">IFERROR(AF10/AF$7,"N/A")</f>
      </c>
      <c r="AG18" s="378">
        <f ca="1">IFERROR(AG10/AG$7,"N/A")</f>
      </c>
    </row>
    <row r="19" ht="14.25" customHeight="1" hidden="1" spans="1:33" x14ac:dyDescent="0.25" outlineLevel="1">
      <c r="C19" s="476" t="s">
        <v>451</v>
      </c>
      <c r="D19" s="16"/>
      <c r="E19" s="16"/>
      <c r="F19" s="377">
        <f t="shared" ref="F19:AG19" si="7" ca="1">IFERROR(F11/F$7,"N/A")</f>
        <v>0</v>
      </c>
      <c r="G19" s="377">
        <f ca="1">IFERROR(G11/G$7,"N/A")</f>
      </c>
      <c r="H19" s="377">
        <f ca="1">IFERROR(H11/H$7,"N/A")</f>
      </c>
      <c r="I19" s="377">
        <f ca="1">IFERROR(I11/I$7,"N/A")</f>
      </c>
      <c r="J19" s="378">
        <f ca="1">IFERROR(J11/J$7,"N/A")</f>
      </c>
      <c r="K19" s="377">
        <f ca="1">IFERROR(K11/K$7,"N/A")</f>
      </c>
      <c r="L19" s="377">
        <f ca="1">IFERROR(L11/L$7,"N/A")</f>
      </c>
      <c r="M19" s="377">
        <f ca="1">IFERROR(M11/M$7,"N/A")</f>
      </c>
      <c r="N19" s="377">
        <f ca="1">IFERROR(N11/N$7,"N/A")</f>
      </c>
      <c r="O19" s="378">
        <f ca="1">IFERROR(O11/O$7,"N/A")</f>
      </c>
      <c r="P19" s="377">
        <f ca="1">IFERROR(P11/P$7,"N/A")</f>
      </c>
      <c r="Q19" s="377">
        <f ca="1">IFERROR(Q11/Q$7,"N/A")</f>
      </c>
      <c r="R19" s="377">
        <f ca="1">IFERROR(R11/R$7,"N/A")</f>
      </c>
      <c r="S19" s="377">
        <f ca="1">IFERROR(S11/S$7,"N/A")</f>
      </c>
      <c r="T19" s="378">
        <f ca="1">IFERROR(T11/T$7,"N/A")</f>
      </c>
      <c r="U19" s="377">
        <f ca="1">IFERROR(U11/U$7,"N/A")</f>
      </c>
      <c r="V19" s="377">
        <f ca="1">IFERROR(V11/V$7,"N/A")</f>
      </c>
      <c r="W19" s="377">
        <f ca="1">IFERROR(W11/W$7,"N/A")</f>
      </c>
      <c r="X19" s="379">
        <f ca="1">IFERROR(X11/X$7,"N/A")</f>
      </c>
      <c r="Y19" s="378">
        <f ca="1">IFERROR(Y11/Y$7,"N/A")</f>
      </c>
      <c r="Z19" s="379">
        <f ca="1">IFERROR(Z11/Z$7,"N/A")</f>
      </c>
      <c r="AA19" s="379">
        <f ca="1">IFERROR(AA11/AA$7,"N/A")</f>
      </c>
      <c r="AB19" s="379">
        <f ca="1">IFERROR(AB11/AB$7,"N/A")</f>
      </c>
      <c r="AC19" s="379">
        <f ca="1">IFERROR(AC11/AC$7,"N/A")</f>
      </c>
      <c r="AD19" s="378">
        <f ca="1">IFERROR(AD11/AD$7,"N/A")</f>
      </c>
      <c r="AE19" s="378">
        <f ca="1">IFERROR(AE11/AE$7,"N/A")</f>
      </c>
      <c r="AF19" s="378">
        <f ca="1">IFERROR(AF11/AF$7,"N/A")</f>
      </c>
      <c r="AG19" s="378">
        <f ca="1">IFERROR(AG11/AG$7,"N/A")</f>
      </c>
    </row>
    <row r="20" ht="14.25" customHeight="1" hidden="1" spans="1:33" x14ac:dyDescent="0.25" outlineLevel="1">
      <c r="C20" s="476" t="s">
        <v>452</v>
      </c>
      <c r="D20" s="16"/>
      <c r="E20" s="16"/>
      <c r="F20" s="377">
        <f t="shared" ref="F20:AG20" si="8" ca="1">IFERROR(F12/F$7,"N/A")</f>
        <v>0</v>
      </c>
      <c r="G20" s="377">
        <f ca="1">IFERROR(G12/G$7,"N/A")</f>
      </c>
      <c r="H20" s="377">
        <f ca="1">IFERROR(H12/H$7,"N/A")</f>
      </c>
      <c r="I20" s="377">
        <f ca="1">IFERROR(I12/I$7,"N/A")</f>
      </c>
      <c r="J20" s="378">
        <f ca="1">IFERROR(J12/J$7,"N/A")</f>
      </c>
      <c r="K20" s="377">
        <f ca="1">IFERROR(K12/K$7,"N/A")</f>
      </c>
      <c r="L20" s="377">
        <f ca="1">IFERROR(L12/L$7,"N/A")</f>
      </c>
      <c r="M20" s="377">
        <f ca="1">IFERROR(M12/M$7,"N/A")</f>
      </c>
      <c r="N20" s="377">
        <f ca="1">IFERROR(N12/N$7,"N/A")</f>
      </c>
      <c r="O20" s="378">
        <f ca="1">IFERROR(O12/O$7,"N/A")</f>
      </c>
      <c r="P20" s="377">
        <f ca="1">IFERROR(P12/P$7,"N/A")</f>
      </c>
      <c r="Q20" s="377">
        <f ca="1">IFERROR(Q12/Q$7,"N/A")</f>
      </c>
      <c r="R20" s="377">
        <f ca="1">IFERROR(R12/R$7,"N/A")</f>
      </c>
      <c r="S20" s="377">
        <f ca="1">IFERROR(S12/S$7,"N/A")</f>
      </c>
      <c r="T20" s="378">
        <f ca="1">IFERROR(T12/T$7,"N/A")</f>
      </c>
      <c r="U20" s="377">
        <f ca="1">IFERROR(U12/U$7,"N/A")</f>
      </c>
      <c r="V20" s="377">
        <f ca="1">IFERROR(V12/V$7,"N/A")</f>
      </c>
      <c r="W20" s="377">
        <f ca="1">IFERROR(W12/W$7,"N/A")</f>
      </c>
      <c r="X20" s="379">
        <f ca="1">IFERROR(X12/X$7,"N/A")</f>
      </c>
      <c r="Y20" s="378">
        <f ca="1">IFERROR(Y12/Y$7,"N/A")</f>
      </c>
      <c r="Z20" s="379">
        <f ca="1">IFERROR(Z12/Z$7,"N/A")</f>
      </c>
      <c r="AA20" s="379">
        <f ca="1">IFERROR(AA12/AA$7,"N/A")</f>
      </c>
      <c r="AB20" s="379">
        <f ca="1">IFERROR(AB12/AB$7,"N/A")</f>
      </c>
      <c r="AC20" s="379">
        <f ca="1">IFERROR(AC12/AC$7,"N/A")</f>
      </c>
      <c r="AD20" s="378">
        <f ca="1">IFERROR(AD12/AD$7,"N/A")</f>
      </c>
      <c r="AE20" s="378">
        <f ca="1">IFERROR(AE12/AE$7,"N/A")</f>
      </c>
      <c r="AF20" s="378">
        <f ca="1">IFERROR(AF12/AF$7,"N/A")</f>
      </c>
      <c r="AG20" s="378">
        <f ca="1">IFERROR(AG12/AG$7,"N/A")</f>
      </c>
    </row>
    <row r="21" ht="14.25" customHeight="1" hidden="1" spans="1:33" x14ac:dyDescent="0.25" outlineLevel="2" collapsed="1">
      <c r="C21" s="476" t="s">
        <v>453</v>
      </c>
      <c r="D21" s="16"/>
      <c r="E21" s="16"/>
      <c r="F21" s="377">
        <f t="shared" ref="F21:AG21" si="9" ca="1">IFERROR(F13/F$7,"N/A")</f>
        <v>0</v>
      </c>
      <c r="G21" s="377">
        <f ca="1">IFERROR(G13/G$7,"N/A")</f>
      </c>
      <c r="H21" s="377">
        <f ca="1">IFERROR(H13/H$7,"N/A")</f>
      </c>
      <c r="I21" s="377">
        <f ca="1">IFERROR(I13/I$7,"N/A")</f>
      </c>
      <c r="J21" s="378">
        <f ca="1">IFERROR(J13/J$7,"N/A")</f>
      </c>
      <c r="K21" s="377">
        <f ca="1">IFERROR(K13/K$7,"N/A")</f>
      </c>
      <c r="L21" s="377">
        <f ca="1">IFERROR(L13/L$7,"N/A")</f>
      </c>
      <c r="M21" s="377">
        <f ca="1">IFERROR(M13/M$7,"N/A")</f>
      </c>
      <c r="N21" s="377">
        <f ca="1">IFERROR(N13/N$7,"N/A")</f>
      </c>
      <c r="O21" s="378">
        <f ca="1">IFERROR(O13/O$7,"N/A")</f>
      </c>
      <c r="P21" s="377">
        <f ca="1">IFERROR(P13/P$7,"N/A")</f>
      </c>
      <c r="Q21" s="377">
        <f ca="1">IFERROR(Q13/Q$7,"N/A")</f>
      </c>
      <c r="R21" s="377">
        <f ca="1">IFERROR(R13/R$7,"N/A")</f>
      </c>
      <c r="S21" s="377">
        <f ca="1">IFERROR(S13/S$7,"N/A")</f>
      </c>
      <c r="T21" s="378">
        <f ca="1">IFERROR(T13/T$7,"N/A")</f>
      </c>
      <c r="U21" s="377">
        <f ca="1">IFERROR(U13/U$7,"N/A")</f>
      </c>
      <c r="V21" s="377">
        <f ca="1">IFERROR(V13/V$7,"N/A")</f>
      </c>
      <c r="W21" s="377">
        <f ca="1">IFERROR(W13/W$7,"N/A")</f>
      </c>
      <c r="X21" s="379">
        <f ca="1">IFERROR(X13/X$7,"N/A")</f>
      </c>
      <c r="Y21" s="378">
        <f ca="1">IFERROR(Y13/Y$7,"N/A")</f>
      </c>
      <c r="Z21" s="379">
        <f ca="1">IFERROR(Z13/Z$7,"N/A")</f>
      </c>
      <c r="AA21" s="379">
        <f ca="1">IFERROR(AA13/AA$7,"N/A")</f>
      </c>
      <c r="AB21" s="379">
        <f ca="1">IFERROR(AB13/AB$7,"N/A")</f>
      </c>
      <c r="AC21" s="379">
        <f ca="1">IFERROR(AC13/AC$7,"N/A")</f>
      </c>
      <c r="AD21" s="378">
        <f ca="1">IFERROR(AD13/AD$7,"N/A")</f>
      </c>
      <c r="AE21" s="378">
        <f ca="1">IFERROR(AE13/AE$7,"N/A")</f>
      </c>
      <c r="AF21" s="378">
        <f ca="1">IFERROR(AF13/AF$7,"N/A")</f>
      </c>
      <c r="AG21" s="378">
        <f ca="1">IFERROR(AG13/AG$7,"N/A")</f>
      </c>
    </row>
    <row r="22" ht="14.25" customHeight="1" spans="1:33" x14ac:dyDescent="0.25">
      <c r="C22" s="16"/>
      <c r="D22" s="16"/>
      <c r="E22" s="16"/>
      <c r="F22" s="319"/>
      <c r="G22" s="319"/>
      <c r="H22" s="319"/>
      <c r="I22" s="319"/>
      <c r="J22" s="168"/>
      <c r="K22" s="319"/>
      <c r="L22" s="319"/>
      <c r="M22" s="319"/>
      <c r="N22" s="319"/>
      <c r="O22" s="168"/>
      <c r="P22" s="319"/>
      <c r="Q22" s="319"/>
      <c r="R22" s="319"/>
      <c r="S22" s="319"/>
      <c r="T22" s="168"/>
      <c r="U22" s="319"/>
      <c r="V22" s="319"/>
      <c r="W22" s="319"/>
      <c r="X22" s="322"/>
      <c r="Y22" s="168"/>
      <c r="Z22" s="322"/>
      <c r="AA22" s="322"/>
      <c r="AB22" s="322"/>
      <c r="AC22" s="322"/>
      <c r="AD22" s="168"/>
      <c r="AE22" s="168"/>
      <c r="AF22" s="168"/>
      <c r="AG22" s="168"/>
    </row>
    <row r="23" ht="14.25" customHeight="1" hidden="1" spans="1:33" x14ac:dyDescent="0.25" outlineLevel="1">
      <c r="C23" s="16" t="s">
        <v>454</v>
      </c>
      <c r="D23" s="16"/>
      <c r="E23" s="16"/>
      <c r="F23" s="317">
        <f t="shared" ref="F23:I23" si="10" ca="1">SUM(F24:F26)</f>
        <v>1e-12</v>
      </c>
      <c r="G23" s="317">
        <f ca="1">SUM(G24:G26)</f>
        <v>1e-12</v>
      </c>
      <c r="H23" s="317">
        <f ca="1">SUM(H24:H26)</f>
        <v>1e-12</v>
      </c>
      <c r="I23" s="317">
        <f ca="1">SUM(I24:I26)</f>
        <v>1e-12</v>
      </c>
      <c r="J23" s="287">
        <f t="shared" ref="J23:J26" si="11" ca="1">SUM(F23:I23)</f>
        <v>1e-12</v>
      </c>
      <c r="K23" s="317">
        <f t="shared" ref="K23:N23" si="12" ca="1">SUM(K24:K26)</f>
        <v>1e-12</v>
      </c>
      <c r="L23" s="317">
        <f ca="1">SUM(L24:L26)</f>
        <v>1e-12</v>
      </c>
      <c r="M23" s="317">
        <f ca="1">SUM(M24:M26)</f>
        <v>1e-12</v>
      </c>
      <c r="N23" s="317">
        <f ca="1">SUM(N24:N26)</f>
        <v>1e-12</v>
      </c>
      <c r="O23" s="287">
        <f t="shared" ref="O23:O26" si="13" ca="1">SUM(K23:N23)</f>
        <v>1e-12</v>
      </c>
      <c r="P23" s="317">
        <f t="shared" ref="P23:S23" si="14" ca="1">SUM(P24:P26)</f>
        <v>1e-12</v>
      </c>
      <c r="Q23" s="317">
        <f ca="1">SUM(Q24:Q26)</f>
        <v>1e-12</v>
      </c>
      <c r="R23" s="317">
        <f ca="1">SUM(R24:R26)</f>
        <v>1e-12</v>
      </c>
      <c r="S23" s="317">
        <f ca="1">SUM(S24:S26)</f>
        <v>1e-12</v>
      </c>
      <c r="T23" s="287">
        <f t="shared" ref="T23:T26" si="15" ca="1">SUM(P23:S23)</f>
        <v>1e-12</v>
      </c>
      <c r="U23" s="317">
        <f t="shared" ref="U23:X23" si="16" ca="1">SUM(U24:U26)</f>
        <v>1e-12</v>
      </c>
      <c r="V23" s="317">
        <f ca="1">SUM(V24:V26)</f>
        <v>1e-12</v>
      </c>
      <c r="W23" s="317">
        <f ca="1">SUM(W24:W26)</f>
        <v>1e-12</v>
      </c>
      <c r="X23" s="286">
        <f ca="1">SUM(X24:X26)</f>
        <v>1e-12</v>
      </c>
      <c r="Y23" s="287">
        <f t="shared" ref="Y23:Y26" si="17" ca="1">SUM(U23:X23)</f>
        <v>1e-12</v>
      </c>
      <c r="Z23" s="286">
        <f t="shared" ref="Z23:AC23" si="18" ca="1">SUM(Z24:Z26)</f>
        <v>1e-12</v>
      </c>
      <c r="AA23" s="286">
        <f ca="1">SUM(AA24:AA26)</f>
        <v>1e-12</v>
      </c>
      <c r="AB23" s="286">
        <f ca="1">SUM(AB24:AB26)</f>
        <v>1e-12</v>
      </c>
      <c r="AC23" s="286">
        <f ca="1">SUM(AC24:AC26)</f>
        <v>1e-12</v>
      </c>
      <c r="AD23" s="287">
        <f t="shared" ref="AD23:AD26" si="19" ca="1">SUM(Z23:AC23)</f>
        <v>1e-12</v>
      </c>
      <c r="AE23" s="287">
        <f t="shared" ref="AE23:AG23" si="20" ca="1">SUM(AE24:AE26)</f>
        <v>1e-12</v>
      </c>
      <c r="AF23" s="287">
        <f ca="1">SUM(AF24:AF26)</f>
        <v>1e-12</v>
      </c>
      <c r="AG23" s="287">
        <f ca="1">SUM(AG24:AG26)</f>
        <v>1e-12</v>
      </c>
    </row>
    <row r="24" ht="14.25" customHeight="1" hidden="1" spans="1:33" x14ac:dyDescent="0.25" outlineLevel="1">
      <c r="C24" s="139" t="str">
        <f t="shared" ref="C24:C26" si="21" ca="1">C29&amp;" Revenue"</f>
        <v>Boeing Military Aircraft Revenue</v>
      </c>
      <c r="D24" s="16"/>
      <c r="E24" s="16"/>
      <c r="F24" s="469">
        <v>0</v>
      </c>
      <c r="G24" s="469">
        <v>0</v>
      </c>
      <c r="H24" s="469">
        <v>0</v>
      </c>
      <c r="I24" s="469">
        <v>0</v>
      </c>
      <c r="J24" s="470">
        <f ca="1">SUM(F24:I24)</f>
        <v>1e-12</v>
      </c>
      <c r="K24" s="469">
        <v>0</v>
      </c>
      <c r="L24" s="469">
        <v>0</v>
      </c>
      <c r="M24" s="469">
        <v>0</v>
      </c>
      <c r="N24" s="469">
        <v>0</v>
      </c>
      <c r="O24" s="470">
        <f ca="1">SUM(K24:N24)</f>
        <v>1e-12</v>
      </c>
      <c r="P24" s="469">
        <v>0</v>
      </c>
      <c r="Q24" s="469">
        <v>0</v>
      </c>
      <c r="R24" s="469">
        <v>0</v>
      </c>
      <c r="S24" s="469">
        <v>0</v>
      </c>
      <c r="T24" s="470">
        <f ca="1">SUM(P24:S24)</f>
        <v>1e-12</v>
      </c>
      <c r="U24" s="469">
        <v>0</v>
      </c>
      <c r="V24" s="469">
        <v>0</v>
      </c>
      <c r="W24" s="469">
        <v>0</v>
      </c>
      <c r="X24" s="477">
        <v>0</v>
      </c>
      <c r="Y24" s="470">
        <f ca="1">SUM(U24:X24)</f>
        <v>1e-12</v>
      </c>
      <c r="Z24" s="477">
        <v>0</v>
      </c>
      <c r="AA24" s="477">
        <v>0</v>
      </c>
      <c r="AB24" s="477">
        <v>0</v>
      </c>
      <c r="AC24" s="477">
        <v>0</v>
      </c>
      <c r="AD24" s="470">
        <f ca="1">SUM(Z24:AC24)</f>
        <v>1e-12</v>
      </c>
      <c r="AE24" s="478">
        <v>0</v>
      </c>
      <c r="AF24" s="478">
        <v>0</v>
      </c>
      <c r="AG24" s="478">
        <v>0</v>
      </c>
    </row>
    <row r="25" ht="14.25" customHeight="1" hidden="1" spans="1:33" x14ac:dyDescent="0.25" outlineLevel="1">
      <c r="C25" s="139" t="str">
        <f ca="1">C30&amp;" Revenue"</f>
        <v>Network &amp; Space Systems Revenue</v>
      </c>
      <c r="D25" s="16"/>
      <c r="E25" s="16"/>
      <c r="F25" s="469">
        <v>0</v>
      </c>
      <c r="G25" s="469">
        <v>0</v>
      </c>
      <c r="H25" s="469">
        <v>0</v>
      </c>
      <c r="I25" s="469">
        <v>0</v>
      </c>
      <c r="J25" s="470">
        <f ca="1">SUM(F25:I25)</f>
        <v>1e-12</v>
      </c>
      <c r="K25" s="469">
        <v>0</v>
      </c>
      <c r="L25" s="469">
        <v>0</v>
      </c>
      <c r="M25" s="469">
        <v>0</v>
      </c>
      <c r="N25" s="469">
        <v>0</v>
      </c>
      <c r="O25" s="470">
        <f ca="1">SUM(K25:N25)</f>
        <v>1e-12</v>
      </c>
      <c r="P25" s="469">
        <v>0</v>
      </c>
      <c r="Q25" s="469">
        <v>0</v>
      </c>
      <c r="R25" s="469">
        <v>0</v>
      </c>
      <c r="S25" s="469">
        <v>0</v>
      </c>
      <c r="T25" s="470">
        <f ca="1">SUM(P25:S25)</f>
        <v>1e-12</v>
      </c>
      <c r="U25" s="469">
        <v>0</v>
      </c>
      <c r="V25" s="469">
        <v>0</v>
      </c>
      <c r="W25" s="469">
        <v>0</v>
      </c>
      <c r="X25" s="477">
        <v>0</v>
      </c>
      <c r="Y25" s="470">
        <f ca="1">SUM(U25:X25)</f>
        <v>1e-12</v>
      </c>
      <c r="Z25" s="477">
        <v>0</v>
      </c>
      <c r="AA25" s="477">
        <v>0</v>
      </c>
      <c r="AB25" s="477">
        <v>0</v>
      </c>
      <c r="AC25" s="477">
        <v>0</v>
      </c>
      <c r="AD25" s="470">
        <f ca="1">SUM(Z25:AC25)</f>
        <v>1e-12</v>
      </c>
      <c r="AE25" s="478">
        <v>0</v>
      </c>
      <c r="AF25" s="478">
        <v>0</v>
      </c>
      <c r="AG25" s="478">
        <v>0</v>
      </c>
    </row>
    <row r="26" ht="14.25" customHeight="1" hidden="1" spans="1:33" x14ac:dyDescent="0.25" outlineLevel="1">
      <c r="C26" s="139" t="str">
        <f ca="1">C31&amp;" Revenue"</f>
        <v>Global Services &amp; Support Revenue</v>
      </c>
      <c r="D26" s="16"/>
      <c r="E26" s="16"/>
      <c r="F26" s="469">
        <v>0</v>
      </c>
      <c r="G26" s="469">
        <v>0</v>
      </c>
      <c r="H26" s="469">
        <v>0</v>
      </c>
      <c r="I26" s="469">
        <v>0</v>
      </c>
      <c r="J26" s="470">
        <f ca="1">SUM(F26:I26)</f>
        <v>1e-12</v>
      </c>
      <c r="K26" s="469">
        <v>0</v>
      </c>
      <c r="L26" s="469">
        <v>0</v>
      </c>
      <c r="M26" s="469">
        <v>0</v>
      </c>
      <c r="N26" s="469">
        <v>0</v>
      </c>
      <c r="O26" s="470">
        <f ca="1">SUM(K26:N26)</f>
        <v>1e-12</v>
      </c>
      <c r="P26" s="469">
        <v>0</v>
      </c>
      <c r="Q26" s="469">
        <v>0</v>
      </c>
      <c r="R26" s="469">
        <v>0</v>
      </c>
      <c r="S26" s="469">
        <v>0</v>
      </c>
      <c r="T26" s="470">
        <f ca="1">SUM(P26:S26)</f>
        <v>1e-12</v>
      </c>
      <c r="U26" s="469">
        <v>0</v>
      </c>
      <c r="V26" s="469">
        <v>0</v>
      </c>
      <c r="W26" s="469">
        <v>0</v>
      </c>
      <c r="X26" s="477">
        <v>0</v>
      </c>
      <c r="Y26" s="470">
        <f ca="1">SUM(U26:X26)</f>
        <v>1e-12</v>
      </c>
      <c r="Z26" s="477">
        <v>0</v>
      </c>
      <c r="AA26" s="477">
        <v>0</v>
      </c>
      <c r="AB26" s="477">
        <v>0</v>
      </c>
      <c r="AC26" s="477">
        <v>0</v>
      </c>
      <c r="AD26" s="470">
        <f ca="1">SUM(Z26:AC26)</f>
        <v>1e-12</v>
      </c>
      <c r="AE26" s="478">
        <v>0</v>
      </c>
      <c r="AF26" s="478">
        <v>0</v>
      </c>
      <c r="AG26" s="478">
        <v>0</v>
      </c>
    </row>
    <row r="27" ht="14.25" customHeight="1" hidden="1" spans="1:33" x14ac:dyDescent="0.25" outlineLevel="1">
      <c r="C27" s="16"/>
      <c r="D27" s="16"/>
      <c r="E27" s="16"/>
      <c r="F27" s="319"/>
      <c r="G27" s="319"/>
      <c r="H27" s="319"/>
      <c r="I27" s="319"/>
      <c r="J27" s="168"/>
      <c r="K27" s="319"/>
      <c r="L27" s="319"/>
      <c r="M27" s="319"/>
      <c r="N27" s="319"/>
      <c r="O27" s="168"/>
      <c r="P27" s="319"/>
      <c r="Q27" s="319"/>
      <c r="R27" s="319"/>
      <c r="S27" s="319"/>
      <c r="T27" s="168"/>
      <c r="U27" s="319"/>
      <c r="V27" s="319"/>
      <c r="W27" s="319"/>
      <c r="X27" s="322"/>
      <c r="Y27" s="168"/>
      <c r="Z27" s="322"/>
      <c r="AA27" s="322"/>
      <c r="AB27" s="322"/>
      <c r="AC27" s="322"/>
      <c r="AD27" s="168"/>
      <c r="AE27" s="168"/>
      <c r="AF27" s="168"/>
      <c r="AG27" s="168"/>
    </row>
    <row r="28" ht="14.25" customHeight="1" hidden="1" spans="1:33" x14ac:dyDescent="0.25" outlineLevel="1">
      <c r="C28" s="16" t="s">
        <v>454</v>
      </c>
      <c r="D28" s="16"/>
      <c r="E28" s="16"/>
      <c r="F28" s="474"/>
      <c r="G28" s="474"/>
      <c r="H28" s="474"/>
      <c r="I28" s="474"/>
      <c r="J28" s="168"/>
      <c r="K28" s="474"/>
      <c r="L28" s="474"/>
      <c r="M28" s="474"/>
      <c r="N28" s="474"/>
      <c r="O28" s="168"/>
      <c r="P28" s="474"/>
      <c r="Q28" s="474"/>
      <c r="R28" s="474"/>
      <c r="S28" s="474"/>
      <c r="T28" s="168"/>
      <c r="U28" s="474"/>
      <c r="V28" s="474"/>
      <c r="W28" s="474"/>
      <c r="X28" s="475"/>
      <c r="Y28" s="168"/>
      <c r="Z28" s="475"/>
      <c r="AA28" s="475"/>
      <c r="AB28" s="475"/>
      <c r="AC28" s="475"/>
      <c r="AD28" s="168"/>
      <c r="AE28" s="168"/>
      <c r="AF28" s="168"/>
      <c r="AG28" s="168"/>
    </row>
    <row r="29" ht="14.25" customHeight="1" hidden="1" spans="1:33" x14ac:dyDescent="0.25" outlineLevel="1">
      <c r="C29" s="476" t="s">
        <v>455</v>
      </c>
      <c r="D29" s="16"/>
      <c r="E29" s="16"/>
      <c r="F29" s="474" t="str">
        <f t="shared" ref="F29:AG29" si="22" ca="1">IFERROR(F24/F$23,"N/A")</f>
        <v>N/A</v>
      </c>
      <c r="G29" s="474" t="str">
        <f ca="1">IFERROR(G24/G$23,"N/A")</f>
        <v>N/A</v>
      </c>
      <c r="H29" s="474" t="str">
        <f ca="1">IFERROR(H24/H$23,"N/A")</f>
        <v>N/A</v>
      </c>
      <c r="I29" s="474" t="str">
        <f ca="1">IFERROR(I24/I$23,"N/A")</f>
        <v>N/A</v>
      </c>
      <c r="J29" s="479" t="str">
        <f ca="1">IFERROR(J24/J$23,"N/A")</f>
        <v>N/A</v>
      </c>
      <c r="K29" s="474" t="str">
        <f ca="1">IFERROR(K24/K$23,"N/A")</f>
        <v>N/A</v>
      </c>
      <c r="L29" s="474" t="str">
        <f ca="1">IFERROR(L24/L$23,"N/A")</f>
        <v>N/A</v>
      </c>
      <c r="M29" s="474" t="str">
        <f ca="1">IFERROR(M24/M$23,"N/A")</f>
        <v>N/A</v>
      </c>
      <c r="N29" s="474" t="str">
        <f ca="1">IFERROR(N24/N$23,"N/A")</f>
        <v>N/A</v>
      </c>
      <c r="O29" s="479" t="str">
        <f ca="1">IFERROR(O24/O$23,"N/A")</f>
        <v>N/A</v>
      </c>
      <c r="P29" s="474" t="str">
        <f ca="1">IFERROR(P24/P$23,"N/A")</f>
        <v>N/A</v>
      </c>
      <c r="Q29" s="474" t="str">
        <f ca="1">IFERROR(Q24/Q$23,"N/A")</f>
        <v>N/A</v>
      </c>
      <c r="R29" s="474" t="str">
        <f ca="1">IFERROR(R24/R$23,"N/A")</f>
        <v>N/A</v>
      </c>
      <c r="S29" s="474" t="str">
        <f ca="1">IFERROR(S24/S$23,"N/A")</f>
        <v>N/A</v>
      </c>
      <c r="T29" s="479" t="str">
        <f ca="1">IFERROR(T24/T$23,"N/A")</f>
        <v>N/A</v>
      </c>
      <c r="U29" s="474" t="str">
        <f ca="1">IFERROR(U24/U$23,"N/A")</f>
        <v>N/A</v>
      </c>
      <c r="V29" s="474" t="str">
        <f ca="1">IFERROR(V24/V$23,"N/A")</f>
        <v>N/A</v>
      </c>
      <c r="W29" s="474" t="str">
        <f ca="1">IFERROR(W24/W$23,"N/A")</f>
        <v>N/A</v>
      </c>
      <c r="X29" s="475" t="str">
        <f ca="1">IFERROR(X24/X$23,"N/A")</f>
        <v>N/A</v>
      </c>
      <c r="Y29" s="479" t="str">
        <f ca="1">IFERROR(Y24/Y$23,"N/A")</f>
        <v>N/A</v>
      </c>
      <c r="Z29" s="475" t="str">
        <f ca="1">IFERROR(Z24/Z$23,"N/A")</f>
        <v>N/A</v>
      </c>
      <c r="AA29" s="475" t="str">
        <f ca="1">IFERROR(AA24/AA$23,"N/A")</f>
        <v>N/A</v>
      </c>
      <c r="AB29" s="475" t="str">
        <f ca="1">IFERROR(AB24/AB$23,"N/A")</f>
        <v>N/A</v>
      </c>
      <c r="AC29" s="475" t="str">
        <f ca="1">IFERROR(AC24/AC$23,"N/A")</f>
        <v>N/A</v>
      </c>
      <c r="AD29" s="479" t="str">
        <f ca="1">IFERROR(AD24/AD$23,"N/A")</f>
        <v>N/A</v>
      </c>
      <c r="AE29" s="479" t="str">
        <f ca="1">IFERROR(AE24/AE$23,"N/A")</f>
        <v>N/A</v>
      </c>
      <c r="AF29" s="479" t="str">
        <f ca="1">IFERROR(AF24/AF$23,"N/A")</f>
        <v>N/A</v>
      </c>
      <c r="AG29" s="479" t="str">
        <f ca="1">IFERROR(AG24/AG$23,"N/A")</f>
        <v>N/A</v>
      </c>
    </row>
    <row r="30" ht="14.25" customHeight="1" hidden="1" spans="1:33" x14ac:dyDescent="0.25" outlineLevel="1">
      <c r="C30" s="476" t="s">
        <v>456</v>
      </c>
      <c r="D30" s="16"/>
      <c r="E30" s="16"/>
      <c r="F30" s="474" t="str">
        <f t="shared" ref="F30:AG30" si="23" ca="1">IFERROR(F25/F$23,"N/A")</f>
        <v>N/A</v>
      </c>
      <c r="G30" s="474" t="str">
        <f ca="1">IFERROR(G25/G$23,"N/A")</f>
        <v>N/A</v>
      </c>
      <c r="H30" s="474" t="str">
        <f ca="1">IFERROR(H25/H$23,"N/A")</f>
        <v>N/A</v>
      </c>
      <c r="I30" s="474" t="str">
        <f ca="1">IFERROR(I25/I$23,"N/A")</f>
        <v>N/A</v>
      </c>
      <c r="J30" s="479" t="str">
        <f ca="1">IFERROR(J25/J$23,"N/A")</f>
        <v>N/A</v>
      </c>
      <c r="K30" s="474" t="str">
        <f ca="1">IFERROR(K25/K$23,"N/A")</f>
        <v>N/A</v>
      </c>
      <c r="L30" s="474" t="str">
        <f ca="1">IFERROR(L25/L$23,"N/A")</f>
        <v>N/A</v>
      </c>
      <c r="M30" s="474" t="str">
        <f ca="1">IFERROR(M25/M$23,"N/A")</f>
        <v>N/A</v>
      </c>
      <c r="N30" s="474" t="str">
        <f ca="1">IFERROR(N25/N$23,"N/A")</f>
        <v>N/A</v>
      </c>
      <c r="O30" s="479" t="str">
        <f ca="1">IFERROR(O25/O$23,"N/A")</f>
        <v>N/A</v>
      </c>
      <c r="P30" s="474" t="str">
        <f ca="1">IFERROR(P25/P$23,"N/A")</f>
        <v>N/A</v>
      </c>
      <c r="Q30" s="474" t="str">
        <f ca="1">IFERROR(Q25/Q$23,"N/A")</f>
        <v>N/A</v>
      </c>
      <c r="R30" s="474" t="str">
        <f ca="1">IFERROR(R25/R$23,"N/A")</f>
        <v>N/A</v>
      </c>
      <c r="S30" s="474" t="str">
        <f ca="1">IFERROR(S25/S$23,"N/A")</f>
        <v>N/A</v>
      </c>
      <c r="T30" s="479" t="str">
        <f ca="1">IFERROR(T25/T$23,"N/A")</f>
        <v>N/A</v>
      </c>
      <c r="U30" s="474" t="str">
        <f ca="1">IFERROR(U25/U$23,"N/A")</f>
        <v>N/A</v>
      </c>
      <c r="V30" s="474" t="str">
        <f ca="1">IFERROR(V25/V$23,"N/A")</f>
        <v>N/A</v>
      </c>
      <c r="W30" s="474" t="str">
        <f ca="1">IFERROR(W25/W$23,"N/A")</f>
        <v>N/A</v>
      </c>
      <c r="X30" s="475" t="str">
        <f ca="1">IFERROR(X25/X$23,"N/A")</f>
        <v>N/A</v>
      </c>
      <c r="Y30" s="479" t="str">
        <f ca="1">IFERROR(Y25/Y$23,"N/A")</f>
        <v>N/A</v>
      </c>
      <c r="Z30" s="475" t="str">
        <f ca="1">IFERROR(Z25/Z$23,"N/A")</f>
        <v>N/A</v>
      </c>
      <c r="AA30" s="475" t="str">
        <f ca="1">IFERROR(AA25/AA$23,"N/A")</f>
        <v>N/A</v>
      </c>
      <c r="AB30" s="475" t="str">
        <f ca="1">IFERROR(AB25/AB$23,"N/A")</f>
        <v>N/A</v>
      </c>
      <c r="AC30" s="475" t="str">
        <f ca="1">IFERROR(AC25/AC$23,"N/A")</f>
        <v>N/A</v>
      </c>
      <c r="AD30" s="479" t="str">
        <f ca="1">IFERROR(AD25/AD$23,"N/A")</f>
        <v>N/A</v>
      </c>
      <c r="AE30" s="479" t="str">
        <f ca="1">IFERROR(AE25/AE$23,"N/A")</f>
        <v>N/A</v>
      </c>
      <c r="AF30" s="479" t="str">
        <f ca="1">IFERROR(AF25/AF$23,"N/A")</f>
        <v>N/A</v>
      </c>
      <c r="AG30" s="479" t="str">
        <f ca="1">IFERROR(AG25/AG$23,"N/A")</f>
        <v>N/A</v>
      </c>
    </row>
    <row r="31" ht="14.25" customHeight="1" hidden="1" spans="1:33" x14ac:dyDescent="0.25" outlineLevel="1">
      <c r="C31" s="476" t="s">
        <v>457</v>
      </c>
      <c r="D31" s="16"/>
      <c r="E31" s="16"/>
      <c r="F31" s="474" t="str">
        <f t="shared" ref="F31:AG31" si="24" ca="1">IFERROR(F26/F$23,"N/A")</f>
        <v>N/A</v>
      </c>
      <c r="G31" s="474" t="str">
        <f ca="1">IFERROR(G26/G$23,"N/A")</f>
        <v>N/A</v>
      </c>
      <c r="H31" s="474" t="str">
        <f ca="1">IFERROR(H26/H$23,"N/A")</f>
        <v>N/A</v>
      </c>
      <c r="I31" s="474" t="str">
        <f ca="1">IFERROR(I26/I$23,"N/A")</f>
        <v>N/A</v>
      </c>
      <c r="J31" s="479" t="str">
        <f ca="1">IFERROR(J26/J$23,"N/A")</f>
        <v>N/A</v>
      </c>
      <c r="K31" s="474" t="str">
        <f ca="1">IFERROR(K26/K$23,"N/A")</f>
        <v>N/A</v>
      </c>
      <c r="L31" s="474" t="str">
        <f ca="1">IFERROR(L26/L$23,"N/A")</f>
        <v>N/A</v>
      </c>
      <c r="M31" s="474" t="str">
        <f ca="1">IFERROR(M26/M$23,"N/A")</f>
        <v>N/A</v>
      </c>
      <c r="N31" s="474" t="str">
        <f ca="1">IFERROR(N26/N$23,"N/A")</f>
        <v>N/A</v>
      </c>
      <c r="O31" s="479" t="str">
        <f ca="1">IFERROR(O26/O$23,"N/A")</f>
        <v>N/A</v>
      </c>
      <c r="P31" s="474" t="str">
        <f ca="1">IFERROR(P26/P$23,"N/A")</f>
        <v>N/A</v>
      </c>
      <c r="Q31" s="474" t="str">
        <f ca="1">IFERROR(Q26/Q$23,"N/A")</f>
        <v>N/A</v>
      </c>
      <c r="R31" s="474" t="str">
        <f ca="1">IFERROR(R26/R$23,"N/A")</f>
        <v>N/A</v>
      </c>
      <c r="S31" s="474" t="str">
        <f ca="1">IFERROR(S26/S$23,"N/A")</f>
        <v>N/A</v>
      </c>
      <c r="T31" s="479" t="str">
        <f ca="1">IFERROR(T26/T$23,"N/A")</f>
        <v>N/A</v>
      </c>
      <c r="U31" s="474" t="str">
        <f ca="1">IFERROR(U26/U$23,"N/A")</f>
        <v>N/A</v>
      </c>
      <c r="V31" s="474" t="str">
        <f ca="1">IFERROR(V26/V$23,"N/A")</f>
        <v>N/A</v>
      </c>
      <c r="W31" s="474" t="str">
        <f ca="1">IFERROR(W26/W$23,"N/A")</f>
        <v>N/A</v>
      </c>
      <c r="X31" s="475" t="str">
        <f ca="1">IFERROR(X26/X$23,"N/A")</f>
        <v>N/A</v>
      </c>
      <c r="Y31" s="479" t="str">
        <f ca="1">IFERROR(Y26/Y$23,"N/A")</f>
        <v>N/A</v>
      </c>
      <c r="Z31" s="475" t="str">
        <f ca="1">IFERROR(Z26/Z$23,"N/A")</f>
        <v>N/A</v>
      </c>
      <c r="AA31" s="475" t="str">
        <f ca="1">IFERROR(AA26/AA$23,"N/A")</f>
        <v>N/A</v>
      </c>
      <c r="AB31" s="475" t="str">
        <f ca="1">IFERROR(AB26/AB$23,"N/A")</f>
        <v>N/A</v>
      </c>
      <c r="AC31" s="475" t="str">
        <f ca="1">IFERROR(AC26/AC$23,"N/A")</f>
        <v>N/A</v>
      </c>
      <c r="AD31" s="479" t="str">
        <f ca="1">IFERROR(AD26/AD$23,"N/A")</f>
        <v>N/A</v>
      </c>
      <c r="AE31" s="479" t="str">
        <f ca="1">IFERROR(AE26/AE$23,"N/A")</f>
        <v>N/A</v>
      </c>
      <c r="AF31" s="479" t="str">
        <f ca="1">IFERROR(AF26/AF$23,"N/A")</f>
        <v>N/A</v>
      </c>
      <c r="AG31" s="479" t="str">
        <f ca="1">IFERROR(AG26/AG$23,"N/A")</f>
        <v>N/A</v>
      </c>
    </row>
    <row r="32" ht="14.25" customHeight="1" spans="1:33" x14ac:dyDescent="0.25">
      <c r="C32" s="476"/>
      <c r="D32" s="16"/>
      <c r="E32" s="16"/>
      <c r="F32" s="474"/>
      <c r="G32" s="474"/>
      <c r="H32" s="474"/>
      <c r="I32" s="474"/>
      <c r="J32" s="479"/>
      <c r="K32" s="474"/>
      <c r="L32" s="474"/>
      <c r="M32" s="474"/>
      <c r="N32" s="474"/>
      <c r="O32" s="479"/>
      <c r="P32" s="474"/>
      <c r="Q32" s="474"/>
      <c r="R32" s="474"/>
      <c r="S32" s="474"/>
      <c r="T32" s="479"/>
      <c r="U32" s="474"/>
      <c r="V32" s="474"/>
      <c r="W32" s="474"/>
      <c r="X32" s="475"/>
      <c r="Y32" s="479"/>
      <c r="Z32" s="475"/>
      <c r="AA32" s="475"/>
      <c r="AB32" s="475"/>
      <c r="AC32" s="475"/>
      <c r="AD32" s="479"/>
      <c r="AE32" s="479"/>
      <c r="AF32" s="479"/>
      <c r="AG32" s="479"/>
    </row>
    <row r="33" ht="14.25" customHeight="1" spans="1:33" x14ac:dyDescent="0.25">
      <c r="C33" s="16" t="s">
        <v>458</v>
      </c>
      <c r="D33" s="16"/>
      <c r="E33" s="16"/>
      <c r="F33" s="317">
        <v>1868</v>
      </c>
      <c r="G33" s="317">
        <v>499</v>
      </c>
      <c r="H33" s="317">
        <v>601</v>
      </c>
      <c r="I33" s="317">
        <v>1256</v>
      </c>
      <c r="J33" s="287">
        <f ca="1">SUM(F33:I33)</f>
        <v>4224</v>
      </c>
      <c r="K33" s="317">
        <v>2140</v>
      </c>
      <c r="L33" s="317">
        <v>6800</v>
      </c>
      <c r="M33" s="317">
        <v>10417</v>
      </c>
      <c r="N33" s="317">
        <v>13614</v>
      </c>
      <c r="O33" s="287">
        <f ca="1">SUM(K33:N33)</f>
        <v>32971</v>
      </c>
      <c r="P33" s="317">
        <v>16909</v>
      </c>
      <c r="Q33" s="317">
        <v>18642</v>
      </c>
      <c r="R33" s="317">
        <v>21869</v>
      </c>
      <c r="S33" s="317">
        <v>24034</v>
      </c>
      <c r="T33" s="287">
        <f ca="1">SUM(P33:S33)</f>
        <v>81454</v>
      </c>
      <c r="U33" s="317">
        <v>21638</v>
      </c>
      <c r="V33" s="317">
        <v>28440</v>
      </c>
      <c r="W33" s="317">
        <f ca="1">W34</f>
        <v>2789</v>
      </c>
      <c r="X33" s="286">
        <f ca="1">SUM(X34:X39)</f>
        <v>2830.373</v>
      </c>
      <c r="Y33" s="287">
        <f t="shared" ref="Y33:Y39" si="25" ca="1">SUM(U33:X33)</f>
        <v>11161.242999999999</v>
      </c>
      <c r="Z33" s="286">
        <f t="shared" ref="Z33:AC33" si="26" ca="1">SUM(Z34:Z39)</f>
        <v>3596.75092</v>
      </c>
      <c r="AA33" s="286">
        <f ca="1">SUM(AA34:AA39)</f>
        <v>4246.7351934</v>
      </c>
      <c r="AB33" s="286">
        <f ca="1">SUM(AB34:AB39)</f>
        <v>3092.794733952</v>
      </c>
      <c r="AC33" s="286">
        <f ca="1">SUM(AC34:AC39)</f>
        <v>3305.4243719112</v>
      </c>
      <c r="AD33" s="287">
        <f t="shared" ref="AD33:AD39" si="27" ca="1">SUM(Z33:AC33)</f>
        <v>14241.7052192632</v>
      </c>
      <c r="AE33" s="287">
        <f t="shared" ref="AE33:AG33" si="28" ca="1">SUM(AE34:AE39)</f>
        <v>14920.47653053796</v>
      </c>
      <c r="AF33" s="287">
        <f ca="1">SUM(AF34:AF39)</f>
        <v>15328.374450077847</v>
      </c>
      <c r="AG33" s="287">
        <f ca="1">SUM(AG34:AG39)</f>
        <v>15858.298252494822</v>
      </c>
    </row>
    <row r="34" ht="14.25" customHeight="1" spans="1:33" x14ac:dyDescent="0.25">
      <c r="C34" s="139" t="s">
        <v>459</v>
      </c>
      <c r="D34" s="16"/>
      <c r="E34" s="16"/>
      <c r="F34" s="469">
        <v>0</v>
      </c>
      <c r="G34" s="469">
        <v>0</v>
      </c>
      <c r="H34" s="469">
        <v>0</v>
      </c>
      <c r="I34" s="469">
        <f ca="1">0-SUM(F34:H34)</f>
        <v>1e-12</v>
      </c>
      <c r="J34" s="470">
        <f ca="1">SUM(F34:I34)</f>
        <v>1e-12</v>
      </c>
      <c r="K34" s="469">
        <v>0</v>
      </c>
      <c r="L34" s="469">
        <v>0</v>
      </c>
      <c r="M34" s="469">
        <v>0</v>
      </c>
      <c r="N34" s="469">
        <v>0</v>
      </c>
      <c r="O34" s="470">
        <f ca="1">SUM(K34:N34)</f>
        <v>1e-12</v>
      </c>
      <c r="P34" s="469">
        <v>17047</v>
      </c>
      <c r="Q34" s="469">
        <v>18848</v>
      </c>
      <c r="R34" s="469">
        <v>22081</v>
      </c>
      <c r="S34" s="469">
        <v>24899</v>
      </c>
      <c r="T34" s="470">
        <f ca="1">SUM(P34:S34)</f>
        <v>82875</v>
      </c>
      <c r="U34" s="469">
        <v>22054</v>
      </c>
      <c r="V34" s="469">
        <v>28363</v>
      </c>
      <c r="W34" s="469">
        <v>2789</v>
      </c>
      <c r="X34" s="480">
        <f ca="1">X8*Drivers!X$7</f>
        <v>2830.373</v>
      </c>
      <c r="Y34" s="470">
        <f ca="1">SUM(U34:X34)</f>
        <v>11161.242999999999</v>
      </c>
      <c r="Z34" s="480">
        <f ca="1">Z8*Drivers!Z$7</f>
        <v>3596.75092</v>
      </c>
      <c r="AA34" s="480">
        <f ca="1">AA8*Drivers!AA$7</f>
        <v>4246.7351934</v>
      </c>
      <c r="AB34" s="480">
        <f ca="1">AB8*Drivers!AB$7</f>
        <v>3092.794733952</v>
      </c>
      <c r="AC34" s="480">
        <f ca="1">AC8*Drivers!AC$7</f>
        <v>3305.4243719112</v>
      </c>
      <c r="AD34" s="470">
        <f ca="1">SUM(Z34:AC34)</f>
        <v>14241.7052192632</v>
      </c>
      <c r="AE34" s="470">
        <f ca="1">AE8*Drivers!AE$7</f>
        <v>14920.47653053796</v>
      </c>
      <c r="AF34" s="470">
        <f ca="1">AF8*Drivers!AF$7</f>
        <v>15328.374450077847</v>
      </c>
      <c r="AG34" s="470">
        <f ca="1">AG8*Drivers!AG$7</f>
        <v>15858.298252494822</v>
      </c>
    </row>
    <row r="35" ht="14.25" customHeight="1" spans="1:33" x14ac:dyDescent="0.25">
      <c r="C35" s="139" t="s">
        <v>460</v>
      </c>
      <c r="D35" s="16"/>
      <c r="E35" s="16"/>
      <c r="F35" s="469">
        <v>0</v>
      </c>
      <c r="G35" s="469">
        <v>0</v>
      </c>
      <c r="H35" s="469">
        <v>0</v>
      </c>
      <c r="I35" s="469">
        <v>0</v>
      </c>
      <c r="J35" s="470">
        <f ca="1">SUM(F35:I35)</f>
        <v>1e-12</v>
      </c>
      <c r="K35" s="469">
        <v>0</v>
      </c>
      <c r="L35" s="469">
        <v>0</v>
      </c>
      <c r="M35" s="469">
        <v>0</v>
      </c>
      <c r="N35" s="469">
        <v>0</v>
      </c>
      <c r="O35" s="470">
        <f ca="1">SUM(K35:N35)</f>
        <v>1e-12</v>
      </c>
      <c r="P35" s="469">
        <v>1241</v>
      </c>
      <c r="Q35" s="469">
        <v>1369</v>
      </c>
      <c r="R35" s="469">
        <v>1502</v>
      </c>
      <c r="S35" s="469">
        <v>973</v>
      </c>
      <c r="T35" s="470">
        <f ca="1">SUM(P35:S35)</f>
        <v>5085</v>
      </c>
      <c r="U35" s="469">
        <v>1640</v>
      </c>
      <c r="V35" s="469">
        <v>2242</v>
      </c>
      <c r="W35" s="469">
        <v>0</v>
      </c>
      <c r="X35" s="480">
        <f ca="1">X9*Drivers!X$12</f>
        <v>1e-12</v>
      </c>
      <c r="Y35" s="470">
        <f ca="1">SUM(U35:X35)</f>
        <v>3882</v>
      </c>
      <c r="Z35" s="480">
        <f ca="1">Z9*Drivers!Z$12</f>
        <v>1e-12</v>
      </c>
      <c r="AA35" s="480">
        <f ca="1">AA9*Drivers!AA$12</f>
        <v>1e-12</v>
      </c>
      <c r="AB35" s="480">
        <f ca="1">AB9*Drivers!AB$12</f>
        <v>1e-12</v>
      </c>
      <c r="AC35" s="480">
        <f ca="1">AC9*Drivers!AC$12</f>
        <v>1e-12</v>
      </c>
      <c r="AD35" s="470">
        <f ca="1">SUM(Z35:AC35)</f>
        <v>1e-12</v>
      </c>
      <c r="AE35" s="470">
        <f ca="1">AE9*Drivers!AE$12</f>
        <v>1e-12</v>
      </c>
      <c r="AF35" s="470">
        <f ca="1">AF9*Drivers!AF$12</f>
        <v>1e-12</v>
      </c>
      <c r="AG35" s="470">
        <f ca="1">AG9*Drivers!AG$12</f>
        <v>1e-12</v>
      </c>
    </row>
    <row r="36" ht="14.25" customHeight="1" spans="1:33" x14ac:dyDescent="0.25">
      <c r="C36" s="139" t="s">
        <v>461</v>
      </c>
      <c r="D36" s="16"/>
      <c r="E36" s="16"/>
      <c r="F36" s="469">
        <v>1606</v>
      </c>
      <c r="G36" s="469">
        <v>816</v>
      </c>
      <c r="H36" s="469">
        <v>1086</v>
      </c>
      <c r="I36" s="469">
        <v>1575</v>
      </c>
      <c r="J36" s="470">
        <f ca="1">SUM(F36:I36)</f>
        <v>5083</v>
      </c>
      <c r="K36" s="469">
        <v>2160</v>
      </c>
      <c r="L36" s="469">
        <v>6728</v>
      </c>
      <c r="M36" s="469">
        <v>10262</v>
      </c>
      <c r="N36" s="469">
        <v>12866</v>
      </c>
      <c r="O36" s="470">
        <f ca="1">SUM(K36:N36)</f>
        <v>32016</v>
      </c>
      <c r="P36" s="469">
        <v>17047</v>
      </c>
      <c r="Q36" s="469">
        <v>18848</v>
      </c>
      <c r="R36" s="469">
        <v>22081</v>
      </c>
      <c r="S36" s="469">
        <v>0</v>
      </c>
      <c r="T36" s="470">
        <f ca="1">SUM(P36:S36)</f>
        <v>57976</v>
      </c>
      <c r="U36" s="469">
        <v>0</v>
      </c>
      <c r="V36" s="469">
        <v>0</v>
      </c>
      <c r="W36" s="469">
        <v>0</v>
      </c>
      <c r="X36" s="480">
        <f ca="1">X10*Drivers!X17</f>
        <v>1e-12</v>
      </c>
      <c r="Y36" s="470">
        <f ca="1">SUM(U36:X36)</f>
        <v>1e-12</v>
      </c>
      <c r="Z36" s="480">
        <f ca="1">Z10*Drivers!Z$17</f>
        <v>1e-12</v>
      </c>
      <c r="AA36" s="480">
        <f ca="1">AA10*Drivers!AA$17</f>
        <v>1e-12</v>
      </c>
      <c r="AB36" s="480">
        <f ca="1">AB10*Drivers!AB$17</f>
        <v>1e-12</v>
      </c>
      <c r="AC36" s="480">
        <f ca="1">AC10*Drivers!AC$17</f>
        <v>1e-12</v>
      </c>
      <c r="AD36" s="470">
        <f ca="1">SUM(Z36:AC36)</f>
        <v>1e-12</v>
      </c>
      <c r="AE36" s="470">
        <f ca="1">AE10*Drivers!AE$17</f>
        <v>1e-12</v>
      </c>
      <c r="AF36" s="470">
        <f ca="1">AF10*Drivers!AF$17</f>
        <v>1e-12</v>
      </c>
      <c r="AG36" s="470">
        <f ca="1">AG10*Drivers!AG$17</f>
        <v>1e-12</v>
      </c>
    </row>
    <row r="37" ht="14.25" customHeight="1" spans="1:33" x14ac:dyDescent="0.25">
      <c r="C37" s="139" t="s">
        <v>462</v>
      </c>
      <c r="D37" s="16"/>
      <c r="E37" s="16"/>
      <c r="F37" s="469">
        <v>2476</v>
      </c>
      <c r="G37" s="469">
        <v>657</v>
      </c>
      <c r="H37" s="469">
        <v>606</v>
      </c>
      <c r="I37" s="469">
        <v>813</v>
      </c>
      <c r="J37" s="470">
        <f ca="1">SUM(F37:I37)</f>
        <v>4552</v>
      </c>
      <c r="K37" s="469">
        <v>1046</v>
      </c>
      <c r="L37" s="469">
        <v>1211</v>
      </c>
      <c r="M37" s="469">
        <v>1493</v>
      </c>
      <c r="N37" s="469">
        <v>2096</v>
      </c>
      <c r="O37" s="470">
        <f ca="1">SUM(K37:N37)</f>
        <v>5846</v>
      </c>
      <c r="P37" s="469">
        <v>1241</v>
      </c>
      <c r="Q37" s="469">
        <v>1369</v>
      </c>
      <c r="R37" s="469">
        <v>1502</v>
      </c>
      <c r="S37" s="469">
        <v>0</v>
      </c>
      <c r="T37" s="470">
        <f ca="1">SUM(P37:S37)</f>
        <v>4112</v>
      </c>
      <c r="U37" s="469">
        <v>0</v>
      </c>
      <c r="V37" s="469">
        <v>0</v>
      </c>
      <c r="W37" s="469">
        <v>0</v>
      </c>
      <c r="X37" s="480">
        <f ca="1">X11*Drivers!X$22</f>
        <v>1e-12</v>
      </c>
      <c r="Y37" s="470">
        <f ca="1">SUM(U37:X37)</f>
        <v>1e-12</v>
      </c>
      <c r="Z37" s="480">
        <f ca="1">Z11*Drivers!Z$22</f>
        <v>1e-12</v>
      </c>
      <c r="AA37" s="480">
        <f ca="1">AA11*Drivers!AA$22</f>
        <v>1e-12</v>
      </c>
      <c r="AB37" s="480">
        <f ca="1">AB11*Drivers!AB$22</f>
        <v>1e-12</v>
      </c>
      <c r="AC37" s="480">
        <f ca="1">AC11*Drivers!AC$22</f>
        <v>1e-12</v>
      </c>
      <c r="AD37" s="470">
        <f ca="1">SUM(Z37:AC37)</f>
        <v>1e-12</v>
      </c>
      <c r="AE37" s="470">
        <f ca="1">AE11*Drivers!AE$22</f>
        <v>1e-12</v>
      </c>
      <c r="AF37" s="470">
        <f ca="1">AF11*Drivers!AF$22</f>
        <v>1e-12</v>
      </c>
      <c r="AG37" s="470">
        <f ca="1">AG11*Drivers!AG$22</f>
        <v>1e-12</v>
      </c>
    </row>
    <row r="38" ht="14.25" customHeight="1" spans="1:33" x14ac:dyDescent="0.25">
      <c r="C38" s="139" t="s">
        <v>446</v>
      </c>
      <c r="D38" s="16"/>
      <c r="E38" s="16"/>
      <c r="F38" s="469">
        <v>0</v>
      </c>
      <c r="G38" s="469">
        <v>0</v>
      </c>
      <c r="H38" s="469">
        <v>0</v>
      </c>
      <c r="I38" s="469">
        <v>0</v>
      </c>
      <c r="J38" s="470">
        <f ca="1">SUM(F38:I38)</f>
        <v>1e-12</v>
      </c>
      <c r="K38" s="469">
        <v>0</v>
      </c>
      <c r="L38" s="469">
        <v>0</v>
      </c>
      <c r="M38" s="469">
        <v>0</v>
      </c>
      <c r="N38" s="469">
        <v>0</v>
      </c>
      <c r="O38" s="470">
        <f ca="1">SUM(K38:N38)</f>
        <v>1e-12</v>
      </c>
      <c r="P38" s="469">
        <v>0</v>
      </c>
      <c r="Q38" s="469">
        <v>0</v>
      </c>
      <c r="R38" s="469">
        <v>0</v>
      </c>
      <c r="S38" s="469">
        <v>0</v>
      </c>
      <c r="T38" s="470">
        <f ca="1">SUM(P38:S38)</f>
        <v>1e-12</v>
      </c>
      <c r="U38" s="469">
        <v>0</v>
      </c>
      <c r="V38" s="469">
        <v>0</v>
      </c>
      <c r="W38" s="469">
        <v>0</v>
      </c>
      <c r="X38" s="480">
        <f ca="1">X12*Drivers!X$27</f>
        <v>1e-12</v>
      </c>
      <c r="Y38" s="470">
        <f ca="1">SUM(U38:X38)</f>
        <v>1e-12</v>
      </c>
      <c r="Z38" s="480">
        <f ca="1">Z12*Drivers!Z$27</f>
        <v>1e-12</v>
      </c>
      <c r="AA38" s="480">
        <f ca="1">AA12*Drivers!AA$27</f>
        <v>1e-12</v>
      </c>
      <c r="AB38" s="480">
        <f ca="1">AB12*Drivers!AB$27</f>
        <v>1e-12</v>
      </c>
      <c r="AC38" s="480">
        <f ca="1">AC12*Drivers!AC$27</f>
        <v>1e-12</v>
      </c>
      <c r="AD38" s="470">
        <f ca="1">SUM(Z38:AC38)</f>
        <v>1e-12</v>
      </c>
      <c r="AE38" s="470">
        <f ca="1">AE12*Drivers!AE$27</f>
        <v>1e-12</v>
      </c>
      <c r="AF38" s="470">
        <f ca="1">AF12*Drivers!AF$27</f>
        <v>1e-12</v>
      </c>
      <c r="AG38" s="470">
        <f ca="1">AG12*Drivers!AG$27</f>
        <v>1e-12</v>
      </c>
    </row>
    <row r="39" ht="14.25" customHeight="1" spans="1:33" x14ac:dyDescent="0.25">
      <c r="C39" s="139" t="s">
        <v>446</v>
      </c>
      <c r="D39" s="16"/>
      <c r="E39" s="16"/>
      <c r="F39" s="469">
        <v>0</v>
      </c>
      <c r="G39" s="469">
        <v>0</v>
      </c>
      <c r="H39" s="469">
        <v>0</v>
      </c>
      <c r="I39" s="469">
        <v>0</v>
      </c>
      <c r="J39" s="470">
        <f ca="1">SUM(F39:I39)</f>
        <v>1e-12</v>
      </c>
      <c r="K39" s="469">
        <v>0</v>
      </c>
      <c r="L39" s="469">
        <v>0</v>
      </c>
      <c r="M39" s="469">
        <v>0</v>
      </c>
      <c r="N39" s="469">
        <v>0</v>
      </c>
      <c r="O39" s="470">
        <f ca="1">SUM(K39:N39)</f>
        <v>1e-12</v>
      </c>
      <c r="P39" s="469">
        <v>0</v>
      </c>
      <c r="Q39" s="469">
        <v>0</v>
      </c>
      <c r="R39" s="469">
        <v>0</v>
      </c>
      <c r="S39" s="469">
        <v>0</v>
      </c>
      <c r="T39" s="470">
        <f ca="1">SUM(P39:S39)</f>
        <v>1e-12</v>
      </c>
      <c r="U39" s="469">
        <v>0</v>
      </c>
      <c r="V39" s="469">
        <v>0</v>
      </c>
      <c r="W39" s="469">
        <v>0</v>
      </c>
      <c r="X39" s="480">
        <f ca="1">X13*Drivers!X$32</f>
        <v>1e-12</v>
      </c>
      <c r="Y39" s="470">
        <f ca="1">SUM(U39:X39)</f>
        <v>1e-12</v>
      </c>
      <c r="Z39" s="480">
        <f ca="1">Z13*Drivers!Z$32</f>
        <v>1e-12</v>
      </c>
      <c r="AA39" s="480">
        <f ca="1">AA13*Drivers!AA$32</f>
        <v>1e-12</v>
      </c>
      <c r="AB39" s="480">
        <f ca="1">AB13*Drivers!AB$32</f>
        <v>1e-12</v>
      </c>
      <c r="AC39" s="480">
        <f ca="1">AC13*Drivers!AC$32</f>
        <v>1e-12</v>
      </c>
      <c r="AD39" s="470">
        <f ca="1">SUM(Z39:AC39)</f>
        <v>1e-12</v>
      </c>
      <c r="AE39" s="470">
        <f ca="1">AE13*Drivers!AE$32</f>
        <v>1e-12</v>
      </c>
      <c r="AF39" s="470">
        <f ca="1">AF13*Drivers!AF$32</f>
        <v>1e-12</v>
      </c>
      <c r="AG39" s="470">
        <f ca="1">AG13*Drivers!AG$32</f>
        <v>1e-12</v>
      </c>
    </row>
    <row r="40" ht="14.25" customHeight="1" spans="1:33" x14ac:dyDescent="0.25">
      <c r="C40" s="139"/>
      <c r="D40" s="16"/>
      <c r="E40" s="16"/>
      <c r="F40" s="481"/>
      <c r="G40" s="481"/>
      <c r="H40" s="481"/>
      <c r="I40" s="481"/>
      <c r="J40" s="168">
        <f ca="1">SUM(F40:I40)</f>
        <v>1e-12</v>
      </c>
      <c r="K40" s="481"/>
      <c r="L40" s="481"/>
      <c r="M40" s="481"/>
      <c r="N40" s="481"/>
      <c r="O40" s="168">
        <f ca="1">SUM(K40:N40)</f>
        <v>1e-12</v>
      </c>
      <c r="P40" s="481"/>
      <c r="Q40" s="481"/>
      <c r="R40" s="481"/>
      <c r="S40" s="481"/>
      <c r="T40" s="168">
        <f ca="1">SUM(P40:S40)</f>
        <v>1e-12</v>
      </c>
      <c r="U40" s="481"/>
      <c r="V40" s="481"/>
      <c r="W40" s="481"/>
      <c r="X40" s="482"/>
      <c r="Y40" s="168"/>
      <c r="Z40" s="482"/>
      <c r="AA40" s="482"/>
      <c r="AB40" s="482"/>
      <c r="AC40" s="482"/>
      <c r="AD40" s="168"/>
      <c r="AE40" s="168"/>
      <c r="AF40" s="168"/>
      <c r="AG40" s="168"/>
    </row>
    <row r="41" ht="14.25" customHeight="1" spans="1:33" x14ac:dyDescent="0.25">
      <c r="C41" s="120" t="s">
        <v>463</v>
      </c>
      <c r="D41" s="16"/>
      <c r="E41" s="16"/>
      <c r="F41" s="483">
        <f t="shared" ref="F41:AG41" si="29" ca="1">F33-SUM(F34:F39)</f>
        <v>-2214</v>
      </c>
      <c r="G41" s="483">
        <f ca="1">G33-SUM(G34:G39)</f>
        <v>-974</v>
      </c>
      <c r="H41" s="483">
        <f ca="1">H33-SUM(H34:H39)</f>
        <v>-1091</v>
      </c>
      <c r="I41" s="483">
        <f ca="1">I33-SUM(I34:I39)</f>
        <v>-1132</v>
      </c>
      <c r="J41" s="484">
        <f ca="1">J33-SUM(J34:J39)</f>
        <v>-5411</v>
      </c>
      <c r="K41" s="483">
        <f ca="1">K33-SUM(K34:K39)</f>
        <v>-1066</v>
      </c>
      <c r="L41" s="483">
        <f ca="1">L33-SUM(L34:L39)</f>
        <v>-1139</v>
      </c>
      <c r="M41" s="483">
        <f ca="1">M33-SUM(M34:M39)</f>
        <v>-1338</v>
      </c>
      <c r="N41" s="483">
        <f ca="1">N33-SUM(N34:N39)</f>
        <v>-1348</v>
      </c>
      <c r="O41" s="484">
        <f ca="1">O33-SUM(O34:O39)</f>
        <v>-4891</v>
      </c>
      <c r="P41" s="483">
        <f ca="1">P33-SUM(P34:P39)</f>
        <v>-19667</v>
      </c>
      <c r="Q41" s="483">
        <f ca="1">Q33-SUM(Q34:Q39)</f>
        <v>-21792</v>
      </c>
      <c r="R41" s="483">
        <f ca="1">R33-SUM(R34:R39)</f>
        <v>-25297</v>
      </c>
      <c r="S41" s="483">
        <f ca="1">S33-SUM(S34:S39)</f>
        <v>-1838</v>
      </c>
      <c r="T41" s="484">
        <f ca="1">T33-SUM(T34:T39)</f>
        <v>-68594</v>
      </c>
      <c r="U41" s="483">
        <f ca="1">U33-SUM(U34:U39)</f>
        <v>-2056</v>
      </c>
      <c r="V41" s="483">
        <f ca="1">V33-SUM(V34:V39)</f>
        <v>-2165</v>
      </c>
      <c r="W41" s="483">
        <f ca="1">W33-SUM(W34:W39)</f>
        <v>1e-12</v>
      </c>
      <c r="X41" s="485">
        <f ca="1">X33-SUM(X34:X39)</f>
        <v>1e-12</v>
      </c>
      <c r="Y41" s="484">
        <f ca="1">Y33-SUM(Y34:Y39)</f>
        <v>-4221</v>
      </c>
      <c r="Z41" s="485">
        <f ca="1">Z33-SUM(Z34:Z39)</f>
        <v>1e-12</v>
      </c>
      <c r="AA41" s="485">
        <f ca="1">AA33-SUM(AA34:AA39)</f>
        <v>1e-12</v>
      </c>
      <c r="AB41" s="485">
        <f ca="1">AB33-SUM(AB34:AB39)</f>
        <v>1e-12</v>
      </c>
      <c r="AC41" s="485">
        <f ca="1">AC33-SUM(AC34:AC39)</f>
        <v>1e-12</v>
      </c>
      <c r="AD41" s="484">
        <f ca="1">AD33-SUM(AD34:AD39)</f>
        <v>1e-12</v>
      </c>
      <c r="AE41" s="484">
        <f ca="1">AE33-SUM(AE34:AE39)</f>
        <v>1e-12</v>
      </c>
      <c r="AF41" s="484">
        <f ca="1">AF33-SUM(AF34:AF39)</f>
        <v>1e-12</v>
      </c>
      <c r="AG41" s="484">
        <f ca="1">AG33-SUM(AG34:AG39)</f>
        <v>1e-12</v>
      </c>
    </row>
    <row r="42" ht="14.25" customHeight="1" spans="1:33" x14ac:dyDescent="0.25">
      <c r="C42" s="16"/>
      <c r="D42" s="16"/>
      <c r="E42" s="16"/>
      <c r="F42" s="319"/>
      <c r="G42" s="319"/>
      <c r="H42" s="319"/>
      <c r="I42" s="319"/>
      <c r="J42" s="168"/>
      <c r="K42" s="319"/>
      <c r="L42" s="319"/>
      <c r="M42" s="319"/>
      <c r="N42" s="319"/>
      <c r="O42" s="168"/>
      <c r="P42" s="319"/>
      <c r="Q42" s="319"/>
      <c r="R42" s="319"/>
      <c r="S42" s="319"/>
      <c r="T42" s="168"/>
      <c r="U42" s="319"/>
      <c r="V42" s="319"/>
      <c r="W42" s="319"/>
      <c r="X42" s="322"/>
      <c r="Y42" s="168"/>
      <c r="Z42" s="322"/>
      <c r="AA42" s="322"/>
      <c r="AB42" s="322"/>
      <c r="AC42" s="322"/>
      <c r="AD42" s="168"/>
      <c r="AE42" s="168"/>
      <c r="AF42" s="168"/>
      <c r="AG42" s="168"/>
    </row>
    <row r="43" ht="14.25" customHeight="1" spans="1:33" x14ac:dyDescent="0.25">
      <c r="C43" s="16" t="s">
        <v>464</v>
      </c>
      <c r="D43" s="16"/>
      <c r="E43" s="16"/>
      <c r="F43" s="474"/>
      <c r="G43" s="474"/>
      <c r="H43" s="474"/>
      <c r="I43" s="474"/>
      <c r="J43" s="168"/>
      <c r="K43" s="474"/>
      <c r="L43" s="474"/>
      <c r="M43" s="474"/>
      <c r="N43" s="474"/>
      <c r="O43" s="168"/>
      <c r="P43" s="474"/>
      <c r="Q43" s="474"/>
      <c r="R43" s="474"/>
      <c r="S43" s="474"/>
      <c r="T43" s="168"/>
      <c r="U43" s="474"/>
      <c r="V43" s="474"/>
      <c r="W43" s="474"/>
      <c r="X43" s="475"/>
      <c r="Y43" s="168"/>
      <c r="Z43" s="475"/>
      <c r="AA43" s="475"/>
      <c r="AB43" s="475"/>
      <c r="AC43" s="475"/>
      <c r="AD43" s="168"/>
      <c r="AE43" s="168"/>
      <c r="AF43" s="168"/>
      <c r="AG43" s="168"/>
    </row>
    <row r="44" ht="14.25" customHeight="1" spans="1:33" x14ac:dyDescent="0.25">
      <c r="C44" s="139" t="str">
        <f t="shared" ref="C44:C49" si="30" ca="1">C16</f>
        <v>Home Improvement Retail</v>
      </c>
      <c r="D44" s="16"/>
      <c r="E44" s="16"/>
      <c r="F44" s="377">
        <f t="shared" ref="F44:AG44" si="31" ca="1">IFERROR(F34/F$33,"N/A")</f>
        <v>1</v>
      </c>
      <c r="G44" s="377">
        <f ca="1">IFERROR(G34/G$33,"N/A")</f>
        <v>1</v>
      </c>
      <c r="H44" s="377">
        <f ca="1">IFERROR(H34/H$33,"N/A")</f>
        <v>1</v>
      </c>
      <c r="I44" s="377">
        <f ca="1">IFERROR(I34/I$33,"N/A")</f>
        <v>1</v>
      </c>
      <c r="J44" s="378">
        <f ca="1">IFERROR(J34/J$33,"N/A")</f>
        <v>1</v>
      </c>
      <c r="K44" s="377">
        <f ca="1">IFERROR(K34/K$33,"N/A")</f>
        <v>1</v>
      </c>
      <c r="L44" s="377">
        <f ca="1">IFERROR(L34/L$33,"N/A")</f>
        <v>1</v>
      </c>
      <c r="M44" s="377">
        <f ca="1">IFERROR(M34/M$33,"N/A")</f>
        <v>1</v>
      </c>
      <c r="N44" s="377">
        <f ca="1">IFERROR(N34/N$33,"N/A")</f>
        <v>1</v>
      </c>
      <c r="O44" s="378">
        <f ca="1">IFERROR(O34/O$33,"N/A")</f>
        <v>1</v>
      </c>
      <c r="P44" s="377">
        <f ca="1">IFERROR(P34/P$33,"N/A")</f>
        <v>1</v>
      </c>
      <c r="Q44" s="377">
        <f ca="1">IFERROR(Q34/Q$33,"N/A")</f>
        <v>1</v>
      </c>
      <c r="R44" s="377">
        <f ca="1">IFERROR(R34/R$33,"N/A")</f>
        <v>1</v>
      </c>
      <c r="S44" s="377">
        <f ca="1">IFERROR(S34/S$33,"N/A")</f>
        <v>1</v>
      </c>
      <c r="T44" s="378">
        <f ca="1">IFERROR(T34/T$33,"N/A")</f>
        <v>1</v>
      </c>
      <c r="U44" s="377">
        <f ca="1">IFERROR(U34/U$33,"N/A")</f>
        <v>1</v>
      </c>
      <c r="V44" s="377">
        <f ca="1">IFERROR(V34/V$33,"N/A")</f>
        <v>1</v>
      </c>
      <c r="W44" s="377">
        <f ca="1">IFERROR(W34/W$33,"N/A")</f>
        <v>1</v>
      </c>
      <c r="X44" s="379">
        <f ca="1">IFERROR(X34/X$33,"N/A")</f>
        <v>1</v>
      </c>
      <c r="Y44" s="378">
        <f ca="1">IFERROR(Y34/Y$33,"N/A")</f>
        <v>1</v>
      </c>
      <c r="Z44" s="379">
        <f ca="1">IFERROR(Z34/Z$33,"N/A")</f>
        <v>1</v>
      </c>
      <c r="AA44" s="379">
        <f ca="1">IFERROR(AA34/AA$33,"N/A")</f>
        <v>1</v>
      </c>
      <c r="AB44" s="379">
        <f ca="1">IFERROR(AB34/AB$33,"N/A")</f>
        <v>1</v>
      </c>
      <c r="AC44" s="379">
        <f ca="1">IFERROR(AC34/AC$33,"N/A")</f>
        <v>1</v>
      </c>
      <c r="AD44" s="378">
        <f ca="1">IFERROR(AD34/AD$33,"N/A")</f>
        <v>1</v>
      </c>
      <c r="AE44" s="378">
        <f ca="1">IFERROR(AE34/AE$33,"N/A")</f>
        <v>1</v>
      </c>
      <c r="AF44" s="378">
        <f ca="1">IFERROR(AF34/AF$33,"N/A")</f>
        <v>1</v>
      </c>
      <c r="AG44" s="378">
        <f ca="1">IFERROR(AG34/AG$33,"N/A")</f>
        <v>1</v>
      </c>
    </row>
    <row r="45" ht="14.25" customHeight="1" spans="1:33" x14ac:dyDescent="0.25">
      <c r="C45" s="139" t="str">
        <f ca="1">C17</f>
        <v>Segment 2</v>
      </c>
      <c r="D45" s="16"/>
      <c r="E45" s="16"/>
      <c r="F45" s="377">
        <f t="shared" ref="F45:AG45" si="32" ca="1">IFERROR(F35/F$33,"N/A")</f>
        <v>0</v>
      </c>
      <c r="G45" s="377">
        <f ca="1">IFERROR(G35/G$33,"N/A")</f>
      </c>
      <c r="H45" s="377">
        <f ca="1">IFERROR(H35/H$33,"N/A")</f>
      </c>
      <c r="I45" s="377">
        <f ca="1">IFERROR(I35/I$33,"N/A")</f>
      </c>
      <c r="J45" s="378">
        <f ca="1">IFERROR(J35/J$33,"N/A")</f>
      </c>
      <c r="K45" s="377">
        <f ca="1">IFERROR(K35/K$33,"N/A")</f>
      </c>
      <c r="L45" s="377">
        <f ca="1">IFERROR(L35/L$33,"N/A")</f>
      </c>
      <c r="M45" s="377">
        <f ca="1">IFERROR(M35/M$33,"N/A")</f>
      </c>
      <c r="N45" s="377">
        <f ca="1">IFERROR(N35/N$33,"N/A")</f>
      </c>
      <c r="O45" s="378">
        <f ca="1">IFERROR(O35/O$33,"N/A")</f>
      </c>
      <c r="P45" s="377">
        <f ca="1">IFERROR(P35/P$33,"N/A")</f>
      </c>
      <c r="Q45" s="377">
        <f ca="1">IFERROR(Q35/Q$33,"N/A")</f>
      </c>
      <c r="R45" s="377">
        <f ca="1">IFERROR(R35/R$33,"N/A")</f>
      </c>
      <c r="S45" s="377">
        <f ca="1">IFERROR(S35/S$33,"N/A")</f>
      </c>
      <c r="T45" s="378">
        <f ca="1">IFERROR(T35/T$33,"N/A")</f>
      </c>
      <c r="U45" s="377">
        <f ca="1">IFERROR(U35/U$33,"N/A")</f>
      </c>
      <c r="V45" s="377">
        <f ca="1">IFERROR(V35/V$33,"N/A")</f>
      </c>
      <c r="W45" s="377">
        <f ca="1">IFERROR(W35/W$33,"N/A")</f>
      </c>
      <c r="X45" s="379">
        <f ca="1">IFERROR(X35/X$33,"N/A")</f>
      </c>
      <c r="Y45" s="378">
        <f ca="1">IFERROR(Y35/Y$33,"N/A")</f>
      </c>
      <c r="Z45" s="379">
        <f ca="1">IFERROR(Z35/Z$33,"N/A")</f>
      </c>
      <c r="AA45" s="379">
        <f ca="1">IFERROR(AA35/AA$33,"N/A")</f>
      </c>
      <c r="AB45" s="379">
        <f ca="1">IFERROR(AB35/AB$33,"N/A")</f>
      </c>
      <c r="AC45" s="379">
        <f ca="1">IFERROR(AC35/AC$33,"N/A")</f>
      </c>
      <c r="AD45" s="378">
        <f ca="1">IFERROR(AD35/AD$33,"N/A")</f>
      </c>
      <c r="AE45" s="378">
        <f ca="1">IFERROR(AE35/AE$33,"N/A")</f>
      </c>
      <c r="AF45" s="378">
        <f ca="1">IFERROR(AF35/AF$33,"N/A")</f>
      </c>
      <c r="AG45" s="378">
        <f ca="1">IFERROR(AG35/AG$33,"N/A")</f>
      </c>
    </row>
    <row r="46" ht="14.25" customHeight="1" spans="1:33" x14ac:dyDescent="0.25">
      <c r="C46" s="139" t="str">
        <f ca="1">C18</f>
        <v>Segment 3</v>
      </c>
      <c r="D46" s="16"/>
      <c r="E46" s="16"/>
      <c r="F46" s="377">
        <f t="shared" ref="F46:AG46" si="33" ca="1">IFERROR(F36/F$33,"N/A")</f>
        <v>0</v>
      </c>
      <c r="G46" s="377">
        <f ca="1">IFERROR(G36/G$33,"N/A")</f>
      </c>
      <c r="H46" s="377">
        <f ca="1">IFERROR(H36/H$33,"N/A")</f>
      </c>
      <c r="I46" s="377">
        <f ca="1">IFERROR(I36/I$33,"N/A")</f>
      </c>
      <c r="J46" s="378">
        <f ca="1">IFERROR(J36/J$33,"N/A")</f>
      </c>
      <c r="K46" s="377">
        <f ca="1">IFERROR(K36/K$33,"N/A")</f>
      </c>
      <c r="L46" s="377">
        <f ca="1">IFERROR(L36/L$33,"N/A")</f>
      </c>
      <c r="M46" s="377">
        <f ca="1">IFERROR(M36/M$33,"N/A")</f>
      </c>
      <c r="N46" s="377">
        <f ca="1">IFERROR(N36/N$33,"N/A")</f>
      </c>
      <c r="O46" s="378">
        <f ca="1">IFERROR(O36/O$33,"N/A")</f>
      </c>
      <c r="P46" s="377">
        <f ca="1">IFERROR(P36/P$33,"N/A")</f>
      </c>
      <c r="Q46" s="377">
        <f ca="1">IFERROR(Q36/Q$33,"N/A")</f>
      </c>
      <c r="R46" s="377">
        <f ca="1">IFERROR(R36/R$33,"N/A")</f>
      </c>
      <c r="S46" s="377">
        <f ca="1">IFERROR(S36/S$33,"N/A")</f>
      </c>
      <c r="T46" s="378">
        <f ca="1">IFERROR(T36/T$33,"N/A")</f>
      </c>
      <c r="U46" s="377">
        <f ca="1">IFERROR(U36/U$33,"N/A")</f>
      </c>
      <c r="V46" s="377">
        <f ca="1">IFERROR(V36/V$33,"N/A")</f>
      </c>
      <c r="W46" s="377">
        <f ca="1">IFERROR(W36/W$33,"N/A")</f>
      </c>
      <c r="X46" s="379">
        <f ca="1">IFERROR(X36/X$33,"N/A")</f>
      </c>
      <c r="Y46" s="378">
        <f ca="1">IFERROR(Y36/Y$33,"N/A")</f>
      </c>
      <c r="Z46" s="379">
        <f ca="1">IFERROR(Z36/Z$33,"N/A")</f>
      </c>
      <c r="AA46" s="379">
        <f ca="1">IFERROR(AA36/AA$33,"N/A")</f>
      </c>
      <c r="AB46" s="379">
        <f ca="1">IFERROR(AB36/AB$33,"N/A")</f>
      </c>
      <c r="AC46" s="379">
        <f ca="1">IFERROR(AC36/AC$33,"N/A")</f>
      </c>
      <c r="AD46" s="378">
        <f ca="1">IFERROR(AD36/AD$33,"N/A")</f>
      </c>
      <c r="AE46" s="378">
        <f ca="1">IFERROR(AE36/AE$33,"N/A")</f>
      </c>
      <c r="AF46" s="378">
        <f ca="1">IFERROR(AF36/AF$33,"N/A")</f>
      </c>
      <c r="AG46" s="378">
        <f ca="1">IFERROR(AG36/AG$33,"N/A")</f>
      </c>
    </row>
    <row r="47" ht="14.25" customHeight="1" spans="1:33" x14ac:dyDescent="0.25">
      <c r="C47" s="139" t="str">
        <f ca="1">C19</f>
        <v>Segment 4</v>
      </c>
      <c r="D47" s="16"/>
      <c r="E47" s="16"/>
      <c r="F47" s="377">
        <f t="shared" ref="F47:AG47" si="34" ca="1">IFERROR(F37/F$33,"N/A")</f>
        <v>0</v>
      </c>
      <c r="G47" s="377">
        <f ca="1">IFERROR(G37/G$33,"N/A")</f>
      </c>
      <c r="H47" s="377">
        <f ca="1">IFERROR(H37/H$33,"N/A")</f>
      </c>
      <c r="I47" s="377">
        <f ca="1">IFERROR(I37/I$33,"N/A")</f>
      </c>
      <c r="J47" s="378">
        <f ca="1">IFERROR(J37/J$33,"N/A")</f>
      </c>
      <c r="K47" s="377">
        <f ca="1">IFERROR(K37/K$33,"N/A")</f>
      </c>
      <c r="L47" s="377">
        <f ca="1">IFERROR(L37/L$33,"N/A")</f>
      </c>
      <c r="M47" s="377">
        <f ca="1">IFERROR(M37/M$33,"N/A")</f>
      </c>
      <c r="N47" s="377">
        <f ca="1">IFERROR(N37/N$33,"N/A")</f>
      </c>
      <c r="O47" s="378">
        <f ca="1">IFERROR(O37/O$33,"N/A")</f>
      </c>
      <c r="P47" s="377">
        <f ca="1">IFERROR(P37/P$33,"N/A")</f>
      </c>
      <c r="Q47" s="377">
        <f ca="1">IFERROR(Q37/Q$33,"N/A")</f>
      </c>
      <c r="R47" s="377">
        <f ca="1">IFERROR(R37/R$33,"N/A")</f>
      </c>
      <c r="S47" s="377">
        <f ca="1">IFERROR(S37/S$33,"N/A")</f>
      </c>
      <c r="T47" s="378">
        <f ca="1">IFERROR(T37/T$33,"N/A")</f>
      </c>
      <c r="U47" s="377">
        <f ca="1">IFERROR(U37/U$33,"N/A")</f>
      </c>
      <c r="V47" s="377">
        <f ca="1">IFERROR(V37/V$33,"N/A")</f>
      </c>
      <c r="W47" s="377">
        <f ca="1">IFERROR(W37/W$33,"N/A")</f>
      </c>
      <c r="X47" s="379">
        <f ca="1">IFERROR(X37/X$33,"N/A")</f>
      </c>
      <c r="Y47" s="378">
        <f ca="1">IFERROR(Y37/Y$33,"N/A")</f>
      </c>
      <c r="Z47" s="379">
        <f ca="1">IFERROR(Z37/Z$33,"N/A")</f>
      </c>
      <c r="AA47" s="379">
        <f ca="1">IFERROR(AA37/AA$33,"N/A")</f>
      </c>
      <c r="AB47" s="379">
        <f ca="1">IFERROR(AB37/AB$33,"N/A")</f>
      </c>
      <c r="AC47" s="379">
        <f ca="1">IFERROR(AC37/AC$33,"N/A")</f>
      </c>
      <c r="AD47" s="378">
        <f ca="1">IFERROR(AD37/AD$33,"N/A")</f>
      </c>
      <c r="AE47" s="378">
        <f ca="1">IFERROR(AE37/AE$33,"N/A")</f>
      </c>
      <c r="AF47" s="378">
        <f ca="1">IFERROR(AF37/AF$33,"N/A")</f>
      </c>
      <c r="AG47" s="378">
        <f ca="1">IFERROR(AG37/AG$33,"N/A")</f>
      </c>
    </row>
    <row r="48" ht="14.25" customHeight="1" spans="1:33" x14ac:dyDescent="0.25">
      <c r="C48" s="139" t="str">
        <f ca="1">C20</f>
        <v>Segment 5</v>
      </c>
      <c r="D48" s="16"/>
      <c r="E48" s="16"/>
      <c r="F48" s="377">
        <f t="shared" ref="F48:AG48" si="35" ca="1">IFERROR(F38/F$33,"N/A")</f>
        <v>0</v>
      </c>
      <c r="G48" s="377">
        <f ca="1">IFERROR(G38/G$33,"N/A")</f>
      </c>
      <c r="H48" s="377">
        <f ca="1">IFERROR(H38/H$33,"N/A")</f>
      </c>
      <c r="I48" s="377">
        <f ca="1">IFERROR(I38/I$33,"N/A")</f>
      </c>
      <c r="J48" s="378">
        <f ca="1">IFERROR(J38/J$33,"N/A")</f>
      </c>
      <c r="K48" s="377">
        <f ca="1">IFERROR(K38/K$33,"N/A")</f>
      </c>
      <c r="L48" s="377">
        <f ca="1">IFERROR(L38/L$33,"N/A")</f>
      </c>
      <c r="M48" s="377">
        <f ca="1">IFERROR(M38/M$33,"N/A")</f>
      </c>
      <c r="N48" s="377">
        <f ca="1">IFERROR(N38/N$33,"N/A")</f>
      </c>
      <c r="O48" s="378">
        <f ca="1">IFERROR(O38/O$33,"N/A")</f>
      </c>
      <c r="P48" s="377">
        <f ca="1">IFERROR(P38/P$33,"N/A")</f>
      </c>
      <c r="Q48" s="377">
        <f ca="1">IFERROR(Q38/Q$33,"N/A")</f>
      </c>
      <c r="R48" s="377">
        <f ca="1">IFERROR(R38/R$33,"N/A")</f>
      </c>
      <c r="S48" s="377">
        <f ca="1">IFERROR(S38/S$33,"N/A")</f>
      </c>
      <c r="T48" s="378">
        <f ca="1">IFERROR(T38/T$33,"N/A")</f>
      </c>
      <c r="U48" s="377">
        <f ca="1">IFERROR(U38/U$33,"N/A")</f>
      </c>
      <c r="V48" s="377">
        <f ca="1">IFERROR(V38/V$33,"N/A")</f>
      </c>
      <c r="W48" s="377">
        <f ca="1">IFERROR(W38/W$33,"N/A")</f>
      </c>
      <c r="X48" s="379">
        <f ca="1">IFERROR(X38/X$33,"N/A")</f>
      </c>
      <c r="Y48" s="378">
        <f ca="1">IFERROR(Y38/Y$33,"N/A")</f>
      </c>
      <c r="Z48" s="379">
        <f ca="1">IFERROR(Z38/Z$33,"N/A")</f>
      </c>
      <c r="AA48" s="379">
        <f ca="1">IFERROR(AA38/AA$33,"N/A")</f>
      </c>
      <c r="AB48" s="379">
        <f ca="1">IFERROR(AB38/AB$33,"N/A")</f>
      </c>
      <c r="AC48" s="379">
        <f ca="1">IFERROR(AC38/AC$33,"N/A")</f>
      </c>
      <c r="AD48" s="378">
        <f ca="1">IFERROR(AD38/AD$33,"N/A")</f>
      </c>
      <c r="AE48" s="378">
        <f ca="1">IFERROR(AE38/AE$33,"N/A")</f>
      </c>
      <c r="AF48" s="378">
        <f ca="1">IFERROR(AF38/AF$33,"N/A")</f>
      </c>
      <c r="AG48" s="378">
        <f ca="1">IFERROR(AG38/AG$33,"N/A")</f>
      </c>
    </row>
    <row r="49" ht="14.25" customHeight="1" spans="1:33" x14ac:dyDescent="0.25">
      <c r="C49" s="139" t="str">
        <f ca="1">C21</f>
        <v>Segment 6</v>
      </c>
      <c r="D49" s="16"/>
      <c r="E49" s="16"/>
      <c r="F49" s="377">
        <f t="shared" ref="F49:AG49" si="36" ca="1">IFERROR(F39/F$33,"N/A")</f>
        <v>0</v>
      </c>
      <c r="G49" s="377">
        <f ca="1">IFERROR(G39/G$33,"N/A")</f>
      </c>
      <c r="H49" s="377">
        <f ca="1">IFERROR(H39/H$33,"N/A")</f>
      </c>
      <c r="I49" s="377">
        <f ca="1">IFERROR(I39/I$33,"N/A")</f>
      </c>
      <c r="J49" s="378">
        <f ca="1">IFERROR(J39/J$33,"N/A")</f>
      </c>
      <c r="K49" s="377">
        <f ca="1">IFERROR(K39/K$33,"N/A")</f>
      </c>
      <c r="L49" s="377">
        <f ca="1">IFERROR(L39/L$33,"N/A")</f>
      </c>
      <c r="M49" s="377">
        <f ca="1">IFERROR(M39/M$33,"N/A")</f>
      </c>
      <c r="N49" s="377">
        <f ca="1">IFERROR(N39/N$33,"N/A")</f>
      </c>
      <c r="O49" s="378">
        <f ca="1">IFERROR(O39/O$33,"N/A")</f>
      </c>
      <c r="P49" s="377">
        <f ca="1">IFERROR(P39/P$33,"N/A")</f>
      </c>
      <c r="Q49" s="377">
        <f ca="1">IFERROR(Q39/Q$33,"N/A")</f>
      </c>
      <c r="R49" s="377">
        <f ca="1">IFERROR(R39/R$33,"N/A")</f>
      </c>
      <c r="S49" s="377">
        <f ca="1">IFERROR(S39/S$33,"N/A")</f>
      </c>
      <c r="T49" s="378">
        <f ca="1">IFERROR(T39/T$33,"N/A")</f>
      </c>
      <c r="U49" s="377">
        <f ca="1">IFERROR(U39/U$33,"N/A")</f>
      </c>
      <c r="V49" s="377">
        <f ca="1">IFERROR(V39/V$33,"N/A")</f>
      </c>
      <c r="W49" s="377">
        <f ca="1">IFERROR(W39/W$33,"N/A")</f>
      </c>
      <c r="X49" s="379">
        <f ca="1">IFERROR(X39/X$33,"N/A")</f>
      </c>
      <c r="Y49" s="378">
        <f ca="1">IFERROR(Y39/Y$33,"N/A")</f>
      </c>
      <c r="Z49" s="379">
        <f ca="1">IFERROR(Z39/Z$33,"N/A")</f>
      </c>
      <c r="AA49" s="379">
        <f ca="1">IFERROR(AA39/AA$33,"N/A")</f>
      </c>
      <c r="AB49" s="379">
        <f ca="1">IFERROR(AB39/AB$33,"N/A")</f>
      </c>
      <c r="AC49" s="379">
        <f ca="1">IFERROR(AC39/AC$33,"N/A")</f>
      </c>
      <c r="AD49" s="378">
        <f ca="1">IFERROR(AD39/AD$33,"N/A")</f>
      </c>
      <c r="AE49" s="378">
        <f ca="1">IFERROR(AE39/AE$33,"N/A")</f>
      </c>
      <c r="AF49" s="378">
        <f ca="1">IFERROR(AF39/AF$33,"N/A")</f>
      </c>
      <c r="AG49" s="378">
        <f ca="1">IFERROR(AG39/AG$33,"N/A")</f>
      </c>
    </row>
    <row r="50" ht="14.25" customHeight="1" spans="1:33" x14ac:dyDescent="0.25">
      <c r="C50" s="139"/>
      <c r="D50" s="16"/>
      <c r="E50" s="16"/>
      <c r="F50" s="377"/>
      <c r="G50" s="377"/>
      <c r="H50" s="377"/>
      <c r="I50" s="377"/>
      <c r="J50" s="378"/>
      <c r="K50" s="377"/>
      <c r="L50" s="377"/>
      <c r="M50" s="377"/>
      <c r="N50" s="377"/>
      <c r="O50" s="378"/>
      <c r="P50" s="377"/>
      <c r="Q50" s="377"/>
      <c r="R50" s="377"/>
      <c r="S50" s="377"/>
      <c r="T50" s="378"/>
      <c r="U50" s="377"/>
      <c r="V50" s="377"/>
      <c r="W50" s="377"/>
      <c r="X50" s="379"/>
      <c r="Y50" s="378"/>
      <c r="Z50" s="379"/>
      <c r="AA50" s="379"/>
      <c r="AB50" s="379"/>
      <c r="AC50" s="379"/>
      <c r="AD50" s="378"/>
      <c r="AE50" s="378"/>
      <c r="AF50" s="378"/>
      <c r="AG50" s="378"/>
    </row>
    <row r="51" ht="14.25" customHeight="1" spans="1:33" x14ac:dyDescent="0.25">
      <c r="C51" s="16" t="s">
        <v>465</v>
      </c>
      <c r="D51" s="16"/>
      <c r="E51" s="16"/>
      <c r="F51" s="317">
        <f ca="1">SUM(F52:F57)</f>
        <v>1e-12</v>
      </c>
      <c r="G51" s="317">
        <f ca="1">SUM(G52:G57)</f>
        <v>1e-12</v>
      </c>
      <c r="H51" s="317">
        <f ca="1">SUM(H52:H57)</f>
        <v>1e-12</v>
      </c>
      <c r="I51" s="317">
        <f ca="1">SUM(I52:I57)</f>
        <v>1e-12</v>
      </c>
      <c r="J51" s="287">
        <f ca="1">SUM(F51:I51)</f>
        <v>1e-12</v>
      </c>
      <c r="K51" s="317">
        <f ca="1">SUM(K52:K57)</f>
        <v>1e-12</v>
      </c>
      <c r="L51" s="317">
        <f ca="1">SUM(L52:L57)</f>
        <v>1e-12</v>
      </c>
      <c r="M51" s="317">
        <f ca="1">SUM(M52:M57)</f>
        <v>1e-12</v>
      </c>
      <c r="N51" s="317">
        <f ca="1">SUM(N52:N57)</f>
        <v>1e-12</v>
      </c>
      <c r="O51" s="287">
        <f ca="1">SUM(K51:N51)</f>
        <v>1e-12</v>
      </c>
      <c r="P51" s="317">
        <f ca="1">SUM(P52:P57)</f>
        <v>1e-12</v>
      </c>
      <c r="Q51" s="317">
        <f ca="1">SUM(Q52:Q57)</f>
        <v>1e-12</v>
      </c>
      <c r="R51" s="317">
        <f ca="1">SUM(R52:R57)</f>
        <v>1e-12</v>
      </c>
      <c r="S51" s="317">
        <f ca="1">SUM(S52:S57)</f>
        <v>1e-12</v>
      </c>
      <c r="T51" s="287">
        <f ca="1">SUM(P51:S51)</f>
        <v>1e-12</v>
      </c>
      <c r="U51" s="473">
        <f ca="1">SUM(U52:U57)</f>
        <v>1e-12</v>
      </c>
      <c r="V51" s="473">
        <f ca="1">SUM(V52:V57)</f>
        <v>1e-12</v>
      </c>
      <c r="W51" s="317">
        <f ca="1">SUM(W52:W57)</f>
        <v>425</v>
      </c>
      <c r="X51" s="486">
        <f ca="1">Model!X76</f>
        <v>331.18750000000006</v>
      </c>
      <c r="Y51" s="287">
        <f ca="1">SUM(Y52:Y57)</f>
        <v>1556.1875</v>
      </c>
      <c r="Z51" s="486">
        <f ca="1">Model!Z76</f>
        <v>331.86891850000006</v>
      </c>
      <c r="AA51" s="486">
        <f ca="1">Model!AA76</f>
        <v>336.85146518625004</v>
      </c>
      <c r="AB51" s="486">
        <f ca="1">Model!AB76</f>
        <v>342.23237867969067</v>
      </c>
      <c r="AC51" s="486">
        <f ca="1">Model!AC76</f>
        <v>343.91086566405204</v>
      </c>
      <c r="AD51" s="287">
        <f ca="1">SUM(AD52:AD57)</f>
        <v>1354.863628029993</v>
      </c>
      <c r="AE51" s="285">
        <f ca="1">Model!AE76</f>
        <v>1420.1551602334257</v>
      </c>
      <c r="AF51" s="285">
        <f ca="1">Model!AF76</f>
        <v>1472.475831890681</v>
      </c>
      <c r="AG51" s="285">
        <f ca="1">Model!AG76</f>
        <v>1524.1208520524956</v>
      </c>
    </row>
    <row r="52" ht="14.25" customHeight="1" spans="1:33" x14ac:dyDescent="0.25">
      <c r="C52" s="139" t="s">
        <v>446</v>
      </c>
      <c r="D52" s="16"/>
      <c r="E52" s="16"/>
      <c r="F52" s="469">
        <v>0</v>
      </c>
      <c r="G52" s="469">
        <v>0</v>
      </c>
      <c r="H52" s="469">
        <v>0</v>
      </c>
      <c r="I52" s="469">
        <v>0</v>
      </c>
      <c r="J52" s="487">
        <f ca="1">SUM(F52:I52)</f>
        <v>1e-12</v>
      </c>
      <c r="K52" s="469">
        <v>0</v>
      </c>
      <c r="L52" s="469">
        <v>0</v>
      </c>
      <c r="M52" s="469">
        <v>0</v>
      </c>
      <c r="N52" s="469">
        <v>0</v>
      </c>
      <c r="O52" s="487">
        <f ca="1">SUM(K52:N52)</f>
        <v>1e-12</v>
      </c>
      <c r="P52" s="469">
        <v>0</v>
      </c>
      <c r="Q52" s="469">
        <v>0</v>
      </c>
      <c r="R52" s="469">
        <v>0</v>
      </c>
      <c r="S52" s="469">
        <v>0</v>
      </c>
      <c r="T52" s="487">
        <f ca="1">SUM(P52:S52)</f>
        <v>1e-12</v>
      </c>
      <c r="U52" s="469">
        <v>0</v>
      </c>
      <c r="V52" s="469">
        <v>0</v>
      </c>
      <c r="W52" s="469">
        <v>425</v>
      </c>
      <c r="X52" s="488">
        <f t="shared" ref="X52:X57" si="37" ca="1">X62*X$51</f>
        <v>331.18750000000006</v>
      </c>
      <c r="Y52" s="470">
        <f t="shared" ref="Y52:Y57" si="38" ca="1">SUM(U52:X52)</f>
        <v>1556.1875</v>
      </c>
      <c r="Z52" s="488">
        <f t="shared" ref="Z52:AC52" si="39" ca="1">Z62*Z$51</f>
        <v>331.86891850000006</v>
      </c>
      <c r="AA52" s="488">
        <f ca="1">AA62*AA$51</f>
        <v>336.85146518625004</v>
      </c>
      <c r="AB52" s="488">
        <f ca="1">AB62*AB$51</f>
        <v>342.23237867969067</v>
      </c>
      <c r="AC52" s="488">
        <f ca="1">AC62*AC$51</f>
        <v>343.91086566405204</v>
      </c>
      <c r="AD52" s="470">
        <f t="shared" ref="AD52:AD57" si="40" ca="1">SUM(Z52:AC52)</f>
        <v>1354.863628029993</v>
      </c>
      <c r="AE52" s="470">
        <f t="shared" ref="AE52:AG52" si="41" ca="1">AE62*AE$51</f>
        <v>1420.1551602334257</v>
      </c>
      <c r="AF52" s="470">
        <f ca="1">AF62*AF$51</f>
        <v>1472.475831890681</v>
      </c>
      <c r="AG52" s="470">
        <f ca="1">AG62*AG$51</f>
        <v>1524.1208520524956</v>
      </c>
    </row>
    <row r="53" ht="14.25" customHeight="1" spans="1:33" x14ac:dyDescent="0.25">
      <c r="C53" s="139" t="s">
        <v>446</v>
      </c>
      <c r="D53" s="16"/>
      <c r="E53" s="16"/>
      <c r="F53" s="469">
        <v>0</v>
      </c>
      <c r="G53" s="469">
        <v>0</v>
      </c>
      <c r="H53" s="469">
        <v>0</v>
      </c>
      <c r="I53" s="469">
        <v>0</v>
      </c>
      <c r="J53" s="487">
        <f ca="1">SUM(F53:I53)</f>
        <v>1e-12</v>
      </c>
      <c r="K53" s="469">
        <v>0</v>
      </c>
      <c r="L53" s="469">
        <v>0</v>
      </c>
      <c r="M53" s="469">
        <v>0</v>
      </c>
      <c r="N53" s="469">
        <v>0</v>
      </c>
      <c r="O53" s="487">
        <f ca="1">SUM(K53:N53)</f>
        <v>1e-12</v>
      </c>
      <c r="P53" s="469">
        <v>0</v>
      </c>
      <c r="Q53" s="469">
        <v>0</v>
      </c>
      <c r="R53" s="469">
        <v>0</v>
      </c>
      <c r="S53" s="469">
        <v>0</v>
      </c>
      <c r="T53" s="487">
        <f ca="1">SUM(P53:S53)</f>
        <v>1e-12</v>
      </c>
      <c r="U53" s="469">
        <v>0</v>
      </c>
      <c r="V53" s="469">
        <v>0</v>
      </c>
      <c r="W53" s="469">
        <v>0</v>
      </c>
      <c r="X53" s="488">
        <f ca="1">X63*X$51</f>
        <v>1e-12</v>
      </c>
      <c r="Y53" s="470">
        <f ca="1">SUM(U53:X53)</f>
        <v>1e-12</v>
      </c>
      <c r="Z53" s="488">
        <f t="shared" ref="Z53:AC53" si="42" ca="1">Z63*Z$51</f>
        <v>1e-12</v>
      </c>
      <c r="AA53" s="488">
        <f ca="1">AA63*AA$51</f>
        <v>1e-12</v>
      </c>
      <c r="AB53" s="488">
        <f ca="1">AB63*AB$51</f>
        <v>1e-12</v>
      </c>
      <c r="AC53" s="488">
        <f ca="1">AC63*AC$51</f>
        <v>1e-12</v>
      </c>
      <c r="AD53" s="470">
        <f ca="1">SUM(Z53:AC53)</f>
        <v>1e-12</v>
      </c>
      <c r="AE53" s="470">
        <f t="shared" ref="AE53:AG53" si="43" ca="1">AE63*AE$51</f>
        <v>1e-12</v>
      </c>
      <c r="AF53" s="470">
        <f ca="1">AF63*AF$51</f>
        <v>1e-12</v>
      </c>
      <c r="AG53" s="470">
        <f ca="1">AG63*AG$51</f>
        <v>1e-12</v>
      </c>
    </row>
    <row r="54" ht="14.25" customHeight="1" spans="1:33" x14ac:dyDescent="0.25">
      <c r="C54" s="139" t="s">
        <v>446</v>
      </c>
      <c r="D54" s="16"/>
      <c r="E54" s="16"/>
      <c r="F54" s="469">
        <v>0</v>
      </c>
      <c r="G54" s="469">
        <v>0</v>
      </c>
      <c r="H54" s="469">
        <v>0</v>
      </c>
      <c r="I54" s="469">
        <v>0</v>
      </c>
      <c r="J54" s="487">
        <f ca="1">SUM(F54:I54)</f>
        <v>1e-12</v>
      </c>
      <c r="K54" s="469">
        <v>0</v>
      </c>
      <c r="L54" s="469">
        <v>0</v>
      </c>
      <c r="M54" s="469">
        <v>0</v>
      </c>
      <c r="N54" s="469">
        <v>0</v>
      </c>
      <c r="O54" s="487">
        <f ca="1">SUM(K54:N54)</f>
        <v>1e-12</v>
      </c>
      <c r="P54" s="469">
        <v>0</v>
      </c>
      <c r="Q54" s="469">
        <v>0</v>
      </c>
      <c r="R54" s="469">
        <v>0</v>
      </c>
      <c r="S54" s="469">
        <v>0</v>
      </c>
      <c r="T54" s="487">
        <f ca="1">SUM(P54:S54)</f>
        <v>1e-12</v>
      </c>
      <c r="U54" s="469">
        <v>0</v>
      </c>
      <c r="V54" s="469">
        <v>0</v>
      </c>
      <c r="W54" s="469">
        <v>0</v>
      </c>
      <c r="X54" s="488">
        <f ca="1">X64*X$51</f>
        <v>1e-12</v>
      </c>
      <c r="Y54" s="470">
        <f ca="1">SUM(U54:X54)</f>
        <v>1e-12</v>
      </c>
      <c r="Z54" s="488">
        <f t="shared" ref="Z54:AC54" si="44" ca="1">Z64*Z$51</f>
        <v>1e-12</v>
      </c>
      <c r="AA54" s="488">
        <f ca="1">AA64*AA$51</f>
        <v>1e-12</v>
      </c>
      <c r="AB54" s="488">
        <f ca="1">AB64*AB$51</f>
        <v>1e-12</v>
      </c>
      <c r="AC54" s="488">
        <f ca="1">AC64*AC$51</f>
        <v>1e-12</v>
      </c>
      <c r="AD54" s="470">
        <f ca="1">SUM(Z54:AC54)</f>
        <v>1e-12</v>
      </c>
      <c r="AE54" s="470">
        <f t="shared" ref="AE54:AG54" si="45" ca="1">AE64*AE$51</f>
        <v>1e-12</v>
      </c>
      <c r="AF54" s="470">
        <f ca="1">AF64*AF$51</f>
        <v>1e-12</v>
      </c>
      <c r="AG54" s="470">
        <f ca="1">AG64*AG$51</f>
        <v>1e-12</v>
      </c>
    </row>
    <row r="55" ht="14.25" customHeight="1" spans="1:33" x14ac:dyDescent="0.25">
      <c r="C55" s="139" t="s">
        <v>446</v>
      </c>
      <c r="D55" s="16"/>
      <c r="E55" s="16"/>
      <c r="F55" s="469">
        <v>0</v>
      </c>
      <c r="G55" s="469">
        <v>0</v>
      </c>
      <c r="H55" s="469">
        <v>0</v>
      </c>
      <c r="I55" s="469">
        <v>0</v>
      </c>
      <c r="J55" s="487">
        <f ca="1">SUM(F55:I55)</f>
        <v>1e-12</v>
      </c>
      <c r="K55" s="469">
        <v>0</v>
      </c>
      <c r="L55" s="469">
        <v>0</v>
      </c>
      <c r="M55" s="469">
        <v>0</v>
      </c>
      <c r="N55" s="469">
        <v>0</v>
      </c>
      <c r="O55" s="487">
        <f ca="1">SUM(K55:N55)</f>
        <v>1e-12</v>
      </c>
      <c r="P55" s="469">
        <v>0</v>
      </c>
      <c r="Q55" s="469">
        <v>0</v>
      </c>
      <c r="R55" s="469">
        <v>0</v>
      </c>
      <c r="S55" s="469">
        <v>0</v>
      </c>
      <c r="T55" s="487">
        <f ca="1">SUM(P55:S55)</f>
        <v>1e-12</v>
      </c>
      <c r="U55" s="469">
        <v>0</v>
      </c>
      <c r="V55" s="469">
        <v>0</v>
      </c>
      <c r="W55" s="469">
        <v>0</v>
      </c>
      <c r="X55" s="488">
        <f ca="1">X65*X$51</f>
        <v>1e-12</v>
      </c>
      <c r="Y55" s="470">
        <f ca="1">SUM(U55:X55)</f>
        <v>1e-12</v>
      </c>
      <c r="Z55" s="488">
        <f t="shared" ref="Z55:AC55" si="46" ca="1">Z65*Z$51</f>
        <v>1e-12</v>
      </c>
      <c r="AA55" s="488">
        <f ca="1">AA65*AA$51</f>
        <v>1e-12</v>
      </c>
      <c r="AB55" s="488">
        <f ca="1">AB65*AB$51</f>
        <v>1e-12</v>
      </c>
      <c r="AC55" s="488">
        <f ca="1">AC65*AC$51</f>
        <v>1e-12</v>
      </c>
      <c r="AD55" s="470">
        <f ca="1">SUM(Z55:AC55)</f>
        <v>1e-12</v>
      </c>
      <c r="AE55" s="470">
        <f t="shared" ref="AE55:AG55" si="47" ca="1">AE65*AE$51</f>
        <v>1e-12</v>
      </c>
      <c r="AF55" s="470">
        <f ca="1">AF65*AF$51</f>
        <v>1e-12</v>
      </c>
      <c r="AG55" s="470">
        <f ca="1">AG65*AG$51</f>
        <v>1e-12</v>
      </c>
    </row>
    <row r="56" ht="14.25" customHeight="1" spans="1:33" x14ac:dyDescent="0.25" outlineLevel="1">
      <c r="C56" s="139" t="s">
        <v>446</v>
      </c>
      <c r="D56" s="16"/>
      <c r="E56" s="16"/>
      <c r="F56" s="469">
        <v>0</v>
      </c>
      <c r="G56" s="469">
        <v>0</v>
      </c>
      <c r="H56" s="469">
        <v>0</v>
      </c>
      <c r="I56" s="469">
        <v>0</v>
      </c>
      <c r="J56" s="487">
        <f ca="1">SUM(F56:I56)</f>
        <v>1e-12</v>
      </c>
      <c r="K56" s="469">
        <v>0</v>
      </c>
      <c r="L56" s="469">
        <v>0</v>
      </c>
      <c r="M56" s="469">
        <v>0</v>
      </c>
      <c r="N56" s="469">
        <v>0</v>
      </c>
      <c r="O56" s="487">
        <f ca="1">SUM(K56:N56)</f>
        <v>1e-12</v>
      </c>
      <c r="P56" s="469">
        <v>0</v>
      </c>
      <c r="Q56" s="469">
        <v>0</v>
      </c>
      <c r="R56" s="469">
        <v>0</v>
      </c>
      <c r="S56" s="469">
        <v>0</v>
      </c>
      <c r="T56" s="487">
        <f ca="1">SUM(P56:S56)</f>
        <v>1e-12</v>
      </c>
      <c r="U56" s="469">
        <v>0</v>
      </c>
      <c r="V56" s="469">
        <v>0</v>
      </c>
      <c r="W56" s="469">
        <v>0</v>
      </c>
      <c r="X56" s="488">
        <f ca="1">X66*X$51</f>
        <v>1e-12</v>
      </c>
      <c r="Y56" s="470">
        <f ca="1">SUM(U56:X56)</f>
        <v>1e-12</v>
      </c>
      <c r="Z56" s="488">
        <f t="shared" ref="Z56:AC56" si="48" ca="1">Z66*Z$51</f>
        <v>1e-12</v>
      </c>
      <c r="AA56" s="488">
        <f ca="1">AA66*AA$51</f>
        <v>1e-12</v>
      </c>
      <c r="AB56" s="488">
        <f ca="1">AB66*AB$51</f>
        <v>1e-12</v>
      </c>
      <c r="AC56" s="488">
        <f ca="1">AC66*AC$51</f>
        <v>1e-12</v>
      </c>
      <c r="AD56" s="470">
        <f ca="1">SUM(Z56:AC56)</f>
        <v>1e-12</v>
      </c>
      <c r="AE56" s="470">
        <f t="shared" ref="AE56:AG56" si="49" ca="1">AE66*AE$51</f>
        <v>1e-12</v>
      </c>
      <c r="AF56" s="470">
        <f ca="1">AF66*AF$51</f>
        <v>1e-12</v>
      </c>
      <c r="AG56" s="470">
        <f ca="1">AG66*AG$51</f>
        <v>1e-12</v>
      </c>
    </row>
    <row r="57" ht="14.25" customHeight="1" spans="1:33" x14ac:dyDescent="0.25" outlineLevel="1">
      <c r="C57" s="139" t="s">
        <v>446</v>
      </c>
      <c r="D57" s="16"/>
      <c r="E57" s="16"/>
      <c r="F57" s="469">
        <v>0</v>
      </c>
      <c r="G57" s="469">
        <v>0</v>
      </c>
      <c r="H57" s="469">
        <v>0</v>
      </c>
      <c r="I57" s="469">
        <v>0</v>
      </c>
      <c r="J57" s="487">
        <f ca="1">SUM(F57:I57)</f>
        <v>1e-12</v>
      </c>
      <c r="K57" s="469">
        <v>0</v>
      </c>
      <c r="L57" s="469">
        <v>0</v>
      </c>
      <c r="M57" s="469">
        <v>0</v>
      </c>
      <c r="N57" s="469">
        <v>0</v>
      </c>
      <c r="O57" s="487">
        <f ca="1">SUM(K57:N57)</f>
        <v>1e-12</v>
      </c>
      <c r="P57" s="469">
        <v>0</v>
      </c>
      <c r="Q57" s="469">
        <v>0</v>
      </c>
      <c r="R57" s="469">
        <v>0</v>
      </c>
      <c r="S57" s="469">
        <v>0</v>
      </c>
      <c r="T57" s="487">
        <f ca="1">SUM(P57:S57)</f>
        <v>1e-12</v>
      </c>
      <c r="U57" s="469">
        <v>0</v>
      </c>
      <c r="V57" s="469">
        <v>0</v>
      </c>
      <c r="W57" s="469">
        <v>0</v>
      </c>
      <c r="X57" s="488">
        <f ca="1">X67*X$51</f>
        <v>1e-12</v>
      </c>
      <c r="Y57" s="470">
        <f ca="1">SUM(U57:X57)</f>
        <v>1e-12</v>
      </c>
      <c r="Z57" s="488">
        <f t="shared" ref="Z57:AC57" si="50" ca="1">Z67*Z$51</f>
        <v>1e-12</v>
      </c>
      <c r="AA57" s="488">
        <f ca="1">AA67*AA$51</f>
        <v>1e-12</v>
      </c>
      <c r="AB57" s="488">
        <f ca="1">AB67*AB$51</f>
        <v>1e-12</v>
      </c>
      <c r="AC57" s="488">
        <f ca="1">AC67*AC$51</f>
        <v>1e-12</v>
      </c>
      <c r="AD57" s="470">
        <f ca="1">SUM(Z57:AC57)</f>
        <v>1e-12</v>
      </c>
      <c r="AE57" s="470">
        <f t="shared" ref="AE57:AG57" si="51" ca="1">AE67*AE$51</f>
        <v>1e-12</v>
      </c>
      <c r="AF57" s="470">
        <f ca="1">AF67*AF$51</f>
        <v>1e-12</v>
      </c>
      <c r="AG57" s="470">
        <f ca="1">AG67*AG$51</f>
        <v>1e-12</v>
      </c>
    </row>
    <row r="58" ht="14.25" customHeight="1" spans="1:33" x14ac:dyDescent="0.25">
      <c r="C58" s="139"/>
      <c r="D58" s="16"/>
      <c r="E58" s="16"/>
      <c r="F58" s="473"/>
      <c r="G58" s="473"/>
      <c r="H58" s="473"/>
      <c r="I58" s="473"/>
      <c r="J58" s="478">
        <f ca="1">SUM(F58:I58)</f>
        <v>1e-12</v>
      </c>
      <c r="K58" s="473"/>
      <c r="L58" s="473"/>
      <c r="M58" s="473"/>
      <c r="N58" s="473"/>
      <c r="O58" s="470">
        <f ca="1">SUM(K58:N58)</f>
        <v>1e-12</v>
      </c>
      <c r="P58" s="473"/>
      <c r="Q58" s="473"/>
      <c r="R58" s="473"/>
      <c r="S58" s="483"/>
      <c r="T58" s="378">
        <f ca="1">SUM(P58:S58)</f>
        <v>1e-12</v>
      </c>
      <c r="U58" s="483"/>
      <c r="V58" s="319"/>
      <c r="W58" s="473"/>
      <c r="X58" s="480"/>
      <c r="Y58" s="470"/>
      <c r="Z58" s="485"/>
      <c r="AA58" s="485"/>
      <c r="AB58" s="485"/>
      <c r="AC58" s="379"/>
      <c r="AD58" s="378"/>
      <c r="AE58" s="378"/>
      <c r="AF58" s="378"/>
      <c r="AG58" s="378"/>
    </row>
    <row r="59" ht="14.25" customHeight="1" spans="1:33" x14ac:dyDescent="0.25">
      <c r="C59" s="120" t="s">
        <v>466</v>
      </c>
      <c r="D59" s="16"/>
      <c r="E59" s="16"/>
      <c r="F59" s="489">
        <f ca="1">F51-Model!F60</f>
        <v>1e-12</v>
      </c>
      <c r="G59" s="489">
        <f ca="1">G51-Model!G60</f>
        <v>1e-12</v>
      </c>
      <c r="H59" s="489">
        <f ca="1">H51-Model!H60</f>
        <v>1e-12</v>
      </c>
      <c r="I59" s="489">
        <f ca="1">I51-Model!I60</f>
        <v>1e-12</v>
      </c>
      <c r="J59" s="484">
        <f ca="1">J51-Model!J60</f>
        <v>1e-12</v>
      </c>
      <c r="K59" s="489">
        <f ca="1">K51-Model!K60</f>
        <v>1e-12</v>
      </c>
      <c r="L59" s="489">
        <f ca="1">L51-Model!L60</f>
        <v>1e-12</v>
      </c>
      <c r="M59" s="489">
        <f ca="1">M51-Model!M60</f>
        <v>1e-12</v>
      </c>
      <c r="N59" s="489">
        <f ca="1">N51-Model!N60</f>
        <v>1e-12</v>
      </c>
      <c r="O59" s="484">
        <f ca="1">O51-Model!O60</f>
        <v>1e-12</v>
      </c>
      <c r="P59" s="489">
        <f ca="1">P51-Model!P60</f>
        <v>1e-12</v>
      </c>
      <c r="Q59" s="489">
        <f ca="1">Q51-Model!Q60</f>
        <v>1e-12</v>
      </c>
      <c r="R59" s="489">
        <f ca="1">R51-Model!R60</f>
        <v>1e-12</v>
      </c>
      <c r="S59" s="489">
        <f ca="1">S51-Model!S60</f>
        <v>1e-12</v>
      </c>
      <c r="T59" s="484">
        <f ca="1">T51-Model!T60</f>
        <v>1e-12</v>
      </c>
      <c r="U59" s="489">
        <f ca="1">U51-Model!U60</f>
        <v>1e-12</v>
      </c>
      <c r="V59" s="489">
        <f ca="1">V51-Model!V60</f>
        <v>1e-12</v>
      </c>
      <c r="W59" s="489">
        <f ca="1">W51-Model!W60</f>
        <v>1e-12</v>
      </c>
      <c r="X59" s="490">
        <f t="shared" ref="X59:AG59" si="52" ca="1">X51-SUM(X52:X57)</f>
        <v>1e-12</v>
      </c>
      <c r="Y59" s="484">
        <f ca="1">Y51-SUM(Y52:Y57)</f>
        <v>1e-12</v>
      </c>
      <c r="Z59" s="490">
        <f ca="1">Z51-SUM(Z52:Z57)</f>
        <v>1e-12</v>
      </c>
      <c r="AA59" s="490">
        <f ca="1">AA51-SUM(AA52:AA57)</f>
        <v>1e-12</v>
      </c>
      <c r="AB59" s="490">
        <f ca="1">AB51-SUM(AB52:AB57)</f>
        <v>1e-12</v>
      </c>
      <c r="AC59" s="490">
        <f ca="1">AC51-SUM(AC52:AC57)</f>
        <v>1e-12</v>
      </c>
      <c r="AD59" s="484">
        <f ca="1">AD51-SUM(AD52:AD57)</f>
        <v>1e-12</v>
      </c>
      <c r="AE59" s="484">
        <f ca="1">AE51-SUM(AE52:AE57)</f>
        <v>1e-12</v>
      </c>
      <c r="AF59" s="484">
        <f ca="1">AF51-SUM(AF52:AF57)</f>
        <v>1e-12</v>
      </c>
      <c r="AG59" s="484">
        <f ca="1">AG51-SUM(AG52:AG57)</f>
        <v>1e-12</v>
      </c>
    </row>
    <row r="60" ht="14.25" customHeight="1" spans="1:33" x14ac:dyDescent="0.25">
      <c r="C60" s="139"/>
      <c r="D60" s="16"/>
      <c r="E60" s="16"/>
      <c r="F60" s="473"/>
      <c r="G60" s="473"/>
      <c r="H60" s="473"/>
      <c r="I60" s="473"/>
      <c r="J60" s="478"/>
      <c r="K60" s="473"/>
      <c r="L60" s="473"/>
      <c r="M60" s="473"/>
      <c r="N60" s="473"/>
      <c r="O60" s="470"/>
      <c r="P60" s="473"/>
      <c r="Q60" s="473"/>
      <c r="R60" s="473"/>
      <c r="S60" s="483"/>
      <c r="T60" s="378"/>
      <c r="U60" s="483"/>
      <c r="V60" s="319"/>
      <c r="W60" s="473"/>
      <c r="X60" s="480"/>
      <c r="Y60" s="470"/>
      <c r="Z60" s="485"/>
      <c r="AA60" s="485"/>
      <c r="AB60" s="485"/>
      <c r="AC60" s="379"/>
      <c r="AD60" s="378"/>
      <c r="AE60" s="378"/>
      <c r="AF60" s="378"/>
      <c r="AG60" s="378"/>
    </row>
    <row r="61" ht="15" customHeight="1" spans="1:33" x14ac:dyDescent="0.25">
      <c r="C61" s="5" t="s">
        <v>467</v>
      </c>
      <c r="D61" s="16"/>
      <c r="E61" s="16"/>
      <c r="F61" s="377"/>
      <c r="G61" s="377"/>
      <c r="H61" s="377"/>
      <c r="I61" s="377"/>
      <c r="J61" s="287"/>
      <c r="K61" s="317"/>
      <c r="L61" s="317"/>
      <c r="M61" s="317"/>
      <c r="N61" s="317"/>
      <c r="O61" s="287"/>
      <c r="P61" s="317"/>
      <c r="Q61" s="317"/>
      <c r="R61" s="317"/>
      <c r="S61" s="317"/>
      <c r="T61" s="287"/>
      <c r="U61" s="473"/>
      <c r="V61" s="473"/>
      <c r="W61" s="317"/>
      <c r="X61" s="286"/>
      <c r="Y61" s="287"/>
      <c r="Z61" s="286"/>
      <c r="AA61" s="286"/>
      <c r="AB61" s="286"/>
      <c r="AC61" s="286"/>
      <c r="AD61" s="287"/>
      <c r="AE61" s="287"/>
      <c r="AF61" s="287"/>
      <c r="AG61" s="287"/>
    </row>
    <row r="62" ht="15" customHeight="1" spans="1:33" x14ac:dyDescent="0.25">
      <c r="C62" s="491" t="str">
        <f t="shared" ref="C62:C67" si="53" ca="1">C16</f>
        <v>Home Improvement Retail</v>
      </c>
      <c r="D62" s="16"/>
      <c r="E62" s="16"/>
      <c r="F62" s="377">
        <f t="shared" ref="F62:W62" si="54" ca="1">IFERROR(F52/F$51,"N/A")</f>
        <v>1</v>
      </c>
      <c r="G62" s="377">
        <f ca="1">IFERROR(G52/G$51,"N/A")</f>
        <v>1</v>
      </c>
      <c r="H62" s="377">
        <f ca="1">IFERROR(H52/H$51,"N/A")</f>
        <v>1</v>
      </c>
      <c r="I62" s="377">
        <f ca="1">IFERROR(I52/I$51,"N/A")</f>
        <v>1</v>
      </c>
      <c r="J62" s="378">
        <f ca="1">IFERROR(J52/J$51,"N/A")</f>
        <v>1</v>
      </c>
      <c r="K62" s="377">
        <f ca="1">IFERROR(K52/K$51,"N/A")</f>
        <v>1</v>
      </c>
      <c r="L62" s="377">
        <f ca="1">IFERROR(L52/L$51,"N/A")</f>
        <v>1</v>
      </c>
      <c r="M62" s="377">
        <f ca="1">IFERROR(M52/M$51,"N/A")</f>
        <v>1</v>
      </c>
      <c r="N62" s="377">
        <f ca="1">IFERROR(N52/N$51,"N/A")</f>
        <v>1</v>
      </c>
      <c r="O62" s="378">
        <f ca="1">IFERROR(O52/O$51,"N/A")</f>
        <v>1</v>
      </c>
      <c r="P62" s="377">
        <f ca="1">IFERROR(P52/P$51,"N/A")</f>
        <v>1</v>
      </c>
      <c r="Q62" s="377">
        <f ca="1">IFERROR(Q52/Q$51,"N/A")</f>
        <v>1</v>
      </c>
      <c r="R62" s="377">
        <f ca="1">IFERROR(R52/R$51,"N/A")</f>
        <v>1</v>
      </c>
      <c r="S62" s="377">
        <f ca="1">IFERROR(S52/S$51,"N/A")</f>
        <v>1</v>
      </c>
      <c r="T62" s="378">
        <f ca="1">IFERROR(T52/T$51,"N/A")</f>
        <v>1</v>
      </c>
      <c r="U62" s="377">
        <f ca="1">IFERROR(U52/U$51,"N/A")</f>
        <v>1</v>
      </c>
      <c r="V62" s="377">
        <f ca="1">IFERROR(V52/V$51,"N/A")</f>
        <v>1</v>
      </c>
      <c r="W62" s="377">
        <f ca="1">IFERROR(W52/W$51,"N/A")</f>
        <v>1</v>
      </c>
      <c r="X62" s="380">
        <f ca="1">Drivers!X78</f>
        <v>1</v>
      </c>
      <c r="Y62" s="492">
        <f t="shared" ref="Y62:Y67" si="55" ca="1">Y52/Y$51</f>
        <v>1</v>
      </c>
      <c r="Z62" s="380">
        <f ca="1">Drivers!Z78</f>
        <v>1</v>
      </c>
      <c r="AA62" s="380">
        <f ca="1">Drivers!AA78</f>
        <v>1</v>
      </c>
      <c r="AB62" s="380">
        <f ca="1">Drivers!AB78</f>
        <v>1</v>
      </c>
      <c r="AC62" s="380">
        <f ca="1">Drivers!AC78</f>
        <v>1</v>
      </c>
      <c r="AD62" s="492">
        <f t="shared" ref="AD62:AD67" si="56" ca="1">AD52/AD$51</f>
        <v>1</v>
      </c>
      <c r="AE62" s="381">
        <f ca="1">Drivers!AE78</f>
        <v>1</v>
      </c>
      <c r="AF62" s="381">
        <f ca="1">Drivers!AF78</f>
        <v>1</v>
      </c>
      <c r="AG62" s="381">
        <f ca="1">Drivers!AG78</f>
        <v>1</v>
      </c>
    </row>
    <row r="63" ht="14.25" customHeight="1" spans="1:33" x14ac:dyDescent="0.25">
      <c r="C63" s="491" t="str">
        <f ca="1">C17</f>
        <v>Segment 2</v>
      </c>
      <c r="D63" s="16"/>
      <c r="E63" s="16"/>
      <c r="F63" s="377">
        <f t="shared" ref="F63:W63" si="57" ca="1">IFERROR(F53/F$51,"N/A")</f>
        <v>0</v>
      </c>
      <c r="G63" s="377">
        <f ca="1">IFERROR(G53/G$51,"N/A")</f>
      </c>
      <c r="H63" s="377">
        <f ca="1">IFERROR(H53/H$51,"N/A")</f>
      </c>
      <c r="I63" s="377">
        <f ca="1">IFERROR(I53/I$51,"N/A")</f>
      </c>
      <c r="J63" s="378">
        <f ca="1">IFERROR(J53/J$51,"N/A")</f>
      </c>
      <c r="K63" s="377">
        <f ca="1">IFERROR(K53/K$51,"N/A")</f>
      </c>
      <c r="L63" s="377">
        <f ca="1">IFERROR(L53/L$51,"N/A")</f>
      </c>
      <c r="M63" s="377">
        <f ca="1">IFERROR(M53/M$51,"N/A")</f>
      </c>
      <c r="N63" s="377">
        <f ca="1">IFERROR(N53/N$51,"N/A")</f>
      </c>
      <c r="O63" s="378">
        <f ca="1">IFERROR(O53/O$51,"N/A")</f>
      </c>
      <c r="P63" s="377">
        <f ca="1">IFERROR(P53/P$51,"N/A")</f>
      </c>
      <c r="Q63" s="377">
        <f ca="1">IFERROR(Q53/Q$51,"N/A")</f>
      </c>
      <c r="R63" s="377">
        <f ca="1">IFERROR(R53/R$51,"N/A")</f>
      </c>
      <c r="S63" s="377">
        <f ca="1">IFERROR(S53/S$51,"N/A")</f>
      </c>
      <c r="T63" s="378">
        <f ca="1">IFERROR(T53/T$51,"N/A")</f>
      </c>
      <c r="U63" s="377">
        <f ca="1">IFERROR(U53/U$51,"N/A")</f>
      </c>
      <c r="V63" s="377">
        <f ca="1">IFERROR(V53/V$51,"N/A")</f>
      </c>
      <c r="W63" s="377">
        <f ca="1">IFERROR(W53/W$51,"N/A")</f>
      </c>
      <c r="X63" s="380">
        <f ca="1">Drivers!X79</f>
        <v>1e-12</v>
      </c>
      <c r="Y63" s="492">
        <f ca="1">Y53/Y$51</f>
        <v>1e-12</v>
      </c>
      <c r="Z63" s="380">
        <f ca="1">Drivers!Z79</f>
        <v>1e-12</v>
      </c>
      <c r="AA63" s="380">
        <f ca="1">Drivers!AA79</f>
        <v>1e-12</v>
      </c>
      <c r="AB63" s="380">
        <f ca="1">Drivers!AB79</f>
        <v>1e-12</v>
      </c>
      <c r="AC63" s="380">
        <f ca="1">Drivers!AC79</f>
        <v>1e-12</v>
      </c>
      <c r="AD63" s="492">
        <f ca="1">AD53/AD$51</f>
        <v>1e-12</v>
      </c>
      <c r="AE63" s="381">
        <f ca="1">Drivers!AE79</f>
        <v>1e-12</v>
      </c>
      <c r="AF63" s="381">
        <f ca="1">Drivers!AF79</f>
        <v>1e-12</v>
      </c>
      <c r="AG63" s="381">
        <f ca="1">Drivers!AG79</f>
        <v>1e-12</v>
      </c>
    </row>
    <row r="64" ht="14.25" customHeight="1" spans="1:33" x14ac:dyDescent="0.25">
      <c r="C64" s="491" t="str">
        <f ca="1">C18</f>
        <v>Segment 3</v>
      </c>
      <c r="D64" s="16"/>
      <c r="E64" s="16"/>
      <c r="F64" s="377">
        <f t="shared" ref="F64:W64" si="58" ca="1">IFERROR(F54/F$51,"N/A")</f>
        <v>0</v>
      </c>
      <c r="G64" s="377">
        <f ca="1">IFERROR(G54/G$51,"N/A")</f>
      </c>
      <c r="H64" s="377">
        <f ca="1">IFERROR(H54/H$51,"N/A")</f>
      </c>
      <c r="I64" s="377">
        <f ca="1">IFERROR(I54/I$51,"N/A")</f>
      </c>
      <c r="J64" s="378">
        <f ca="1">IFERROR(J54/J$51,"N/A")</f>
      </c>
      <c r="K64" s="377">
        <f ca="1">IFERROR(K54/K$51,"N/A")</f>
      </c>
      <c r="L64" s="377">
        <f ca="1">IFERROR(L54/L$51,"N/A")</f>
      </c>
      <c r="M64" s="377">
        <f ca="1">IFERROR(M54/M$51,"N/A")</f>
      </c>
      <c r="N64" s="377">
        <f ca="1">IFERROR(N54/N$51,"N/A")</f>
      </c>
      <c r="O64" s="378">
        <f ca="1">IFERROR(O54/O$51,"N/A")</f>
      </c>
      <c r="P64" s="377">
        <f ca="1">IFERROR(P54/P$51,"N/A")</f>
      </c>
      <c r="Q64" s="377">
        <f ca="1">IFERROR(Q54/Q$51,"N/A")</f>
      </c>
      <c r="R64" s="377">
        <f ca="1">IFERROR(R54/R$51,"N/A")</f>
      </c>
      <c r="S64" s="377">
        <f ca="1">IFERROR(S54/S$51,"N/A")</f>
      </c>
      <c r="T64" s="378">
        <f ca="1">IFERROR(T54/T$51,"N/A")</f>
      </c>
      <c r="U64" s="377">
        <f ca="1">IFERROR(U54/U$51,"N/A")</f>
      </c>
      <c r="V64" s="377">
        <f ca="1">IFERROR(V54/V$51,"N/A")</f>
      </c>
      <c r="W64" s="377">
        <f ca="1">IFERROR(W54/W$51,"N/A")</f>
      </c>
      <c r="X64" s="380">
        <f ca="1">Drivers!X80</f>
        <v>1e-12</v>
      </c>
      <c r="Y64" s="492">
        <f ca="1">Y54/Y$51</f>
        <v>1e-12</v>
      </c>
      <c r="Z64" s="380">
        <f ca="1">Drivers!Z80</f>
        <v>1e-12</v>
      </c>
      <c r="AA64" s="380">
        <f ca="1">Drivers!AA80</f>
        <v>1e-12</v>
      </c>
      <c r="AB64" s="380">
        <f ca="1">Drivers!AB80</f>
        <v>1e-12</v>
      </c>
      <c r="AC64" s="380">
        <f ca="1">Drivers!AC80</f>
        <v>1e-12</v>
      </c>
      <c r="AD64" s="492">
        <f ca="1">AD54/AD$51</f>
        <v>1e-12</v>
      </c>
      <c r="AE64" s="381">
        <f ca="1">Drivers!AE80</f>
        <v>1e-12</v>
      </c>
      <c r="AF64" s="381">
        <f ca="1">Drivers!AF80</f>
        <v>1e-12</v>
      </c>
      <c r="AG64" s="381">
        <f ca="1">Drivers!AG80</f>
        <v>1e-12</v>
      </c>
    </row>
    <row r="65" ht="14.25" customHeight="1" spans="1:33" x14ac:dyDescent="0.25">
      <c r="C65" s="491" t="str">
        <f ca="1">C19</f>
        <v>Segment 4</v>
      </c>
      <c r="D65" s="16"/>
      <c r="E65" s="16"/>
      <c r="F65" s="377">
        <f t="shared" ref="F65:W65" si="59" ca="1">IFERROR(F55/F$51,"N/A")</f>
        <v>0</v>
      </c>
      <c r="G65" s="377">
        <f ca="1">IFERROR(G55/G$51,"N/A")</f>
      </c>
      <c r="H65" s="377">
        <f ca="1">IFERROR(H55/H$51,"N/A")</f>
      </c>
      <c r="I65" s="377">
        <f ca="1">IFERROR(I55/I$51,"N/A")</f>
      </c>
      <c r="J65" s="378">
        <f ca="1">IFERROR(J55/J$51,"N/A")</f>
      </c>
      <c r="K65" s="377">
        <f ca="1">IFERROR(K55/K$51,"N/A")</f>
      </c>
      <c r="L65" s="377">
        <f ca="1">IFERROR(L55/L$51,"N/A")</f>
      </c>
      <c r="M65" s="377">
        <f ca="1">IFERROR(M55/M$51,"N/A")</f>
      </c>
      <c r="N65" s="377">
        <f ca="1">IFERROR(N55/N$51,"N/A")</f>
      </c>
      <c r="O65" s="378">
        <f ca="1">IFERROR(O55/O$51,"N/A")</f>
      </c>
      <c r="P65" s="377">
        <f ca="1">IFERROR(P55/P$51,"N/A")</f>
      </c>
      <c r="Q65" s="377">
        <f ca="1">IFERROR(Q55/Q$51,"N/A")</f>
      </c>
      <c r="R65" s="377">
        <f ca="1">IFERROR(R55/R$51,"N/A")</f>
      </c>
      <c r="S65" s="377">
        <f ca="1">IFERROR(S55/S$51,"N/A")</f>
      </c>
      <c r="T65" s="378">
        <f ca="1">IFERROR(T55/T$51,"N/A")</f>
      </c>
      <c r="U65" s="377">
        <f ca="1">IFERROR(U55/U$51,"N/A")</f>
      </c>
      <c r="V65" s="377">
        <f ca="1">IFERROR(V55/V$51,"N/A")</f>
      </c>
      <c r="W65" s="377">
        <f ca="1">IFERROR(W55/W$51,"N/A")</f>
      </c>
      <c r="X65" s="380">
        <f ca="1">Drivers!X81</f>
        <v>1e-12</v>
      </c>
      <c r="Y65" s="492">
        <f ca="1">Y55/Y$51</f>
        <v>1e-12</v>
      </c>
      <c r="Z65" s="380">
        <f ca="1">Drivers!Z81</f>
        <v>1e-12</v>
      </c>
      <c r="AA65" s="380">
        <f ca="1">Drivers!AA81</f>
        <v>1e-12</v>
      </c>
      <c r="AB65" s="380">
        <f ca="1">Drivers!AB81</f>
        <v>1e-12</v>
      </c>
      <c r="AC65" s="380">
        <f ca="1">Drivers!AC81</f>
        <v>1e-12</v>
      </c>
      <c r="AD65" s="492">
        <f ca="1">AD55/AD$51</f>
        <v>1e-12</v>
      </c>
      <c r="AE65" s="381">
        <f ca="1">Drivers!AE81</f>
        <v>1e-12</v>
      </c>
      <c r="AF65" s="381">
        <f ca="1">Drivers!AF81</f>
        <v>1e-12</v>
      </c>
      <c r="AG65" s="381">
        <f ca="1">Drivers!AG81</f>
        <v>1e-12</v>
      </c>
    </row>
    <row r="66" ht="14.25" customHeight="1" spans="1:33" x14ac:dyDescent="0.25" outlineLevel="1">
      <c r="C66" s="491" t="str">
        <f ca="1">C20</f>
        <v>Segment 5</v>
      </c>
      <c r="D66" s="16"/>
      <c r="E66" s="16"/>
      <c r="F66" s="377">
        <f t="shared" ref="F66:W66" si="60" ca="1">IFERROR(F56/F$51,"N/A")</f>
        <v>0</v>
      </c>
      <c r="G66" s="377">
        <f ca="1">IFERROR(G56/G$51,"N/A")</f>
      </c>
      <c r="H66" s="377">
        <f ca="1">IFERROR(H56/H$51,"N/A")</f>
      </c>
      <c r="I66" s="377">
        <f ca="1">IFERROR(I56/I$51,"N/A")</f>
      </c>
      <c r="J66" s="378">
        <f ca="1">IFERROR(J56/J$51,"N/A")</f>
      </c>
      <c r="K66" s="377">
        <f ca="1">IFERROR(K56/K$51,"N/A")</f>
      </c>
      <c r="L66" s="377">
        <f ca="1">IFERROR(L56/L$51,"N/A")</f>
      </c>
      <c r="M66" s="377">
        <f ca="1">IFERROR(M56/M$51,"N/A")</f>
      </c>
      <c r="N66" s="377">
        <f ca="1">IFERROR(N56/N$51,"N/A")</f>
      </c>
      <c r="O66" s="378">
        <f ca="1">IFERROR(O56/O$51,"N/A")</f>
      </c>
      <c r="P66" s="377">
        <f ca="1">IFERROR(P56/P$51,"N/A")</f>
      </c>
      <c r="Q66" s="377">
        <f ca="1">IFERROR(Q56/Q$51,"N/A")</f>
      </c>
      <c r="R66" s="377">
        <f ca="1">IFERROR(R56/R$51,"N/A")</f>
      </c>
      <c r="S66" s="377">
        <f ca="1">IFERROR(S56/S$51,"N/A")</f>
      </c>
      <c r="T66" s="378">
        <f ca="1">IFERROR(T56/T$51,"N/A")</f>
      </c>
      <c r="U66" s="377">
        <f ca="1">IFERROR(U56/U$51,"N/A")</f>
      </c>
      <c r="V66" s="377">
        <f ca="1">IFERROR(V56/V$51,"N/A")</f>
      </c>
      <c r="W66" s="377">
        <f ca="1">IFERROR(W56/W$51,"N/A")</f>
      </c>
      <c r="X66" s="380">
        <f ca="1">Drivers!X82</f>
        <v>1e-12</v>
      </c>
      <c r="Y66" s="492">
        <f ca="1">Y56/Y$51</f>
        <v>1e-12</v>
      </c>
      <c r="Z66" s="380">
        <f ca="1">Drivers!Z82</f>
        <v>1e-12</v>
      </c>
      <c r="AA66" s="380">
        <f ca="1">Drivers!AA82</f>
        <v>1e-12</v>
      </c>
      <c r="AB66" s="380">
        <f ca="1">Drivers!AB82</f>
        <v>1e-12</v>
      </c>
      <c r="AC66" s="380">
        <f ca="1">Drivers!AC82</f>
        <v>1e-12</v>
      </c>
      <c r="AD66" s="492">
        <f ca="1">AD56/AD$51</f>
        <v>1e-12</v>
      </c>
      <c r="AE66" s="381">
        <f ca="1">Drivers!AE82</f>
        <v>1e-12</v>
      </c>
      <c r="AF66" s="381">
        <f ca="1">Drivers!AF82</f>
        <v>1e-12</v>
      </c>
      <c r="AG66" s="381">
        <f ca="1">Drivers!AG82</f>
        <v>1e-12</v>
      </c>
    </row>
    <row r="67" ht="14.25" customHeight="1" spans="1:33" x14ac:dyDescent="0.25" outlineLevel="1">
      <c r="C67" s="491" t="str">
        <f ca="1">C21</f>
        <v>Segment 6</v>
      </c>
      <c r="D67" s="16"/>
      <c r="E67" s="16"/>
      <c r="F67" s="377">
        <f t="shared" ref="F67:W67" si="61" ca="1">IFERROR(F57/F$51,"N/A")</f>
        <v>0</v>
      </c>
      <c r="G67" s="377">
        <f ca="1">IFERROR(G57/G$51,"N/A")</f>
      </c>
      <c r="H67" s="377">
        <f ca="1">IFERROR(H57/H$51,"N/A")</f>
      </c>
      <c r="I67" s="377">
        <f ca="1">IFERROR(I57/I$51,"N/A")</f>
      </c>
      <c r="J67" s="378">
        <f ca="1">IFERROR(J57/J$51,"N/A")</f>
      </c>
      <c r="K67" s="377">
        <f ca="1">IFERROR(K57/K$51,"N/A")</f>
      </c>
      <c r="L67" s="377">
        <f ca="1">IFERROR(L57/L$51,"N/A")</f>
      </c>
      <c r="M67" s="377">
        <f ca="1">IFERROR(M57/M$51,"N/A")</f>
      </c>
      <c r="N67" s="377">
        <f ca="1">IFERROR(N57/N$51,"N/A")</f>
      </c>
      <c r="O67" s="378">
        <f ca="1">IFERROR(O57/O$51,"N/A")</f>
      </c>
      <c r="P67" s="377">
        <f ca="1">IFERROR(P57/P$51,"N/A")</f>
      </c>
      <c r="Q67" s="377">
        <f ca="1">IFERROR(Q57/Q$51,"N/A")</f>
      </c>
      <c r="R67" s="377">
        <f ca="1">IFERROR(R57/R$51,"N/A")</f>
      </c>
      <c r="S67" s="377">
        <f ca="1">IFERROR(S57/S$51,"N/A")</f>
      </c>
      <c r="T67" s="378">
        <f ca="1">IFERROR(T57/T$51,"N/A")</f>
      </c>
      <c r="U67" s="377">
        <f ca="1">IFERROR(U57/U$51,"N/A")</f>
      </c>
      <c r="V67" s="377">
        <f ca="1">IFERROR(V57/V$51,"N/A")</f>
      </c>
      <c r="W67" s="377">
        <f ca="1">IFERROR(W57/W$51,"N/A")</f>
      </c>
      <c r="X67" s="380">
        <f ca="1">Drivers!X83</f>
        <v>1e-12</v>
      </c>
      <c r="Y67" s="492">
        <f ca="1">Y57/Y$51</f>
        <v>1e-12</v>
      </c>
      <c r="Z67" s="380">
        <f ca="1">Drivers!Z83</f>
        <v>1e-12</v>
      </c>
      <c r="AA67" s="380">
        <f ca="1">Drivers!AA83</f>
        <v>1e-12</v>
      </c>
      <c r="AB67" s="380">
        <f ca="1">Drivers!AB83</f>
        <v>1e-12</v>
      </c>
      <c r="AC67" s="380">
        <f ca="1">Drivers!AC83</f>
        <v>1e-12</v>
      </c>
      <c r="AD67" s="492">
        <f ca="1">AD57/AD$51</f>
        <v>1e-12</v>
      </c>
      <c r="AE67" s="381">
        <f ca="1">Drivers!AE83</f>
        <v>1e-12</v>
      </c>
      <c r="AF67" s="381">
        <f ca="1">Drivers!AF83</f>
        <v>1e-12</v>
      </c>
      <c r="AG67" s="381">
        <f ca="1">Drivers!AG83</f>
        <v>1e-12</v>
      </c>
    </row>
    <row r="68" ht="14.25" customHeight="1" spans="1:33" x14ac:dyDescent="0.25">
      <c r="C68" s="16"/>
      <c r="D68" s="16"/>
      <c r="E68" s="16"/>
      <c r="F68" s="319"/>
      <c r="G68" s="319"/>
      <c r="H68" s="319"/>
      <c r="I68" s="319"/>
      <c r="J68" s="168"/>
      <c r="K68" s="319"/>
      <c r="L68" s="319"/>
      <c r="M68" s="319"/>
      <c r="N68" s="319"/>
      <c r="O68" s="168"/>
      <c r="P68" s="319"/>
      <c r="Q68" s="319"/>
      <c r="R68" s="319"/>
      <c r="S68" s="317"/>
      <c r="T68" s="378"/>
      <c r="U68" s="317"/>
      <c r="V68" s="493"/>
      <c r="W68" s="319"/>
      <c r="X68" s="322"/>
      <c r="Y68" s="168"/>
      <c r="Z68" s="286"/>
      <c r="AA68" s="286"/>
      <c r="AB68" s="286"/>
      <c r="AC68" s="379"/>
      <c r="AD68" s="378"/>
      <c r="AE68" s="378"/>
      <c r="AF68" s="378"/>
      <c r="AG68" s="378"/>
    </row>
    <row r="69" ht="14.25" customHeight="1" spans="1:33" x14ac:dyDescent="0.25">
      <c r="C69" s="16" t="s">
        <v>468</v>
      </c>
      <c r="D69" s="16"/>
      <c r="E69" s="16"/>
      <c r="F69" s="317">
        <f t="shared" ref="F69:AG69" si="62" ca="1">F51+F33</f>
        <v>1868</v>
      </c>
      <c r="G69" s="317">
        <f ca="1">G51+G33</f>
        <v>499</v>
      </c>
      <c r="H69" s="317">
        <f ca="1">H51+H33</f>
        <v>601</v>
      </c>
      <c r="I69" s="317">
        <f ca="1">I51+I33</f>
        <v>1256</v>
      </c>
      <c r="J69" s="287">
        <f ca="1">J51+J33</f>
        <v>4224</v>
      </c>
      <c r="K69" s="317">
        <f ca="1">K51+K33</f>
        <v>2140</v>
      </c>
      <c r="L69" s="317">
        <f ca="1">L51+L33</f>
        <v>6800</v>
      </c>
      <c r="M69" s="317">
        <f ca="1">M51+M33</f>
        <v>10417</v>
      </c>
      <c r="N69" s="317">
        <f ca="1">N51+N33</f>
        <v>13614</v>
      </c>
      <c r="O69" s="287">
        <f ca="1">O51+O33</f>
        <v>32971</v>
      </c>
      <c r="P69" s="317">
        <f ca="1">P51+P33</f>
        <v>16909</v>
      </c>
      <c r="Q69" s="317">
        <f ca="1">Q51+Q33</f>
        <v>18642</v>
      </c>
      <c r="R69" s="317">
        <f ca="1">R51+R33</f>
        <v>21869</v>
      </c>
      <c r="S69" s="317">
        <f ca="1">S51+S33</f>
        <v>24034</v>
      </c>
      <c r="T69" s="287">
        <f ca="1">T51+T33</f>
        <v>81454</v>
      </c>
      <c r="U69" s="317">
        <f ca="1">U51+U33</f>
        <v>21638</v>
      </c>
      <c r="V69" s="317">
        <f ca="1">V51+V33</f>
        <v>28440</v>
      </c>
      <c r="W69" s="317">
        <f ca="1">W51+W33</f>
        <v>3214</v>
      </c>
      <c r="X69" s="494">
        <f ca="1">X51+X33</f>
        <v>3161.5605</v>
      </c>
      <c r="Y69" s="287">
        <f ca="1">Y51+Y33</f>
        <v>12717.430499999999</v>
      </c>
      <c r="Z69" s="494">
        <f ca="1">Z51+Z33</f>
        <v>3928.6198385</v>
      </c>
      <c r="AA69" s="494">
        <f ca="1">AA51+AA33</f>
        <v>4583.5866585862495</v>
      </c>
      <c r="AB69" s="494">
        <f ca="1">AB51+AB33</f>
        <v>3435.0271126316907</v>
      </c>
      <c r="AC69" s="494">
        <f ca="1">AC51+AC33</f>
        <v>3649.335237575252</v>
      </c>
      <c r="AD69" s="287">
        <f ca="1">AD51+AD33</f>
        <v>15596.568847293192</v>
      </c>
      <c r="AE69" s="287">
        <f ca="1">AE51+AE33</f>
        <v>16340.631690771386</v>
      </c>
      <c r="AF69" s="287">
        <f ca="1">AF51+AF33</f>
        <v>16800.850281968527</v>
      </c>
      <c r="AG69" s="287">
        <f ca="1">AG51+AG33</f>
        <v>17382.419104547316</v>
      </c>
    </row>
    <row r="70" ht="14.25" customHeight="1" spans="1:33" x14ac:dyDescent="0.25">
      <c r="C70" s="139" t="str">
        <f t="shared" ref="C70:C75" si="63" ca="1">C16&amp;" EBITDA"</f>
        <v>Home Improvement Retail EBITDA</v>
      </c>
      <c r="D70" s="16"/>
      <c r="E70" s="16"/>
      <c r="F70" s="317">
        <f t="shared" ref="F70:AG70" si="64" ca="1">F52+F34</f>
        <v>1e-12</v>
      </c>
      <c r="G70" s="317">
        <f ca="1">G52+G34</f>
        <v>1e-12</v>
      </c>
      <c r="H70" s="317">
        <f ca="1">H52+H34</f>
        <v>1e-12</v>
      </c>
      <c r="I70" s="317">
        <f ca="1">I52+I34</f>
        <v>1e-12</v>
      </c>
      <c r="J70" s="495">
        <f ca="1">J52+J34</f>
        <v>1e-12</v>
      </c>
      <c r="K70" s="317">
        <f ca="1">K52+K34</f>
        <v>1e-12</v>
      </c>
      <c r="L70" s="317">
        <f ca="1">L52+L34</f>
        <v>1e-12</v>
      </c>
      <c r="M70" s="317">
        <f ca="1">M52+M34</f>
        <v>1e-12</v>
      </c>
      <c r="N70" s="317">
        <f ca="1">N52+N34</f>
        <v>1e-12</v>
      </c>
      <c r="O70" s="495">
        <f ca="1">O52+O34</f>
        <v>1e-12</v>
      </c>
      <c r="P70" s="317">
        <f ca="1">P52+P34</f>
        <v>17047</v>
      </c>
      <c r="Q70" s="317">
        <f ca="1">Q52+Q34</f>
        <v>18848</v>
      </c>
      <c r="R70" s="317">
        <f ca="1">R52+R34</f>
        <v>22081</v>
      </c>
      <c r="S70" s="317">
        <f ca="1">S52+S34</f>
        <v>24899</v>
      </c>
      <c r="T70" s="495">
        <f ca="1">T52+T34</f>
        <v>82875</v>
      </c>
      <c r="U70" s="317">
        <f ca="1">U52+U34</f>
        <v>22054</v>
      </c>
      <c r="V70" s="317">
        <f ca="1">V52+V34</f>
        <v>28363</v>
      </c>
      <c r="W70" s="317">
        <f ca="1">W52+W34</f>
        <v>3214</v>
      </c>
      <c r="X70" s="494">
        <f ca="1">X52+X34</f>
        <v>3161.5605</v>
      </c>
      <c r="Y70" s="495">
        <f ca="1">Y52+Y34</f>
        <v>12717.430499999999</v>
      </c>
      <c r="Z70" s="494">
        <f ca="1">Z52+Z34</f>
        <v>3928.6198385</v>
      </c>
      <c r="AA70" s="494">
        <f ca="1">AA52+AA34</f>
        <v>4583.5866585862495</v>
      </c>
      <c r="AB70" s="494">
        <f ca="1">AB52+AB34</f>
        <v>3435.0271126316907</v>
      </c>
      <c r="AC70" s="494">
        <f ca="1">AC52+AC34</f>
        <v>3649.335237575252</v>
      </c>
      <c r="AD70" s="495">
        <f ca="1">AD52+AD34</f>
        <v>15596.568847293192</v>
      </c>
      <c r="AE70" s="495">
        <f ca="1">AE52+AE34</f>
        <v>16340.631690771386</v>
      </c>
      <c r="AF70" s="495">
        <f ca="1">AF52+AF34</f>
        <v>16800.850281968527</v>
      </c>
      <c r="AG70" s="495">
        <f ca="1">AG52+AG34</f>
        <v>17382.419104547316</v>
      </c>
    </row>
    <row r="71" ht="14.25" customHeight="1" spans="1:33" x14ac:dyDescent="0.25">
      <c r="C71" s="139" t="str">
        <f ca="1">C17&amp;" EBITDA"</f>
        <v>Segment 2 EBITDA</v>
      </c>
      <c r="D71" s="16"/>
      <c r="E71" s="16"/>
      <c r="F71" s="317">
        <f t="shared" ref="F71:AG71" si="65" ca="1">F53+F35</f>
        <v>1e-12</v>
      </c>
      <c r="G71" s="317">
        <f ca="1">G53+G35</f>
        <v>1e-12</v>
      </c>
      <c r="H71" s="317">
        <f ca="1">H53+H35</f>
        <v>1e-12</v>
      </c>
      <c r="I71" s="317">
        <f ca="1">I53+I35</f>
        <v>1e-12</v>
      </c>
      <c r="J71" s="495">
        <f ca="1">J53+J35</f>
        <v>1e-12</v>
      </c>
      <c r="K71" s="317">
        <f ca="1">K53+K35</f>
        <v>1e-12</v>
      </c>
      <c r="L71" s="317">
        <f ca="1">L53+L35</f>
        <v>1e-12</v>
      </c>
      <c r="M71" s="317">
        <f ca="1">M53+M35</f>
        <v>1e-12</v>
      </c>
      <c r="N71" s="317">
        <f ca="1">N53+N35</f>
        <v>1e-12</v>
      </c>
      <c r="O71" s="495">
        <f ca="1">O53+O35</f>
        <v>1e-12</v>
      </c>
      <c r="P71" s="317">
        <f ca="1">P53+P35</f>
        <v>1241</v>
      </c>
      <c r="Q71" s="317">
        <f ca="1">Q53+Q35</f>
        <v>1369</v>
      </c>
      <c r="R71" s="317">
        <f ca="1">R53+R35</f>
        <v>1502</v>
      </c>
      <c r="S71" s="317">
        <f ca="1">S53+S35</f>
        <v>973</v>
      </c>
      <c r="T71" s="495">
        <f ca="1">T53+T35</f>
        <v>5085</v>
      </c>
      <c r="U71" s="317">
        <f ca="1">U53+U35</f>
        <v>1640</v>
      </c>
      <c r="V71" s="317">
        <f ca="1">V53+V35</f>
        <v>2242</v>
      </c>
      <c r="W71" s="317">
        <f ca="1">W53+W35</f>
        <v>1e-12</v>
      </c>
      <c r="X71" s="494">
        <f ca="1">X53+X35</f>
        <v>1e-12</v>
      </c>
      <c r="Y71" s="495">
        <f ca="1">Y53+Y35</f>
        <v>3882</v>
      </c>
      <c r="Z71" s="494">
        <f ca="1">Z53+Z35</f>
        <v>1e-12</v>
      </c>
      <c r="AA71" s="494">
        <f ca="1">AA53+AA35</f>
        <v>1e-12</v>
      </c>
      <c r="AB71" s="494">
        <f ca="1">AB53+AB35</f>
        <v>1e-12</v>
      </c>
      <c r="AC71" s="494">
        <f ca="1">AC53+AC35</f>
        <v>1e-12</v>
      </c>
      <c r="AD71" s="495">
        <f ca="1">AD53+AD35</f>
        <v>1e-12</v>
      </c>
      <c r="AE71" s="495">
        <f ca="1">AE53+AE35</f>
        <v>1e-12</v>
      </c>
      <c r="AF71" s="495">
        <f ca="1">AF53+AF35</f>
        <v>1e-12</v>
      </c>
      <c r="AG71" s="495">
        <f ca="1">AG53+AG35</f>
        <v>1e-12</v>
      </c>
    </row>
    <row r="72" ht="14.25" customHeight="1" spans="1:33" x14ac:dyDescent="0.25">
      <c r="C72" s="139" t="str">
        <f ca="1">C18&amp;" EBITDA"</f>
        <v>Segment 3 EBITDA</v>
      </c>
      <c r="D72" s="16"/>
      <c r="E72" s="16"/>
      <c r="F72" s="317">
        <f t="shared" ref="F72:AG72" si="66" ca="1">F54+F36</f>
        <v>1606</v>
      </c>
      <c r="G72" s="317">
        <f ca="1">G54+G36</f>
        <v>816</v>
      </c>
      <c r="H72" s="317">
        <f ca="1">H54+H36</f>
        <v>1086</v>
      </c>
      <c r="I72" s="317">
        <f ca="1">I54+I36</f>
        <v>1575</v>
      </c>
      <c r="J72" s="495">
        <f ca="1">J54+J36</f>
        <v>5083</v>
      </c>
      <c r="K72" s="317">
        <f ca="1">K54+K36</f>
        <v>2160</v>
      </c>
      <c r="L72" s="317">
        <f ca="1">L54+L36</f>
        <v>6728</v>
      </c>
      <c r="M72" s="317">
        <f ca="1">M54+M36</f>
        <v>10262</v>
      </c>
      <c r="N72" s="317">
        <f ca="1">N54+N36</f>
        <v>12866</v>
      </c>
      <c r="O72" s="495">
        <f ca="1">O54+O36</f>
        <v>32016</v>
      </c>
      <c r="P72" s="317">
        <f ca="1">P54+P36</f>
        <v>17047</v>
      </c>
      <c r="Q72" s="317">
        <f ca="1">Q54+Q36</f>
        <v>18848</v>
      </c>
      <c r="R72" s="317">
        <f ca="1">R54+R36</f>
        <v>22081</v>
      </c>
      <c r="S72" s="317">
        <f ca="1">S54+S36</f>
        <v>1e-12</v>
      </c>
      <c r="T72" s="495">
        <f ca="1">T54+T36</f>
        <v>57976</v>
      </c>
      <c r="U72" s="317">
        <f ca="1">U54+U36</f>
        <v>1e-12</v>
      </c>
      <c r="V72" s="317">
        <f ca="1">V54+V36</f>
        <v>1e-12</v>
      </c>
      <c r="W72" s="317">
        <f ca="1">W54+W36</f>
        <v>1e-12</v>
      </c>
      <c r="X72" s="494">
        <f ca="1">X54+X36</f>
        <v>1e-12</v>
      </c>
      <c r="Y72" s="495">
        <f ca="1">Y54+Y36</f>
        <v>1e-12</v>
      </c>
      <c r="Z72" s="494">
        <f ca="1">Z54+Z36</f>
        <v>1e-12</v>
      </c>
      <c r="AA72" s="494">
        <f ca="1">AA54+AA36</f>
        <v>1e-12</v>
      </c>
      <c r="AB72" s="494">
        <f ca="1">AB54+AB36</f>
        <v>1e-12</v>
      </c>
      <c r="AC72" s="494">
        <f ca="1">AC54+AC36</f>
        <v>1e-12</v>
      </c>
      <c r="AD72" s="495">
        <f ca="1">AD54+AD36</f>
        <v>1e-12</v>
      </c>
      <c r="AE72" s="495">
        <f ca="1">AE54+AE36</f>
        <v>1e-12</v>
      </c>
      <c r="AF72" s="495">
        <f ca="1">AF54+AF36</f>
        <v>1e-12</v>
      </c>
      <c r="AG72" s="495">
        <f ca="1">AG54+AG36</f>
        <v>1e-12</v>
      </c>
    </row>
    <row r="73" ht="14.25" customHeight="1" spans="1:33" x14ac:dyDescent="0.25">
      <c r="C73" s="139" t="str">
        <f ca="1">C19&amp;" EBITDA"</f>
        <v>Segment 4 EBITDA</v>
      </c>
      <c r="D73" s="16"/>
      <c r="E73" s="16"/>
      <c r="F73" s="317">
        <f t="shared" ref="F73:AG73" si="67" ca="1">F55+F37</f>
        <v>2476</v>
      </c>
      <c r="G73" s="317">
        <f ca="1">G55+G37</f>
        <v>657</v>
      </c>
      <c r="H73" s="317">
        <f ca="1">H55+H37</f>
        <v>606</v>
      </c>
      <c r="I73" s="317">
        <f ca="1">I55+I37</f>
        <v>813</v>
      </c>
      <c r="J73" s="495">
        <f ca="1">J55+J37</f>
        <v>4552</v>
      </c>
      <c r="K73" s="317">
        <f ca="1">K55+K37</f>
        <v>1046</v>
      </c>
      <c r="L73" s="317">
        <f ca="1">L55+L37</f>
        <v>1211</v>
      </c>
      <c r="M73" s="317">
        <f ca="1">M55+M37</f>
        <v>1493</v>
      </c>
      <c r="N73" s="317">
        <f ca="1">N55+N37</f>
        <v>2096</v>
      </c>
      <c r="O73" s="495">
        <f ca="1">O55+O37</f>
        <v>5846</v>
      </c>
      <c r="P73" s="317">
        <f ca="1">P55+P37</f>
        <v>1241</v>
      </c>
      <c r="Q73" s="317">
        <f ca="1">Q55+Q37</f>
        <v>1369</v>
      </c>
      <c r="R73" s="317">
        <f ca="1">R55+R37</f>
        <v>1502</v>
      </c>
      <c r="S73" s="317">
        <f ca="1">S55+S37</f>
        <v>1e-12</v>
      </c>
      <c r="T73" s="495">
        <f ca="1">T55+T37</f>
        <v>4112</v>
      </c>
      <c r="U73" s="317">
        <f ca="1">U55+U37</f>
        <v>1e-12</v>
      </c>
      <c r="V73" s="317">
        <f ca="1">V55+V37</f>
        <v>1e-12</v>
      </c>
      <c r="W73" s="317">
        <f ca="1">W55+W37</f>
        <v>1e-12</v>
      </c>
      <c r="X73" s="494">
        <f ca="1">X55+X37</f>
        <v>1e-12</v>
      </c>
      <c r="Y73" s="495">
        <f ca="1">Y55+Y37</f>
        <v>1e-12</v>
      </c>
      <c r="Z73" s="494">
        <f ca="1">Z55+Z37</f>
        <v>1e-12</v>
      </c>
      <c r="AA73" s="494">
        <f ca="1">AA55+AA37</f>
        <v>1e-12</v>
      </c>
      <c r="AB73" s="494">
        <f ca="1">AB55+AB37</f>
        <v>1e-12</v>
      </c>
      <c r="AC73" s="494">
        <f ca="1">AC55+AC37</f>
        <v>1e-12</v>
      </c>
      <c r="AD73" s="495">
        <f ca="1">AD55+AD37</f>
        <v>1e-12</v>
      </c>
      <c r="AE73" s="495">
        <f ca="1">AE55+AE37</f>
        <v>1e-12</v>
      </c>
      <c r="AF73" s="495">
        <f ca="1">AF55+AF37</f>
        <v>1e-12</v>
      </c>
      <c r="AG73" s="495">
        <f ca="1">AG55+AG37</f>
        <v>1e-12</v>
      </c>
    </row>
    <row r="74" ht="14.25" customHeight="1" spans="1:33" x14ac:dyDescent="0.25" outlineLevel="1">
      <c r="C74" s="139" t="str">
        <f ca="1">C20&amp;" EBITDA"</f>
        <v>Segment 5 EBITDA</v>
      </c>
      <c r="D74" s="16"/>
      <c r="E74" s="16"/>
      <c r="F74" s="317">
        <f t="shared" ref="F74:AG74" si="68" ca="1">F56+F38</f>
        <v>1e-12</v>
      </c>
      <c r="G74" s="317">
        <f ca="1">G56+G38</f>
        <v>1e-12</v>
      </c>
      <c r="H74" s="317">
        <f ca="1">H56+H38</f>
        <v>1e-12</v>
      </c>
      <c r="I74" s="317">
        <f ca="1">I56+I38</f>
        <v>1e-12</v>
      </c>
      <c r="J74" s="495">
        <f ca="1">J56+J38</f>
        <v>1e-12</v>
      </c>
      <c r="K74" s="317">
        <f ca="1">K56+K38</f>
        <v>1e-12</v>
      </c>
      <c r="L74" s="317">
        <f ca="1">L56+L38</f>
        <v>1e-12</v>
      </c>
      <c r="M74" s="317">
        <f ca="1">M56+M38</f>
        <v>1e-12</v>
      </c>
      <c r="N74" s="317">
        <f ca="1">N56+N38</f>
        <v>1e-12</v>
      </c>
      <c r="O74" s="495">
        <f ca="1">O56+O38</f>
        <v>1e-12</v>
      </c>
      <c r="P74" s="317">
        <f ca="1">P56+P38</f>
        <v>1e-12</v>
      </c>
      <c r="Q74" s="317">
        <f ca="1">Q56+Q38</f>
        <v>1e-12</v>
      </c>
      <c r="R74" s="317">
        <f ca="1">R56+R38</f>
        <v>1e-12</v>
      </c>
      <c r="S74" s="317">
        <f ca="1">S56+S38</f>
        <v>1e-12</v>
      </c>
      <c r="T74" s="495">
        <f ca="1">T56+T38</f>
        <v>1e-12</v>
      </c>
      <c r="U74" s="317">
        <f ca="1">U56+U38</f>
        <v>1e-12</v>
      </c>
      <c r="V74" s="317">
        <f ca="1">V56+V38</f>
        <v>1e-12</v>
      </c>
      <c r="W74" s="317">
        <f ca="1">W56+W38</f>
        <v>1e-12</v>
      </c>
      <c r="X74" s="494">
        <f ca="1">X56+X38</f>
        <v>1e-12</v>
      </c>
      <c r="Y74" s="495">
        <f ca="1">Y56+Y38</f>
        <v>1e-12</v>
      </c>
      <c r="Z74" s="494">
        <f ca="1">Z56+Z38</f>
        <v>1e-12</v>
      </c>
      <c r="AA74" s="494">
        <f ca="1">AA56+AA38</f>
        <v>1e-12</v>
      </c>
      <c r="AB74" s="494">
        <f ca="1">AB56+AB38</f>
        <v>1e-12</v>
      </c>
      <c r="AC74" s="494">
        <f ca="1">AC56+AC38</f>
        <v>1e-12</v>
      </c>
      <c r="AD74" s="495">
        <f ca="1">AD56+AD38</f>
        <v>1e-12</v>
      </c>
      <c r="AE74" s="495">
        <f ca="1">AE56+AE38</f>
        <v>1e-12</v>
      </c>
      <c r="AF74" s="495">
        <f ca="1">AF56+AF38</f>
        <v>1e-12</v>
      </c>
      <c r="AG74" s="495">
        <f ca="1">AG56+AG38</f>
        <v>1e-12</v>
      </c>
    </row>
    <row r="75" ht="14.25" customHeight="1" spans="1:33" x14ac:dyDescent="0.25" outlineLevel="1">
      <c r="C75" s="139" t="str">
        <f ca="1">C21&amp;" EBITDA"</f>
        <v>Segment 6 EBITDA</v>
      </c>
      <c r="D75" s="16"/>
      <c r="E75" s="16"/>
      <c r="F75" s="317">
        <f t="shared" ref="F75:AG75" si="69" ca="1">F57+F39</f>
        <v>1e-12</v>
      </c>
      <c r="G75" s="317">
        <f ca="1">G57+G39</f>
        <v>1e-12</v>
      </c>
      <c r="H75" s="317">
        <f ca="1">H57+H39</f>
        <v>1e-12</v>
      </c>
      <c r="I75" s="317">
        <f ca="1">I57+I39</f>
        <v>1e-12</v>
      </c>
      <c r="J75" s="495">
        <f ca="1">J57+J39</f>
        <v>1e-12</v>
      </c>
      <c r="K75" s="317">
        <f ca="1">K57+K39</f>
        <v>1e-12</v>
      </c>
      <c r="L75" s="317">
        <f ca="1">L57+L39</f>
        <v>1e-12</v>
      </c>
      <c r="M75" s="317">
        <f ca="1">M57+M39</f>
        <v>1e-12</v>
      </c>
      <c r="N75" s="317">
        <f ca="1">N57+N39</f>
        <v>1e-12</v>
      </c>
      <c r="O75" s="495">
        <f ca="1">O57+O39</f>
        <v>1e-12</v>
      </c>
      <c r="P75" s="317">
        <f ca="1">P57+P39</f>
        <v>1e-12</v>
      </c>
      <c r="Q75" s="317">
        <f ca="1">Q57+Q39</f>
        <v>1e-12</v>
      </c>
      <c r="R75" s="317">
        <f ca="1">R57+R39</f>
        <v>1e-12</v>
      </c>
      <c r="S75" s="317">
        <f ca="1">S57+S39</f>
        <v>1e-12</v>
      </c>
      <c r="T75" s="495">
        <f ca="1">T57+T39</f>
        <v>1e-12</v>
      </c>
      <c r="U75" s="317">
        <f ca="1">U57+U39</f>
        <v>1e-12</v>
      </c>
      <c r="V75" s="317">
        <f ca="1">V57+V39</f>
        <v>1e-12</v>
      </c>
      <c r="W75" s="317">
        <f ca="1">W57+W39</f>
        <v>1e-12</v>
      </c>
      <c r="X75" s="494">
        <f ca="1">X57+X39</f>
        <v>1e-12</v>
      </c>
      <c r="Y75" s="495">
        <f ca="1">Y57+Y39</f>
        <v>1e-12</v>
      </c>
      <c r="Z75" s="494">
        <f ca="1">Z57+Z39</f>
        <v>1e-12</v>
      </c>
      <c r="AA75" s="494">
        <f ca="1">AA57+AA39</f>
        <v>1e-12</v>
      </c>
      <c r="AB75" s="494">
        <f ca="1">AB57+AB39</f>
        <v>1e-12</v>
      </c>
      <c r="AC75" s="494">
        <f ca="1">AC57+AC39</f>
        <v>1e-12</v>
      </c>
      <c r="AD75" s="495">
        <f ca="1">AD57+AD39</f>
        <v>1e-12</v>
      </c>
      <c r="AE75" s="495">
        <f ca="1">AE57+AE39</f>
        <v>1e-12</v>
      </c>
      <c r="AF75" s="495">
        <f ca="1">AF57+AF39</f>
        <v>1e-12</v>
      </c>
      <c r="AG75" s="495">
        <f ca="1">AG57+AG39</f>
        <v>1e-12</v>
      </c>
    </row>
    <row r="76" ht="14.25" customHeight="1" spans="1:33" x14ac:dyDescent="0.25">
      <c r="C76" s="16"/>
      <c r="D76" s="16"/>
      <c r="E76" s="16"/>
      <c r="F76" s="319"/>
      <c r="G76" s="319"/>
      <c r="H76" s="319"/>
      <c r="I76" s="319"/>
      <c r="J76" s="168"/>
      <c r="K76" s="319"/>
      <c r="L76" s="319"/>
      <c r="M76" s="319"/>
      <c r="N76" s="319"/>
      <c r="O76" s="168"/>
      <c r="P76" s="319"/>
      <c r="Q76" s="319"/>
      <c r="R76" s="319"/>
      <c r="S76" s="474"/>
      <c r="T76" s="378"/>
      <c r="U76" s="474"/>
      <c r="V76" s="377"/>
      <c r="W76" s="319"/>
      <c r="X76" s="322"/>
      <c r="Y76" s="168"/>
      <c r="Z76" s="475"/>
      <c r="AA76" s="475"/>
      <c r="AB76" s="475"/>
      <c r="AC76" s="379"/>
      <c r="AD76" s="378"/>
      <c r="AE76" s="378"/>
      <c r="AF76" s="378"/>
      <c r="AG76" s="378"/>
    </row>
    <row r="77" ht="14.25" customHeight="1" spans="1:33" x14ac:dyDescent="0.25">
      <c r="C77" s="16" t="s">
        <v>469</v>
      </c>
      <c r="D77" s="16"/>
      <c r="E77" s="16"/>
      <c r="F77" s="474"/>
      <c r="G77" s="474"/>
      <c r="H77" s="474"/>
      <c r="I77" s="474"/>
      <c r="J77" s="168"/>
      <c r="K77" s="474"/>
      <c r="L77" s="474"/>
      <c r="M77" s="474"/>
      <c r="N77" s="474"/>
      <c r="O77" s="168"/>
      <c r="P77" s="474"/>
      <c r="Q77" s="474"/>
      <c r="R77" s="474"/>
      <c r="S77" s="377"/>
      <c r="T77" s="378"/>
      <c r="U77" s="377"/>
      <c r="V77" s="377"/>
      <c r="W77" s="474"/>
      <c r="X77" s="475"/>
      <c r="Y77" s="168"/>
      <c r="Z77" s="379"/>
      <c r="AA77" s="379"/>
      <c r="AB77" s="379"/>
      <c r="AC77" s="379"/>
      <c r="AD77" s="378"/>
      <c r="AE77" s="378"/>
      <c r="AF77" s="378"/>
      <c r="AG77" s="378"/>
    </row>
    <row r="78" ht="14.25" customHeight="1" spans="1:33" x14ac:dyDescent="0.25">
      <c r="C78" s="139" t="str">
        <f t="shared" ref="C78:C83" si="70" ca="1">C16</f>
        <v>Home Improvement Retail</v>
      </c>
      <c r="D78" s="16"/>
      <c r="E78" s="16"/>
      <c r="F78" s="377">
        <f t="shared" ref="F78:AG78" si="71" ca="1">IFERROR(F70/F$69,"N/A")</f>
        <v>1</v>
      </c>
      <c r="G78" s="377">
        <f ca="1">IFERROR(G70/G$69,"N/A")</f>
        <v>1</v>
      </c>
      <c r="H78" s="377">
        <f ca="1">IFERROR(H70/H$69,"N/A")</f>
        <v>1</v>
      </c>
      <c r="I78" s="377">
        <f ca="1">IFERROR(I70/I$69,"N/A")</f>
        <v>1</v>
      </c>
      <c r="J78" s="378">
        <f ca="1">IFERROR(J70/J$69,"N/A")</f>
        <v>1</v>
      </c>
      <c r="K78" s="377">
        <f ca="1">IFERROR(K70/K$69,"N/A")</f>
        <v>1</v>
      </c>
      <c r="L78" s="377">
        <f ca="1">IFERROR(L70/L$69,"N/A")</f>
        <v>1</v>
      </c>
      <c r="M78" s="377">
        <f ca="1">IFERROR(M70/M$69,"N/A")</f>
        <v>1</v>
      </c>
      <c r="N78" s="377">
        <f ca="1">IFERROR(N70/N$69,"N/A")</f>
        <v>1</v>
      </c>
      <c r="O78" s="378">
        <f ca="1">IFERROR(O70/O$69,"N/A")</f>
        <v>1</v>
      </c>
      <c r="P78" s="377">
        <f ca="1">IFERROR(P70/P$69,"N/A")</f>
        <v>1</v>
      </c>
      <c r="Q78" s="377">
        <f ca="1">IFERROR(Q70/Q$69,"N/A")</f>
        <v>1</v>
      </c>
      <c r="R78" s="377">
        <f ca="1">IFERROR(R70/R$69,"N/A")</f>
        <v>1</v>
      </c>
      <c r="S78" s="377">
        <f ca="1">IFERROR(S70/S$69,"N/A")</f>
        <v>1</v>
      </c>
      <c r="T78" s="378">
        <f ca="1">IFERROR(T70/T$69,"N/A")</f>
        <v>1</v>
      </c>
      <c r="U78" s="377">
        <f ca="1">IFERROR(U70/U$69,"N/A")</f>
        <v>1</v>
      </c>
      <c r="V78" s="377">
        <f ca="1">IFERROR(V70/V$69,"N/A")</f>
        <v>1</v>
      </c>
      <c r="W78" s="377">
        <f ca="1">IFERROR(W70/W$69,"N/A")</f>
        <v>1</v>
      </c>
      <c r="X78" s="379">
        <f ca="1">IFERROR(X70/X$69,"N/A")</f>
        <v>1</v>
      </c>
      <c r="Y78" s="378">
        <f ca="1">IFERROR(Y70/Y$69,"N/A")</f>
        <v>1</v>
      </c>
      <c r="Z78" s="379">
        <f ca="1">IFERROR(Z70/Z$69,"N/A")</f>
        <v>1</v>
      </c>
      <c r="AA78" s="379">
        <f ca="1">IFERROR(AA70/AA$69,"N/A")</f>
        <v>1</v>
      </c>
      <c r="AB78" s="379">
        <f ca="1">IFERROR(AB70/AB$69,"N/A")</f>
        <v>1</v>
      </c>
      <c r="AC78" s="379">
        <f ca="1">IFERROR(AC70/AC$69,"N/A")</f>
        <v>1</v>
      </c>
      <c r="AD78" s="378">
        <f ca="1">IFERROR(AD70/AD$69,"N/A")</f>
        <v>1</v>
      </c>
      <c r="AE78" s="378">
        <f ca="1">IFERROR(AE70/AE$69,"N/A")</f>
        <v>1</v>
      </c>
      <c r="AF78" s="378">
        <f ca="1">IFERROR(AF70/AF$69,"N/A")</f>
        <v>1</v>
      </c>
      <c r="AG78" s="378">
        <f ca="1">IFERROR(AG70/AG$69,"N/A")</f>
        <v>1</v>
      </c>
    </row>
    <row r="79" ht="14.25" customHeight="1" spans="1:33" x14ac:dyDescent="0.25">
      <c r="C79" s="139" t="str">
        <f ca="1">C17</f>
        <v>Segment 2</v>
      </c>
      <c r="D79" s="16"/>
      <c r="E79" s="16"/>
      <c r="F79" s="377">
        <f t="shared" ref="F79:AG79" si="72" ca="1">IFERROR(F71/F$69,"N/A")</f>
        <v>0</v>
      </c>
      <c r="G79" s="377">
        <f ca="1">IFERROR(G71/G$69,"N/A")</f>
      </c>
      <c r="H79" s="377">
        <f ca="1">IFERROR(H71/H$69,"N/A")</f>
      </c>
      <c r="I79" s="377">
        <f ca="1">IFERROR(I71/I$69,"N/A")</f>
      </c>
      <c r="J79" s="378">
        <f ca="1">IFERROR(J71/J$69,"N/A")</f>
      </c>
      <c r="K79" s="377">
        <f ca="1">IFERROR(K71/K$69,"N/A")</f>
      </c>
      <c r="L79" s="377">
        <f ca="1">IFERROR(L71/L$69,"N/A")</f>
      </c>
      <c r="M79" s="377">
        <f ca="1">IFERROR(M71/M$69,"N/A")</f>
      </c>
      <c r="N79" s="377">
        <f ca="1">IFERROR(N71/N$69,"N/A")</f>
      </c>
      <c r="O79" s="378">
        <f ca="1">IFERROR(O71/O$69,"N/A")</f>
      </c>
      <c r="P79" s="377">
        <f ca="1">IFERROR(P71/P$69,"N/A")</f>
      </c>
      <c r="Q79" s="377">
        <f ca="1">IFERROR(Q71/Q$69,"N/A")</f>
      </c>
      <c r="R79" s="377">
        <f ca="1">IFERROR(R71/R$69,"N/A")</f>
      </c>
      <c r="S79" s="377">
        <f ca="1">IFERROR(S71/S$69,"N/A")</f>
      </c>
      <c r="T79" s="378">
        <f ca="1">IFERROR(T71/T$69,"N/A")</f>
      </c>
      <c r="U79" s="377">
        <f ca="1">IFERROR(U71/U$69,"N/A")</f>
      </c>
      <c r="V79" s="377">
        <f ca="1">IFERROR(V71/V$69,"N/A")</f>
      </c>
      <c r="W79" s="377">
        <f ca="1">IFERROR(W71/W$69,"N/A")</f>
      </c>
      <c r="X79" s="379">
        <f ca="1">IFERROR(X71/X$69,"N/A")</f>
      </c>
      <c r="Y79" s="378">
        <f ca="1">IFERROR(Y71/Y$69,"N/A")</f>
      </c>
      <c r="Z79" s="379">
        <f ca="1">IFERROR(Z71/Z$69,"N/A")</f>
      </c>
      <c r="AA79" s="379">
        <f ca="1">IFERROR(AA71/AA$69,"N/A")</f>
      </c>
      <c r="AB79" s="379">
        <f ca="1">IFERROR(AB71/AB$69,"N/A")</f>
      </c>
      <c r="AC79" s="379">
        <f ca="1">IFERROR(AC71/AC$69,"N/A")</f>
      </c>
      <c r="AD79" s="378">
        <f ca="1">IFERROR(AD71/AD$69,"N/A")</f>
      </c>
      <c r="AE79" s="378">
        <f ca="1">IFERROR(AE71/AE$69,"N/A")</f>
      </c>
      <c r="AF79" s="378">
        <f ca="1">IFERROR(AF71/AF$69,"N/A")</f>
      </c>
      <c r="AG79" s="378">
        <f ca="1">IFERROR(AG71/AG$69,"N/A")</f>
      </c>
    </row>
    <row r="80" ht="14.25" customHeight="1" spans="1:33" x14ac:dyDescent="0.25">
      <c r="C80" s="139" t="str">
        <f ca="1">C18</f>
        <v>Segment 3</v>
      </c>
      <c r="D80" s="16"/>
      <c r="E80" s="16"/>
      <c r="F80" s="377">
        <f t="shared" ref="F80:AG80" si="73" ca="1">IFERROR(F72/F$69,"N/A")</f>
        <v>0</v>
      </c>
      <c r="G80" s="377">
        <f ca="1">IFERROR(G72/G$69,"N/A")</f>
      </c>
      <c r="H80" s="377">
        <f ca="1">IFERROR(H72/H$69,"N/A")</f>
      </c>
      <c r="I80" s="377">
        <f ca="1">IFERROR(I72/I$69,"N/A")</f>
      </c>
      <c r="J80" s="378">
        <f ca="1">IFERROR(J72/J$69,"N/A")</f>
      </c>
      <c r="K80" s="377">
        <f ca="1">IFERROR(K72/K$69,"N/A")</f>
      </c>
      <c r="L80" s="377">
        <f ca="1">IFERROR(L72/L$69,"N/A")</f>
      </c>
      <c r="M80" s="377">
        <f ca="1">IFERROR(M72/M$69,"N/A")</f>
      </c>
      <c r="N80" s="377">
        <f ca="1">IFERROR(N72/N$69,"N/A")</f>
      </c>
      <c r="O80" s="378">
        <f ca="1">IFERROR(O72/O$69,"N/A")</f>
      </c>
      <c r="P80" s="377">
        <f ca="1">IFERROR(P72/P$69,"N/A")</f>
      </c>
      <c r="Q80" s="377">
        <f ca="1">IFERROR(Q72/Q$69,"N/A")</f>
      </c>
      <c r="R80" s="377">
        <f ca="1">IFERROR(R72/R$69,"N/A")</f>
      </c>
      <c r="S80" s="377">
        <f ca="1">IFERROR(S72/S$69,"N/A")</f>
      </c>
      <c r="T80" s="378">
        <f ca="1">IFERROR(T72/T$69,"N/A")</f>
      </c>
      <c r="U80" s="377">
        <f ca="1">IFERROR(U72/U$69,"N/A")</f>
      </c>
      <c r="V80" s="377">
        <f ca="1">IFERROR(V72/V$69,"N/A")</f>
      </c>
      <c r="W80" s="377">
        <f ca="1">IFERROR(W72/W$69,"N/A")</f>
      </c>
      <c r="X80" s="379">
        <f ca="1">IFERROR(X72/X$69,"N/A")</f>
      </c>
      <c r="Y80" s="378">
        <f ca="1">IFERROR(Y72/Y$69,"N/A")</f>
      </c>
      <c r="Z80" s="379">
        <f ca="1">IFERROR(Z72/Z$69,"N/A")</f>
      </c>
      <c r="AA80" s="379">
        <f ca="1">IFERROR(AA72/AA$69,"N/A")</f>
      </c>
      <c r="AB80" s="379">
        <f ca="1">IFERROR(AB72/AB$69,"N/A")</f>
      </c>
      <c r="AC80" s="379">
        <f ca="1">IFERROR(AC72/AC$69,"N/A")</f>
      </c>
      <c r="AD80" s="378">
        <f ca="1">IFERROR(AD72/AD$69,"N/A")</f>
      </c>
      <c r="AE80" s="378">
        <f ca="1">IFERROR(AE72/AE$69,"N/A")</f>
      </c>
      <c r="AF80" s="378">
        <f ca="1">IFERROR(AF72/AF$69,"N/A")</f>
      </c>
      <c r="AG80" s="378">
        <f ca="1">IFERROR(AG72/AG$69,"N/A")</f>
      </c>
    </row>
    <row r="81" ht="14.25" customHeight="1" spans="1:33" x14ac:dyDescent="0.25">
      <c r="C81" s="139" t="str">
        <f ca="1">C19</f>
        <v>Segment 4</v>
      </c>
      <c r="D81" s="16"/>
      <c r="E81" s="16"/>
      <c r="F81" s="377">
        <f t="shared" ref="F81:AG81" si="74" ca="1">IFERROR(F73/F$69,"N/A")</f>
        <v>0</v>
      </c>
      <c r="G81" s="377">
        <f ca="1">IFERROR(G73/G$69,"N/A")</f>
      </c>
      <c r="H81" s="377">
        <f ca="1">IFERROR(H73/H$69,"N/A")</f>
      </c>
      <c r="I81" s="377">
        <f ca="1">IFERROR(I73/I$69,"N/A")</f>
      </c>
      <c r="J81" s="378">
        <f ca="1">IFERROR(J73/J$69,"N/A")</f>
      </c>
      <c r="K81" s="377">
        <f ca="1">IFERROR(K73/K$69,"N/A")</f>
      </c>
      <c r="L81" s="377">
        <f ca="1">IFERROR(L73/L$69,"N/A")</f>
      </c>
      <c r="M81" s="377">
        <f ca="1">IFERROR(M73/M$69,"N/A")</f>
      </c>
      <c r="N81" s="377">
        <f ca="1">IFERROR(N73/N$69,"N/A")</f>
      </c>
      <c r="O81" s="378">
        <f ca="1">IFERROR(O73/O$69,"N/A")</f>
      </c>
      <c r="P81" s="377">
        <f ca="1">IFERROR(P73/P$69,"N/A")</f>
      </c>
      <c r="Q81" s="377">
        <f ca="1">IFERROR(Q73/Q$69,"N/A")</f>
      </c>
      <c r="R81" s="377">
        <f ca="1">IFERROR(R73/R$69,"N/A")</f>
      </c>
      <c r="S81" s="377">
        <f ca="1">IFERROR(S73/S$69,"N/A")</f>
      </c>
      <c r="T81" s="378">
        <f ca="1">IFERROR(T73/T$69,"N/A")</f>
      </c>
      <c r="U81" s="377">
        <f ca="1">IFERROR(U73/U$69,"N/A")</f>
      </c>
      <c r="V81" s="377">
        <f ca="1">IFERROR(V73/V$69,"N/A")</f>
      </c>
      <c r="W81" s="377">
        <f ca="1">IFERROR(W73/W$69,"N/A")</f>
      </c>
      <c r="X81" s="379">
        <f ca="1">IFERROR(X73/X$69,"N/A")</f>
      </c>
      <c r="Y81" s="378">
        <f ca="1">IFERROR(Y73/Y$69,"N/A")</f>
      </c>
      <c r="Z81" s="379">
        <f ca="1">IFERROR(Z73/Z$69,"N/A")</f>
      </c>
      <c r="AA81" s="379">
        <f ca="1">IFERROR(AA73/AA$69,"N/A")</f>
      </c>
      <c r="AB81" s="379">
        <f ca="1">IFERROR(AB73/AB$69,"N/A")</f>
      </c>
      <c r="AC81" s="379">
        <f ca="1">IFERROR(AC73/AC$69,"N/A")</f>
      </c>
      <c r="AD81" s="378">
        <f ca="1">IFERROR(AD73/AD$69,"N/A")</f>
      </c>
      <c r="AE81" s="378">
        <f ca="1">IFERROR(AE73/AE$69,"N/A")</f>
      </c>
      <c r="AF81" s="378">
        <f ca="1">IFERROR(AF73/AF$69,"N/A")</f>
      </c>
      <c r="AG81" s="378">
        <f ca="1">IFERROR(AG73/AG$69,"N/A")</f>
      </c>
    </row>
    <row r="82" ht="14.25" customHeight="1" spans="1:33" x14ac:dyDescent="0.25" outlineLevel="1">
      <c r="C82" s="139" t="str">
        <f ca="1">C20</f>
        <v>Segment 5</v>
      </c>
      <c r="D82" s="16"/>
      <c r="E82" s="16"/>
      <c r="F82" s="377">
        <f t="shared" ref="F82:AG82" si="75" ca="1">IFERROR(F74/F$69,"N/A")</f>
        <v>0</v>
      </c>
      <c r="G82" s="377">
        <f ca="1">IFERROR(G74/G$69,"N/A")</f>
      </c>
      <c r="H82" s="377">
        <f ca="1">IFERROR(H74/H$69,"N/A")</f>
      </c>
      <c r="I82" s="377">
        <f ca="1">IFERROR(I74/I$69,"N/A")</f>
      </c>
      <c r="J82" s="378">
        <f ca="1">IFERROR(J74/J$69,"N/A")</f>
      </c>
      <c r="K82" s="377">
        <f ca="1">IFERROR(K74/K$69,"N/A")</f>
      </c>
      <c r="L82" s="377">
        <f ca="1">IFERROR(L74/L$69,"N/A")</f>
      </c>
      <c r="M82" s="377">
        <f ca="1">IFERROR(M74/M$69,"N/A")</f>
      </c>
      <c r="N82" s="377">
        <f ca="1">IFERROR(N74/N$69,"N/A")</f>
      </c>
      <c r="O82" s="378">
        <f ca="1">IFERROR(O74/O$69,"N/A")</f>
      </c>
      <c r="P82" s="377">
        <f ca="1">IFERROR(P74/P$69,"N/A")</f>
      </c>
      <c r="Q82" s="377">
        <f ca="1">IFERROR(Q74/Q$69,"N/A")</f>
      </c>
      <c r="R82" s="377">
        <f ca="1">IFERROR(R74/R$69,"N/A")</f>
      </c>
      <c r="S82" s="377">
        <f ca="1">IFERROR(S74/S$69,"N/A")</f>
      </c>
      <c r="T82" s="378">
        <f ca="1">IFERROR(T74/T$69,"N/A")</f>
      </c>
      <c r="U82" s="377">
        <f ca="1">IFERROR(U74/U$69,"N/A")</f>
      </c>
      <c r="V82" s="377">
        <f ca="1">IFERROR(V74/V$69,"N/A")</f>
      </c>
      <c r="W82" s="377">
        <f ca="1">IFERROR(W74/W$69,"N/A")</f>
      </c>
      <c r="X82" s="379">
        <f ca="1">IFERROR(X74/X$69,"N/A")</f>
      </c>
      <c r="Y82" s="378">
        <f ca="1">IFERROR(Y74/Y$69,"N/A")</f>
      </c>
      <c r="Z82" s="379">
        <f ca="1">IFERROR(Z74/Z$69,"N/A")</f>
      </c>
      <c r="AA82" s="379">
        <f ca="1">IFERROR(AA74/AA$69,"N/A")</f>
      </c>
      <c r="AB82" s="379">
        <f ca="1">IFERROR(AB74/AB$69,"N/A")</f>
      </c>
      <c r="AC82" s="379">
        <f ca="1">IFERROR(AC74/AC$69,"N/A")</f>
      </c>
      <c r="AD82" s="378">
        <f ca="1">IFERROR(AD74/AD$69,"N/A")</f>
      </c>
      <c r="AE82" s="378">
        <f ca="1">IFERROR(AE74/AE$69,"N/A")</f>
      </c>
      <c r="AF82" s="378">
        <f ca="1">IFERROR(AF74/AF$69,"N/A")</f>
      </c>
      <c r="AG82" s="378">
        <f ca="1">IFERROR(AG74/AG$69,"N/A")</f>
      </c>
    </row>
    <row r="83" ht="14.25" customHeight="1" spans="1:33" x14ac:dyDescent="0.25" outlineLevel="1">
      <c r="C83" s="139" t="str">
        <f ca="1">C21</f>
        <v>Segment 6</v>
      </c>
      <c r="D83" s="16"/>
      <c r="E83" s="16"/>
      <c r="F83" s="377">
        <f t="shared" ref="F83:AG83" si="76" ca="1">IFERROR(F75/F$69,"N/A")</f>
        <v>0</v>
      </c>
      <c r="G83" s="377">
        <f ca="1">IFERROR(G75/G$69,"N/A")</f>
      </c>
      <c r="H83" s="377">
        <f ca="1">IFERROR(H75/H$69,"N/A")</f>
      </c>
      <c r="I83" s="377">
        <f ca="1">IFERROR(I75/I$69,"N/A")</f>
      </c>
      <c r="J83" s="378">
        <f ca="1">IFERROR(J75/J$69,"N/A")</f>
      </c>
      <c r="K83" s="377">
        <f ca="1">IFERROR(K75/K$69,"N/A")</f>
      </c>
      <c r="L83" s="377">
        <f ca="1">IFERROR(L75/L$69,"N/A")</f>
      </c>
      <c r="M83" s="377">
        <f ca="1">IFERROR(M75/M$69,"N/A")</f>
      </c>
      <c r="N83" s="377">
        <f ca="1">IFERROR(N75/N$69,"N/A")</f>
      </c>
      <c r="O83" s="378">
        <f ca="1">IFERROR(O75/O$69,"N/A")</f>
      </c>
      <c r="P83" s="377">
        <f ca="1">IFERROR(P75/P$69,"N/A")</f>
      </c>
      <c r="Q83" s="377">
        <f ca="1">IFERROR(Q75/Q$69,"N/A")</f>
      </c>
      <c r="R83" s="377">
        <f ca="1">IFERROR(R75/R$69,"N/A")</f>
      </c>
      <c r="S83" s="377">
        <f ca="1">IFERROR(S75/S$69,"N/A")</f>
      </c>
      <c r="T83" s="378">
        <f ca="1">IFERROR(T75/T$69,"N/A")</f>
      </c>
      <c r="U83" s="377">
        <f ca="1">IFERROR(U75/U$69,"N/A")</f>
      </c>
      <c r="V83" s="377">
        <f ca="1">IFERROR(V75/V$69,"N/A")</f>
      </c>
      <c r="W83" s="377">
        <f ca="1">IFERROR(W75/W$69,"N/A")</f>
      </c>
      <c r="X83" s="379">
        <f ca="1">IFERROR(X75/X$69,"N/A")</f>
      </c>
      <c r="Y83" s="378">
        <f ca="1">IFERROR(Y75/Y$69,"N/A")</f>
      </c>
      <c r="Z83" s="379">
        <f ca="1">IFERROR(Z75/Z$69,"N/A")</f>
      </c>
      <c r="AA83" s="379">
        <f ca="1">IFERROR(AA75/AA$69,"N/A")</f>
      </c>
      <c r="AB83" s="379">
        <f ca="1">IFERROR(AB75/AB$69,"N/A")</f>
      </c>
      <c r="AC83" s="379">
        <f ca="1">IFERROR(AC75/AC$69,"N/A")</f>
      </c>
      <c r="AD83" s="378">
        <f ca="1">IFERROR(AD75/AD$69,"N/A")</f>
      </c>
      <c r="AE83" s="378">
        <f ca="1">IFERROR(AE75/AE$69,"N/A")</f>
      </c>
      <c r="AF83" s="378">
        <f ca="1">IFERROR(AF75/AF$69,"N/A")</f>
      </c>
      <c r="AG83" s="378">
        <f ca="1">IFERROR(AG75/AG$69,"N/A")</f>
      </c>
    </row>
    <row r="84" ht="14.25" customHeight="1" spans="1:33" x14ac:dyDescent="0.25">
      <c r="C84" s="139"/>
      <c r="D84" s="16"/>
      <c r="E84" s="16"/>
      <c r="F84" s="377"/>
      <c r="G84" s="377"/>
      <c r="H84" s="377"/>
      <c r="I84" s="377"/>
      <c r="J84" s="378"/>
      <c r="K84" s="377"/>
      <c r="L84" s="377"/>
      <c r="M84" s="377"/>
      <c r="N84" s="377"/>
      <c r="O84" s="378"/>
      <c r="P84" s="377"/>
      <c r="Q84" s="377"/>
      <c r="R84" s="377"/>
      <c r="S84" s="377"/>
      <c r="T84" s="378"/>
      <c r="U84" s="377"/>
      <c r="V84" s="377"/>
      <c r="W84" s="377"/>
      <c r="X84" s="379"/>
      <c r="Y84" s="378"/>
      <c r="Z84" s="379"/>
      <c r="AA84" s="379"/>
      <c r="AB84" s="379"/>
      <c r="AC84" s="379"/>
      <c r="AD84" s="378"/>
      <c r="AE84" s="378"/>
      <c r="AF84" s="378"/>
      <c r="AG84" s="378"/>
    </row>
    <row r="85" ht="14.25" customHeight="1" spans="1:33" x14ac:dyDescent="0.25">
      <c r="C85" s="16"/>
      <c r="D85" s="16"/>
      <c r="E85" s="16"/>
      <c r="F85" s="319"/>
      <c r="G85" s="319"/>
      <c r="H85" s="319"/>
      <c r="I85" s="319"/>
      <c r="J85" s="168"/>
      <c r="K85" s="319"/>
      <c r="L85" s="319"/>
      <c r="M85" s="319"/>
      <c r="N85" s="319"/>
      <c r="O85" s="168"/>
      <c r="P85" s="319"/>
      <c r="Q85" s="319"/>
      <c r="R85" s="319"/>
      <c r="S85" s="319"/>
      <c r="T85" s="168"/>
      <c r="U85" s="319"/>
      <c r="V85" s="319"/>
      <c r="W85" s="319"/>
      <c r="X85" s="322"/>
      <c r="Y85" s="168"/>
      <c r="Z85" s="322"/>
      <c r="AA85" s="322"/>
      <c r="AB85" s="322"/>
      <c r="AC85" s="322"/>
      <c r="AD85" s="168"/>
      <c r="AE85" s="168"/>
      <c r="AF85" s="168"/>
      <c r="AG85" s="168"/>
    </row>
    <row r="86" ht="14.25" customHeight="1" spans="1:33" x14ac:dyDescent="0.25">
      <c r="C86" s="43" t="s">
        <v>470</v>
      </c>
      <c r="D86" s="44"/>
      <c r="E86" s="44"/>
      <c r="F86" s="496"/>
      <c r="G86" s="496"/>
      <c r="H86" s="496"/>
      <c r="I86" s="496"/>
      <c r="J86" s="496"/>
      <c r="K86" s="496"/>
      <c r="L86" s="496"/>
      <c r="M86" s="496"/>
      <c r="N86" s="496"/>
      <c r="O86" s="496"/>
      <c r="P86" s="496"/>
      <c r="Q86" s="496"/>
      <c r="R86" s="496"/>
      <c r="S86" s="496"/>
      <c r="T86" s="496"/>
      <c r="U86" s="496"/>
      <c r="V86" s="496"/>
      <c r="W86" s="496"/>
      <c r="X86" s="496"/>
      <c r="Y86" s="496"/>
      <c r="Z86" s="496"/>
      <c r="AA86" s="496"/>
      <c r="AB86" s="496"/>
      <c r="AC86" s="496"/>
      <c r="AD86" s="496"/>
      <c r="AE86" s="496"/>
      <c r="AF86" s="496"/>
      <c r="AG86" s="497"/>
    </row>
    <row r="87" ht="14.25" customHeight="1" spans="1:33" x14ac:dyDescent="0.25">
      <c r="C87" s="16"/>
      <c r="D87" s="16"/>
      <c r="E87" s="16"/>
      <c r="F87" s="319"/>
      <c r="G87" s="319"/>
      <c r="H87" s="319"/>
      <c r="I87" s="319"/>
      <c r="J87" s="168"/>
      <c r="K87" s="319"/>
      <c r="L87" s="319"/>
      <c r="M87" s="319"/>
      <c r="N87" s="319"/>
      <c r="O87" s="168"/>
      <c r="P87" s="319"/>
      <c r="Q87" s="319"/>
      <c r="R87" s="319"/>
      <c r="S87" s="319"/>
      <c r="T87" s="168"/>
      <c r="U87" s="319"/>
      <c r="V87" s="319"/>
      <c r="W87" s="319"/>
      <c r="X87" s="322"/>
      <c r="Y87" s="168"/>
      <c r="Z87" s="322"/>
      <c r="AA87" s="322"/>
      <c r="AB87" s="322"/>
      <c r="AC87" s="322"/>
      <c r="AD87" s="168"/>
      <c r="AE87" s="168"/>
      <c r="AF87" s="168"/>
      <c r="AG87" s="168"/>
    </row>
    <row r="88" ht="14.25" customHeight="1" hidden="1" spans="1:33" x14ac:dyDescent="0.25" outlineLevel="1">
      <c r="C88" s="16" t="s">
        <v>247</v>
      </c>
      <c r="D88" s="16"/>
      <c r="E88" s="16"/>
      <c r="F88" s="498">
        <f t="shared" ref="F88:I88" si="77" ca="1">SUM(F89:F93)</f>
        <v>1e-12</v>
      </c>
      <c r="G88" s="498">
        <f ca="1">SUM(G89:G93)</f>
        <v>1e-12</v>
      </c>
      <c r="H88" s="498">
        <f ca="1">SUM(H89:H93)</f>
        <v>1e-12</v>
      </c>
      <c r="I88" s="498">
        <f ca="1">SUM(I89:I93)</f>
        <v>1e-12</v>
      </c>
      <c r="J88" s="287">
        <f t="shared" ref="J88:J93" si="78" ca="1">SUM(F88:I88)</f>
        <v>1e-12</v>
      </c>
      <c r="K88" s="498">
        <f t="shared" ref="K88:N88" si="79" ca="1">SUM(K89:K93)</f>
        <v>1e-12</v>
      </c>
      <c r="L88" s="498">
        <f ca="1">SUM(L89:L93)</f>
        <v>1e-12</v>
      </c>
      <c r="M88" s="498">
        <f ca="1">SUM(M89:M93)</f>
        <v>1e-12</v>
      </c>
      <c r="N88" s="498">
        <f ca="1">SUM(N89:N93)</f>
        <v>1e-12</v>
      </c>
      <c r="O88" s="287">
        <f t="shared" ref="O88:O93" si="80" ca="1">SUM(K88:N88)</f>
        <v>1e-12</v>
      </c>
      <c r="P88" s="498">
        <f t="shared" ref="P88:S88" si="81" ca="1">SUM(P89:P93)</f>
        <v>1e-12</v>
      </c>
      <c r="Q88" s="498">
        <f ca="1">SUM(Q89:Q93)</f>
        <v>1e-12</v>
      </c>
      <c r="R88" s="498">
        <f ca="1">SUM(R89:R93)</f>
        <v>1e-12</v>
      </c>
      <c r="S88" s="498">
        <f ca="1">SUM(S89:S93)</f>
        <v>1e-12</v>
      </c>
      <c r="T88" s="287">
        <f t="shared" ref="T88:T93" si="82" ca="1">SUM(P88:S88)</f>
        <v>1e-12</v>
      </c>
      <c r="U88" s="498">
        <f t="shared" ref="U88:X88" si="83" ca="1">SUM(U89:U93)</f>
        <v>1e-12</v>
      </c>
      <c r="V88" s="498">
        <f ca="1">SUM(V89:V93)</f>
        <v>1e-12</v>
      </c>
      <c r="W88" s="498">
        <f ca="1">SUM(W89:W93)</f>
        <v>1e-12</v>
      </c>
      <c r="X88" s="499">
        <f ca="1">SUM(X89:X93)</f>
        <v>1e-12</v>
      </c>
      <c r="Y88" s="287">
        <f t="shared" ref="Y88:Y93" si="84" ca="1">SUM(U88:X88)</f>
        <v>1e-12</v>
      </c>
      <c r="Z88" s="499">
        <f t="shared" ref="Z88:AC88" si="85" ca="1">SUM(Z89:Z93)</f>
        <v>1e-12</v>
      </c>
      <c r="AA88" s="499">
        <f ca="1">SUM(AA89:AA93)</f>
        <v>1e-12</v>
      </c>
      <c r="AB88" s="499">
        <f ca="1">SUM(AB89:AB93)</f>
        <v>1e-12</v>
      </c>
      <c r="AC88" s="499">
        <f ca="1">SUM(AC89:AC93)</f>
        <v>1e-12</v>
      </c>
      <c r="AD88" s="287">
        <f t="shared" ref="AD88:AD93" si="86" ca="1">SUM(Z88:AC88)</f>
        <v>1e-12</v>
      </c>
      <c r="AE88" s="500">
        <f t="shared" ref="AE88:AG88" si="87" ca="1">SUM(AE89:AE93)</f>
        <v>1e-12</v>
      </c>
      <c r="AF88" s="500">
        <f ca="1">SUM(AF89:AF93)</f>
        <v>1e-12</v>
      </c>
      <c r="AG88" s="500">
        <f ca="1">SUM(AG89:AG93)</f>
        <v>1e-12</v>
      </c>
    </row>
    <row r="89" ht="14.25" customHeight="1" hidden="1" spans="1:33" x14ac:dyDescent="0.25" outlineLevel="1">
      <c r="C89" s="476" t="s">
        <v>471</v>
      </c>
      <c r="D89" s="16"/>
      <c r="E89" s="16"/>
      <c r="F89" s="469">
        <v>0</v>
      </c>
      <c r="G89" s="469">
        <v>0</v>
      </c>
      <c r="H89" s="469">
        <v>0</v>
      </c>
      <c r="I89" s="469">
        <v>0</v>
      </c>
      <c r="J89" s="470">
        <f ca="1">SUM(F89:I89)</f>
        <v>1e-12</v>
      </c>
      <c r="K89" s="469">
        <v>0</v>
      </c>
      <c r="L89" s="469">
        <v>0</v>
      </c>
      <c r="M89" s="469">
        <v>0</v>
      </c>
      <c r="N89" s="469">
        <v>0</v>
      </c>
      <c r="O89" s="470">
        <f ca="1">SUM(K89:N89)</f>
        <v>1e-12</v>
      </c>
      <c r="P89" s="469">
        <v>0</v>
      </c>
      <c r="Q89" s="469">
        <v>0</v>
      </c>
      <c r="R89" s="469">
        <v>0</v>
      </c>
      <c r="S89" s="469">
        <v>0</v>
      </c>
      <c r="T89" s="470">
        <f ca="1">SUM(P89:S89)</f>
        <v>1e-12</v>
      </c>
      <c r="U89" s="469">
        <v>0</v>
      </c>
      <c r="V89" s="469">
        <v>0</v>
      </c>
      <c r="W89" s="469">
        <v>0</v>
      </c>
      <c r="X89" s="477">
        <v>0</v>
      </c>
      <c r="Y89" s="470">
        <f ca="1">SUM(U89:X89)</f>
        <v>1e-12</v>
      </c>
      <c r="Z89" s="477">
        <v>0</v>
      </c>
      <c r="AA89" s="477">
        <v>0</v>
      </c>
      <c r="AB89" s="477">
        <v>0</v>
      </c>
      <c r="AC89" s="477">
        <v>0</v>
      </c>
      <c r="AD89" s="470">
        <f ca="1">SUM(Z89:AC89)</f>
        <v>1e-12</v>
      </c>
      <c r="AE89" s="478">
        <v>0</v>
      </c>
      <c r="AF89" s="478">
        <v>0</v>
      </c>
      <c r="AG89" s="478">
        <v>0</v>
      </c>
    </row>
    <row r="90" ht="14.25" customHeight="1" hidden="1" spans="1:33" x14ac:dyDescent="0.25" outlineLevel="1">
      <c r="C90" s="476" t="s">
        <v>472</v>
      </c>
      <c r="D90" s="16"/>
      <c r="E90" s="16"/>
      <c r="F90" s="469">
        <v>0</v>
      </c>
      <c r="G90" s="469">
        <v>0</v>
      </c>
      <c r="H90" s="469">
        <v>0</v>
      </c>
      <c r="I90" s="469">
        <v>0</v>
      </c>
      <c r="J90" s="470">
        <f ca="1">SUM(F90:I90)</f>
        <v>1e-12</v>
      </c>
      <c r="K90" s="469">
        <v>0</v>
      </c>
      <c r="L90" s="469">
        <v>0</v>
      </c>
      <c r="M90" s="469">
        <v>0</v>
      </c>
      <c r="N90" s="469">
        <v>0</v>
      </c>
      <c r="O90" s="470">
        <f ca="1">SUM(K90:N90)</f>
        <v>1e-12</v>
      </c>
      <c r="P90" s="469">
        <v>0</v>
      </c>
      <c r="Q90" s="469">
        <v>0</v>
      </c>
      <c r="R90" s="469">
        <v>0</v>
      </c>
      <c r="S90" s="469">
        <v>0</v>
      </c>
      <c r="T90" s="470">
        <f ca="1">SUM(P90:S90)</f>
        <v>1e-12</v>
      </c>
      <c r="U90" s="469">
        <v>0</v>
      </c>
      <c r="V90" s="469">
        <v>0</v>
      </c>
      <c r="W90" s="469">
        <v>0</v>
      </c>
      <c r="X90" s="477">
        <v>0</v>
      </c>
      <c r="Y90" s="470">
        <f ca="1">SUM(U90:X90)</f>
        <v>1e-12</v>
      </c>
      <c r="Z90" s="477">
        <v>0</v>
      </c>
      <c r="AA90" s="477">
        <v>0</v>
      </c>
      <c r="AB90" s="477">
        <v>0</v>
      </c>
      <c r="AC90" s="477">
        <v>0</v>
      </c>
      <c r="AD90" s="470">
        <f ca="1">SUM(Z90:AC90)</f>
        <v>1e-12</v>
      </c>
      <c r="AE90" s="478">
        <v>0</v>
      </c>
      <c r="AF90" s="478">
        <v>0</v>
      </c>
      <c r="AG90" s="478">
        <v>0</v>
      </c>
    </row>
    <row r="91" ht="14.25" customHeight="1" hidden="1" spans="1:33" x14ac:dyDescent="0.25" outlineLevel="1">
      <c r="C91" s="476" t="s">
        <v>473</v>
      </c>
      <c r="D91" s="16"/>
      <c r="E91" s="16"/>
      <c r="F91" s="469">
        <v>0</v>
      </c>
      <c r="G91" s="469">
        <v>0</v>
      </c>
      <c r="H91" s="469">
        <v>0</v>
      </c>
      <c r="I91" s="469">
        <v>0</v>
      </c>
      <c r="J91" s="470">
        <f ca="1">SUM(F91:I91)</f>
        <v>1e-12</v>
      </c>
      <c r="K91" s="469">
        <v>0</v>
      </c>
      <c r="L91" s="469">
        <v>0</v>
      </c>
      <c r="M91" s="469">
        <v>0</v>
      </c>
      <c r="N91" s="469">
        <v>0</v>
      </c>
      <c r="O91" s="470">
        <f ca="1">SUM(K91:N91)</f>
        <v>1e-12</v>
      </c>
      <c r="P91" s="469">
        <v>0</v>
      </c>
      <c r="Q91" s="469">
        <v>0</v>
      </c>
      <c r="R91" s="469">
        <v>0</v>
      </c>
      <c r="S91" s="469">
        <v>0</v>
      </c>
      <c r="T91" s="470">
        <f ca="1">SUM(P91:S91)</f>
        <v>1e-12</v>
      </c>
      <c r="U91" s="469">
        <v>0</v>
      </c>
      <c r="V91" s="469">
        <v>0</v>
      </c>
      <c r="W91" s="469">
        <v>0</v>
      </c>
      <c r="X91" s="477">
        <v>0</v>
      </c>
      <c r="Y91" s="470">
        <f ca="1">SUM(U91:X91)</f>
        <v>1e-12</v>
      </c>
      <c r="Z91" s="477">
        <v>0</v>
      </c>
      <c r="AA91" s="477">
        <v>0</v>
      </c>
      <c r="AB91" s="477">
        <v>0</v>
      </c>
      <c r="AC91" s="477">
        <v>0</v>
      </c>
      <c r="AD91" s="470">
        <f ca="1">SUM(Z91:AC91)</f>
        <v>1e-12</v>
      </c>
      <c r="AE91" s="478">
        <v>0</v>
      </c>
      <c r="AF91" s="478">
        <v>0</v>
      </c>
      <c r="AG91" s="478">
        <v>0</v>
      </c>
    </row>
    <row r="92" ht="14.25" customHeight="1" hidden="1" spans="1:33" x14ac:dyDescent="0.25" outlineLevel="1">
      <c r="C92" s="476" t="s">
        <v>474</v>
      </c>
      <c r="D92" s="16"/>
      <c r="E92" s="16"/>
      <c r="F92" s="469">
        <v>0</v>
      </c>
      <c r="G92" s="469">
        <v>0</v>
      </c>
      <c r="H92" s="469">
        <v>0</v>
      </c>
      <c r="I92" s="469">
        <v>0</v>
      </c>
      <c r="J92" s="470">
        <f ca="1">SUM(F92:I92)</f>
        <v>1e-12</v>
      </c>
      <c r="K92" s="469">
        <v>0</v>
      </c>
      <c r="L92" s="469">
        <v>0</v>
      </c>
      <c r="M92" s="469">
        <v>0</v>
      </c>
      <c r="N92" s="469">
        <v>0</v>
      </c>
      <c r="O92" s="470">
        <f ca="1">SUM(K92:N92)</f>
        <v>1e-12</v>
      </c>
      <c r="P92" s="469">
        <v>0</v>
      </c>
      <c r="Q92" s="469">
        <v>0</v>
      </c>
      <c r="R92" s="469">
        <v>0</v>
      </c>
      <c r="S92" s="469">
        <v>0</v>
      </c>
      <c r="T92" s="470">
        <f ca="1">SUM(P92:S92)</f>
        <v>1e-12</v>
      </c>
      <c r="U92" s="469">
        <v>0</v>
      </c>
      <c r="V92" s="469">
        <v>0</v>
      </c>
      <c r="W92" s="469">
        <v>0</v>
      </c>
      <c r="X92" s="477">
        <v>0</v>
      </c>
      <c r="Y92" s="470">
        <f ca="1">SUM(U92:X92)</f>
        <v>1e-12</v>
      </c>
      <c r="Z92" s="477">
        <v>0</v>
      </c>
      <c r="AA92" s="477">
        <v>0</v>
      </c>
      <c r="AB92" s="477">
        <v>0</v>
      </c>
      <c r="AC92" s="477">
        <v>0</v>
      </c>
      <c r="AD92" s="470">
        <f ca="1">SUM(Z92:AC92)</f>
        <v>1e-12</v>
      </c>
      <c r="AE92" s="478">
        <v>0</v>
      </c>
      <c r="AF92" s="478">
        <v>0</v>
      </c>
      <c r="AG92" s="478">
        <v>0</v>
      </c>
    </row>
    <row r="93" ht="14.25" customHeight="1" hidden="1" spans="1:33" x14ac:dyDescent="0.25" outlineLevel="1">
      <c r="C93" s="476" t="s">
        <v>475</v>
      </c>
      <c r="D93" s="16"/>
      <c r="E93" s="16"/>
      <c r="F93" s="469">
        <v>0</v>
      </c>
      <c r="G93" s="469">
        <v>0</v>
      </c>
      <c r="H93" s="469">
        <v>0</v>
      </c>
      <c r="I93" s="469">
        <v>0</v>
      </c>
      <c r="J93" s="470">
        <f ca="1">SUM(F93:I93)</f>
        <v>1e-12</v>
      </c>
      <c r="K93" s="469">
        <v>0</v>
      </c>
      <c r="L93" s="469">
        <v>0</v>
      </c>
      <c r="M93" s="469">
        <v>0</v>
      </c>
      <c r="N93" s="469">
        <v>0</v>
      </c>
      <c r="O93" s="470">
        <f ca="1">SUM(K93:N93)</f>
        <v>1e-12</v>
      </c>
      <c r="P93" s="469">
        <v>0</v>
      </c>
      <c r="Q93" s="469">
        <v>0</v>
      </c>
      <c r="R93" s="469">
        <v>0</v>
      </c>
      <c r="S93" s="469">
        <v>0</v>
      </c>
      <c r="T93" s="470">
        <f ca="1">SUM(P93:S93)</f>
        <v>1e-12</v>
      </c>
      <c r="U93" s="469">
        <v>0</v>
      </c>
      <c r="V93" s="469">
        <v>0</v>
      </c>
      <c r="W93" s="469">
        <v>0</v>
      </c>
      <c r="X93" s="477">
        <v>0</v>
      </c>
      <c r="Y93" s="470">
        <f ca="1">SUM(U93:X93)</f>
        <v>1e-12</v>
      </c>
      <c r="Z93" s="477">
        <v>0</v>
      </c>
      <c r="AA93" s="477">
        <v>0</v>
      </c>
      <c r="AB93" s="477">
        <v>0</v>
      </c>
      <c r="AC93" s="477">
        <v>0</v>
      </c>
      <c r="AD93" s="470">
        <f ca="1">SUM(Z93:AC93)</f>
        <v>1e-12</v>
      </c>
      <c r="AE93" s="478">
        <v>0</v>
      </c>
      <c r="AF93" s="478">
        <v>0</v>
      </c>
      <c r="AG93" s="478">
        <v>0</v>
      </c>
    </row>
    <row r="94" ht="14.25" customHeight="1" hidden="1" spans="1:33" x14ac:dyDescent="0.25" outlineLevel="1">
      <c r="C94" s="16"/>
      <c r="D94" s="16"/>
      <c r="E94" s="16"/>
      <c r="F94" s="501"/>
      <c r="G94" s="501"/>
      <c r="H94" s="501"/>
      <c r="I94" s="501"/>
      <c r="J94" s="495"/>
      <c r="K94" s="501"/>
      <c r="L94" s="501"/>
      <c r="M94" s="501"/>
      <c r="N94" s="501"/>
      <c r="O94" s="495"/>
      <c r="P94" s="501"/>
      <c r="Q94" s="501"/>
      <c r="R94" s="501"/>
      <c r="S94" s="501"/>
      <c r="T94" s="495"/>
      <c r="U94" s="501"/>
      <c r="V94" s="501"/>
      <c r="W94" s="501"/>
      <c r="X94" s="502"/>
      <c r="Y94" s="495"/>
      <c r="Z94" s="502"/>
      <c r="AA94" s="502"/>
      <c r="AB94" s="502"/>
      <c r="AC94" s="502"/>
      <c r="AD94" s="495"/>
      <c r="AE94" s="503"/>
      <c r="AF94" s="503"/>
      <c r="AG94" s="503"/>
    </row>
    <row r="95" ht="14.25" customHeight="1" hidden="1" spans="1:33" x14ac:dyDescent="0.25" outlineLevel="1">
      <c r="C95" s="16" t="s">
        <v>447</v>
      </c>
      <c r="D95" s="16"/>
      <c r="E95" s="16"/>
      <c r="F95" s="474"/>
      <c r="G95" s="474"/>
      <c r="H95" s="474"/>
      <c r="I95" s="474"/>
      <c r="J95" s="168"/>
      <c r="K95" s="474"/>
      <c r="L95" s="474"/>
      <c r="M95" s="474"/>
      <c r="N95" s="474"/>
      <c r="O95" s="168"/>
      <c r="P95" s="474"/>
      <c r="Q95" s="474"/>
      <c r="R95" s="474"/>
      <c r="S95" s="474"/>
      <c r="T95" s="168"/>
      <c r="U95" s="474"/>
      <c r="V95" s="474"/>
      <c r="W95" s="474"/>
      <c r="X95" s="475"/>
      <c r="Y95" s="168"/>
      <c r="Z95" s="475"/>
      <c r="AA95" s="475"/>
      <c r="AB95" s="475"/>
      <c r="AC95" s="475"/>
      <c r="AD95" s="168"/>
      <c r="AE95" s="479"/>
      <c r="AF95" s="479"/>
      <c r="AG95" s="479"/>
    </row>
    <row r="96" ht="14.25" customHeight="1" hidden="1" spans="1:33" x14ac:dyDescent="0.25" outlineLevel="1">
      <c r="C96" s="139" t="str">
        <f ca="1">C$89</f>
        <v>North America</v>
      </c>
      <c r="D96" s="16"/>
      <c r="E96" s="16"/>
      <c r="F96" s="319" t="str">
        <f t="shared" ref="F96:AG96" si="88" ca="1">IFERROR(F89/F$88,"N/A")</f>
        <v>N/A</v>
      </c>
      <c r="G96" s="319" t="str">
        <f ca="1">IFERROR(G89/G$88,"N/A")</f>
        <v>N/A</v>
      </c>
      <c r="H96" s="319" t="str">
        <f ca="1">IFERROR(H89/H$88,"N/A")</f>
        <v>N/A</v>
      </c>
      <c r="I96" s="319" t="str">
        <f ca="1">IFERROR(I89/I$88,"N/A")</f>
        <v>N/A</v>
      </c>
      <c r="J96" s="168" t="str">
        <f ca="1">IFERROR(J89/J$88,"N/A")</f>
        <v>N/A</v>
      </c>
      <c r="K96" s="377" t="str">
        <f ca="1">IFERROR(K89/K$88,"N/A")</f>
        <v>N/A</v>
      </c>
      <c r="L96" s="377" t="str">
        <f ca="1">IFERROR(L89/L$88,"N/A")</f>
        <v>N/A</v>
      </c>
      <c r="M96" s="377" t="str">
        <f ca="1">IFERROR(M89/M$88,"N/A")</f>
        <v>N/A</v>
      </c>
      <c r="N96" s="377" t="str">
        <f ca="1">IFERROR(N89/N$88,"N/A")</f>
        <v>N/A</v>
      </c>
      <c r="O96" s="378" t="str">
        <f ca="1">IFERROR(O89/O$88,"N/A")</f>
        <v>N/A</v>
      </c>
      <c r="P96" s="377" t="str">
        <f ca="1">IFERROR(P89/P$88,"N/A")</f>
        <v>N/A</v>
      </c>
      <c r="Q96" s="377" t="str">
        <f ca="1">IFERROR(Q89/Q$88,"N/A")</f>
        <v>N/A</v>
      </c>
      <c r="R96" s="377" t="str">
        <f ca="1">IFERROR(R89/R$88,"N/A")</f>
        <v>N/A</v>
      </c>
      <c r="S96" s="377" t="str">
        <f ca="1">IFERROR(S89/S$88,"N/A")</f>
        <v>N/A</v>
      </c>
      <c r="T96" s="378" t="str">
        <f ca="1">IFERROR(T89/T$88,"N/A")</f>
        <v>N/A</v>
      </c>
      <c r="U96" s="377" t="str">
        <f ca="1">IFERROR(U89/U$88,"N/A")</f>
        <v>N/A</v>
      </c>
      <c r="V96" s="377" t="str">
        <f ca="1">IFERROR(V89/V$88,"N/A")</f>
        <v>N/A</v>
      </c>
      <c r="W96" s="377" t="str">
        <f ca="1">IFERROR(W89/W$88,"N/A")</f>
        <v>N/A</v>
      </c>
      <c r="X96" s="379" t="str">
        <f ca="1">IFERROR(X89/X$88,"N/A")</f>
        <v>N/A</v>
      </c>
      <c r="Y96" s="378" t="str">
        <f ca="1">IFERROR(Y89/Y$88,"N/A")</f>
        <v>N/A</v>
      </c>
      <c r="Z96" s="379" t="str">
        <f ca="1">IFERROR(Z89/Z$88,"N/A")</f>
        <v>N/A</v>
      </c>
      <c r="AA96" s="379" t="str">
        <f ca="1">IFERROR(AA89/AA$88,"N/A")</f>
        <v>N/A</v>
      </c>
      <c r="AB96" s="379" t="str">
        <f ca="1">IFERROR(AB89/AB$88,"N/A")</f>
        <v>N/A</v>
      </c>
      <c r="AC96" s="379" t="str">
        <f ca="1">IFERROR(AC89/AC$88,"N/A")</f>
        <v>N/A</v>
      </c>
      <c r="AD96" s="378" t="str">
        <f ca="1">IFERROR(AD89/AD$88,"N/A")</f>
        <v>N/A</v>
      </c>
      <c r="AE96" s="378" t="str">
        <f ca="1">IFERROR(AE89/AE$88,"N/A")</f>
        <v>N/A</v>
      </c>
      <c r="AF96" s="378" t="str">
        <f ca="1">IFERROR(AF89/AF$88,"N/A")</f>
        <v>N/A</v>
      </c>
      <c r="AG96" s="378" t="str">
        <f ca="1">IFERROR(AG89/AG$88,"N/A")</f>
        <v>N/A</v>
      </c>
    </row>
    <row r="97" ht="14.25" customHeight="1" hidden="1" spans="1:33" x14ac:dyDescent="0.25" outlineLevel="1">
      <c r="C97" s="139" t="str">
        <f ca="1">C$90</f>
        <v>Europe</v>
      </c>
      <c r="D97" s="16"/>
      <c r="E97" s="16"/>
      <c r="F97" s="319" t="str">
        <f t="shared" ref="F97:AG97" si="89" ca="1">IFERROR(F90/F$88,"N/A")</f>
        <v>N/A</v>
      </c>
      <c r="G97" s="319" t="str">
        <f ca="1">IFERROR(G90/G$88,"N/A")</f>
        <v>N/A</v>
      </c>
      <c r="H97" s="319" t="str">
        <f ca="1">IFERROR(H90/H$88,"N/A")</f>
        <v>N/A</v>
      </c>
      <c r="I97" s="319" t="str">
        <f ca="1">IFERROR(I90/I$88,"N/A")</f>
        <v>N/A</v>
      </c>
      <c r="J97" s="168" t="str">
        <f ca="1">IFERROR(J90/J$88,"N/A")</f>
        <v>N/A</v>
      </c>
      <c r="K97" s="377" t="str">
        <f ca="1">IFERROR(K90/K$88,"N/A")</f>
        <v>N/A</v>
      </c>
      <c r="L97" s="377" t="str">
        <f ca="1">IFERROR(L90/L$88,"N/A")</f>
        <v>N/A</v>
      </c>
      <c r="M97" s="377" t="str">
        <f ca="1">IFERROR(M90/M$88,"N/A")</f>
        <v>N/A</v>
      </c>
      <c r="N97" s="377" t="str">
        <f ca="1">IFERROR(N90/N$88,"N/A")</f>
        <v>N/A</v>
      </c>
      <c r="O97" s="378" t="str">
        <f ca="1">IFERROR(O90/O$88,"N/A")</f>
        <v>N/A</v>
      </c>
      <c r="P97" s="377" t="str">
        <f ca="1">IFERROR(P90/P$88,"N/A")</f>
        <v>N/A</v>
      </c>
      <c r="Q97" s="377" t="str">
        <f ca="1">IFERROR(Q90/Q$88,"N/A")</f>
        <v>N/A</v>
      </c>
      <c r="R97" s="377" t="str">
        <f ca="1">IFERROR(R90/R$88,"N/A")</f>
        <v>N/A</v>
      </c>
      <c r="S97" s="377" t="str">
        <f ca="1">IFERROR(S90/S$88,"N/A")</f>
        <v>N/A</v>
      </c>
      <c r="T97" s="378" t="str">
        <f ca="1">IFERROR(T90/T$88,"N/A")</f>
        <v>N/A</v>
      </c>
      <c r="U97" s="377" t="str">
        <f ca="1">IFERROR(U90/U$88,"N/A")</f>
        <v>N/A</v>
      </c>
      <c r="V97" s="377" t="str">
        <f ca="1">IFERROR(V90/V$88,"N/A")</f>
        <v>N/A</v>
      </c>
      <c r="W97" s="377" t="str">
        <f ca="1">IFERROR(W90/W$88,"N/A")</f>
        <v>N/A</v>
      </c>
      <c r="X97" s="379" t="str">
        <f ca="1">IFERROR(X90/X$88,"N/A")</f>
        <v>N/A</v>
      </c>
      <c r="Y97" s="378" t="str">
        <f ca="1">IFERROR(Y90/Y$88,"N/A")</f>
        <v>N/A</v>
      </c>
      <c r="Z97" s="379" t="str">
        <f ca="1">IFERROR(Z90/Z$88,"N/A")</f>
        <v>N/A</v>
      </c>
      <c r="AA97" s="379" t="str">
        <f ca="1">IFERROR(AA90/AA$88,"N/A")</f>
        <v>N/A</v>
      </c>
      <c r="AB97" s="379" t="str">
        <f ca="1">IFERROR(AB90/AB$88,"N/A")</f>
        <v>N/A</v>
      </c>
      <c r="AC97" s="379" t="str">
        <f ca="1">IFERROR(AC90/AC$88,"N/A")</f>
        <v>N/A</v>
      </c>
      <c r="AD97" s="378" t="str">
        <f ca="1">IFERROR(AD90/AD$88,"N/A")</f>
        <v>N/A</v>
      </c>
      <c r="AE97" s="378" t="str">
        <f ca="1">IFERROR(AE90/AE$88,"N/A")</f>
        <v>N/A</v>
      </c>
      <c r="AF97" s="378" t="str">
        <f ca="1">IFERROR(AF90/AF$88,"N/A")</f>
        <v>N/A</v>
      </c>
      <c r="AG97" s="378" t="str">
        <f ca="1">IFERROR(AG90/AG$88,"N/A")</f>
        <v>N/A</v>
      </c>
    </row>
    <row r="98" ht="14.25" customHeight="1" hidden="1" spans="1:33" x14ac:dyDescent="0.25" outlineLevel="1">
      <c r="C98" s="139" t="str">
        <f ca="1">C$91</f>
        <v>South America</v>
      </c>
      <c r="D98" s="16"/>
      <c r="E98" s="16"/>
      <c r="F98" s="319" t="str">
        <f t="shared" ref="F98:AG98" si="90" ca="1">IFERROR(F91/F$88,"N/A")</f>
        <v>N/A</v>
      </c>
      <c r="G98" s="319" t="str">
        <f ca="1">IFERROR(G91/G$88,"N/A")</f>
        <v>N/A</v>
      </c>
      <c r="H98" s="319" t="str">
        <f ca="1">IFERROR(H91/H$88,"N/A")</f>
        <v>N/A</v>
      </c>
      <c r="I98" s="319" t="str">
        <f ca="1">IFERROR(I91/I$88,"N/A")</f>
        <v>N/A</v>
      </c>
      <c r="J98" s="168" t="str">
        <f ca="1">IFERROR(J91/J$88,"N/A")</f>
        <v>N/A</v>
      </c>
      <c r="K98" s="377" t="str">
        <f ca="1">IFERROR(K91/K$88,"N/A")</f>
        <v>N/A</v>
      </c>
      <c r="L98" s="377" t="str">
        <f ca="1">IFERROR(L91/L$88,"N/A")</f>
        <v>N/A</v>
      </c>
      <c r="M98" s="377" t="str">
        <f ca="1">IFERROR(M91/M$88,"N/A")</f>
        <v>N/A</v>
      </c>
      <c r="N98" s="377" t="str">
        <f ca="1">IFERROR(N91/N$88,"N/A")</f>
        <v>N/A</v>
      </c>
      <c r="O98" s="378" t="str">
        <f ca="1">IFERROR(O91/O$88,"N/A")</f>
        <v>N/A</v>
      </c>
      <c r="P98" s="377" t="str">
        <f ca="1">IFERROR(P91/P$88,"N/A")</f>
        <v>N/A</v>
      </c>
      <c r="Q98" s="377" t="str">
        <f ca="1">IFERROR(Q91/Q$88,"N/A")</f>
        <v>N/A</v>
      </c>
      <c r="R98" s="377" t="str">
        <f ca="1">IFERROR(R91/R$88,"N/A")</f>
        <v>N/A</v>
      </c>
      <c r="S98" s="377" t="str">
        <f ca="1">IFERROR(S91/S$88,"N/A")</f>
        <v>N/A</v>
      </c>
      <c r="T98" s="378" t="str">
        <f ca="1">IFERROR(T91/T$88,"N/A")</f>
        <v>N/A</v>
      </c>
      <c r="U98" s="377" t="str">
        <f ca="1">IFERROR(U91/U$88,"N/A")</f>
        <v>N/A</v>
      </c>
      <c r="V98" s="377" t="str">
        <f ca="1">IFERROR(V91/V$88,"N/A")</f>
        <v>N/A</v>
      </c>
      <c r="W98" s="377" t="str">
        <f ca="1">IFERROR(W91/W$88,"N/A")</f>
        <v>N/A</v>
      </c>
      <c r="X98" s="379" t="str">
        <f ca="1">IFERROR(X91/X$88,"N/A")</f>
        <v>N/A</v>
      </c>
      <c r="Y98" s="378" t="str">
        <f ca="1">IFERROR(Y91/Y$88,"N/A")</f>
        <v>N/A</v>
      </c>
      <c r="Z98" s="379" t="str">
        <f ca="1">IFERROR(Z91/Z$88,"N/A")</f>
        <v>N/A</v>
      </c>
      <c r="AA98" s="379" t="str">
        <f ca="1">IFERROR(AA91/AA$88,"N/A")</f>
        <v>N/A</v>
      </c>
      <c r="AB98" s="379" t="str">
        <f ca="1">IFERROR(AB91/AB$88,"N/A")</f>
        <v>N/A</v>
      </c>
      <c r="AC98" s="379" t="str">
        <f ca="1">IFERROR(AC91/AC$88,"N/A")</f>
        <v>N/A</v>
      </c>
      <c r="AD98" s="378" t="str">
        <f ca="1">IFERROR(AD91/AD$88,"N/A")</f>
        <v>N/A</v>
      </c>
      <c r="AE98" s="378" t="str">
        <f ca="1">IFERROR(AE91/AE$88,"N/A")</f>
        <v>N/A</v>
      </c>
      <c r="AF98" s="378" t="str">
        <f ca="1">IFERROR(AF91/AF$88,"N/A")</f>
        <v>N/A</v>
      </c>
      <c r="AG98" s="378" t="str">
        <f ca="1">IFERROR(AG91/AG$88,"N/A")</f>
        <v>N/A</v>
      </c>
    </row>
    <row r="99" ht="14.25" customHeight="1" hidden="1" spans="1:33" x14ac:dyDescent="0.25" outlineLevel="1">
      <c r="C99" s="139" t="str">
        <f ca="1">C$92</f>
        <v>Middle East &amp; Africa</v>
      </c>
      <c r="D99" s="16"/>
      <c r="E99" s="16"/>
      <c r="F99" s="319" t="str">
        <f t="shared" ref="F99:AG99" si="91" ca="1">IFERROR(F92/F$88,"N/A")</f>
        <v>N/A</v>
      </c>
      <c r="G99" s="319" t="str">
        <f ca="1">IFERROR(G92/G$88,"N/A")</f>
        <v>N/A</v>
      </c>
      <c r="H99" s="319" t="str">
        <f ca="1">IFERROR(H92/H$88,"N/A")</f>
        <v>N/A</v>
      </c>
      <c r="I99" s="319" t="str">
        <f ca="1">IFERROR(I92/I$88,"N/A")</f>
        <v>N/A</v>
      </c>
      <c r="J99" s="168" t="str">
        <f ca="1">IFERROR(J92/J$88,"N/A")</f>
        <v>N/A</v>
      </c>
      <c r="K99" s="377" t="str">
        <f ca="1">IFERROR(K92/K$88,"N/A")</f>
        <v>N/A</v>
      </c>
      <c r="L99" s="377" t="str">
        <f ca="1">IFERROR(L92/L$88,"N/A")</f>
        <v>N/A</v>
      </c>
      <c r="M99" s="377" t="str">
        <f ca="1">IFERROR(M92/M$88,"N/A")</f>
        <v>N/A</v>
      </c>
      <c r="N99" s="377" t="str">
        <f ca="1">IFERROR(N92/N$88,"N/A")</f>
        <v>N/A</v>
      </c>
      <c r="O99" s="378" t="str">
        <f ca="1">IFERROR(O92/O$88,"N/A")</f>
        <v>N/A</v>
      </c>
      <c r="P99" s="377" t="str">
        <f ca="1">IFERROR(P92/P$88,"N/A")</f>
        <v>N/A</v>
      </c>
      <c r="Q99" s="377" t="str">
        <f ca="1">IFERROR(Q92/Q$88,"N/A")</f>
        <v>N/A</v>
      </c>
      <c r="R99" s="377" t="str">
        <f ca="1">IFERROR(R92/R$88,"N/A")</f>
        <v>N/A</v>
      </c>
      <c r="S99" s="377" t="str">
        <f ca="1">IFERROR(S92/S$88,"N/A")</f>
        <v>N/A</v>
      </c>
      <c r="T99" s="378" t="str">
        <f ca="1">IFERROR(T92/T$88,"N/A")</f>
        <v>N/A</v>
      </c>
      <c r="U99" s="377" t="str">
        <f ca="1">IFERROR(U92/U$88,"N/A")</f>
        <v>N/A</v>
      </c>
      <c r="V99" s="377" t="str">
        <f ca="1">IFERROR(V92/V$88,"N/A")</f>
        <v>N/A</v>
      </c>
      <c r="W99" s="377" t="str">
        <f ca="1">IFERROR(W92/W$88,"N/A")</f>
        <v>N/A</v>
      </c>
      <c r="X99" s="379" t="str">
        <f ca="1">IFERROR(X92/X$88,"N/A")</f>
        <v>N/A</v>
      </c>
      <c r="Y99" s="378" t="str">
        <f ca="1">IFERROR(Y92/Y$88,"N/A")</f>
        <v>N/A</v>
      </c>
      <c r="Z99" s="379" t="str">
        <f ca="1">IFERROR(Z92/Z$88,"N/A")</f>
        <v>N/A</v>
      </c>
      <c r="AA99" s="379" t="str">
        <f ca="1">IFERROR(AA92/AA$88,"N/A")</f>
        <v>N/A</v>
      </c>
      <c r="AB99" s="379" t="str">
        <f ca="1">IFERROR(AB92/AB$88,"N/A")</f>
        <v>N/A</v>
      </c>
      <c r="AC99" s="379" t="str">
        <f ca="1">IFERROR(AC92/AC$88,"N/A")</f>
        <v>N/A</v>
      </c>
      <c r="AD99" s="378" t="str">
        <f ca="1">IFERROR(AD92/AD$88,"N/A")</f>
        <v>N/A</v>
      </c>
      <c r="AE99" s="378" t="str">
        <f ca="1">IFERROR(AE92/AE$88,"N/A")</f>
        <v>N/A</v>
      </c>
      <c r="AF99" s="378" t="str">
        <f ca="1">IFERROR(AF92/AF$88,"N/A")</f>
        <v>N/A</v>
      </c>
      <c r="AG99" s="378" t="str">
        <f ca="1">IFERROR(AG92/AG$88,"N/A")</f>
        <v>N/A</v>
      </c>
    </row>
    <row r="100" ht="14.25" customHeight="1" hidden="1" spans="1:33" x14ac:dyDescent="0.25" outlineLevel="1">
      <c r="C100" s="139" t="str">
        <f ca="1">C$93</f>
        <v>Asia Pacific</v>
      </c>
      <c r="D100" s="16"/>
      <c r="E100" s="16"/>
      <c r="F100" s="319" t="str">
        <f t="shared" ref="F100:AG100" si="92" ca="1">IFERROR(F93/F$88,"N/A")</f>
        <v>N/A</v>
      </c>
      <c r="G100" s="319" t="str">
        <f ca="1">IFERROR(G93/G$88,"N/A")</f>
        <v>N/A</v>
      </c>
      <c r="H100" s="319" t="str">
        <f ca="1">IFERROR(H93/H$88,"N/A")</f>
        <v>N/A</v>
      </c>
      <c r="I100" s="319" t="str">
        <f ca="1">IFERROR(I93/I$88,"N/A")</f>
        <v>N/A</v>
      </c>
      <c r="J100" s="168" t="str">
        <f ca="1">IFERROR(J93/J$88,"N/A")</f>
        <v>N/A</v>
      </c>
      <c r="K100" s="377" t="str">
        <f ca="1">IFERROR(K93/K$88,"N/A")</f>
        <v>N/A</v>
      </c>
      <c r="L100" s="377" t="str">
        <f ca="1">IFERROR(L93/L$88,"N/A")</f>
        <v>N/A</v>
      </c>
      <c r="M100" s="377" t="str">
        <f ca="1">IFERROR(M93/M$88,"N/A")</f>
        <v>N/A</v>
      </c>
      <c r="N100" s="377" t="str">
        <f ca="1">IFERROR(N93/N$88,"N/A")</f>
        <v>N/A</v>
      </c>
      <c r="O100" s="378" t="str">
        <f ca="1">IFERROR(O93/O$88,"N/A")</f>
        <v>N/A</v>
      </c>
      <c r="P100" s="377" t="str">
        <f ca="1">IFERROR(P93/P$88,"N/A")</f>
        <v>N/A</v>
      </c>
      <c r="Q100" s="377" t="str">
        <f ca="1">IFERROR(Q93/Q$88,"N/A")</f>
        <v>N/A</v>
      </c>
      <c r="R100" s="377" t="str">
        <f ca="1">IFERROR(R93/R$88,"N/A")</f>
        <v>N/A</v>
      </c>
      <c r="S100" s="377" t="str">
        <f ca="1">IFERROR(S93/S$88,"N/A")</f>
        <v>N/A</v>
      </c>
      <c r="T100" s="378" t="str">
        <f ca="1">IFERROR(T93/T$88,"N/A")</f>
        <v>N/A</v>
      </c>
      <c r="U100" s="377" t="str">
        <f ca="1">IFERROR(U93/U$88,"N/A")</f>
        <v>N/A</v>
      </c>
      <c r="V100" s="377" t="str">
        <f ca="1">IFERROR(V93/V$88,"N/A")</f>
        <v>N/A</v>
      </c>
      <c r="W100" s="377" t="str">
        <f ca="1">IFERROR(W93/W$88,"N/A")</f>
        <v>N/A</v>
      </c>
      <c r="X100" s="379" t="str">
        <f ca="1">IFERROR(X93/X$88,"N/A")</f>
        <v>N/A</v>
      </c>
      <c r="Y100" s="378" t="str">
        <f ca="1">IFERROR(Y93/Y$88,"N/A")</f>
        <v>N/A</v>
      </c>
      <c r="Z100" s="379" t="str">
        <f ca="1">IFERROR(Z93/Z$88,"N/A")</f>
        <v>N/A</v>
      </c>
      <c r="AA100" s="379" t="str">
        <f ca="1">IFERROR(AA93/AA$88,"N/A")</f>
        <v>N/A</v>
      </c>
      <c r="AB100" s="379" t="str">
        <f ca="1">IFERROR(AB93/AB$88,"N/A")</f>
        <v>N/A</v>
      </c>
      <c r="AC100" s="379" t="str">
        <f ca="1">IFERROR(AC93/AC$88,"N/A")</f>
        <v>N/A</v>
      </c>
      <c r="AD100" s="378" t="str">
        <f ca="1">IFERROR(AD93/AD$88,"N/A")</f>
        <v>N/A</v>
      </c>
      <c r="AE100" s="378" t="str">
        <f ca="1">IFERROR(AE93/AE$88,"N/A")</f>
        <v>N/A</v>
      </c>
      <c r="AF100" s="378" t="str">
        <f ca="1">IFERROR(AF93/AF$88,"N/A")</f>
        <v>N/A</v>
      </c>
      <c r="AG100" s="378" t="str">
        <f ca="1">IFERROR(AG93/AG$88,"N/A")</f>
        <v>N/A</v>
      </c>
    </row>
    <row r="101" ht="14.25" customHeight="1" hidden="1" spans="1:33" x14ac:dyDescent="0.25" outlineLevel="1">
      <c r="C101" s="16"/>
      <c r="D101" s="16"/>
      <c r="E101" s="16"/>
      <c r="F101" s="474"/>
      <c r="G101" s="474"/>
      <c r="H101" s="474"/>
      <c r="I101" s="474"/>
      <c r="J101" s="168"/>
      <c r="K101" s="474"/>
      <c r="L101" s="474"/>
      <c r="M101" s="474"/>
      <c r="N101" s="474"/>
      <c r="O101" s="168"/>
      <c r="P101" s="474"/>
      <c r="Q101" s="474"/>
      <c r="R101" s="474"/>
      <c r="S101" s="474"/>
      <c r="T101" s="168"/>
      <c r="U101" s="474"/>
      <c r="V101" s="474"/>
      <c r="W101" s="474"/>
      <c r="X101" s="475"/>
      <c r="Y101" s="168"/>
      <c r="Z101" s="475"/>
      <c r="AA101" s="475"/>
      <c r="AB101" s="475"/>
      <c r="AC101" s="475"/>
      <c r="AD101" s="168"/>
      <c r="AE101" s="479"/>
      <c r="AF101" s="479"/>
      <c r="AG101" s="479"/>
    </row>
    <row r="102" ht="14.25" customHeight="1" hidden="1" spans="1:33" x14ac:dyDescent="0.25" outlineLevel="1">
      <c r="C102" s="16" t="str">
        <f ca="1">'Segment Analysis'!C9</f>
        <v>Segment 2 Revenue</v>
      </c>
      <c r="D102" s="16"/>
      <c r="E102" s="16"/>
      <c r="F102" s="319"/>
      <c r="G102" s="319"/>
      <c r="H102" s="319"/>
      <c r="I102" s="319"/>
      <c r="J102" s="168"/>
      <c r="K102" s="319"/>
      <c r="L102" s="319"/>
      <c r="M102" s="319"/>
      <c r="N102" s="319"/>
      <c r="O102" s="168"/>
      <c r="P102" s="319"/>
      <c r="Q102" s="319"/>
      <c r="R102" s="319"/>
      <c r="S102" s="319"/>
      <c r="T102" s="168"/>
      <c r="U102" s="319"/>
      <c r="V102" s="319"/>
      <c r="W102" s="319"/>
      <c r="X102" s="322"/>
      <c r="Y102" s="168"/>
      <c r="Z102" s="322"/>
      <c r="AA102" s="322"/>
      <c r="AB102" s="322"/>
      <c r="AC102" s="322"/>
      <c r="AD102" s="168"/>
      <c r="AE102" s="168"/>
      <c r="AF102" s="168"/>
      <c r="AG102" s="168"/>
    </row>
    <row r="103" ht="14.25" customHeight="1" hidden="1" spans="1:33" x14ac:dyDescent="0.25" outlineLevel="1">
      <c r="C103" s="139" t="str">
        <f ca="1">C$89</f>
        <v>North America</v>
      </c>
      <c r="D103" s="16"/>
      <c r="E103" s="16"/>
      <c r="F103" s="469">
        <v>0</v>
      </c>
      <c r="G103" s="469">
        <v>0</v>
      </c>
      <c r="H103" s="469">
        <v>0</v>
      </c>
      <c r="I103" s="469">
        <v>0</v>
      </c>
      <c r="J103" s="470">
        <f t="shared" ref="J103:J107" si="93" ca="1">SUM(F103:I103)</f>
        <v>1e-12</v>
      </c>
      <c r="K103" s="469">
        <v>0</v>
      </c>
      <c r="L103" s="469">
        <v>0</v>
      </c>
      <c r="M103" s="469">
        <v>0</v>
      </c>
      <c r="N103" s="469">
        <v>0</v>
      </c>
      <c r="O103" s="470">
        <f t="shared" ref="O103:O107" si="94" ca="1">SUM(K103:N103)</f>
        <v>1e-12</v>
      </c>
      <c r="P103" s="469">
        <v>0</v>
      </c>
      <c r="Q103" s="469">
        <v>0</v>
      </c>
      <c r="R103" s="469">
        <v>0</v>
      </c>
      <c r="S103" s="469">
        <v>0</v>
      </c>
      <c r="T103" s="470">
        <f t="shared" ref="T103:T107" si="95" ca="1">SUM(P103:S103)</f>
        <v>1e-12</v>
      </c>
      <c r="U103" s="469">
        <v>0</v>
      </c>
      <c r="V103" s="469">
        <v>0</v>
      </c>
      <c r="W103" s="469">
        <v>0</v>
      </c>
      <c r="X103" s="477">
        <v>0</v>
      </c>
      <c r="Y103" s="470">
        <f t="shared" ref="Y103:Y107" si="96" ca="1">SUM(U103:X103)</f>
        <v>1e-12</v>
      </c>
      <c r="Z103" s="477">
        <v>0</v>
      </c>
      <c r="AA103" s="477">
        <v>0</v>
      </c>
      <c r="AB103" s="477">
        <v>0</v>
      </c>
      <c r="AC103" s="477">
        <v>0</v>
      </c>
      <c r="AD103" s="470">
        <f t="shared" ref="AD103:AD107" si="97" ca="1">SUM(Z103:AC103)</f>
        <v>1e-12</v>
      </c>
      <c r="AE103" s="478">
        <v>0</v>
      </c>
      <c r="AF103" s="478">
        <v>0</v>
      </c>
      <c r="AG103" s="478">
        <v>0</v>
      </c>
    </row>
    <row r="104" ht="14.25" customHeight="1" hidden="1" spans="1:33" x14ac:dyDescent="0.25" outlineLevel="1">
      <c r="C104" s="139" t="str">
        <f ca="1">C$90</f>
        <v>Europe</v>
      </c>
      <c r="D104" s="16"/>
      <c r="E104" s="16"/>
      <c r="F104" s="469">
        <v>0</v>
      </c>
      <c r="G104" s="469">
        <v>0</v>
      </c>
      <c r="H104" s="469">
        <v>0</v>
      </c>
      <c r="I104" s="469">
        <v>0</v>
      </c>
      <c r="J104" s="470">
        <f ca="1">SUM(F104:I104)</f>
        <v>1e-12</v>
      </c>
      <c r="K104" s="469">
        <v>0</v>
      </c>
      <c r="L104" s="469">
        <v>0</v>
      </c>
      <c r="M104" s="469">
        <v>0</v>
      </c>
      <c r="N104" s="469">
        <v>0</v>
      </c>
      <c r="O104" s="470">
        <f ca="1">SUM(K104:N104)</f>
        <v>1e-12</v>
      </c>
      <c r="P104" s="469">
        <v>0</v>
      </c>
      <c r="Q104" s="469">
        <v>0</v>
      </c>
      <c r="R104" s="469">
        <v>0</v>
      </c>
      <c r="S104" s="469">
        <v>0</v>
      </c>
      <c r="T104" s="470">
        <f ca="1">SUM(P104:S104)</f>
        <v>1e-12</v>
      </c>
      <c r="U104" s="469">
        <v>0</v>
      </c>
      <c r="V104" s="469">
        <v>0</v>
      </c>
      <c r="W104" s="469">
        <v>0</v>
      </c>
      <c r="X104" s="477">
        <v>0</v>
      </c>
      <c r="Y104" s="470">
        <f ca="1">SUM(U104:X104)</f>
        <v>1e-12</v>
      </c>
      <c r="Z104" s="477">
        <v>0</v>
      </c>
      <c r="AA104" s="477">
        <v>0</v>
      </c>
      <c r="AB104" s="477">
        <v>0</v>
      </c>
      <c r="AC104" s="477">
        <v>0</v>
      </c>
      <c r="AD104" s="470">
        <f ca="1">SUM(Z104:AC104)</f>
        <v>1e-12</v>
      </c>
      <c r="AE104" s="478">
        <v>0</v>
      </c>
      <c r="AF104" s="478">
        <v>0</v>
      </c>
      <c r="AG104" s="478">
        <v>0</v>
      </c>
    </row>
    <row r="105" ht="14.25" customHeight="1" hidden="1" spans="1:33" x14ac:dyDescent="0.25" outlineLevel="1">
      <c r="C105" s="139" t="str">
        <f ca="1">C$91</f>
        <v>South America</v>
      </c>
      <c r="D105" s="16"/>
      <c r="E105" s="16"/>
      <c r="F105" s="469">
        <v>0</v>
      </c>
      <c r="G105" s="469">
        <v>0</v>
      </c>
      <c r="H105" s="469">
        <v>0</v>
      </c>
      <c r="I105" s="469">
        <v>0</v>
      </c>
      <c r="J105" s="470">
        <f ca="1">SUM(F105:I105)</f>
        <v>1e-12</v>
      </c>
      <c r="K105" s="469">
        <v>0</v>
      </c>
      <c r="L105" s="469">
        <v>0</v>
      </c>
      <c r="M105" s="469">
        <v>0</v>
      </c>
      <c r="N105" s="469">
        <v>0</v>
      </c>
      <c r="O105" s="470">
        <f ca="1">SUM(K105:N105)</f>
        <v>1e-12</v>
      </c>
      <c r="P105" s="469">
        <v>0</v>
      </c>
      <c r="Q105" s="469">
        <v>0</v>
      </c>
      <c r="R105" s="469">
        <v>0</v>
      </c>
      <c r="S105" s="469">
        <v>0</v>
      </c>
      <c r="T105" s="470">
        <f ca="1">SUM(P105:S105)</f>
        <v>1e-12</v>
      </c>
      <c r="U105" s="469">
        <v>0</v>
      </c>
      <c r="V105" s="469">
        <v>0</v>
      </c>
      <c r="W105" s="469">
        <v>0</v>
      </c>
      <c r="X105" s="477">
        <v>0</v>
      </c>
      <c r="Y105" s="470">
        <f ca="1">SUM(U105:X105)</f>
        <v>1e-12</v>
      </c>
      <c r="Z105" s="477">
        <v>0</v>
      </c>
      <c r="AA105" s="477">
        <v>0</v>
      </c>
      <c r="AB105" s="477">
        <v>0</v>
      </c>
      <c r="AC105" s="477">
        <v>0</v>
      </c>
      <c r="AD105" s="470">
        <f ca="1">SUM(Z105:AC105)</f>
        <v>1e-12</v>
      </c>
      <c r="AE105" s="478">
        <v>0</v>
      </c>
      <c r="AF105" s="478">
        <v>0</v>
      </c>
      <c r="AG105" s="478">
        <v>0</v>
      </c>
    </row>
    <row r="106" ht="14.25" customHeight="1" hidden="1" spans="1:33" x14ac:dyDescent="0.25" outlineLevel="1">
      <c r="C106" s="139" t="str">
        <f ca="1">C$92</f>
        <v>Middle East &amp; Africa</v>
      </c>
      <c r="D106" s="16"/>
      <c r="E106" s="16"/>
      <c r="F106" s="469">
        <v>0</v>
      </c>
      <c r="G106" s="469">
        <v>0</v>
      </c>
      <c r="H106" s="469">
        <v>0</v>
      </c>
      <c r="I106" s="469">
        <v>0</v>
      </c>
      <c r="J106" s="470">
        <f ca="1">SUM(F106:I106)</f>
        <v>1e-12</v>
      </c>
      <c r="K106" s="469">
        <v>0</v>
      </c>
      <c r="L106" s="469">
        <v>0</v>
      </c>
      <c r="M106" s="469">
        <v>0</v>
      </c>
      <c r="N106" s="469">
        <v>0</v>
      </c>
      <c r="O106" s="470">
        <f ca="1">SUM(K106:N106)</f>
        <v>1e-12</v>
      </c>
      <c r="P106" s="469">
        <v>0</v>
      </c>
      <c r="Q106" s="469">
        <v>0</v>
      </c>
      <c r="R106" s="469">
        <v>0</v>
      </c>
      <c r="S106" s="469">
        <v>0</v>
      </c>
      <c r="T106" s="470">
        <f ca="1">SUM(P106:S106)</f>
        <v>1e-12</v>
      </c>
      <c r="U106" s="469">
        <v>0</v>
      </c>
      <c r="V106" s="469">
        <v>0</v>
      </c>
      <c r="W106" s="469">
        <v>0</v>
      </c>
      <c r="X106" s="477">
        <v>0</v>
      </c>
      <c r="Y106" s="470">
        <f ca="1">SUM(U106:X106)</f>
        <v>1e-12</v>
      </c>
      <c r="Z106" s="477">
        <v>0</v>
      </c>
      <c r="AA106" s="477">
        <v>0</v>
      </c>
      <c r="AB106" s="477">
        <v>0</v>
      </c>
      <c r="AC106" s="477">
        <v>0</v>
      </c>
      <c r="AD106" s="470">
        <f ca="1">SUM(Z106:AC106)</f>
        <v>1e-12</v>
      </c>
      <c r="AE106" s="478">
        <v>0</v>
      </c>
      <c r="AF106" s="478">
        <v>0</v>
      </c>
      <c r="AG106" s="478">
        <v>0</v>
      </c>
    </row>
    <row r="107" ht="14.25" customHeight="1" hidden="1" spans="1:33" x14ac:dyDescent="0.25" outlineLevel="1">
      <c r="C107" s="139" t="str">
        <f ca="1">C$93</f>
        <v>Asia Pacific</v>
      </c>
      <c r="D107" s="16"/>
      <c r="E107" s="16"/>
      <c r="F107" s="469">
        <v>0</v>
      </c>
      <c r="G107" s="469">
        <v>0</v>
      </c>
      <c r="H107" s="469">
        <v>0</v>
      </c>
      <c r="I107" s="469">
        <v>0</v>
      </c>
      <c r="J107" s="470">
        <f ca="1">SUM(F107:I107)</f>
        <v>1e-12</v>
      </c>
      <c r="K107" s="469">
        <v>0</v>
      </c>
      <c r="L107" s="469">
        <v>0</v>
      </c>
      <c r="M107" s="469">
        <v>0</v>
      </c>
      <c r="N107" s="469">
        <v>0</v>
      </c>
      <c r="O107" s="470">
        <f ca="1">SUM(K107:N107)</f>
        <v>1e-12</v>
      </c>
      <c r="P107" s="469">
        <v>0</v>
      </c>
      <c r="Q107" s="469">
        <v>0</v>
      </c>
      <c r="R107" s="469">
        <v>0</v>
      </c>
      <c r="S107" s="469">
        <v>0</v>
      </c>
      <c r="T107" s="470">
        <f ca="1">SUM(P107:S107)</f>
        <v>1e-12</v>
      </c>
      <c r="U107" s="469">
        <v>0</v>
      </c>
      <c r="V107" s="469">
        <v>0</v>
      </c>
      <c r="W107" s="469">
        <v>0</v>
      </c>
      <c r="X107" s="477">
        <v>0</v>
      </c>
      <c r="Y107" s="470">
        <f ca="1">SUM(U107:X107)</f>
        <v>1e-12</v>
      </c>
      <c r="Z107" s="477">
        <v>0</v>
      </c>
      <c r="AA107" s="477">
        <v>0</v>
      </c>
      <c r="AB107" s="477">
        <v>0</v>
      </c>
      <c r="AC107" s="477">
        <v>0</v>
      </c>
      <c r="AD107" s="470">
        <f ca="1">SUM(Z107:AC107)</f>
        <v>1e-12</v>
      </c>
      <c r="AE107" s="478">
        <v>0</v>
      </c>
      <c r="AF107" s="478">
        <v>0</v>
      </c>
      <c r="AG107" s="478">
        <v>0</v>
      </c>
    </row>
    <row r="108" ht="14.25" customHeight="1" hidden="1" spans="1:33" x14ac:dyDescent="0.25" outlineLevel="1">
      <c r="C108" s="16"/>
      <c r="D108" s="16"/>
      <c r="E108" s="16"/>
      <c r="F108" s="504"/>
      <c r="G108" s="504"/>
      <c r="H108" s="504"/>
      <c r="I108" s="504"/>
      <c r="J108" s="168"/>
      <c r="K108" s="504"/>
      <c r="L108" s="504"/>
      <c r="M108" s="504"/>
      <c r="N108" s="504"/>
      <c r="O108" s="168"/>
      <c r="P108" s="504"/>
      <c r="Q108" s="504"/>
      <c r="R108" s="504"/>
      <c r="S108" s="504"/>
      <c r="T108" s="168"/>
      <c r="U108" s="504"/>
      <c r="V108" s="504"/>
      <c r="W108" s="504"/>
      <c r="X108" s="505"/>
      <c r="Y108" s="168"/>
      <c r="Z108" s="505"/>
      <c r="AA108" s="505"/>
      <c r="AB108" s="505"/>
      <c r="AC108" s="505"/>
      <c r="AD108" s="168"/>
      <c r="AE108" s="506"/>
      <c r="AF108" s="506"/>
      <c r="AG108" s="506"/>
    </row>
    <row r="109" ht="14.25" customHeight="1" hidden="1" spans="1:33" x14ac:dyDescent="0.25" outlineLevel="1">
      <c r="C109" s="16" t="str">
        <f ca="1">'Segment Analysis'!C8</f>
        <v>Home Improvement Retail Revenue</v>
      </c>
      <c r="D109" s="16"/>
      <c r="E109" s="16"/>
      <c r="F109" s="504"/>
      <c r="G109" s="504"/>
      <c r="H109" s="504"/>
      <c r="I109" s="504"/>
      <c r="J109" s="168"/>
      <c r="K109" s="504"/>
      <c r="L109" s="504"/>
      <c r="M109" s="504"/>
      <c r="N109" s="504"/>
      <c r="O109" s="168"/>
      <c r="P109" s="504"/>
      <c r="Q109" s="504"/>
      <c r="R109" s="504"/>
      <c r="S109" s="504"/>
      <c r="T109" s="168"/>
      <c r="U109" s="504"/>
      <c r="V109" s="504"/>
      <c r="W109" s="504"/>
      <c r="X109" s="505"/>
      <c r="Y109" s="168"/>
      <c r="Z109" s="505"/>
      <c r="AA109" s="505"/>
      <c r="AB109" s="505"/>
      <c r="AC109" s="505"/>
      <c r="AD109" s="168"/>
      <c r="AE109" s="506"/>
      <c r="AF109" s="506"/>
      <c r="AG109" s="506"/>
    </row>
    <row r="110" ht="14.25" customHeight="1" hidden="1" spans="1:33" x14ac:dyDescent="0.25" outlineLevel="1">
      <c r="C110" s="139" t="str">
        <f ca="1">C$89</f>
        <v>North America</v>
      </c>
      <c r="D110" s="16"/>
      <c r="E110" s="16"/>
      <c r="F110" s="469">
        <v>0</v>
      </c>
      <c r="G110" s="469">
        <v>0</v>
      </c>
      <c r="H110" s="469">
        <v>0</v>
      </c>
      <c r="I110" s="469">
        <v>0</v>
      </c>
      <c r="J110" s="470">
        <f t="shared" ref="J110:J114" si="98" ca="1">SUM(F110:I110)</f>
        <v>1e-12</v>
      </c>
      <c r="K110" s="469">
        <v>0</v>
      </c>
      <c r="L110" s="469">
        <v>0</v>
      </c>
      <c r="M110" s="469">
        <v>0</v>
      </c>
      <c r="N110" s="469">
        <v>0</v>
      </c>
      <c r="O110" s="470">
        <f t="shared" ref="O110:O114" si="99" ca="1">SUM(K110:N110)</f>
        <v>1e-12</v>
      </c>
      <c r="P110" s="469">
        <v>0</v>
      </c>
      <c r="Q110" s="469">
        <v>0</v>
      </c>
      <c r="R110" s="469">
        <v>0</v>
      </c>
      <c r="S110" s="469">
        <v>0</v>
      </c>
      <c r="T110" s="470">
        <f t="shared" ref="T110:T114" si="100" ca="1">SUM(P110:S110)</f>
        <v>1e-12</v>
      </c>
      <c r="U110" s="469">
        <v>0</v>
      </c>
      <c r="V110" s="469">
        <v>0</v>
      </c>
      <c r="W110" s="469">
        <v>0</v>
      </c>
      <c r="X110" s="477">
        <v>0</v>
      </c>
      <c r="Y110" s="470">
        <f t="shared" ref="Y110:Y114" si="101" ca="1">SUM(U110:X110)</f>
        <v>1e-12</v>
      </c>
      <c r="Z110" s="477">
        <v>0</v>
      </c>
      <c r="AA110" s="477">
        <v>0</v>
      </c>
      <c r="AB110" s="477">
        <v>0</v>
      </c>
      <c r="AC110" s="477">
        <v>0</v>
      </c>
      <c r="AD110" s="470">
        <f t="shared" ref="AD110:AD114" si="102" ca="1">SUM(Z110:AC110)</f>
        <v>1e-12</v>
      </c>
      <c r="AE110" s="478">
        <v>0</v>
      </c>
      <c r="AF110" s="478">
        <v>0</v>
      </c>
      <c r="AG110" s="478">
        <v>0</v>
      </c>
    </row>
    <row r="111" ht="14.25" customHeight="1" hidden="1" spans="1:33" x14ac:dyDescent="0.25" outlineLevel="1">
      <c r="C111" s="139" t="str">
        <f ca="1">C$90</f>
        <v>Europe</v>
      </c>
      <c r="D111" s="16"/>
      <c r="E111" s="16"/>
      <c r="F111" s="469">
        <v>0</v>
      </c>
      <c r="G111" s="469">
        <v>0</v>
      </c>
      <c r="H111" s="469">
        <v>0</v>
      </c>
      <c r="I111" s="469">
        <v>0</v>
      </c>
      <c r="J111" s="470">
        <f ca="1">SUM(F111:I111)</f>
        <v>1e-12</v>
      </c>
      <c r="K111" s="469">
        <v>0</v>
      </c>
      <c r="L111" s="469">
        <v>0</v>
      </c>
      <c r="M111" s="469">
        <v>0</v>
      </c>
      <c r="N111" s="469">
        <v>0</v>
      </c>
      <c r="O111" s="470">
        <f ca="1">SUM(K111:N111)</f>
        <v>1e-12</v>
      </c>
      <c r="P111" s="469">
        <v>0</v>
      </c>
      <c r="Q111" s="469">
        <v>0</v>
      </c>
      <c r="R111" s="469">
        <v>0</v>
      </c>
      <c r="S111" s="469">
        <v>0</v>
      </c>
      <c r="T111" s="470">
        <f ca="1">SUM(P111:S111)</f>
        <v>1e-12</v>
      </c>
      <c r="U111" s="469">
        <v>0</v>
      </c>
      <c r="V111" s="469">
        <v>0</v>
      </c>
      <c r="W111" s="469">
        <v>0</v>
      </c>
      <c r="X111" s="477">
        <v>0</v>
      </c>
      <c r="Y111" s="470">
        <f ca="1">SUM(U111:X111)</f>
        <v>1e-12</v>
      </c>
      <c r="Z111" s="477">
        <v>0</v>
      </c>
      <c r="AA111" s="477">
        <v>0</v>
      </c>
      <c r="AB111" s="477">
        <v>0</v>
      </c>
      <c r="AC111" s="477">
        <v>0</v>
      </c>
      <c r="AD111" s="470">
        <f ca="1">SUM(Z111:AC111)</f>
        <v>1e-12</v>
      </c>
      <c r="AE111" s="478">
        <v>0</v>
      </c>
      <c r="AF111" s="478">
        <v>0</v>
      </c>
      <c r="AG111" s="478">
        <v>0</v>
      </c>
    </row>
    <row r="112" ht="14.25" customHeight="1" hidden="1" spans="1:33" x14ac:dyDescent="0.25" outlineLevel="1">
      <c r="C112" s="139" t="str">
        <f ca="1">C$91</f>
        <v>South America</v>
      </c>
      <c r="D112" s="16"/>
      <c r="E112" s="16"/>
      <c r="F112" s="469">
        <v>0</v>
      </c>
      <c r="G112" s="469">
        <v>0</v>
      </c>
      <c r="H112" s="469">
        <v>0</v>
      </c>
      <c r="I112" s="469">
        <v>0</v>
      </c>
      <c r="J112" s="470">
        <f ca="1">SUM(F112:I112)</f>
        <v>1e-12</v>
      </c>
      <c r="K112" s="469">
        <v>0</v>
      </c>
      <c r="L112" s="469">
        <v>0</v>
      </c>
      <c r="M112" s="469">
        <v>0</v>
      </c>
      <c r="N112" s="469">
        <v>0</v>
      </c>
      <c r="O112" s="470">
        <f ca="1">SUM(K112:N112)</f>
        <v>1e-12</v>
      </c>
      <c r="P112" s="469">
        <v>0</v>
      </c>
      <c r="Q112" s="469">
        <v>0</v>
      </c>
      <c r="R112" s="469">
        <v>0</v>
      </c>
      <c r="S112" s="469">
        <v>0</v>
      </c>
      <c r="T112" s="470">
        <f ca="1">SUM(P112:S112)</f>
        <v>1e-12</v>
      </c>
      <c r="U112" s="469">
        <v>0</v>
      </c>
      <c r="V112" s="469">
        <v>0</v>
      </c>
      <c r="W112" s="469">
        <v>0</v>
      </c>
      <c r="X112" s="477">
        <v>0</v>
      </c>
      <c r="Y112" s="470">
        <f ca="1">SUM(U112:X112)</f>
        <v>1e-12</v>
      </c>
      <c r="Z112" s="477">
        <v>0</v>
      </c>
      <c r="AA112" s="477">
        <v>0</v>
      </c>
      <c r="AB112" s="477">
        <v>0</v>
      </c>
      <c r="AC112" s="477">
        <v>0</v>
      </c>
      <c r="AD112" s="470">
        <f ca="1">SUM(Z112:AC112)</f>
        <v>1e-12</v>
      </c>
      <c r="AE112" s="478">
        <v>0</v>
      </c>
      <c r="AF112" s="478">
        <v>0</v>
      </c>
      <c r="AG112" s="478">
        <v>0</v>
      </c>
    </row>
    <row r="113" ht="14.25" customHeight="1" hidden="1" spans="1:33" x14ac:dyDescent="0.25" outlineLevel="1">
      <c r="C113" s="139" t="str">
        <f ca="1">C$92</f>
        <v>Middle East &amp; Africa</v>
      </c>
      <c r="D113" s="16"/>
      <c r="E113" s="16"/>
      <c r="F113" s="469">
        <v>0</v>
      </c>
      <c r="G113" s="469">
        <v>0</v>
      </c>
      <c r="H113" s="469">
        <v>0</v>
      </c>
      <c r="I113" s="469">
        <v>0</v>
      </c>
      <c r="J113" s="470">
        <f ca="1">SUM(F113:I113)</f>
        <v>1e-12</v>
      </c>
      <c r="K113" s="469">
        <v>0</v>
      </c>
      <c r="L113" s="469">
        <v>0</v>
      </c>
      <c r="M113" s="469">
        <v>0</v>
      </c>
      <c r="N113" s="469">
        <v>0</v>
      </c>
      <c r="O113" s="470">
        <f ca="1">SUM(K113:N113)</f>
        <v>1e-12</v>
      </c>
      <c r="P113" s="469">
        <v>0</v>
      </c>
      <c r="Q113" s="469">
        <v>0</v>
      </c>
      <c r="R113" s="469">
        <v>0</v>
      </c>
      <c r="S113" s="469">
        <v>0</v>
      </c>
      <c r="T113" s="470">
        <f ca="1">SUM(P113:S113)</f>
        <v>1e-12</v>
      </c>
      <c r="U113" s="469">
        <v>0</v>
      </c>
      <c r="V113" s="469">
        <v>0</v>
      </c>
      <c r="W113" s="469">
        <v>0</v>
      </c>
      <c r="X113" s="477">
        <v>0</v>
      </c>
      <c r="Y113" s="470">
        <f ca="1">SUM(U113:X113)</f>
        <v>1e-12</v>
      </c>
      <c r="Z113" s="477">
        <v>0</v>
      </c>
      <c r="AA113" s="477">
        <v>0</v>
      </c>
      <c r="AB113" s="477">
        <v>0</v>
      </c>
      <c r="AC113" s="477">
        <v>0</v>
      </c>
      <c r="AD113" s="470">
        <f ca="1">SUM(Z113:AC113)</f>
        <v>1e-12</v>
      </c>
      <c r="AE113" s="478">
        <v>0</v>
      </c>
      <c r="AF113" s="478">
        <v>0</v>
      </c>
      <c r="AG113" s="478">
        <v>0</v>
      </c>
    </row>
    <row r="114" ht="14.25" customHeight="1" hidden="1" spans="1:33" x14ac:dyDescent="0.25" outlineLevel="1">
      <c r="C114" s="139" t="str">
        <f ca="1">C$93</f>
        <v>Asia Pacific</v>
      </c>
      <c r="D114" s="16"/>
      <c r="E114" s="16"/>
      <c r="F114" s="469">
        <v>0</v>
      </c>
      <c r="G114" s="469">
        <v>0</v>
      </c>
      <c r="H114" s="469">
        <v>0</v>
      </c>
      <c r="I114" s="469">
        <v>0</v>
      </c>
      <c r="J114" s="470">
        <f ca="1">SUM(F114:I114)</f>
        <v>1e-12</v>
      </c>
      <c r="K114" s="469">
        <v>0</v>
      </c>
      <c r="L114" s="469">
        <v>0</v>
      </c>
      <c r="M114" s="469">
        <v>0</v>
      </c>
      <c r="N114" s="469">
        <v>0</v>
      </c>
      <c r="O114" s="470">
        <f ca="1">SUM(K114:N114)</f>
        <v>1e-12</v>
      </c>
      <c r="P114" s="469">
        <v>0</v>
      </c>
      <c r="Q114" s="469">
        <v>0</v>
      </c>
      <c r="R114" s="469">
        <v>0</v>
      </c>
      <c r="S114" s="469">
        <v>0</v>
      </c>
      <c r="T114" s="470">
        <f ca="1">SUM(P114:S114)</f>
        <v>1e-12</v>
      </c>
      <c r="U114" s="469">
        <v>0</v>
      </c>
      <c r="V114" s="469">
        <v>0</v>
      </c>
      <c r="W114" s="469">
        <v>0</v>
      </c>
      <c r="X114" s="477">
        <v>0</v>
      </c>
      <c r="Y114" s="470">
        <f ca="1">SUM(U114:X114)</f>
        <v>1e-12</v>
      </c>
      <c r="Z114" s="477">
        <v>0</v>
      </c>
      <c r="AA114" s="477">
        <v>0</v>
      </c>
      <c r="AB114" s="477">
        <v>0</v>
      </c>
      <c r="AC114" s="477">
        <v>0</v>
      </c>
      <c r="AD114" s="470">
        <f ca="1">SUM(Z114:AC114)</f>
        <v>1e-12</v>
      </c>
      <c r="AE114" s="478">
        <v>0</v>
      </c>
      <c r="AF114" s="478">
        <v>0</v>
      </c>
      <c r="AG114" s="478">
        <v>0</v>
      </c>
    </row>
    <row r="115" ht="14.25" customHeight="1" hidden="1" spans="1:33" x14ac:dyDescent="0.25" outlineLevel="1">
      <c r="C115" s="139"/>
      <c r="D115" s="16"/>
      <c r="E115" s="16"/>
      <c r="F115" s="504"/>
      <c r="G115" s="504"/>
      <c r="H115" s="504"/>
      <c r="I115" s="504"/>
      <c r="J115" s="168"/>
      <c r="K115" s="504"/>
      <c r="L115" s="504"/>
      <c r="M115" s="504"/>
      <c r="N115" s="504"/>
      <c r="O115" s="168"/>
      <c r="P115" s="504"/>
      <c r="Q115" s="504"/>
      <c r="R115" s="504"/>
      <c r="S115" s="504"/>
      <c r="T115" s="168"/>
      <c r="U115" s="504"/>
      <c r="V115" s="504"/>
      <c r="W115" s="504"/>
      <c r="X115" s="505"/>
      <c r="Y115" s="168"/>
      <c r="Z115" s="505"/>
      <c r="AA115" s="505"/>
      <c r="AB115" s="505"/>
      <c r="AC115" s="505"/>
      <c r="AD115" s="168"/>
      <c r="AE115" s="506"/>
      <c r="AF115" s="506"/>
      <c r="AG115" s="506"/>
    </row>
    <row r="116" ht="14.25" customHeight="1" hidden="1" spans="1:33" x14ac:dyDescent="0.25" outlineLevel="1">
      <c r="C116" s="16" t="str">
        <f ca="1">'Segment Analysis'!C10</f>
        <v>Segment 3 Revenue</v>
      </c>
      <c r="D116" s="16"/>
      <c r="E116" s="16"/>
      <c r="F116" s="504"/>
      <c r="G116" s="504"/>
      <c r="H116" s="504"/>
      <c r="I116" s="504"/>
      <c r="J116" s="168"/>
      <c r="K116" s="504"/>
      <c r="L116" s="504"/>
      <c r="M116" s="504"/>
      <c r="N116" s="504"/>
      <c r="O116" s="168"/>
      <c r="P116" s="504"/>
      <c r="Q116" s="504"/>
      <c r="R116" s="504"/>
      <c r="S116" s="504"/>
      <c r="T116" s="168"/>
      <c r="U116" s="504"/>
      <c r="V116" s="504"/>
      <c r="W116" s="504"/>
      <c r="X116" s="505"/>
      <c r="Y116" s="168"/>
      <c r="Z116" s="505"/>
      <c r="AA116" s="505"/>
      <c r="AB116" s="505"/>
      <c r="AC116" s="505"/>
      <c r="AD116" s="168"/>
      <c r="AE116" s="506"/>
      <c r="AF116" s="506"/>
      <c r="AG116" s="506"/>
    </row>
    <row r="117" ht="14.25" customHeight="1" hidden="1" spans="1:33" x14ac:dyDescent="0.25" outlineLevel="1">
      <c r="C117" s="139" t="str">
        <f ca="1">C$89</f>
        <v>North America</v>
      </c>
      <c r="D117" s="16"/>
      <c r="E117" s="16"/>
      <c r="F117" s="469">
        <v>0</v>
      </c>
      <c r="G117" s="469">
        <v>0</v>
      </c>
      <c r="H117" s="469">
        <v>0</v>
      </c>
      <c r="I117" s="469">
        <v>0</v>
      </c>
      <c r="J117" s="470">
        <f t="shared" ref="J117:J121" si="103" ca="1">SUM(F117:I117)</f>
        <v>1e-12</v>
      </c>
      <c r="K117" s="469">
        <v>0</v>
      </c>
      <c r="L117" s="469">
        <v>0</v>
      </c>
      <c r="M117" s="469">
        <v>0</v>
      </c>
      <c r="N117" s="469">
        <v>0</v>
      </c>
      <c r="O117" s="470">
        <f t="shared" ref="O117:O121" si="104" ca="1">SUM(K117:N117)</f>
        <v>1e-12</v>
      </c>
      <c r="P117" s="469">
        <v>0</v>
      </c>
      <c r="Q117" s="469">
        <v>0</v>
      </c>
      <c r="R117" s="469">
        <v>0</v>
      </c>
      <c r="S117" s="469">
        <v>0</v>
      </c>
      <c r="T117" s="470">
        <f t="shared" ref="T117:T121" si="105" ca="1">SUM(P117:S117)</f>
        <v>1e-12</v>
      </c>
      <c r="U117" s="469">
        <v>0</v>
      </c>
      <c r="V117" s="469">
        <v>0</v>
      </c>
      <c r="W117" s="469">
        <v>0</v>
      </c>
      <c r="X117" s="477">
        <v>0</v>
      </c>
      <c r="Y117" s="470">
        <f t="shared" ref="Y117:Y121" si="106" ca="1">SUM(U117:X117)</f>
        <v>1e-12</v>
      </c>
      <c r="Z117" s="477">
        <v>0</v>
      </c>
      <c r="AA117" s="477">
        <v>0</v>
      </c>
      <c r="AB117" s="477">
        <v>0</v>
      </c>
      <c r="AC117" s="477">
        <v>0</v>
      </c>
      <c r="AD117" s="470">
        <f t="shared" ref="AD117:AD121" si="107" ca="1">SUM(Z117:AC117)</f>
        <v>1e-12</v>
      </c>
      <c r="AE117" s="478">
        <v>0</v>
      </c>
      <c r="AF117" s="478">
        <v>0</v>
      </c>
      <c r="AG117" s="478">
        <v>0</v>
      </c>
    </row>
    <row r="118" ht="14.25" customHeight="1" hidden="1" spans="1:33" x14ac:dyDescent="0.25" outlineLevel="1">
      <c r="C118" s="139" t="str">
        <f ca="1">C$90</f>
        <v>Europe</v>
      </c>
      <c r="D118" s="16"/>
      <c r="E118" s="16"/>
      <c r="F118" s="469">
        <v>0</v>
      </c>
      <c r="G118" s="469">
        <v>0</v>
      </c>
      <c r="H118" s="469">
        <v>0</v>
      </c>
      <c r="I118" s="469">
        <v>0</v>
      </c>
      <c r="J118" s="470">
        <f ca="1">SUM(F118:I118)</f>
        <v>1e-12</v>
      </c>
      <c r="K118" s="469">
        <v>0</v>
      </c>
      <c r="L118" s="469">
        <v>0</v>
      </c>
      <c r="M118" s="469">
        <v>0</v>
      </c>
      <c r="N118" s="469">
        <v>0</v>
      </c>
      <c r="O118" s="470">
        <f ca="1">SUM(K118:N118)</f>
        <v>1e-12</v>
      </c>
      <c r="P118" s="469">
        <v>0</v>
      </c>
      <c r="Q118" s="469">
        <v>0</v>
      </c>
      <c r="R118" s="469">
        <v>0</v>
      </c>
      <c r="S118" s="469">
        <v>0</v>
      </c>
      <c r="T118" s="470">
        <f ca="1">SUM(P118:S118)</f>
        <v>1e-12</v>
      </c>
      <c r="U118" s="469">
        <v>0</v>
      </c>
      <c r="V118" s="469">
        <v>0</v>
      </c>
      <c r="W118" s="469">
        <v>0</v>
      </c>
      <c r="X118" s="477">
        <v>0</v>
      </c>
      <c r="Y118" s="470">
        <f ca="1">SUM(U118:X118)</f>
        <v>1e-12</v>
      </c>
      <c r="Z118" s="477">
        <v>0</v>
      </c>
      <c r="AA118" s="477">
        <v>0</v>
      </c>
      <c r="AB118" s="477">
        <v>0</v>
      </c>
      <c r="AC118" s="477">
        <v>0</v>
      </c>
      <c r="AD118" s="470">
        <f ca="1">SUM(Z118:AC118)</f>
        <v>1e-12</v>
      </c>
      <c r="AE118" s="478">
        <v>0</v>
      </c>
      <c r="AF118" s="478">
        <v>0</v>
      </c>
      <c r="AG118" s="478">
        <v>0</v>
      </c>
    </row>
    <row r="119" ht="14.25" customHeight="1" hidden="1" spans="1:33" x14ac:dyDescent="0.25" outlineLevel="1">
      <c r="C119" s="139" t="str">
        <f ca="1">C$91</f>
        <v>South America</v>
      </c>
      <c r="D119" s="16"/>
      <c r="E119" s="16"/>
      <c r="F119" s="469">
        <v>0</v>
      </c>
      <c r="G119" s="469">
        <v>0</v>
      </c>
      <c r="H119" s="469">
        <v>0</v>
      </c>
      <c r="I119" s="469">
        <v>0</v>
      </c>
      <c r="J119" s="470">
        <f ca="1">SUM(F119:I119)</f>
        <v>1e-12</v>
      </c>
      <c r="K119" s="469">
        <v>0</v>
      </c>
      <c r="L119" s="469">
        <v>0</v>
      </c>
      <c r="M119" s="469">
        <v>0</v>
      </c>
      <c r="N119" s="469">
        <v>0</v>
      </c>
      <c r="O119" s="470">
        <f ca="1">SUM(K119:N119)</f>
        <v>1e-12</v>
      </c>
      <c r="P119" s="469">
        <v>0</v>
      </c>
      <c r="Q119" s="469">
        <v>0</v>
      </c>
      <c r="R119" s="469">
        <v>0</v>
      </c>
      <c r="S119" s="469">
        <v>0</v>
      </c>
      <c r="T119" s="470">
        <f ca="1">SUM(P119:S119)</f>
        <v>1e-12</v>
      </c>
      <c r="U119" s="469">
        <v>0</v>
      </c>
      <c r="V119" s="469">
        <v>0</v>
      </c>
      <c r="W119" s="469">
        <v>0</v>
      </c>
      <c r="X119" s="477">
        <v>0</v>
      </c>
      <c r="Y119" s="470">
        <f ca="1">SUM(U119:X119)</f>
        <v>1e-12</v>
      </c>
      <c r="Z119" s="477">
        <v>0</v>
      </c>
      <c r="AA119" s="477">
        <v>0</v>
      </c>
      <c r="AB119" s="477">
        <v>0</v>
      </c>
      <c r="AC119" s="477">
        <v>0</v>
      </c>
      <c r="AD119" s="470">
        <f ca="1">SUM(Z119:AC119)</f>
        <v>1e-12</v>
      </c>
      <c r="AE119" s="478">
        <v>0</v>
      </c>
      <c r="AF119" s="478">
        <v>0</v>
      </c>
      <c r="AG119" s="478">
        <v>0</v>
      </c>
    </row>
    <row r="120" ht="14.25" customHeight="1" hidden="1" spans="1:33" x14ac:dyDescent="0.25" outlineLevel="1">
      <c r="C120" s="139" t="str">
        <f ca="1">C$92</f>
        <v>Middle East &amp; Africa</v>
      </c>
      <c r="D120" s="16"/>
      <c r="E120" s="16"/>
      <c r="F120" s="469">
        <v>0</v>
      </c>
      <c r="G120" s="469">
        <v>0</v>
      </c>
      <c r="H120" s="469">
        <v>0</v>
      </c>
      <c r="I120" s="469">
        <v>0</v>
      </c>
      <c r="J120" s="470">
        <f ca="1">SUM(F120:I120)</f>
        <v>1e-12</v>
      </c>
      <c r="K120" s="469">
        <v>0</v>
      </c>
      <c r="L120" s="469">
        <v>0</v>
      </c>
      <c r="M120" s="469">
        <v>0</v>
      </c>
      <c r="N120" s="469">
        <v>0</v>
      </c>
      <c r="O120" s="470">
        <f ca="1">SUM(K120:N120)</f>
        <v>1e-12</v>
      </c>
      <c r="P120" s="469">
        <v>0</v>
      </c>
      <c r="Q120" s="469">
        <v>0</v>
      </c>
      <c r="R120" s="469">
        <v>0</v>
      </c>
      <c r="S120" s="469">
        <v>0</v>
      </c>
      <c r="T120" s="470">
        <f ca="1">SUM(P120:S120)</f>
        <v>1e-12</v>
      </c>
      <c r="U120" s="469">
        <v>0</v>
      </c>
      <c r="V120" s="469">
        <v>0</v>
      </c>
      <c r="W120" s="469">
        <v>0</v>
      </c>
      <c r="X120" s="477">
        <v>0</v>
      </c>
      <c r="Y120" s="470">
        <f ca="1">SUM(U120:X120)</f>
        <v>1e-12</v>
      </c>
      <c r="Z120" s="477">
        <v>0</v>
      </c>
      <c r="AA120" s="477">
        <v>0</v>
      </c>
      <c r="AB120" s="477">
        <v>0</v>
      </c>
      <c r="AC120" s="477">
        <v>0</v>
      </c>
      <c r="AD120" s="470">
        <f ca="1">SUM(Z120:AC120)</f>
        <v>1e-12</v>
      </c>
      <c r="AE120" s="478">
        <v>0</v>
      </c>
      <c r="AF120" s="478">
        <v>0</v>
      </c>
      <c r="AG120" s="478">
        <v>0</v>
      </c>
    </row>
    <row r="121" ht="14.25" customHeight="1" hidden="1" spans="1:33" x14ac:dyDescent="0.25" outlineLevel="1">
      <c r="C121" s="139" t="str">
        <f ca="1">C$93</f>
        <v>Asia Pacific</v>
      </c>
      <c r="D121" s="16"/>
      <c r="E121" s="16"/>
      <c r="F121" s="469">
        <v>0</v>
      </c>
      <c r="G121" s="469">
        <v>0</v>
      </c>
      <c r="H121" s="469">
        <v>0</v>
      </c>
      <c r="I121" s="469">
        <v>0</v>
      </c>
      <c r="J121" s="470">
        <f ca="1">SUM(F121:I121)</f>
        <v>1e-12</v>
      </c>
      <c r="K121" s="469">
        <v>0</v>
      </c>
      <c r="L121" s="469">
        <v>0</v>
      </c>
      <c r="M121" s="469">
        <v>0</v>
      </c>
      <c r="N121" s="469">
        <v>0</v>
      </c>
      <c r="O121" s="470">
        <f ca="1">SUM(K121:N121)</f>
        <v>1e-12</v>
      </c>
      <c r="P121" s="469">
        <v>0</v>
      </c>
      <c r="Q121" s="469">
        <v>0</v>
      </c>
      <c r="R121" s="469">
        <v>0</v>
      </c>
      <c r="S121" s="469">
        <v>0</v>
      </c>
      <c r="T121" s="470">
        <f ca="1">SUM(P121:S121)</f>
        <v>1e-12</v>
      </c>
      <c r="U121" s="469">
        <v>0</v>
      </c>
      <c r="V121" s="469">
        <v>0</v>
      </c>
      <c r="W121" s="469">
        <v>0</v>
      </c>
      <c r="X121" s="477">
        <v>0</v>
      </c>
      <c r="Y121" s="470">
        <f ca="1">SUM(U121:X121)</f>
        <v>1e-12</v>
      </c>
      <c r="Z121" s="477">
        <v>0</v>
      </c>
      <c r="AA121" s="477">
        <v>0</v>
      </c>
      <c r="AB121" s="477">
        <v>0</v>
      </c>
      <c r="AC121" s="477">
        <v>0</v>
      </c>
      <c r="AD121" s="470">
        <f ca="1">SUM(Z121:AC121)</f>
        <v>1e-12</v>
      </c>
      <c r="AE121" s="478">
        <v>0</v>
      </c>
      <c r="AF121" s="478">
        <v>0</v>
      </c>
      <c r="AG121" s="478">
        <v>0</v>
      </c>
    </row>
    <row r="122" ht="14.25" customHeight="1" hidden="1" spans="1:33" x14ac:dyDescent="0.25" outlineLevel="1">
      <c r="C122" s="16"/>
      <c r="D122" s="16"/>
      <c r="E122" s="16"/>
      <c r="F122" s="504"/>
      <c r="G122" s="504"/>
      <c r="H122" s="504"/>
      <c r="I122" s="504"/>
      <c r="J122" s="168"/>
      <c r="K122" s="504"/>
      <c r="L122" s="504"/>
      <c r="M122" s="504"/>
      <c r="N122" s="504"/>
      <c r="O122" s="168"/>
      <c r="P122" s="504"/>
      <c r="Q122" s="504"/>
      <c r="R122" s="504"/>
      <c r="S122" s="504"/>
      <c r="T122" s="168"/>
      <c r="U122" s="504"/>
      <c r="V122" s="504"/>
      <c r="W122" s="504"/>
      <c r="X122" s="505"/>
      <c r="Y122" s="168"/>
      <c r="Z122" s="505"/>
      <c r="AA122" s="505"/>
      <c r="AB122" s="505"/>
      <c r="AC122" s="505"/>
      <c r="AD122" s="168"/>
      <c r="AE122" s="506"/>
      <c r="AF122" s="506"/>
      <c r="AG122" s="506"/>
    </row>
    <row r="123" ht="14.25" customHeight="1" hidden="1" spans="1:33" x14ac:dyDescent="0.25" outlineLevel="1">
      <c r="C123" s="16" t="str">
        <f ca="1">'Segment Analysis'!C11</f>
        <v>Segment 4 Revenue</v>
      </c>
      <c r="D123" s="16"/>
      <c r="E123" s="16"/>
      <c r="F123" s="504"/>
      <c r="G123" s="504"/>
      <c r="H123" s="504"/>
      <c r="I123" s="504"/>
      <c r="J123" s="168"/>
      <c r="K123" s="504"/>
      <c r="L123" s="504"/>
      <c r="M123" s="504"/>
      <c r="N123" s="504"/>
      <c r="O123" s="168"/>
      <c r="P123" s="504"/>
      <c r="Q123" s="504"/>
      <c r="R123" s="504"/>
      <c r="S123" s="504"/>
      <c r="T123" s="168"/>
      <c r="U123" s="504"/>
      <c r="V123" s="504"/>
      <c r="W123" s="504"/>
      <c r="X123" s="505"/>
      <c r="Y123" s="168"/>
      <c r="Z123" s="505"/>
      <c r="AA123" s="505"/>
      <c r="AB123" s="505"/>
      <c r="AC123" s="505"/>
      <c r="AD123" s="168"/>
      <c r="AE123" s="506"/>
      <c r="AF123" s="506"/>
      <c r="AG123" s="506"/>
    </row>
    <row r="124" ht="14.25" customHeight="1" hidden="1" spans="1:33" x14ac:dyDescent="0.25" outlineLevel="1">
      <c r="C124" s="139" t="str">
        <f ca="1">C$89</f>
        <v>North America</v>
      </c>
      <c r="D124" s="16"/>
      <c r="E124" s="16"/>
      <c r="F124" s="469">
        <v>0</v>
      </c>
      <c r="G124" s="469">
        <v>0</v>
      </c>
      <c r="H124" s="469">
        <v>0</v>
      </c>
      <c r="I124" s="469">
        <v>0</v>
      </c>
      <c r="J124" s="470">
        <f t="shared" ref="J124:J128" si="108" ca="1">SUM(F124:I124)</f>
        <v>1e-12</v>
      </c>
      <c r="K124" s="469">
        <v>0</v>
      </c>
      <c r="L124" s="469">
        <v>0</v>
      </c>
      <c r="M124" s="469">
        <v>0</v>
      </c>
      <c r="N124" s="469">
        <v>0</v>
      </c>
      <c r="O124" s="470">
        <f t="shared" ref="O124:O128" si="109" ca="1">SUM(K124:N124)</f>
        <v>1e-12</v>
      </c>
      <c r="P124" s="469">
        <v>0</v>
      </c>
      <c r="Q124" s="469">
        <v>0</v>
      </c>
      <c r="R124" s="469">
        <v>0</v>
      </c>
      <c r="S124" s="469">
        <v>0</v>
      </c>
      <c r="T124" s="470">
        <f t="shared" ref="T124:T128" si="110" ca="1">SUM(P124:S124)</f>
        <v>1e-12</v>
      </c>
      <c r="U124" s="469">
        <v>0</v>
      </c>
      <c r="V124" s="469">
        <v>0</v>
      </c>
      <c r="W124" s="469">
        <v>0</v>
      </c>
      <c r="X124" s="477">
        <v>0</v>
      </c>
      <c r="Y124" s="470">
        <f t="shared" ref="Y124:Y128" si="111" ca="1">SUM(U124:X124)</f>
        <v>1e-12</v>
      </c>
      <c r="Z124" s="477">
        <v>0</v>
      </c>
      <c r="AA124" s="477">
        <v>0</v>
      </c>
      <c r="AB124" s="477">
        <v>0</v>
      </c>
      <c r="AC124" s="477">
        <v>0</v>
      </c>
      <c r="AD124" s="470">
        <f t="shared" ref="AD124:AD128" si="112" ca="1">SUM(Z124:AC124)</f>
        <v>1e-12</v>
      </c>
      <c r="AE124" s="478">
        <v>0</v>
      </c>
      <c r="AF124" s="478">
        <v>0</v>
      </c>
      <c r="AG124" s="478">
        <v>0</v>
      </c>
    </row>
    <row r="125" ht="14.25" customHeight="1" hidden="1" spans="1:33" x14ac:dyDescent="0.25" outlineLevel="1">
      <c r="C125" s="139" t="str">
        <f ca="1">C$90</f>
        <v>Europe</v>
      </c>
      <c r="D125" s="16"/>
      <c r="E125" s="16"/>
      <c r="F125" s="469">
        <v>0</v>
      </c>
      <c r="G125" s="469">
        <v>0</v>
      </c>
      <c r="H125" s="469">
        <v>0</v>
      </c>
      <c r="I125" s="469">
        <v>0</v>
      </c>
      <c r="J125" s="470">
        <f ca="1">SUM(F125:I125)</f>
        <v>1e-12</v>
      </c>
      <c r="K125" s="469">
        <v>0</v>
      </c>
      <c r="L125" s="469">
        <v>0</v>
      </c>
      <c r="M125" s="469">
        <v>0</v>
      </c>
      <c r="N125" s="469">
        <v>0</v>
      </c>
      <c r="O125" s="470">
        <f ca="1">SUM(K125:N125)</f>
        <v>1e-12</v>
      </c>
      <c r="P125" s="469">
        <v>0</v>
      </c>
      <c r="Q125" s="469">
        <v>0</v>
      </c>
      <c r="R125" s="469">
        <v>0</v>
      </c>
      <c r="S125" s="469">
        <v>0</v>
      </c>
      <c r="T125" s="470">
        <f ca="1">SUM(P125:S125)</f>
        <v>1e-12</v>
      </c>
      <c r="U125" s="469">
        <v>0</v>
      </c>
      <c r="V125" s="469">
        <v>0</v>
      </c>
      <c r="W125" s="469">
        <v>0</v>
      </c>
      <c r="X125" s="477">
        <v>0</v>
      </c>
      <c r="Y125" s="470">
        <f ca="1">SUM(U125:X125)</f>
        <v>1e-12</v>
      </c>
      <c r="Z125" s="477">
        <v>0</v>
      </c>
      <c r="AA125" s="477">
        <v>0</v>
      </c>
      <c r="AB125" s="477">
        <v>0</v>
      </c>
      <c r="AC125" s="477">
        <v>0</v>
      </c>
      <c r="AD125" s="470">
        <f ca="1">SUM(Z125:AC125)</f>
        <v>1e-12</v>
      </c>
      <c r="AE125" s="478">
        <v>0</v>
      </c>
      <c r="AF125" s="478">
        <v>0</v>
      </c>
      <c r="AG125" s="478">
        <v>0</v>
      </c>
    </row>
    <row r="126" ht="14.25" customHeight="1" hidden="1" spans="1:33" x14ac:dyDescent="0.25" outlineLevel="1">
      <c r="C126" s="139" t="str">
        <f ca="1">C$91</f>
        <v>South America</v>
      </c>
      <c r="D126" s="16"/>
      <c r="E126" s="16"/>
      <c r="F126" s="469">
        <v>0</v>
      </c>
      <c r="G126" s="469">
        <v>0</v>
      </c>
      <c r="H126" s="469">
        <v>0</v>
      </c>
      <c r="I126" s="469">
        <v>0</v>
      </c>
      <c r="J126" s="470">
        <f ca="1">SUM(F126:I126)</f>
        <v>1e-12</v>
      </c>
      <c r="K126" s="469">
        <v>0</v>
      </c>
      <c r="L126" s="469">
        <v>0</v>
      </c>
      <c r="M126" s="469">
        <v>0</v>
      </c>
      <c r="N126" s="469">
        <v>0</v>
      </c>
      <c r="O126" s="470">
        <f ca="1">SUM(K126:N126)</f>
        <v>1e-12</v>
      </c>
      <c r="P126" s="469">
        <v>0</v>
      </c>
      <c r="Q126" s="469">
        <v>0</v>
      </c>
      <c r="R126" s="469">
        <v>0</v>
      </c>
      <c r="S126" s="469">
        <v>0</v>
      </c>
      <c r="T126" s="470">
        <f ca="1">SUM(P126:S126)</f>
        <v>1e-12</v>
      </c>
      <c r="U126" s="469">
        <v>0</v>
      </c>
      <c r="V126" s="469">
        <v>0</v>
      </c>
      <c r="W126" s="469">
        <v>0</v>
      </c>
      <c r="X126" s="477">
        <v>0</v>
      </c>
      <c r="Y126" s="470">
        <f ca="1">SUM(U126:X126)</f>
        <v>1e-12</v>
      </c>
      <c r="Z126" s="477">
        <v>0</v>
      </c>
      <c r="AA126" s="477">
        <v>0</v>
      </c>
      <c r="AB126" s="477">
        <v>0</v>
      </c>
      <c r="AC126" s="477">
        <v>0</v>
      </c>
      <c r="AD126" s="470">
        <f ca="1">SUM(Z126:AC126)</f>
        <v>1e-12</v>
      </c>
      <c r="AE126" s="478">
        <v>0</v>
      </c>
      <c r="AF126" s="478">
        <v>0</v>
      </c>
      <c r="AG126" s="478">
        <v>0</v>
      </c>
    </row>
    <row r="127" ht="14.25" customHeight="1" hidden="1" spans="1:33" x14ac:dyDescent="0.25" outlineLevel="1">
      <c r="C127" s="139" t="str">
        <f ca="1">C$92</f>
        <v>Middle East &amp; Africa</v>
      </c>
      <c r="D127" s="16"/>
      <c r="E127" s="16"/>
      <c r="F127" s="469">
        <v>0</v>
      </c>
      <c r="G127" s="469">
        <v>0</v>
      </c>
      <c r="H127" s="469">
        <v>0</v>
      </c>
      <c r="I127" s="469">
        <v>0</v>
      </c>
      <c r="J127" s="470">
        <f ca="1">SUM(F127:I127)</f>
        <v>1e-12</v>
      </c>
      <c r="K127" s="469">
        <v>0</v>
      </c>
      <c r="L127" s="469">
        <v>0</v>
      </c>
      <c r="M127" s="469">
        <v>0</v>
      </c>
      <c r="N127" s="469">
        <v>0</v>
      </c>
      <c r="O127" s="470">
        <f ca="1">SUM(K127:N127)</f>
        <v>1e-12</v>
      </c>
      <c r="P127" s="469">
        <v>0</v>
      </c>
      <c r="Q127" s="469">
        <v>0</v>
      </c>
      <c r="R127" s="469">
        <v>0</v>
      </c>
      <c r="S127" s="469">
        <v>0</v>
      </c>
      <c r="T127" s="470">
        <f ca="1">SUM(P127:S127)</f>
        <v>1e-12</v>
      </c>
      <c r="U127" s="469">
        <v>0</v>
      </c>
      <c r="V127" s="469">
        <v>0</v>
      </c>
      <c r="W127" s="469">
        <v>0</v>
      </c>
      <c r="X127" s="477">
        <v>0</v>
      </c>
      <c r="Y127" s="470">
        <f ca="1">SUM(U127:X127)</f>
        <v>1e-12</v>
      </c>
      <c r="Z127" s="477">
        <v>0</v>
      </c>
      <c r="AA127" s="477">
        <v>0</v>
      </c>
      <c r="AB127" s="477">
        <v>0</v>
      </c>
      <c r="AC127" s="477">
        <v>0</v>
      </c>
      <c r="AD127" s="470">
        <f ca="1">SUM(Z127:AC127)</f>
        <v>1e-12</v>
      </c>
      <c r="AE127" s="478">
        <v>0</v>
      </c>
      <c r="AF127" s="478">
        <v>0</v>
      </c>
      <c r="AG127" s="478">
        <v>0</v>
      </c>
    </row>
    <row r="128" ht="14.25" customHeight="1" hidden="1" spans="1:33" x14ac:dyDescent="0.25" outlineLevel="1">
      <c r="C128" s="139" t="str">
        <f ca="1">C$93</f>
        <v>Asia Pacific</v>
      </c>
      <c r="D128" s="16"/>
      <c r="E128" s="16"/>
      <c r="F128" s="469">
        <v>0</v>
      </c>
      <c r="G128" s="469">
        <v>0</v>
      </c>
      <c r="H128" s="469">
        <v>0</v>
      </c>
      <c r="I128" s="469">
        <v>0</v>
      </c>
      <c r="J128" s="470">
        <f ca="1">SUM(F128:I128)</f>
        <v>1e-12</v>
      </c>
      <c r="K128" s="469">
        <v>0</v>
      </c>
      <c r="L128" s="469">
        <v>0</v>
      </c>
      <c r="M128" s="469">
        <v>0</v>
      </c>
      <c r="N128" s="469">
        <v>0</v>
      </c>
      <c r="O128" s="470">
        <f ca="1">SUM(K128:N128)</f>
        <v>1e-12</v>
      </c>
      <c r="P128" s="469">
        <v>0</v>
      </c>
      <c r="Q128" s="469">
        <v>0</v>
      </c>
      <c r="R128" s="469">
        <v>0</v>
      </c>
      <c r="S128" s="469">
        <v>0</v>
      </c>
      <c r="T128" s="470">
        <f ca="1">SUM(P128:S128)</f>
        <v>1e-12</v>
      </c>
      <c r="U128" s="469">
        <v>0</v>
      </c>
      <c r="V128" s="469">
        <v>0</v>
      </c>
      <c r="W128" s="469">
        <v>0</v>
      </c>
      <c r="X128" s="477">
        <v>0</v>
      </c>
      <c r="Y128" s="470">
        <f ca="1">SUM(U128:X128)</f>
        <v>1e-12</v>
      </c>
      <c r="Z128" s="477">
        <v>0</v>
      </c>
      <c r="AA128" s="477">
        <v>0</v>
      </c>
      <c r="AB128" s="477">
        <v>0</v>
      </c>
      <c r="AC128" s="477">
        <v>0</v>
      </c>
      <c r="AD128" s="470">
        <f ca="1">SUM(Z128:AC128)</f>
        <v>1e-12</v>
      </c>
      <c r="AE128" s="478">
        <v>0</v>
      </c>
      <c r="AF128" s="478">
        <v>0</v>
      </c>
      <c r="AG128" s="478">
        <v>0</v>
      </c>
    </row>
    <row r="129" ht="14.25" customHeight="1" hidden="1" spans="1:33" x14ac:dyDescent="0.25" outlineLevel="1">
      <c r="C129" s="16"/>
      <c r="D129" s="16"/>
      <c r="E129" s="16"/>
      <c r="F129" s="504"/>
      <c r="G129" s="504"/>
      <c r="H129" s="504"/>
      <c r="I129" s="504"/>
      <c r="J129" s="168"/>
      <c r="K129" s="504"/>
      <c r="L129" s="504"/>
      <c r="M129" s="504"/>
      <c r="N129" s="504"/>
      <c r="O129" s="168"/>
      <c r="P129" s="504"/>
      <c r="Q129" s="504"/>
      <c r="R129" s="504"/>
      <c r="S129" s="504"/>
      <c r="T129" s="168"/>
      <c r="U129" s="504"/>
      <c r="V129" s="504"/>
      <c r="W129" s="504"/>
      <c r="X129" s="505"/>
      <c r="Y129" s="168"/>
      <c r="Z129" s="505"/>
      <c r="AA129" s="505"/>
      <c r="AB129" s="505"/>
      <c r="AC129" s="505"/>
      <c r="AD129" s="168"/>
      <c r="AE129" s="506"/>
      <c r="AF129" s="506"/>
      <c r="AG129" s="506"/>
    </row>
    <row r="130" ht="14.25" customHeight="1" hidden="1" spans="1:33" x14ac:dyDescent="0.25" outlineLevel="1">
      <c r="C130" s="16" t="str">
        <f ca="1">'Segment Analysis'!C12</f>
        <v>Segment 5 Revenue</v>
      </c>
      <c r="D130" s="16"/>
      <c r="E130" s="16"/>
      <c r="F130" s="504"/>
      <c r="G130" s="504"/>
      <c r="H130" s="504"/>
      <c r="I130" s="504"/>
      <c r="J130" s="168"/>
      <c r="K130" s="504"/>
      <c r="L130" s="504"/>
      <c r="M130" s="504"/>
      <c r="N130" s="504"/>
      <c r="O130" s="168"/>
      <c r="P130" s="504"/>
      <c r="Q130" s="504"/>
      <c r="R130" s="504"/>
      <c r="S130" s="504"/>
      <c r="T130" s="168"/>
      <c r="U130" s="504"/>
      <c r="V130" s="504"/>
      <c r="W130" s="504"/>
      <c r="X130" s="505"/>
      <c r="Y130" s="168"/>
      <c r="Z130" s="505"/>
      <c r="AA130" s="505"/>
      <c r="AB130" s="505"/>
      <c r="AC130" s="505"/>
      <c r="AD130" s="168"/>
      <c r="AE130" s="506"/>
      <c r="AF130" s="506"/>
      <c r="AG130" s="506"/>
    </row>
    <row r="131" ht="14.25" customHeight="1" hidden="1" spans="1:33" x14ac:dyDescent="0.25" outlineLevel="1">
      <c r="C131" s="139" t="str">
        <f ca="1">C$89</f>
        <v>North America</v>
      </c>
      <c r="D131" s="16"/>
      <c r="E131" s="16"/>
      <c r="F131" s="469">
        <v>0</v>
      </c>
      <c r="G131" s="469">
        <v>0</v>
      </c>
      <c r="H131" s="469">
        <v>0</v>
      </c>
      <c r="I131" s="469">
        <v>0</v>
      </c>
      <c r="J131" s="470">
        <f t="shared" ref="J131:J135" si="113" ca="1">SUM(F131:I131)</f>
        <v>1e-12</v>
      </c>
      <c r="K131" s="469">
        <v>0</v>
      </c>
      <c r="L131" s="469">
        <v>0</v>
      </c>
      <c r="M131" s="469">
        <v>0</v>
      </c>
      <c r="N131" s="469">
        <v>0</v>
      </c>
      <c r="O131" s="470">
        <f t="shared" ref="O131:O135" si="114" ca="1">SUM(K131:N131)</f>
        <v>1e-12</v>
      </c>
      <c r="P131" s="469">
        <v>0</v>
      </c>
      <c r="Q131" s="469">
        <v>0</v>
      </c>
      <c r="R131" s="469">
        <v>0</v>
      </c>
      <c r="S131" s="469">
        <v>0</v>
      </c>
      <c r="T131" s="470">
        <f t="shared" ref="T131:T135" si="115" ca="1">SUM(P131:S131)</f>
        <v>1e-12</v>
      </c>
      <c r="U131" s="469">
        <v>0</v>
      </c>
      <c r="V131" s="469">
        <v>0</v>
      </c>
      <c r="W131" s="469">
        <v>0</v>
      </c>
      <c r="X131" s="477">
        <v>0</v>
      </c>
      <c r="Y131" s="470">
        <f t="shared" ref="Y131:Y135" si="116" ca="1">SUM(U131:X131)</f>
        <v>1e-12</v>
      </c>
      <c r="Z131" s="477">
        <v>0</v>
      </c>
      <c r="AA131" s="477">
        <v>0</v>
      </c>
      <c r="AB131" s="477">
        <v>0</v>
      </c>
      <c r="AC131" s="477">
        <v>0</v>
      </c>
      <c r="AD131" s="470">
        <f t="shared" ref="AD131:AD135" si="117" ca="1">SUM(Z131:AC131)</f>
        <v>1e-12</v>
      </c>
      <c r="AE131" s="478">
        <v>0</v>
      </c>
      <c r="AF131" s="478">
        <v>0</v>
      </c>
      <c r="AG131" s="478">
        <v>0</v>
      </c>
    </row>
    <row r="132" ht="14.25" customHeight="1" hidden="1" spans="1:33" x14ac:dyDescent="0.25" outlineLevel="1">
      <c r="C132" s="139" t="str">
        <f ca="1">C$90</f>
        <v>Europe</v>
      </c>
      <c r="D132" s="16"/>
      <c r="E132" s="16"/>
      <c r="F132" s="469">
        <v>0</v>
      </c>
      <c r="G132" s="469">
        <v>0</v>
      </c>
      <c r="H132" s="469">
        <v>0</v>
      </c>
      <c r="I132" s="469">
        <v>0</v>
      </c>
      <c r="J132" s="470">
        <f ca="1">SUM(F132:I132)</f>
        <v>1e-12</v>
      </c>
      <c r="K132" s="469">
        <v>0</v>
      </c>
      <c r="L132" s="469">
        <v>0</v>
      </c>
      <c r="M132" s="469">
        <v>0</v>
      </c>
      <c r="N132" s="469">
        <v>0</v>
      </c>
      <c r="O132" s="470">
        <f ca="1">SUM(K132:N132)</f>
        <v>1e-12</v>
      </c>
      <c r="P132" s="469">
        <v>0</v>
      </c>
      <c r="Q132" s="469">
        <v>0</v>
      </c>
      <c r="R132" s="469">
        <v>0</v>
      </c>
      <c r="S132" s="469">
        <v>0</v>
      </c>
      <c r="T132" s="470">
        <f ca="1">SUM(P132:S132)</f>
        <v>1e-12</v>
      </c>
      <c r="U132" s="469">
        <v>0</v>
      </c>
      <c r="V132" s="469">
        <v>0</v>
      </c>
      <c r="W132" s="469">
        <v>0</v>
      </c>
      <c r="X132" s="477">
        <v>0</v>
      </c>
      <c r="Y132" s="470">
        <f ca="1">SUM(U132:X132)</f>
        <v>1e-12</v>
      </c>
      <c r="Z132" s="477">
        <v>0</v>
      </c>
      <c r="AA132" s="477">
        <v>0</v>
      </c>
      <c r="AB132" s="477">
        <v>0</v>
      </c>
      <c r="AC132" s="477">
        <v>0</v>
      </c>
      <c r="AD132" s="470">
        <f ca="1">SUM(Z132:AC132)</f>
        <v>1e-12</v>
      </c>
      <c r="AE132" s="478">
        <v>0</v>
      </c>
      <c r="AF132" s="478">
        <v>0</v>
      </c>
      <c r="AG132" s="478">
        <v>0</v>
      </c>
    </row>
    <row r="133" ht="14.25" customHeight="1" hidden="1" spans="1:33" x14ac:dyDescent="0.25" outlineLevel="1">
      <c r="C133" s="139" t="str">
        <f ca="1">C$91</f>
        <v>South America</v>
      </c>
      <c r="D133" s="16"/>
      <c r="E133" s="16"/>
      <c r="F133" s="469">
        <v>0</v>
      </c>
      <c r="G133" s="469">
        <v>0</v>
      </c>
      <c r="H133" s="469">
        <v>0</v>
      </c>
      <c r="I133" s="469">
        <v>0</v>
      </c>
      <c r="J133" s="470">
        <f ca="1">SUM(F133:I133)</f>
        <v>1e-12</v>
      </c>
      <c r="K133" s="469">
        <v>0</v>
      </c>
      <c r="L133" s="469">
        <v>0</v>
      </c>
      <c r="M133" s="469">
        <v>0</v>
      </c>
      <c r="N133" s="469">
        <v>0</v>
      </c>
      <c r="O133" s="470">
        <f ca="1">SUM(K133:N133)</f>
        <v>1e-12</v>
      </c>
      <c r="P133" s="469">
        <v>0</v>
      </c>
      <c r="Q133" s="469">
        <v>0</v>
      </c>
      <c r="R133" s="469">
        <v>0</v>
      </c>
      <c r="S133" s="469">
        <v>0</v>
      </c>
      <c r="T133" s="470">
        <f ca="1">SUM(P133:S133)</f>
        <v>1e-12</v>
      </c>
      <c r="U133" s="469">
        <v>0</v>
      </c>
      <c r="V133" s="469">
        <v>0</v>
      </c>
      <c r="W133" s="469">
        <v>0</v>
      </c>
      <c r="X133" s="477">
        <v>0</v>
      </c>
      <c r="Y133" s="470">
        <f ca="1">SUM(U133:X133)</f>
        <v>1e-12</v>
      </c>
      <c r="Z133" s="477">
        <v>0</v>
      </c>
      <c r="AA133" s="477">
        <v>0</v>
      </c>
      <c r="AB133" s="477">
        <v>0</v>
      </c>
      <c r="AC133" s="477">
        <v>0</v>
      </c>
      <c r="AD133" s="470">
        <f ca="1">SUM(Z133:AC133)</f>
        <v>1e-12</v>
      </c>
      <c r="AE133" s="478">
        <v>0</v>
      </c>
      <c r="AF133" s="478">
        <v>0</v>
      </c>
      <c r="AG133" s="478">
        <v>0</v>
      </c>
    </row>
    <row r="134" ht="14.25" customHeight="1" hidden="1" spans="1:33" x14ac:dyDescent="0.25" outlineLevel="1">
      <c r="C134" s="139" t="str">
        <f ca="1">C$92</f>
        <v>Middle East &amp; Africa</v>
      </c>
      <c r="D134" s="16"/>
      <c r="E134" s="16"/>
      <c r="F134" s="469">
        <v>0</v>
      </c>
      <c r="G134" s="469">
        <v>0</v>
      </c>
      <c r="H134" s="469">
        <v>0</v>
      </c>
      <c r="I134" s="469">
        <v>0</v>
      </c>
      <c r="J134" s="470">
        <f ca="1">SUM(F134:I134)</f>
        <v>1e-12</v>
      </c>
      <c r="K134" s="469">
        <v>0</v>
      </c>
      <c r="L134" s="469">
        <v>0</v>
      </c>
      <c r="M134" s="469">
        <v>0</v>
      </c>
      <c r="N134" s="469">
        <v>0</v>
      </c>
      <c r="O134" s="470">
        <f ca="1">SUM(K134:N134)</f>
        <v>1e-12</v>
      </c>
      <c r="P134" s="469">
        <v>0</v>
      </c>
      <c r="Q134" s="469">
        <v>0</v>
      </c>
      <c r="R134" s="469">
        <v>0</v>
      </c>
      <c r="S134" s="469">
        <v>0</v>
      </c>
      <c r="T134" s="470">
        <f ca="1">SUM(P134:S134)</f>
        <v>1e-12</v>
      </c>
      <c r="U134" s="469">
        <v>0</v>
      </c>
      <c r="V134" s="469">
        <v>0</v>
      </c>
      <c r="W134" s="469">
        <v>0</v>
      </c>
      <c r="X134" s="477">
        <v>0</v>
      </c>
      <c r="Y134" s="470">
        <f ca="1">SUM(U134:X134)</f>
        <v>1e-12</v>
      </c>
      <c r="Z134" s="477">
        <v>0</v>
      </c>
      <c r="AA134" s="477">
        <v>0</v>
      </c>
      <c r="AB134" s="477">
        <v>0</v>
      </c>
      <c r="AC134" s="477">
        <v>0</v>
      </c>
      <c r="AD134" s="470">
        <f ca="1">SUM(Z134:AC134)</f>
        <v>1e-12</v>
      </c>
      <c r="AE134" s="478">
        <v>0</v>
      </c>
      <c r="AF134" s="478">
        <v>0</v>
      </c>
      <c r="AG134" s="478">
        <v>0</v>
      </c>
    </row>
    <row r="135" ht="14.25" customHeight="1" hidden="1" spans="1:33" x14ac:dyDescent="0.25" outlineLevel="1">
      <c r="C135" s="139" t="str">
        <f ca="1">C$93</f>
        <v>Asia Pacific</v>
      </c>
      <c r="D135" s="16"/>
      <c r="E135" s="16"/>
      <c r="F135" s="469">
        <v>0</v>
      </c>
      <c r="G135" s="469">
        <v>0</v>
      </c>
      <c r="H135" s="469">
        <v>0</v>
      </c>
      <c r="I135" s="469">
        <v>0</v>
      </c>
      <c r="J135" s="470">
        <f ca="1">SUM(F135:I135)</f>
        <v>1e-12</v>
      </c>
      <c r="K135" s="469">
        <v>0</v>
      </c>
      <c r="L135" s="469">
        <v>0</v>
      </c>
      <c r="M135" s="469">
        <v>0</v>
      </c>
      <c r="N135" s="469">
        <v>0</v>
      </c>
      <c r="O135" s="470">
        <f ca="1">SUM(K135:N135)</f>
        <v>1e-12</v>
      </c>
      <c r="P135" s="469">
        <v>0</v>
      </c>
      <c r="Q135" s="469">
        <v>0</v>
      </c>
      <c r="R135" s="469">
        <v>0</v>
      </c>
      <c r="S135" s="469">
        <v>0</v>
      </c>
      <c r="T135" s="470">
        <f ca="1">SUM(P135:S135)</f>
        <v>1e-12</v>
      </c>
      <c r="U135" s="469">
        <v>0</v>
      </c>
      <c r="V135" s="469">
        <v>0</v>
      </c>
      <c r="W135" s="469">
        <v>0</v>
      </c>
      <c r="X135" s="477">
        <v>0</v>
      </c>
      <c r="Y135" s="470">
        <f ca="1">SUM(U135:X135)</f>
        <v>1e-12</v>
      </c>
      <c r="Z135" s="477">
        <v>0</v>
      </c>
      <c r="AA135" s="477">
        <v>0</v>
      </c>
      <c r="AB135" s="477">
        <v>0</v>
      </c>
      <c r="AC135" s="477">
        <v>0</v>
      </c>
      <c r="AD135" s="470">
        <f ca="1">SUM(Z135:AC135)</f>
        <v>1e-12</v>
      </c>
      <c r="AE135" s="478">
        <v>0</v>
      </c>
      <c r="AF135" s="478">
        <v>0</v>
      </c>
      <c r="AG135" s="478">
        <v>0</v>
      </c>
    </row>
    <row r="136" ht="14.25" customHeight="1" hidden="1" spans="1:33" x14ac:dyDescent="0.25" outlineLevel="1">
      <c r="C136" s="16"/>
      <c r="D136" s="16"/>
      <c r="E136" s="16"/>
      <c r="F136" s="504"/>
      <c r="G136" s="504"/>
      <c r="H136" s="504"/>
      <c r="I136" s="504"/>
      <c r="J136" s="168"/>
      <c r="K136" s="504"/>
      <c r="L136" s="504"/>
      <c r="M136" s="504"/>
      <c r="N136" s="504"/>
      <c r="O136" s="168"/>
      <c r="P136" s="504"/>
      <c r="Q136" s="504"/>
      <c r="R136" s="504"/>
      <c r="S136" s="504"/>
      <c r="T136" s="168"/>
      <c r="U136" s="504"/>
      <c r="V136" s="504"/>
      <c r="W136" s="504"/>
      <c r="X136" s="505"/>
      <c r="Y136" s="168"/>
      <c r="Z136" s="505"/>
      <c r="AA136" s="505"/>
      <c r="AB136" s="505"/>
      <c r="AC136" s="505"/>
      <c r="AD136" s="168"/>
      <c r="AE136" s="506"/>
      <c r="AF136" s="506"/>
      <c r="AG136" s="506"/>
    </row>
    <row r="137" ht="14.25" customHeight="1" hidden="1" spans="1:33" x14ac:dyDescent="0.25" outlineLevel="1">
      <c r="C137" s="16" t="str">
        <f ca="1">'Segment Analysis'!C13</f>
        <v>Segment 6 Revenue</v>
      </c>
      <c r="D137" s="16"/>
      <c r="E137" s="16"/>
      <c r="F137" s="504"/>
      <c r="G137" s="504"/>
      <c r="H137" s="504"/>
      <c r="I137" s="504"/>
      <c r="J137" s="168"/>
      <c r="K137" s="504"/>
      <c r="L137" s="504"/>
      <c r="M137" s="504"/>
      <c r="N137" s="504"/>
      <c r="O137" s="168"/>
      <c r="P137" s="504"/>
      <c r="Q137" s="504"/>
      <c r="R137" s="504"/>
      <c r="S137" s="504"/>
      <c r="T137" s="168"/>
      <c r="U137" s="504"/>
      <c r="V137" s="504"/>
      <c r="W137" s="504"/>
      <c r="X137" s="505"/>
      <c r="Y137" s="168"/>
      <c r="Z137" s="505"/>
      <c r="AA137" s="505"/>
      <c r="AB137" s="505"/>
      <c r="AC137" s="505"/>
      <c r="AD137" s="168"/>
      <c r="AE137" s="506"/>
      <c r="AF137" s="506"/>
      <c r="AG137" s="506"/>
    </row>
    <row r="138" ht="14.25" customHeight="1" hidden="1" spans="1:33" x14ac:dyDescent="0.25" outlineLevel="1">
      <c r="C138" s="139" t="str">
        <f ca="1">C$89</f>
        <v>North America</v>
      </c>
      <c r="D138" s="16"/>
      <c r="E138" s="16"/>
      <c r="F138" s="469">
        <v>0</v>
      </c>
      <c r="G138" s="469">
        <v>0</v>
      </c>
      <c r="H138" s="469">
        <v>0</v>
      </c>
      <c r="I138" s="469">
        <v>0</v>
      </c>
      <c r="J138" s="470">
        <f t="shared" ref="J138:J142" si="118" ca="1">SUM(F138:I138)</f>
        <v>1e-12</v>
      </c>
      <c r="K138" s="469">
        <v>0</v>
      </c>
      <c r="L138" s="469">
        <v>0</v>
      </c>
      <c r="M138" s="469">
        <v>0</v>
      </c>
      <c r="N138" s="469">
        <v>0</v>
      </c>
      <c r="O138" s="470">
        <f t="shared" ref="O138:O142" si="119" ca="1">SUM(K138:N138)</f>
        <v>1e-12</v>
      </c>
      <c r="P138" s="469">
        <v>0</v>
      </c>
      <c r="Q138" s="469">
        <v>0</v>
      </c>
      <c r="R138" s="469">
        <v>0</v>
      </c>
      <c r="S138" s="469">
        <v>0</v>
      </c>
      <c r="T138" s="470">
        <f t="shared" ref="T138:T142" si="120" ca="1">SUM(P138:S138)</f>
        <v>1e-12</v>
      </c>
      <c r="U138" s="469">
        <v>0</v>
      </c>
      <c r="V138" s="469">
        <v>0</v>
      </c>
      <c r="W138" s="469">
        <v>0</v>
      </c>
      <c r="X138" s="477">
        <v>0</v>
      </c>
      <c r="Y138" s="470">
        <f t="shared" ref="Y138:Y142" si="121" ca="1">SUM(U138:X138)</f>
        <v>1e-12</v>
      </c>
      <c r="Z138" s="477">
        <v>0</v>
      </c>
      <c r="AA138" s="477">
        <v>0</v>
      </c>
      <c r="AB138" s="477">
        <v>0</v>
      </c>
      <c r="AC138" s="477">
        <v>0</v>
      </c>
      <c r="AD138" s="470">
        <f t="shared" ref="AD138:AD142" si="122" ca="1">SUM(Z138:AC138)</f>
        <v>1e-12</v>
      </c>
      <c r="AE138" s="478">
        <v>0</v>
      </c>
      <c r="AF138" s="478">
        <v>0</v>
      </c>
      <c r="AG138" s="478">
        <v>0</v>
      </c>
    </row>
    <row r="139" ht="14.25" customHeight="1" hidden="1" spans="1:33" x14ac:dyDescent="0.25" outlineLevel="1">
      <c r="C139" s="139" t="str">
        <f ca="1">C$90</f>
        <v>Europe</v>
      </c>
      <c r="D139" s="16"/>
      <c r="E139" s="16"/>
      <c r="F139" s="469">
        <v>0</v>
      </c>
      <c r="G139" s="469">
        <v>0</v>
      </c>
      <c r="H139" s="469">
        <v>0</v>
      </c>
      <c r="I139" s="469">
        <v>0</v>
      </c>
      <c r="J139" s="470">
        <f ca="1">SUM(F139:I139)</f>
        <v>1e-12</v>
      </c>
      <c r="K139" s="469">
        <v>0</v>
      </c>
      <c r="L139" s="469">
        <v>0</v>
      </c>
      <c r="M139" s="469">
        <v>0</v>
      </c>
      <c r="N139" s="469">
        <v>0</v>
      </c>
      <c r="O139" s="470">
        <f ca="1">SUM(K139:N139)</f>
        <v>1e-12</v>
      </c>
      <c r="P139" s="469">
        <v>0</v>
      </c>
      <c r="Q139" s="469">
        <v>0</v>
      </c>
      <c r="R139" s="469">
        <v>0</v>
      </c>
      <c r="S139" s="469">
        <v>0</v>
      </c>
      <c r="T139" s="470">
        <f ca="1">SUM(P139:S139)</f>
        <v>1e-12</v>
      </c>
      <c r="U139" s="469">
        <v>0</v>
      </c>
      <c r="V139" s="469">
        <v>0</v>
      </c>
      <c r="W139" s="469">
        <v>0</v>
      </c>
      <c r="X139" s="477">
        <v>0</v>
      </c>
      <c r="Y139" s="470">
        <f ca="1">SUM(U139:X139)</f>
        <v>1e-12</v>
      </c>
      <c r="Z139" s="477">
        <v>0</v>
      </c>
      <c r="AA139" s="477">
        <v>0</v>
      </c>
      <c r="AB139" s="477">
        <v>0</v>
      </c>
      <c r="AC139" s="477">
        <v>0</v>
      </c>
      <c r="AD139" s="470">
        <f ca="1">SUM(Z139:AC139)</f>
        <v>1e-12</v>
      </c>
      <c r="AE139" s="478">
        <v>0</v>
      </c>
      <c r="AF139" s="478">
        <v>0</v>
      </c>
      <c r="AG139" s="478">
        <v>0</v>
      </c>
    </row>
    <row r="140" ht="14.25" customHeight="1" hidden="1" spans="1:33" x14ac:dyDescent="0.25" outlineLevel="1">
      <c r="C140" s="139" t="str">
        <f ca="1">C$91</f>
        <v>South America</v>
      </c>
      <c r="D140" s="16"/>
      <c r="E140" s="16"/>
      <c r="F140" s="469">
        <v>0</v>
      </c>
      <c r="G140" s="469">
        <v>0</v>
      </c>
      <c r="H140" s="469">
        <v>0</v>
      </c>
      <c r="I140" s="469">
        <v>0</v>
      </c>
      <c r="J140" s="470">
        <f ca="1">SUM(F140:I140)</f>
        <v>1e-12</v>
      </c>
      <c r="K140" s="469">
        <v>0</v>
      </c>
      <c r="L140" s="469">
        <v>0</v>
      </c>
      <c r="M140" s="469">
        <v>0</v>
      </c>
      <c r="N140" s="469">
        <v>0</v>
      </c>
      <c r="O140" s="470">
        <f ca="1">SUM(K140:N140)</f>
        <v>1e-12</v>
      </c>
      <c r="P140" s="469">
        <v>0</v>
      </c>
      <c r="Q140" s="469">
        <v>0</v>
      </c>
      <c r="R140" s="469">
        <v>0</v>
      </c>
      <c r="S140" s="469">
        <v>0</v>
      </c>
      <c r="T140" s="470">
        <f ca="1">SUM(P140:S140)</f>
        <v>1e-12</v>
      </c>
      <c r="U140" s="469">
        <v>0</v>
      </c>
      <c r="V140" s="469">
        <v>0</v>
      </c>
      <c r="W140" s="469">
        <v>0</v>
      </c>
      <c r="X140" s="477">
        <v>0</v>
      </c>
      <c r="Y140" s="470">
        <f ca="1">SUM(U140:X140)</f>
        <v>1e-12</v>
      </c>
      <c r="Z140" s="477">
        <v>0</v>
      </c>
      <c r="AA140" s="477">
        <v>0</v>
      </c>
      <c r="AB140" s="477">
        <v>0</v>
      </c>
      <c r="AC140" s="477">
        <v>0</v>
      </c>
      <c r="AD140" s="470">
        <f ca="1">SUM(Z140:AC140)</f>
        <v>1e-12</v>
      </c>
      <c r="AE140" s="478">
        <v>0</v>
      </c>
      <c r="AF140" s="478">
        <v>0</v>
      </c>
      <c r="AG140" s="478">
        <v>0</v>
      </c>
    </row>
    <row r="141" ht="14.25" customHeight="1" hidden="1" spans="1:33" x14ac:dyDescent="0.25" outlineLevel="1">
      <c r="C141" s="139" t="str">
        <f ca="1">C$92</f>
        <v>Middle East &amp; Africa</v>
      </c>
      <c r="D141" s="16"/>
      <c r="E141" s="16"/>
      <c r="F141" s="469">
        <v>0</v>
      </c>
      <c r="G141" s="469">
        <v>0</v>
      </c>
      <c r="H141" s="469">
        <v>0</v>
      </c>
      <c r="I141" s="469">
        <v>0</v>
      </c>
      <c r="J141" s="470">
        <f ca="1">SUM(F141:I141)</f>
        <v>1e-12</v>
      </c>
      <c r="K141" s="469">
        <v>0</v>
      </c>
      <c r="L141" s="469">
        <v>0</v>
      </c>
      <c r="M141" s="469">
        <v>0</v>
      </c>
      <c r="N141" s="469">
        <v>0</v>
      </c>
      <c r="O141" s="470">
        <f ca="1">SUM(K141:N141)</f>
        <v>1e-12</v>
      </c>
      <c r="P141" s="469">
        <v>0</v>
      </c>
      <c r="Q141" s="469">
        <v>0</v>
      </c>
      <c r="R141" s="469">
        <v>0</v>
      </c>
      <c r="S141" s="469">
        <v>0</v>
      </c>
      <c r="T141" s="470">
        <f ca="1">SUM(P141:S141)</f>
        <v>1e-12</v>
      </c>
      <c r="U141" s="469">
        <v>0</v>
      </c>
      <c r="V141" s="469">
        <v>0</v>
      </c>
      <c r="W141" s="469">
        <v>0</v>
      </c>
      <c r="X141" s="477">
        <v>0</v>
      </c>
      <c r="Y141" s="470">
        <f ca="1">SUM(U141:X141)</f>
        <v>1e-12</v>
      </c>
      <c r="Z141" s="477">
        <v>0</v>
      </c>
      <c r="AA141" s="477">
        <v>0</v>
      </c>
      <c r="AB141" s="477">
        <v>0</v>
      </c>
      <c r="AC141" s="477">
        <v>0</v>
      </c>
      <c r="AD141" s="470">
        <f ca="1">SUM(Z141:AC141)</f>
        <v>1e-12</v>
      </c>
      <c r="AE141" s="478">
        <v>0</v>
      </c>
      <c r="AF141" s="478">
        <v>0</v>
      </c>
      <c r="AG141" s="478">
        <v>0</v>
      </c>
    </row>
    <row r="142" ht="14.25" customHeight="1" hidden="1" spans="1:33" x14ac:dyDescent="0.25" outlineLevel="1">
      <c r="C142" s="139" t="str">
        <f ca="1">C$93</f>
        <v>Asia Pacific</v>
      </c>
      <c r="D142" s="16"/>
      <c r="E142" s="16"/>
      <c r="F142" s="469">
        <v>0</v>
      </c>
      <c r="G142" s="469">
        <v>0</v>
      </c>
      <c r="H142" s="469">
        <v>0</v>
      </c>
      <c r="I142" s="469">
        <v>0</v>
      </c>
      <c r="J142" s="470">
        <f ca="1">SUM(F142:I142)</f>
        <v>1e-12</v>
      </c>
      <c r="K142" s="469">
        <v>0</v>
      </c>
      <c r="L142" s="469">
        <v>0</v>
      </c>
      <c r="M142" s="469">
        <v>0</v>
      </c>
      <c r="N142" s="469">
        <v>0</v>
      </c>
      <c r="O142" s="470">
        <f ca="1">SUM(K142:N142)</f>
        <v>1e-12</v>
      </c>
      <c r="P142" s="469">
        <v>0</v>
      </c>
      <c r="Q142" s="469">
        <v>0</v>
      </c>
      <c r="R142" s="469">
        <v>0</v>
      </c>
      <c r="S142" s="469">
        <v>0</v>
      </c>
      <c r="T142" s="470">
        <f ca="1">SUM(P142:S142)</f>
        <v>1e-12</v>
      </c>
      <c r="U142" s="469">
        <v>0</v>
      </c>
      <c r="V142" s="469">
        <v>0</v>
      </c>
      <c r="W142" s="469">
        <v>0</v>
      </c>
      <c r="X142" s="477">
        <v>0</v>
      </c>
      <c r="Y142" s="470">
        <f ca="1">SUM(U142:X142)</f>
        <v>1e-12</v>
      </c>
      <c r="Z142" s="477">
        <v>0</v>
      </c>
      <c r="AA142" s="477">
        <v>0</v>
      </c>
      <c r="AB142" s="477">
        <v>0</v>
      </c>
      <c r="AC142" s="477">
        <v>0</v>
      </c>
      <c r="AD142" s="470">
        <f ca="1">SUM(Z142:AC142)</f>
        <v>1e-12</v>
      </c>
      <c r="AE142" s="478">
        <v>0</v>
      </c>
      <c r="AF142" s="478">
        <v>0</v>
      </c>
      <c r="AG142" s="478">
        <v>0</v>
      </c>
    </row>
    <row r="143" ht="14.25" customHeight="1" spans="1:33" x14ac:dyDescent="0.25">
      <c r="C143" s="16"/>
      <c r="D143" s="16"/>
      <c r="E143" s="16"/>
      <c r="F143" s="504"/>
      <c r="G143" s="504"/>
      <c r="H143" s="504"/>
      <c r="I143" s="504"/>
      <c r="J143" s="168"/>
      <c r="K143" s="504"/>
      <c r="L143" s="504"/>
      <c r="M143" s="504"/>
      <c r="N143" s="504"/>
      <c r="O143" s="168"/>
      <c r="P143" s="504"/>
      <c r="Q143" s="504"/>
      <c r="R143" s="504"/>
      <c r="S143" s="504"/>
      <c r="T143" s="168"/>
      <c r="U143" s="504"/>
      <c r="V143" s="504"/>
      <c r="W143" s="504"/>
      <c r="X143" s="505"/>
      <c r="Y143" s="168"/>
      <c r="Z143" s="505"/>
      <c r="AA143" s="505"/>
      <c r="AB143" s="505"/>
      <c r="AC143" s="505"/>
      <c r="AD143" s="168"/>
      <c r="AE143" s="506"/>
      <c r="AF143" s="506"/>
      <c r="AG143" s="506"/>
    </row>
    <row r="144" ht="14.25" customHeight="1" spans="1:33" x14ac:dyDescent="0.25">
      <c r="C144" s="43" t="s">
        <v>476</v>
      </c>
      <c r="D144" s="44"/>
      <c r="E144" s="44"/>
      <c r="F144" s="496"/>
      <c r="G144" s="496"/>
      <c r="H144" s="496"/>
      <c r="I144" s="496"/>
      <c r="J144" s="496"/>
      <c r="K144" s="496"/>
      <c r="L144" s="496"/>
      <c r="M144" s="496"/>
      <c r="N144" s="496"/>
      <c r="O144" s="496"/>
      <c r="P144" s="496"/>
      <c r="Q144" s="496"/>
      <c r="R144" s="496"/>
      <c r="S144" s="496"/>
      <c r="T144" s="496"/>
      <c r="U144" s="496"/>
      <c r="V144" s="496"/>
      <c r="W144" s="496"/>
      <c r="X144" s="496"/>
      <c r="Y144" s="496"/>
      <c r="Z144" s="496"/>
      <c r="AA144" s="496"/>
      <c r="AB144" s="496"/>
      <c r="AC144" s="496"/>
      <c r="AD144" s="496"/>
      <c r="AE144" s="496"/>
      <c r="AF144" s="496"/>
      <c r="AG144" s="497"/>
    </row>
    <row r="145" ht="14.25" customHeight="1" spans="1:33" x14ac:dyDescent="0.25">
      <c r="C145" s="16"/>
      <c r="D145" s="16"/>
      <c r="E145" s="16"/>
      <c r="F145" s="319"/>
      <c r="G145" s="319"/>
      <c r="H145" s="319"/>
      <c r="I145" s="319"/>
      <c r="J145" s="168"/>
      <c r="K145" s="319"/>
      <c r="L145" s="319"/>
      <c r="M145" s="319"/>
      <c r="N145" s="319"/>
      <c r="O145" s="168"/>
      <c r="P145" s="319"/>
      <c r="Q145" s="319"/>
      <c r="R145" s="319"/>
      <c r="S145" s="319"/>
      <c r="T145" s="168"/>
      <c r="U145" s="319"/>
      <c r="V145" s="319"/>
      <c r="W145" s="319"/>
      <c r="X145" s="322"/>
      <c r="Y145" s="168"/>
      <c r="Z145" s="322"/>
      <c r="AA145" s="322"/>
      <c r="AB145" s="322"/>
      <c r="AC145" s="322"/>
      <c r="AD145" s="168"/>
      <c r="AE145" s="168"/>
      <c r="AF145" s="168"/>
      <c r="AG145" s="168"/>
    </row>
    <row r="146" ht="14.25" customHeight="1" hidden="1" spans="1:33" x14ac:dyDescent="0.25" outlineLevel="1">
      <c r="C146" s="16" t="s">
        <v>113</v>
      </c>
      <c r="D146" s="16"/>
      <c r="E146" s="16"/>
      <c r="F146" s="377">
        <f ca="1">IFERROR(Model!F61/Model!F28,"N/A")</f>
        <v>0.10512672811059907</v>
      </c>
      <c r="G146" s="377">
        <f ca="1">IFERROR(Model!G61/Model!G28,"N/A")</f>
        <v>0.12825258521639218</v>
      </c>
      <c r="H146" s="377">
        <f ca="1">IFERROR(Model!H61/Model!H28,"N/A")</f>
        <v>0.09186448463967843</v>
      </c>
      <c r="I146" s="377">
        <f ca="1">IFERROR(Model!I61/Model!I28,"N/A")</f>
        <v>0.07911478972261282</v>
      </c>
      <c r="J146" s="378">
        <f ca="1">IFERROR(Model!J61/Model!J28,"N/A")</f>
        <v>0.10295460601046151</v>
      </c>
      <c r="K146" s="377">
        <f ca="1">IFERROR(Model!K61/Model!K28,"N/A")</f>
        <v>0.09285102305394284</v>
      </c>
      <c r="L146" s="377">
        <f ca="1">IFERROR(Model!L61/Model!L28,"N/A")</f>
        <v>0.1286113757621951</v>
      </c>
      <c r="M146" s="377">
        <f ca="1">IFERROR(Model!M61/Model!M28,"N/A")</f>
        <v>0.10964458247066942</v>
      </c>
      <c r="N146" s="377">
        <f ca="1">IFERROR(Model!N61/Model!N28,"N/A")</f>
        <v>0.09427341361452549</v>
      </c>
      <c r="O146" s="378">
        <f ca="1">IFERROR(Model!O61/Model!O28,"N/A")</f>
        <v>0.10761906081942674</v>
      </c>
      <c r="P146" s="377">
        <f ca="1">IFERROR(Model!P61/Model!P28,"N/A")</f>
        <v>0.11814790343074968</v>
      </c>
      <c r="Q146" s="377">
        <f ca="1">IFERROR(Model!Q61/Model!Q28,"N/A")</f>
        <v>0.15718738553952094</v>
      </c>
      <c r="R146" s="377">
        <f ca="1">IFERROR(Model!R61/Model!R28,"N/A")</f>
        <v>0.14957102514680176</v>
      </c>
      <c r="S146" s="377">
        <f ca="1">IFERROR(Model!S61/Model!S28,"N/A")</f>
        <v>0.1555314854019989</v>
      </c>
      <c r="T146" s="378">
        <f ca="1">IFERROR(Model!T61/Model!T28,"N/A")</f>
        <v>0.14634273468977757</v>
      </c>
      <c r="U146" s="377">
        <f ca="1">IFERROR(Model!U61/Model!U28,"N/A")</f>
        <v>0.14888215543362543</v>
      </c>
      <c r="V146" s="377">
        <f ca="1">IFERROR(Model!V61/Model!V28,"N/A")</f>
        <v>0.16753717809212912</v>
      </c>
      <c r="W146" s="377">
        <f ca="1">IFERROR(Model!W61/Model!W28,"N/A")</f>
        <v>0.13993367658608954</v>
      </c>
      <c r="X146" s="379" t="str">
        <f ca="1">IFERROR(Model!X61/Model!X28,"N/A")</f>
        <v>N/A</v>
      </c>
      <c r="Y146" s="378" t="str">
        <f ca="1">IFERROR(Model!Y61/Model!Y28,"N/A")</f>
        <v>N/A</v>
      </c>
      <c r="Z146" s="379" t="str">
        <f ca="1">IFERROR(Model!Z61/Model!Z28,"N/A")</f>
        <v>N/A</v>
      </c>
      <c r="AA146" s="379" t="str">
        <f ca="1">IFERROR(Model!AA61/Model!AA28,"N/A")</f>
        <v>N/A</v>
      </c>
      <c r="AB146" s="379" t="str">
        <f ca="1">IFERROR(Model!AB61/Model!AB28,"N/A")</f>
        <v>N/A</v>
      </c>
      <c r="AC146" s="379" t="str">
        <f ca="1">IFERROR(Model!AC61/Model!AC28,"N/A")</f>
        <v>N/A</v>
      </c>
      <c r="AD146" s="378" t="str">
        <f ca="1">IFERROR(Model!AD61/Model!AD28,"N/A")</f>
        <v>N/A</v>
      </c>
      <c r="AE146" s="378" t="str">
        <f ca="1">IFERROR(Model!AE61/Model!AE28,"N/A")</f>
        <v>N/A</v>
      </c>
      <c r="AF146" s="378" t="str">
        <f ca="1">IFERROR(Model!AF61/Model!AF28,"N/A")</f>
        <v>N/A</v>
      </c>
      <c r="AG146" s="378" t="str">
        <f ca="1">IFERROR(Model!AG61/Model!AG28,"N/A")</f>
        <v>N/A</v>
      </c>
    </row>
    <row r="147" ht="14.25" customHeight="1" hidden="1" spans="1:33" x14ac:dyDescent="0.25" outlineLevel="1">
      <c r="C147" s="16" t="str">
        <f t="shared" ref="C147:C152" si="123" ca="1">C16</f>
        <v>Home Improvement Retail</v>
      </c>
      <c r="D147" s="16"/>
      <c r="E147" s="16"/>
      <c r="F147" s="377"/>
      <c r="G147" s="377"/>
      <c r="H147" s="377"/>
      <c r="I147" s="377"/>
      <c r="J147" s="378"/>
      <c r="K147" s="377"/>
      <c r="L147" s="377"/>
      <c r="M147" s="377"/>
      <c r="N147" s="377"/>
      <c r="O147" s="378"/>
      <c r="P147" s="377"/>
      <c r="Q147" s="377"/>
      <c r="R147" s="377"/>
      <c r="S147" s="377"/>
      <c r="T147" s="378"/>
      <c r="U147" s="377"/>
      <c r="V147" s="377"/>
      <c r="W147" s="377"/>
      <c r="X147" s="379"/>
      <c r="Y147" s="378"/>
      <c r="Z147" s="379"/>
      <c r="AA147" s="379"/>
      <c r="AB147" s="379"/>
      <c r="AC147" s="379"/>
      <c r="AD147" s="378"/>
      <c r="AE147" s="378"/>
      <c r="AF147" s="378"/>
      <c r="AG147" s="378"/>
    </row>
    <row r="148" ht="14.25" customHeight="1" hidden="1" spans="1:33" x14ac:dyDescent="0.25" outlineLevel="1">
      <c r="C148" s="16" t="str">
        <f ca="1">C17</f>
        <v>Segment 2</v>
      </c>
      <c r="D148" s="16"/>
      <c r="E148" s="16"/>
      <c r="F148" s="377"/>
      <c r="G148" s="377"/>
      <c r="H148" s="377"/>
      <c r="I148" s="377"/>
      <c r="J148" s="378"/>
      <c r="K148" s="377"/>
      <c r="L148" s="377"/>
      <c r="M148" s="377"/>
      <c r="N148" s="377"/>
      <c r="O148" s="378"/>
      <c r="P148" s="377"/>
      <c r="Q148" s="377"/>
      <c r="R148" s="377"/>
      <c r="S148" s="377"/>
      <c r="T148" s="378"/>
      <c r="U148" s="377"/>
      <c r="V148" s="377"/>
      <c r="W148" s="377"/>
      <c r="X148" s="379"/>
      <c r="Y148" s="378"/>
      <c r="Z148" s="379"/>
      <c r="AA148" s="379"/>
      <c r="AB148" s="379"/>
      <c r="AC148" s="379"/>
      <c r="AD148" s="378"/>
      <c r="AE148" s="378"/>
      <c r="AF148" s="378"/>
      <c r="AG148" s="378"/>
    </row>
    <row r="149" ht="14.25" customHeight="1" hidden="1" spans="1:33" x14ac:dyDescent="0.25" outlineLevel="1">
      <c r="C149" s="16" t="str">
        <f ca="1">C18</f>
        <v>Segment 3</v>
      </c>
      <c r="D149" s="16"/>
      <c r="E149" s="16"/>
      <c r="F149" s="377"/>
      <c r="G149" s="377"/>
      <c r="H149" s="377"/>
      <c r="I149" s="377"/>
      <c r="J149" s="378"/>
      <c r="K149" s="377"/>
      <c r="L149" s="377"/>
      <c r="M149" s="377"/>
      <c r="N149" s="377"/>
      <c r="O149" s="378"/>
      <c r="P149" s="377"/>
      <c r="Q149" s="377"/>
      <c r="R149" s="377"/>
      <c r="S149" s="377"/>
      <c r="T149" s="378"/>
      <c r="U149" s="377"/>
      <c r="V149" s="377"/>
      <c r="W149" s="377"/>
      <c r="X149" s="379"/>
      <c r="Y149" s="378"/>
      <c r="Z149" s="379"/>
      <c r="AA149" s="379"/>
      <c r="AB149" s="379"/>
      <c r="AC149" s="379"/>
      <c r="AD149" s="378"/>
      <c r="AE149" s="378"/>
      <c r="AF149" s="378"/>
      <c r="AG149" s="378"/>
    </row>
    <row r="150" ht="14.25" customHeight="1" hidden="1" spans="1:33" x14ac:dyDescent="0.25" outlineLevel="1">
      <c r="C150" s="16" t="str">
        <f ca="1">C19</f>
        <v>Segment 4</v>
      </c>
      <c r="D150" s="16"/>
      <c r="E150" s="16"/>
      <c r="F150" s="377"/>
      <c r="G150" s="377"/>
      <c r="H150" s="377"/>
      <c r="I150" s="377"/>
      <c r="J150" s="378"/>
      <c r="K150" s="377"/>
      <c r="L150" s="377"/>
      <c r="M150" s="377"/>
      <c r="N150" s="377"/>
      <c r="O150" s="378"/>
      <c r="P150" s="377"/>
      <c r="Q150" s="377"/>
      <c r="R150" s="377"/>
      <c r="S150" s="377"/>
      <c r="T150" s="378"/>
      <c r="U150" s="377"/>
      <c r="V150" s="377"/>
      <c r="W150" s="377"/>
      <c r="X150" s="379"/>
      <c r="Y150" s="378"/>
      <c r="Z150" s="379"/>
      <c r="AA150" s="379"/>
      <c r="AB150" s="379"/>
      <c r="AC150" s="379"/>
      <c r="AD150" s="378"/>
      <c r="AE150" s="378"/>
      <c r="AF150" s="378"/>
      <c r="AG150" s="378"/>
    </row>
    <row r="151" ht="14.25" customHeight="1" hidden="1" spans="1:33" x14ac:dyDescent="0.25" outlineLevel="1">
      <c r="C151" s="16" t="str">
        <f ca="1">C20</f>
        <v>Segment 5</v>
      </c>
      <c r="D151" s="16"/>
      <c r="E151" s="16"/>
      <c r="F151" s="377"/>
      <c r="G151" s="377"/>
      <c r="H151" s="377"/>
      <c r="I151" s="377"/>
      <c r="J151" s="378"/>
      <c r="K151" s="377"/>
      <c r="L151" s="377"/>
      <c r="M151" s="377"/>
      <c r="N151" s="377"/>
      <c r="O151" s="378"/>
      <c r="P151" s="377"/>
      <c r="Q151" s="377"/>
      <c r="R151" s="377"/>
      <c r="S151" s="377"/>
      <c r="T151" s="378"/>
      <c r="U151" s="377"/>
      <c r="V151" s="377"/>
      <c r="W151" s="377"/>
      <c r="X151" s="379"/>
      <c r="Y151" s="378"/>
      <c r="Z151" s="379"/>
      <c r="AA151" s="379"/>
      <c r="AB151" s="379"/>
      <c r="AC151" s="379"/>
      <c r="AD151" s="378"/>
      <c r="AE151" s="378"/>
      <c r="AF151" s="378"/>
      <c r="AG151" s="378"/>
    </row>
    <row r="152" ht="14.25" customHeight="1" hidden="1" spans="1:33" x14ac:dyDescent="0.25" outlineLevel="1">
      <c r="C152" s="16" t="str">
        <f ca="1">C21</f>
        <v>Segment 6</v>
      </c>
      <c r="D152" s="16"/>
      <c r="E152" s="16"/>
      <c r="F152" s="319"/>
      <c r="G152" s="319"/>
      <c r="H152" s="319"/>
      <c r="I152" s="319"/>
      <c r="J152" s="168"/>
      <c r="K152" s="319"/>
      <c r="L152" s="319"/>
      <c r="M152" s="319"/>
      <c r="N152" s="319"/>
      <c r="O152" s="168"/>
      <c r="P152" s="319"/>
      <c r="Q152" s="319"/>
      <c r="R152" s="319"/>
      <c r="S152" s="319"/>
      <c r="T152" s="168"/>
      <c r="U152" s="319"/>
      <c r="V152" s="319"/>
      <c r="W152" s="319"/>
      <c r="X152" s="322"/>
      <c r="Y152" s="168"/>
      <c r="Z152" s="322"/>
      <c r="AA152" s="322"/>
      <c r="AB152" s="322"/>
      <c r="AC152" s="322"/>
      <c r="AD152" s="168"/>
      <c r="AE152" s="168"/>
      <c r="AF152" s="168"/>
      <c r="AG152" s="168"/>
    </row>
    <row r="153" ht="14.25" customHeight="1" spans="1:33" x14ac:dyDescent="0.25">
      <c r="C153" s="16"/>
      <c r="D153" s="16"/>
      <c r="E153" s="16"/>
      <c r="F153" s="319"/>
      <c r="G153" s="319"/>
      <c r="H153" s="319"/>
      <c r="I153" s="319"/>
      <c r="J153" s="168"/>
      <c r="K153" s="319"/>
      <c r="L153" s="319"/>
      <c r="M153" s="319"/>
      <c r="N153" s="319"/>
      <c r="O153" s="168"/>
      <c r="P153" s="319"/>
      <c r="Q153" s="319"/>
      <c r="R153" s="319"/>
      <c r="S153" s="319"/>
      <c r="T153" s="168"/>
      <c r="U153" s="319"/>
      <c r="V153" s="319"/>
      <c r="W153" s="319"/>
      <c r="X153" s="322"/>
      <c r="Y153" s="168"/>
      <c r="Z153" s="322"/>
      <c r="AA153" s="322"/>
      <c r="AB153" s="322"/>
      <c r="AC153" s="322"/>
      <c r="AD153" s="168"/>
      <c r="AE153" s="168"/>
      <c r="AF153" s="168"/>
      <c r="AG153" s="168"/>
    </row>
    <row r="154" ht="14.25" customHeight="1" spans="1:33" x14ac:dyDescent="0.25">
      <c r="C154" s="16" t="s">
        <v>114</v>
      </c>
      <c r="D154" s="16"/>
      <c r="E154" s="16"/>
      <c r="F154" s="377">
        <f ca="1">IFERROR(Model!F36/Model!F28,"N/A")</f>
        <v>0.08438940092165899</v>
      </c>
      <c r="G154" s="377">
        <f ca="1">IFERROR(Model!G36/Model!G28,"N/A")</f>
        <v>0.10355227882037533</v>
      </c>
      <c r="H154" s="377">
        <f ca="1">IFERROR(Model!H36/Model!H28,"N/A")</f>
        <v>0.0549526270456503</v>
      </c>
      <c r="I154" s="377">
        <f ca="1">IFERROR(Model!I36/Model!I28,"N/A")</f>
        <v>-0.036239294388342065</v>
      </c>
      <c r="J154" s="378">
        <f ca="1">IFERROR(Model!J36/Model!J28,"N/A")</f>
        <v>0.05634632374595072</v>
      </c>
      <c r="K154" s="377">
        <f ca="1">IFERROR(Model!K36/Model!K28,"N/A")</f>
        <v>0.07987148413279974</v>
      </c>
      <c r="L154" s="377">
        <f ca="1">IFERROR(Model!L36/Model!L28,"N/A")</f>
        <v>0.11342416158536585</v>
      </c>
      <c r="M154" s="377">
        <f ca="1">IFERROR(Model!M36/Model!M28,"N/A")</f>
        <v>0.08960202438463308</v>
      </c>
      <c r="N154" s="377">
        <f ca="1">IFERROR(Model!N36/Model!N28,"N/A")</f>
        <v>0.05977413115367817</v>
      </c>
      <c r="O154" s="378">
        <f ca="1">IFERROR(Model!O36/Model!O28,"N/A")</f>
        <v>0.08751455341797416</v>
      </c>
      <c r="P154" s="377">
        <f ca="1">IFERROR(Model!P36/Model!P28,"N/A")</f>
        <v>0.10119440914866581</v>
      </c>
      <c r="Q154" s="377">
        <f ca="1">IFERROR(Model!Q36/Model!Q28,"N/A")</f>
        <v>0.14493443703757966</v>
      </c>
      <c r="R154" s="377">
        <f ca="1">IFERROR(Model!R36/Model!R28,"N/A")</f>
        <v>0.09749428481778655</v>
      </c>
      <c r="S154" s="377">
        <f ca="1">IFERROR(Model!S36/Model!S28,"N/A")</f>
        <v>0.13633006745113485</v>
      </c>
      <c r="T154" s="378">
        <f ca="1">IFERROR(Model!T36/Model!T28,"N/A")</f>
        <v>0.12156657030927374</v>
      </c>
      <c r="U154" s="377">
        <f ca="1">IFERROR(Model!U36/Model!U28,"N/A")</f>
        <v>0.132872000655147</v>
      </c>
      <c r="V154" s="377">
        <f ca="1">IFERROR(Model!V36/Model!V28,"N/A")</f>
        <v>0.15270221254987304</v>
      </c>
      <c r="W154" s="377">
        <f ca="1">IFERROR(Model!W36/Model!W28,"N/A")</f>
        <v>0.1216947377607121</v>
      </c>
      <c r="X154" s="379">
        <f ca="1">IFERROR(Model!X36/Model!X28,"N/A")</f>
        <v>-0.10521155515545128</v>
      </c>
      <c r="Y154" s="378">
        <f ca="1">IFERROR(Model!Y36/Model!Y28,"N/A")</f>
        <v>0.08226262669098001</v>
      </c>
      <c r="Z154" s="379">
        <f ca="1">IFERROR(Model!Z36/Model!Z28,"N/A")</f>
        <v>-0.09791767198324655</v>
      </c>
      <c r="AA154" s="379">
        <f ca="1">IFERROR(Model!AA36/Model!AA28,"N/A")</f>
        <v>-0.09150141466977164</v>
      </c>
      <c r="AB154" s="379">
        <f ca="1">IFERROR(Model!AB36/Model!AB28,"N/A")</f>
        <v>-0.11327856808301211</v>
      </c>
      <c r="AC154" s="379">
        <f ca="1">IFERROR(Model!AC36/Model!AC28,"N/A")</f>
        <v>-0.09904599278058888</v>
      </c>
      <c r="AD154" s="378">
        <f ca="1">IFERROR(Model!AD36/Model!AD28,"N/A")</f>
        <v>-0.10015651845772622</v>
      </c>
      <c r="AE154" s="378">
        <f ca="1">IFERROR(Model!AE36/Model!AE28,"N/A")</f>
        <v>-0.08923024548635708</v>
      </c>
      <c r="AF154" s="378">
        <f ca="1">IFERROR(Model!AF36/Model!AF28,"N/A")</f>
        <v>-0.08444869393268568</v>
      </c>
      <c r="AG154" s="378">
        <f ca="1">IFERROR(Model!AG36/Model!AG28,"N/A")</f>
        <v>-0.07764743918581588</v>
      </c>
    </row>
    <row r="155" ht="14.25" customHeight="1" spans="1:33" x14ac:dyDescent="0.25" outlineLevel="1">
      <c r="C155" s="16" t="str">
        <f t="shared" ref="C155:C160" si="124" ca="1">C16</f>
        <v>Home Improvement Retail</v>
      </c>
      <c r="D155" s="16"/>
      <c r="E155" s="16"/>
      <c r="F155" s="377">
        <f t="shared" ref="F155:AG155" si="125" ca="1">IFERROR(F34/F8,"N/A")</f>
        <v>0.08438940092165899</v>
      </c>
      <c r="G155" s="377">
        <f ca="1">IFERROR(G34/G8,"N/A")</f>
        <v>0.10355227882037533</v>
      </c>
      <c r="H155" s="377">
        <f ca="1">IFERROR(H34/H8,"N/A")</f>
        <v>0.0549526270456503</v>
      </c>
      <c r="I155" s="377">
        <f ca="1">IFERROR(I34/I8,"N/A")</f>
        <v>-0.036239294388342065</v>
      </c>
      <c r="J155" s="378">
        <f ca="1">IFERROR(J34/J8,"N/A")</f>
        <v>0.05634632374595072</v>
      </c>
      <c r="K155" s="377">
        <f ca="1">IFERROR(K34/K8,"N/A")</f>
        <v>0.07987148413279974</v>
      </c>
      <c r="L155" s="377">
        <f ca="1">IFERROR(L34/L8,"N/A")</f>
        <v>0.11342416158536585</v>
      </c>
      <c r="M155" s="377">
        <f ca="1">IFERROR(M34/M8,"N/A")</f>
        <v>0.08960202438463308</v>
      </c>
      <c r="N155" s="377">
        <f ca="1">IFERROR(N34/N8,"N/A")</f>
        <v>0.05977413115367817</v>
      </c>
      <c r="O155" s="378">
        <f ca="1">IFERROR(O34/O8,"N/A")</f>
        <v>0.08751455341797416</v>
      </c>
      <c r="P155" s="377">
        <f ca="1">IFERROR(P34/P8,"N/A")</f>
        <v>0.10119440914866581</v>
      </c>
      <c r="Q155" s="377">
        <f ca="1">IFERROR(Q34/Q8,"N/A")</f>
        <v>0.14493443703757966</v>
      </c>
      <c r="R155" s="377">
        <f ca="1">IFERROR(R34/R8,"N/A")</f>
        <v>0.14493253843740195</v>
      </c>
      <c r="S155" s="377">
        <f ca="1">IFERROR(S34/S8,"N/A")</f>
        <v>0.13633006745113485</v>
      </c>
      <c r="T155" s="378">
        <f ca="1">IFERROR(T34/T8,"N/A")</f>
        <v>0.13337834972153084</v>
      </c>
      <c r="U155" s="377">
        <f ca="1">IFERROR(U34/U8,"N/A")</f>
        <v>0.105</v>
      </c>
      <c r="V155" s="377">
        <f ca="1">IFERROR(V34/V8,"N/A")</f>
        <v>0.108</v>
      </c>
      <c r="W155" s="377">
        <f ca="1">IFERROR(W34/W8,"N/A")</f>
        <v>0.1216947377607121</v>
      </c>
      <c r="X155" s="379">
        <f ca="1">IFERROR(X34/X8,"N/A")</f>
        <v>0.13</v>
      </c>
      <c r="Y155" s="378">
        <f ca="1">IFERROR(Y34/Y8,"N/A")</f>
        <v>0.11544270345803409</v>
      </c>
      <c r="Z155" s="379">
        <f ca="1">IFERROR(Z34/Z8,"N/A")</f>
        <v>0.14</v>
      </c>
      <c r="AA155" s="379">
        <f ca="1">IFERROR(AA34/AA8,"N/A")</f>
        <v>0.145</v>
      </c>
      <c r="AB155" s="379">
        <f ca="1">IFERROR(AB34/AB8,"N/A")</f>
        <v>0.12</v>
      </c>
      <c r="AC155" s="379">
        <f ca="1">IFERROR(AC34/AC8,"N/A")</f>
        <v>0.135</v>
      </c>
      <c r="AD155" s="378">
        <f ca="1">IFERROR(AD34/AD8,"N/A")</f>
        <v>0.13533005878561805</v>
      </c>
      <c r="AE155" s="378">
        <f ca="1">IFERROR(AE34/AE8,"N/A")</f>
        <v>0.139</v>
      </c>
      <c r="AF155" s="378">
        <f ca="1">IFERROR(AF34/AF8,"N/A")</f>
        <v>0.14</v>
      </c>
      <c r="AG155" s="378">
        <f ca="1">IFERROR(AG34/AG8,"N/A")</f>
        <v>0.142</v>
      </c>
    </row>
    <row r="156" ht="14.25" customHeight="1" spans="1:33" x14ac:dyDescent="0.25" outlineLevel="1">
      <c r="C156" s="16" t="str">
        <f ca="1">C17</f>
        <v>Segment 2</v>
      </c>
      <c r="D156" s="16"/>
      <c r="E156" s="16"/>
      <c r="F156" s="377" t="str">
        <f t="shared" ref="F156:AG156" si="126" ca="1">IFERROR(F35/F9,"N/A")</f>
        <v>N/A</v>
      </c>
      <c r="G156" s="377" t="str">
        <f ca="1">IFERROR(G35/G9,"N/A")</f>
        <v>N/A</v>
      </c>
      <c r="H156" s="377" t="str">
        <f ca="1">IFERROR(H35/H9,"N/A")</f>
        <v>N/A</v>
      </c>
      <c r="I156" s="377" t="str">
        <f ca="1">IFERROR(I35/I9,"N/A")</f>
        <v>N/A</v>
      </c>
      <c r="J156" s="378" t="str">
        <f ca="1">IFERROR(J35/J9,"N/A")</f>
        <v>N/A</v>
      </c>
      <c r="K156" s="377" t="str">
        <f ca="1">IFERROR(K35/K9,"N/A")</f>
        <v>N/A</v>
      </c>
      <c r="L156" s="377" t="str">
        <f ca="1">IFERROR(L35/L9,"N/A")</f>
        <v>N/A</v>
      </c>
      <c r="M156" s="377" t="str">
        <f ca="1">IFERROR(M35/M9,"N/A")</f>
        <v>N/A</v>
      </c>
      <c r="N156" s="377" t="str">
        <f ca="1">IFERROR(N35/N9,"N/A")</f>
        <v>N/A</v>
      </c>
      <c r="O156" s="378" t="str">
        <f ca="1">IFERROR(O35/O9,"N/A")</f>
        <v>N/A</v>
      </c>
      <c r="P156" s="377" t="str">
        <f ca="1">IFERROR(P35/P9,"N/A")</f>
        <v>N/A</v>
      </c>
      <c r="Q156" s="377" t="str">
        <f ca="1">IFERROR(Q35/Q9,"N/A")</f>
        <v>N/A</v>
      </c>
      <c r="R156" s="377" t="str">
        <f ca="1">IFERROR(R35/R9,"N/A")</f>
        <v>N/A</v>
      </c>
      <c r="S156" s="377" t="str">
        <f ca="1">IFERROR(S35/S9,"N/A")</f>
        <v>N/A</v>
      </c>
      <c r="T156" s="378" t="str">
        <f ca="1">IFERROR(T35/T9,"N/A")</f>
        <v>N/A</v>
      </c>
      <c r="U156" s="377" t="str">
        <f ca="1">IFERROR(U35/U9,"N/A")</f>
        <v>N/A</v>
      </c>
      <c r="V156" s="377" t="str">
        <f ca="1">IFERROR(V35/V9,"N/A")</f>
        <v>N/A</v>
      </c>
      <c r="W156" s="377" t="str">
        <f ca="1">IFERROR(W35/W9,"N/A")</f>
        <v>N/A</v>
      </c>
      <c r="X156" s="379" t="str">
        <f ca="1">IFERROR(X35/X9,"N/A")</f>
        <v>N/A</v>
      </c>
      <c r="Y156" s="378" t="str">
        <f ca="1">IFERROR(Y35/Y9,"N/A")</f>
        <v>N/A</v>
      </c>
      <c r="Z156" s="379" t="str">
        <f ca="1">IFERROR(Z35/Z9,"N/A")</f>
        <v>N/A</v>
      </c>
      <c r="AA156" s="379" t="str">
        <f ca="1">IFERROR(AA35/AA9,"N/A")</f>
        <v>N/A</v>
      </c>
      <c r="AB156" s="379" t="str">
        <f ca="1">IFERROR(AB35/AB9,"N/A")</f>
        <v>N/A</v>
      </c>
      <c r="AC156" s="379" t="str">
        <f ca="1">IFERROR(AC35/AC9,"N/A")</f>
        <v>N/A</v>
      </c>
      <c r="AD156" s="378" t="str">
        <f ca="1">IFERROR(AD35/AD9,"N/A")</f>
        <v>N/A</v>
      </c>
      <c r="AE156" s="378" t="str">
        <f ca="1">IFERROR(AE35/AE9,"N/A")</f>
        <v>N/A</v>
      </c>
      <c r="AF156" s="378" t="str">
        <f ca="1">IFERROR(AF35/AF9,"N/A")</f>
        <v>N/A</v>
      </c>
      <c r="AG156" s="378" t="str">
        <f ca="1">IFERROR(AG35/AG9,"N/A")</f>
        <v>N/A</v>
      </c>
    </row>
    <row r="157" ht="14.25" customHeight="1" spans="1:33" x14ac:dyDescent="0.25" outlineLevel="1">
      <c r="C157" s="16" t="str">
        <f ca="1">C18</f>
        <v>Segment 3</v>
      </c>
      <c r="D157" s="16"/>
      <c r="E157" s="16"/>
      <c r="F157" s="377" t="str">
        <f t="shared" ref="F157:AG157" si="127" ca="1">IFERROR(F36/F10,"N/A")</f>
        <v>N/A</v>
      </c>
      <c r="G157" s="377" t="str">
        <f ca="1">IFERROR(G36/G10,"N/A")</f>
        <v>N/A</v>
      </c>
      <c r="H157" s="377" t="str">
        <f ca="1">IFERROR(H36/H10,"N/A")</f>
        <v>N/A</v>
      </c>
      <c r="I157" s="377" t="str">
        <f ca="1">IFERROR(I36/I10,"N/A")</f>
        <v>N/A</v>
      </c>
      <c r="J157" s="378" t="str">
        <f ca="1">IFERROR(J36/J10,"N/A")</f>
        <v>N/A</v>
      </c>
      <c r="K157" s="377" t="str">
        <f ca="1">IFERROR(K36/K10,"N/A")</f>
        <v>N/A</v>
      </c>
      <c r="L157" s="377" t="str">
        <f ca="1">IFERROR(L36/L10,"N/A")</f>
        <v>N/A</v>
      </c>
      <c r="M157" s="377" t="str">
        <f ca="1">IFERROR(M36/M10,"N/A")</f>
        <v>N/A</v>
      </c>
      <c r="N157" s="377" t="str">
        <f ca="1">IFERROR(N36/N10,"N/A")</f>
        <v>N/A</v>
      </c>
      <c r="O157" s="378" t="str">
        <f ca="1">IFERROR(O36/O10,"N/A")</f>
        <v>N/A</v>
      </c>
      <c r="P157" s="377" t="str">
        <f ca="1">IFERROR(P36/P10,"N/A")</f>
        <v>N/A</v>
      </c>
      <c r="Q157" s="377" t="str">
        <f ca="1">IFERROR(Q36/Q10,"N/A")</f>
        <v>N/A</v>
      </c>
      <c r="R157" s="377" t="str">
        <f ca="1">IFERROR(R36/R10,"N/A")</f>
        <v>N/A</v>
      </c>
      <c r="S157" s="377" t="str">
        <f ca="1">IFERROR(S36/S10,"N/A")</f>
        <v>N/A</v>
      </c>
      <c r="T157" s="378" t="str">
        <f ca="1">IFERROR(T36/T10,"N/A")</f>
        <v>N/A</v>
      </c>
      <c r="U157" s="377" t="str">
        <f ca="1">IFERROR(U36/U10,"N/A")</f>
        <v>N/A</v>
      </c>
      <c r="V157" s="377" t="str">
        <f ca="1">IFERROR(V36/V10,"N/A")</f>
        <v>N/A</v>
      </c>
      <c r="W157" s="377" t="str">
        <f ca="1">IFERROR(W36/W10,"N/A")</f>
        <v>N/A</v>
      </c>
      <c r="X157" s="379" t="str">
        <f ca="1">IFERROR(X36/X10,"N/A")</f>
        <v>N/A</v>
      </c>
      <c r="Y157" s="378" t="str">
        <f ca="1">IFERROR(Y36/Y10,"N/A")</f>
        <v>N/A</v>
      </c>
      <c r="Z157" s="379" t="str">
        <f ca="1">IFERROR(Z36/Z10,"N/A")</f>
        <v>N/A</v>
      </c>
      <c r="AA157" s="379" t="str">
        <f ca="1">IFERROR(AA36/AA10,"N/A")</f>
        <v>N/A</v>
      </c>
      <c r="AB157" s="379" t="str">
        <f ca="1">IFERROR(AB36/AB10,"N/A")</f>
        <v>N/A</v>
      </c>
      <c r="AC157" s="379" t="str">
        <f ca="1">IFERROR(AC36/AC10,"N/A")</f>
        <v>N/A</v>
      </c>
      <c r="AD157" s="378" t="str">
        <f ca="1">IFERROR(AD36/AD10,"N/A")</f>
        <v>N/A</v>
      </c>
      <c r="AE157" s="378" t="str">
        <f ca="1">IFERROR(AE36/AE10,"N/A")</f>
        <v>N/A</v>
      </c>
      <c r="AF157" s="378" t="str">
        <f ca="1">IFERROR(AF36/AF10,"N/A")</f>
        <v>N/A</v>
      </c>
      <c r="AG157" s="378" t="str">
        <f ca="1">IFERROR(AG36/AG10,"N/A")</f>
        <v>N/A</v>
      </c>
    </row>
    <row r="158" ht="14.25" customHeight="1" spans="1:33" x14ac:dyDescent="0.25" outlineLevel="1">
      <c r="C158" s="16" t="str">
        <f ca="1">C19</f>
        <v>Segment 4</v>
      </c>
      <c r="D158" s="16"/>
      <c r="E158" s="16"/>
      <c r="F158" s="377" t="str">
        <f t="shared" ref="F158:AG158" si="128" ca="1">IFERROR(F37/F11,"N/A")</f>
        <v>N/A</v>
      </c>
      <c r="G158" s="377" t="str">
        <f ca="1">IFERROR(G37/G11,"N/A")</f>
        <v>N/A</v>
      </c>
      <c r="H158" s="377" t="str">
        <f ca="1">IFERROR(H37/H11,"N/A")</f>
        <v>N/A</v>
      </c>
      <c r="I158" s="377" t="str">
        <f ca="1">IFERROR(I37/I11,"N/A")</f>
        <v>N/A</v>
      </c>
      <c r="J158" s="378" t="str">
        <f ca="1">IFERROR(J37/J11,"N/A")</f>
        <v>N/A</v>
      </c>
      <c r="K158" s="377" t="str">
        <f ca="1">IFERROR(K37/K11,"N/A")</f>
        <v>N/A</v>
      </c>
      <c r="L158" s="377" t="str">
        <f ca="1">IFERROR(L37/L11,"N/A")</f>
        <v>N/A</v>
      </c>
      <c r="M158" s="377" t="str">
        <f ca="1">IFERROR(M37/M11,"N/A")</f>
        <v>N/A</v>
      </c>
      <c r="N158" s="377" t="str">
        <f ca="1">IFERROR(N37/N11,"N/A")</f>
        <v>N/A</v>
      </c>
      <c r="O158" s="378" t="str">
        <f ca="1">IFERROR(O37/O11,"N/A")</f>
        <v>N/A</v>
      </c>
      <c r="P158" s="377" t="str">
        <f ca="1">IFERROR(P37/P11,"N/A")</f>
        <v>N/A</v>
      </c>
      <c r="Q158" s="377" t="str">
        <f ca="1">IFERROR(Q37/Q11,"N/A")</f>
        <v>N/A</v>
      </c>
      <c r="R158" s="377" t="str">
        <f ca="1">IFERROR(R37/R11,"N/A")</f>
        <v>N/A</v>
      </c>
      <c r="S158" s="377" t="str">
        <f ca="1">IFERROR(S37/S11,"N/A")</f>
        <v>N/A</v>
      </c>
      <c r="T158" s="378" t="str">
        <f ca="1">IFERROR(T37/T11,"N/A")</f>
        <v>N/A</v>
      </c>
      <c r="U158" s="377" t="str">
        <f ca="1">IFERROR(U37/U11,"N/A")</f>
        <v>N/A</v>
      </c>
      <c r="V158" s="377" t="str">
        <f ca="1">IFERROR(V37/V11,"N/A")</f>
        <v>N/A</v>
      </c>
      <c r="W158" s="377" t="str">
        <f ca="1">IFERROR(W37/W11,"N/A")</f>
        <v>N/A</v>
      </c>
      <c r="X158" s="379" t="str">
        <f ca="1">IFERROR(X37/X11,"N/A")</f>
        <v>N/A</v>
      </c>
      <c r="Y158" s="378" t="str">
        <f ca="1">IFERROR(Y37/Y11,"N/A")</f>
        <v>N/A</v>
      </c>
      <c r="Z158" s="379" t="str">
        <f ca="1">IFERROR(Z37/Z11,"N/A")</f>
        <v>N/A</v>
      </c>
      <c r="AA158" s="379" t="str">
        <f ca="1">IFERROR(AA37/AA11,"N/A")</f>
        <v>N/A</v>
      </c>
      <c r="AB158" s="379" t="str">
        <f ca="1">IFERROR(AB37/AB11,"N/A")</f>
        <v>N/A</v>
      </c>
      <c r="AC158" s="379" t="str">
        <f ca="1">IFERROR(AC37/AC11,"N/A")</f>
        <v>N/A</v>
      </c>
      <c r="AD158" s="378" t="str">
        <f ca="1">IFERROR(AD37/AD11,"N/A")</f>
        <v>N/A</v>
      </c>
      <c r="AE158" s="378" t="str">
        <f ca="1">IFERROR(AE37/AE11,"N/A")</f>
        <v>N/A</v>
      </c>
      <c r="AF158" s="378" t="str">
        <f ca="1">IFERROR(AF37/AF11,"N/A")</f>
        <v>N/A</v>
      </c>
      <c r="AG158" s="378" t="str">
        <f ca="1">IFERROR(AG37/AG11,"N/A")</f>
        <v>N/A</v>
      </c>
    </row>
    <row r="159" ht="14.25" customHeight="1" spans="1:33" x14ac:dyDescent="0.25" outlineLevel="1">
      <c r="C159" s="16" t="str">
        <f ca="1">C20</f>
        <v>Segment 5</v>
      </c>
      <c r="D159" s="16"/>
      <c r="E159" s="16"/>
      <c r="F159" s="377" t="str">
        <f t="shared" ref="F159:AG159" si="129" ca="1">IFERROR(F38/F12,"N/A")</f>
        <v>N/A</v>
      </c>
      <c r="G159" s="377" t="str">
        <f ca="1">IFERROR(G38/G12,"N/A")</f>
        <v>N/A</v>
      </c>
      <c r="H159" s="377" t="str">
        <f ca="1">IFERROR(H38/H12,"N/A")</f>
        <v>N/A</v>
      </c>
      <c r="I159" s="377" t="str">
        <f ca="1">IFERROR(I38/I12,"N/A")</f>
        <v>N/A</v>
      </c>
      <c r="J159" s="378" t="str">
        <f ca="1">IFERROR(J38/J12,"N/A")</f>
        <v>N/A</v>
      </c>
      <c r="K159" s="377" t="str">
        <f ca="1">IFERROR(K38/K12,"N/A")</f>
        <v>N/A</v>
      </c>
      <c r="L159" s="377" t="str">
        <f ca="1">IFERROR(L38/L12,"N/A")</f>
        <v>N/A</v>
      </c>
      <c r="M159" s="377" t="str">
        <f ca="1">IFERROR(M38/M12,"N/A")</f>
        <v>N/A</v>
      </c>
      <c r="N159" s="377" t="str">
        <f ca="1">IFERROR(N38/N12,"N/A")</f>
        <v>N/A</v>
      </c>
      <c r="O159" s="378" t="str">
        <f ca="1">IFERROR(O38/O12,"N/A")</f>
        <v>N/A</v>
      </c>
      <c r="P159" s="377" t="str">
        <f ca="1">IFERROR(P38/P12,"N/A")</f>
        <v>N/A</v>
      </c>
      <c r="Q159" s="377" t="str">
        <f ca="1">IFERROR(Q38/Q12,"N/A")</f>
        <v>N/A</v>
      </c>
      <c r="R159" s="377" t="str">
        <f ca="1">IFERROR(R38/R12,"N/A")</f>
        <v>N/A</v>
      </c>
      <c r="S159" s="377" t="str">
        <f ca="1">IFERROR(S38/S12,"N/A")</f>
        <v>N/A</v>
      </c>
      <c r="T159" s="378" t="str">
        <f ca="1">IFERROR(T38/T12,"N/A")</f>
        <v>N/A</v>
      </c>
      <c r="U159" s="377" t="str">
        <f ca="1">IFERROR(U38/U12,"N/A")</f>
        <v>N/A</v>
      </c>
      <c r="V159" s="377" t="str">
        <f ca="1">IFERROR(V38/V12,"N/A")</f>
        <v>N/A</v>
      </c>
      <c r="W159" s="377" t="str">
        <f ca="1">IFERROR(W38/W12,"N/A")</f>
        <v>N/A</v>
      </c>
      <c r="X159" s="379" t="str">
        <f ca="1">IFERROR(X38/X12,"N/A")</f>
        <v>N/A</v>
      </c>
      <c r="Y159" s="378" t="str">
        <f ca="1">IFERROR(Y38/Y12,"N/A")</f>
        <v>N/A</v>
      </c>
      <c r="Z159" s="379" t="str">
        <f ca="1">IFERROR(Z38/Z12,"N/A")</f>
        <v>N/A</v>
      </c>
      <c r="AA159" s="379" t="str">
        <f ca="1">IFERROR(AA38/AA12,"N/A")</f>
        <v>N/A</v>
      </c>
      <c r="AB159" s="379" t="str">
        <f ca="1">IFERROR(AB38/AB12,"N/A")</f>
        <v>N/A</v>
      </c>
      <c r="AC159" s="379" t="str">
        <f ca="1">IFERROR(AC38/AC12,"N/A")</f>
        <v>N/A</v>
      </c>
      <c r="AD159" s="378" t="str">
        <f ca="1">IFERROR(AD38/AD12,"N/A")</f>
        <v>N/A</v>
      </c>
      <c r="AE159" s="378" t="str">
        <f ca="1">IFERROR(AE38/AE12,"N/A")</f>
        <v>N/A</v>
      </c>
      <c r="AF159" s="378" t="str">
        <f ca="1">IFERROR(AF38/AF12,"N/A")</f>
        <v>N/A</v>
      </c>
      <c r="AG159" s="378" t="str">
        <f ca="1">IFERROR(AG38/AG12,"N/A")</f>
        <v>N/A</v>
      </c>
    </row>
    <row r="160" ht="14.25" customHeight="1" spans="1:33" x14ac:dyDescent="0.25" outlineLevel="1">
      <c r="C160" s="16" t="str">
        <f ca="1">C21</f>
        <v>Segment 6</v>
      </c>
      <c r="D160" s="16"/>
      <c r="E160" s="16"/>
      <c r="F160" s="377" t="str">
        <f t="shared" ref="F160:AG160" si="130" ca="1">IFERROR(F39/F13,"N/A")</f>
        <v>N/A</v>
      </c>
      <c r="G160" s="377" t="str">
        <f ca="1">IFERROR(G39/G13,"N/A")</f>
        <v>N/A</v>
      </c>
      <c r="H160" s="377" t="str">
        <f ca="1">IFERROR(H39/H13,"N/A")</f>
        <v>N/A</v>
      </c>
      <c r="I160" s="377" t="str">
        <f ca="1">IFERROR(I39/I13,"N/A")</f>
        <v>N/A</v>
      </c>
      <c r="J160" s="378" t="str">
        <f ca="1">IFERROR(J39/J13,"N/A")</f>
        <v>N/A</v>
      </c>
      <c r="K160" s="377" t="str">
        <f ca="1">IFERROR(K39/K13,"N/A")</f>
        <v>N/A</v>
      </c>
      <c r="L160" s="377" t="str">
        <f ca="1">IFERROR(L39/L13,"N/A")</f>
        <v>N/A</v>
      </c>
      <c r="M160" s="377" t="str">
        <f ca="1">IFERROR(M39/M13,"N/A")</f>
        <v>N/A</v>
      </c>
      <c r="N160" s="377" t="str">
        <f ca="1">IFERROR(N39/N13,"N/A")</f>
        <v>N/A</v>
      </c>
      <c r="O160" s="378" t="str">
        <f ca="1">IFERROR(O39/O13,"N/A")</f>
        <v>N/A</v>
      </c>
      <c r="P160" s="377" t="str">
        <f ca="1">IFERROR(P39/P13,"N/A")</f>
        <v>N/A</v>
      </c>
      <c r="Q160" s="377" t="str">
        <f ca="1">IFERROR(Q39/Q13,"N/A")</f>
        <v>N/A</v>
      </c>
      <c r="R160" s="377" t="str">
        <f ca="1">IFERROR(R39/R13,"N/A")</f>
        <v>N/A</v>
      </c>
      <c r="S160" s="377" t="str">
        <f ca="1">IFERROR(S39/S13,"N/A")</f>
        <v>N/A</v>
      </c>
      <c r="T160" s="378" t="str">
        <f ca="1">IFERROR(T39/T13,"N/A")</f>
        <v>N/A</v>
      </c>
      <c r="U160" s="377" t="str">
        <f ca="1">IFERROR(U39/U13,"N/A")</f>
        <v>N/A</v>
      </c>
      <c r="V160" s="377" t="str">
        <f ca="1">IFERROR(V39/V13,"N/A")</f>
        <v>N/A</v>
      </c>
      <c r="W160" s="377" t="str">
        <f ca="1">IFERROR(W39/W13,"N/A")</f>
        <v>N/A</v>
      </c>
      <c r="X160" s="379" t="str">
        <f ca="1">IFERROR(X39/X13,"N/A")</f>
        <v>N/A</v>
      </c>
      <c r="Y160" s="378" t="str">
        <f ca="1">IFERROR(Y39/Y13,"N/A")</f>
        <v>N/A</v>
      </c>
      <c r="Z160" s="379" t="str">
        <f ca="1">IFERROR(Z39/Z13,"N/A")</f>
        <v>N/A</v>
      </c>
      <c r="AA160" s="379" t="str">
        <f ca="1">IFERROR(AA39/AA13,"N/A")</f>
        <v>N/A</v>
      </c>
      <c r="AB160" s="379" t="str">
        <f ca="1">IFERROR(AB39/AB13,"N/A")</f>
        <v>N/A</v>
      </c>
      <c r="AC160" s="379" t="str">
        <f ca="1">IFERROR(AC39/AC13,"N/A")</f>
        <v>N/A</v>
      </c>
      <c r="AD160" s="378" t="str">
        <f ca="1">IFERROR(AD39/AD13,"N/A")</f>
        <v>N/A</v>
      </c>
      <c r="AE160" s="378" t="str">
        <f ca="1">IFERROR(AE39/AE13,"N/A")</f>
        <v>N/A</v>
      </c>
      <c r="AF160" s="378" t="str">
        <f ca="1">IFERROR(AF39/AF13,"N/A")</f>
        <v>N/A</v>
      </c>
      <c r="AG160" s="378" t="str">
        <f ca="1">IFERROR(AG39/AG13,"N/A")</f>
        <v>N/A</v>
      </c>
    </row>
    <row r="161" ht="14.25" customHeight="1" spans="1:33" x14ac:dyDescent="0.25">
      <c r="C161" s="16"/>
      <c r="D161" s="16"/>
      <c r="E161" s="16"/>
      <c r="F161" s="319"/>
      <c r="G161" s="319"/>
      <c r="H161" s="319"/>
      <c r="I161" s="319"/>
      <c r="J161" s="168"/>
      <c r="K161" s="319"/>
      <c r="L161" s="319"/>
      <c r="M161" s="319"/>
      <c r="N161" s="319"/>
      <c r="O161" s="168"/>
      <c r="P161" s="319"/>
      <c r="Q161" s="319"/>
      <c r="R161" s="319"/>
      <c r="S161" s="319"/>
      <c r="T161" s="168"/>
      <c r="U161" s="319"/>
      <c r="V161" s="319"/>
      <c r="W161" s="319"/>
      <c r="X161" s="322"/>
      <c r="Y161" s="168"/>
      <c r="Z161" s="322"/>
      <c r="AA161" s="322"/>
      <c r="AB161" s="322"/>
      <c r="AC161" s="322"/>
      <c r="AD161" s="168"/>
      <c r="AE161" s="168"/>
      <c r="AF161" s="168"/>
      <c r="AG161" s="168"/>
    </row>
    <row r="162" ht="14.25" customHeight="1" hidden="1" spans="1:33" x14ac:dyDescent="0.25" outlineLevel="1">
      <c r="C162" s="16" t="s">
        <v>477</v>
      </c>
      <c r="D162" s="16"/>
      <c r="E162" s="16"/>
      <c r="F162" s="319"/>
      <c r="G162" s="377">
        <f ca="1">IFERROR((Model!G36-Model!F36)/('Segment Analysis'!G7-'Segment Analysis'!F7),"N/A")</f>
        <v>0.19784580498866214</v>
      </c>
      <c r="H162" s="377">
        <f ca="1">IFERROR((Model!H36-Model!G36)/('Segment Analysis'!H7-'Segment Analysis'!G7),"N/A")</f>
        <v>0.34725021595162686</v>
      </c>
      <c r="I162" s="377">
        <f ca="1">IFERROR((Model!I36-Model!H36)/('Segment Analysis'!I7-'Segment Analysis'!H7),"N/A")</f>
        <v>0.861503674392312</v>
      </c>
      <c r="J162" s="378"/>
      <c r="K162" s="377">
        <f ca="1">IFERROR((Model!K36-Model!I36)/('Segment Analysis'!K7-'Segment Analysis'!I7),"N/A")</f>
        <v>0.9470167064439141</v>
      </c>
      <c r="L162" s="377">
        <f ca="1">IFERROR((Model!L36-Model!K36)/('Segment Analysis'!L7-'Segment Analysis'!K7),"N/A")</f>
        <v>0.2965241464164872</v>
      </c>
      <c r="M162" s="377">
        <f ca="1">IFERROR((Model!M36-Model!L36)/('Segment Analysis'!M7-'Segment Analysis'!L7),"N/A")</f>
        <v>0.2283573806881243</v>
      </c>
      <c r="N162" s="377">
        <f ca="1">IFERROR((Model!N36-Model!M36)/('Segment Analysis'!N7-'Segment Analysis'!M7),"N/A")</f>
        <v>0.440852314474651</v>
      </c>
      <c r="O162" s="378"/>
      <c r="P162" s="377">
        <f ca="1">IFERROR((Model!P36-Model!N36)/('Segment Analysis'!P7-'Segment Analysis'!N7),"N/A")</f>
        <v>0.2831688596491228</v>
      </c>
      <c r="Q162" s="377">
        <f ca="1">IFERROR((Model!Q36-Model!P36)/('Segment Analysis'!Q7-'Segment Analysis'!P7),"N/A")</f>
        <v>0.25776845417595384</v>
      </c>
      <c r="R162" s="377">
        <f ca="1">IFERROR((Model!R36-Model!Q36)/('Segment Analysis'!R7-'Segment Analysis'!Q7),"N/A")</f>
        <v>0.3568996595233327</v>
      </c>
      <c r="S162" s="377">
        <f ca="1">IFERROR((Model!S36-Model!R36)/('Segment Analysis'!S7-'Segment Analysis'!R7),"N/A")</f>
        <v>-0.2972972972972973</v>
      </c>
      <c r="T162" s="378"/>
      <c r="U162" s="377">
        <f ca="1">IFERROR((Model!U36-Model!S36)/('Segment Analysis'!U7-'Segment Analysis'!S7),"N/A")</f>
        <v>0.11578691315981512</v>
      </c>
      <c r="V162" s="377">
        <f ca="1">IFERROR((Model!V36-Model!U36)/('Segment Analysis'!V7-'Segment Analysis'!U7),"N/A")</f>
        <v>0.3065438373570521</v>
      </c>
      <c r="W162" s="377">
        <f ca="1">IFERROR((Model!W36-Model!V36)/('Segment Analysis'!W7-'Segment Analysis'!V7),"N/A")</f>
        <v>0.3054600171969046</v>
      </c>
      <c r="X162" s="379">
        <f ca="1">IFERROR((Model!X36-Model!W36)/('Segment Analysis'!X7-'Segment Analysis'!W7),"N/A")</f>
        <v>4.43291430316781</v>
      </c>
      <c r="Y162" s="378"/>
      <c r="Z162" s="379">
        <f ca="1">IFERROR((Model!Z36-Model!X36)/('Segment Analysis'!Z7-'Segment Analysis'!X7),"N/A")</f>
        <v>-0.057396098804331434</v>
      </c>
      <c r="AA162" s="379">
        <f ca="1">IFERROR((Model!AA36-Model!Z36)/('Segment Analysis'!AA7-'Segment Analysis'!Z7),"N/A")</f>
        <v>-0.04567100528780799</v>
      </c>
      <c r="AB162" s="379">
        <f ca="1">IFERROR((Model!AB36-Model!AA36)/('Segment Analysis'!AB7-'Segment Analysis'!AA7),"N/A")</f>
        <v>0.06819771036065847</v>
      </c>
      <c r="AC162" s="379">
        <f ca="1">IFERROR((Model!AC36-Model!AB36)/('Segment Analysis'!AC7-'Segment Analysis'!AB7),"N/A")</f>
        <v>-0.3836974988290526</v>
      </c>
      <c r="AD162" s="378"/>
      <c r="AE162" s="378">
        <f ca="1">IFERROR((Model!AE36-Model!AD36)/('Segment Analysis'!AE7-'Segment Analysis'!AD7),"N/A")</f>
        <v>0.4570834030821003</v>
      </c>
      <c r="AF162" s="378">
        <f ca="1">IFERROR((Model!AF36-Model!AE36)/('Segment Analysis'!AF7-'Segment Analysis'!AE7),"N/A")</f>
        <v>0.154628883750884</v>
      </c>
      <c r="AG162" s="378">
        <f ca="1">IFERROR((Model!AG36-Model!AF36)/('Segment Analysis'!AG7-'Segment Analysis'!AF7),"N/A")</f>
        <v>0.26241529815767434</v>
      </c>
    </row>
    <row r="163" ht="14.25" customHeight="1" hidden="1" spans="1:33" x14ac:dyDescent="0.25" outlineLevel="1">
      <c r="C163" s="16" t="str">
        <f t="shared" ref="C163:C168" si="131" ca="1">C16</f>
        <v>Home Improvement Retail</v>
      </c>
      <c r="D163" s="16"/>
      <c r="E163" s="16"/>
      <c r="F163" s="319"/>
      <c r="G163" s="377"/>
      <c r="H163" s="377"/>
      <c r="I163" s="377"/>
      <c r="J163" s="378"/>
      <c r="K163" s="377"/>
      <c r="L163" s="377"/>
      <c r="M163" s="377"/>
      <c r="N163" s="377"/>
      <c r="O163" s="378"/>
      <c r="P163" s="377"/>
      <c r="Q163" s="377"/>
      <c r="R163" s="377"/>
      <c r="S163" s="377"/>
      <c r="T163" s="378"/>
      <c r="U163" s="377"/>
      <c r="V163" s="377"/>
      <c r="W163" s="377"/>
      <c r="X163" s="379"/>
      <c r="Y163" s="378"/>
      <c r="Z163" s="379"/>
      <c r="AA163" s="379"/>
      <c r="AB163" s="379"/>
      <c r="AC163" s="379"/>
      <c r="AD163" s="378"/>
      <c r="AE163" s="378"/>
      <c r="AF163" s="378"/>
      <c r="AG163" s="378"/>
    </row>
    <row r="164" ht="14.25" customHeight="1" hidden="1" spans="1:33" x14ac:dyDescent="0.25" outlineLevel="1">
      <c r="C164" s="16" t="str">
        <f ca="1">C17</f>
        <v>Segment 2</v>
      </c>
      <c r="D164" s="16"/>
      <c r="E164" s="16"/>
      <c r="F164" s="319"/>
      <c r="G164" s="377"/>
      <c r="H164" s="377"/>
      <c r="I164" s="377"/>
      <c r="J164" s="378"/>
      <c r="K164" s="377"/>
      <c r="L164" s="377"/>
      <c r="M164" s="377"/>
      <c r="N164" s="377"/>
      <c r="O164" s="378"/>
      <c r="P164" s="377"/>
      <c r="Q164" s="377"/>
      <c r="R164" s="377"/>
      <c r="S164" s="377"/>
      <c r="T164" s="378"/>
      <c r="U164" s="377"/>
      <c r="V164" s="377"/>
      <c r="W164" s="377"/>
      <c r="X164" s="379"/>
      <c r="Y164" s="378"/>
      <c r="Z164" s="379"/>
      <c r="AA164" s="379"/>
      <c r="AB164" s="379"/>
      <c r="AC164" s="379"/>
      <c r="AD164" s="378"/>
      <c r="AE164" s="378"/>
      <c r="AF164" s="378"/>
      <c r="AG164" s="378"/>
    </row>
    <row r="165" ht="14.25" customHeight="1" hidden="1" spans="1:33" x14ac:dyDescent="0.25" outlineLevel="1">
      <c r="C165" s="16" t="str">
        <f ca="1">C18</f>
        <v>Segment 3</v>
      </c>
      <c r="D165" s="16"/>
      <c r="E165" s="16"/>
      <c r="F165" s="319"/>
      <c r="G165" s="377"/>
      <c r="H165" s="377"/>
      <c r="I165" s="377"/>
      <c r="J165" s="378"/>
      <c r="K165" s="377"/>
      <c r="L165" s="377"/>
      <c r="M165" s="377"/>
      <c r="N165" s="377"/>
      <c r="O165" s="378"/>
      <c r="P165" s="377"/>
      <c r="Q165" s="377"/>
      <c r="R165" s="377"/>
      <c r="S165" s="377"/>
      <c r="T165" s="378"/>
      <c r="U165" s="377"/>
      <c r="V165" s="377"/>
      <c r="W165" s="377"/>
      <c r="X165" s="379"/>
      <c r="Y165" s="378"/>
      <c r="Z165" s="379"/>
      <c r="AA165" s="379"/>
      <c r="AB165" s="379"/>
      <c r="AC165" s="379"/>
      <c r="AD165" s="378"/>
      <c r="AE165" s="378"/>
      <c r="AF165" s="378"/>
      <c r="AG165" s="378"/>
    </row>
    <row r="166" ht="14.25" customHeight="1" hidden="1" spans="1:33" x14ac:dyDescent="0.25" outlineLevel="1">
      <c r="C166" s="16" t="str">
        <f ca="1">C19</f>
        <v>Segment 4</v>
      </c>
      <c r="D166" s="16"/>
      <c r="E166" s="16"/>
      <c r="F166" s="319"/>
      <c r="G166" s="377"/>
      <c r="H166" s="377"/>
      <c r="I166" s="377"/>
      <c r="J166" s="378"/>
      <c r="K166" s="377"/>
      <c r="L166" s="377"/>
      <c r="M166" s="377"/>
      <c r="N166" s="377"/>
      <c r="O166" s="378"/>
      <c r="P166" s="377"/>
      <c r="Q166" s="377"/>
      <c r="R166" s="377"/>
      <c r="S166" s="377"/>
      <c r="T166" s="378"/>
      <c r="U166" s="377"/>
      <c r="V166" s="377"/>
      <c r="W166" s="377"/>
      <c r="X166" s="379"/>
      <c r="Y166" s="378"/>
      <c r="Z166" s="379"/>
      <c r="AA166" s="379"/>
      <c r="AB166" s="379"/>
      <c r="AC166" s="379"/>
      <c r="AD166" s="378"/>
      <c r="AE166" s="378"/>
      <c r="AF166" s="378"/>
      <c r="AG166" s="378"/>
    </row>
    <row r="167" ht="14.25" customHeight="1" hidden="1" spans="1:33" x14ac:dyDescent="0.25" outlineLevel="1">
      <c r="C167" s="16" t="str">
        <f ca="1">C20</f>
        <v>Segment 5</v>
      </c>
      <c r="D167" s="16"/>
      <c r="E167" s="16"/>
      <c r="F167" s="319"/>
      <c r="G167" s="377"/>
      <c r="H167" s="377"/>
      <c r="I167" s="377"/>
      <c r="J167" s="378"/>
      <c r="K167" s="377"/>
      <c r="L167" s="377"/>
      <c r="M167" s="377"/>
      <c r="N167" s="377"/>
      <c r="O167" s="378"/>
      <c r="P167" s="377"/>
      <c r="Q167" s="377"/>
      <c r="R167" s="377"/>
      <c r="S167" s="377"/>
      <c r="T167" s="378"/>
      <c r="U167" s="377"/>
      <c r="V167" s="377"/>
      <c r="W167" s="377"/>
      <c r="X167" s="379"/>
      <c r="Y167" s="378"/>
      <c r="Z167" s="379"/>
      <c r="AA167" s="379"/>
      <c r="AB167" s="379"/>
      <c r="AC167" s="379"/>
      <c r="AD167" s="378"/>
      <c r="AE167" s="378"/>
      <c r="AF167" s="378"/>
      <c r="AG167" s="378"/>
    </row>
    <row r="168" ht="14.25" customHeight="1" hidden="1" spans="1:33" x14ac:dyDescent="0.25" outlineLevel="1">
      <c r="C168" s="16" t="str">
        <f ca="1">C21</f>
        <v>Segment 6</v>
      </c>
      <c r="D168" s="16"/>
      <c r="E168" s="16"/>
      <c r="F168" s="319"/>
      <c r="G168" s="377"/>
      <c r="H168" s="377"/>
      <c r="I168" s="377"/>
      <c r="J168" s="378"/>
      <c r="K168" s="377"/>
      <c r="L168" s="377"/>
      <c r="M168" s="377"/>
      <c r="N168" s="377"/>
      <c r="O168" s="378"/>
      <c r="P168" s="377"/>
      <c r="Q168" s="377"/>
      <c r="R168" s="377"/>
      <c r="S168" s="377"/>
      <c r="T168" s="378"/>
      <c r="U168" s="377"/>
      <c r="V168" s="377"/>
      <c r="W168" s="377"/>
      <c r="X168" s="379"/>
      <c r="Y168" s="378"/>
      <c r="Z168" s="379"/>
      <c r="AA168" s="379"/>
      <c r="AB168" s="379"/>
      <c r="AC168" s="379"/>
      <c r="AD168" s="378"/>
      <c r="AE168" s="378"/>
      <c r="AF168" s="378"/>
      <c r="AG168" s="378"/>
    </row>
    <row r="169" ht="14.25" customHeight="1" spans="1:33" x14ac:dyDescent="0.25">
      <c r="C169" s="16"/>
      <c r="D169" s="16"/>
      <c r="E169" s="16"/>
      <c r="F169" s="319"/>
      <c r="G169" s="319"/>
      <c r="H169" s="319"/>
      <c r="I169" s="319"/>
      <c r="J169" s="168"/>
      <c r="K169" s="319"/>
      <c r="L169" s="319"/>
      <c r="M169" s="319"/>
      <c r="N169" s="319"/>
      <c r="O169" s="168"/>
      <c r="P169" s="319"/>
      <c r="Q169" s="319"/>
      <c r="R169" s="319"/>
      <c r="S169" s="319"/>
      <c r="T169" s="168"/>
      <c r="U169" s="319"/>
      <c r="V169" s="319"/>
      <c r="W169" s="319"/>
      <c r="X169" s="322"/>
      <c r="Y169" s="168"/>
      <c r="Z169" s="322"/>
      <c r="AA169" s="322"/>
      <c r="AB169" s="322"/>
      <c r="AC169" s="322"/>
      <c r="AD169" s="168"/>
      <c r="AE169" s="168"/>
      <c r="AF169" s="168"/>
      <c r="AG169" s="168"/>
    </row>
    <row r="170" ht="14.25" customHeight="1" spans="1:33" x14ac:dyDescent="0.25">
      <c r="C170" s="43" t="s">
        <v>478</v>
      </c>
      <c r="D170" s="44"/>
      <c r="E170" s="44"/>
      <c r="F170" s="496"/>
      <c r="G170" s="496"/>
      <c r="H170" s="496"/>
      <c r="I170" s="496"/>
      <c r="J170" s="496"/>
      <c r="K170" s="496"/>
      <c r="L170" s="496"/>
      <c r="M170" s="496"/>
      <c r="N170" s="496"/>
      <c r="O170" s="496"/>
      <c r="P170" s="496"/>
      <c r="Q170" s="496"/>
      <c r="R170" s="496"/>
      <c r="S170" s="496"/>
      <c r="T170" s="496"/>
      <c r="U170" s="496"/>
      <c r="V170" s="496"/>
      <c r="W170" s="496"/>
      <c r="X170" s="496"/>
      <c r="Y170" s="496"/>
      <c r="Z170" s="496"/>
      <c r="AA170" s="496"/>
      <c r="AB170" s="496"/>
      <c r="AC170" s="496"/>
      <c r="AD170" s="496"/>
      <c r="AE170" s="496"/>
      <c r="AF170" s="496"/>
      <c r="AG170" s="497"/>
    </row>
    <row r="171" ht="14.25" customHeight="1" spans="1:33" x14ac:dyDescent="0.25">
      <c r="C171" s="16"/>
      <c r="D171" s="16"/>
      <c r="E171" s="16"/>
      <c r="F171" s="319"/>
      <c r="G171" s="319"/>
      <c r="H171" s="319"/>
      <c r="I171" s="319"/>
      <c r="J171" s="168"/>
      <c r="K171" s="319"/>
      <c r="L171" s="319"/>
      <c r="M171" s="319"/>
      <c r="N171" s="319"/>
      <c r="O171" s="168"/>
      <c r="P171" s="319"/>
      <c r="Q171" s="319"/>
      <c r="R171" s="319"/>
      <c r="S171" s="319"/>
      <c r="T171" s="168"/>
      <c r="U171" s="319"/>
      <c r="V171" s="319"/>
      <c r="W171" s="319"/>
      <c r="X171" s="322"/>
      <c r="Y171" s="168"/>
      <c r="Z171" s="322"/>
      <c r="AA171" s="322"/>
      <c r="AB171" s="322"/>
      <c r="AC171" s="322"/>
      <c r="AD171" s="168"/>
      <c r="AE171" s="168"/>
      <c r="AF171" s="168"/>
      <c r="AG171" s="168"/>
    </row>
    <row r="172" ht="14.25" customHeight="1" spans="1:33" x14ac:dyDescent="0.25">
      <c r="C172" s="16" t="s">
        <v>479</v>
      </c>
      <c r="D172" s="16"/>
      <c r="E172" s="16"/>
      <c r="F172" s="474"/>
      <c r="G172" s="377"/>
      <c r="H172" s="377"/>
      <c r="I172" s="377"/>
      <c r="J172" s="378"/>
      <c r="K172" s="377">
        <f ca="1">IFERROR('Segment Analysis'!K7/'Segment Analysis'!F7-1,"N/A")</f>
        <v>0.021947004608295018</v>
      </c>
      <c r="L172" s="377">
        <f ca="1">IFERROR('Segment Analysis'!L7/'Segment Analysis'!G7-1,"N/A")</f>
        <v>0.004978935273841412</v>
      </c>
      <c r="M172" s="377">
        <f ca="1">IFERROR('Segment Analysis'!M7/'Segment Analysis'!H7-1,"N/A")</f>
        <v>-0.0015503875968991832</v>
      </c>
      <c r="N172" s="377">
        <f ca="1">IFERROR('Segment Analysis'!N7/'Segment Analysis'!I7-1,"N/A")</f>
        <v>0.02435127189057895</v>
      </c>
      <c r="O172" s="378">
        <f ca="1">IFERROR('Segment Analysis'!O7/'Segment Analysis'!J7-1,"N/A")</f>
        <v>0.01176569577472697</v>
      </c>
      <c r="P172" s="377">
        <f ca="1">IFERROR('Segment Analysis'!P7/'Segment Analysis'!K7-1,"N/A")</f>
        <v>0.10901302068654539</v>
      </c>
      <c r="Q172" s="377">
        <f ca="1">IFERROR('Segment Analysis'!Q7/'Segment Analysis'!L7-1,"N/A")</f>
        <v>0.30059070121951215</v>
      </c>
      <c r="R172" s="377">
        <f ca="1">IFERROR('Segment Analysis'!R7/'Segment Analysis'!M7-1,"N/A")</f>
        <v>0.28301127214170685</v>
      </c>
      <c r="S172" s="377">
        <f ca="1">IFERROR('Segment Analysis'!S7/'Segment Analysis'!N7-1,"N/A")</f>
        <v>0.26729893305047736</v>
      </c>
      <c r="T172" s="378">
        <f ca="1">IFERROR('Segment Analysis'!T7/'Segment Analysis'!O7-1,"N/A")</f>
        <v>0.2418500859344681</v>
      </c>
      <c r="U172" s="377">
        <f ca="1">IFERROR('Segment Analysis'!U7/'Segment Analysis'!P7-1,"N/A")</f>
        <v>0.24127064803049558</v>
      </c>
      <c r="V172" s="377">
        <f ca="1">IFERROR('Segment Analysis'!V7/'Segment Analysis'!Q7-1,"N/A")</f>
        <v>0.00981613068639664</v>
      </c>
      <c r="W172" s="377">
        <f ca="1">IFERROR('Segment Analysis'!W7/'Segment Analysis'!R7-1,"N/A")</f>
        <v>0.027298399748980184</v>
      </c>
      <c r="X172" s="379">
        <f ca="1">IFERROR('Segment Analysis'!X7/'Segment Analysis'!S7-1,"N/A")</f>
        <v>0.07193638914873701</v>
      </c>
      <c r="Y172" s="378">
        <f ca="1">IFERROR('Segment Analysis'!Y7/'Segment Analysis'!T7-1,"N/A")</f>
        <v>0.07907742446733712</v>
      </c>
      <c r="Z172" s="379">
        <f ca="1">IFERROR('Segment Analysis'!Z7/'Segment Analysis'!U7-1,"N/A")</f>
        <v>0.051964540168700335</v>
      </c>
      <c r="AA172" s="379">
        <f ca="1">IFERROR('Segment Analysis'!AA7/'Segment Analysis'!V7-1,"N/A")</f>
        <v>0.062307904243743106</v>
      </c>
      <c r="AB172" s="379">
        <f ca="1">IFERROR('Segment Analysis'!AB7/'Segment Analysis'!W7-1,"N/A")</f>
        <v>0.12458720000000012</v>
      </c>
      <c r="AC172" s="379">
        <f ca="1">IFERROR('Segment Analysis'!AC7/'Segment Analysis'!X7-1,"N/A")</f>
        <v>0.1245871999999999</v>
      </c>
      <c r="AD172" s="378">
        <f ca="1">IFERROR('Segment Analysis'!AD7/'Segment Analysis'!Y7-1,"N/A")</f>
        <v>0.08848299061273979</v>
      </c>
      <c r="AE172" s="378">
        <f ca="1">IFERROR('Segment Analysis'!AE7/'Segment Analysis'!Z7-1,"N/A")</f>
        <v>3.1781647999999993</v>
      </c>
      <c r="AF172" s="378">
        <f ca="1">IFERROR('Segment Analysis'!AF7/'Segment Analysis'!AA7-1,"N/A")</f>
        <v>2.7383579789473678</v>
      </c>
      <c r="AG172" s="378">
        <f ca="1">IFERROR('Segment Analysis'!AG7/'Segment Analysis'!AB7-1,"N/A")</f>
        <v>3.3330967483253584</v>
      </c>
    </row>
    <row r="173" ht="14.25" customHeight="1" spans="1:33" x14ac:dyDescent="0.25">
      <c r="C173" s="139" t="str">
        <f ca="1">'Segment Analysis'!C16</f>
        <v>Home Improvement Retail</v>
      </c>
      <c r="D173" s="16"/>
      <c r="E173" s="16"/>
      <c r="F173" s="474"/>
      <c r="G173" s="377"/>
      <c r="H173" s="377"/>
      <c r="I173" s="377"/>
      <c r="J173" s="378"/>
      <c r="K173" s="377">
        <f ca="1">IFERROR('Segment Analysis'!K8/'Segment Analysis'!F8-1,"N/A")</f>
        <v>0.021947004608295018</v>
      </c>
      <c r="L173" s="377">
        <f ca="1">IFERROR('Segment Analysis'!L8/'Segment Analysis'!G8-1,"N/A")</f>
        <v>0.004978935273841412</v>
      </c>
      <c r="M173" s="377">
        <f ca="1">IFERROR('Segment Analysis'!M8/'Segment Analysis'!H8-1,"N/A")</f>
        <v>-0.0015503875968991832</v>
      </c>
      <c r="N173" s="377">
        <f ca="1">IFERROR('Segment Analysis'!N8/'Segment Analysis'!I8-1,"N/A")</f>
        <v>0.02435127189057895</v>
      </c>
      <c r="O173" s="378">
        <f ca="1">IFERROR('Segment Analysis'!O8/'Segment Analysis'!J8-1,"N/A")</f>
        <v>0.01176569577472697</v>
      </c>
      <c r="P173" s="377">
        <f ca="1">IFERROR('Segment Analysis'!P8/'Segment Analysis'!K8-1,"N/A")</f>
        <v>0.10901302068654539</v>
      </c>
      <c r="Q173" s="377">
        <f ca="1">IFERROR('Segment Analysis'!Q8/'Segment Analysis'!L8-1,"N/A")</f>
        <v>0.30059070121951215</v>
      </c>
      <c r="R173" s="377">
        <f ca="1">IFERROR('Segment Analysis'!R8/'Segment Analysis'!M8-1,"N/A")</f>
        <v>0.28301127214170685</v>
      </c>
      <c r="S173" s="377">
        <f ca="1">IFERROR('Segment Analysis'!S8/'Segment Analysis'!N8-1,"N/A")</f>
        <v>0.26729893305047736</v>
      </c>
      <c r="T173" s="378">
        <f ca="1">IFERROR('Segment Analysis'!T8/'Segment Analysis'!O8-1,"N/A")</f>
        <v>0.2418500859344681</v>
      </c>
      <c r="U173" s="377">
        <f ca="1">IFERROR('Segment Analysis'!U8/'Segment Analysis'!P8-1,"N/A")</f>
        <v>0.24127064803049558</v>
      </c>
      <c r="V173" s="377">
        <f ca="1">IFERROR('Segment Analysis'!V8/'Segment Analysis'!Q8-1,"N/A")</f>
        <v>0.00981613068639664</v>
      </c>
      <c r="W173" s="377">
        <f ca="1">IFERROR('Segment Analysis'!W8/'Segment Analysis'!R8-1,"N/A")</f>
        <v>0.027298399748980184</v>
      </c>
      <c r="X173" s="379">
        <f ca="1">IFERROR('Segment Analysis'!X8/'Segment Analysis'!S8-1,"N/A")</f>
        <v>0.07193638914873701</v>
      </c>
      <c r="Y173" s="378">
        <f ca="1">IFERROR('Segment Analysis'!Y8/'Segment Analysis'!T8-1,"N/A")</f>
        <v>0.07907742446733712</v>
      </c>
      <c r="Z173" s="379">
        <f ca="1">IFERROR('Segment Analysis'!Z8/'Segment Analysis'!U8-1,"N/A")</f>
        <v>0.051964540168700335</v>
      </c>
      <c r="AA173" s="379">
        <f ca="1">IFERROR('Segment Analysis'!AA8/'Segment Analysis'!V8-1,"N/A")</f>
        <v>0.062307904243743106</v>
      </c>
      <c r="AB173" s="379">
        <f ca="1">IFERROR('Segment Analysis'!AB8/'Segment Analysis'!W8-1,"N/A")</f>
        <v>0.12458720000000012</v>
      </c>
      <c r="AC173" s="379">
        <f ca="1">IFERROR('Segment Analysis'!AC8/'Segment Analysis'!X8-1,"N/A")</f>
        <v>0.1245871999999999</v>
      </c>
      <c r="AD173" s="378">
        <f ca="1">IFERROR('Segment Analysis'!AD8/'Segment Analysis'!Y8-1,"N/A")</f>
        <v>0.08848299061273979</v>
      </c>
      <c r="AE173" s="378">
        <f ca="1">IFERROR('Segment Analysis'!AE8/'Segment Analysis'!Z8-1,"N/A")</f>
        <v>3.1781647999999993</v>
      </c>
      <c r="AF173" s="378">
        <f ca="1">IFERROR('Segment Analysis'!AF8/'Segment Analysis'!AA8-1,"N/A")</f>
        <v>2.7383579789473678</v>
      </c>
      <c r="AG173" s="378">
        <f ca="1">IFERROR('Segment Analysis'!AG8/'Segment Analysis'!AB8-1,"N/A")</f>
        <v>3.3330967483253584</v>
      </c>
    </row>
    <row r="174" ht="14.25" customHeight="1" spans="1:33" x14ac:dyDescent="0.25">
      <c r="C174" s="139" t="str">
        <f ca="1">'Segment Analysis'!C17</f>
        <v>Segment 2</v>
      </c>
      <c r="D174" s="16"/>
      <c r="E174" s="16"/>
      <c r="F174" s="474"/>
      <c r="G174" s="377"/>
      <c r="H174" s="377"/>
      <c r="I174" s="377"/>
      <c r="J174" s="378"/>
      <c r="K174" s="377" t="str">
        <f ca="1">IFERROR('Segment Analysis'!K9/'Segment Analysis'!F9-1,"N/A")</f>
        <v>N/A</v>
      </c>
      <c r="L174" s="377" t="str">
        <f ca="1">IFERROR('Segment Analysis'!L9/'Segment Analysis'!G9-1,"N/A")</f>
        <v>N/A</v>
      </c>
      <c r="M174" s="377" t="str">
        <f ca="1">IFERROR('Segment Analysis'!M9/'Segment Analysis'!H9-1,"N/A")</f>
        <v>N/A</v>
      </c>
      <c r="N174" s="377" t="str">
        <f ca="1">IFERROR('Segment Analysis'!N9/'Segment Analysis'!I9-1,"N/A")</f>
        <v>N/A</v>
      </c>
      <c r="O174" s="378" t="str">
        <f ca="1">IFERROR('Segment Analysis'!O9/'Segment Analysis'!J9-1,"N/A")</f>
        <v>N/A</v>
      </c>
      <c r="P174" s="377" t="str">
        <f ca="1">IFERROR('Segment Analysis'!P9/'Segment Analysis'!K9-1,"N/A")</f>
        <v>N/A</v>
      </c>
      <c r="Q174" s="377" t="str">
        <f ca="1">IFERROR('Segment Analysis'!Q9/'Segment Analysis'!L9-1,"N/A")</f>
        <v>N/A</v>
      </c>
      <c r="R174" s="377" t="str">
        <f ca="1">IFERROR('Segment Analysis'!R9/'Segment Analysis'!M9-1,"N/A")</f>
        <v>N/A</v>
      </c>
      <c r="S174" s="377" t="str">
        <f ca="1">IFERROR('Segment Analysis'!S9/'Segment Analysis'!N9-1,"N/A")</f>
        <v>N/A</v>
      </c>
      <c r="T174" s="378" t="str">
        <f ca="1">IFERROR('Segment Analysis'!T9/'Segment Analysis'!O9-1,"N/A")</f>
        <v>N/A</v>
      </c>
      <c r="U174" s="377" t="str">
        <f ca="1">IFERROR('Segment Analysis'!U9/'Segment Analysis'!P9-1,"N/A")</f>
        <v>N/A</v>
      </c>
      <c r="V174" s="377" t="str">
        <f ca="1">IFERROR('Segment Analysis'!V9/'Segment Analysis'!Q9-1,"N/A")</f>
        <v>N/A</v>
      </c>
      <c r="W174" s="377" t="str">
        <f ca="1">IFERROR('Segment Analysis'!W9/'Segment Analysis'!R9-1,"N/A")</f>
        <v>N/A</v>
      </c>
      <c r="X174" s="379" t="str">
        <f ca="1">IFERROR('Segment Analysis'!X9/'Segment Analysis'!S9-1,"N/A")</f>
        <v>N/A</v>
      </c>
      <c r="Y174" s="378" t="str">
        <f ca="1">IFERROR('Segment Analysis'!Y9/'Segment Analysis'!T9-1,"N/A")</f>
        <v>N/A</v>
      </c>
      <c r="Z174" s="379" t="str">
        <f ca="1">IFERROR('Segment Analysis'!Z9/'Segment Analysis'!U9-1,"N/A")</f>
        <v>N/A</v>
      </c>
      <c r="AA174" s="379" t="str">
        <f ca="1">IFERROR('Segment Analysis'!AA9/'Segment Analysis'!V9-1,"N/A")</f>
        <v>N/A</v>
      </c>
      <c r="AB174" s="379" t="str">
        <f ca="1">IFERROR('Segment Analysis'!AB9/'Segment Analysis'!W9-1,"N/A")</f>
        <v>N/A</v>
      </c>
      <c r="AC174" s="379" t="str">
        <f ca="1">IFERROR('Segment Analysis'!AC9/'Segment Analysis'!X9-1,"N/A")</f>
        <v>N/A</v>
      </c>
      <c r="AD174" s="378" t="str">
        <f ca="1">IFERROR('Segment Analysis'!AD9/'Segment Analysis'!Y9-1,"N/A")</f>
        <v>N/A</v>
      </c>
      <c r="AE174" s="378" t="str">
        <f ca="1">IFERROR('Segment Analysis'!AE9/'Segment Analysis'!Z9-1,"N/A")</f>
        <v>N/A</v>
      </c>
      <c r="AF174" s="378" t="str">
        <f ca="1">IFERROR('Segment Analysis'!AF9/'Segment Analysis'!AA9-1,"N/A")</f>
        <v>N/A</v>
      </c>
      <c r="AG174" s="378" t="str">
        <f ca="1">IFERROR('Segment Analysis'!AG9/'Segment Analysis'!AB9-1,"N/A")</f>
        <v>N/A</v>
      </c>
    </row>
    <row r="175" ht="14.25" customHeight="1" spans="1:33" x14ac:dyDescent="0.25">
      <c r="C175" s="139" t="str">
        <f ca="1">'Segment Analysis'!C18</f>
        <v>Segment 3</v>
      </c>
      <c r="D175" s="16"/>
      <c r="E175" s="16"/>
      <c r="F175" s="474"/>
      <c r="G175" s="377"/>
      <c r="H175" s="377"/>
      <c r="I175" s="377"/>
      <c r="J175" s="378"/>
      <c r="K175" s="377" t="str">
        <f ca="1">IFERROR('Segment Analysis'!K10/'Segment Analysis'!F10-1,"N/A")</f>
        <v>N/A</v>
      </c>
      <c r="L175" s="377" t="str">
        <f ca="1">IFERROR('Segment Analysis'!L10/'Segment Analysis'!G10-1,"N/A")</f>
        <v>N/A</v>
      </c>
      <c r="M175" s="377" t="str">
        <f ca="1">IFERROR('Segment Analysis'!M10/'Segment Analysis'!H10-1,"N/A")</f>
        <v>N/A</v>
      </c>
      <c r="N175" s="377" t="str">
        <f ca="1">IFERROR('Segment Analysis'!N10/'Segment Analysis'!I10-1,"N/A")</f>
        <v>N/A</v>
      </c>
      <c r="O175" s="378" t="str">
        <f ca="1">IFERROR('Segment Analysis'!O10/'Segment Analysis'!J10-1,"N/A")</f>
        <v>N/A</v>
      </c>
      <c r="P175" s="377" t="str">
        <f ca="1">IFERROR('Segment Analysis'!P10/'Segment Analysis'!K10-1,"N/A")</f>
        <v>N/A</v>
      </c>
      <c r="Q175" s="377" t="str">
        <f ca="1">IFERROR('Segment Analysis'!Q10/'Segment Analysis'!L10-1,"N/A")</f>
        <v>N/A</v>
      </c>
      <c r="R175" s="377" t="str">
        <f ca="1">IFERROR('Segment Analysis'!R10/'Segment Analysis'!M10-1,"N/A")</f>
        <v>N/A</v>
      </c>
      <c r="S175" s="377" t="str">
        <f ca="1">IFERROR('Segment Analysis'!S10/'Segment Analysis'!N10-1,"N/A")</f>
        <v>N/A</v>
      </c>
      <c r="T175" s="378" t="str">
        <f ca="1">IFERROR('Segment Analysis'!T10/'Segment Analysis'!O10-1,"N/A")</f>
        <v>N/A</v>
      </c>
      <c r="U175" s="377" t="str">
        <f ca="1">IFERROR('Segment Analysis'!U10/'Segment Analysis'!P10-1,"N/A")</f>
        <v>N/A</v>
      </c>
      <c r="V175" s="377" t="str">
        <f ca="1">IFERROR('Segment Analysis'!V10/'Segment Analysis'!Q10-1,"N/A")</f>
        <v>N/A</v>
      </c>
      <c r="W175" s="377" t="str">
        <f ca="1">IFERROR('Segment Analysis'!W10/'Segment Analysis'!R10-1,"N/A")</f>
        <v>N/A</v>
      </c>
      <c r="X175" s="379" t="str">
        <f ca="1">IFERROR('Segment Analysis'!X10/'Segment Analysis'!S10-1,"N/A")</f>
        <v>N/A</v>
      </c>
      <c r="Y175" s="378" t="str">
        <f ca="1">IFERROR('Segment Analysis'!Y10/'Segment Analysis'!T10-1,"N/A")</f>
        <v>N/A</v>
      </c>
      <c r="Z175" s="379" t="str">
        <f ca="1">IFERROR('Segment Analysis'!Z10/'Segment Analysis'!U10-1,"N/A")</f>
        <v>N/A</v>
      </c>
      <c r="AA175" s="379" t="str">
        <f ca="1">IFERROR('Segment Analysis'!AA10/'Segment Analysis'!V10-1,"N/A")</f>
        <v>N/A</v>
      </c>
      <c r="AB175" s="379" t="str">
        <f ca="1">IFERROR('Segment Analysis'!AB10/'Segment Analysis'!W10-1,"N/A")</f>
        <v>N/A</v>
      </c>
      <c r="AC175" s="379" t="str">
        <f ca="1">IFERROR('Segment Analysis'!AC10/'Segment Analysis'!X10-1,"N/A")</f>
        <v>N/A</v>
      </c>
      <c r="AD175" s="378" t="str">
        <f ca="1">IFERROR('Segment Analysis'!AD10/'Segment Analysis'!Y10-1,"N/A")</f>
        <v>N/A</v>
      </c>
      <c r="AE175" s="378" t="str">
        <f ca="1">IFERROR('Segment Analysis'!AE10/'Segment Analysis'!Z10-1,"N/A")</f>
        <v>N/A</v>
      </c>
      <c r="AF175" s="378" t="str">
        <f ca="1">IFERROR('Segment Analysis'!AF10/'Segment Analysis'!AA10-1,"N/A")</f>
        <v>N/A</v>
      </c>
      <c r="AG175" s="378" t="str">
        <f ca="1">IFERROR('Segment Analysis'!AG10/'Segment Analysis'!AB10-1,"N/A")</f>
        <v>N/A</v>
      </c>
    </row>
    <row r="176" ht="14.25" customHeight="1" spans="1:33" x14ac:dyDescent="0.25">
      <c r="C176" s="139" t="str">
        <f ca="1">'Segment Analysis'!C19</f>
        <v>Segment 4</v>
      </c>
      <c r="D176" s="16"/>
      <c r="E176" s="16"/>
      <c r="F176" s="474"/>
      <c r="G176" s="377"/>
      <c r="H176" s="377"/>
      <c r="I176" s="377"/>
      <c r="J176" s="378"/>
      <c r="K176" s="377" t="str">
        <f ca="1">IFERROR('Segment Analysis'!K11/'Segment Analysis'!F11-1,"N/A")</f>
        <v>N/A</v>
      </c>
      <c r="L176" s="377" t="str">
        <f ca="1">IFERROR('Segment Analysis'!L11/'Segment Analysis'!G11-1,"N/A")</f>
        <v>N/A</v>
      </c>
      <c r="M176" s="377" t="str">
        <f ca="1">IFERROR('Segment Analysis'!M11/'Segment Analysis'!H11-1,"N/A")</f>
        <v>N/A</v>
      </c>
      <c r="N176" s="377" t="str">
        <f ca="1">IFERROR('Segment Analysis'!N11/'Segment Analysis'!I11-1,"N/A")</f>
        <v>N/A</v>
      </c>
      <c r="O176" s="378" t="str">
        <f ca="1">IFERROR('Segment Analysis'!O11/'Segment Analysis'!J11-1,"N/A")</f>
        <v>N/A</v>
      </c>
      <c r="P176" s="377" t="str">
        <f ca="1">IFERROR('Segment Analysis'!P11/'Segment Analysis'!K11-1,"N/A")</f>
        <v>N/A</v>
      </c>
      <c r="Q176" s="377" t="str">
        <f ca="1">IFERROR('Segment Analysis'!Q11/'Segment Analysis'!L11-1,"N/A")</f>
        <v>N/A</v>
      </c>
      <c r="R176" s="377" t="str">
        <f ca="1">IFERROR('Segment Analysis'!R11/'Segment Analysis'!M11-1,"N/A")</f>
        <v>N/A</v>
      </c>
      <c r="S176" s="377" t="str">
        <f ca="1">IFERROR('Segment Analysis'!S11/'Segment Analysis'!N11-1,"N/A")</f>
        <v>N/A</v>
      </c>
      <c r="T176" s="378" t="str">
        <f ca="1">IFERROR('Segment Analysis'!T11/'Segment Analysis'!O11-1,"N/A")</f>
        <v>N/A</v>
      </c>
      <c r="U176" s="377" t="str">
        <f ca="1">IFERROR('Segment Analysis'!U11/'Segment Analysis'!P11-1,"N/A")</f>
        <v>N/A</v>
      </c>
      <c r="V176" s="377" t="str">
        <f ca="1">IFERROR('Segment Analysis'!V11/'Segment Analysis'!Q11-1,"N/A")</f>
        <v>N/A</v>
      </c>
      <c r="W176" s="377" t="str">
        <f ca="1">IFERROR('Segment Analysis'!W11/'Segment Analysis'!R11-1,"N/A")</f>
        <v>N/A</v>
      </c>
      <c r="X176" s="379" t="str">
        <f ca="1">IFERROR('Segment Analysis'!X11/'Segment Analysis'!S11-1,"N/A")</f>
        <v>N/A</v>
      </c>
      <c r="Y176" s="378" t="str">
        <f ca="1">IFERROR('Segment Analysis'!Y11/'Segment Analysis'!T11-1,"N/A")</f>
        <v>N/A</v>
      </c>
      <c r="Z176" s="379" t="str">
        <f ca="1">IFERROR('Segment Analysis'!Z11/'Segment Analysis'!U11-1,"N/A")</f>
        <v>N/A</v>
      </c>
      <c r="AA176" s="379" t="str">
        <f ca="1">IFERROR('Segment Analysis'!AA11/'Segment Analysis'!V11-1,"N/A")</f>
        <v>N/A</v>
      </c>
      <c r="AB176" s="379" t="str">
        <f ca="1">IFERROR('Segment Analysis'!AB11/'Segment Analysis'!W11-1,"N/A")</f>
        <v>N/A</v>
      </c>
      <c r="AC176" s="379" t="str">
        <f ca="1">IFERROR('Segment Analysis'!AC11/'Segment Analysis'!X11-1,"N/A")</f>
        <v>N/A</v>
      </c>
      <c r="AD176" s="378" t="str">
        <f ca="1">IFERROR('Segment Analysis'!AD11/'Segment Analysis'!Y11-1,"N/A")</f>
        <v>N/A</v>
      </c>
      <c r="AE176" s="378" t="str">
        <f ca="1">IFERROR('Segment Analysis'!AE11/'Segment Analysis'!Z11-1,"N/A")</f>
        <v>N/A</v>
      </c>
      <c r="AF176" s="378" t="str">
        <f ca="1">IFERROR('Segment Analysis'!AF11/'Segment Analysis'!AA11-1,"N/A")</f>
        <v>N/A</v>
      </c>
      <c r="AG176" s="378" t="str">
        <f ca="1">IFERROR('Segment Analysis'!AG11/'Segment Analysis'!AB11-1,"N/A")</f>
        <v>N/A</v>
      </c>
    </row>
    <row r="177" ht="14.25" customHeight="1" spans="1:33" x14ac:dyDescent="0.25">
      <c r="C177" s="139" t="str">
        <f ca="1">'Segment Analysis'!C20</f>
        <v>Segment 5</v>
      </c>
      <c r="D177" s="16"/>
      <c r="E177" s="16"/>
      <c r="F177" s="474"/>
      <c r="G177" s="377"/>
      <c r="H177" s="377"/>
      <c r="I177" s="377"/>
      <c r="J177" s="378"/>
      <c r="K177" s="377" t="str">
        <f ca="1">IFERROR('Segment Analysis'!K12/'Segment Analysis'!F12-1,"N/A")</f>
        <v>N/A</v>
      </c>
      <c r="L177" s="377" t="str">
        <f ca="1">IFERROR('Segment Analysis'!L12/'Segment Analysis'!G12-1,"N/A")</f>
        <v>N/A</v>
      </c>
      <c r="M177" s="377" t="str">
        <f ca="1">IFERROR('Segment Analysis'!M12/'Segment Analysis'!H12-1,"N/A")</f>
        <v>N/A</v>
      </c>
      <c r="N177" s="377" t="str">
        <f ca="1">IFERROR('Segment Analysis'!N12/'Segment Analysis'!I12-1,"N/A")</f>
        <v>N/A</v>
      </c>
      <c r="O177" s="378" t="str">
        <f ca="1">IFERROR('Segment Analysis'!O12/'Segment Analysis'!J12-1,"N/A")</f>
        <v>N/A</v>
      </c>
      <c r="P177" s="377" t="str">
        <f ca="1">IFERROR('Segment Analysis'!P12/'Segment Analysis'!K12-1,"N/A")</f>
        <v>N/A</v>
      </c>
      <c r="Q177" s="377" t="str">
        <f ca="1">IFERROR('Segment Analysis'!Q12/'Segment Analysis'!L12-1,"N/A")</f>
        <v>N/A</v>
      </c>
      <c r="R177" s="377" t="str">
        <f ca="1">IFERROR('Segment Analysis'!R12/'Segment Analysis'!M12-1,"N/A")</f>
        <v>N/A</v>
      </c>
      <c r="S177" s="377" t="str">
        <f ca="1">IFERROR('Segment Analysis'!S12/'Segment Analysis'!N12-1,"N/A")</f>
        <v>N/A</v>
      </c>
      <c r="T177" s="378" t="str">
        <f ca="1">IFERROR('Segment Analysis'!T12/'Segment Analysis'!O12-1,"N/A")</f>
        <v>N/A</v>
      </c>
      <c r="U177" s="377" t="str">
        <f ca="1">IFERROR('Segment Analysis'!U12/'Segment Analysis'!P12-1,"N/A")</f>
        <v>N/A</v>
      </c>
      <c r="V177" s="377" t="str">
        <f ca="1">IFERROR('Segment Analysis'!V12/'Segment Analysis'!Q12-1,"N/A")</f>
        <v>N/A</v>
      </c>
      <c r="W177" s="377" t="str">
        <f ca="1">IFERROR('Segment Analysis'!W12/'Segment Analysis'!R12-1,"N/A")</f>
        <v>N/A</v>
      </c>
      <c r="X177" s="379" t="str">
        <f ca="1">IFERROR('Segment Analysis'!X12/'Segment Analysis'!S12-1,"N/A")</f>
        <v>N/A</v>
      </c>
      <c r="Y177" s="378" t="str">
        <f ca="1">IFERROR('Segment Analysis'!Y12/'Segment Analysis'!T12-1,"N/A")</f>
        <v>N/A</v>
      </c>
      <c r="Z177" s="379" t="str">
        <f ca="1">IFERROR('Segment Analysis'!Z12/'Segment Analysis'!U12-1,"N/A")</f>
        <v>N/A</v>
      </c>
      <c r="AA177" s="379" t="str">
        <f ca="1">IFERROR('Segment Analysis'!AA12/'Segment Analysis'!V12-1,"N/A")</f>
        <v>N/A</v>
      </c>
      <c r="AB177" s="379" t="str">
        <f ca="1">IFERROR('Segment Analysis'!AB12/'Segment Analysis'!W12-1,"N/A")</f>
        <v>N/A</v>
      </c>
      <c r="AC177" s="379" t="str">
        <f ca="1">IFERROR('Segment Analysis'!AC12/'Segment Analysis'!X12-1,"N/A")</f>
        <v>N/A</v>
      </c>
      <c r="AD177" s="378" t="str">
        <f ca="1">IFERROR('Segment Analysis'!AD12/'Segment Analysis'!Y12-1,"N/A")</f>
        <v>N/A</v>
      </c>
      <c r="AE177" s="378" t="str">
        <f ca="1">IFERROR('Segment Analysis'!AE12/'Segment Analysis'!Z12-1,"N/A")</f>
        <v>N/A</v>
      </c>
      <c r="AF177" s="378" t="str">
        <f ca="1">IFERROR('Segment Analysis'!AF12/'Segment Analysis'!AA12-1,"N/A")</f>
        <v>N/A</v>
      </c>
      <c r="AG177" s="378" t="str">
        <f ca="1">IFERROR('Segment Analysis'!AG12/'Segment Analysis'!AB12-1,"N/A")</f>
        <v>N/A</v>
      </c>
    </row>
    <row r="178" ht="14.25" customHeight="1" spans="1:33" x14ac:dyDescent="0.25">
      <c r="C178" s="139" t="str">
        <f ca="1">'Segment Analysis'!C21</f>
        <v>Segment 6</v>
      </c>
      <c r="D178" s="16"/>
      <c r="E178" s="16"/>
      <c r="F178" s="474"/>
      <c r="G178" s="377"/>
      <c r="H178" s="377"/>
      <c r="I178" s="377"/>
      <c r="J178" s="378"/>
      <c r="K178" s="377" t="str">
        <f ca="1">IFERROR('Segment Analysis'!K13/'Segment Analysis'!F13-1,"N/A")</f>
        <v>N/A</v>
      </c>
      <c r="L178" s="377" t="str">
        <f ca="1">IFERROR('Segment Analysis'!L13/'Segment Analysis'!G13-1,"N/A")</f>
        <v>N/A</v>
      </c>
      <c r="M178" s="377" t="str">
        <f ca="1">IFERROR('Segment Analysis'!M13/'Segment Analysis'!H13-1,"N/A")</f>
        <v>N/A</v>
      </c>
      <c r="N178" s="377" t="str">
        <f ca="1">IFERROR('Segment Analysis'!N13/'Segment Analysis'!I13-1,"N/A")</f>
        <v>N/A</v>
      </c>
      <c r="O178" s="378" t="str">
        <f ca="1">IFERROR('Segment Analysis'!O13/'Segment Analysis'!J13-1,"N/A")</f>
        <v>N/A</v>
      </c>
      <c r="P178" s="377" t="str">
        <f ca="1">IFERROR('Segment Analysis'!P13/'Segment Analysis'!K13-1,"N/A")</f>
        <v>N/A</v>
      </c>
      <c r="Q178" s="377" t="str">
        <f ca="1">IFERROR('Segment Analysis'!Q13/'Segment Analysis'!L13-1,"N/A")</f>
        <v>N/A</v>
      </c>
      <c r="R178" s="377" t="str">
        <f ca="1">IFERROR('Segment Analysis'!R13/'Segment Analysis'!M13-1,"N/A")</f>
        <v>N/A</v>
      </c>
      <c r="S178" s="377" t="str">
        <f ca="1">IFERROR('Segment Analysis'!S13/'Segment Analysis'!N13-1,"N/A")</f>
        <v>N/A</v>
      </c>
      <c r="T178" s="378" t="str">
        <f ca="1">IFERROR('Segment Analysis'!T13/'Segment Analysis'!O13-1,"N/A")</f>
        <v>N/A</v>
      </c>
      <c r="U178" s="377" t="str">
        <f ca="1">IFERROR('Segment Analysis'!U13/'Segment Analysis'!P13-1,"N/A")</f>
        <v>N/A</v>
      </c>
      <c r="V178" s="377" t="str">
        <f ca="1">IFERROR('Segment Analysis'!V13/'Segment Analysis'!Q13-1,"N/A")</f>
        <v>N/A</v>
      </c>
      <c r="W178" s="377" t="str">
        <f ca="1">IFERROR('Segment Analysis'!W13/'Segment Analysis'!R13-1,"N/A")</f>
        <v>N/A</v>
      </c>
      <c r="X178" s="379" t="str">
        <f ca="1">IFERROR('Segment Analysis'!X13/'Segment Analysis'!S13-1,"N/A")</f>
        <v>N/A</v>
      </c>
      <c r="Y178" s="378" t="str">
        <f ca="1">IFERROR('Segment Analysis'!Y13/'Segment Analysis'!T13-1,"N/A")</f>
        <v>N/A</v>
      </c>
      <c r="Z178" s="379" t="str">
        <f ca="1">IFERROR('Segment Analysis'!Z13/'Segment Analysis'!U13-1,"N/A")</f>
        <v>N/A</v>
      </c>
      <c r="AA178" s="379" t="str">
        <f ca="1">IFERROR('Segment Analysis'!AA13/'Segment Analysis'!V13-1,"N/A")</f>
        <v>N/A</v>
      </c>
      <c r="AB178" s="379" t="str">
        <f ca="1">IFERROR('Segment Analysis'!AB13/'Segment Analysis'!W13-1,"N/A")</f>
        <v>N/A</v>
      </c>
      <c r="AC178" s="379" t="str">
        <f ca="1">IFERROR('Segment Analysis'!AC13/'Segment Analysis'!X13-1,"N/A")</f>
        <v>N/A</v>
      </c>
      <c r="AD178" s="378" t="str">
        <f ca="1">IFERROR('Segment Analysis'!AD13/'Segment Analysis'!Y13-1,"N/A")</f>
        <v>N/A</v>
      </c>
      <c r="AE178" s="378" t="str">
        <f ca="1">IFERROR('Segment Analysis'!AE13/'Segment Analysis'!Z13-1,"N/A")</f>
        <v>N/A</v>
      </c>
      <c r="AF178" s="378" t="str">
        <f ca="1">IFERROR('Segment Analysis'!AF13/'Segment Analysis'!AA13-1,"N/A")</f>
        <v>N/A</v>
      </c>
      <c r="AG178" s="378" t="str">
        <f ca="1">IFERROR('Segment Analysis'!AG13/'Segment Analysis'!AB13-1,"N/A")</f>
        <v>N/A</v>
      </c>
    </row>
    <row r="179" ht="14.25" customHeight="1" spans="1:33" x14ac:dyDescent="0.25">
      <c r="C179" s="16"/>
      <c r="D179" s="16"/>
      <c r="E179" s="16"/>
      <c r="F179" s="319"/>
      <c r="G179" s="319"/>
      <c r="H179" s="319"/>
      <c r="I179" s="319"/>
      <c r="J179" s="168"/>
      <c r="K179" s="319"/>
      <c r="L179" s="319"/>
      <c r="M179" s="319"/>
      <c r="N179" s="319"/>
      <c r="O179" s="168"/>
      <c r="P179" s="319"/>
      <c r="Q179" s="319"/>
      <c r="R179" s="319"/>
      <c r="S179" s="319"/>
      <c r="T179" s="168"/>
      <c r="U179" s="319"/>
      <c r="V179" s="319"/>
      <c r="W179" s="319"/>
      <c r="X179" s="322"/>
      <c r="Y179" s="168"/>
      <c r="Z179" s="322"/>
      <c r="AA179" s="322"/>
      <c r="AB179" s="322"/>
      <c r="AC179" s="322"/>
      <c r="AD179" s="168"/>
      <c r="AE179" s="168"/>
      <c r="AF179" s="168"/>
      <c r="AG179" s="168"/>
    </row>
    <row r="180" ht="14.25" customHeight="1" spans="1:33" x14ac:dyDescent="0.25">
      <c r="C180" s="139" t="str">
        <f t="shared" ref="C180:C184" si="132" ca="1">C89</f>
        <v>North America</v>
      </c>
      <c r="D180" s="16"/>
      <c r="E180" s="16"/>
      <c r="F180" s="474"/>
      <c r="G180" s="474"/>
      <c r="H180" s="474"/>
      <c r="I180" s="474"/>
      <c r="J180" s="168"/>
      <c r="K180" s="377" t="str">
        <f t="shared" ref="K180:AG180" si="133" ca="1">IFERROR(K89/F89-1,"N/A")</f>
        <v>N/A</v>
      </c>
      <c r="L180" s="377" t="str">
        <f ca="1">IFERROR(L89/G89-1,"N/A")</f>
        <v>N/A</v>
      </c>
      <c r="M180" s="377" t="str">
        <f ca="1">IFERROR(M89/H89-1,"N/A")</f>
        <v>N/A</v>
      </c>
      <c r="N180" s="377" t="str">
        <f ca="1">IFERROR(N89/I89-1,"N/A")</f>
        <v>N/A</v>
      </c>
      <c r="O180" s="378" t="str">
        <f ca="1">IFERROR(O89/J89-1,"N/A")</f>
        <v>N/A</v>
      </c>
      <c r="P180" s="377" t="str">
        <f ca="1">IFERROR(P89/K89-1,"N/A")</f>
        <v>N/A</v>
      </c>
      <c r="Q180" s="377" t="str">
        <f ca="1">IFERROR(Q89/L89-1,"N/A")</f>
        <v>N/A</v>
      </c>
      <c r="R180" s="377" t="str">
        <f ca="1">IFERROR(R89/M89-1,"N/A")</f>
        <v>N/A</v>
      </c>
      <c r="S180" s="377" t="str">
        <f ca="1">IFERROR(S89/N89-1,"N/A")</f>
        <v>N/A</v>
      </c>
      <c r="T180" s="378" t="str">
        <f ca="1">IFERROR(T89/O89-1,"N/A")</f>
        <v>N/A</v>
      </c>
      <c r="U180" s="377" t="str">
        <f ca="1">IFERROR(U89/P89-1,"N/A")</f>
        <v>N/A</v>
      </c>
      <c r="V180" s="377" t="str">
        <f ca="1">IFERROR(V89/Q89-1,"N/A")</f>
        <v>N/A</v>
      </c>
      <c r="W180" s="377" t="str">
        <f ca="1">IFERROR(W89/R89-1,"N/A")</f>
        <v>N/A</v>
      </c>
      <c r="X180" s="379" t="str">
        <f ca="1">IFERROR(X89/S89-1,"N/A")</f>
        <v>N/A</v>
      </c>
      <c r="Y180" s="378" t="str">
        <f ca="1">IFERROR(Y89/T89-1,"N/A")</f>
        <v>N/A</v>
      </c>
      <c r="Z180" s="379" t="str">
        <f ca="1">IFERROR(Z89/U89-1,"N/A")</f>
        <v>N/A</v>
      </c>
      <c r="AA180" s="379" t="str">
        <f ca="1">IFERROR(AA89/V89-1,"N/A")</f>
        <v>N/A</v>
      </c>
      <c r="AB180" s="379" t="str">
        <f ca="1">IFERROR(AB89/W89-1,"N/A")</f>
        <v>N/A</v>
      </c>
      <c r="AC180" s="379" t="str">
        <f ca="1">IFERROR(AC89/X89-1,"N/A")</f>
        <v>N/A</v>
      </c>
      <c r="AD180" s="378" t="str">
        <f ca="1">IFERROR(AD89/Y89-1,"N/A")</f>
        <v>N/A</v>
      </c>
      <c r="AE180" s="378" t="str">
        <f ca="1">IFERROR(AE89/Z89-1,"N/A")</f>
        <v>N/A</v>
      </c>
      <c r="AF180" s="378" t="str">
        <f ca="1">IFERROR(AF89/AA89-1,"N/A")</f>
        <v>N/A</v>
      </c>
      <c r="AG180" s="378" t="str">
        <f ca="1">IFERROR(AG89/AB89-1,"N/A")</f>
        <v>N/A</v>
      </c>
    </row>
    <row r="181" ht="14.25" customHeight="1" spans="1:33" x14ac:dyDescent="0.25">
      <c r="C181" s="139" t="str">
        <f ca="1">C90</f>
        <v>Europe</v>
      </c>
      <c r="D181" s="16"/>
      <c r="E181" s="16"/>
      <c r="F181" s="474"/>
      <c r="G181" s="474"/>
      <c r="H181" s="474"/>
      <c r="I181" s="474"/>
      <c r="J181" s="168"/>
      <c r="K181" s="377" t="str">
        <f t="shared" ref="K181:AG181" si="134" ca="1">IFERROR(K90/F90-1,"N/A")</f>
        <v>N/A</v>
      </c>
      <c r="L181" s="377" t="str">
        <f ca="1">IFERROR(L90/G90-1,"N/A")</f>
        <v>N/A</v>
      </c>
      <c r="M181" s="377" t="str">
        <f ca="1">IFERROR(M90/H90-1,"N/A")</f>
        <v>N/A</v>
      </c>
      <c r="N181" s="377" t="str">
        <f ca="1">IFERROR(N90/I90-1,"N/A")</f>
        <v>N/A</v>
      </c>
      <c r="O181" s="378" t="str">
        <f ca="1">IFERROR(O90/J90-1,"N/A")</f>
        <v>N/A</v>
      </c>
      <c r="P181" s="377" t="str">
        <f ca="1">IFERROR(P90/K90-1,"N/A")</f>
        <v>N/A</v>
      </c>
      <c r="Q181" s="377" t="str">
        <f ca="1">IFERROR(Q90/L90-1,"N/A")</f>
        <v>N/A</v>
      </c>
      <c r="R181" s="377" t="str">
        <f ca="1">IFERROR(R90/M90-1,"N/A")</f>
        <v>N/A</v>
      </c>
      <c r="S181" s="377" t="str">
        <f ca="1">IFERROR(S90/N90-1,"N/A")</f>
        <v>N/A</v>
      </c>
      <c r="T181" s="378" t="str">
        <f ca="1">IFERROR(T90/O90-1,"N/A")</f>
        <v>N/A</v>
      </c>
      <c r="U181" s="377" t="str">
        <f ca="1">IFERROR(U90/P90-1,"N/A")</f>
        <v>N/A</v>
      </c>
      <c r="V181" s="377" t="str">
        <f ca="1">IFERROR(V90/Q90-1,"N/A")</f>
        <v>N/A</v>
      </c>
      <c r="W181" s="377" t="str">
        <f ca="1">IFERROR(W90/R90-1,"N/A")</f>
        <v>N/A</v>
      </c>
      <c r="X181" s="379" t="str">
        <f ca="1">IFERROR(X90/S90-1,"N/A")</f>
        <v>N/A</v>
      </c>
      <c r="Y181" s="378" t="str">
        <f ca="1">IFERROR(Y90/T90-1,"N/A")</f>
        <v>N/A</v>
      </c>
      <c r="Z181" s="379" t="str">
        <f ca="1">IFERROR(Z90/U90-1,"N/A")</f>
        <v>N/A</v>
      </c>
      <c r="AA181" s="379" t="str">
        <f ca="1">IFERROR(AA90/V90-1,"N/A")</f>
        <v>N/A</v>
      </c>
      <c r="AB181" s="379" t="str">
        <f ca="1">IFERROR(AB90/W90-1,"N/A")</f>
        <v>N/A</v>
      </c>
      <c r="AC181" s="379" t="str">
        <f ca="1">IFERROR(AC90/X90-1,"N/A")</f>
        <v>N/A</v>
      </c>
      <c r="AD181" s="378" t="str">
        <f ca="1">IFERROR(AD90/Y90-1,"N/A")</f>
        <v>N/A</v>
      </c>
      <c r="AE181" s="378" t="str">
        <f ca="1">IFERROR(AE90/Z90-1,"N/A")</f>
        <v>N/A</v>
      </c>
      <c r="AF181" s="378" t="str">
        <f ca="1">IFERROR(AF90/AA90-1,"N/A")</f>
        <v>N/A</v>
      </c>
      <c r="AG181" s="378" t="str">
        <f ca="1">IFERROR(AG90/AB90-1,"N/A")</f>
        <v>N/A</v>
      </c>
    </row>
    <row r="182" ht="14.25" customHeight="1" hidden="1" spans="1:33" x14ac:dyDescent="0.25" outlineLevel="1">
      <c r="C182" s="139" t="str">
        <f ca="1">C91</f>
        <v>South America</v>
      </c>
      <c r="D182" s="16"/>
      <c r="E182" s="16"/>
      <c r="F182" s="474"/>
      <c r="G182" s="474"/>
      <c r="H182" s="474"/>
      <c r="I182" s="474"/>
      <c r="J182" s="168"/>
      <c r="K182" s="377" t="str">
        <f t="shared" ref="K182:AG182" si="135" ca="1">IFERROR(K91/F91-1,"N/A")</f>
        <v>N/A</v>
      </c>
      <c r="L182" s="377" t="str">
        <f ca="1">IFERROR(L91/G91-1,"N/A")</f>
        <v>N/A</v>
      </c>
      <c r="M182" s="377" t="str">
        <f ca="1">IFERROR(M91/H91-1,"N/A")</f>
        <v>N/A</v>
      </c>
      <c r="N182" s="377" t="str">
        <f ca="1">IFERROR(N91/I91-1,"N/A")</f>
        <v>N/A</v>
      </c>
      <c r="O182" s="378" t="str">
        <f ca="1">IFERROR(O91/J91-1,"N/A")</f>
        <v>N/A</v>
      </c>
      <c r="P182" s="377" t="str">
        <f ca="1">IFERROR(P91/K91-1,"N/A")</f>
        <v>N/A</v>
      </c>
      <c r="Q182" s="377" t="str">
        <f ca="1">IFERROR(Q91/L91-1,"N/A")</f>
        <v>N/A</v>
      </c>
      <c r="R182" s="377" t="str">
        <f ca="1">IFERROR(R91/M91-1,"N/A")</f>
        <v>N/A</v>
      </c>
      <c r="S182" s="377" t="str">
        <f ca="1">IFERROR(S91/N91-1,"N/A")</f>
        <v>N/A</v>
      </c>
      <c r="T182" s="378" t="str">
        <f ca="1">IFERROR(T91/O91-1,"N/A")</f>
        <v>N/A</v>
      </c>
      <c r="U182" s="377" t="str">
        <f ca="1">IFERROR(U91/P91-1,"N/A")</f>
        <v>N/A</v>
      </c>
      <c r="V182" s="377" t="str">
        <f ca="1">IFERROR(V91/Q91-1,"N/A")</f>
        <v>N/A</v>
      </c>
      <c r="W182" s="377" t="str">
        <f ca="1">IFERROR(W91/R91-1,"N/A")</f>
        <v>N/A</v>
      </c>
      <c r="X182" s="379" t="str">
        <f ca="1">IFERROR(X91/S91-1,"N/A")</f>
        <v>N/A</v>
      </c>
      <c r="Y182" s="378" t="str">
        <f ca="1">IFERROR(Y91/T91-1,"N/A")</f>
        <v>N/A</v>
      </c>
      <c r="Z182" s="379" t="str">
        <f ca="1">IFERROR(Z91/U91-1,"N/A")</f>
        <v>N/A</v>
      </c>
      <c r="AA182" s="379" t="str">
        <f ca="1">IFERROR(AA91/V91-1,"N/A")</f>
        <v>N/A</v>
      </c>
      <c r="AB182" s="379" t="str">
        <f ca="1">IFERROR(AB91/W91-1,"N/A")</f>
        <v>N/A</v>
      </c>
      <c r="AC182" s="379" t="str">
        <f ca="1">IFERROR(AC91/X91-1,"N/A")</f>
        <v>N/A</v>
      </c>
      <c r="AD182" s="378" t="str">
        <f ca="1">IFERROR(AD91/Y91-1,"N/A")</f>
        <v>N/A</v>
      </c>
      <c r="AE182" s="378" t="str">
        <f ca="1">IFERROR(AE91/Z91-1,"N/A")</f>
        <v>N/A</v>
      </c>
      <c r="AF182" s="378" t="str">
        <f ca="1">IFERROR(AF91/AA91-1,"N/A")</f>
        <v>N/A</v>
      </c>
      <c r="AG182" s="378" t="str">
        <f ca="1">IFERROR(AG91/AB91-1,"N/A")</f>
        <v>N/A</v>
      </c>
    </row>
    <row r="183" ht="14.25" customHeight="1" hidden="1" spans="1:33" x14ac:dyDescent="0.25" outlineLevel="1">
      <c r="C183" s="139" t="str">
        <f ca="1">C92</f>
        <v>Middle East &amp; Africa</v>
      </c>
      <c r="D183" s="16"/>
      <c r="E183" s="16"/>
      <c r="F183" s="474"/>
      <c r="G183" s="474"/>
      <c r="H183" s="474"/>
      <c r="I183" s="474"/>
      <c r="J183" s="168"/>
      <c r="K183" s="377" t="str">
        <f t="shared" ref="K183:AG183" si="136" ca="1">IFERROR(K92/F92-1,"N/A")</f>
        <v>N/A</v>
      </c>
      <c r="L183" s="377" t="str">
        <f ca="1">IFERROR(L92/G92-1,"N/A")</f>
        <v>N/A</v>
      </c>
      <c r="M183" s="377" t="str">
        <f ca="1">IFERROR(M92/H92-1,"N/A")</f>
        <v>N/A</v>
      </c>
      <c r="N183" s="377" t="str">
        <f ca="1">IFERROR(N92/I92-1,"N/A")</f>
        <v>N/A</v>
      </c>
      <c r="O183" s="378" t="str">
        <f ca="1">IFERROR(O92/J92-1,"N/A")</f>
        <v>N/A</v>
      </c>
      <c r="P183" s="377" t="str">
        <f ca="1">IFERROR(P92/K92-1,"N/A")</f>
        <v>N/A</v>
      </c>
      <c r="Q183" s="377" t="str">
        <f ca="1">IFERROR(Q92/L92-1,"N/A")</f>
        <v>N/A</v>
      </c>
      <c r="R183" s="377" t="str">
        <f ca="1">IFERROR(R92/M92-1,"N/A")</f>
        <v>N/A</v>
      </c>
      <c r="S183" s="377" t="str">
        <f ca="1">IFERROR(S92/N92-1,"N/A")</f>
        <v>N/A</v>
      </c>
      <c r="T183" s="378" t="str">
        <f ca="1">IFERROR(T92/O92-1,"N/A")</f>
        <v>N/A</v>
      </c>
      <c r="U183" s="377" t="str">
        <f ca="1">IFERROR(U92/P92-1,"N/A")</f>
        <v>N/A</v>
      </c>
      <c r="V183" s="377" t="str">
        <f ca="1">IFERROR(V92/Q92-1,"N/A")</f>
        <v>N/A</v>
      </c>
      <c r="W183" s="377" t="str">
        <f ca="1">IFERROR(W92/R92-1,"N/A")</f>
        <v>N/A</v>
      </c>
      <c r="X183" s="379" t="str">
        <f ca="1">IFERROR(X92/S92-1,"N/A")</f>
        <v>N/A</v>
      </c>
      <c r="Y183" s="378" t="str">
        <f ca="1">IFERROR(Y92/T92-1,"N/A")</f>
        <v>N/A</v>
      </c>
      <c r="Z183" s="379" t="str">
        <f ca="1">IFERROR(Z92/U92-1,"N/A")</f>
        <v>N/A</v>
      </c>
      <c r="AA183" s="379" t="str">
        <f ca="1">IFERROR(AA92/V92-1,"N/A")</f>
        <v>N/A</v>
      </c>
      <c r="AB183" s="379" t="str">
        <f ca="1">IFERROR(AB92/W92-1,"N/A")</f>
        <v>N/A</v>
      </c>
      <c r="AC183" s="379" t="str">
        <f ca="1">IFERROR(AC92/X92-1,"N/A")</f>
        <v>N/A</v>
      </c>
      <c r="AD183" s="378" t="str">
        <f ca="1">IFERROR(AD92/Y92-1,"N/A")</f>
        <v>N/A</v>
      </c>
      <c r="AE183" s="378" t="str">
        <f ca="1">IFERROR(AE92/Z92-1,"N/A")</f>
        <v>N/A</v>
      </c>
      <c r="AF183" s="378" t="str">
        <f ca="1">IFERROR(AF92/AA92-1,"N/A")</f>
        <v>N/A</v>
      </c>
      <c r="AG183" s="378" t="str">
        <f ca="1">IFERROR(AG92/AB92-1,"N/A")</f>
        <v>N/A</v>
      </c>
    </row>
    <row r="184" ht="14.25" customHeight="1" hidden="1" spans="1:33" x14ac:dyDescent="0.25" outlineLevel="1">
      <c r="C184" s="139" t="str">
        <f ca="1">C93</f>
        <v>Asia Pacific</v>
      </c>
      <c r="D184" s="16"/>
      <c r="E184" s="16"/>
      <c r="F184" s="474"/>
      <c r="G184" s="474"/>
      <c r="H184" s="474"/>
      <c r="I184" s="474"/>
      <c r="J184" s="168"/>
      <c r="K184" s="377" t="str">
        <f t="shared" ref="K184:AG184" si="137" ca="1">IFERROR(K93/F93-1,"N/A")</f>
        <v>N/A</v>
      </c>
      <c r="L184" s="377" t="str">
        <f ca="1">IFERROR(L93/G93-1,"N/A")</f>
        <v>N/A</v>
      </c>
      <c r="M184" s="377" t="str">
        <f ca="1">IFERROR(M93/H93-1,"N/A")</f>
        <v>N/A</v>
      </c>
      <c r="N184" s="377" t="str">
        <f ca="1">IFERROR(N93/I93-1,"N/A")</f>
        <v>N/A</v>
      </c>
      <c r="O184" s="378" t="str">
        <f ca="1">IFERROR(O93/J93-1,"N/A")</f>
        <v>N/A</v>
      </c>
      <c r="P184" s="377" t="str">
        <f ca="1">IFERROR(P93/K93-1,"N/A")</f>
        <v>N/A</v>
      </c>
      <c r="Q184" s="377" t="str">
        <f ca="1">IFERROR(Q93/L93-1,"N/A")</f>
        <v>N/A</v>
      </c>
      <c r="R184" s="377" t="str">
        <f ca="1">IFERROR(R93/M93-1,"N/A")</f>
        <v>N/A</v>
      </c>
      <c r="S184" s="377" t="str">
        <f ca="1">IFERROR(S93/N93-1,"N/A")</f>
        <v>N/A</v>
      </c>
      <c r="T184" s="378" t="str">
        <f ca="1">IFERROR(T93/O93-1,"N/A")</f>
        <v>N/A</v>
      </c>
      <c r="U184" s="377" t="str">
        <f ca="1">IFERROR(U93/P93-1,"N/A")</f>
        <v>N/A</v>
      </c>
      <c r="V184" s="377" t="str">
        <f ca="1">IFERROR(V93/Q93-1,"N/A")</f>
        <v>N/A</v>
      </c>
      <c r="W184" s="377" t="str">
        <f ca="1">IFERROR(W93/R93-1,"N/A")</f>
        <v>N/A</v>
      </c>
      <c r="X184" s="379" t="str">
        <f ca="1">IFERROR(X93/S93-1,"N/A")</f>
        <v>N/A</v>
      </c>
      <c r="Y184" s="378" t="str">
        <f ca="1">IFERROR(Y93/T93-1,"N/A")</f>
        <v>N/A</v>
      </c>
      <c r="Z184" s="379" t="str">
        <f ca="1">IFERROR(Z93/U93-1,"N/A")</f>
        <v>N/A</v>
      </c>
      <c r="AA184" s="379" t="str">
        <f ca="1">IFERROR(AA93/V93-1,"N/A")</f>
        <v>N/A</v>
      </c>
      <c r="AB184" s="379" t="str">
        <f ca="1">IFERROR(AB93/W93-1,"N/A")</f>
        <v>N/A</v>
      </c>
      <c r="AC184" s="379" t="str">
        <f ca="1">IFERROR(AC93/X93-1,"N/A")</f>
        <v>N/A</v>
      </c>
      <c r="AD184" s="378" t="str">
        <f ca="1">IFERROR(AD93/Y93-1,"N/A")</f>
        <v>N/A</v>
      </c>
      <c r="AE184" s="378" t="str">
        <f ca="1">IFERROR(AE93/Z93-1,"N/A")</f>
        <v>N/A</v>
      </c>
      <c r="AF184" s="378" t="str">
        <f ca="1">IFERROR(AF93/AA93-1,"N/A")</f>
        <v>N/A</v>
      </c>
      <c r="AG184" s="378" t="str">
        <f ca="1">IFERROR(AG93/AB93-1,"N/A")</f>
        <v>N/A</v>
      </c>
    </row>
    <row r="185" ht="14.25" customHeight="1" hidden="1" spans="1:33" x14ac:dyDescent="0.25" outlineLevel="1">
      <c r="C185" s="16"/>
      <c r="D185" s="16"/>
      <c r="E185" s="16"/>
      <c r="F185" s="319"/>
      <c r="G185" s="319"/>
      <c r="H185" s="319"/>
      <c r="I185" s="319"/>
      <c r="J185" s="168"/>
      <c r="K185" s="319"/>
      <c r="L185" s="319"/>
      <c r="M185" s="319"/>
      <c r="N185" s="319"/>
      <c r="O185" s="168"/>
      <c r="P185" s="319"/>
      <c r="Q185" s="319"/>
      <c r="R185" s="319"/>
      <c r="S185" s="319"/>
      <c r="T185" s="168"/>
      <c r="U185" s="319"/>
      <c r="V185" s="319"/>
      <c r="W185" s="319"/>
      <c r="X185" s="322"/>
      <c r="Y185" s="168"/>
      <c r="Z185" s="322"/>
      <c r="AA185" s="322"/>
      <c r="AB185" s="322"/>
      <c r="AC185" s="322"/>
      <c r="AD185" s="168"/>
      <c r="AE185" s="168"/>
      <c r="AF185" s="168"/>
      <c r="AG185" s="168"/>
    </row>
    <row r="186" ht="14.25" customHeight="1" hidden="1" spans="1:33" x14ac:dyDescent="0.25" outlineLevel="1">
      <c r="C186" s="16" t="s">
        <v>480</v>
      </c>
      <c r="D186" s="16"/>
      <c r="E186" s="16"/>
      <c r="F186" s="474"/>
      <c r="G186" s="377"/>
      <c r="H186" s="377"/>
      <c r="I186" s="377"/>
      <c r="J186" s="378"/>
      <c r="K186" s="377">
        <f ca="1">IFERROR(Model!K36/Model!F36-1,"N/A")</f>
        <v>-0.032764505119453946</v>
      </c>
      <c r="L186" s="377">
        <f ca="1">IFERROR(Model!L36/Model!G36-1,"N/A")</f>
        <v>0.10078594544613972</v>
      </c>
      <c r="M186" s="377">
        <f ca="1">IFERROR(Model!M36/Model!H36-1,"N/A")</f>
        <v>0.6280041797283176</v>
      </c>
      <c r="N186" s="377">
        <f ca="1">IFERROR(Model!N36/Model!I36-1,"N/A")</f>
        <v>-2.689594356261023</v>
      </c>
      <c r="O186" s="378">
        <f ca="1">IFERROR(Model!O36/Model!J36-1,"N/A")</f>
        <v>0.5714285714285714</v>
      </c>
      <c r="P186" s="377">
        <f ca="1">IFERROR(Model!P36/Model!K36-1,"N/A")</f>
        <v>0.40508115737473527</v>
      </c>
      <c r="Q186" s="377">
        <f ca="1">IFERROR(Model!Q36/Model!L36-1,"N/A")</f>
        <v>0.6619067618647627</v>
      </c>
      <c r="R186" s="377">
        <f ca="1">IFERROR(Model!R36/Model!M36-1,"N/A")</f>
        <v>0.39602053915276003</v>
      </c>
      <c r="S186" s="377">
        <f ca="1">IFERROR(Model!S36/Model!N36-1,"N/A")</f>
        <v>1.8903966597077244</v>
      </c>
      <c r="T186" s="378">
        <f ca="1">IFERROR(Model!T36/Model!O36-1,"N/A")</f>
        <v>0.7250554323725056</v>
      </c>
      <c r="U186" s="377">
        <f ca="1">IFERROR(Model!U36/Model!P36-1,"N/A")</f>
        <v>0.6298342541436464</v>
      </c>
      <c r="V186" s="377">
        <f ca="1">IFERROR(Model!V36/Model!Q36-1,"N/A")</f>
        <v>0.06393732625726556</v>
      </c>
      <c r="W186" s="377">
        <f ca="1">IFERROR(Model!W36/Model!R36-1,"N/A")</f>
        <v>0.2822988505747126</v>
      </c>
      <c r="X186" s="379">
        <f ca="1">IFERROR(Model!X36/Model!S36-1,"N/A")</f>
        <v>-1.8272576742506321</v>
      </c>
      <c r="Y186" s="378">
        <f ca="1">IFERROR(Model!Y36/Model!T36-1,"N/A")</f>
        <v>-0.26980136797649656</v>
      </c>
      <c r="Z186" s="379">
        <f ca="1">IFERROR(Model!Z36/Model!U36-1,"N/A")</f>
        <v>-1.7752266713405245</v>
      </c>
      <c r="AA186" s="379">
        <f ca="1">IFERROR(Model!AA36/Model!V36-1,"N/A")</f>
        <v>-1.6365505412793944</v>
      </c>
      <c r="AB186" s="379">
        <f ca="1">IFERROR(Model!AB36/Model!W36-1,"N/A")</f>
        <v>-2.0468129521834677</v>
      </c>
      <c r="AC186" s="379">
        <f ca="1">IFERROR(Model!AC36/Model!X36-1,"N/A")</f>
        <v>0.05868462383023232</v>
      </c>
      <c r="AD186" s="378">
        <f ca="1">IFERROR(Model!AD36/Model!Y36-1,"N/A")</f>
        <v>-2.3252514674708245</v>
      </c>
      <c r="AE186" s="378">
        <f ca="1">IFERROR(Model!AE36/Model!Z36-1,"N/A")</f>
        <v>2.8074707377667667</v>
      </c>
      <c r="AF186" s="378">
        <f ca="1">IFERROR(Model!AF36/Model!AA36-1,"N/A")</f>
        <v>2.4502138564119273</v>
      </c>
      <c r="AG186" s="378">
        <f ca="1">IFERROR(Model!AG36/Model!AB36-1,"N/A")</f>
        <v>1.9701458267489018</v>
      </c>
    </row>
    <row r="187" ht="14.25" customHeight="1" spans="1:33" x14ac:dyDescent="0.25">
      <c r="C187" s="16"/>
      <c r="D187" s="16"/>
      <c r="E187" s="16"/>
      <c r="F187" s="319"/>
      <c r="G187" s="319"/>
      <c r="H187" s="319"/>
      <c r="I187" s="319"/>
      <c r="J187" s="168"/>
      <c r="K187" s="319"/>
      <c r="L187" s="319"/>
      <c r="M187" s="319"/>
      <c r="N187" s="319"/>
      <c r="O187" s="168"/>
      <c r="P187" s="319"/>
      <c r="Q187" s="319"/>
      <c r="R187" s="319"/>
      <c r="S187" s="319"/>
      <c r="T187" s="168"/>
      <c r="U187" s="319"/>
      <c r="V187" s="319"/>
      <c r="W187" s="319"/>
      <c r="X187" s="322"/>
      <c r="Y187" s="168"/>
      <c r="Z187" s="322"/>
      <c r="AA187" s="322"/>
      <c r="AB187" s="322"/>
      <c r="AC187" s="322"/>
      <c r="AD187" s="168"/>
      <c r="AE187" s="168"/>
      <c r="AF187" s="168"/>
      <c r="AG187" s="168"/>
    </row>
    <row r="188" ht="14.25" customHeight="1" spans="1:33" x14ac:dyDescent="0.25">
      <c r="C188" s="16" t="s">
        <v>481</v>
      </c>
      <c r="D188" s="16"/>
      <c r="E188" s="16"/>
      <c r="F188" s="474"/>
      <c r="G188" s="377"/>
      <c r="H188" s="377"/>
      <c r="I188" s="377"/>
      <c r="J188" s="378"/>
      <c r="K188" s="377">
        <f ca="1">IFERROR(Model!K61/Model!F61-1,"N/A")</f>
        <v>-0.09738630136986304</v>
      </c>
      <c r="L188" s="377">
        <f ca="1">IFERROR(Model!L61/Model!G61-1,"N/A")</f>
        <v>0.007790394708354853</v>
      </c>
      <c r="M188" s="377">
        <f ca="1">IFERROR(Model!M61/Model!H61-1,"N/A")</f>
        <v>0.1916965658636598</v>
      </c>
      <c r="N188" s="377">
        <f ca="1">IFERROR(Model!N61/Model!I61-1,"N/A")</f>
        <v>0.2206199558905504</v>
      </c>
      <c r="O188" s="378">
        <f ca="1">IFERROR(Model!O61/Model!J61-1,"N/A")</f>
        <v>0.05760468781285799</v>
      </c>
      <c r="P188" s="377">
        <f ca="1">IFERROR(Model!P61/Model!K61-1,"N/A")</f>
        <v>0.411159069247907</v>
      </c>
      <c r="Q188" s="377">
        <f ca="1">IFERROR(Model!Q61/Model!L61-1,"N/A")</f>
        <v>0.5895674140032079</v>
      </c>
      <c r="R188" s="377">
        <f ca="1">IFERROR(Model!R61/Model!M61-1,"N/A")</f>
        <v>0.7502124311565697</v>
      </c>
      <c r="S188" s="377">
        <f ca="1">IFERROR(Model!S61/Model!N61-1,"N/A")</f>
        <v>1.0907791279485344</v>
      </c>
      <c r="T188" s="378">
        <f ca="1">IFERROR(Model!T61/Model!O61-1,"N/A")</f>
        <v>0.688694700238264</v>
      </c>
      <c r="U188" s="377">
        <f ca="1">IFERROR(Model!U61/Model!P61-1,"N/A")</f>
        <v>0.5641669821385553</v>
      </c>
      <c r="V188" s="377">
        <f ca="1">IFERROR(Model!V61/Model!Q61-1,"N/A")</f>
        <v>0.07630611926282693</v>
      </c>
      <c r="W188" s="377">
        <f ca="1">IFERROR(Model!W61/Model!R61-1,"N/A")</f>
        <v>-0.0388937838275224</v>
      </c>
      <c r="X188" s="379" t="str">
        <f ca="1">IFERROR(Model!X61/Model!S61-1,"N/A")</f>
        <v>N/A</v>
      </c>
      <c r="Y188" s="378" t="str">
        <f ca="1">IFERROR(Model!Y61/Model!T61-1,"N/A")</f>
        <v>N/A</v>
      </c>
      <c r="Z188" s="379" t="str">
        <f ca="1">IFERROR(Model!Z61/Model!U61-1,"N/A")</f>
        <v>N/A</v>
      </c>
      <c r="AA188" s="379" t="str">
        <f ca="1">IFERROR(Model!AA61/Model!V61-1,"N/A")</f>
        <v>N/A</v>
      </c>
      <c r="AB188" s="379" t="str">
        <f ca="1">IFERROR(Model!AB61/Model!W61-1,"N/A")</f>
        <v>N/A</v>
      </c>
      <c r="AC188" s="379" t="str">
        <f ca="1">IFERROR(Model!AC61/Model!X61-1,"N/A")</f>
        <v>N/A</v>
      </c>
      <c r="AD188" s="378" t="str">
        <f ca="1">IFERROR(Model!AD61/Model!Y61-1,"N/A")</f>
        <v>N/A</v>
      </c>
      <c r="AE188" s="378" t="str">
        <f ca="1">IFERROR(Model!AE61/Model!Z61-1,"N/A")</f>
        <v>N/A</v>
      </c>
      <c r="AF188" s="378" t="str">
        <f ca="1">IFERROR(Model!AF61/Model!AA61-1,"N/A")</f>
        <v>N/A</v>
      </c>
      <c r="AG188" s="378" t="str">
        <f ca="1">IFERROR(Model!AG61/Model!AB61-1,"N/A")</f>
        <v>N/A</v>
      </c>
    </row>
    <row r="189" ht="14.25" customHeight="1" spans="1:33" x14ac:dyDescent="0.25">
      <c r="C189" s="16"/>
      <c r="D189" s="16"/>
      <c r="E189" s="16"/>
      <c r="F189" s="319"/>
      <c r="G189" s="319"/>
      <c r="H189" s="319"/>
      <c r="I189" s="319"/>
      <c r="J189" s="168"/>
      <c r="K189" s="319"/>
      <c r="L189" s="319"/>
      <c r="M189" s="319"/>
      <c r="N189" s="319"/>
      <c r="O189" s="168"/>
      <c r="P189" s="319"/>
      <c r="Q189" s="319"/>
      <c r="R189" s="319"/>
      <c r="S189" s="319"/>
      <c r="T189" s="168"/>
      <c r="U189" s="319"/>
      <c r="V189" s="319"/>
      <c r="W189" s="319"/>
      <c r="X189" s="322"/>
      <c r="Y189" s="168"/>
      <c r="Z189" s="322"/>
      <c r="AA189" s="322"/>
      <c r="AB189" s="322"/>
      <c r="AC189" s="322"/>
      <c r="AD189" s="168"/>
      <c r="AE189" s="168"/>
      <c r="AF189" s="168"/>
      <c r="AG189" s="168"/>
    </row>
    <row r="190" ht="14.25" customHeight="1" spans="1:33" x14ac:dyDescent="0.25">
      <c r="C190" s="43" t="s">
        <v>482</v>
      </c>
      <c r="D190" s="44"/>
      <c r="E190" s="44"/>
      <c r="F190" s="496"/>
      <c r="G190" s="496"/>
      <c r="H190" s="496"/>
      <c r="I190" s="496"/>
      <c r="J190" s="496"/>
      <c r="K190" s="496"/>
      <c r="L190" s="496"/>
      <c r="M190" s="496"/>
      <c r="N190" s="496"/>
      <c r="O190" s="496"/>
      <c r="P190" s="496"/>
      <c r="Q190" s="496"/>
      <c r="R190" s="496"/>
      <c r="S190" s="496"/>
      <c r="T190" s="496"/>
      <c r="U190" s="496"/>
      <c r="V190" s="496"/>
      <c r="W190" s="496"/>
      <c r="X190" s="496"/>
      <c r="Y190" s="496"/>
      <c r="Z190" s="496"/>
      <c r="AA190" s="496"/>
      <c r="AB190" s="496"/>
      <c r="AC190" s="496"/>
      <c r="AD190" s="496"/>
      <c r="AE190" s="496"/>
      <c r="AF190" s="496"/>
      <c r="AG190" s="497"/>
    </row>
    <row r="191" ht="14.25" customHeight="1" spans="1:33" x14ac:dyDescent="0.25">
      <c r="C191" s="16"/>
      <c r="D191" s="16"/>
      <c r="E191" s="16"/>
      <c r="F191" s="319"/>
      <c r="G191" s="319"/>
      <c r="H191" s="319"/>
      <c r="I191" s="319"/>
      <c r="J191" s="168"/>
      <c r="K191" s="319"/>
      <c r="L191" s="319"/>
      <c r="M191" s="319"/>
      <c r="N191" s="319"/>
      <c r="O191" s="168"/>
      <c r="P191" s="319"/>
      <c r="Q191" s="319"/>
      <c r="R191" s="319"/>
      <c r="S191" s="319"/>
      <c r="T191" s="168"/>
      <c r="U191" s="319"/>
      <c r="V191" s="319"/>
      <c r="W191" s="319"/>
      <c r="X191" s="322"/>
      <c r="Y191" s="168"/>
      <c r="Z191" s="322"/>
      <c r="AA191" s="322"/>
      <c r="AB191" s="322"/>
      <c r="AC191" s="322"/>
      <c r="AD191" s="168"/>
      <c r="AE191" s="168"/>
      <c r="AF191" s="168"/>
      <c r="AG191" s="168"/>
    </row>
    <row r="192" ht="14.25" customHeight="1" spans="1:33" x14ac:dyDescent="0.25">
      <c r="C192" s="16" t="s">
        <v>479</v>
      </c>
      <c r="D192" s="16"/>
      <c r="E192" s="16"/>
      <c r="F192" s="474"/>
      <c r="G192" s="377">
        <f ca="1">IFERROR('Segment Analysis'!G7/'Segment Analysis'!F7-1,"N/A")</f>
        <v>0.2032258064516128</v>
      </c>
      <c r="H192" s="377">
        <f ca="1">IFERROR('Segment Analysis'!H7/'Segment Analysis'!G7-1,"N/A")</f>
        <v>-0.16626771351972425</v>
      </c>
      <c r="I192" s="377">
        <f ca="1">IFERROR('Segment Analysis'!I7/'Segment Analysis'!H7-1,"N/A")</f>
        <v>-0.10157909847832325</v>
      </c>
      <c r="J192" s="378"/>
      <c r="K192" s="377">
        <f ca="1">IFERROR('Segment Analysis'!K7/'Segment Analysis'!I7-1,"N/A")</f>
        <v>0.13390003834845965</v>
      </c>
      <c r="L192" s="377">
        <f ca="1">IFERROR('Segment Analysis'!L7/'Segment Analysis'!K7-1,"N/A")</f>
        <v>0.18324784397722782</v>
      </c>
      <c r="M192" s="377">
        <f ca="1">IFERROR('Segment Analysis'!M7/'Segment Analysis'!L7-1,"N/A")</f>
        <v>-0.17168445121951215</v>
      </c>
      <c r="N192" s="377">
        <f ca="1">IFERROR('Segment Analysis'!N7/'Segment Analysis'!M7-1,"N/A")</f>
        <v>-0.07827237175063262</v>
      </c>
      <c r="O192" s="378"/>
      <c r="P192" s="377">
        <f ca="1">IFERROR('Segment Analysis'!P7/'Segment Analysis'!N7-1,"N/A")</f>
        <v>0.22761589817183503</v>
      </c>
      <c r="Q192" s="377">
        <f ca="1">IFERROR('Segment Analysis'!Q7/'Segment Analysis'!P7-1,"N/A")</f>
        <v>0.3876493011435833</v>
      </c>
      <c r="R192" s="377">
        <f ca="1">IFERROR('Segment Analysis'!R7/'Segment Analysis'!Q7-1,"N/A")</f>
        <v>-0.18288037506409782</v>
      </c>
      <c r="S192" s="377">
        <f ca="1">IFERROR('Segment Analysis'!S7/'Segment Analysis'!R7-1,"N/A")</f>
        <v>-0.08956026715675292</v>
      </c>
      <c r="T192" s="378"/>
      <c r="U192" s="377">
        <f ca="1">IFERROR('Segment Analysis'!U7/'Segment Analysis'!S7-1,"N/A")</f>
        <v>0.20240263896410804</v>
      </c>
      <c r="V192" s="377">
        <f ca="1">IFERROR('Segment Analysis'!V7/'Segment Analysis'!U7-1,"N/A")</f>
        <v>0.12890017197608716</v>
      </c>
      <c r="W192" s="377">
        <f ca="1">IFERROR('Segment Analysis'!W7/'Segment Analysis'!V7-1,"N/A")</f>
        <v>-0.16873413130214</v>
      </c>
      <c r="X192" s="379">
        <f ca="1">IFERROR('Segment Analysis'!X7/'Segment Analysis'!W7-1,"N/A")</f>
        <v>-0.050000000000000044</v>
      </c>
      <c r="Y192" s="378"/>
      <c r="Z192" s="379">
        <f ca="1">IFERROR('Segment Analysis'!Z7/'Segment Analysis'!X7-1,"N/A")</f>
        <v>0.17999999999999994</v>
      </c>
      <c r="AA192" s="379">
        <f ca="1">IFERROR('Segment Analysis'!AA7/'Segment Analysis'!Z7-1,"N/A")</f>
        <v>0.14000000000000012</v>
      </c>
      <c r="AB192" s="379">
        <f ca="1">IFERROR('Segment Analysis'!AB7/'Segment Analysis'!AA7-1,"N/A")</f>
        <v>-0.12</v>
      </c>
      <c r="AC192" s="379">
        <f ca="1">IFERROR('Segment Analysis'!AC7/'Segment Analysis'!AB7-1,"N/A")</f>
        <v>-0.050000000000000044</v>
      </c>
      <c r="AD192" s="378"/>
      <c r="AE192" s="378">
        <f ca="1">IFERROR('Segment Analysis'!AE7/'Segment Analysis'!AD7-1,"N/A")</f>
        <v>0.020000000000000018</v>
      </c>
      <c r="AF192" s="378">
        <f ca="1">IFERROR('Segment Analysis'!AF7/'Segment Analysis'!AE7-1,"N/A")</f>
        <v>0.020000000000000018</v>
      </c>
      <c r="AG192" s="378">
        <f ca="1">IFERROR('Segment Analysis'!AG7/'Segment Analysis'!AF7-1,"N/A")</f>
        <v>0.020000000000000018</v>
      </c>
    </row>
    <row r="193" ht="14.25" customHeight="1" spans="1:33" x14ac:dyDescent="0.25">
      <c r="C193" s="139" t="str">
        <f ca="1">'Segment Analysis'!C16</f>
        <v>Home Improvement Retail</v>
      </c>
      <c r="D193" s="16"/>
      <c r="E193" s="16"/>
      <c r="F193" s="474"/>
      <c r="G193" s="377">
        <f ca="1">IFERROR('Segment Analysis'!G8/'Segment Analysis'!F8-1,"N/A")</f>
        <v>0.2032258064516128</v>
      </c>
      <c r="H193" s="377">
        <f ca="1">IFERROR('Segment Analysis'!H8/'Segment Analysis'!G8-1,"N/A")</f>
        <v>-0.16626771351972425</v>
      </c>
      <c r="I193" s="377">
        <f ca="1">IFERROR('Segment Analysis'!I8/'Segment Analysis'!H8-1,"N/A")</f>
        <v>-0.10157909847832325</v>
      </c>
      <c r="J193" s="378"/>
      <c r="K193" s="377">
        <f ca="1">IFERROR('Segment Analysis'!K8/'Segment Analysis'!I8-1,"N/A")</f>
        <v>0.13390003834845965</v>
      </c>
      <c r="L193" s="377">
        <f ca="1">IFERROR('Segment Analysis'!L8/'Segment Analysis'!K8-1,"N/A")</f>
        <v>0.18324784397722782</v>
      </c>
      <c r="M193" s="377">
        <f ca="1">IFERROR('Segment Analysis'!M8/'Segment Analysis'!L8-1,"N/A")</f>
        <v>-0.17168445121951215</v>
      </c>
      <c r="N193" s="377">
        <f ca="1">IFERROR('Segment Analysis'!N8/'Segment Analysis'!M8-1,"N/A")</f>
        <v>-0.07827237175063262</v>
      </c>
      <c r="O193" s="378"/>
      <c r="P193" s="377">
        <f ca="1">IFERROR('Segment Analysis'!P8/'Segment Analysis'!N8-1,"N/A")</f>
        <v>0.22761589817183503</v>
      </c>
      <c r="Q193" s="377">
        <f ca="1">IFERROR('Segment Analysis'!Q8/'Segment Analysis'!P8-1,"N/A")</f>
        <v>0.3876493011435833</v>
      </c>
      <c r="R193" s="377">
        <f ca="1">IFERROR('Segment Analysis'!R8/'Segment Analysis'!Q8-1,"N/A")</f>
        <v>-0.18288037506409782</v>
      </c>
      <c r="S193" s="377">
        <f ca="1">IFERROR('Segment Analysis'!S8/'Segment Analysis'!R8-1,"N/A")</f>
        <v>-0.08956026715675292</v>
      </c>
      <c r="T193" s="378"/>
      <c r="U193" s="377">
        <f ca="1">IFERROR('Segment Analysis'!U8/'Segment Analysis'!S8-1,"N/A")</f>
        <v>0.20240263896410804</v>
      </c>
      <c r="V193" s="377">
        <f ca="1">IFERROR('Segment Analysis'!V8/'Segment Analysis'!U8-1,"N/A")</f>
        <v>0.12890017197608716</v>
      </c>
      <c r="W193" s="377">
        <f ca="1">IFERROR('Segment Analysis'!W8/'Segment Analysis'!V8-1,"N/A")</f>
        <v>-0.16873413130214</v>
      </c>
      <c r="X193" s="379">
        <f ca="1">IFERROR('Segment Analysis'!X8/'Segment Analysis'!W8-1,"N/A")</f>
        <v>-0.050000000000000044</v>
      </c>
      <c r="Y193" s="378"/>
      <c r="Z193" s="379">
        <f ca="1">IFERROR('Segment Analysis'!Z8/'Segment Analysis'!X8-1,"N/A")</f>
        <v>0.17999999999999994</v>
      </c>
      <c r="AA193" s="379">
        <f ca="1">IFERROR('Segment Analysis'!AA8/'Segment Analysis'!Z8-1,"N/A")</f>
        <v>0.14000000000000012</v>
      </c>
      <c r="AB193" s="379">
        <f ca="1">IFERROR('Segment Analysis'!AB8/'Segment Analysis'!AA8-1,"N/A")</f>
        <v>-0.12</v>
      </c>
      <c r="AC193" s="379">
        <f ca="1">IFERROR('Segment Analysis'!AC8/'Segment Analysis'!AB8-1,"N/A")</f>
        <v>-0.050000000000000044</v>
      </c>
      <c r="AD193" s="378"/>
      <c r="AE193" s="378">
        <f ca="1">IFERROR('Segment Analysis'!AE8/'Segment Analysis'!AD8-1,"N/A")</f>
        <v>0.020000000000000018</v>
      </c>
      <c r="AF193" s="378">
        <f ca="1">IFERROR('Segment Analysis'!AF8/'Segment Analysis'!AE8-1,"N/A")</f>
        <v>0.020000000000000018</v>
      </c>
      <c r="AG193" s="378">
        <f ca="1">IFERROR('Segment Analysis'!AG8/'Segment Analysis'!AF8-1,"N/A")</f>
        <v>0.020000000000000018</v>
      </c>
    </row>
    <row r="194" ht="14.25" customHeight="1" spans="1:33" x14ac:dyDescent="0.25">
      <c r="C194" s="139" t="str">
        <f ca="1">'Segment Analysis'!C17</f>
        <v>Segment 2</v>
      </c>
      <c r="D194" s="16"/>
      <c r="E194" s="16"/>
      <c r="F194" s="474"/>
      <c r="G194" s="377" t="str">
        <f ca="1">IFERROR('Segment Analysis'!G9/'Segment Analysis'!F9-1,"N/A")</f>
        <v>N/A</v>
      </c>
      <c r="H194" s="377" t="str">
        <f ca="1">IFERROR('Segment Analysis'!H9/'Segment Analysis'!G9-1,"N/A")</f>
        <v>N/A</v>
      </c>
      <c r="I194" s="377" t="str">
        <f ca="1">IFERROR('Segment Analysis'!I9/'Segment Analysis'!H9-1,"N/A")</f>
        <v>N/A</v>
      </c>
      <c r="J194" s="378"/>
      <c r="K194" s="377" t="str">
        <f ca="1">IFERROR('Segment Analysis'!K9/'Segment Analysis'!I9-1,"N/A")</f>
        <v>N/A</v>
      </c>
      <c r="L194" s="377" t="str">
        <f ca="1">IFERROR('Segment Analysis'!L9/'Segment Analysis'!K9-1,"N/A")</f>
        <v>N/A</v>
      </c>
      <c r="M194" s="377" t="str">
        <f ca="1">IFERROR('Segment Analysis'!M9/'Segment Analysis'!L9-1,"N/A")</f>
        <v>N/A</v>
      </c>
      <c r="N194" s="377" t="str">
        <f ca="1">IFERROR('Segment Analysis'!N9/'Segment Analysis'!M9-1,"N/A")</f>
        <v>N/A</v>
      </c>
      <c r="O194" s="378"/>
      <c r="P194" s="377" t="str">
        <f ca="1">IFERROR('Segment Analysis'!P9/'Segment Analysis'!N9-1,"N/A")</f>
        <v>N/A</v>
      </c>
      <c r="Q194" s="377" t="str">
        <f ca="1">IFERROR('Segment Analysis'!Q9/'Segment Analysis'!P9-1,"N/A")</f>
        <v>N/A</v>
      </c>
      <c r="R194" s="377" t="str">
        <f ca="1">IFERROR('Segment Analysis'!R9/'Segment Analysis'!Q9-1,"N/A")</f>
        <v>N/A</v>
      </c>
      <c r="S194" s="377" t="str">
        <f ca="1">IFERROR('Segment Analysis'!S9/'Segment Analysis'!R9-1,"N/A")</f>
        <v>N/A</v>
      </c>
      <c r="T194" s="378"/>
      <c r="U194" s="377" t="str">
        <f ca="1">IFERROR('Segment Analysis'!U9/'Segment Analysis'!S9-1,"N/A")</f>
        <v>N/A</v>
      </c>
      <c r="V194" s="377" t="str">
        <f ca="1">IFERROR('Segment Analysis'!V9/'Segment Analysis'!U9-1,"N/A")</f>
        <v>N/A</v>
      </c>
      <c r="W194" s="377" t="str">
        <f ca="1">IFERROR('Segment Analysis'!W9/'Segment Analysis'!V9-1,"N/A")</f>
        <v>N/A</v>
      </c>
      <c r="X194" s="379" t="str">
        <f ca="1">IFERROR('Segment Analysis'!X9/'Segment Analysis'!W9-1,"N/A")</f>
        <v>N/A</v>
      </c>
      <c r="Y194" s="378"/>
      <c r="Z194" s="379" t="str">
        <f ca="1">IFERROR('Segment Analysis'!Z9/'Segment Analysis'!X9-1,"N/A")</f>
        <v>N/A</v>
      </c>
      <c r="AA194" s="379" t="str">
        <f ca="1">IFERROR('Segment Analysis'!AA9/'Segment Analysis'!Z9-1,"N/A")</f>
        <v>N/A</v>
      </c>
      <c r="AB194" s="379" t="str">
        <f ca="1">IFERROR('Segment Analysis'!AB9/'Segment Analysis'!AA9-1,"N/A")</f>
        <v>N/A</v>
      </c>
      <c r="AC194" s="379" t="str">
        <f ca="1">IFERROR('Segment Analysis'!AC9/'Segment Analysis'!AB9-1,"N/A")</f>
        <v>N/A</v>
      </c>
      <c r="AD194" s="378"/>
      <c r="AE194" s="378" t="str">
        <f ca="1">IFERROR('Segment Analysis'!AE9/'Segment Analysis'!AD9-1,"N/A")</f>
        <v>N/A</v>
      </c>
      <c r="AF194" s="378" t="str">
        <f ca="1">IFERROR('Segment Analysis'!AF9/'Segment Analysis'!AE9-1,"N/A")</f>
        <v>N/A</v>
      </c>
      <c r="AG194" s="378" t="str">
        <f ca="1">IFERROR('Segment Analysis'!AG9/'Segment Analysis'!AF9-1,"N/A")</f>
        <v>N/A</v>
      </c>
    </row>
    <row r="195" ht="14.25" customHeight="1" spans="1:33" x14ac:dyDescent="0.25">
      <c r="C195" s="139" t="str">
        <f ca="1">'Segment Analysis'!C18</f>
        <v>Segment 3</v>
      </c>
      <c r="D195" s="16"/>
      <c r="E195" s="16"/>
      <c r="F195" s="474"/>
      <c r="G195" s="377" t="str">
        <f ca="1">IFERROR('Segment Analysis'!G10/'Segment Analysis'!F10-1,"N/A")</f>
        <v>N/A</v>
      </c>
      <c r="H195" s="377" t="str">
        <f ca="1">IFERROR('Segment Analysis'!H10/'Segment Analysis'!G10-1,"N/A")</f>
        <v>N/A</v>
      </c>
      <c r="I195" s="377" t="str">
        <f ca="1">IFERROR('Segment Analysis'!I10/'Segment Analysis'!H10-1,"N/A")</f>
        <v>N/A</v>
      </c>
      <c r="J195" s="378"/>
      <c r="K195" s="377" t="str">
        <f ca="1">IFERROR('Segment Analysis'!K10/'Segment Analysis'!I10-1,"N/A")</f>
        <v>N/A</v>
      </c>
      <c r="L195" s="377" t="str">
        <f ca="1">IFERROR('Segment Analysis'!L10/'Segment Analysis'!K10-1,"N/A")</f>
        <v>N/A</v>
      </c>
      <c r="M195" s="377" t="str">
        <f ca="1">IFERROR('Segment Analysis'!M10/'Segment Analysis'!L10-1,"N/A")</f>
        <v>N/A</v>
      </c>
      <c r="N195" s="377" t="str">
        <f ca="1">IFERROR('Segment Analysis'!N10/'Segment Analysis'!M10-1,"N/A")</f>
        <v>N/A</v>
      </c>
      <c r="O195" s="378"/>
      <c r="P195" s="377" t="str">
        <f ca="1">IFERROR('Segment Analysis'!P10/'Segment Analysis'!N10-1,"N/A")</f>
        <v>N/A</v>
      </c>
      <c r="Q195" s="377" t="str">
        <f ca="1">IFERROR('Segment Analysis'!Q10/'Segment Analysis'!P10-1,"N/A")</f>
        <v>N/A</v>
      </c>
      <c r="R195" s="377" t="str">
        <f ca="1">IFERROR('Segment Analysis'!R10/'Segment Analysis'!Q10-1,"N/A")</f>
        <v>N/A</v>
      </c>
      <c r="S195" s="377" t="str">
        <f ca="1">IFERROR('Segment Analysis'!S10/'Segment Analysis'!R10-1,"N/A")</f>
        <v>N/A</v>
      </c>
      <c r="T195" s="378"/>
      <c r="U195" s="377" t="str">
        <f ca="1">IFERROR('Segment Analysis'!U10/'Segment Analysis'!S10-1,"N/A")</f>
        <v>N/A</v>
      </c>
      <c r="V195" s="377" t="str">
        <f ca="1">IFERROR('Segment Analysis'!V10/'Segment Analysis'!U10-1,"N/A")</f>
        <v>N/A</v>
      </c>
      <c r="W195" s="377" t="str">
        <f ca="1">IFERROR('Segment Analysis'!W10/'Segment Analysis'!V10-1,"N/A")</f>
        <v>N/A</v>
      </c>
      <c r="X195" s="379" t="str">
        <f ca="1">IFERROR('Segment Analysis'!X10/'Segment Analysis'!W10-1,"N/A")</f>
        <v>N/A</v>
      </c>
      <c r="Y195" s="378"/>
      <c r="Z195" s="379" t="str">
        <f ca="1">IFERROR('Segment Analysis'!Z10/'Segment Analysis'!X10-1,"N/A")</f>
        <v>N/A</v>
      </c>
      <c r="AA195" s="379" t="str">
        <f ca="1">IFERROR('Segment Analysis'!AA10/'Segment Analysis'!Z10-1,"N/A")</f>
        <v>N/A</v>
      </c>
      <c r="AB195" s="379" t="str">
        <f ca="1">IFERROR('Segment Analysis'!AB10/'Segment Analysis'!AA10-1,"N/A")</f>
        <v>N/A</v>
      </c>
      <c r="AC195" s="379" t="str">
        <f ca="1">IFERROR('Segment Analysis'!AC10/'Segment Analysis'!AB10-1,"N/A")</f>
        <v>N/A</v>
      </c>
      <c r="AD195" s="378"/>
      <c r="AE195" s="378" t="str">
        <f ca="1">IFERROR('Segment Analysis'!AE10/'Segment Analysis'!AD10-1,"N/A")</f>
        <v>N/A</v>
      </c>
      <c r="AF195" s="378" t="str">
        <f ca="1">IFERROR('Segment Analysis'!AF10/'Segment Analysis'!AE10-1,"N/A")</f>
        <v>N/A</v>
      </c>
      <c r="AG195" s="378" t="str">
        <f ca="1">IFERROR('Segment Analysis'!AG10/'Segment Analysis'!AF10-1,"N/A")</f>
        <v>N/A</v>
      </c>
    </row>
    <row r="196" ht="14.25" customHeight="1" spans="1:33" x14ac:dyDescent="0.25">
      <c r="C196" s="139" t="str">
        <f ca="1">'Segment Analysis'!C19</f>
        <v>Segment 4</v>
      </c>
      <c r="D196" s="16"/>
      <c r="E196" s="16"/>
      <c r="F196" s="474"/>
      <c r="G196" s="377" t="str">
        <f ca="1">IFERROR('Segment Analysis'!G11/'Segment Analysis'!F11-1,"N/A")</f>
        <v>N/A</v>
      </c>
      <c r="H196" s="377" t="str">
        <f ca="1">IFERROR('Segment Analysis'!H11/'Segment Analysis'!G11-1,"N/A")</f>
        <v>N/A</v>
      </c>
      <c r="I196" s="377" t="str">
        <f ca="1">IFERROR('Segment Analysis'!I11/'Segment Analysis'!H11-1,"N/A")</f>
        <v>N/A</v>
      </c>
      <c r="J196" s="378"/>
      <c r="K196" s="377" t="str">
        <f ca="1">IFERROR('Segment Analysis'!K11/'Segment Analysis'!I11-1,"N/A")</f>
        <v>N/A</v>
      </c>
      <c r="L196" s="377" t="str">
        <f ca="1">IFERROR('Segment Analysis'!L11/'Segment Analysis'!K11-1,"N/A")</f>
        <v>N/A</v>
      </c>
      <c r="M196" s="377" t="str">
        <f ca="1">IFERROR('Segment Analysis'!M11/'Segment Analysis'!L11-1,"N/A")</f>
        <v>N/A</v>
      </c>
      <c r="N196" s="377" t="str">
        <f ca="1">IFERROR('Segment Analysis'!N11/'Segment Analysis'!M11-1,"N/A")</f>
        <v>N/A</v>
      </c>
      <c r="O196" s="378"/>
      <c r="P196" s="377" t="str">
        <f ca="1">IFERROR('Segment Analysis'!P11/'Segment Analysis'!N11-1,"N/A")</f>
        <v>N/A</v>
      </c>
      <c r="Q196" s="377" t="str">
        <f ca="1">IFERROR('Segment Analysis'!Q11/'Segment Analysis'!P11-1,"N/A")</f>
        <v>N/A</v>
      </c>
      <c r="R196" s="377" t="str">
        <f ca="1">IFERROR('Segment Analysis'!R11/'Segment Analysis'!Q11-1,"N/A")</f>
        <v>N/A</v>
      </c>
      <c r="S196" s="377" t="str">
        <f ca="1">IFERROR('Segment Analysis'!S11/'Segment Analysis'!R11-1,"N/A")</f>
        <v>N/A</v>
      </c>
      <c r="T196" s="378"/>
      <c r="U196" s="377" t="str">
        <f ca="1">IFERROR('Segment Analysis'!U11/'Segment Analysis'!S11-1,"N/A")</f>
        <v>N/A</v>
      </c>
      <c r="V196" s="377" t="str">
        <f ca="1">IFERROR('Segment Analysis'!V11/'Segment Analysis'!U11-1,"N/A")</f>
        <v>N/A</v>
      </c>
      <c r="W196" s="377" t="str">
        <f ca="1">IFERROR('Segment Analysis'!W11/'Segment Analysis'!V11-1,"N/A")</f>
        <v>N/A</v>
      </c>
      <c r="X196" s="379" t="str">
        <f ca="1">IFERROR('Segment Analysis'!X11/'Segment Analysis'!W11-1,"N/A")</f>
        <v>N/A</v>
      </c>
      <c r="Y196" s="378"/>
      <c r="Z196" s="379" t="str">
        <f ca="1">IFERROR('Segment Analysis'!Z11/'Segment Analysis'!X11-1,"N/A")</f>
        <v>N/A</v>
      </c>
      <c r="AA196" s="379" t="str">
        <f ca="1">IFERROR('Segment Analysis'!AA11/'Segment Analysis'!Z11-1,"N/A")</f>
        <v>N/A</v>
      </c>
      <c r="AB196" s="379" t="str">
        <f ca="1">IFERROR('Segment Analysis'!AB11/'Segment Analysis'!AA11-1,"N/A")</f>
        <v>N/A</v>
      </c>
      <c r="AC196" s="379" t="str">
        <f ca="1">IFERROR('Segment Analysis'!AC11/'Segment Analysis'!AB11-1,"N/A")</f>
        <v>N/A</v>
      </c>
      <c r="AD196" s="378"/>
      <c r="AE196" s="378" t="str">
        <f ca="1">IFERROR('Segment Analysis'!AE11/'Segment Analysis'!AD11-1,"N/A")</f>
        <v>N/A</v>
      </c>
      <c r="AF196" s="378" t="str">
        <f ca="1">IFERROR('Segment Analysis'!AF11/'Segment Analysis'!AE11-1,"N/A")</f>
        <v>N/A</v>
      </c>
      <c r="AG196" s="378" t="str">
        <f ca="1">IFERROR('Segment Analysis'!AG11/'Segment Analysis'!AF11-1,"N/A")</f>
        <v>N/A</v>
      </c>
    </row>
    <row r="197" ht="14.25" customHeight="1" spans="1:33" x14ac:dyDescent="0.25">
      <c r="C197" s="139" t="str">
        <f ca="1">'Segment Analysis'!C20</f>
        <v>Segment 5</v>
      </c>
      <c r="D197" s="16"/>
      <c r="E197" s="16"/>
      <c r="F197" s="474"/>
      <c r="G197" s="377" t="str">
        <f ca="1">IFERROR('Segment Analysis'!G12/'Segment Analysis'!F12-1,"N/A")</f>
        <v>N/A</v>
      </c>
      <c r="H197" s="377" t="str">
        <f ca="1">IFERROR('Segment Analysis'!H12/'Segment Analysis'!G12-1,"N/A")</f>
        <v>N/A</v>
      </c>
      <c r="I197" s="377" t="str">
        <f ca="1">IFERROR('Segment Analysis'!I12/'Segment Analysis'!H12-1,"N/A")</f>
        <v>N/A</v>
      </c>
      <c r="J197" s="378"/>
      <c r="K197" s="377" t="str">
        <f ca="1">IFERROR('Segment Analysis'!K12/'Segment Analysis'!I12-1,"N/A")</f>
        <v>N/A</v>
      </c>
      <c r="L197" s="377" t="str">
        <f ca="1">IFERROR('Segment Analysis'!L12/'Segment Analysis'!K12-1,"N/A")</f>
        <v>N/A</v>
      </c>
      <c r="M197" s="377" t="str">
        <f ca="1">IFERROR('Segment Analysis'!M12/'Segment Analysis'!L12-1,"N/A")</f>
        <v>N/A</v>
      </c>
      <c r="N197" s="377" t="str">
        <f ca="1">IFERROR('Segment Analysis'!N12/'Segment Analysis'!M12-1,"N/A")</f>
        <v>N/A</v>
      </c>
      <c r="O197" s="378"/>
      <c r="P197" s="377" t="str">
        <f ca="1">IFERROR('Segment Analysis'!P12/'Segment Analysis'!N12-1,"N/A")</f>
        <v>N/A</v>
      </c>
      <c r="Q197" s="377" t="str">
        <f ca="1">IFERROR('Segment Analysis'!Q12/'Segment Analysis'!P12-1,"N/A")</f>
        <v>N/A</v>
      </c>
      <c r="R197" s="377" t="str">
        <f ca="1">IFERROR('Segment Analysis'!R12/'Segment Analysis'!Q12-1,"N/A")</f>
        <v>N/A</v>
      </c>
      <c r="S197" s="377" t="str">
        <f ca="1">IFERROR('Segment Analysis'!S12/'Segment Analysis'!R12-1,"N/A")</f>
        <v>N/A</v>
      </c>
      <c r="T197" s="378"/>
      <c r="U197" s="377" t="str">
        <f ca="1">IFERROR('Segment Analysis'!U12/'Segment Analysis'!S12-1,"N/A")</f>
        <v>N/A</v>
      </c>
      <c r="V197" s="377" t="str">
        <f ca="1">IFERROR('Segment Analysis'!V12/'Segment Analysis'!U12-1,"N/A")</f>
        <v>N/A</v>
      </c>
      <c r="W197" s="377" t="str">
        <f ca="1">IFERROR('Segment Analysis'!W12/'Segment Analysis'!V12-1,"N/A")</f>
        <v>N/A</v>
      </c>
      <c r="X197" s="379" t="str">
        <f ca="1">IFERROR('Segment Analysis'!X12/'Segment Analysis'!W12-1,"N/A")</f>
        <v>N/A</v>
      </c>
      <c r="Y197" s="378"/>
      <c r="Z197" s="379" t="str">
        <f ca="1">IFERROR('Segment Analysis'!Z12/'Segment Analysis'!X12-1,"N/A")</f>
        <v>N/A</v>
      </c>
      <c r="AA197" s="379" t="str">
        <f ca="1">IFERROR('Segment Analysis'!AA12/'Segment Analysis'!Z12-1,"N/A")</f>
        <v>N/A</v>
      </c>
      <c r="AB197" s="379" t="str">
        <f ca="1">IFERROR('Segment Analysis'!AB12/'Segment Analysis'!AA12-1,"N/A")</f>
        <v>N/A</v>
      </c>
      <c r="AC197" s="379" t="str">
        <f ca="1">IFERROR('Segment Analysis'!AC12/'Segment Analysis'!AB12-1,"N/A")</f>
        <v>N/A</v>
      </c>
      <c r="AD197" s="378"/>
      <c r="AE197" s="378" t="str">
        <f ca="1">IFERROR('Segment Analysis'!AE12/'Segment Analysis'!AD12-1,"N/A")</f>
        <v>N/A</v>
      </c>
      <c r="AF197" s="378" t="str">
        <f ca="1">IFERROR('Segment Analysis'!AF12/'Segment Analysis'!AE12-1,"N/A")</f>
        <v>N/A</v>
      </c>
      <c r="AG197" s="378" t="str">
        <f ca="1">IFERROR('Segment Analysis'!AG12/'Segment Analysis'!AF12-1,"N/A")</f>
        <v>N/A</v>
      </c>
    </row>
    <row r="198" ht="14.25" customHeight="1" spans="1:33" x14ac:dyDescent="0.25">
      <c r="C198" s="139" t="str">
        <f ca="1">'Segment Analysis'!C21</f>
        <v>Segment 6</v>
      </c>
      <c r="D198" s="16"/>
      <c r="E198" s="16"/>
      <c r="F198" s="474"/>
      <c r="G198" s="377" t="str">
        <f ca="1">IFERROR('Segment Analysis'!G13/'Segment Analysis'!F13-1,"N/A")</f>
        <v>N/A</v>
      </c>
      <c r="H198" s="377" t="str">
        <f ca="1">IFERROR('Segment Analysis'!H13/'Segment Analysis'!G13-1,"N/A")</f>
        <v>N/A</v>
      </c>
      <c r="I198" s="377" t="str">
        <f ca="1">IFERROR('Segment Analysis'!I13/'Segment Analysis'!H13-1,"N/A")</f>
        <v>N/A</v>
      </c>
      <c r="J198" s="378"/>
      <c r="K198" s="377" t="str">
        <f ca="1">IFERROR('Segment Analysis'!K13/'Segment Analysis'!I13-1,"N/A")</f>
        <v>N/A</v>
      </c>
      <c r="L198" s="377" t="str">
        <f ca="1">IFERROR('Segment Analysis'!L13/'Segment Analysis'!K13-1,"N/A")</f>
        <v>N/A</v>
      </c>
      <c r="M198" s="377" t="str">
        <f ca="1">IFERROR('Segment Analysis'!M13/'Segment Analysis'!L13-1,"N/A")</f>
        <v>N/A</v>
      </c>
      <c r="N198" s="377" t="str">
        <f ca="1">IFERROR('Segment Analysis'!N13/'Segment Analysis'!M13-1,"N/A")</f>
        <v>N/A</v>
      </c>
      <c r="O198" s="378"/>
      <c r="P198" s="377" t="str">
        <f ca="1">IFERROR('Segment Analysis'!P13/'Segment Analysis'!N13-1,"N/A")</f>
        <v>N/A</v>
      </c>
      <c r="Q198" s="377" t="str">
        <f ca="1">IFERROR('Segment Analysis'!Q13/'Segment Analysis'!P13-1,"N/A")</f>
        <v>N/A</v>
      </c>
      <c r="R198" s="377" t="str">
        <f ca="1">IFERROR('Segment Analysis'!R13/'Segment Analysis'!Q13-1,"N/A")</f>
        <v>N/A</v>
      </c>
      <c r="S198" s="377" t="str">
        <f ca="1">IFERROR('Segment Analysis'!S13/'Segment Analysis'!R13-1,"N/A")</f>
        <v>N/A</v>
      </c>
      <c r="T198" s="378"/>
      <c r="U198" s="377" t="str">
        <f ca="1">IFERROR('Segment Analysis'!U13/'Segment Analysis'!S13-1,"N/A")</f>
        <v>N/A</v>
      </c>
      <c r="V198" s="377" t="str">
        <f ca="1">IFERROR('Segment Analysis'!V13/'Segment Analysis'!U13-1,"N/A")</f>
        <v>N/A</v>
      </c>
      <c r="W198" s="377" t="str">
        <f ca="1">IFERROR('Segment Analysis'!W13/'Segment Analysis'!V13-1,"N/A")</f>
        <v>N/A</v>
      </c>
      <c r="X198" s="379" t="str">
        <f ca="1">IFERROR('Segment Analysis'!X13/'Segment Analysis'!W13-1,"N/A")</f>
        <v>N/A</v>
      </c>
      <c r="Y198" s="378"/>
      <c r="Z198" s="379" t="str">
        <f ca="1">IFERROR('Segment Analysis'!Z13/'Segment Analysis'!X13-1,"N/A")</f>
        <v>N/A</v>
      </c>
      <c r="AA198" s="379" t="str">
        <f ca="1">IFERROR('Segment Analysis'!AA13/'Segment Analysis'!Z13-1,"N/A")</f>
        <v>N/A</v>
      </c>
      <c r="AB198" s="379" t="str">
        <f ca="1">IFERROR('Segment Analysis'!AB13/'Segment Analysis'!AA13-1,"N/A")</f>
        <v>N/A</v>
      </c>
      <c r="AC198" s="379" t="str">
        <f ca="1">IFERROR('Segment Analysis'!AC13/'Segment Analysis'!AB13-1,"N/A")</f>
        <v>N/A</v>
      </c>
      <c r="AD198" s="378"/>
      <c r="AE198" s="378" t="str">
        <f ca="1">IFERROR('Segment Analysis'!AE13/'Segment Analysis'!AD13-1,"N/A")</f>
        <v>N/A</v>
      </c>
      <c r="AF198" s="378" t="str">
        <f ca="1">IFERROR('Segment Analysis'!AF13/'Segment Analysis'!AE13-1,"N/A")</f>
        <v>N/A</v>
      </c>
      <c r="AG198" s="378" t="str">
        <f ca="1">IFERROR('Segment Analysis'!AG13/'Segment Analysis'!AF13-1,"N/A")</f>
        <v>N/A</v>
      </c>
    </row>
    <row r="199" ht="14.25" customHeight="1" spans="1:33" x14ac:dyDescent="0.25">
      <c r="C199" s="16"/>
      <c r="D199" s="16"/>
      <c r="E199" s="16"/>
      <c r="F199" s="319"/>
      <c r="G199" s="319"/>
      <c r="H199" s="319"/>
      <c r="I199" s="319"/>
      <c r="J199" s="168"/>
      <c r="K199" s="319"/>
      <c r="L199" s="319"/>
      <c r="M199" s="319"/>
      <c r="N199" s="319"/>
      <c r="O199" s="168"/>
      <c r="P199" s="319"/>
      <c r="Q199" s="319"/>
      <c r="R199" s="319"/>
      <c r="S199" s="319"/>
      <c r="T199" s="168"/>
      <c r="U199" s="319"/>
      <c r="V199" s="319"/>
      <c r="W199" s="319"/>
      <c r="X199" s="322"/>
      <c r="Y199" s="168"/>
      <c r="Z199" s="322"/>
      <c r="AA199" s="322"/>
      <c r="AB199" s="322"/>
      <c r="AC199" s="322"/>
      <c r="AD199" s="168"/>
      <c r="AE199" s="168"/>
      <c r="AF199" s="168"/>
      <c r="AG199" s="168"/>
    </row>
    <row r="200" ht="14.25" customHeight="1" spans="1:33" x14ac:dyDescent="0.25">
      <c r="C200" s="139" t="str">
        <f t="shared" ref="C200:C204" si="138" ca="1">C89</f>
        <v>North America</v>
      </c>
      <c r="D200" s="16"/>
      <c r="E200" s="16"/>
      <c r="F200" s="474"/>
      <c r="G200" s="377" t="str">
        <f t="shared" ref="G200:I200" si="139" ca="1">IFERROR(G88/F88-1,"N/A")</f>
        <v>N/A</v>
      </c>
      <c r="H200" s="377" t="str">
        <f ca="1">IFERROR(H88/G88-1,"N/A")</f>
        <v>N/A</v>
      </c>
      <c r="I200" s="377" t="str">
        <f ca="1">IFERROR(I88/H88-1,"N/A")</f>
        <v>N/A</v>
      </c>
      <c r="J200" s="168"/>
      <c r="K200" s="377" t="str">
        <f t="shared" ref="K200:K204" si="140" ca="1">IFERROR(K88/I88-1,"N/A")</f>
        <v>N/A</v>
      </c>
      <c r="L200" s="377" t="str">
        <f t="shared" ref="L200:N200" si="141" ca="1">IFERROR(L88/K88-1,"N/A")</f>
        <v>N/A</v>
      </c>
      <c r="M200" s="377" t="str">
        <f ca="1">IFERROR(M88/L88-1,"N/A")</f>
        <v>N/A</v>
      </c>
      <c r="N200" s="377" t="str">
        <f ca="1">IFERROR(N88/M88-1,"N/A")</f>
        <v>N/A</v>
      </c>
      <c r="O200" s="378"/>
      <c r="P200" s="377" t="str">
        <f t="shared" ref="P200:P204" si="142" ca="1">IFERROR(P88/N88-1,"N/A")</f>
        <v>N/A</v>
      </c>
      <c r="Q200" s="377" t="str">
        <f t="shared" ref="Q200:S200" si="143" ca="1">IFERROR(Q88/P88-1,"N/A")</f>
        <v>N/A</v>
      </c>
      <c r="R200" s="377" t="str">
        <f ca="1">IFERROR(R88/Q88-1,"N/A")</f>
        <v>N/A</v>
      </c>
      <c r="S200" s="377" t="str">
        <f ca="1">IFERROR(S88/R88-1,"N/A")</f>
        <v>N/A</v>
      </c>
      <c r="T200" s="378"/>
      <c r="U200" s="377" t="str">
        <f t="shared" ref="U200:U204" si="144" ca="1">IFERROR(U88/S88-1,"N/A")</f>
        <v>N/A</v>
      </c>
      <c r="V200" s="377" t="str">
        <f t="shared" ref="V200:X200" si="145" ca="1">IFERROR(V88/U88-1,"N/A")</f>
        <v>N/A</v>
      </c>
      <c r="W200" s="377" t="str">
        <f ca="1">IFERROR(W88/V88-1,"N/A")</f>
        <v>N/A</v>
      </c>
      <c r="X200" s="379" t="str">
        <f ca="1">IFERROR(X88/W88-1,"N/A")</f>
        <v>N/A</v>
      </c>
      <c r="Y200" s="378"/>
      <c r="Z200" s="379" t="str">
        <f t="shared" ref="Z200:Z204" si="146" ca="1">IFERROR(Z88/X88-1,"N/A")</f>
        <v>N/A</v>
      </c>
      <c r="AA200" s="379" t="str">
        <f t="shared" ref="AA200:AC200" si="147" ca="1">IFERROR(AA88/Z88-1,"N/A")</f>
        <v>N/A</v>
      </c>
      <c r="AB200" s="379" t="str">
        <f ca="1">IFERROR(AB88/AA88-1,"N/A")</f>
        <v>N/A</v>
      </c>
      <c r="AC200" s="379" t="str">
        <f ca="1">IFERROR(AC88/AB88-1,"N/A")</f>
        <v>N/A</v>
      </c>
      <c r="AD200" s="378"/>
      <c r="AE200" s="378" t="str">
        <f t="shared" ref="AE200:AG200" si="148" ca="1">IFERROR(AE88/AD88-1,"N/A")</f>
        <v>N/A</v>
      </c>
      <c r="AF200" s="378" t="str">
        <f ca="1">IFERROR(AF88/AE88-1,"N/A")</f>
        <v>N/A</v>
      </c>
      <c r="AG200" s="378" t="str">
        <f ca="1">IFERROR(AG88/AF88-1,"N/A")</f>
        <v>N/A</v>
      </c>
    </row>
    <row r="201" ht="14.25" customHeight="1" spans="1:33" x14ac:dyDescent="0.25">
      <c r="C201" s="139" t="str">
        <f ca="1">C90</f>
        <v>Europe</v>
      </c>
      <c r="D201" s="16"/>
      <c r="E201" s="16"/>
      <c r="F201" s="474"/>
      <c r="G201" s="377" t="str">
        <f t="shared" ref="G201:I201" si="149" ca="1">IFERROR(G89/F89-1,"N/A")</f>
        <v>N/A</v>
      </c>
      <c r="H201" s="377" t="str">
        <f ca="1">IFERROR(H89/G89-1,"N/A")</f>
        <v>N/A</v>
      </c>
      <c r="I201" s="377" t="str">
        <f ca="1">IFERROR(I89/H89-1,"N/A")</f>
        <v>N/A</v>
      </c>
      <c r="J201" s="168"/>
      <c r="K201" s="377" t="str">
        <f ca="1">IFERROR(K89/I89-1,"N/A")</f>
        <v>N/A</v>
      </c>
      <c r="L201" s="377" t="str">
        <f t="shared" ref="L201:N201" si="150" ca="1">IFERROR(L89/K89-1,"N/A")</f>
        <v>N/A</v>
      </c>
      <c r="M201" s="377" t="str">
        <f ca="1">IFERROR(M89/L89-1,"N/A")</f>
        <v>N/A</v>
      </c>
      <c r="N201" s="377" t="str">
        <f ca="1">IFERROR(N89/M89-1,"N/A")</f>
        <v>N/A</v>
      </c>
      <c r="O201" s="378"/>
      <c r="P201" s="377" t="str">
        <f ca="1">IFERROR(P89/N89-1,"N/A")</f>
        <v>N/A</v>
      </c>
      <c r="Q201" s="377" t="str">
        <f t="shared" ref="Q201:S201" si="151" ca="1">IFERROR(Q89/P89-1,"N/A")</f>
        <v>N/A</v>
      </c>
      <c r="R201" s="377" t="str">
        <f ca="1">IFERROR(R89/Q89-1,"N/A")</f>
        <v>N/A</v>
      </c>
      <c r="S201" s="377" t="str">
        <f ca="1">IFERROR(S89/R89-1,"N/A")</f>
        <v>N/A</v>
      </c>
      <c r="T201" s="378"/>
      <c r="U201" s="377" t="str">
        <f ca="1">IFERROR(U89/S89-1,"N/A")</f>
        <v>N/A</v>
      </c>
      <c r="V201" s="377" t="str">
        <f t="shared" ref="V201:X201" si="152" ca="1">IFERROR(V89/U89-1,"N/A")</f>
        <v>N/A</v>
      </c>
      <c r="W201" s="377" t="str">
        <f ca="1">IFERROR(W89/V89-1,"N/A")</f>
        <v>N/A</v>
      </c>
      <c r="X201" s="379" t="str">
        <f ca="1">IFERROR(X89/W89-1,"N/A")</f>
        <v>N/A</v>
      </c>
      <c r="Y201" s="378"/>
      <c r="Z201" s="379" t="str">
        <f ca="1">IFERROR(Z89/X89-1,"N/A")</f>
        <v>N/A</v>
      </c>
      <c r="AA201" s="379" t="str">
        <f t="shared" ref="AA201:AC201" si="153" ca="1">IFERROR(AA89/Z89-1,"N/A")</f>
        <v>N/A</v>
      </c>
      <c r="AB201" s="379" t="str">
        <f ca="1">IFERROR(AB89/AA89-1,"N/A")</f>
        <v>N/A</v>
      </c>
      <c r="AC201" s="379" t="str">
        <f ca="1">IFERROR(AC89/AB89-1,"N/A")</f>
        <v>N/A</v>
      </c>
      <c r="AD201" s="378"/>
      <c r="AE201" s="378" t="str">
        <f t="shared" ref="AE201:AG201" si="154" ca="1">IFERROR(AE89/AD89-1,"N/A")</f>
        <v>N/A</v>
      </c>
      <c r="AF201" s="378" t="str">
        <f ca="1">IFERROR(AF89/AE89-1,"N/A")</f>
        <v>N/A</v>
      </c>
      <c r="AG201" s="378" t="str">
        <f ca="1">IFERROR(AG89/AF89-1,"N/A")</f>
        <v>N/A</v>
      </c>
    </row>
    <row r="202" ht="14.25" customHeight="1" spans="1:33" x14ac:dyDescent="0.25">
      <c r="C202" s="139" t="str">
        <f ca="1">C91</f>
        <v>South America</v>
      </c>
      <c r="D202" s="16"/>
      <c r="E202" s="16"/>
      <c r="F202" s="474"/>
      <c r="G202" s="377" t="str">
        <f t="shared" ref="G202:I202" si="155" ca="1">IFERROR(G90/F90-1,"N/A")</f>
        <v>N/A</v>
      </c>
      <c r="H202" s="377" t="str">
        <f ca="1">IFERROR(H90/G90-1,"N/A")</f>
        <v>N/A</v>
      </c>
      <c r="I202" s="377" t="str">
        <f ca="1">IFERROR(I90/H90-1,"N/A")</f>
        <v>N/A</v>
      </c>
      <c r="J202" s="168"/>
      <c r="K202" s="377" t="str">
        <f ca="1">IFERROR(K90/I90-1,"N/A")</f>
        <v>N/A</v>
      </c>
      <c r="L202" s="377" t="str">
        <f t="shared" ref="L202:N202" si="156" ca="1">IFERROR(L90/K90-1,"N/A")</f>
        <v>N/A</v>
      </c>
      <c r="M202" s="377" t="str">
        <f ca="1">IFERROR(M90/L90-1,"N/A")</f>
        <v>N/A</v>
      </c>
      <c r="N202" s="377" t="str">
        <f ca="1">IFERROR(N90/M90-1,"N/A")</f>
        <v>N/A</v>
      </c>
      <c r="O202" s="378"/>
      <c r="P202" s="377" t="str">
        <f ca="1">IFERROR(P90/N90-1,"N/A")</f>
        <v>N/A</v>
      </c>
      <c r="Q202" s="377" t="str">
        <f t="shared" ref="Q202:S202" si="157" ca="1">IFERROR(Q90/P90-1,"N/A")</f>
        <v>N/A</v>
      </c>
      <c r="R202" s="377" t="str">
        <f ca="1">IFERROR(R90/Q90-1,"N/A")</f>
        <v>N/A</v>
      </c>
      <c r="S202" s="377" t="str">
        <f ca="1">IFERROR(S90/R90-1,"N/A")</f>
        <v>N/A</v>
      </c>
      <c r="T202" s="378"/>
      <c r="U202" s="377" t="str">
        <f ca="1">IFERROR(U90/S90-1,"N/A")</f>
        <v>N/A</v>
      </c>
      <c r="V202" s="377" t="str">
        <f t="shared" ref="V202:X202" si="158" ca="1">IFERROR(V90/U90-1,"N/A")</f>
        <v>N/A</v>
      </c>
      <c r="W202" s="377" t="str">
        <f ca="1">IFERROR(W90/V90-1,"N/A")</f>
        <v>N/A</v>
      </c>
      <c r="X202" s="379" t="str">
        <f ca="1">IFERROR(X90/W90-1,"N/A")</f>
        <v>N/A</v>
      </c>
      <c r="Y202" s="378"/>
      <c r="Z202" s="379" t="str">
        <f ca="1">IFERROR(Z90/X90-1,"N/A")</f>
        <v>N/A</v>
      </c>
      <c r="AA202" s="379" t="str">
        <f t="shared" ref="AA202:AC202" si="159" ca="1">IFERROR(AA90/Z90-1,"N/A")</f>
        <v>N/A</v>
      </c>
      <c r="AB202" s="379" t="str">
        <f ca="1">IFERROR(AB90/AA90-1,"N/A")</f>
        <v>N/A</v>
      </c>
      <c r="AC202" s="379" t="str">
        <f ca="1">IFERROR(AC90/AB90-1,"N/A")</f>
        <v>N/A</v>
      </c>
      <c r="AD202" s="378"/>
      <c r="AE202" s="378" t="str">
        <f t="shared" ref="AE202:AG202" si="160" ca="1">IFERROR(AE90/AD90-1,"N/A")</f>
        <v>N/A</v>
      </c>
      <c r="AF202" s="378" t="str">
        <f ca="1">IFERROR(AF90/AE90-1,"N/A")</f>
        <v>N/A</v>
      </c>
      <c r="AG202" s="378" t="str">
        <f ca="1">IFERROR(AG90/AF90-1,"N/A")</f>
        <v>N/A</v>
      </c>
    </row>
    <row r="203" ht="14.25" customHeight="1" spans="1:33" x14ac:dyDescent="0.25">
      <c r="C203" s="139" t="str">
        <f ca="1">C92</f>
        <v>Middle East &amp; Africa</v>
      </c>
      <c r="D203" s="16"/>
      <c r="E203" s="16"/>
      <c r="F203" s="474"/>
      <c r="G203" s="377" t="str">
        <f t="shared" ref="G203:I203" si="161" ca="1">IFERROR(G91/F91-1,"N/A")</f>
        <v>N/A</v>
      </c>
      <c r="H203" s="377" t="str">
        <f ca="1">IFERROR(H91/G91-1,"N/A")</f>
        <v>N/A</v>
      </c>
      <c r="I203" s="377" t="str">
        <f ca="1">IFERROR(I91/H91-1,"N/A")</f>
        <v>N/A</v>
      </c>
      <c r="J203" s="168"/>
      <c r="K203" s="377" t="str">
        <f ca="1">IFERROR(K91/I91-1,"N/A")</f>
        <v>N/A</v>
      </c>
      <c r="L203" s="377" t="str">
        <f t="shared" ref="L203:N203" si="162" ca="1">IFERROR(L91/K91-1,"N/A")</f>
        <v>N/A</v>
      </c>
      <c r="M203" s="377" t="str">
        <f ca="1">IFERROR(M91/L91-1,"N/A")</f>
        <v>N/A</v>
      </c>
      <c r="N203" s="377" t="str">
        <f ca="1">IFERROR(N91/M91-1,"N/A")</f>
        <v>N/A</v>
      </c>
      <c r="O203" s="378"/>
      <c r="P203" s="377" t="str">
        <f ca="1">IFERROR(P91/N91-1,"N/A")</f>
        <v>N/A</v>
      </c>
      <c r="Q203" s="377" t="str">
        <f t="shared" ref="Q203:S203" si="163" ca="1">IFERROR(Q91/P91-1,"N/A")</f>
        <v>N/A</v>
      </c>
      <c r="R203" s="377" t="str">
        <f ca="1">IFERROR(R91/Q91-1,"N/A")</f>
        <v>N/A</v>
      </c>
      <c r="S203" s="377" t="str">
        <f ca="1">IFERROR(S91/R91-1,"N/A")</f>
        <v>N/A</v>
      </c>
      <c r="T203" s="378"/>
      <c r="U203" s="377" t="str">
        <f ca="1">IFERROR(U91/S91-1,"N/A")</f>
        <v>N/A</v>
      </c>
      <c r="V203" s="377" t="str">
        <f t="shared" ref="V203:X203" si="164" ca="1">IFERROR(V91/U91-1,"N/A")</f>
        <v>N/A</v>
      </c>
      <c r="W203" s="377" t="str">
        <f ca="1">IFERROR(W91/V91-1,"N/A")</f>
        <v>N/A</v>
      </c>
      <c r="X203" s="379" t="str">
        <f ca="1">IFERROR(X91/W91-1,"N/A")</f>
        <v>N/A</v>
      </c>
      <c r="Y203" s="378"/>
      <c r="Z203" s="379" t="str">
        <f ca="1">IFERROR(Z91/X91-1,"N/A")</f>
        <v>N/A</v>
      </c>
      <c r="AA203" s="379" t="str">
        <f t="shared" ref="AA203:AC203" si="165" ca="1">IFERROR(AA91/Z91-1,"N/A")</f>
        <v>N/A</v>
      </c>
      <c r="AB203" s="379" t="str">
        <f ca="1">IFERROR(AB91/AA91-1,"N/A")</f>
        <v>N/A</v>
      </c>
      <c r="AC203" s="379" t="str">
        <f ca="1">IFERROR(AC91/AB91-1,"N/A")</f>
        <v>N/A</v>
      </c>
      <c r="AD203" s="378"/>
      <c r="AE203" s="378" t="str">
        <f t="shared" ref="AE203:AG203" si="166" ca="1">IFERROR(AE91/AD91-1,"N/A")</f>
        <v>N/A</v>
      </c>
      <c r="AF203" s="378" t="str">
        <f ca="1">IFERROR(AF91/AE91-1,"N/A")</f>
        <v>N/A</v>
      </c>
      <c r="AG203" s="378" t="str">
        <f ca="1">IFERROR(AG91/AF91-1,"N/A")</f>
        <v>N/A</v>
      </c>
    </row>
    <row r="204" ht="14.25" customHeight="1" spans="1:33" x14ac:dyDescent="0.25">
      <c r="C204" s="139" t="str">
        <f ca="1">C93</f>
        <v>Asia Pacific</v>
      </c>
      <c r="D204" s="16"/>
      <c r="E204" s="16"/>
      <c r="F204" s="474"/>
      <c r="G204" s="377" t="str">
        <f t="shared" ref="G204:I204" si="167" ca="1">IFERROR(G92/F92-1,"N/A")</f>
        <v>N/A</v>
      </c>
      <c r="H204" s="377" t="str">
        <f ca="1">IFERROR(H92/G92-1,"N/A")</f>
        <v>N/A</v>
      </c>
      <c r="I204" s="377" t="str">
        <f ca="1">IFERROR(I92/H92-1,"N/A")</f>
        <v>N/A</v>
      </c>
      <c r="J204" s="168"/>
      <c r="K204" s="377" t="str">
        <f ca="1">IFERROR(K92/I92-1,"N/A")</f>
        <v>N/A</v>
      </c>
      <c r="L204" s="377" t="str">
        <f t="shared" ref="L204:N204" si="168" ca="1">IFERROR(L92/K92-1,"N/A")</f>
        <v>N/A</v>
      </c>
      <c r="M204" s="377" t="str">
        <f ca="1">IFERROR(M92/L92-1,"N/A")</f>
        <v>N/A</v>
      </c>
      <c r="N204" s="377" t="str">
        <f ca="1">IFERROR(N92/M92-1,"N/A")</f>
        <v>N/A</v>
      </c>
      <c r="O204" s="378"/>
      <c r="P204" s="377" t="str">
        <f ca="1">IFERROR(P92/N92-1,"N/A")</f>
        <v>N/A</v>
      </c>
      <c r="Q204" s="377" t="str">
        <f t="shared" ref="Q204:S204" si="169" ca="1">IFERROR(Q92/P92-1,"N/A")</f>
        <v>N/A</v>
      </c>
      <c r="R204" s="377" t="str">
        <f ca="1">IFERROR(R92/Q92-1,"N/A")</f>
        <v>N/A</v>
      </c>
      <c r="S204" s="377" t="str">
        <f ca="1">IFERROR(S92/R92-1,"N/A")</f>
        <v>N/A</v>
      </c>
      <c r="T204" s="378"/>
      <c r="U204" s="377" t="str">
        <f ca="1">IFERROR(U92/S92-1,"N/A")</f>
        <v>N/A</v>
      </c>
      <c r="V204" s="377" t="str">
        <f t="shared" ref="V204:X204" si="170" ca="1">IFERROR(V92/U92-1,"N/A")</f>
        <v>N/A</v>
      </c>
      <c r="W204" s="377" t="str">
        <f ca="1">IFERROR(W92/V92-1,"N/A")</f>
        <v>N/A</v>
      </c>
      <c r="X204" s="379" t="str">
        <f ca="1">IFERROR(X92/W92-1,"N/A")</f>
        <v>N/A</v>
      </c>
      <c r="Y204" s="378"/>
      <c r="Z204" s="379" t="str">
        <f ca="1">IFERROR(Z92/X92-1,"N/A")</f>
        <v>N/A</v>
      </c>
      <c r="AA204" s="379" t="str">
        <f t="shared" ref="AA204:AC204" si="171" ca="1">IFERROR(AA92/Z92-1,"N/A")</f>
        <v>N/A</v>
      </c>
      <c r="AB204" s="379" t="str">
        <f ca="1">IFERROR(AB92/AA92-1,"N/A")</f>
        <v>N/A</v>
      </c>
      <c r="AC204" s="379" t="str">
        <f ca="1">IFERROR(AC92/AB92-1,"N/A")</f>
        <v>N/A</v>
      </c>
      <c r="AD204" s="378"/>
      <c r="AE204" s="378" t="str">
        <f t="shared" ref="AE204:AG204" si="172" ca="1">IFERROR(AE92/AD92-1,"N/A")</f>
        <v>N/A</v>
      </c>
      <c r="AF204" s="378" t="str">
        <f ca="1">IFERROR(AF92/AE92-1,"N/A")</f>
        <v>N/A</v>
      </c>
      <c r="AG204" s="378" t="str">
        <f ca="1">IFERROR(AG92/AF92-1,"N/A")</f>
        <v>N/A</v>
      </c>
    </row>
    <row r="205" ht="14.25" customHeight="1" spans="1:33" x14ac:dyDescent="0.25">
      <c r="C205" s="16"/>
      <c r="D205" s="16"/>
      <c r="E205" s="16"/>
      <c r="F205" s="319"/>
      <c r="G205" s="319"/>
      <c r="H205" s="319"/>
      <c r="I205" s="319"/>
      <c r="J205" s="168"/>
      <c r="K205" s="319"/>
      <c r="L205" s="319"/>
      <c r="M205" s="319"/>
      <c r="N205" s="319"/>
      <c r="O205" s="168"/>
      <c r="P205" s="319"/>
      <c r="Q205" s="319"/>
      <c r="R205" s="319"/>
      <c r="S205" s="319"/>
      <c r="T205" s="168"/>
      <c r="U205" s="319"/>
      <c r="V205" s="319"/>
      <c r="W205" s="319"/>
      <c r="X205" s="322"/>
      <c r="Y205" s="168"/>
      <c r="Z205" s="322"/>
      <c r="AA205" s="322"/>
      <c r="AB205" s="322"/>
      <c r="AC205" s="322"/>
      <c r="AD205" s="168"/>
      <c r="AE205" s="168"/>
      <c r="AF205" s="168"/>
      <c r="AG205" s="168"/>
    </row>
    <row r="206" ht="14.25" customHeight="1" spans="1:33" x14ac:dyDescent="0.25">
      <c r="C206" s="16" t="s">
        <v>480</v>
      </c>
      <c r="D206" s="16"/>
      <c r="E206" s="16"/>
      <c r="F206" s="474"/>
      <c r="G206" s="377">
        <f ca="1">IFERROR(Model!G36/Model!F36-1,"N/A")</f>
        <v>0.47645051194539256</v>
      </c>
      <c r="H206" s="377">
        <f ca="1">IFERROR(Model!H36/Model!G36-1,"N/A")</f>
        <v>-0.5575589459084604</v>
      </c>
      <c r="I206" s="377">
        <f ca="1">IFERROR(Model!I36/Model!H36-1,"N/A")</f>
        <v>-1.592476489028213</v>
      </c>
      <c r="J206" s="378"/>
      <c r="K206" s="377">
        <f ca="1">IFERROR(Model!K36/Model!J36-1,"N/A")</f>
        <v>-0.6473369835739173</v>
      </c>
      <c r="L206" s="377">
        <f ca="1">IFERROR(Model!L36/Model!K36-1,"N/A")</f>
        <v>0.6803105151729005</v>
      </c>
      <c r="M206" s="377">
        <f ca="1">IFERROR(Model!M36/Model!L36-1,"N/A")</f>
        <v>-0.34565308693826124</v>
      </c>
      <c r="N206" s="377">
        <f ca="1">IFERROR(Model!N36/Model!M36-1,"N/A")</f>
        <v>-0.38510911424903727</v>
      </c>
      <c r="O206" s="378"/>
      <c r="P206" s="377">
        <f ca="1">IFERROR(Model!P36/Model!O36-1,"N/A")</f>
        <v>-0.6846689895470384</v>
      </c>
      <c r="Q206" s="377">
        <f ca="1">IFERROR(Model!Q36/Model!P36-1,"N/A")</f>
        <v>0.9874434957307885</v>
      </c>
      <c r="R206" s="377">
        <f ca="1">IFERROR(Model!R36/Model!Q36-1,"N/A")</f>
        <v>-0.45034116755117515</v>
      </c>
      <c r="S206" s="377">
        <f ca="1">IFERROR(Model!S36/Model!R36-1,"N/A")</f>
        <v>0.2731034482758621</v>
      </c>
      <c r="T206" s="378"/>
      <c r="U206" s="377">
        <f ca="1">IFERROR(Model!U36/Model!T36-1,"N/A")</f>
        <v>-0.7020749173705472</v>
      </c>
      <c r="V206" s="377">
        <f ca="1">IFERROR(Model!V36/Model!U36-1,"N/A")</f>
        <v>0.29738058551617863</v>
      </c>
      <c r="W206" s="377">
        <f ca="1">IFERROR(Model!W36/Model!V36-1,"N/A")</f>
        <v>-0.3375296912114014</v>
      </c>
      <c r="X206" s="379">
        <f ca="1">IFERROR(Model!X36/Model!W36-1,"N/A")</f>
        <v>-1.8213253854428113</v>
      </c>
      <c r="Y206" s="378"/>
      <c r="Z206" s="379">
        <f ca="1">IFERROR(Model!Z36/Model!Y36-1,"N/A")</f>
        <v>-1.3162967718463863</v>
      </c>
      <c r="AA206" s="379">
        <f ca="1">IFERROR(Model!AA36/Model!Z36-1,"N/A")</f>
        <v>0.06529914989591568</v>
      </c>
      <c r="AB206" s="379">
        <f ca="1">IFERROR(Model!AB36/Model!AA36-1,"N/A")</f>
        <v>0.08943823735200218</v>
      </c>
      <c r="AC206" s="379">
        <f ca="1">IFERROR(Model!AC36/Model!AB36-1,"N/A")</f>
        <v>-0.16936014699085644</v>
      </c>
      <c r="AD206" s="378"/>
      <c r="AE206" s="378">
        <f ca="1">IFERROR(Model!AE36/Model!AD36-1,"N/A")</f>
        <v>-0.09127382024067143</v>
      </c>
      <c r="AF206" s="378">
        <f ca="1">IFERROR(Model!AF36/Model!AE36-1,"N/A")</f>
        <v>-0.03465840151129618</v>
      </c>
      <c r="AG206" s="378">
        <f ca="1">IFERROR(Model!AG36/Model!AF36-1,"N/A")</f>
        <v>-0.06214786420897089</v>
      </c>
    </row>
    <row r="207" ht="14.25" customHeight="1" spans="1:33" x14ac:dyDescent="0.25">
      <c r="C207" s="16"/>
      <c r="D207" s="16"/>
      <c r="E207" s="16"/>
      <c r="F207" s="319"/>
      <c r="G207" s="319"/>
      <c r="H207" s="319"/>
      <c r="I207" s="319"/>
      <c r="J207" s="168"/>
      <c r="K207" s="319"/>
      <c r="L207" s="319"/>
      <c r="M207" s="319"/>
      <c r="N207" s="319"/>
      <c r="O207" s="168"/>
      <c r="P207" s="319"/>
      <c r="Q207" s="319"/>
      <c r="R207" s="319"/>
      <c r="S207" s="319"/>
      <c r="T207" s="168"/>
      <c r="U207" s="319"/>
      <c r="V207" s="319"/>
      <c r="W207" s="319"/>
      <c r="X207" s="322"/>
      <c r="Y207" s="168"/>
      <c r="Z207" s="322"/>
      <c r="AA207" s="322"/>
      <c r="AB207" s="322"/>
      <c r="AC207" s="322"/>
      <c r="AD207" s="168"/>
      <c r="AE207" s="168"/>
      <c r="AF207" s="168"/>
      <c r="AG207" s="168"/>
    </row>
    <row r="208" ht="14.25" customHeight="1" spans="1:33" x14ac:dyDescent="0.25">
      <c r="C208" s="16" t="s">
        <v>481</v>
      </c>
      <c r="D208" s="16"/>
      <c r="E208" s="16"/>
      <c r="F208" s="474"/>
      <c r="G208" s="377">
        <f ca="1">IFERROR(Model!G61/Model!F61-1,"N/A")</f>
        <v>0.4679123287671234</v>
      </c>
      <c r="H208" s="377">
        <f ca="1">IFERROR(Model!H61/Model!G61-1,"N/A")</f>
        <v>-0.40281603917967557</v>
      </c>
      <c r="I208" s="377">
        <f ca="1">IFERROR(Model!I61/Model!H61-1,"N/A")</f>
        <v>-0.22626920528559447</v>
      </c>
      <c r="J208" s="378"/>
      <c r="K208" s="377">
        <f ca="1">IFERROR(Model!K61/Model!I61-1,"N/A")</f>
        <v>0.3307724000872492</v>
      </c>
      <c r="L208" s="377">
        <f ca="1">IFERROR(Model!L61/Model!K61-1,"N/A")</f>
        <v>0.6389602190290602</v>
      </c>
      <c r="M208" s="377">
        <f ca="1">IFERROR(Model!M61/Model!L61-1,"N/A")</f>
        <v>-0.2938391960915768</v>
      </c>
      <c r="N208" s="377">
        <f ca="1">IFERROR(Model!N61/Model!M61-1,"N/A")</f>
        <v>-0.2074901652242328</v>
      </c>
      <c r="O208" s="378"/>
      <c r="P208" s="377">
        <f ca="1">IFERROR(Model!P61/Model!N61-1,"N/A")</f>
        <v>0.5385063405077699</v>
      </c>
      <c r="Q208" s="377">
        <f ca="1">IFERROR(Model!Q61/Model!P61-1,"N/A")</f>
        <v>0.8461687373094267</v>
      </c>
      <c r="R208" s="377">
        <f ca="1">IFERROR(Model!R61/Model!Q61-1,"N/A")</f>
        <v>-0.222473103997875</v>
      </c>
      <c r="S208" s="377">
        <f ca="1">IFERROR(Model!S61/Model!R61-1,"N/A")</f>
        <v>-0.05327890960746595</v>
      </c>
      <c r="T208" s="378"/>
      <c r="U208" s="377">
        <f ca="1">IFERROR(Model!U61/Model!S61-1,"N/A")</f>
        <v>0.15099715099715105</v>
      </c>
      <c r="V208" s="377">
        <f ca="1">IFERROR(Model!V61/Model!U61-1,"N/A")</f>
        <v>0.27035203520352025</v>
      </c>
      <c r="W208" s="377">
        <f ca="1">IFERROR(Model!W61/Model!V61-1,"N/A")</f>
        <v>-0.3056938731327127</v>
      </c>
      <c r="X208" s="379" t="str">
        <f ca="1">IFERROR(Model!X61/Model!W61-1,"N/A")</f>
        <v>N/A</v>
      </c>
      <c r="Y208" s="378"/>
      <c r="Z208" s="379" t="str">
        <f ca="1">IFERROR(Model!Z61/Model!X61-1,"N/A")</f>
        <v>N/A</v>
      </c>
      <c r="AA208" s="379" t="str">
        <f ca="1">IFERROR(Model!AA61/Model!Z61-1,"N/A")</f>
        <v>N/A</v>
      </c>
      <c r="AB208" s="379" t="str">
        <f ca="1">IFERROR(Model!AB61/Model!AA61-1,"N/A")</f>
        <v>N/A</v>
      </c>
      <c r="AC208" s="379" t="str">
        <f ca="1">IFERROR(Model!AC61/Model!AB61-1,"N/A")</f>
        <v>N/A</v>
      </c>
      <c r="AD208" s="378"/>
      <c r="AE208" s="378" t="str">
        <f ca="1">IFERROR(Model!AE61/Model!AD61-1,"N/A")</f>
        <v>N/A</v>
      </c>
      <c r="AF208" s="378" t="str">
        <f ca="1">IFERROR(Model!AF61/Model!AE61-1,"N/A")</f>
        <v>N/A</v>
      </c>
      <c r="AG208" s="378" t="str">
        <f ca="1">IFERROR(Model!AG61/Model!AF61-1,"N/A")</f>
        <v>N/A</v>
      </c>
    </row>
    <row r="209" ht="14.25" customHeight="1" spans="1:33" x14ac:dyDescent="0.25">
      <c r="C209" s="16"/>
      <c r="D209" s="47"/>
      <c r="E209" s="47"/>
      <c r="F209" s="168"/>
      <c r="G209" s="168"/>
      <c r="H209" s="168"/>
      <c r="I209" s="168"/>
      <c r="J209" s="168"/>
      <c r="K209" s="168"/>
      <c r="L209" s="168"/>
      <c r="M209" s="168"/>
      <c r="N209" s="168"/>
      <c r="O209" s="168"/>
      <c r="P209" s="168"/>
      <c r="Q209" s="168"/>
      <c r="R209" s="168"/>
      <c r="S209" s="168"/>
      <c r="T209" s="168"/>
      <c r="U209" s="168"/>
      <c r="V209" s="168"/>
      <c r="W209" s="168"/>
      <c r="X209" s="168"/>
      <c r="Y209" s="168"/>
      <c r="Z209" s="168"/>
      <c r="AA209" s="168"/>
      <c r="AB209" s="168"/>
      <c r="AC209" s="168"/>
      <c r="AD209" s="168"/>
      <c r="AE209" s="168"/>
      <c r="AF209" s="168"/>
      <c r="AG209" s="168"/>
    </row>
    <row r="210" ht="14.25" customHeight="1" spans="1:33" x14ac:dyDescent="0.25">
      <c r="C210" s="62" t="s">
        <v>262</v>
      </c>
      <c r="D210" s="19"/>
      <c r="E210" s="19"/>
      <c r="F210" s="313"/>
      <c r="G210" s="313"/>
      <c r="H210" s="313"/>
      <c r="I210" s="313"/>
      <c r="J210" s="313"/>
      <c r="K210" s="313"/>
      <c r="L210" s="313"/>
      <c r="M210" s="313"/>
      <c r="N210" s="313"/>
      <c r="O210" s="313"/>
      <c r="P210" s="313"/>
      <c r="Q210" s="313"/>
      <c r="R210" s="313"/>
      <c r="S210" s="313"/>
      <c r="T210" s="313"/>
      <c r="U210" s="313"/>
      <c r="V210" s="313"/>
      <c r="W210" s="313"/>
      <c r="X210" s="313"/>
      <c r="Y210" s="313"/>
      <c r="Z210" s="313"/>
      <c r="AA210" s="313"/>
      <c r="AB210" s="313"/>
      <c r="AC210" s="313"/>
      <c r="AD210" s="313"/>
      <c r="AE210" s="313"/>
      <c r="AF210" s="313"/>
      <c r="AG210" s="314"/>
    </row>
    <row r="211" ht="14.25" customHeight="1" spans="1:33" x14ac:dyDescent="0.25"/>
    <row r="212" ht="14.25" customHeight="1" spans="1:33" x14ac:dyDescent="0.25"/>
    <row r="213" ht="14.25" customHeight="1" spans="1:33" x14ac:dyDescent="0.25"/>
    <row r="214" ht="14.25" customHeight="1" spans="1:33" x14ac:dyDescent="0.25"/>
    <row r="215" ht="14.25" customHeight="1" spans="1:33" x14ac:dyDescent="0.25"/>
    <row r="216" ht="14.25" customHeight="1" spans="1:33" x14ac:dyDescent="0.25"/>
    <row r="217" ht="14.25" customHeight="1" spans="1:33" x14ac:dyDescent="0.25"/>
    <row r="218" ht="14.25" customHeight="1" spans="1:33" x14ac:dyDescent="0.25"/>
    <row r="219" ht="14.25" customHeight="1" spans="1:33" x14ac:dyDescent="0.25"/>
    <row r="220" ht="14.25" customHeight="1" spans="1:33" x14ac:dyDescent="0.25"/>
    <row r="221" ht="14.25" customHeight="1" spans="1:33" x14ac:dyDescent="0.25"/>
    <row r="222" ht="14.25" customHeight="1" spans="1:33" x14ac:dyDescent="0.25"/>
    <row r="223" ht="14.25" customHeight="1" spans="1:33" x14ac:dyDescent="0.25"/>
    <row r="224" ht="14.25" customHeight="1" spans="1:33" x14ac:dyDescent="0.25"/>
    <row r="225" ht="14.25" customHeight="1" spans="1:33" x14ac:dyDescent="0.25"/>
    <row r="226" ht="14.25" customHeight="1" spans="1:33" x14ac:dyDescent="0.25"/>
    <row r="227" ht="14.25" customHeight="1" spans="1:33" x14ac:dyDescent="0.25"/>
    <row r="228" ht="14.25" customHeight="1" spans="1:33" x14ac:dyDescent="0.25"/>
    <row r="229" ht="14.25" customHeight="1" spans="1:33" x14ac:dyDescent="0.25"/>
    <row r="230" ht="14.25" customHeight="1" spans="1:33" x14ac:dyDescent="0.25"/>
    <row r="231" ht="14.25" customHeight="1" spans="1:33" x14ac:dyDescent="0.25"/>
    <row r="232" ht="14.25" customHeight="1" spans="1:33" x14ac:dyDescent="0.25"/>
    <row r="233" ht="14.25" customHeight="1" spans="1:33" x14ac:dyDescent="0.25"/>
    <row r="234" ht="14.25" customHeight="1" spans="1:33" x14ac:dyDescent="0.25"/>
    <row r="235" ht="14.25" customHeight="1" spans="1:33" x14ac:dyDescent="0.25"/>
    <row r="236" ht="14.25" customHeight="1" spans="1:33" x14ac:dyDescent="0.25"/>
    <row r="237" ht="14.25" customHeight="1" spans="1:33" x14ac:dyDescent="0.25"/>
    <row r="238" ht="14.25" customHeight="1" spans="1:33" x14ac:dyDescent="0.25"/>
    <row r="239" ht="14.25" customHeight="1" spans="1:33" x14ac:dyDescent="0.25"/>
    <row r="240" ht="14.25" customHeight="1" spans="1:33" x14ac:dyDescent="0.25"/>
    <row r="241" ht="14.25" customHeight="1" spans="1:33" x14ac:dyDescent="0.25"/>
    <row r="242" ht="14.25" customHeight="1" spans="1:33" x14ac:dyDescent="0.25"/>
    <row r="243" ht="14.25" customHeight="1" spans="1:33" x14ac:dyDescent="0.25"/>
    <row r="244" ht="14.25" customHeight="1" spans="1:33" x14ac:dyDescent="0.25"/>
    <row r="245" ht="14.25" customHeight="1" spans="1:33" x14ac:dyDescent="0.25"/>
    <row r="246" ht="14.25" customHeight="1" spans="1:33" x14ac:dyDescent="0.25"/>
    <row r="247" ht="14.25" customHeight="1" spans="1:33" x14ac:dyDescent="0.25"/>
    <row r="248" ht="14.25" customHeight="1" spans="1:33" x14ac:dyDescent="0.25"/>
    <row r="249" ht="14.25" customHeight="1" spans="1:33" x14ac:dyDescent="0.25"/>
    <row r="250" ht="14.25" customHeight="1" spans="1:33" x14ac:dyDescent="0.25"/>
    <row r="251" ht="14.25" customHeight="1" spans="1:33" x14ac:dyDescent="0.25"/>
    <row r="252" ht="14.25" customHeight="1" spans="1:33" x14ac:dyDescent="0.25"/>
    <row r="253" ht="14.25" customHeight="1" spans="1:33" x14ac:dyDescent="0.25"/>
    <row r="254" ht="14.25" customHeight="1" spans="1:33" x14ac:dyDescent="0.25"/>
    <row r="255" ht="14.25" customHeight="1" spans="1:33" x14ac:dyDescent="0.25"/>
    <row r="256" ht="14.25" customHeight="1" spans="1:33" x14ac:dyDescent="0.25"/>
    <row r="257" ht="14.25" customHeight="1" spans="1:33" x14ac:dyDescent="0.25"/>
    <row r="258" ht="14.25" customHeight="1" spans="1:33" x14ac:dyDescent="0.25"/>
    <row r="259" ht="14.25" customHeight="1" spans="1:33" x14ac:dyDescent="0.25"/>
    <row r="260" ht="14.25" customHeight="1" spans="1:33" x14ac:dyDescent="0.25"/>
    <row r="261" ht="14.25" customHeight="1" spans="1:33" x14ac:dyDescent="0.25"/>
    <row r="262" ht="14.25" customHeight="1" spans="1:33" x14ac:dyDescent="0.25"/>
    <row r="263" ht="14.25" customHeight="1" spans="1:33" x14ac:dyDescent="0.25"/>
    <row r="264" ht="14.25" customHeight="1" spans="1:33" x14ac:dyDescent="0.25"/>
    <row r="265" ht="14.25" customHeight="1" spans="1:33" x14ac:dyDescent="0.25"/>
    <row r="266" ht="14.25" customHeight="1" spans="1:33" x14ac:dyDescent="0.25"/>
    <row r="267" ht="14.25" customHeight="1" spans="1:33" x14ac:dyDescent="0.25"/>
    <row r="268" ht="14.25" customHeight="1" spans="1:33" x14ac:dyDescent="0.25"/>
    <row r="269" ht="14.25" customHeight="1" spans="1:33" x14ac:dyDescent="0.25"/>
    <row r="270" ht="14.25" customHeight="1" spans="1:33" x14ac:dyDescent="0.25"/>
    <row r="271" ht="14.25" customHeight="1" spans="1:33" x14ac:dyDescent="0.25"/>
    <row r="272" ht="14.25" customHeight="1" spans="1:33" x14ac:dyDescent="0.25"/>
    <row r="273" ht="14.25" customHeight="1" spans="1:33" x14ac:dyDescent="0.25"/>
    <row r="274" ht="14.25" customHeight="1" spans="1:33" x14ac:dyDescent="0.25"/>
    <row r="275" ht="14.25" customHeight="1" spans="1:33" x14ac:dyDescent="0.25"/>
    <row r="276" ht="14.25" customHeight="1" spans="1:33" x14ac:dyDescent="0.25"/>
    <row r="277" ht="14.25" customHeight="1" spans="1:33" x14ac:dyDescent="0.25"/>
    <row r="278" ht="14.25" customHeight="1" spans="1:33" x14ac:dyDescent="0.25"/>
    <row r="279" ht="14.25" customHeight="1" spans="1:33" x14ac:dyDescent="0.25"/>
    <row r="280" ht="14.25" customHeight="1" spans="1:33" x14ac:dyDescent="0.25"/>
    <row r="281" ht="14.25" customHeight="1" spans="1:33" x14ac:dyDescent="0.25"/>
    <row r="282" ht="14.25" customHeight="1" spans="1:33" x14ac:dyDescent="0.25"/>
    <row r="283" ht="14.25" customHeight="1" spans="1:33" x14ac:dyDescent="0.25"/>
    <row r="284" ht="14.25" customHeight="1" spans="1:33" x14ac:dyDescent="0.25"/>
    <row r="285" ht="14.25" customHeight="1" spans="1:33" x14ac:dyDescent="0.25"/>
    <row r="286" ht="14.25" customHeight="1" spans="1:33" x14ac:dyDescent="0.25"/>
    <row r="287" ht="14.25" customHeight="1" spans="1:33" x14ac:dyDescent="0.25"/>
    <row r="288" ht="14.25" customHeight="1" spans="1:33" x14ac:dyDescent="0.25"/>
    <row r="289" ht="14.25" customHeight="1" spans="1:33" x14ac:dyDescent="0.25"/>
    <row r="290" ht="14.25" customHeight="1" spans="1:33" x14ac:dyDescent="0.25"/>
    <row r="291" ht="14.25" customHeight="1" spans="1:33" x14ac:dyDescent="0.25"/>
    <row r="292" ht="14.25" customHeight="1" spans="1:33" x14ac:dyDescent="0.25"/>
    <row r="293" ht="14.25" customHeight="1" spans="1:33" x14ac:dyDescent="0.25"/>
    <row r="294" ht="14.25" customHeight="1" spans="1:33" x14ac:dyDescent="0.25"/>
    <row r="295" ht="14.25" customHeight="1" spans="1:33" x14ac:dyDescent="0.25"/>
    <row r="296" ht="14.25" customHeight="1" spans="1:33" x14ac:dyDescent="0.25"/>
    <row r="297" ht="14.25" customHeight="1" spans="1:33" x14ac:dyDescent="0.25"/>
    <row r="298" ht="14.25" customHeight="1" spans="1:33" x14ac:dyDescent="0.25"/>
    <row r="299" ht="14.25" customHeight="1" spans="1:33" x14ac:dyDescent="0.25"/>
    <row r="300" ht="14.25" customHeight="1" spans="1:33" x14ac:dyDescent="0.25"/>
    <row r="301" ht="14.25" customHeight="1" spans="1:33" x14ac:dyDescent="0.25"/>
    <row r="302" ht="14.25" customHeight="1" spans="1:33" x14ac:dyDescent="0.25"/>
    <row r="303" ht="14.25" customHeight="1" spans="1:33" x14ac:dyDescent="0.25"/>
    <row r="304" ht="14.25" customHeight="1" spans="1:33" x14ac:dyDescent="0.25"/>
    <row r="305" ht="14.25" customHeight="1" spans="1:33" x14ac:dyDescent="0.25"/>
    <row r="306" ht="14.25" customHeight="1" spans="1:33" x14ac:dyDescent="0.25"/>
    <row r="307" ht="14.25" customHeight="1" spans="1:33" x14ac:dyDescent="0.25"/>
    <row r="308" ht="14.25" customHeight="1" spans="1:33" x14ac:dyDescent="0.25"/>
    <row r="309" ht="14.25" customHeight="1" spans="1:33" x14ac:dyDescent="0.25"/>
    <row r="310" ht="14.25" customHeight="1" spans="1:33" x14ac:dyDescent="0.25"/>
    <row r="311" ht="14.25" customHeight="1" spans="1:33" x14ac:dyDescent="0.25"/>
    <row r="312" ht="14.25" customHeight="1" spans="1:33" x14ac:dyDescent="0.25"/>
    <row r="313" ht="14.25" customHeight="1" spans="1:33" x14ac:dyDescent="0.25"/>
    <row r="314" ht="14.25" customHeight="1" spans="1:33" x14ac:dyDescent="0.25"/>
    <row r="315" ht="14.25" customHeight="1" spans="1:33" x14ac:dyDescent="0.25"/>
    <row r="316" ht="14.25" customHeight="1" spans="1:33" x14ac:dyDescent="0.25"/>
    <row r="317" ht="14.25" customHeight="1" spans="1:33" x14ac:dyDescent="0.25"/>
    <row r="318" ht="14.25" customHeight="1" spans="1:33" x14ac:dyDescent="0.25"/>
    <row r="319" ht="14.25" customHeight="1" spans="1:33" x14ac:dyDescent="0.25"/>
    <row r="320" ht="14.25" customHeight="1" spans="1:33" x14ac:dyDescent="0.25"/>
    <row r="321" ht="14.25" customHeight="1" spans="1:33" x14ac:dyDescent="0.25"/>
    <row r="322" ht="14.25" customHeight="1" spans="1:33" x14ac:dyDescent="0.25"/>
    <row r="323" ht="14.25" customHeight="1" spans="1:33" x14ac:dyDescent="0.25"/>
    <row r="324" ht="14.25" customHeight="1" spans="1:33" x14ac:dyDescent="0.25"/>
    <row r="325" ht="14.25" customHeight="1" spans="1:33" x14ac:dyDescent="0.25"/>
    <row r="326" ht="14.25" customHeight="1" spans="1:33" x14ac:dyDescent="0.25"/>
    <row r="327" ht="14.25" customHeight="1" spans="1:33" x14ac:dyDescent="0.25"/>
    <row r="328" ht="14.25" customHeight="1" spans="1:33" x14ac:dyDescent="0.25"/>
    <row r="329" ht="14.25" customHeight="1" spans="1:33" x14ac:dyDescent="0.25"/>
    <row r="330" ht="14.25" customHeight="1" spans="1:33" x14ac:dyDescent="0.25"/>
    <row r="331" ht="14.25" customHeight="1" spans="1:33" x14ac:dyDescent="0.25"/>
    <row r="332" ht="14.25" customHeight="1" spans="1:33" x14ac:dyDescent="0.25"/>
    <row r="333" ht="14.25" customHeight="1" spans="1:33" x14ac:dyDescent="0.25"/>
    <row r="334" ht="14.25" customHeight="1" spans="1:33" x14ac:dyDescent="0.25"/>
    <row r="335" ht="14.25" customHeight="1" spans="1:33" x14ac:dyDescent="0.25"/>
    <row r="336" ht="14.25" customHeight="1" spans="1:33" x14ac:dyDescent="0.25"/>
    <row r="337" ht="14.25" customHeight="1" spans="1:33" x14ac:dyDescent="0.25"/>
    <row r="338" ht="14.25" customHeight="1" spans="1:33" x14ac:dyDescent="0.25"/>
    <row r="339" ht="14.25" customHeight="1" spans="1:33" x14ac:dyDescent="0.25"/>
    <row r="340" ht="14.25" customHeight="1" spans="1:33" x14ac:dyDescent="0.25"/>
    <row r="341" ht="14.25" customHeight="1" spans="1:33" x14ac:dyDescent="0.25"/>
    <row r="342" ht="14.25" customHeight="1" spans="1:33" x14ac:dyDescent="0.25"/>
    <row r="343" ht="14.25" customHeight="1" spans="1:33" x14ac:dyDescent="0.25"/>
    <row r="344" ht="14.25" customHeight="1" spans="1:33" x14ac:dyDescent="0.25"/>
    <row r="345" ht="14.25" customHeight="1" spans="1:33" x14ac:dyDescent="0.25"/>
    <row r="346" ht="14.25" customHeight="1" spans="1:33" x14ac:dyDescent="0.25"/>
    <row r="347" ht="14.25" customHeight="1" spans="1:33" x14ac:dyDescent="0.25"/>
    <row r="348" ht="14.25" customHeight="1" spans="1:33" x14ac:dyDescent="0.25"/>
    <row r="349" ht="14.25" customHeight="1" spans="1:33" x14ac:dyDescent="0.25"/>
    <row r="350" ht="14.25" customHeight="1" spans="1:33" x14ac:dyDescent="0.25"/>
    <row r="351" ht="14.25" customHeight="1" spans="1:33" x14ac:dyDescent="0.25"/>
    <row r="352" ht="14.25" customHeight="1" spans="1:33" x14ac:dyDescent="0.25"/>
    <row r="353" ht="14.25" customHeight="1" spans="1:33" x14ac:dyDescent="0.25"/>
    <row r="354" ht="14.25" customHeight="1" spans="1:33" x14ac:dyDescent="0.25"/>
    <row r="355" ht="14.25" customHeight="1" spans="1:33" x14ac:dyDescent="0.25"/>
    <row r="356" ht="14.25" customHeight="1" spans="1:33" x14ac:dyDescent="0.25"/>
    <row r="357" ht="14.25" customHeight="1" spans="1:33" x14ac:dyDescent="0.25"/>
    <row r="358" ht="14.25" customHeight="1" spans="1:33" x14ac:dyDescent="0.25"/>
    <row r="359" ht="14.25" customHeight="1" spans="1:33" x14ac:dyDescent="0.25"/>
    <row r="360" ht="14.25" customHeight="1" spans="1:33" x14ac:dyDescent="0.25"/>
    <row r="361" ht="14.25" customHeight="1" spans="1:33" x14ac:dyDescent="0.25"/>
    <row r="362" ht="14.25" customHeight="1" spans="1:33" x14ac:dyDescent="0.25"/>
    <row r="363" ht="14.25" customHeight="1" spans="1:33" x14ac:dyDescent="0.25"/>
    <row r="364" ht="14.25" customHeight="1" spans="1:33" x14ac:dyDescent="0.25"/>
    <row r="365" ht="14.25" customHeight="1" spans="1:33" x14ac:dyDescent="0.25"/>
    <row r="366" ht="14.25" customHeight="1" spans="1:33" x14ac:dyDescent="0.25"/>
    <row r="367" ht="14.25" customHeight="1" spans="1:33" x14ac:dyDescent="0.25"/>
    <row r="368" ht="14.25" customHeight="1" spans="1:33" x14ac:dyDescent="0.25"/>
    <row r="369" ht="14.25" customHeight="1" spans="1:33" x14ac:dyDescent="0.25"/>
    <row r="370" ht="14.25" customHeight="1" spans="1:33" x14ac:dyDescent="0.25"/>
    <row r="371" ht="14.25" customHeight="1" spans="1:33" x14ac:dyDescent="0.25"/>
    <row r="372" ht="14.25" customHeight="1" spans="1:33" x14ac:dyDescent="0.25"/>
    <row r="373" ht="14.25" customHeight="1" spans="1:33" x14ac:dyDescent="0.25"/>
    <row r="374" ht="14.25" customHeight="1" spans="1:33" x14ac:dyDescent="0.25"/>
    <row r="375" ht="14.25" customHeight="1" spans="1:33" x14ac:dyDescent="0.25"/>
    <row r="376" ht="14.25" customHeight="1" spans="1:33" x14ac:dyDescent="0.25"/>
    <row r="377" ht="14.25" customHeight="1" spans="1:33" x14ac:dyDescent="0.25"/>
    <row r="378" ht="14.25" customHeight="1" spans="1:33" x14ac:dyDescent="0.25"/>
    <row r="379" ht="14.25" customHeight="1" spans="1:33" x14ac:dyDescent="0.25"/>
    <row r="380" ht="14.25" customHeight="1" spans="1:33" x14ac:dyDescent="0.25"/>
    <row r="381" ht="14.25" customHeight="1" spans="1:33" x14ac:dyDescent="0.25"/>
    <row r="382" ht="14.25" customHeight="1" spans="1:33" x14ac:dyDescent="0.25"/>
    <row r="383" ht="14.25" customHeight="1" spans="1:33" x14ac:dyDescent="0.25"/>
    <row r="384" ht="14.25" customHeight="1" spans="1:33" x14ac:dyDescent="0.25"/>
    <row r="385" ht="14.25" customHeight="1" spans="1:33" x14ac:dyDescent="0.25"/>
    <row r="386" ht="14.25" customHeight="1" spans="1:33" x14ac:dyDescent="0.25"/>
    <row r="387" ht="14.25" customHeight="1" spans="1:33" x14ac:dyDescent="0.25"/>
    <row r="388" ht="14.25" customHeight="1" spans="1:33" x14ac:dyDescent="0.25"/>
    <row r="389" ht="14.25" customHeight="1" spans="1:33" x14ac:dyDescent="0.25"/>
    <row r="390" ht="14.25" customHeight="1" spans="1:33" x14ac:dyDescent="0.25"/>
    <row r="391" ht="14.25" customHeight="1" spans="1:33" x14ac:dyDescent="0.25"/>
    <row r="392" ht="14.25" customHeight="1" spans="1:33" x14ac:dyDescent="0.25"/>
    <row r="393" ht="14.25" customHeight="1" spans="1:33" x14ac:dyDescent="0.25"/>
    <row r="394" ht="14.25" customHeight="1" spans="1:33" x14ac:dyDescent="0.25"/>
    <row r="395" ht="14.25" customHeight="1" spans="1:33" x14ac:dyDescent="0.25"/>
    <row r="396" ht="14.25" customHeight="1" spans="1:33" x14ac:dyDescent="0.25"/>
    <row r="397" ht="14.25" customHeight="1" spans="1:33" x14ac:dyDescent="0.25"/>
    <row r="398" ht="14.25" customHeight="1" spans="1:33" x14ac:dyDescent="0.25"/>
    <row r="399" ht="14.25" customHeight="1" spans="1:33" x14ac:dyDescent="0.25"/>
    <row r="400" ht="14.25" customHeight="1" spans="1:33" x14ac:dyDescent="0.25"/>
    <row r="401" ht="14.25" customHeight="1" spans="1:33" x14ac:dyDescent="0.25"/>
    <row r="402" ht="14.25" customHeight="1" spans="1:33" x14ac:dyDescent="0.25"/>
    <row r="403" ht="14.25" customHeight="1" spans="1:33" x14ac:dyDescent="0.25"/>
    <row r="404" ht="14.25" customHeight="1" spans="1:33" x14ac:dyDescent="0.25"/>
    <row r="405" ht="14.25" customHeight="1" spans="1:33" x14ac:dyDescent="0.25"/>
    <row r="406" ht="14.25" customHeight="1" spans="1:33" x14ac:dyDescent="0.25"/>
    <row r="407" ht="14.25" customHeight="1" spans="1:33" x14ac:dyDescent="0.25"/>
    <row r="408" ht="14.25" customHeight="1" spans="1:33" x14ac:dyDescent="0.25"/>
    <row r="409" ht="14.25" customHeight="1" spans="1:33" x14ac:dyDescent="0.25"/>
    <row r="410" ht="14.25" customHeight="1" spans="1:33" x14ac:dyDescent="0.25"/>
    <row r="411" ht="14.25" customHeight="1" spans="1:33" x14ac:dyDescent="0.25"/>
    <row r="412" ht="14.25" customHeight="1" spans="1:33" x14ac:dyDescent="0.25"/>
    <row r="413" ht="14.25" customHeight="1" spans="1:33" x14ac:dyDescent="0.25"/>
    <row r="414" ht="14.25" customHeight="1" spans="1:33" x14ac:dyDescent="0.25"/>
    <row r="415" ht="14.25" customHeight="1" spans="1:33" x14ac:dyDescent="0.25"/>
    <row r="416" ht="14.25" customHeight="1" spans="1:33" x14ac:dyDescent="0.25"/>
    <row r="417" ht="14.25" customHeight="1" spans="1:33" x14ac:dyDescent="0.25"/>
    <row r="418" ht="14.25" customHeight="1" spans="1:33" x14ac:dyDescent="0.25"/>
    <row r="419" ht="14.25" customHeight="1" spans="1:33" x14ac:dyDescent="0.25"/>
    <row r="420" ht="14.25" customHeight="1" spans="1:33" x14ac:dyDescent="0.25"/>
    <row r="421" ht="14.25" customHeight="1" spans="1:33" x14ac:dyDescent="0.25"/>
    <row r="422" ht="14.25" customHeight="1" spans="1:33" x14ac:dyDescent="0.25"/>
    <row r="423" ht="14.25" customHeight="1" spans="1:33" x14ac:dyDescent="0.25"/>
    <row r="424" ht="14.25" customHeight="1" spans="1:33" x14ac:dyDescent="0.25"/>
    <row r="425" ht="14.25" customHeight="1" spans="1:33" x14ac:dyDescent="0.25"/>
    <row r="426" ht="14.25" customHeight="1" spans="1:33" x14ac:dyDescent="0.25"/>
    <row r="427" ht="14.25" customHeight="1" spans="1:33" x14ac:dyDescent="0.25"/>
    <row r="428" ht="14.25" customHeight="1" spans="1:33" x14ac:dyDescent="0.25"/>
    <row r="429" ht="14.25" customHeight="1" spans="1:33" x14ac:dyDescent="0.25"/>
    <row r="430" ht="14.25" customHeight="1" spans="1:33" x14ac:dyDescent="0.25"/>
    <row r="431" ht="14.25" customHeight="1" spans="1:33" x14ac:dyDescent="0.25"/>
    <row r="432" ht="14.25" customHeight="1" spans="1:33" x14ac:dyDescent="0.25"/>
    <row r="433" ht="14.25" customHeight="1" spans="1:33" x14ac:dyDescent="0.25"/>
    <row r="434" ht="14.25" customHeight="1" spans="1:33" x14ac:dyDescent="0.25"/>
    <row r="435" ht="14.25" customHeight="1" spans="1:33" x14ac:dyDescent="0.25"/>
    <row r="436" ht="14.25" customHeight="1" spans="1:33" x14ac:dyDescent="0.25"/>
    <row r="437" ht="14.25" customHeight="1" spans="1:33" x14ac:dyDescent="0.25"/>
    <row r="438" ht="14.25" customHeight="1" spans="1:33" x14ac:dyDescent="0.25"/>
    <row r="439" ht="14.25" customHeight="1" spans="1:33" x14ac:dyDescent="0.25"/>
    <row r="440" ht="14.25" customHeight="1" spans="1:33" x14ac:dyDescent="0.25"/>
    <row r="441" ht="14.25" customHeight="1" spans="1:33" x14ac:dyDescent="0.25"/>
    <row r="442" ht="14.25" customHeight="1" spans="1:33" x14ac:dyDescent="0.25"/>
    <row r="443" ht="14.25" customHeight="1" spans="1:33" x14ac:dyDescent="0.25"/>
    <row r="444" ht="14.25" customHeight="1" spans="1:33" x14ac:dyDescent="0.25"/>
    <row r="445" ht="14.25" customHeight="1" spans="1:33" x14ac:dyDescent="0.25"/>
    <row r="446" ht="14.25" customHeight="1" spans="1:33" x14ac:dyDescent="0.25"/>
    <row r="447" ht="14.25" customHeight="1" spans="1:33" x14ac:dyDescent="0.25"/>
    <row r="448" ht="14.25" customHeight="1" spans="1:33" x14ac:dyDescent="0.25"/>
    <row r="449" ht="14.25" customHeight="1" spans="1:33" x14ac:dyDescent="0.25"/>
    <row r="450" ht="14.25" customHeight="1" spans="1:33" x14ac:dyDescent="0.25"/>
    <row r="451" ht="14.25" customHeight="1" spans="1:33" x14ac:dyDescent="0.25"/>
    <row r="452" ht="14.25" customHeight="1" spans="1:33" x14ac:dyDescent="0.25"/>
    <row r="453" ht="14.25" customHeight="1" spans="1:33" x14ac:dyDescent="0.25"/>
    <row r="454" ht="14.25" customHeight="1" spans="1:33" x14ac:dyDescent="0.25"/>
    <row r="455" ht="14.25" customHeight="1" spans="1:33" x14ac:dyDescent="0.25"/>
    <row r="456" ht="14.25" customHeight="1" spans="1:33" x14ac:dyDescent="0.25"/>
    <row r="457" ht="14.25" customHeight="1" spans="1:33" x14ac:dyDescent="0.25"/>
    <row r="458" ht="14.25" customHeight="1" spans="1:33" x14ac:dyDescent="0.25"/>
    <row r="459" ht="14.25" customHeight="1" spans="1:33" x14ac:dyDescent="0.25"/>
    <row r="460" ht="14.25" customHeight="1" spans="1:33" x14ac:dyDescent="0.25"/>
    <row r="461" ht="14.25" customHeight="1" spans="1:33" x14ac:dyDescent="0.25"/>
    <row r="462" ht="14.25" customHeight="1" spans="1:33" x14ac:dyDescent="0.25"/>
    <row r="463" ht="14.25" customHeight="1" spans="1:33" x14ac:dyDescent="0.25"/>
    <row r="464" ht="14.25" customHeight="1" spans="1:33" x14ac:dyDescent="0.25"/>
    <row r="465" ht="14.25" customHeight="1" spans="1:33" x14ac:dyDescent="0.25"/>
    <row r="466" ht="14.25" customHeight="1" spans="1:33" x14ac:dyDescent="0.25"/>
    <row r="467" ht="14.25" customHeight="1" spans="1:33" x14ac:dyDescent="0.25"/>
    <row r="468" ht="14.25" customHeight="1" spans="1:33" x14ac:dyDescent="0.25"/>
    <row r="469" ht="14.25" customHeight="1" spans="1:33" x14ac:dyDescent="0.25"/>
    <row r="470" ht="14.25" customHeight="1" spans="1:33" x14ac:dyDescent="0.25"/>
    <row r="471" ht="14.25" customHeight="1" spans="1:33" x14ac:dyDescent="0.25"/>
    <row r="472" ht="14.25" customHeight="1" spans="1:33" x14ac:dyDescent="0.25"/>
    <row r="473" ht="14.25" customHeight="1" spans="1:33" x14ac:dyDescent="0.25"/>
    <row r="474" ht="14.25" customHeight="1" spans="1:33" x14ac:dyDescent="0.25"/>
    <row r="475" ht="14.25" customHeight="1" spans="1:33" x14ac:dyDescent="0.25"/>
    <row r="476" ht="14.25" customHeight="1" spans="1:33" x14ac:dyDescent="0.25"/>
    <row r="477" ht="14.25" customHeight="1" spans="1:33" x14ac:dyDescent="0.25"/>
    <row r="478" ht="14.25" customHeight="1" spans="1:33" x14ac:dyDescent="0.25"/>
    <row r="479" ht="14.25" customHeight="1" spans="1:33" x14ac:dyDescent="0.25"/>
    <row r="480" ht="14.25" customHeight="1" spans="1:33" x14ac:dyDescent="0.25"/>
    <row r="481" ht="14.25" customHeight="1" spans="1:33" x14ac:dyDescent="0.25"/>
    <row r="482" ht="14.25" customHeight="1" spans="1:33" x14ac:dyDescent="0.25"/>
    <row r="483" ht="14.25" customHeight="1" spans="1:33" x14ac:dyDescent="0.25"/>
    <row r="484" ht="14.25" customHeight="1" spans="1:33" x14ac:dyDescent="0.25"/>
    <row r="485" ht="14.25" customHeight="1" spans="1:33" x14ac:dyDescent="0.25"/>
    <row r="486" ht="14.25" customHeight="1" spans="1:33" x14ac:dyDescent="0.25"/>
    <row r="487" ht="14.25" customHeight="1" spans="1:33" x14ac:dyDescent="0.25"/>
    <row r="488" ht="14.25" customHeight="1" spans="1:33" x14ac:dyDescent="0.25"/>
    <row r="489" ht="14.25" customHeight="1" spans="1:33" x14ac:dyDescent="0.25"/>
    <row r="490" ht="14.25" customHeight="1" spans="1:33" x14ac:dyDescent="0.25"/>
    <row r="491" ht="14.25" customHeight="1" spans="1:33" x14ac:dyDescent="0.25"/>
    <row r="492" ht="14.25" customHeight="1" spans="1:33" x14ac:dyDescent="0.25"/>
    <row r="493" ht="14.25" customHeight="1" spans="1:33" x14ac:dyDescent="0.25"/>
    <row r="494" ht="14.25" customHeight="1" spans="1:33" x14ac:dyDescent="0.25"/>
    <row r="495" ht="14.25" customHeight="1" spans="1:33" x14ac:dyDescent="0.25"/>
    <row r="496" ht="14.25" customHeight="1" spans="1:33" x14ac:dyDescent="0.25"/>
    <row r="497" ht="14.25" customHeight="1" spans="1:33" x14ac:dyDescent="0.25"/>
    <row r="498" ht="14.25" customHeight="1" spans="1:33" x14ac:dyDescent="0.25"/>
    <row r="499" ht="14.25" customHeight="1" spans="1:33" x14ac:dyDescent="0.25"/>
    <row r="500" ht="14.25" customHeight="1" spans="1:33" x14ac:dyDescent="0.25"/>
    <row r="501" ht="14.25" customHeight="1" spans="1:33" x14ac:dyDescent="0.25"/>
    <row r="502" ht="14.25" customHeight="1" spans="1:33" x14ac:dyDescent="0.25"/>
    <row r="503" ht="14.25" customHeight="1" spans="1:33" x14ac:dyDescent="0.25"/>
    <row r="504" ht="14.25" customHeight="1" spans="1:33" x14ac:dyDescent="0.25"/>
    <row r="505" ht="14.25" customHeight="1" spans="1:33" x14ac:dyDescent="0.25"/>
    <row r="506" ht="14.25" customHeight="1" spans="1:33" x14ac:dyDescent="0.25"/>
    <row r="507" ht="14.25" customHeight="1" spans="1:33" x14ac:dyDescent="0.25"/>
    <row r="508" ht="14.25" customHeight="1" spans="1:33" x14ac:dyDescent="0.25"/>
    <row r="509" ht="14.25" customHeight="1" spans="1:33" x14ac:dyDescent="0.25"/>
    <row r="510" ht="14.25" customHeight="1" spans="1:33" x14ac:dyDescent="0.25"/>
    <row r="511" ht="14.25" customHeight="1" spans="1:33" x14ac:dyDescent="0.25"/>
    <row r="512" ht="14.25" customHeight="1" spans="1:33" x14ac:dyDescent="0.25"/>
    <row r="513" ht="14.25" customHeight="1" spans="1:33" x14ac:dyDescent="0.25"/>
    <row r="514" ht="14.25" customHeight="1" spans="1:33" x14ac:dyDescent="0.25"/>
    <row r="515" ht="14.25" customHeight="1" spans="1:33" x14ac:dyDescent="0.25"/>
    <row r="516" ht="14.25" customHeight="1" spans="1:33" x14ac:dyDescent="0.25"/>
    <row r="517" ht="14.25" customHeight="1" spans="1:33" x14ac:dyDescent="0.25"/>
    <row r="518" ht="14.25" customHeight="1" spans="1:33" x14ac:dyDescent="0.25"/>
    <row r="519" ht="14.25" customHeight="1" spans="1:33" x14ac:dyDescent="0.25"/>
    <row r="520" ht="14.25" customHeight="1" spans="1:33" x14ac:dyDescent="0.25"/>
    <row r="521" ht="14.25" customHeight="1" spans="1:33" x14ac:dyDescent="0.25"/>
    <row r="522" ht="14.25" customHeight="1" spans="1:33" x14ac:dyDescent="0.25"/>
    <row r="523" ht="14.25" customHeight="1" spans="1:33" x14ac:dyDescent="0.25"/>
    <row r="524" ht="14.25" customHeight="1" spans="1:33" x14ac:dyDescent="0.25"/>
    <row r="525" ht="14.25" customHeight="1" spans="1:33" x14ac:dyDescent="0.25"/>
    <row r="526" ht="14.25" customHeight="1" spans="1:33" x14ac:dyDescent="0.25"/>
    <row r="527" ht="14.25" customHeight="1" spans="1:33" x14ac:dyDescent="0.25"/>
    <row r="528" ht="14.25" customHeight="1" spans="1:33" x14ac:dyDescent="0.25"/>
    <row r="529" ht="14.25" customHeight="1" spans="1:33" x14ac:dyDescent="0.25"/>
    <row r="530" ht="14.25" customHeight="1" spans="1:33" x14ac:dyDescent="0.25"/>
    <row r="531" ht="14.25" customHeight="1" spans="1:33" x14ac:dyDescent="0.25"/>
    <row r="532" ht="14.25" customHeight="1" spans="1:33" x14ac:dyDescent="0.25"/>
    <row r="533" ht="14.25" customHeight="1" spans="1:33" x14ac:dyDescent="0.25"/>
    <row r="534" ht="14.25" customHeight="1" spans="1:33" x14ac:dyDescent="0.25"/>
    <row r="535" ht="14.25" customHeight="1" spans="1:33" x14ac:dyDescent="0.25"/>
    <row r="536" ht="14.25" customHeight="1" spans="1:33" x14ac:dyDescent="0.25"/>
    <row r="537" ht="14.25" customHeight="1" spans="1:33" x14ac:dyDescent="0.25"/>
    <row r="538" ht="14.25" customHeight="1" spans="1:33" x14ac:dyDescent="0.25"/>
    <row r="539" ht="14.25" customHeight="1" spans="1:33" x14ac:dyDescent="0.25"/>
    <row r="540" ht="14.25" customHeight="1" spans="1:33" x14ac:dyDescent="0.25"/>
    <row r="541" ht="14.25" customHeight="1" spans="1:33" x14ac:dyDescent="0.25"/>
    <row r="542" ht="14.25" customHeight="1" spans="1:33" x14ac:dyDescent="0.25"/>
    <row r="543" ht="14.25" customHeight="1" spans="1:33" x14ac:dyDescent="0.25"/>
    <row r="544" ht="14.25" customHeight="1" spans="1:33" x14ac:dyDescent="0.25"/>
    <row r="545" ht="14.25" customHeight="1" spans="1:33" x14ac:dyDescent="0.25"/>
    <row r="546" ht="14.25" customHeight="1" spans="1:33" x14ac:dyDescent="0.25"/>
    <row r="547" ht="14.25" customHeight="1" spans="1:33" x14ac:dyDescent="0.25"/>
    <row r="548" ht="14.25" customHeight="1" spans="1:33" x14ac:dyDescent="0.25"/>
    <row r="549" ht="14.25" customHeight="1" spans="1:33" x14ac:dyDescent="0.25"/>
    <row r="550" ht="14.25" customHeight="1" spans="1:33" x14ac:dyDescent="0.25"/>
    <row r="551" ht="14.25" customHeight="1" spans="1:33" x14ac:dyDescent="0.25"/>
    <row r="552" ht="14.25" customHeight="1" spans="1:33" x14ac:dyDescent="0.25"/>
    <row r="553" ht="14.25" customHeight="1" spans="1:33" x14ac:dyDescent="0.25"/>
    <row r="554" ht="14.25" customHeight="1" spans="1:33" x14ac:dyDescent="0.25"/>
    <row r="555" ht="14.25" customHeight="1" spans="1:33" x14ac:dyDescent="0.25"/>
    <row r="556" ht="14.25" customHeight="1" spans="1:33" x14ac:dyDescent="0.25"/>
    <row r="557" ht="14.25" customHeight="1" spans="1:33" x14ac:dyDescent="0.25"/>
    <row r="558" ht="14.25" customHeight="1" spans="1:33" x14ac:dyDescent="0.25"/>
    <row r="559" ht="14.25" customHeight="1" spans="1:33" x14ac:dyDescent="0.25"/>
    <row r="560" ht="14.25" customHeight="1" spans="1:33" x14ac:dyDescent="0.25"/>
    <row r="561" ht="14.25" customHeight="1" spans="1:33" x14ac:dyDescent="0.25"/>
    <row r="562" ht="14.25" customHeight="1" spans="1:33" x14ac:dyDescent="0.25"/>
    <row r="563" ht="14.25" customHeight="1" spans="1:33" x14ac:dyDescent="0.25"/>
    <row r="564" ht="14.25" customHeight="1" spans="1:33" x14ac:dyDescent="0.25"/>
    <row r="565" ht="14.25" customHeight="1" spans="1:33" x14ac:dyDescent="0.25"/>
    <row r="566" ht="14.25" customHeight="1" spans="1:33" x14ac:dyDescent="0.25"/>
    <row r="567" ht="14.25" customHeight="1" spans="1:33" x14ac:dyDescent="0.25"/>
    <row r="568" ht="14.25" customHeight="1" spans="1:33" x14ac:dyDescent="0.25"/>
    <row r="569" ht="14.25" customHeight="1" spans="1:33" x14ac:dyDescent="0.25"/>
    <row r="570" ht="14.25" customHeight="1" spans="1:33" x14ac:dyDescent="0.25"/>
    <row r="571" ht="14.25" customHeight="1" spans="1:33" x14ac:dyDescent="0.25"/>
    <row r="572" ht="14.25" customHeight="1" spans="1:33" x14ac:dyDescent="0.25"/>
    <row r="573" ht="14.25" customHeight="1" spans="1:33" x14ac:dyDescent="0.25"/>
    <row r="574" ht="14.25" customHeight="1" spans="1:33" x14ac:dyDescent="0.25"/>
    <row r="575" ht="14.25" customHeight="1" spans="1:33" x14ac:dyDescent="0.25"/>
    <row r="576" ht="14.25" customHeight="1" spans="1:33" x14ac:dyDescent="0.25"/>
    <row r="577" ht="14.25" customHeight="1" spans="1:33" x14ac:dyDescent="0.25"/>
    <row r="578" ht="14.25" customHeight="1" spans="1:33" x14ac:dyDescent="0.25"/>
    <row r="579" ht="14.25" customHeight="1" spans="1:33" x14ac:dyDescent="0.25"/>
    <row r="580" ht="14.25" customHeight="1" spans="1:33" x14ac:dyDescent="0.25"/>
    <row r="581" ht="14.25" customHeight="1" spans="1:33" x14ac:dyDescent="0.25"/>
    <row r="582" ht="14.25" customHeight="1" spans="1:33" x14ac:dyDescent="0.25"/>
    <row r="583" ht="14.25" customHeight="1" spans="1:33" x14ac:dyDescent="0.25"/>
    <row r="584" ht="14.25" customHeight="1" spans="1:33" x14ac:dyDescent="0.25"/>
    <row r="585" ht="14.25" customHeight="1" spans="1:33" x14ac:dyDescent="0.25"/>
    <row r="586" ht="14.25" customHeight="1" spans="1:33" x14ac:dyDescent="0.25"/>
    <row r="587" ht="14.25" customHeight="1" spans="1:33" x14ac:dyDescent="0.25"/>
    <row r="588" ht="14.25" customHeight="1" spans="1:33" x14ac:dyDescent="0.25"/>
    <row r="589" ht="14.25" customHeight="1" spans="1:33" x14ac:dyDescent="0.25"/>
    <row r="590" ht="14.25" customHeight="1" spans="1:33" x14ac:dyDescent="0.25"/>
    <row r="591" ht="14.25" customHeight="1" spans="1:33" x14ac:dyDescent="0.25"/>
    <row r="592" ht="14.25" customHeight="1" spans="1:33" x14ac:dyDescent="0.25"/>
    <row r="593" ht="14.25" customHeight="1" spans="1:33" x14ac:dyDescent="0.25"/>
    <row r="594" ht="14.25" customHeight="1" spans="1:33" x14ac:dyDescent="0.25"/>
    <row r="595" ht="14.25" customHeight="1" spans="1:33" x14ac:dyDescent="0.25"/>
    <row r="596" ht="14.25" customHeight="1" spans="1:33" x14ac:dyDescent="0.25"/>
    <row r="597" ht="14.25" customHeight="1" spans="1:33" x14ac:dyDescent="0.25"/>
    <row r="598" ht="14.25" customHeight="1" spans="1:33" x14ac:dyDescent="0.25"/>
    <row r="599" ht="14.25" customHeight="1" spans="1:33" x14ac:dyDescent="0.25"/>
    <row r="600" ht="14.25" customHeight="1" spans="1:33" x14ac:dyDescent="0.25"/>
    <row r="601" ht="14.25" customHeight="1" spans="1:33" x14ac:dyDescent="0.25"/>
    <row r="602" ht="14.25" customHeight="1" spans="1:33" x14ac:dyDescent="0.25"/>
    <row r="603" ht="14.25" customHeight="1" spans="1:33" x14ac:dyDescent="0.25"/>
    <row r="604" ht="14.25" customHeight="1" spans="1:33" x14ac:dyDescent="0.25"/>
    <row r="605" ht="14.25" customHeight="1" spans="1:33" x14ac:dyDescent="0.25"/>
    <row r="606" ht="14.25" customHeight="1" spans="1:33" x14ac:dyDescent="0.25"/>
    <row r="607" ht="14.25" customHeight="1" spans="1:33" x14ac:dyDescent="0.25"/>
    <row r="608" ht="14.25" customHeight="1" spans="1:33" x14ac:dyDescent="0.25"/>
    <row r="609" ht="14.25" customHeight="1" spans="1:33" x14ac:dyDescent="0.25"/>
    <row r="610" ht="14.25" customHeight="1" spans="1:33" x14ac:dyDescent="0.25"/>
    <row r="611" ht="14.25" customHeight="1" spans="1:33" x14ac:dyDescent="0.25"/>
    <row r="612" ht="14.25" customHeight="1" spans="1:33" x14ac:dyDescent="0.25"/>
    <row r="613" ht="14.25" customHeight="1" spans="1:33" x14ac:dyDescent="0.25"/>
    <row r="614" ht="14.25" customHeight="1" spans="1:33" x14ac:dyDescent="0.25"/>
    <row r="615" ht="14.25" customHeight="1" spans="1:33" x14ac:dyDescent="0.25"/>
    <row r="616" ht="14.25" customHeight="1" spans="1:33" x14ac:dyDescent="0.25"/>
    <row r="617" ht="14.25" customHeight="1" spans="1:33" x14ac:dyDescent="0.25"/>
    <row r="618" ht="14.25" customHeight="1" spans="1:33" x14ac:dyDescent="0.25"/>
    <row r="619" ht="14.25" customHeight="1" spans="1:33" x14ac:dyDescent="0.25"/>
    <row r="620" ht="14.25" customHeight="1" spans="1:33" x14ac:dyDescent="0.25"/>
    <row r="621" ht="14.25" customHeight="1" spans="1:33" x14ac:dyDescent="0.25"/>
    <row r="622" ht="14.25" customHeight="1" spans="1:33" x14ac:dyDescent="0.25"/>
    <row r="623" ht="14.25" customHeight="1" spans="1:33" x14ac:dyDescent="0.25"/>
    <row r="624" ht="14.25" customHeight="1" spans="1:33" x14ac:dyDescent="0.25"/>
    <row r="625" ht="14.25" customHeight="1" spans="1:33" x14ac:dyDescent="0.25"/>
    <row r="626" ht="14.25" customHeight="1" spans="1:33" x14ac:dyDescent="0.25"/>
    <row r="627" ht="14.25" customHeight="1" spans="1:33" x14ac:dyDescent="0.25"/>
    <row r="628" ht="14.25" customHeight="1" spans="1:33" x14ac:dyDescent="0.25"/>
    <row r="629" ht="14.25" customHeight="1" spans="1:33" x14ac:dyDescent="0.25"/>
    <row r="630" ht="14.25" customHeight="1" spans="1:33" x14ac:dyDescent="0.25"/>
    <row r="631" ht="14.25" customHeight="1" spans="1:33" x14ac:dyDescent="0.25"/>
    <row r="632" ht="14.25" customHeight="1" spans="1:33" x14ac:dyDescent="0.25"/>
    <row r="633" ht="14.25" customHeight="1" spans="1:33" x14ac:dyDescent="0.25"/>
    <row r="634" ht="14.25" customHeight="1" spans="1:33" x14ac:dyDescent="0.25"/>
    <row r="635" ht="14.25" customHeight="1" spans="1:33" x14ac:dyDescent="0.25"/>
    <row r="636" ht="14.25" customHeight="1" spans="1:33" x14ac:dyDescent="0.25"/>
    <row r="637" ht="14.25" customHeight="1" spans="1:33" x14ac:dyDescent="0.25"/>
    <row r="638" ht="14.25" customHeight="1" spans="1:33" x14ac:dyDescent="0.25"/>
    <row r="639" ht="14.25" customHeight="1" spans="1:33" x14ac:dyDescent="0.25"/>
    <row r="640" ht="14.25" customHeight="1" spans="1:33" x14ac:dyDescent="0.25"/>
    <row r="641" ht="14.25" customHeight="1" spans="1:33" x14ac:dyDescent="0.25"/>
    <row r="642" ht="14.25" customHeight="1" spans="1:33" x14ac:dyDescent="0.25"/>
    <row r="643" ht="14.25" customHeight="1" spans="1:33" x14ac:dyDescent="0.25"/>
    <row r="644" ht="14.25" customHeight="1" spans="1:33" x14ac:dyDescent="0.25"/>
    <row r="645" ht="14.25" customHeight="1" spans="1:33" x14ac:dyDescent="0.25"/>
    <row r="646" ht="14.25" customHeight="1" spans="1:33" x14ac:dyDescent="0.25"/>
    <row r="647" ht="14.25" customHeight="1" spans="1:33" x14ac:dyDescent="0.25"/>
    <row r="648" ht="14.25" customHeight="1" spans="1:33" x14ac:dyDescent="0.25"/>
    <row r="649" ht="14.25" customHeight="1" spans="1:33" x14ac:dyDescent="0.25"/>
    <row r="650" ht="14.25" customHeight="1" spans="1:33" x14ac:dyDescent="0.25"/>
    <row r="651" ht="14.25" customHeight="1" spans="1:33" x14ac:dyDescent="0.25"/>
    <row r="652" ht="14.25" customHeight="1" spans="1:33" x14ac:dyDescent="0.25"/>
    <row r="653" ht="14.25" customHeight="1" spans="1:33" x14ac:dyDescent="0.25"/>
    <row r="654" ht="14.25" customHeight="1" spans="1:33" x14ac:dyDescent="0.25"/>
    <row r="655" ht="14.25" customHeight="1" spans="1:33" x14ac:dyDescent="0.25"/>
    <row r="656" ht="14.25" customHeight="1" spans="1:33" x14ac:dyDescent="0.25"/>
    <row r="657" ht="14.25" customHeight="1" spans="1:33" x14ac:dyDescent="0.25"/>
    <row r="658" ht="14.25" customHeight="1" spans="1:33" x14ac:dyDescent="0.25"/>
    <row r="659" ht="14.25" customHeight="1" spans="1:33" x14ac:dyDescent="0.25"/>
    <row r="660" ht="14.25" customHeight="1" spans="1:33" x14ac:dyDescent="0.25"/>
    <row r="661" ht="14.25" customHeight="1" spans="1:33" x14ac:dyDescent="0.25"/>
    <row r="662" ht="14.25" customHeight="1" spans="1:33" x14ac:dyDescent="0.25"/>
    <row r="663" ht="14.25" customHeight="1" spans="1:33" x14ac:dyDescent="0.25"/>
    <row r="664" ht="14.25" customHeight="1" spans="1:33" x14ac:dyDescent="0.25"/>
    <row r="665" ht="14.25" customHeight="1" spans="1:33" x14ac:dyDescent="0.25"/>
    <row r="666" ht="14.25" customHeight="1" spans="1:33" x14ac:dyDescent="0.25"/>
    <row r="667" ht="14.25" customHeight="1" spans="1:33" x14ac:dyDescent="0.25"/>
    <row r="668" ht="14.25" customHeight="1" spans="1:33" x14ac:dyDescent="0.25"/>
    <row r="669" ht="14.25" customHeight="1" spans="1:33" x14ac:dyDescent="0.25"/>
    <row r="670" ht="14.25" customHeight="1" spans="1:33" x14ac:dyDescent="0.25"/>
    <row r="671" ht="14.25" customHeight="1" spans="1:33" x14ac:dyDescent="0.25"/>
    <row r="672" ht="14.25" customHeight="1" spans="1:33" x14ac:dyDescent="0.25"/>
    <row r="673" ht="14.25" customHeight="1" spans="1:33" x14ac:dyDescent="0.25"/>
    <row r="674" ht="14.25" customHeight="1" spans="1:33" x14ac:dyDescent="0.25"/>
    <row r="675" ht="14.25" customHeight="1" spans="1:33" x14ac:dyDescent="0.25"/>
    <row r="676" ht="14.25" customHeight="1" spans="1:33" x14ac:dyDescent="0.25"/>
    <row r="677" ht="14.25" customHeight="1" spans="1:33" x14ac:dyDescent="0.25"/>
    <row r="678" ht="14.25" customHeight="1" spans="1:33" x14ac:dyDescent="0.25"/>
    <row r="679" ht="14.25" customHeight="1" spans="1:33" x14ac:dyDescent="0.25"/>
    <row r="680" ht="14.25" customHeight="1" spans="1:33" x14ac:dyDescent="0.25"/>
    <row r="681" ht="14.25" customHeight="1" spans="1:33" x14ac:dyDescent="0.25"/>
    <row r="682" ht="14.25" customHeight="1" spans="1:33" x14ac:dyDescent="0.25"/>
    <row r="683" ht="14.25" customHeight="1" spans="1:33" x14ac:dyDescent="0.25"/>
    <row r="684" ht="14.25" customHeight="1" spans="1:33" x14ac:dyDescent="0.25"/>
    <row r="685" ht="14.25" customHeight="1" spans="1:33" x14ac:dyDescent="0.25"/>
    <row r="686" ht="14.25" customHeight="1" spans="1:33" x14ac:dyDescent="0.25"/>
    <row r="687" ht="14.25" customHeight="1" spans="1:33" x14ac:dyDescent="0.25"/>
    <row r="688" ht="14.25" customHeight="1" spans="1:33" x14ac:dyDescent="0.25"/>
    <row r="689" ht="14.25" customHeight="1" spans="1:33" x14ac:dyDescent="0.25"/>
    <row r="690" ht="14.25" customHeight="1" spans="1:33" x14ac:dyDescent="0.25"/>
    <row r="691" ht="14.25" customHeight="1" spans="1:33" x14ac:dyDescent="0.25"/>
    <row r="692" ht="14.25" customHeight="1" spans="1:33" x14ac:dyDescent="0.25"/>
    <row r="693" ht="14.25" customHeight="1" spans="1:33" x14ac:dyDescent="0.25"/>
    <row r="694" ht="14.25" customHeight="1" spans="1:33" x14ac:dyDescent="0.25"/>
    <row r="695" ht="14.25" customHeight="1" spans="1:33" x14ac:dyDescent="0.25"/>
    <row r="696" ht="14.25" customHeight="1" spans="1:33" x14ac:dyDescent="0.25"/>
    <row r="697" ht="14.25" customHeight="1" spans="1:33" x14ac:dyDescent="0.25"/>
    <row r="698" ht="14.25" customHeight="1" spans="1:33" x14ac:dyDescent="0.25"/>
    <row r="699" ht="14.25" customHeight="1" spans="1:33" x14ac:dyDescent="0.25"/>
    <row r="700" ht="14.25" customHeight="1" spans="1:33" x14ac:dyDescent="0.25"/>
    <row r="701" ht="14.25" customHeight="1" spans="1:33" x14ac:dyDescent="0.25"/>
    <row r="702" ht="14.25" customHeight="1" spans="1:33" x14ac:dyDescent="0.25"/>
    <row r="703" ht="14.25" customHeight="1" spans="1:33" x14ac:dyDescent="0.25"/>
    <row r="704" ht="14.25" customHeight="1" spans="1:33" x14ac:dyDescent="0.25"/>
    <row r="705" ht="14.25" customHeight="1" spans="1:33" x14ac:dyDescent="0.25"/>
    <row r="706" ht="14.25" customHeight="1" spans="1:33" x14ac:dyDescent="0.25"/>
    <row r="707" ht="14.25" customHeight="1" spans="1:33" x14ac:dyDescent="0.25"/>
    <row r="708" ht="14.25" customHeight="1" spans="1:33" x14ac:dyDescent="0.25"/>
    <row r="709" ht="14.25" customHeight="1" spans="1:33" x14ac:dyDescent="0.25"/>
    <row r="710" ht="14.25" customHeight="1" spans="1:33" x14ac:dyDescent="0.25"/>
    <row r="711" ht="14.25" customHeight="1" spans="1:33" x14ac:dyDescent="0.25"/>
    <row r="712" ht="14.25" customHeight="1" spans="1:33" x14ac:dyDescent="0.25"/>
    <row r="713" ht="14.25" customHeight="1" spans="1:33" x14ac:dyDescent="0.25"/>
    <row r="714" ht="14.25" customHeight="1" spans="1:33" x14ac:dyDescent="0.25"/>
    <row r="715" ht="14.25" customHeight="1" spans="1:33" x14ac:dyDescent="0.25"/>
    <row r="716" ht="14.25" customHeight="1" spans="1:33" x14ac:dyDescent="0.25"/>
    <row r="717" ht="14.25" customHeight="1" spans="1:33" x14ac:dyDescent="0.25"/>
    <row r="718" ht="14.25" customHeight="1" spans="1:33" x14ac:dyDescent="0.25"/>
    <row r="719" ht="14.25" customHeight="1" spans="1:33" x14ac:dyDescent="0.25"/>
    <row r="720" ht="14.25" customHeight="1" spans="1:33" x14ac:dyDescent="0.25"/>
    <row r="721" ht="14.25" customHeight="1" spans="1:33" x14ac:dyDescent="0.25"/>
    <row r="722" ht="14.25" customHeight="1" spans="1:33" x14ac:dyDescent="0.25"/>
    <row r="723" ht="14.25" customHeight="1" spans="1:33" x14ac:dyDescent="0.25"/>
    <row r="724" ht="14.25" customHeight="1" spans="1:33" x14ac:dyDescent="0.25"/>
    <row r="725" ht="14.25" customHeight="1" spans="1:33" x14ac:dyDescent="0.25"/>
    <row r="726" ht="14.25" customHeight="1" spans="1:33" x14ac:dyDescent="0.25"/>
    <row r="727" ht="14.25" customHeight="1" spans="1:33" x14ac:dyDescent="0.25"/>
    <row r="728" ht="14.25" customHeight="1" spans="1:33" x14ac:dyDescent="0.25"/>
    <row r="729" ht="14.25" customHeight="1" spans="1:33" x14ac:dyDescent="0.25"/>
    <row r="730" ht="14.25" customHeight="1" spans="1:33" x14ac:dyDescent="0.25"/>
    <row r="731" ht="14.25" customHeight="1" spans="1:33" x14ac:dyDescent="0.25"/>
    <row r="732" ht="14.25" customHeight="1" spans="1:33" x14ac:dyDescent="0.25"/>
    <row r="733" ht="14.25" customHeight="1" spans="1:33" x14ac:dyDescent="0.25"/>
    <row r="734" ht="14.25" customHeight="1" spans="1:33" x14ac:dyDescent="0.25"/>
    <row r="735" ht="14.25" customHeight="1" spans="1:33" x14ac:dyDescent="0.25"/>
    <row r="736" ht="14.25" customHeight="1" spans="1:33" x14ac:dyDescent="0.25"/>
    <row r="737" ht="14.25" customHeight="1" spans="1:33" x14ac:dyDescent="0.25"/>
    <row r="738" ht="14.25" customHeight="1" spans="1:33" x14ac:dyDescent="0.25"/>
    <row r="739" ht="14.25" customHeight="1" spans="1:33" x14ac:dyDescent="0.25"/>
    <row r="740" ht="14.25" customHeight="1" spans="1:33" x14ac:dyDescent="0.25"/>
    <row r="741" ht="14.25" customHeight="1" spans="1:33" x14ac:dyDescent="0.25"/>
    <row r="742" ht="14.25" customHeight="1" spans="1:33" x14ac:dyDescent="0.25"/>
    <row r="743" ht="14.25" customHeight="1" spans="1:33" x14ac:dyDescent="0.25"/>
    <row r="744" ht="14.25" customHeight="1" spans="1:33" x14ac:dyDescent="0.25"/>
    <row r="745" ht="14.25" customHeight="1" spans="1:33" x14ac:dyDescent="0.25"/>
    <row r="746" ht="14.25" customHeight="1" spans="1:33" x14ac:dyDescent="0.25"/>
    <row r="747" ht="14.25" customHeight="1" spans="1:33" x14ac:dyDescent="0.25"/>
    <row r="748" ht="14.25" customHeight="1" spans="1:33" x14ac:dyDescent="0.25"/>
    <row r="749" ht="14.25" customHeight="1" spans="1:33" x14ac:dyDescent="0.25"/>
    <row r="750" ht="14.25" customHeight="1" spans="1:33" x14ac:dyDescent="0.25"/>
    <row r="751" ht="14.25" customHeight="1" spans="1:33" x14ac:dyDescent="0.25"/>
    <row r="752" ht="14.25" customHeight="1" spans="1:33" x14ac:dyDescent="0.25"/>
    <row r="753" ht="14.25" customHeight="1" spans="1:33" x14ac:dyDescent="0.25"/>
    <row r="754" ht="14.25" customHeight="1" spans="1:33" x14ac:dyDescent="0.25"/>
    <row r="755" ht="14.25" customHeight="1" spans="1:33" x14ac:dyDescent="0.25"/>
    <row r="756" ht="14.25" customHeight="1" spans="1:33" x14ac:dyDescent="0.25"/>
    <row r="757" ht="14.25" customHeight="1" spans="1:33" x14ac:dyDescent="0.25"/>
    <row r="758" ht="14.25" customHeight="1" spans="1:33" x14ac:dyDescent="0.25"/>
    <row r="759" ht="14.25" customHeight="1" spans="1:33" x14ac:dyDescent="0.25"/>
    <row r="760" ht="14.25" customHeight="1" spans="1:33" x14ac:dyDescent="0.25"/>
    <row r="761" ht="14.25" customHeight="1" spans="1:33" x14ac:dyDescent="0.25"/>
    <row r="762" ht="14.25" customHeight="1" spans="1:33" x14ac:dyDescent="0.25"/>
    <row r="763" ht="14.25" customHeight="1" spans="1:33" x14ac:dyDescent="0.25"/>
    <row r="764" ht="14.25" customHeight="1" spans="1:33" x14ac:dyDescent="0.25"/>
    <row r="765" ht="14.25" customHeight="1" spans="1:33" x14ac:dyDescent="0.25"/>
    <row r="766" ht="14.25" customHeight="1" spans="1:33" x14ac:dyDescent="0.25"/>
    <row r="767" ht="14.25" customHeight="1" spans="1:33" x14ac:dyDescent="0.25"/>
    <row r="768" ht="14.25" customHeight="1" spans="1:33" x14ac:dyDescent="0.25"/>
    <row r="769" ht="14.25" customHeight="1" spans="1:33" x14ac:dyDescent="0.25"/>
    <row r="770" ht="14.25" customHeight="1" spans="1:33" x14ac:dyDescent="0.25"/>
    <row r="771" ht="14.25" customHeight="1" spans="1:33" x14ac:dyDescent="0.25"/>
    <row r="772" ht="14.25" customHeight="1" spans="1:33" x14ac:dyDescent="0.25"/>
    <row r="773" ht="14.25" customHeight="1" spans="1:33" x14ac:dyDescent="0.25"/>
    <row r="774" ht="14.25" customHeight="1" spans="1:33" x14ac:dyDescent="0.25"/>
    <row r="775" ht="14.25" customHeight="1" spans="1:33" x14ac:dyDescent="0.25"/>
    <row r="776" ht="14.25" customHeight="1" spans="1:33" x14ac:dyDescent="0.25"/>
    <row r="777" ht="14.25" customHeight="1" spans="1:33" x14ac:dyDescent="0.25"/>
    <row r="778" ht="14.25" customHeight="1" spans="1:33" x14ac:dyDescent="0.25"/>
    <row r="779" ht="14.25" customHeight="1" spans="1:33" x14ac:dyDescent="0.25"/>
    <row r="780" ht="14.25" customHeight="1" spans="1:33" x14ac:dyDescent="0.25"/>
    <row r="781" ht="14.25" customHeight="1" spans="1:33" x14ac:dyDescent="0.25"/>
    <row r="782" ht="14.25" customHeight="1" spans="1:33" x14ac:dyDescent="0.25"/>
    <row r="783" ht="14.25" customHeight="1" spans="1:33" x14ac:dyDescent="0.25"/>
    <row r="784" ht="14.25" customHeight="1" spans="1:33" x14ac:dyDescent="0.25"/>
    <row r="785" ht="14.25" customHeight="1" spans="1:33" x14ac:dyDescent="0.25"/>
    <row r="786" ht="14.25" customHeight="1" spans="1:33" x14ac:dyDescent="0.25"/>
    <row r="787" ht="14.25" customHeight="1" spans="1:33" x14ac:dyDescent="0.25"/>
    <row r="788" ht="14.25" customHeight="1" spans="1:33" x14ac:dyDescent="0.25"/>
    <row r="789" ht="14.25" customHeight="1" spans="1:33" x14ac:dyDescent="0.25"/>
    <row r="790" ht="14.25" customHeight="1" spans="1:33" x14ac:dyDescent="0.25"/>
    <row r="791" ht="14.25" customHeight="1" spans="1:33" x14ac:dyDescent="0.25"/>
    <row r="792" ht="14.25" customHeight="1" spans="1:33" x14ac:dyDescent="0.25"/>
    <row r="793" ht="14.25" customHeight="1" spans="1:33" x14ac:dyDescent="0.25"/>
    <row r="794" ht="14.25" customHeight="1" spans="1:33" x14ac:dyDescent="0.25"/>
    <row r="795" ht="14.25" customHeight="1" spans="1:33" x14ac:dyDescent="0.25"/>
    <row r="796" ht="14.25" customHeight="1" spans="1:33" x14ac:dyDescent="0.25"/>
    <row r="797" ht="14.25" customHeight="1" spans="1:33" x14ac:dyDescent="0.25"/>
    <row r="798" ht="14.25" customHeight="1" spans="1:33" x14ac:dyDescent="0.25"/>
    <row r="799" ht="14.25" customHeight="1" spans="1:33" x14ac:dyDescent="0.25"/>
    <row r="800" ht="14.25" customHeight="1" spans="1:33" x14ac:dyDescent="0.25"/>
    <row r="801" ht="14.25" customHeight="1" spans="1:33" x14ac:dyDescent="0.25"/>
    <row r="802" ht="14.25" customHeight="1" spans="1:33" x14ac:dyDescent="0.25"/>
    <row r="803" ht="14.25" customHeight="1" spans="1:33" x14ac:dyDescent="0.25"/>
    <row r="804" ht="14.25" customHeight="1" spans="1:33" x14ac:dyDescent="0.25"/>
    <row r="805" ht="14.25" customHeight="1" spans="1:33" x14ac:dyDescent="0.25"/>
    <row r="806" ht="14.25" customHeight="1" spans="1:33" x14ac:dyDescent="0.25"/>
    <row r="807" ht="14.25" customHeight="1" spans="1:33" x14ac:dyDescent="0.25"/>
    <row r="808" ht="14.25" customHeight="1" spans="1:33" x14ac:dyDescent="0.25"/>
    <row r="809" ht="14.25" customHeight="1" spans="1:33" x14ac:dyDescent="0.25"/>
    <row r="810" ht="14.25" customHeight="1" spans="1:33" x14ac:dyDescent="0.25"/>
    <row r="811" ht="14.25" customHeight="1" spans="1:33" x14ac:dyDescent="0.25"/>
    <row r="812" ht="14.25" customHeight="1" spans="1:33" x14ac:dyDescent="0.25"/>
    <row r="813" ht="14.25" customHeight="1" spans="1:33" x14ac:dyDescent="0.25"/>
    <row r="814" ht="14.25" customHeight="1" spans="1:33" x14ac:dyDescent="0.25"/>
    <row r="815" ht="14.25" customHeight="1" spans="1:33" x14ac:dyDescent="0.25"/>
    <row r="816" ht="14.25" customHeight="1" spans="1:33" x14ac:dyDescent="0.25"/>
    <row r="817" ht="14.25" customHeight="1" spans="1:33" x14ac:dyDescent="0.25"/>
    <row r="818" ht="14.25" customHeight="1" spans="1:33" x14ac:dyDescent="0.25"/>
    <row r="819" ht="14.25" customHeight="1" spans="1:33" x14ac:dyDescent="0.25"/>
    <row r="820" ht="14.25" customHeight="1" spans="1:33" x14ac:dyDescent="0.25"/>
    <row r="821" ht="14.25" customHeight="1" spans="1:33" x14ac:dyDescent="0.25"/>
    <row r="822" ht="14.25" customHeight="1" spans="1:33" x14ac:dyDescent="0.25"/>
    <row r="823" ht="14.25" customHeight="1" spans="1:33" x14ac:dyDescent="0.25"/>
    <row r="824" ht="14.25" customHeight="1" spans="1:33" x14ac:dyDescent="0.25"/>
    <row r="825" ht="14.25" customHeight="1" spans="1:33" x14ac:dyDescent="0.25"/>
    <row r="826" ht="14.25" customHeight="1" spans="1:33" x14ac:dyDescent="0.25"/>
    <row r="827" ht="14.25" customHeight="1" spans="1:33" x14ac:dyDescent="0.25"/>
    <row r="828" ht="14.25" customHeight="1" spans="1:33" x14ac:dyDescent="0.25"/>
    <row r="829" ht="14.25" customHeight="1" spans="1:33" x14ac:dyDescent="0.25"/>
    <row r="830" ht="14.25" customHeight="1" spans="1:33" x14ac:dyDescent="0.25"/>
    <row r="831" ht="14.25" customHeight="1" spans="1:33" x14ac:dyDescent="0.25"/>
    <row r="832" ht="14.25" customHeight="1" spans="1:33" x14ac:dyDescent="0.25"/>
    <row r="833" ht="14.25" customHeight="1" spans="1:33" x14ac:dyDescent="0.25"/>
    <row r="834" ht="14.25" customHeight="1" spans="1:33" x14ac:dyDescent="0.25"/>
    <row r="835" ht="14.25" customHeight="1" spans="1:33" x14ac:dyDescent="0.25"/>
    <row r="836" ht="14.25" customHeight="1" spans="1:33" x14ac:dyDescent="0.25"/>
    <row r="837" ht="14.25" customHeight="1" spans="1:33" x14ac:dyDescent="0.25"/>
    <row r="838" ht="14.25" customHeight="1" spans="1:33" x14ac:dyDescent="0.25"/>
    <row r="839" ht="14.25" customHeight="1" spans="1:33" x14ac:dyDescent="0.25"/>
    <row r="840" ht="14.25" customHeight="1" spans="1:33" x14ac:dyDescent="0.25"/>
    <row r="841" ht="14.25" customHeight="1" spans="1:33" x14ac:dyDescent="0.25"/>
    <row r="842" ht="14.25" customHeight="1" spans="1:33" x14ac:dyDescent="0.25"/>
    <row r="843" ht="14.25" customHeight="1" spans="1:33" x14ac:dyDescent="0.25"/>
    <row r="844" ht="14.25" customHeight="1" spans="1:33" x14ac:dyDescent="0.25"/>
    <row r="845" ht="14.25" customHeight="1" spans="1:33" x14ac:dyDescent="0.25"/>
    <row r="846" ht="14.25" customHeight="1" spans="1:33" x14ac:dyDescent="0.25"/>
    <row r="847" ht="14.25" customHeight="1" spans="1:33" x14ac:dyDescent="0.25"/>
    <row r="848" ht="14.25" customHeight="1" spans="1:33" x14ac:dyDescent="0.25"/>
    <row r="849" ht="14.25" customHeight="1" spans="1:33" x14ac:dyDescent="0.25"/>
    <row r="850" ht="14.25" customHeight="1" spans="1:33" x14ac:dyDescent="0.25"/>
    <row r="851" ht="14.25" customHeight="1" spans="1:33" x14ac:dyDescent="0.25"/>
    <row r="852" ht="14.25" customHeight="1" spans="1:33" x14ac:dyDescent="0.25"/>
    <row r="853" ht="14.25" customHeight="1" spans="1:33" x14ac:dyDescent="0.25"/>
    <row r="854" ht="14.25" customHeight="1" spans="1:33" x14ac:dyDescent="0.25"/>
    <row r="855" ht="14.25" customHeight="1" spans="1:33" x14ac:dyDescent="0.25"/>
    <row r="856" ht="14.25" customHeight="1" spans="1:33" x14ac:dyDescent="0.25"/>
    <row r="857" ht="14.25" customHeight="1" spans="1:33" x14ac:dyDescent="0.25"/>
    <row r="858" ht="14.25" customHeight="1" spans="1:33" x14ac:dyDescent="0.25"/>
    <row r="859" ht="14.25" customHeight="1" spans="1:33" x14ac:dyDescent="0.25"/>
    <row r="860" ht="14.25" customHeight="1" spans="1:33" x14ac:dyDescent="0.25"/>
    <row r="861" ht="14.25" customHeight="1" spans="1:33" x14ac:dyDescent="0.25"/>
    <row r="862" ht="14.25" customHeight="1" spans="1:33" x14ac:dyDescent="0.25"/>
    <row r="863" ht="14.25" customHeight="1" spans="1:33" x14ac:dyDescent="0.25"/>
    <row r="864" ht="14.25" customHeight="1" spans="1:33" x14ac:dyDescent="0.25"/>
    <row r="865" ht="14.25" customHeight="1" spans="1:33" x14ac:dyDescent="0.25"/>
    <row r="866" ht="14.25" customHeight="1" spans="1:33" x14ac:dyDescent="0.25"/>
    <row r="867" ht="14.25" customHeight="1" spans="1:33" x14ac:dyDescent="0.25"/>
    <row r="868" ht="14.25" customHeight="1" spans="1:33" x14ac:dyDescent="0.25"/>
    <row r="869" ht="14.25" customHeight="1" spans="1:33" x14ac:dyDescent="0.25"/>
    <row r="870" ht="14.25" customHeight="1" spans="1:33" x14ac:dyDescent="0.25"/>
    <row r="871" ht="14.25" customHeight="1" spans="1:33" x14ac:dyDescent="0.25"/>
    <row r="872" ht="14.25" customHeight="1" spans="1:33" x14ac:dyDescent="0.25"/>
    <row r="873" ht="14.25" customHeight="1" spans="1:33" x14ac:dyDescent="0.25"/>
    <row r="874" ht="14.25" customHeight="1" spans="1:33" x14ac:dyDescent="0.25"/>
    <row r="875" ht="14.25" customHeight="1" spans="1:33" x14ac:dyDescent="0.25"/>
    <row r="876" ht="14.25" customHeight="1" spans="1:33" x14ac:dyDescent="0.25"/>
    <row r="877" ht="14.25" customHeight="1" spans="1:33" x14ac:dyDescent="0.25"/>
    <row r="878" ht="14.25" customHeight="1" spans="1:33" x14ac:dyDescent="0.25"/>
    <row r="879" ht="14.25" customHeight="1" spans="1:33" x14ac:dyDescent="0.25"/>
    <row r="880" ht="14.25" customHeight="1" spans="1:33" x14ac:dyDescent="0.25"/>
    <row r="881" ht="14.25" customHeight="1" spans="1:33" x14ac:dyDescent="0.25"/>
    <row r="882" ht="14.25" customHeight="1" spans="1:33" x14ac:dyDescent="0.25"/>
    <row r="883" ht="14.25" customHeight="1" spans="1:33" x14ac:dyDescent="0.25"/>
    <row r="884" ht="14.25" customHeight="1" spans="1:33" x14ac:dyDescent="0.25"/>
    <row r="885" ht="14.25" customHeight="1" spans="1:33" x14ac:dyDescent="0.25"/>
    <row r="886" ht="14.25" customHeight="1" spans="1:33" x14ac:dyDescent="0.25"/>
    <row r="887" ht="14.25" customHeight="1" spans="1:33" x14ac:dyDescent="0.25"/>
    <row r="888" ht="14.25" customHeight="1" spans="1:33" x14ac:dyDescent="0.25"/>
    <row r="889" ht="14.25" customHeight="1" spans="1:33" x14ac:dyDescent="0.25"/>
    <row r="890" ht="14.25" customHeight="1" spans="1:33" x14ac:dyDescent="0.25"/>
    <row r="891" ht="14.25" customHeight="1" spans="1:33" x14ac:dyDescent="0.25"/>
    <row r="892" ht="14.25" customHeight="1" spans="1:33" x14ac:dyDescent="0.25"/>
    <row r="893" ht="14.25" customHeight="1" spans="1:33" x14ac:dyDescent="0.25"/>
    <row r="894" ht="14.25" customHeight="1" spans="1:33" x14ac:dyDescent="0.25"/>
    <row r="895" ht="14.25" customHeight="1" spans="1:33" x14ac:dyDescent="0.25"/>
    <row r="896" ht="14.25" customHeight="1" spans="1:33" x14ac:dyDescent="0.25"/>
    <row r="897" ht="14.25" customHeight="1" spans="1:33" x14ac:dyDescent="0.25"/>
    <row r="898" ht="14.25" customHeight="1" spans="1:33" x14ac:dyDescent="0.25"/>
    <row r="899" ht="14.25" customHeight="1" spans="1:33" x14ac:dyDescent="0.25"/>
    <row r="900" ht="14.25" customHeight="1" spans="1:33" x14ac:dyDescent="0.25"/>
    <row r="901" ht="14.25" customHeight="1" spans="1:33" x14ac:dyDescent="0.25"/>
    <row r="902" ht="14.25" customHeight="1" spans="1:33" x14ac:dyDescent="0.25"/>
    <row r="903" ht="14.25" customHeight="1" spans="1:33" x14ac:dyDescent="0.25"/>
    <row r="904" ht="14.25" customHeight="1" spans="1:33" x14ac:dyDescent="0.25"/>
    <row r="905" ht="14.25" customHeight="1" spans="1:33" x14ac:dyDescent="0.25"/>
    <row r="906" ht="14.25" customHeight="1" spans="1:33" x14ac:dyDescent="0.25"/>
    <row r="907" ht="14.25" customHeight="1" spans="1:33" x14ac:dyDescent="0.25"/>
    <row r="908" ht="14.25" customHeight="1" spans="1:33" x14ac:dyDescent="0.25"/>
    <row r="909" ht="14.25" customHeight="1" spans="1:33" x14ac:dyDescent="0.25"/>
    <row r="910" ht="14.25" customHeight="1" spans="1:33" x14ac:dyDescent="0.25"/>
    <row r="911" ht="14.25" customHeight="1" spans="1:33" x14ac:dyDescent="0.25"/>
    <row r="912" ht="14.25" customHeight="1" spans="1:33" x14ac:dyDescent="0.25"/>
    <row r="913" ht="14.25" customHeight="1" spans="1:33" x14ac:dyDescent="0.25"/>
    <row r="914" ht="14.25" customHeight="1" spans="1:33" x14ac:dyDescent="0.25"/>
    <row r="915" ht="14.25" customHeight="1" spans="1:33" x14ac:dyDescent="0.25"/>
    <row r="916" ht="14.25" customHeight="1" spans="1:33" x14ac:dyDescent="0.25"/>
    <row r="917" ht="14.25" customHeight="1" spans="1:33" x14ac:dyDescent="0.25"/>
    <row r="918" ht="14.25" customHeight="1" spans="1:33" x14ac:dyDescent="0.25"/>
    <row r="919" ht="14.25" customHeight="1" spans="1:33" x14ac:dyDescent="0.25"/>
    <row r="920" ht="14.25" customHeight="1" spans="1:33" x14ac:dyDescent="0.25"/>
    <row r="921" ht="14.25" customHeight="1" spans="1:33" x14ac:dyDescent="0.25"/>
    <row r="922" ht="14.25" customHeight="1" spans="1:33" x14ac:dyDescent="0.25"/>
    <row r="923" ht="14.25" customHeight="1" spans="1:33" x14ac:dyDescent="0.25"/>
    <row r="924" ht="14.25" customHeight="1" spans="1:33" x14ac:dyDescent="0.25"/>
    <row r="925" ht="14.25" customHeight="1" spans="1:33" x14ac:dyDescent="0.25"/>
    <row r="926" ht="14.25" customHeight="1" spans="1:33" x14ac:dyDescent="0.25"/>
    <row r="927" ht="14.25" customHeight="1" spans="1:33" x14ac:dyDescent="0.25"/>
    <row r="928" ht="14.25" customHeight="1" spans="1:33" x14ac:dyDescent="0.25"/>
    <row r="929" ht="14.25" customHeight="1" spans="1:33" x14ac:dyDescent="0.25"/>
    <row r="930" ht="14.25" customHeight="1" spans="1:33" x14ac:dyDescent="0.25"/>
    <row r="931" ht="14.25" customHeight="1" spans="1:33" x14ac:dyDescent="0.25"/>
    <row r="932" ht="14.25" customHeight="1" spans="1:33" x14ac:dyDescent="0.25"/>
    <row r="933" ht="14.25" customHeight="1" spans="1:33" x14ac:dyDescent="0.25"/>
    <row r="934" ht="14.25" customHeight="1" spans="1:33" x14ac:dyDescent="0.25"/>
    <row r="935" ht="14.25" customHeight="1" spans="1:33" x14ac:dyDescent="0.25"/>
    <row r="936" ht="14.25" customHeight="1" spans="1:33" x14ac:dyDescent="0.25"/>
    <row r="937" ht="14.25" customHeight="1" spans="1:33" x14ac:dyDescent="0.25"/>
    <row r="938" ht="14.25" customHeight="1" spans="1:33" x14ac:dyDescent="0.25"/>
    <row r="939" ht="14.25" customHeight="1" spans="1:33" x14ac:dyDescent="0.25"/>
    <row r="940" ht="14.25" customHeight="1" spans="1:33" x14ac:dyDescent="0.25"/>
    <row r="941" ht="14.25" customHeight="1" spans="1:33" x14ac:dyDescent="0.25"/>
    <row r="942" ht="14.25" customHeight="1" spans="1:33" x14ac:dyDescent="0.25"/>
    <row r="943" ht="14.25" customHeight="1" spans="1:33" x14ac:dyDescent="0.25"/>
    <row r="944" ht="14.25" customHeight="1" spans="1:33" x14ac:dyDescent="0.25"/>
    <row r="945" ht="14.25" customHeight="1" spans="1:33" x14ac:dyDescent="0.25"/>
    <row r="946" ht="14.25" customHeight="1" spans="1:33" x14ac:dyDescent="0.25"/>
    <row r="947" ht="14.25" customHeight="1" spans="1:33" x14ac:dyDescent="0.25"/>
    <row r="948" ht="14.25" customHeight="1" spans="1:33" x14ac:dyDescent="0.25"/>
    <row r="949" ht="14.25" customHeight="1" spans="1:33" x14ac:dyDescent="0.25"/>
    <row r="950" ht="14.25" customHeight="1" spans="1:33" x14ac:dyDescent="0.25"/>
    <row r="951" ht="14.25" customHeight="1" spans="1:33" x14ac:dyDescent="0.25"/>
    <row r="952" ht="14.25" customHeight="1" spans="1:33" x14ac:dyDescent="0.25"/>
    <row r="953" ht="14.25" customHeight="1" spans="1:33" x14ac:dyDescent="0.25"/>
    <row r="954" ht="14.25" customHeight="1" spans="1:33" x14ac:dyDescent="0.25"/>
    <row r="955" ht="14.25" customHeight="1" spans="1:33" x14ac:dyDescent="0.25"/>
    <row r="956" ht="14.25" customHeight="1" spans="1:33" x14ac:dyDescent="0.25"/>
    <row r="957" ht="14.25" customHeight="1" spans="1:33" x14ac:dyDescent="0.25"/>
    <row r="958" ht="14.25" customHeight="1" spans="1:33" x14ac:dyDescent="0.25"/>
    <row r="959" ht="14.25" customHeight="1" spans="1:33" x14ac:dyDescent="0.25"/>
    <row r="960" ht="14.25" customHeight="1" spans="1:33" x14ac:dyDescent="0.25"/>
    <row r="961" ht="14.25" customHeight="1" spans="1:33" x14ac:dyDescent="0.25"/>
    <row r="962" ht="14.25" customHeight="1" spans="1:33" x14ac:dyDescent="0.25"/>
    <row r="963" ht="14.25" customHeight="1" spans="1:33" x14ac:dyDescent="0.25"/>
    <row r="964" ht="14.25" customHeight="1" spans="1:33" x14ac:dyDescent="0.25"/>
    <row r="965" ht="14.25" customHeight="1" spans="1:33" x14ac:dyDescent="0.25"/>
    <row r="966" ht="14.25" customHeight="1" spans="1:33" x14ac:dyDescent="0.25"/>
    <row r="967" ht="14.25" customHeight="1" spans="1:33" x14ac:dyDescent="0.25"/>
    <row r="968" ht="14.25" customHeight="1" spans="1:33" x14ac:dyDescent="0.25"/>
    <row r="969" ht="14.25" customHeight="1" spans="1:33" x14ac:dyDescent="0.25"/>
    <row r="970" ht="14.25" customHeight="1" spans="1:33" x14ac:dyDescent="0.25"/>
    <row r="971" ht="14.25" customHeight="1" spans="1:33" x14ac:dyDescent="0.25"/>
    <row r="972" ht="14.25" customHeight="1" spans="1:33" x14ac:dyDescent="0.25"/>
    <row r="973" ht="14.25" customHeight="1" spans="1:33" x14ac:dyDescent="0.25"/>
    <row r="974" ht="14.25" customHeight="1" spans="1:33" x14ac:dyDescent="0.25"/>
    <row r="975" ht="14.25" customHeight="1" spans="1:33" x14ac:dyDescent="0.25"/>
    <row r="976" ht="14.25" customHeight="1" spans="1:33" x14ac:dyDescent="0.25"/>
    <row r="977" ht="14.25" customHeight="1" spans="1:33" x14ac:dyDescent="0.25"/>
    <row r="978" ht="14.25" customHeight="1" spans="1:33" x14ac:dyDescent="0.25"/>
    <row r="979" ht="14.25" customHeight="1" spans="1:33" x14ac:dyDescent="0.25"/>
    <row r="980" ht="14.25" customHeight="1" spans="1:33" x14ac:dyDescent="0.25"/>
    <row r="981" ht="14.25" customHeight="1" spans="1:33" x14ac:dyDescent="0.25"/>
    <row r="982" ht="14.25" customHeight="1" spans="1:33" x14ac:dyDescent="0.25"/>
    <row r="983" ht="14.25" customHeight="1" spans="1:33" x14ac:dyDescent="0.25"/>
    <row r="984" ht="14.25" customHeight="1" spans="1:33" x14ac:dyDescent="0.25"/>
    <row r="985" ht="14.25" customHeight="1" spans="1:33" x14ac:dyDescent="0.25"/>
    <row r="986" ht="14.25" customHeight="1" spans="1:33" x14ac:dyDescent="0.25"/>
    <row r="987" ht="14.25" customHeight="1" spans="1:33" x14ac:dyDescent="0.25"/>
    <row r="988" ht="14.25" customHeight="1" spans="1:33" x14ac:dyDescent="0.25"/>
    <row r="989" ht="14.25" customHeight="1" spans="1:33" x14ac:dyDescent="0.25"/>
    <row r="990" ht="14.25" customHeight="1" spans="1:33" x14ac:dyDescent="0.25"/>
    <row r="991" ht="14.25" customHeight="1" spans="1:33" x14ac:dyDescent="0.25"/>
    <row r="992" ht="14.25" customHeight="1" spans="1:33" x14ac:dyDescent="0.25"/>
    <row r="993" ht="14.25" customHeight="1" spans="1:33" x14ac:dyDescent="0.25"/>
    <row r="994" ht="14.25" customHeight="1" spans="1:33" x14ac:dyDescent="0.25"/>
    <row r="995" ht="14.25" customHeight="1" spans="1:33" x14ac:dyDescent="0.25"/>
    <row r="996" ht="14.25" customHeight="1" spans="1:33" x14ac:dyDescent="0.25"/>
    <row r="997" ht="14.25" customHeight="1" spans="1:33" x14ac:dyDescent="0.25"/>
    <row r="998" ht="14.25" customHeight="1" spans="1:33" x14ac:dyDescent="0.25"/>
    <row r="999" ht="14.25" customHeight="1" spans="1:33" x14ac:dyDescent="0.25"/>
    <row r="1000" ht="14.25" customHeight="1" spans="1:33" x14ac:dyDescent="0.25"/>
  </sheetData>
  <pageMargins left="0.7" right="0.7" top="0.75" bottom="0.75" header="0" footer="0"/>
  <pageSetup orientation="landscape" horizontalDpi="4294967295" verticalDpi="4294967295" scale="100" fitToWidth="1" fitToHeight="1" firstPageNumber="1" useFirstPageNumber="1" copies="1"/>
  <legacy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355F"/>
  </sheetPr>
  <dimension ref="A1:AI1000"/>
  <sheetViews>
    <sheetView workbookViewId="0" showGridLines="0" zoomScale="100" zoomScaleNormal="100">
      <pane xSplit="4" ySplit="2" topLeftCell="E3" activePane="bottomRight" state="frozen"/>
      <selection pane="bottomRight" activeCell="E3" sqref="E3"/>
    </sheetView>
  </sheetViews>
  <sheetFormatPr defaultRowHeight="15" outlineLevelRow="0" outlineLevelCol="1" x14ac:dyDescent="0" defaultColWidth="14.5"/>
  <cols>
    <col min="1" max="2" width="1.6640625" customWidth="1"/>
    <col min="3" max="3" width="51.33203125" customWidth="1"/>
    <col min="4" max="5" width="1.6640625" customWidth="1"/>
    <col min="6" max="9" width="12.6640625" outlineLevel="1" collapsed="1" customWidth="1"/>
    <col min="10" max="10" width="12.6640625" customWidth="1"/>
    <col min="11" max="14" width="12.6640625" outlineLevel="1" collapsed="1" customWidth="1"/>
    <col min="15" max="15" width="12.6640625" customWidth="1"/>
    <col min="16" max="19" width="12.6640625" outlineLevel="1" collapsed="1" customWidth="1"/>
    <col min="20" max="20" width="12.6640625" customWidth="1"/>
    <col min="21" max="23" width="12.6640625" outlineLevel="1" collapsed="1" customWidth="1"/>
    <col min="24" max="24" width="10.33203125" outlineLevel="1" collapsed="1" customWidth="1"/>
    <col min="25" max="25" width="12.6640625" customWidth="1"/>
    <col min="26" max="26" width="10.33203125" outlineLevel="1" collapsed="1" customWidth="1"/>
    <col min="27" max="27" width="11.5" outlineLevel="1" collapsed="1" customWidth="1"/>
    <col min="28" max="28" width="9.5" outlineLevel="1" collapsed="1" customWidth="1"/>
    <col min="29" max="29" width="10.33203125" outlineLevel="1" collapsed="1" customWidth="1"/>
    <col min="30" max="33" width="12.6640625" customWidth="1"/>
    <col min="34" max="35" width="1.6640625" customWidth="1"/>
  </cols>
  <sheetData>
    <row r="1" ht="12.75" customHeight="1" spans="1:35" x14ac:dyDescent="0.25">
      <c r="A1" s="11"/>
      <c r="B1" s="11"/>
      <c r="C1" s="12" t="str">
        <f ca="1">Company_Name&amp;" - "&amp;MID(CELL("filename",A1),FIND("]",CELL("filename",A1))+1,255)&amp;": "&amp;Case_Scenario&amp;" Case"</f>
        <v>Lowe's Companies, Inc. - Drivers: Base Case</v>
      </c>
      <c r="D1" s="11"/>
      <c r="E1" s="11"/>
      <c r="F1" s="11"/>
      <c r="G1" s="11"/>
      <c r="H1" s="11"/>
      <c r="I1" s="11"/>
      <c r="J1" s="11"/>
      <c r="K1" s="11"/>
      <c r="L1" s="11"/>
      <c r="M1" s="11"/>
      <c r="N1" s="11"/>
      <c r="O1" s="11"/>
      <c r="P1" s="11"/>
      <c r="Q1" s="11"/>
      <c r="R1" s="11"/>
      <c r="S1" s="11"/>
      <c r="T1" s="11"/>
      <c r="U1" s="11"/>
      <c r="V1" s="11"/>
      <c r="W1" s="11"/>
      <c r="X1" s="11"/>
      <c r="Y1" s="11"/>
      <c r="Z1" s="11"/>
      <c r="AA1" s="11"/>
      <c r="AB1" s="11"/>
      <c r="AC1" s="11"/>
      <c r="AD1" s="11"/>
      <c r="AE1" s="11"/>
      <c r="AF1" s="11"/>
      <c r="AG1" s="11"/>
      <c r="AH1" s="11"/>
      <c r="AI1" s="11"/>
    </row>
    <row r="2" ht="12.75" customHeight="1" spans="1:35" x14ac:dyDescent="0.25">
      <c r="A2" s="4"/>
      <c r="B2" s="4"/>
      <c r="C2" s="14" t="str">
        <f ca="1">Cover!C2</f>
        <v>$ in Millions Except Per Share Data</v>
      </c>
      <c r="D2" s="4"/>
      <c r="E2" s="4"/>
      <c r="F2" s="4"/>
      <c r="G2" s="4"/>
      <c r="H2" s="4"/>
      <c r="I2" s="4"/>
      <c r="J2" s="4"/>
      <c r="K2" s="4"/>
      <c r="L2" s="4"/>
      <c r="M2" s="4"/>
      <c r="N2" s="4"/>
      <c r="O2" s="4"/>
      <c r="P2" s="4"/>
      <c r="Q2" s="4"/>
      <c r="R2" s="4"/>
      <c r="S2" s="4"/>
      <c r="T2" s="4"/>
      <c r="U2" s="4"/>
      <c r="V2" s="4"/>
      <c r="W2" s="4"/>
      <c r="X2" s="4"/>
      <c r="Y2" s="4"/>
      <c r="Z2" s="4"/>
      <c r="AA2" s="4"/>
      <c r="AB2" s="4"/>
      <c r="AC2" s="4"/>
      <c r="AD2" s="4"/>
      <c r="AE2" s="4"/>
      <c r="AF2" s="4"/>
      <c r="AG2" s="4"/>
      <c r="AH2" s="4"/>
      <c r="AI2" s="4"/>
    </row>
    <row r="3" ht="12.75" customHeight="1" spans="1:35" x14ac:dyDescent="0.25">
      <c r="A3" s="5"/>
      <c r="B3" s="16"/>
      <c r="C3" s="16"/>
      <c r="D3" s="16"/>
      <c r="E3" s="16"/>
      <c r="F3" s="16"/>
      <c r="G3" s="16"/>
      <c r="H3" s="16"/>
      <c r="I3" s="16"/>
      <c r="J3" s="16"/>
      <c r="K3" s="16"/>
      <c r="L3" s="16"/>
      <c r="M3" s="16"/>
      <c r="N3" s="16"/>
      <c r="O3" s="16"/>
      <c r="P3" s="16"/>
      <c r="Q3" s="16"/>
      <c r="R3" s="16"/>
      <c r="S3" s="16"/>
      <c r="T3" s="16"/>
      <c r="U3" s="16"/>
      <c r="V3" s="16"/>
      <c r="W3" s="16"/>
      <c r="X3" s="16"/>
      <c r="Y3" s="16"/>
      <c r="Z3" s="16"/>
      <c r="AA3" s="16"/>
      <c r="AB3" s="16"/>
      <c r="AC3" s="16"/>
      <c r="AD3" s="16"/>
      <c r="AE3" s="16"/>
      <c r="AF3" s="16"/>
      <c r="AG3" s="16"/>
      <c r="AH3" s="16"/>
      <c r="AI3" s="16"/>
    </row>
    <row r="4" ht="12.75" customHeight="1" spans="1:35" x14ac:dyDescent="0.25">
      <c r="A4" s="264" t="s">
        <v>1</v>
      </c>
      <c r="B4" s="16"/>
      <c r="C4" s="350" t="s">
        <v>483</v>
      </c>
      <c r="D4" s="373"/>
      <c r="E4" s="373"/>
      <c r="F4" s="351" t="str">
        <f ca="1">Model!F$25</f>
        <v>1Q23</v>
      </c>
      <c r="G4" s="194" t="str">
        <f ca="1">Model!G$25</f>
        <v>2Q23</v>
      </c>
      <c r="H4" s="194" t="str">
        <f ca="1">Model!H$25</f>
        <v>3Q23</v>
      </c>
      <c r="I4" s="194" t="str">
        <f ca="1">Model!I$25</f>
        <v>4Q23</v>
      </c>
      <c r="J4" s="194">
        <f ca="1">Model!J$25</f>
        <v>2023</v>
      </c>
      <c r="K4" s="194" t="str">
        <f ca="1">Model!K$25</f>
        <v>1Q24</v>
      </c>
      <c r="L4" s="194" t="str">
        <f ca="1">Model!L$25</f>
        <v>2Q24</v>
      </c>
      <c r="M4" s="194" t="str">
        <f ca="1">Model!M$25</f>
        <v>3Q24</v>
      </c>
      <c r="N4" s="194" t="str">
        <f ca="1">Model!N$25</f>
        <v>4Q24</v>
      </c>
      <c r="O4" s="194">
        <f ca="1">Model!O$25</f>
        <v>2024</v>
      </c>
      <c r="P4" s="194" t="str">
        <f ca="1">Model!P$25</f>
        <v>1Q25</v>
      </c>
      <c r="Q4" s="194" t="str">
        <f ca="1">Model!Q$25</f>
        <v>2Q25</v>
      </c>
      <c r="R4" s="194" t="str">
        <f ca="1">Model!R$25</f>
        <v>3Q25</v>
      </c>
      <c r="S4" s="194" t="str">
        <f ca="1">Model!S$25</f>
        <v>4Q25</v>
      </c>
      <c r="T4" s="194">
        <f ca="1">Model!T$25</f>
        <v>2025</v>
      </c>
      <c r="U4" s="194" t="str">
        <f ca="1">Model!U$25</f>
        <v>1Q26</v>
      </c>
      <c r="V4" s="194" t="str">
        <f ca="1">Model!V$25</f>
        <v>2Q26</v>
      </c>
      <c r="W4" s="194" t="str">
        <f ca="1">Model!W$25</f>
        <v>3Q26e</v>
      </c>
      <c r="X4" s="194" t="str">
        <f ca="1">Model!X$25</f>
        <v>4Q26e</v>
      </c>
      <c r="Y4" s="194" t="str">
        <f ca="1">Model!Y$25</f>
        <v>2026e</v>
      </c>
      <c r="Z4" s="194" t="str">
        <f ca="1">Model!Z$25</f>
        <v>1Q27e</v>
      </c>
      <c r="AA4" s="194" t="str">
        <f ca="1">Model!AA$25</f>
        <v>2Q27e</v>
      </c>
      <c r="AB4" s="194" t="str">
        <f ca="1">Model!AB$25</f>
        <v>3Q27e</v>
      </c>
      <c r="AC4" s="194" t="str">
        <f ca="1">Model!AC$25</f>
        <v>4Q27e</v>
      </c>
      <c r="AD4" s="194" t="str">
        <f ca="1">Model!AD$25</f>
        <v>2027e</v>
      </c>
      <c r="AE4" s="194" t="str">
        <f ca="1">Model!AE$25</f>
        <v>2028e</v>
      </c>
      <c r="AF4" s="194" t="str">
        <f ca="1">Model!AF$25</f>
        <v>2029e</v>
      </c>
      <c r="AG4" s="352" t="str">
        <f ca="1">Model!AG$25</f>
        <v>2030e</v>
      </c>
      <c r="AH4" s="264" t="s">
        <v>1</v>
      </c>
      <c r="AI4" s="264"/>
    </row>
    <row r="5" ht="12.75" customHeight="1" spans="1:35" x14ac:dyDescent="0.25">
      <c r="A5" s="264"/>
      <c r="B5" s="16"/>
      <c r="C5" s="507" t="str">
        <f ca="1">IF(Cover!$F$37="Bottom Up","Operating Margins","Gross Margin")</f>
        <v>Gross Margin</v>
      </c>
      <c r="D5" s="508"/>
      <c r="E5" s="508"/>
      <c r="F5" s="509"/>
      <c r="G5" s="510"/>
      <c r="H5" s="510"/>
      <c r="I5" s="510"/>
      <c r="J5" s="510"/>
      <c r="K5" s="510"/>
      <c r="L5" s="510"/>
      <c r="M5" s="510"/>
      <c r="N5" s="510"/>
      <c r="O5" s="510"/>
      <c r="P5" s="510"/>
      <c r="Q5" s="510"/>
      <c r="R5" s="510"/>
      <c r="S5" s="510"/>
      <c r="T5" s="510"/>
      <c r="U5" s="510"/>
      <c r="V5" s="510"/>
      <c r="W5" s="510"/>
      <c r="X5" s="510"/>
      <c r="Y5" s="510"/>
      <c r="Z5" s="510"/>
      <c r="AA5" s="510"/>
      <c r="AB5" s="510"/>
      <c r="AC5" s="510"/>
      <c r="AD5" s="510"/>
      <c r="AE5" s="510"/>
      <c r="AF5" s="510"/>
      <c r="AG5" s="511"/>
      <c r="AH5" s="16"/>
      <c r="AI5" s="16"/>
    </row>
    <row r="6" ht="12.75" customHeight="1" spans="1:35" x14ac:dyDescent="0.25">
      <c r="A6" s="16"/>
      <c r="B6" s="16"/>
      <c r="C6" s="16"/>
      <c r="D6" s="16"/>
      <c r="E6" s="16"/>
      <c r="F6" s="397"/>
      <c r="G6" s="397"/>
      <c r="H6" s="397"/>
      <c r="I6" s="397"/>
      <c r="J6" s="398"/>
      <c r="K6" s="397"/>
      <c r="L6" s="397"/>
      <c r="M6" s="397"/>
      <c r="N6" s="397"/>
      <c r="O6" s="398"/>
      <c r="P6" s="397"/>
      <c r="Q6" s="397"/>
      <c r="R6" s="397"/>
      <c r="S6" s="397"/>
      <c r="T6" s="398"/>
      <c r="U6" s="397"/>
      <c r="V6" s="397"/>
      <c r="W6" s="397"/>
      <c r="X6" s="399"/>
      <c r="Y6" s="398"/>
      <c r="Z6" s="399"/>
      <c r="AA6" s="399"/>
      <c r="AB6" s="399"/>
      <c r="AC6" s="399"/>
      <c r="AD6" s="398"/>
      <c r="AE6" s="398"/>
      <c r="AF6" s="398"/>
      <c r="AG6" s="398"/>
      <c r="AH6" s="16"/>
      <c r="AI6" s="16"/>
    </row>
    <row r="7" ht="12.75" customHeight="1" spans="1:35" x14ac:dyDescent="0.25">
      <c r="A7" s="16"/>
      <c r="B7" s="16"/>
      <c r="C7" s="16" t="str">
        <f ca="1">IF($C$5="Operating Margins",'Segment Analysis'!C16,"Total Company")</f>
        <v>Total Company</v>
      </c>
      <c r="D7" s="16"/>
      <c r="E7" s="16"/>
      <c r="F7" s="377">
        <f ca="1">IF($C$5="Operating Margins",'Segment Analysis'!F155,Model!F66)</f>
        <v>0.34631336405529956</v>
      </c>
      <c r="G7" s="377">
        <f ca="1">IF($C$5="Operating Margins",'Segment Analysis'!G155,Model!G66)</f>
        <v>0.34464764458062047</v>
      </c>
      <c r="H7" s="377">
        <f ca="1">IF($C$5="Operating Margins",'Segment Analysis'!H155,Model!H66)</f>
        <v>0.32500717772035603</v>
      </c>
      <c r="I7" s="377">
        <f ca="1">IF($C$5="Operating Margins",'Segment Analysis'!I155,Model!I66)</f>
        <v>0.2580212194810175</v>
      </c>
      <c r="J7" s="378">
        <f ca="1">IF($C$5="Operating Margins",'Segment Analysis'!J155,Model!J66)</f>
        <v>0.3212497721185264</v>
      </c>
      <c r="K7" s="377">
        <f ca="1">IF($C$5="Operating Margins",'Segment Analysis'!K155,Model!K66)</f>
        <v>0.314582041598557</v>
      </c>
      <c r="L7" s="377">
        <f ca="1">IF($C$5="Operating Margins",'Segment Analysis'!L155,Model!L66)</f>
        <v>0.3210746951219512</v>
      </c>
      <c r="M7" s="377">
        <f ca="1">IF($C$5="Operating Margins",'Segment Analysis'!M155,Model!M66)</f>
        <v>0.3243616287094548</v>
      </c>
      <c r="N7" s="377">
        <f ca="1">IF($C$5="Operating Margins",'Segment Analysis'!N155,Model!N66)</f>
        <v>0.31085043988269795</v>
      </c>
      <c r="O7" s="378">
        <f ca="1">IF($C$5="Operating Margins",'Segment Analysis'!O155,Model!O66)</f>
        <v>0.3179991129345235</v>
      </c>
      <c r="P7" s="377">
        <f ca="1">IF($C$5="Operating Margins",'Segment Analysis'!P155,Model!P66)</f>
        <v>0.3310292249047014</v>
      </c>
      <c r="Q7" s="377">
        <f ca="1">IF($C$5="Operating Margins",'Segment Analysis'!Q155,Model!Q66)</f>
        <v>0.3407808951725148</v>
      </c>
      <c r="R7" s="377">
        <f ca="1">IF($C$5="Operating Margins",'Segment Analysis'!R155,Model!R66)</f>
        <v>0.3272221973194675</v>
      </c>
      <c r="S7" s="377">
        <f ca="1">IF($C$5="Operating Margins",'Segment Analysis'!S155,Model!S66)</f>
        <v>0.31834966274432575</v>
      </c>
      <c r="T7" s="378">
        <f ca="1">IF($C$5="Operating Margins",'Segment Analysis'!T155,Model!T66)</f>
        <v>0.3301784657968459</v>
      </c>
      <c r="U7" s="377">
        <f ca="1">IF($C$5="Operating Margins",'Segment Analysis'!U155,Model!U66)</f>
        <v>0.3328965686675948</v>
      </c>
      <c r="V7" s="377">
        <f ca="1">IF($C$5="Operating Margins",'Segment Analysis'!V155,Model!V66)</f>
        <v>0.33775843307943415</v>
      </c>
      <c r="W7" s="377">
        <f ca="1">IF($C$5="Operating Margins",'Segment Analysis'!W155,Model!W66)</f>
        <v>0.33104982982808273</v>
      </c>
      <c r="X7" s="379">
        <f ca="1">IF(Case_Scenario="Bull",X8,IF(Case_Scenario="Base",X9,IF(Case_Scenario="bear",X10,"N/A")))</f>
        <v>0.13</v>
      </c>
      <c r="Y7" s="378">
        <f ca="1">IF($C$5="Operating Margins",'Segment Analysis'!Y155,Model!Y66)</f>
        <v>0.28815440500361494</v>
      </c>
      <c r="Z7" s="379">
        <f ca="1">IF(Case_Scenario="Bull",Z8,IF(Case_Scenario="Base",Z9,IF(Case_Scenario="bear",Z10,"N/A")))</f>
        <v>0.14</v>
      </c>
      <c r="AA7" s="379">
        <f ca="1">IF(Case_Scenario="Bull",AA8,IF(Case_Scenario="Base",AA9,IF(Case_Scenario="bear",AA10,"N/A")))</f>
        <v>0.145</v>
      </c>
      <c r="AB7" s="379">
        <f ca="1">IF(Case_Scenario="Bull",AB8,IF(Case_Scenario="Base",AB9,IF(Case_Scenario="bear",AB10,"N/A")))</f>
        <v>0.12</v>
      </c>
      <c r="AC7" s="379">
        <f ca="1">IF(Case_Scenario="Bull",AC8,IF(Case_Scenario="Base",AC9,IF(Case_Scenario="bear",AC10,"N/A")))</f>
        <v>0.135</v>
      </c>
      <c r="AD7" s="378">
        <f ca="1">IF($C$5="Operating Margins",'Segment Analysis'!AD155,Model!AD66)</f>
        <v>0.13533005878561802</v>
      </c>
      <c r="AE7" s="378">
        <f ca="1">IF(Case_Scenario="Bull",AE8,IF(Case_Scenario="Base",AE9,IF(Case_Scenario="bear",AE10,"N/A")))</f>
        <v>0.139</v>
      </c>
      <c r="AF7" s="378">
        <f ca="1">IF(Case_Scenario="Bull",AF8,IF(Case_Scenario="Base",AF9,IF(Case_Scenario="bear",AF10,"N/A")))</f>
        <v>0.14</v>
      </c>
      <c r="AG7" s="378">
        <f ca="1">IF(Case_Scenario="Bull",AG8,IF(Case_Scenario="Base",AG9,IF(Case_Scenario="bear",AG10,"N/A")))</f>
        <v>0.142</v>
      </c>
      <c r="AH7" s="16"/>
      <c r="AI7" s="16"/>
    </row>
    <row r="8" ht="12.75" customHeight="1" spans="1:35" x14ac:dyDescent="0.25">
      <c r="A8" s="16"/>
      <c r="B8" s="16"/>
      <c r="C8" s="139" t="str">
        <f ca="1">IF(C7="","","Bull Case")</f>
        <v>Bull Case</v>
      </c>
      <c r="D8" s="16"/>
      <c r="E8" s="16"/>
      <c r="F8" s="377"/>
      <c r="G8" s="377"/>
      <c r="H8" s="377"/>
      <c r="I8" s="377"/>
      <c r="J8" s="378"/>
      <c r="K8" s="377"/>
      <c r="L8" s="377"/>
      <c r="M8" s="377"/>
      <c r="N8" s="377"/>
      <c r="O8" s="378"/>
      <c r="P8" s="377"/>
      <c r="Q8" s="377"/>
      <c r="R8" s="377"/>
      <c r="S8" s="377"/>
      <c r="T8" s="378"/>
      <c r="U8" s="377"/>
      <c r="V8" s="377"/>
      <c r="W8" s="377"/>
      <c r="X8" s="320">
        <v>0.15</v>
      </c>
      <c r="Y8" s="378"/>
      <c r="Z8" s="320">
        <v>0.145</v>
      </c>
      <c r="AA8" s="320">
        <v>0.15</v>
      </c>
      <c r="AB8" s="320">
        <v>0.15</v>
      </c>
      <c r="AC8" s="320">
        <v>0.15</v>
      </c>
      <c r="AD8" s="378"/>
      <c r="AE8" s="321">
        <v>0.15</v>
      </c>
      <c r="AF8" s="321">
        <v>0.15</v>
      </c>
      <c r="AG8" s="321">
        <v>0.15</v>
      </c>
      <c r="AH8" s="16"/>
      <c r="AI8" s="16"/>
    </row>
    <row r="9" ht="12.75" customHeight="1" spans="1:35" x14ac:dyDescent="0.25">
      <c r="A9" s="16"/>
      <c r="B9" s="16"/>
      <c r="C9" s="139" t="str">
        <f ca="1">IF(C7="","","Base Case")</f>
        <v>Base Case</v>
      </c>
      <c r="D9" s="16"/>
      <c r="E9" s="16"/>
      <c r="F9" s="377"/>
      <c r="G9" s="377"/>
      <c r="H9" s="377"/>
      <c r="I9" s="377"/>
      <c r="J9" s="378"/>
      <c r="K9" s="377"/>
      <c r="L9" s="377"/>
      <c r="M9" s="377"/>
      <c r="N9" s="377"/>
      <c r="O9" s="378"/>
      <c r="P9" s="377"/>
      <c r="Q9" s="377"/>
      <c r="R9" s="377"/>
      <c r="S9" s="377"/>
      <c r="T9" s="378"/>
      <c r="U9" s="377"/>
      <c r="V9" s="377"/>
      <c r="W9" s="377"/>
      <c r="X9" s="320">
        <v>0.13</v>
      </c>
      <c r="Y9" s="378"/>
      <c r="Z9" s="320">
        <v>0.14</v>
      </c>
      <c r="AA9" s="320">
        <v>0.145</v>
      </c>
      <c r="AB9" s="320">
        <v>0.12</v>
      </c>
      <c r="AC9" s="320">
        <v>0.135</v>
      </c>
      <c r="AD9" s="378"/>
      <c r="AE9" s="321">
        <v>0.139</v>
      </c>
      <c r="AF9" s="321">
        <v>0.14</v>
      </c>
      <c r="AG9" s="321">
        <v>0.142</v>
      </c>
      <c r="AH9" s="16"/>
      <c r="AI9" s="16"/>
    </row>
    <row r="10" ht="12.75" customHeight="1" spans="1:35" x14ac:dyDescent="0.25">
      <c r="A10" s="16"/>
      <c r="B10" s="16"/>
      <c r="C10" s="139" t="str">
        <f ca="1">IF(C7="","","Bear Case")</f>
        <v>Bear Case</v>
      </c>
      <c r="D10" s="16"/>
      <c r="E10" s="16"/>
      <c r="F10" s="377"/>
      <c r="G10" s="377"/>
      <c r="H10" s="377"/>
      <c r="I10" s="377"/>
      <c r="J10" s="378"/>
      <c r="K10" s="377"/>
      <c r="L10" s="377"/>
      <c r="M10" s="377"/>
      <c r="N10" s="377"/>
      <c r="O10" s="378"/>
      <c r="P10" s="377"/>
      <c r="Q10" s="377"/>
      <c r="R10" s="377"/>
      <c r="S10" s="377"/>
      <c r="T10" s="378"/>
      <c r="U10" s="377"/>
      <c r="V10" s="377"/>
      <c r="W10" s="377"/>
      <c r="X10" s="320">
        <v>0.08</v>
      </c>
      <c r="Y10" s="378"/>
      <c r="Z10" s="320">
        <v>0.08</v>
      </c>
      <c r="AA10" s="320">
        <v>0.08</v>
      </c>
      <c r="AB10" s="320">
        <v>0.08</v>
      </c>
      <c r="AC10" s="320">
        <v>0.08</v>
      </c>
      <c r="AD10" s="378"/>
      <c r="AE10" s="321">
        <v>0.085</v>
      </c>
      <c r="AF10" s="321">
        <v>0.09</v>
      </c>
      <c r="AG10" s="321">
        <v>0.105</v>
      </c>
      <c r="AH10" s="16"/>
      <c r="AI10" s="16"/>
    </row>
    <row r="11" ht="12.75" customHeight="1" spans="1:35" x14ac:dyDescent="0.25">
      <c r="A11" s="16"/>
      <c r="B11" s="16"/>
      <c r="C11" s="139"/>
      <c r="D11" s="16"/>
      <c r="E11" s="16"/>
      <c r="F11" s="377"/>
      <c r="G11" s="377"/>
      <c r="H11" s="377"/>
      <c r="I11" s="377"/>
      <c r="J11" s="378"/>
      <c r="K11" s="377"/>
      <c r="L11" s="377"/>
      <c r="M11" s="377"/>
      <c r="N11" s="377"/>
      <c r="O11" s="378"/>
      <c r="P11" s="377"/>
      <c r="Q11" s="377"/>
      <c r="R11" s="377"/>
      <c r="S11" s="377"/>
      <c r="T11" s="378"/>
      <c r="U11" s="377"/>
      <c r="V11" s="377"/>
      <c r="W11" s="377"/>
      <c r="X11" s="320"/>
      <c r="Y11" s="378"/>
      <c r="Z11" s="320"/>
      <c r="AA11" s="320"/>
      <c r="AB11" s="320"/>
      <c r="AC11" s="320"/>
      <c r="AD11" s="378"/>
      <c r="AE11" s="321"/>
      <c r="AF11" s="321"/>
      <c r="AG11" s="321"/>
      <c r="AH11" s="16"/>
      <c r="AI11" s="16"/>
    </row>
    <row r="12" ht="12.75" customHeight="1" spans="1:35" x14ac:dyDescent="0.25">
      <c r="A12" s="264" t="s">
        <v>1</v>
      </c>
      <c r="B12" s="16"/>
      <c r="C12" s="16" t="str">
        <f ca="1">IF($C$5="Operating Margins",'Segment Analysis'!C17,"")</f>
        <v/>
      </c>
      <c r="D12" s="16"/>
      <c r="E12" s="16"/>
      <c r="F12" s="377" t="str">
        <f ca="1">'Segment Analysis'!F156</f>
        <v>N/A</v>
      </c>
      <c r="G12" s="377" t="str">
        <f ca="1">'Segment Analysis'!G156</f>
        <v>N/A</v>
      </c>
      <c r="H12" s="377" t="str">
        <f ca="1">'Segment Analysis'!H156</f>
        <v>N/A</v>
      </c>
      <c r="I12" s="377" t="str">
        <f ca="1">'Segment Analysis'!I156</f>
        <v>N/A</v>
      </c>
      <c r="J12" s="378" t="str">
        <f ca="1">'Segment Analysis'!J156</f>
        <v>N/A</v>
      </c>
      <c r="K12" s="377" t="str">
        <f ca="1">'Segment Analysis'!K156</f>
        <v>N/A</v>
      </c>
      <c r="L12" s="377" t="str">
        <f ca="1">'Segment Analysis'!L156</f>
        <v>N/A</v>
      </c>
      <c r="M12" s="377" t="str">
        <f ca="1">'Segment Analysis'!M156</f>
        <v>N/A</v>
      </c>
      <c r="N12" s="377" t="str">
        <f ca="1">'Segment Analysis'!N156</f>
        <v>N/A</v>
      </c>
      <c r="O12" s="378" t="str">
        <f ca="1">'Segment Analysis'!O156</f>
        <v>N/A</v>
      </c>
      <c r="P12" s="377" t="str">
        <f ca="1">'Segment Analysis'!P156</f>
        <v>N/A</v>
      </c>
      <c r="Q12" s="377" t="str">
        <f ca="1">'Segment Analysis'!Q156</f>
        <v>N/A</v>
      </c>
      <c r="R12" s="377" t="str">
        <f ca="1">'Segment Analysis'!R156</f>
        <v>N/A</v>
      </c>
      <c r="S12" s="377" t="str">
        <f ca="1">'Segment Analysis'!S156</f>
        <v>N/A</v>
      </c>
      <c r="T12" s="378" t="str">
        <f ca="1">'Segment Analysis'!T156</f>
        <v>N/A</v>
      </c>
      <c r="U12" s="377" t="str">
        <f ca="1">'Segment Analysis'!U156</f>
        <v>N/A</v>
      </c>
      <c r="V12" s="377" t="str">
        <f ca="1">'Segment Analysis'!V156</f>
        <v>N/A</v>
      </c>
      <c r="W12" s="377" t="str">
        <f ca="1">'Segment Analysis'!W156</f>
        <v>N/A</v>
      </c>
      <c r="X12" s="379">
        <f ca="1">IF(Case_Scenario="Bull",X13,IF(Case_Scenario="Base",X14,IF(Case_Scenario="bear",X15,"N/A")))</f>
        <v>0.13</v>
      </c>
      <c r="Y12" s="378" t="str">
        <f ca="1">'Segment Analysis'!Y156</f>
        <v>N/A</v>
      </c>
      <c r="Z12" s="379">
        <f ca="1">IF(Case_Scenario="Bull",Z13,IF(Case_Scenario="Base",Z14,IF(Case_Scenario="bear",Z15,"N/A")))</f>
        <v>0.14</v>
      </c>
      <c r="AA12" s="379">
        <f ca="1">IF(Case_Scenario="Bull",AA13,IF(Case_Scenario="Base",AA14,IF(Case_Scenario="bear",AA15,"N/A")))</f>
        <v>0.145</v>
      </c>
      <c r="AB12" s="379">
        <f ca="1">IF(Case_Scenario="Bull",AB13,IF(Case_Scenario="Base",AB14,IF(Case_Scenario="bear",AB15,"N/A")))</f>
        <v>0.12</v>
      </c>
      <c r="AC12" s="379">
        <f ca="1">IF(Case_Scenario="Bull",AC13,IF(Case_Scenario="Base",AC14,IF(Case_Scenario="bear",AC15,"N/A")))</f>
        <v>0.135</v>
      </c>
      <c r="AD12" s="378" t="str">
        <f ca="1">'Segment Analysis'!AD156</f>
        <v>N/A</v>
      </c>
      <c r="AE12" s="378">
        <f ca="1">IF(Case_Scenario="Bull",AE13,IF(Case_Scenario="Base",AE14,IF(Case_Scenario="bear",AE15,"N/A")))</f>
        <v>0.139</v>
      </c>
      <c r="AF12" s="378">
        <f ca="1">IF(Case_Scenario="Bull",AF13,IF(Case_Scenario="Base",AF14,IF(Case_Scenario="bear",AF15,"N/A")))</f>
        <v>0.14</v>
      </c>
      <c r="AG12" s="378">
        <f ca="1">IF(Case_Scenario="Bull",AG13,IF(Case_Scenario="Base",AG14,IF(Case_Scenario="bear",AG15,"N/A")))</f>
        <v>0.142</v>
      </c>
      <c r="AH12" s="264" t="s">
        <v>1</v>
      </c>
      <c r="AI12" s="264"/>
    </row>
    <row r="13" ht="12.75" customHeight="1" spans="1:35" x14ac:dyDescent="0.25">
      <c r="A13" s="16"/>
      <c r="B13" s="16"/>
      <c r="C13" s="139" t="str">
        <f ca="1">IF(C12="","","Bull Case")</f>
        <v/>
      </c>
      <c r="D13" s="16"/>
      <c r="E13" s="16"/>
      <c r="F13" s="377"/>
      <c r="G13" s="377"/>
      <c r="H13" s="377"/>
      <c r="I13" s="377"/>
      <c r="J13" s="378"/>
      <c r="K13" s="377"/>
      <c r="L13" s="377"/>
      <c r="M13" s="377"/>
      <c r="N13" s="377"/>
      <c r="O13" s="378"/>
      <c r="P13" s="377"/>
      <c r="Q13" s="377"/>
      <c r="R13" s="377"/>
      <c r="S13" s="377"/>
      <c r="T13" s="378"/>
      <c r="U13" s="377"/>
      <c r="V13" s="377"/>
      <c r="W13" s="377"/>
      <c r="X13" s="320">
        <v>0.15</v>
      </c>
      <c r="Y13" s="378"/>
      <c r="Z13" s="320">
        <v>0.145</v>
      </c>
      <c r="AA13" s="320">
        <v>0.15</v>
      </c>
      <c r="AB13" s="320">
        <v>0.15</v>
      </c>
      <c r="AC13" s="320">
        <v>0.15</v>
      </c>
      <c r="AD13" s="378"/>
      <c r="AE13" s="321">
        <v>0.15</v>
      </c>
      <c r="AF13" s="321">
        <v>0.15</v>
      </c>
      <c r="AG13" s="321">
        <v>0.15</v>
      </c>
      <c r="AH13" s="16"/>
      <c r="AI13" s="16"/>
    </row>
    <row r="14" ht="12.75" customHeight="1" spans="1:35" x14ac:dyDescent="0.25">
      <c r="A14" s="16"/>
      <c r="B14" s="16"/>
      <c r="C14" s="139" t="str">
        <f ca="1">IF(C12="","","Base Case")</f>
        <v/>
      </c>
      <c r="D14" s="16"/>
      <c r="E14" s="16"/>
      <c r="F14" s="377"/>
      <c r="G14" s="377"/>
      <c r="H14" s="377"/>
      <c r="I14" s="377"/>
      <c r="J14" s="378"/>
      <c r="K14" s="377"/>
      <c r="L14" s="377"/>
      <c r="M14" s="377"/>
      <c r="N14" s="377"/>
      <c r="O14" s="378"/>
      <c r="P14" s="377"/>
      <c r="Q14" s="377"/>
      <c r="R14" s="377"/>
      <c r="S14" s="377"/>
      <c r="T14" s="378"/>
      <c r="U14" s="377"/>
      <c r="V14" s="377"/>
      <c r="W14" s="377"/>
      <c r="X14" s="320">
        <v>0.13</v>
      </c>
      <c r="Y14" s="378"/>
      <c r="Z14" s="320">
        <v>0.14</v>
      </c>
      <c r="AA14" s="320">
        <v>0.145</v>
      </c>
      <c r="AB14" s="320">
        <v>0.12</v>
      </c>
      <c r="AC14" s="320">
        <v>0.135</v>
      </c>
      <c r="AD14" s="378"/>
      <c r="AE14" s="321">
        <v>0.139</v>
      </c>
      <c r="AF14" s="321">
        <v>0.14</v>
      </c>
      <c r="AG14" s="321">
        <v>0.142</v>
      </c>
      <c r="AH14" s="16"/>
      <c r="AI14" s="16"/>
    </row>
    <row r="15" ht="12.75" customHeight="1" spans="1:35" x14ac:dyDescent="0.25">
      <c r="A15" s="16"/>
      <c r="B15" s="16"/>
      <c r="C15" s="139" t="str">
        <f ca="1">IF(C12="","","Bear Case")</f>
        <v/>
      </c>
      <c r="D15" s="16"/>
      <c r="E15" s="16"/>
      <c r="F15" s="377"/>
      <c r="G15" s="377"/>
      <c r="H15" s="377"/>
      <c r="I15" s="377"/>
      <c r="J15" s="378"/>
      <c r="K15" s="377"/>
      <c r="L15" s="377"/>
      <c r="M15" s="377"/>
      <c r="N15" s="377"/>
      <c r="O15" s="378"/>
      <c r="P15" s="377"/>
      <c r="Q15" s="377"/>
      <c r="R15" s="377"/>
      <c r="S15" s="377"/>
      <c r="T15" s="378"/>
      <c r="U15" s="377"/>
      <c r="V15" s="377"/>
      <c r="W15" s="377"/>
      <c r="X15" s="320">
        <v>0.08</v>
      </c>
      <c r="Y15" s="378"/>
      <c r="Z15" s="320">
        <v>0.08</v>
      </c>
      <c r="AA15" s="320">
        <v>0.08</v>
      </c>
      <c r="AB15" s="320">
        <v>0.08</v>
      </c>
      <c r="AC15" s="320">
        <v>0.08</v>
      </c>
      <c r="AD15" s="378"/>
      <c r="AE15" s="321">
        <v>0.085</v>
      </c>
      <c r="AF15" s="321">
        <v>0.09</v>
      </c>
      <c r="AG15" s="321">
        <v>0.105</v>
      </c>
      <c r="AH15" s="16"/>
      <c r="AI15" s="16"/>
    </row>
    <row r="16" ht="12.75" customHeight="1" spans="1:35" x14ac:dyDescent="0.25">
      <c r="A16" s="16"/>
      <c r="B16" s="16"/>
      <c r="C16" s="139"/>
      <c r="D16" s="16"/>
      <c r="E16" s="16"/>
      <c r="F16" s="377"/>
      <c r="G16" s="377"/>
      <c r="H16" s="377"/>
      <c r="I16" s="377"/>
      <c r="J16" s="378"/>
      <c r="K16" s="377"/>
      <c r="L16" s="377"/>
      <c r="M16" s="377"/>
      <c r="N16" s="377"/>
      <c r="O16" s="378"/>
      <c r="P16" s="377"/>
      <c r="Q16" s="377"/>
      <c r="R16" s="377"/>
      <c r="S16" s="377"/>
      <c r="T16" s="378"/>
      <c r="U16" s="377"/>
      <c r="V16" s="377"/>
      <c r="W16" s="377"/>
      <c r="X16" s="320"/>
      <c r="Y16" s="378"/>
      <c r="Z16" s="320"/>
      <c r="AA16" s="320"/>
      <c r="AB16" s="320"/>
      <c r="AC16" s="320"/>
      <c r="AD16" s="378"/>
      <c r="AE16" s="321"/>
      <c r="AF16" s="321"/>
      <c r="AG16" s="321"/>
      <c r="AH16" s="16"/>
      <c r="AI16" s="16"/>
    </row>
    <row r="17" ht="12.75" customHeight="1" spans="1:35" x14ac:dyDescent="0.25">
      <c r="A17" s="16"/>
      <c r="B17" s="16"/>
      <c r="C17" s="16" t="str">
        <f ca="1">IF($C$5="Operating Margins",'Segment Analysis'!C18,"")</f>
        <v/>
      </c>
      <c r="D17" s="16"/>
      <c r="E17" s="16"/>
      <c r="F17" s="377" t="str">
        <f ca="1">'Segment Analysis'!F157</f>
        <v>N/A</v>
      </c>
      <c r="G17" s="377" t="str">
        <f ca="1">'Segment Analysis'!G157</f>
        <v>N/A</v>
      </c>
      <c r="H17" s="377" t="str">
        <f ca="1">'Segment Analysis'!H157</f>
        <v>N/A</v>
      </c>
      <c r="I17" s="377" t="str">
        <f ca="1">'Segment Analysis'!I157</f>
        <v>N/A</v>
      </c>
      <c r="J17" s="378" t="str">
        <f ca="1">'Segment Analysis'!J157</f>
        <v>N/A</v>
      </c>
      <c r="K17" s="377" t="str">
        <f ca="1">'Segment Analysis'!K157</f>
        <v>N/A</v>
      </c>
      <c r="L17" s="377" t="str">
        <f ca="1">'Segment Analysis'!L157</f>
        <v>N/A</v>
      </c>
      <c r="M17" s="377" t="str">
        <f ca="1">'Segment Analysis'!M157</f>
        <v>N/A</v>
      </c>
      <c r="N17" s="377" t="str">
        <f ca="1">'Segment Analysis'!N157</f>
        <v>N/A</v>
      </c>
      <c r="O17" s="378" t="str">
        <f ca="1">'Segment Analysis'!O157</f>
        <v>N/A</v>
      </c>
      <c r="P17" s="377" t="str">
        <f ca="1">'Segment Analysis'!P157</f>
        <v>N/A</v>
      </c>
      <c r="Q17" s="377" t="str">
        <f ca="1">'Segment Analysis'!Q157</f>
        <v>N/A</v>
      </c>
      <c r="R17" s="377" t="str">
        <f ca="1">'Segment Analysis'!R157</f>
        <v>N/A</v>
      </c>
      <c r="S17" s="377" t="str">
        <f ca="1">'Segment Analysis'!S157</f>
        <v>N/A</v>
      </c>
      <c r="T17" s="378" t="str">
        <f ca="1">'Segment Analysis'!T157</f>
        <v>N/A</v>
      </c>
      <c r="U17" s="377" t="str">
        <f ca="1">'Segment Analysis'!U157</f>
        <v>N/A</v>
      </c>
      <c r="V17" s="377" t="str">
        <f ca="1">'Segment Analysis'!V157</f>
        <v>N/A</v>
      </c>
      <c r="W17" s="377" t="str">
        <f ca="1">'Segment Analysis'!W157</f>
        <v>N/A</v>
      </c>
      <c r="X17" s="379">
        <f ca="1">IF(Case_Scenario="Bull",X18,IF(Case_Scenario="Base",X19,IF(Case_Scenario="bear",X20,"N/A")))</f>
        <v>0.13</v>
      </c>
      <c r="Y17" s="378" t="str">
        <f ca="1">'Segment Analysis'!Y157</f>
        <v>N/A</v>
      </c>
      <c r="Z17" s="379">
        <f ca="1">IF(Case_Scenario="Bull",Z18,IF(Case_Scenario="Base",Z19,IF(Case_Scenario="bear",Z20,"N/A")))</f>
        <v>0.14</v>
      </c>
      <c r="AA17" s="379">
        <f ca="1">IF(Case_Scenario="Bull",AA18,IF(Case_Scenario="Base",AA19,IF(Case_Scenario="bear",AA20,"N/A")))</f>
        <v>0.145</v>
      </c>
      <c r="AB17" s="379">
        <f ca="1">IF(Case_Scenario="Bull",AB18,IF(Case_Scenario="Base",AB19,IF(Case_Scenario="bear",AB20,"N/A")))</f>
        <v>0.12</v>
      </c>
      <c r="AC17" s="379">
        <f ca="1">IF(Case_Scenario="Bull",AC18,IF(Case_Scenario="Base",AC19,IF(Case_Scenario="bear",AC20,"N/A")))</f>
        <v>0.135</v>
      </c>
      <c r="AD17" s="378" t="str">
        <f ca="1">'Segment Analysis'!AD157</f>
        <v>N/A</v>
      </c>
      <c r="AE17" s="378">
        <f ca="1">IF(Case_Scenario="Bull",AE18,IF(Case_Scenario="Base",AE19,IF(Case_Scenario="bear",AE20,"N/A")))</f>
        <v>0.139</v>
      </c>
      <c r="AF17" s="378">
        <f ca="1">IF(Case_Scenario="Bull",AF18,IF(Case_Scenario="Base",AF19,IF(Case_Scenario="bear",AF20,"N/A")))</f>
        <v>0.14</v>
      </c>
      <c r="AG17" s="378">
        <f ca="1">IF(Case_Scenario="Bull",AG18,IF(Case_Scenario="Base",AG19,IF(Case_Scenario="bear",AG20,"N/A")))</f>
        <v>0.142</v>
      </c>
      <c r="AH17" s="16"/>
      <c r="AI17" s="16"/>
    </row>
    <row r="18" ht="12.75" customHeight="1" spans="1:35" x14ac:dyDescent="0.25">
      <c r="A18" s="16"/>
      <c r="B18" s="16"/>
      <c r="C18" s="139" t="str">
        <f ca="1">IF(C17="","","Bull Case")</f>
        <v/>
      </c>
      <c r="D18" s="16"/>
      <c r="E18" s="16"/>
      <c r="F18" s="377"/>
      <c r="G18" s="377"/>
      <c r="H18" s="377"/>
      <c r="I18" s="377"/>
      <c r="J18" s="378"/>
      <c r="K18" s="377"/>
      <c r="L18" s="377"/>
      <c r="M18" s="377"/>
      <c r="N18" s="377"/>
      <c r="O18" s="378"/>
      <c r="P18" s="377"/>
      <c r="Q18" s="377"/>
      <c r="R18" s="377"/>
      <c r="S18" s="377"/>
      <c r="T18" s="378"/>
      <c r="U18" s="377"/>
      <c r="V18" s="377"/>
      <c r="W18" s="377"/>
      <c r="X18" s="320">
        <v>0.15</v>
      </c>
      <c r="Y18" s="378"/>
      <c r="Z18" s="320">
        <v>0.145</v>
      </c>
      <c r="AA18" s="320">
        <v>0.15</v>
      </c>
      <c r="AB18" s="320">
        <v>0.15</v>
      </c>
      <c r="AC18" s="320">
        <v>0.15</v>
      </c>
      <c r="AD18" s="378"/>
      <c r="AE18" s="321">
        <v>0.15</v>
      </c>
      <c r="AF18" s="321">
        <v>0.15</v>
      </c>
      <c r="AG18" s="321">
        <v>0.15</v>
      </c>
      <c r="AH18" s="16"/>
      <c r="AI18" s="16"/>
    </row>
    <row r="19" ht="12.75" customHeight="1" spans="1:35" x14ac:dyDescent="0.25">
      <c r="A19" s="16"/>
      <c r="B19" s="16"/>
      <c r="C19" s="139" t="str">
        <f ca="1">IF(C17="","","Base Case")</f>
        <v/>
      </c>
      <c r="D19" s="16"/>
      <c r="E19" s="16"/>
      <c r="F19" s="377"/>
      <c r="G19" s="377"/>
      <c r="H19" s="377"/>
      <c r="I19" s="377"/>
      <c r="J19" s="378"/>
      <c r="K19" s="377"/>
      <c r="L19" s="377"/>
      <c r="M19" s="377"/>
      <c r="N19" s="377"/>
      <c r="O19" s="378"/>
      <c r="P19" s="377"/>
      <c r="Q19" s="377"/>
      <c r="R19" s="377"/>
      <c r="S19" s="377"/>
      <c r="T19" s="378"/>
      <c r="U19" s="377"/>
      <c r="V19" s="377"/>
      <c r="W19" s="377"/>
      <c r="X19" s="320">
        <v>0.13</v>
      </c>
      <c r="Y19" s="378"/>
      <c r="Z19" s="320">
        <v>0.14</v>
      </c>
      <c r="AA19" s="320">
        <v>0.145</v>
      </c>
      <c r="AB19" s="320">
        <v>0.12</v>
      </c>
      <c r="AC19" s="320">
        <v>0.135</v>
      </c>
      <c r="AD19" s="378"/>
      <c r="AE19" s="321">
        <v>0.139</v>
      </c>
      <c r="AF19" s="321">
        <v>0.14</v>
      </c>
      <c r="AG19" s="321">
        <v>0.142</v>
      </c>
      <c r="AH19" s="16"/>
      <c r="AI19" s="16"/>
    </row>
    <row r="20" ht="12.75" customHeight="1" spans="1:35" x14ac:dyDescent="0.25">
      <c r="A20" s="16"/>
      <c r="B20" s="16"/>
      <c r="C20" s="139" t="str">
        <f ca="1">IF(C17="","","Bear Case")</f>
        <v/>
      </c>
      <c r="D20" s="16"/>
      <c r="E20" s="16"/>
      <c r="F20" s="377"/>
      <c r="G20" s="377"/>
      <c r="H20" s="377"/>
      <c r="I20" s="377"/>
      <c r="J20" s="378"/>
      <c r="K20" s="377"/>
      <c r="L20" s="377"/>
      <c r="M20" s="377"/>
      <c r="N20" s="377"/>
      <c r="O20" s="378"/>
      <c r="P20" s="377"/>
      <c r="Q20" s="377"/>
      <c r="R20" s="377"/>
      <c r="S20" s="377"/>
      <c r="T20" s="378"/>
      <c r="U20" s="377"/>
      <c r="V20" s="377"/>
      <c r="W20" s="377"/>
      <c r="X20" s="320">
        <v>0.08</v>
      </c>
      <c r="Y20" s="378"/>
      <c r="Z20" s="320">
        <v>0.08</v>
      </c>
      <c r="AA20" s="320">
        <v>0.08</v>
      </c>
      <c r="AB20" s="320">
        <v>0.08</v>
      </c>
      <c r="AC20" s="320">
        <v>0.08</v>
      </c>
      <c r="AD20" s="378"/>
      <c r="AE20" s="321">
        <v>0.085</v>
      </c>
      <c r="AF20" s="321">
        <v>0.09</v>
      </c>
      <c r="AG20" s="321">
        <v>0.105</v>
      </c>
      <c r="AH20" s="16"/>
      <c r="AI20" s="16"/>
    </row>
    <row r="21" ht="12.75" customHeight="1" spans="1:35" x14ac:dyDescent="0.25">
      <c r="A21" s="16"/>
      <c r="B21" s="16"/>
      <c r="C21" s="139"/>
      <c r="D21" s="16"/>
      <c r="E21" s="16"/>
      <c r="F21" s="377"/>
      <c r="G21" s="377"/>
      <c r="H21" s="377"/>
      <c r="I21" s="377"/>
      <c r="J21" s="378"/>
      <c r="K21" s="377"/>
      <c r="L21" s="377"/>
      <c r="M21" s="377"/>
      <c r="N21" s="377"/>
      <c r="O21" s="378"/>
      <c r="P21" s="377"/>
      <c r="Q21" s="377"/>
      <c r="R21" s="377"/>
      <c r="S21" s="377"/>
      <c r="T21" s="378"/>
      <c r="U21" s="377"/>
      <c r="V21" s="377"/>
      <c r="W21" s="377"/>
      <c r="X21" s="320"/>
      <c r="Y21" s="378"/>
      <c r="Z21" s="320"/>
      <c r="AA21" s="320"/>
      <c r="AB21" s="320"/>
      <c r="AC21" s="320"/>
      <c r="AD21" s="378"/>
      <c r="AE21" s="321"/>
      <c r="AF21" s="321"/>
      <c r="AG21" s="321"/>
      <c r="AH21" s="16"/>
      <c r="AI21" s="16"/>
    </row>
    <row r="22" ht="12.75" customHeight="1" spans="1:35" x14ac:dyDescent="0.25">
      <c r="A22" s="16"/>
      <c r="B22" s="16"/>
      <c r="C22" s="16" t="str">
        <f ca="1">IF($C$5="Operating Margins",'Segment Analysis'!C19,"")</f>
        <v/>
      </c>
      <c r="D22" s="16"/>
      <c r="E22" s="16"/>
      <c r="F22" s="377" t="str">
        <f ca="1">'Segment Analysis'!F158</f>
        <v>N/A</v>
      </c>
      <c r="G22" s="377" t="str">
        <f ca="1">'Segment Analysis'!G158</f>
        <v>N/A</v>
      </c>
      <c r="H22" s="377" t="str">
        <f ca="1">'Segment Analysis'!H158</f>
        <v>N/A</v>
      </c>
      <c r="I22" s="377" t="str">
        <f ca="1">'Segment Analysis'!I158</f>
        <v>N/A</v>
      </c>
      <c r="J22" s="378" t="str">
        <f ca="1">'Segment Analysis'!J158</f>
        <v>N/A</v>
      </c>
      <c r="K22" s="377" t="str">
        <f ca="1">'Segment Analysis'!K158</f>
        <v>N/A</v>
      </c>
      <c r="L22" s="377" t="str">
        <f ca="1">'Segment Analysis'!L158</f>
        <v>N/A</v>
      </c>
      <c r="M22" s="377" t="str">
        <f ca="1">'Segment Analysis'!M158</f>
        <v>N/A</v>
      </c>
      <c r="N22" s="377" t="str">
        <f ca="1">'Segment Analysis'!N158</f>
        <v>N/A</v>
      </c>
      <c r="O22" s="378" t="str">
        <f ca="1">'Segment Analysis'!O158</f>
        <v>N/A</v>
      </c>
      <c r="P22" s="377" t="str">
        <f ca="1">'Segment Analysis'!P158</f>
        <v>N/A</v>
      </c>
      <c r="Q22" s="377" t="str">
        <f ca="1">'Segment Analysis'!Q158</f>
        <v>N/A</v>
      </c>
      <c r="R22" s="377" t="str">
        <f ca="1">'Segment Analysis'!R158</f>
        <v>N/A</v>
      </c>
      <c r="S22" s="377" t="str">
        <f ca="1">'Segment Analysis'!S158</f>
        <v>N/A</v>
      </c>
      <c r="T22" s="378" t="str">
        <f ca="1">'Segment Analysis'!T158</f>
        <v>N/A</v>
      </c>
      <c r="U22" s="377" t="str">
        <f ca="1">'Segment Analysis'!U158</f>
        <v>N/A</v>
      </c>
      <c r="V22" s="377" t="str">
        <f ca="1">'Segment Analysis'!V158</f>
        <v>N/A</v>
      </c>
      <c r="W22" s="377" t="str">
        <f ca="1">'Segment Analysis'!W158</f>
        <v>N/A</v>
      </c>
      <c r="X22" s="379">
        <f ca="1">IF(Case_Scenario="Bull",X23,IF(Case_Scenario="Base",X24,IF(Case_Scenario="bear",X25,"N/A")))</f>
        <v>0.13</v>
      </c>
      <c r="Y22" s="378" t="str">
        <f ca="1">'Segment Analysis'!Y158</f>
        <v>N/A</v>
      </c>
      <c r="Z22" s="379">
        <f ca="1">IF(Case_Scenario="Bull",Z23,IF(Case_Scenario="Base",Z24,IF(Case_Scenario="bear",Z25,"N/A")))</f>
        <v>0.14</v>
      </c>
      <c r="AA22" s="379">
        <f ca="1">IF(Case_Scenario="Bull",AA23,IF(Case_Scenario="Base",AA24,IF(Case_Scenario="bear",AA25,"N/A")))</f>
        <v>0.145</v>
      </c>
      <c r="AB22" s="379">
        <f ca="1">IF(Case_Scenario="Bull",AB23,IF(Case_Scenario="Base",AB24,IF(Case_Scenario="bear",AB25,"N/A")))</f>
        <v>0.12</v>
      </c>
      <c r="AC22" s="379">
        <f ca="1">IF(Case_Scenario="Bull",AC23,IF(Case_Scenario="Base",AC24,IF(Case_Scenario="bear",AC25,"N/A")))</f>
        <v>0.135</v>
      </c>
      <c r="AD22" s="378" t="str">
        <f ca="1">'Segment Analysis'!AD158</f>
        <v>N/A</v>
      </c>
      <c r="AE22" s="378">
        <f ca="1">IF(Case_Scenario="Bull",AE23,IF(Case_Scenario="Base",AE24,IF(Case_Scenario="bear",AE25,"N/A")))</f>
        <v>0.139</v>
      </c>
      <c r="AF22" s="378">
        <f ca="1">IF(Case_Scenario="Bull",AF23,IF(Case_Scenario="Base",AF24,IF(Case_Scenario="bear",AF25,"N/A")))</f>
        <v>0.14</v>
      </c>
      <c r="AG22" s="378">
        <f ca="1">IF(Case_Scenario="Bull",AG23,IF(Case_Scenario="Base",AG24,IF(Case_Scenario="bear",AG25,"N/A")))</f>
        <v>0.142</v>
      </c>
      <c r="AH22" s="16"/>
      <c r="AI22" s="16"/>
    </row>
    <row r="23" ht="12.75" customHeight="1" spans="1:35" x14ac:dyDescent="0.25">
      <c r="A23" s="16"/>
      <c r="B23" s="16"/>
      <c r="C23" s="139" t="str">
        <f ca="1">IF(C22="","","Bull Case")</f>
        <v/>
      </c>
      <c r="D23" s="16"/>
      <c r="E23" s="16"/>
      <c r="F23" s="377"/>
      <c r="G23" s="377"/>
      <c r="H23" s="377"/>
      <c r="I23" s="377"/>
      <c r="J23" s="378"/>
      <c r="K23" s="377"/>
      <c r="L23" s="377"/>
      <c r="M23" s="377"/>
      <c r="N23" s="377"/>
      <c r="O23" s="378"/>
      <c r="P23" s="377"/>
      <c r="Q23" s="377"/>
      <c r="R23" s="377"/>
      <c r="S23" s="377"/>
      <c r="T23" s="378"/>
      <c r="U23" s="377"/>
      <c r="V23" s="377"/>
      <c r="W23" s="377"/>
      <c r="X23" s="320">
        <v>0.15</v>
      </c>
      <c r="Y23" s="378"/>
      <c r="Z23" s="320">
        <v>0.145</v>
      </c>
      <c r="AA23" s="320">
        <v>0.15</v>
      </c>
      <c r="AB23" s="320">
        <v>0.15</v>
      </c>
      <c r="AC23" s="320">
        <v>0.15</v>
      </c>
      <c r="AD23" s="378"/>
      <c r="AE23" s="321">
        <v>0.15</v>
      </c>
      <c r="AF23" s="321">
        <v>0.15</v>
      </c>
      <c r="AG23" s="321">
        <v>0.15</v>
      </c>
      <c r="AH23" s="16"/>
      <c r="AI23" s="16"/>
    </row>
    <row r="24" ht="12.75" customHeight="1" spans="1:35" x14ac:dyDescent="0.25">
      <c r="A24" s="16"/>
      <c r="B24" s="16"/>
      <c r="C24" s="139" t="str">
        <f ca="1">IF(C22="","","Base Case")</f>
        <v/>
      </c>
      <c r="D24" s="16"/>
      <c r="E24" s="16"/>
      <c r="F24" s="377"/>
      <c r="G24" s="377"/>
      <c r="H24" s="377"/>
      <c r="I24" s="377"/>
      <c r="J24" s="378"/>
      <c r="K24" s="377"/>
      <c r="L24" s="377"/>
      <c r="M24" s="377"/>
      <c r="N24" s="377"/>
      <c r="O24" s="378"/>
      <c r="P24" s="377"/>
      <c r="Q24" s="377"/>
      <c r="R24" s="377"/>
      <c r="S24" s="377"/>
      <c r="T24" s="378"/>
      <c r="U24" s="377"/>
      <c r="V24" s="377"/>
      <c r="W24" s="377"/>
      <c r="X24" s="320">
        <v>0.13</v>
      </c>
      <c r="Y24" s="378"/>
      <c r="Z24" s="320">
        <v>0.14</v>
      </c>
      <c r="AA24" s="320">
        <v>0.145</v>
      </c>
      <c r="AB24" s="320">
        <v>0.12</v>
      </c>
      <c r="AC24" s="320">
        <v>0.135</v>
      </c>
      <c r="AD24" s="378"/>
      <c r="AE24" s="321">
        <v>0.139</v>
      </c>
      <c r="AF24" s="321">
        <v>0.14</v>
      </c>
      <c r="AG24" s="321">
        <v>0.142</v>
      </c>
      <c r="AH24" s="16"/>
      <c r="AI24" s="16"/>
    </row>
    <row r="25" ht="12.75" customHeight="1" spans="1:35" x14ac:dyDescent="0.25">
      <c r="A25" s="16"/>
      <c r="B25" s="16"/>
      <c r="C25" s="139" t="str">
        <f ca="1">IF(C22="","","Bear Case")</f>
        <v/>
      </c>
      <c r="D25" s="16"/>
      <c r="E25" s="16"/>
      <c r="F25" s="377"/>
      <c r="G25" s="377"/>
      <c r="H25" s="377"/>
      <c r="I25" s="377"/>
      <c r="J25" s="378"/>
      <c r="K25" s="377"/>
      <c r="L25" s="377"/>
      <c r="M25" s="377"/>
      <c r="N25" s="377"/>
      <c r="O25" s="378"/>
      <c r="P25" s="377"/>
      <c r="Q25" s="377"/>
      <c r="R25" s="377"/>
      <c r="S25" s="377"/>
      <c r="T25" s="378"/>
      <c r="U25" s="377"/>
      <c r="V25" s="377"/>
      <c r="W25" s="377"/>
      <c r="X25" s="320">
        <v>0.08</v>
      </c>
      <c r="Y25" s="378"/>
      <c r="Z25" s="320">
        <v>0.08</v>
      </c>
      <c r="AA25" s="320">
        <v>0.08</v>
      </c>
      <c r="AB25" s="320">
        <v>0.08</v>
      </c>
      <c r="AC25" s="320">
        <v>0.08</v>
      </c>
      <c r="AD25" s="378"/>
      <c r="AE25" s="321">
        <v>0.085</v>
      </c>
      <c r="AF25" s="321">
        <v>0.09</v>
      </c>
      <c r="AG25" s="321">
        <v>0.105</v>
      </c>
      <c r="AH25" s="16"/>
      <c r="AI25" s="16"/>
    </row>
    <row r="26" ht="12.75" customHeight="1" spans="1:35" x14ac:dyDescent="0.25">
      <c r="A26" s="16"/>
      <c r="B26" s="16"/>
      <c r="C26" s="139"/>
      <c r="D26" s="16"/>
      <c r="E26" s="16"/>
      <c r="F26" s="377"/>
      <c r="G26" s="377"/>
      <c r="H26" s="377"/>
      <c r="I26" s="377"/>
      <c r="J26" s="378"/>
      <c r="K26" s="377"/>
      <c r="L26" s="377"/>
      <c r="M26" s="377"/>
      <c r="N26" s="377"/>
      <c r="O26" s="378"/>
      <c r="P26" s="377"/>
      <c r="Q26" s="377"/>
      <c r="R26" s="377"/>
      <c r="S26" s="377"/>
      <c r="T26" s="378"/>
      <c r="U26" s="377"/>
      <c r="V26" s="377"/>
      <c r="W26" s="377"/>
      <c r="X26" s="320"/>
      <c r="Y26" s="378"/>
      <c r="Z26" s="320"/>
      <c r="AA26" s="320"/>
      <c r="AB26" s="320"/>
      <c r="AC26" s="320"/>
      <c r="AD26" s="378"/>
      <c r="AE26" s="321"/>
      <c r="AF26" s="321"/>
      <c r="AG26" s="321"/>
      <c r="AH26" s="16"/>
      <c r="AI26" s="16"/>
    </row>
    <row r="27" ht="12.75" customHeight="1" spans="1:35" x14ac:dyDescent="0.25">
      <c r="A27" s="16"/>
      <c r="B27" s="16"/>
      <c r="C27" s="16" t="str">
        <f ca="1">IF($C$5="Operating Margins",'Segment Analysis'!C20,"")</f>
        <v/>
      </c>
      <c r="D27" s="16"/>
      <c r="E27" s="16"/>
      <c r="F27" s="377" t="str">
        <f ca="1">'Segment Analysis'!F159</f>
        <v>N/A</v>
      </c>
      <c r="G27" s="377" t="str">
        <f ca="1">'Segment Analysis'!G159</f>
        <v>N/A</v>
      </c>
      <c r="H27" s="377" t="str">
        <f ca="1">'Segment Analysis'!H159</f>
        <v>N/A</v>
      </c>
      <c r="I27" s="377" t="str">
        <f ca="1">'Segment Analysis'!I159</f>
        <v>N/A</v>
      </c>
      <c r="J27" s="378" t="str">
        <f ca="1">'Segment Analysis'!J159</f>
        <v>N/A</v>
      </c>
      <c r="K27" s="377" t="str">
        <f ca="1">'Segment Analysis'!K159</f>
        <v>N/A</v>
      </c>
      <c r="L27" s="377" t="str">
        <f ca="1">'Segment Analysis'!L159</f>
        <v>N/A</v>
      </c>
      <c r="M27" s="377" t="str">
        <f ca="1">'Segment Analysis'!M159</f>
        <v>N/A</v>
      </c>
      <c r="N27" s="377" t="str">
        <f ca="1">'Segment Analysis'!N159</f>
        <v>N/A</v>
      </c>
      <c r="O27" s="378" t="str">
        <f ca="1">'Segment Analysis'!O159</f>
        <v>N/A</v>
      </c>
      <c r="P27" s="377" t="str">
        <f ca="1">'Segment Analysis'!P159</f>
        <v>N/A</v>
      </c>
      <c r="Q27" s="377" t="str">
        <f ca="1">'Segment Analysis'!Q159</f>
        <v>N/A</v>
      </c>
      <c r="R27" s="377" t="str">
        <f ca="1">'Segment Analysis'!R159</f>
        <v>N/A</v>
      </c>
      <c r="S27" s="377" t="str">
        <f ca="1">'Segment Analysis'!S159</f>
        <v>N/A</v>
      </c>
      <c r="T27" s="378" t="str">
        <f ca="1">'Segment Analysis'!T159</f>
        <v>N/A</v>
      </c>
      <c r="U27" s="377" t="str">
        <f ca="1">'Segment Analysis'!U159</f>
        <v>N/A</v>
      </c>
      <c r="V27" s="377" t="str">
        <f ca="1">'Segment Analysis'!V159</f>
        <v>N/A</v>
      </c>
      <c r="W27" s="377" t="str">
        <f ca="1">'Segment Analysis'!W159</f>
        <v>N/A</v>
      </c>
      <c r="X27" s="379">
        <f ca="1">IF(Case_Scenario="Bull",X28,IF(Case_Scenario="Base",X29,IF(Case_Scenario="bear",X30,"N/A")))</f>
        <v>0.13</v>
      </c>
      <c r="Y27" s="378" t="str">
        <f ca="1">'Segment Analysis'!Y159</f>
        <v>N/A</v>
      </c>
      <c r="Z27" s="379">
        <f ca="1">IF(Case_Scenario="Bull",Z28,IF(Case_Scenario="Base",Z29,IF(Case_Scenario="bear",Z30,"N/A")))</f>
        <v>0.14</v>
      </c>
      <c r="AA27" s="379">
        <f ca="1">IF(Case_Scenario="Bull",AA28,IF(Case_Scenario="Base",AA29,IF(Case_Scenario="bear",AA30,"N/A")))</f>
        <v>0.145</v>
      </c>
      <c r="AB27" s="379">
        <f ca="1">IF(Case_Scenario="Bull",AB28,IF(Case_Scenario="Base",AB29,IF(Case_Scenario="bear",AB30,"N/A")))</f>
        <v>0.12</v>
      </c>
      <c r="AC27" s="379">
        <f ca="1">IF(Case_Scenario="Bull",AC28,IF(Case_Scenario="Base",AC29,IF(Case_Scenario="bear",AC30,"N/A")))</f>
        <v>0.135</v>
      </c>
      <c r="AD27" s="378" t="str">
        <f ca="1">'Segment Analysis'!AD159</f>
        <v>N/A</v>
      </c>
      <c r="AE27" s="378">
        <f ca="1">IF(Case_Scenario="Bull",AE28,IF(Case_Scenario="Base",AE29,IF(Case_Scenario="bear",AE30,"N/A")))</f>
        <v>0.139</v>
      </c>
      <c r="AF27" s="378">
        <f ca="1">IF(Case_Scenario="Bull",AF28,IF(Case_Scenario="Base",AF29,IF(Case_Scenario="bear",AF30,"N/A")))</f>
        <v>0.14</v>
      </c>
      <c r="AG27" s="378">
        <f ca="1">IF(Case_Scenario="Bull",AG28,IF(Case_Scenario="Base",AG29,IF(Case_Scenario="bear",AG30,"N/A")))</f>
        <v>0.142</v>
      </c>
      <c r="AH27" s="16"/>
      <c r="AI27" s="16"/>
    </row>
    <row r="28" ht="12.75" customHeight="1" spans="1:35" x14ac:dyDescent="0.25">
      <c r="A28" s="16"/>
      <c r="B28" s="16"/>
      <c r="C28" s="139" t="str">
        <f ca="1">IF(C27="","","Bull Case")</f>
        <v/>
      </c>
      <c r="D28" s="16"/>
      <c r="E28" s="16"/>
      <c r="F28" s="377"/>
      <c r="G28" s="377"/>
      <c r="H28" s="377"/>
      <c r="I28" s="377"/>
      <c r="J28" s="378"/>
      <c r="K28" s="377"/>
      <c r="L28" s="377"/>
      <c r="M28" s="377"/>
      <c r="N28" s="377"/>
      <c r="O28" s="378"/>
      <c r="P28" s="377"/>
      <c r="Q28" s="377"/>
      <c r="R28" s="377"/>
      <c r="S28" s="377"/>
      <c r="T28" s="378"/>
      <c r="U28" s="377"/>
      <c r="V28" s="377"/>
      <c r="W28" s="377"/>
      <c r="X28" s="320">
        <v>0.15</v>
      </c>
      <c r="Y28" s="378"/>
      <c r="Z28" s="320">
        <v>0.145</v>
      </c>
      <c r="AA28" s="320">
        <v>0.15</v>
      </c>
      <c r="AB28" s="320">
        <v>0.15</v>
      </c>
      <c r="AC28" s="320">
        <v>0.15</v>
      </c>
      <c r="AD28" s="378"/>
      <c r="AE28" s="321">
        <v>0.15</v>
      </c>
      <c r="AF28" s="321">
        <v>0.15</v>
      </c>
      <c r="AG28" s="321">
        <v>0.15</v>
      </c>
      <c r="AH28" s="16"/>
      <c r="AI28" s="16"/>
    </row>
    <row r="29" ht="12.75" customHeight="1" spans="1:35" x14ac:dyDescent="0.25">
      <c r="A29" s="264" t="s">
        <v>1</v>
      </c>
      <c r="B29" s="16"/>
      <c r="C29" s="139" t="str">
        <f ca="1">IF(C27="","","Base Case")</f>
        <v/>
      </c>
      <c r="D29" s="16"/>
      <c r="E29" s="16"/>
      <c r="F29" s="377"/>
      <c r="G29" s="377"/>
      <c r="H29" s="377"/>
      <c r="I29" s="377"/>
      <c r="J29" s="378"/>
      <c r="K29" s="377"/>
      <c r="L29" s="377"/>
      <c r="M29" s="377"/>
      <c r="N29" s="377"/>
      <c r="O29" s="378"/>
      <c r="P29" s="377"/>
      <c r="Q29" s="377"/>
      <c r="R29" s="377"/>
      <c r="S29" s="377"/>
      <c r="T29" s="378"/>
      <c r="U29" s="377"/>
      <c r="V29" s="377"/>
      <c r="W29" s="377"/>
      <c r="X29" s="320">
        <v>0.13</v>
      </c>
      <c r="Y29" s="378"/>
      <c r="Z29" s="320">
        <v>0.14</v>
      </c>
      <c r="AA29" s="320">
        <v>0.145</v>
      </c>
      <c r="AB29" s="320">
        <v>0.12</v>
      </c>
      <c r="AC29" s="320">
        <v>0.135</v>
      </c>
      <c r="AD29" s="378"/>
      <c r="AE29" s="321">
        <v>0.139</v>
      </c>
      <c r="AF29" s="321">
        <v>0.14</v>
      </c>
      <c r="AG29" s="321">
        <v>0.142</v>
      </c>
      <c r="AH29" s="264" t="s">
        <v>1</v>
      </c>
      <c r="AI29" s="264"/>
    </row>
    <row r="30" ht="12.75" customHeight="1" spans="1:35" x14ac:dyDescent="0.25">
      <c r="A30" s="16"/>
      <c r="B30" s="16"/>
      <c r="C30" s="139" t="str">
        <f ca="1">IF(C27="","","Bear Case")</f>
        <v/>
      </c>
      <c r="D30" s="16"/>
      <c r="E30" s="16"/>
      <c r="F30" s="377"/>
      <c r="G30" s="377"/>
      <c r="H30" s="377"/>
      <c r="I30" s="377"/>
      <c r="J30" s="378"/>
      <c r="K30" s="377"/>
      <c r="L30" s="377"/>
      <c r="M30" s="377"/>
      <c r="N30" s="377"/>
      <c r="O30" s="378"/>
      <c r="P30" s="377"/>
      <c r="Q30" s="377"/>
      <c r="R30" s="377"/>
      <c r="S30" s="377"/>
      <c r="T30" s="378"/>
      <c r="U30" s="377"/>
      <c r="V30" s="377"/>
      <c r="W30" s="377"/>
      <c r="X30" s="320">
        <v>0.08</v>
      </c>
      <c r="Y30" s="378"/>
      <c r="Z30" s="320">
        <v>0.08</v>
      </c>
      <c r="AA30" s="320">
        <v>0.08</v>
      </c>
      <c r="AB30" s="320">
        <v>0.08</v>
      </c>
      <c r="AC30" s="320">
        <v>0.08</v>
      </c>
      <c r="AD30" s="378"/>
      <c r="AE30" s="321">
        <v>0.085</v>
      </c>
      <c r="AF30" s="321">
        <v>0.09</v>
      </c>
      <c r="AG30" s="321">
        <v>0.105</v>
      </c>
      <c r="AH30" s="16"/>
      <c r="AI30" s="16"/>
    </row>
    <row r="31" ht="12.75" customHeight="1" spans="1:35" x14ac:dyDescent="0.25">
      <c r="A31" s="16"/>
      <c r="B31" s="16"/>
      <c r="C31" s="139"/>
      <c r="D31" s="16"/>
      <c r="E31" s="16"/>
      <c r="F31" s="377"/>
      <c r="G31" s="377"/>
      <c r="H31" s="377"/>
      <c r="I31" s="377"/>
      <c r="J31" s="378"/>
      <c r="K31" s="377"/>
      <c r="L31" s="377"/>
      <c r="M31" s="377"/>
      <c r="N31" s="377"/>
      <c r="O31" s="378"/>
      <c r="P31" s="377"/>
      <c r="Q31" s="377"/>
      <c r="R31" s="377"/>
      <c r="S31" s="377"/>
      <c r="T31" s="378"/>
      <c r="U31" s="377"/>
      <c r="V31" s="377"/>
      <c r="W31" s="377"/>
      <c r="X31" s="320"/>
      <c r="Y31" s="378"/>
      <c r="Z31" s="320"/>
      <c r="AA31" s="320"/>
      <c r="AB31" s="320"/>
      <c r="AC31" s="320"/>
      <c r="AD31" s="378"/>
      <c r="AE31" s="321"/>
      <c r="AF31" s="321"/>
      <c r="AG31" s="321"/>
      <c r="AH31" s="16"/>
      <c r="AI31" s="16"/>
    </row>
    <row r="32" ht="12.75" customHeight="1" spans="1:35" x14ac:dyDescent="0.25">
      <c r="A32" s="16"/>
      <c r="B32" s="16"/>
      <c r="C32" s="16" t="str">
        <f ca="1">IF($C$5="Operating Margins",'Segment Analysis'!C21,"")</f>
        <v/>
      </c>
      <c r="D32" s="16"/>
      <c r="E32" s="16"/>
      <c r="F32" s="377" t="str">
        <f ca="1">'Segment Analysis'!F160</f>
        <v>N/A</v>
      </c>
      <c r="G32" s="377" t="str">
        <f ca="1">'Segment Analysis'!G160</f>
        <v>N/A</v>
      </c>
      <c r="H32" s="377" t="str">
        <f ca="1">'Segment Analysis'!H160</f>
        <v>N/A</v>
      </c>
      <c r="I32" s="377" t="str">
        <f ca="1">'Segment Analysis'!I160</f>
        <v>N/A</v>
      </c>
      <c r="J32" s="378" t="str">
        <f ca="1">'Segment Analysis'!J160</f>
        <v>N/A</v>
      </c>
      <c r="K32" s="377" t="str">
        <f ca="1">'Segment Analysis'!K160</f>
        <v>N/A</v>
      </c>
      <c r="L32" s="377" t="str">
        <f ca="1">'Segment Analysis'!L160</f>
        <v>N/A</v>
      </c>
      <c r="M32" s="377" t="str">
        <f ca="1">'Segment Analysis'!M160</f>
        <v>N/A</v>
      </c>
      <c r="N32" s="377" t="str">
        <f ca="1">'Segment Analysis'!N160</f>
        <v>N/A</v>
      </c>
      <c r="O32" s="378" t="str">
        <f ca="1">'Segment Analysis'!O160</f>
        <v>N/A</v>
      </c>
      <c r="P32" s="377" t="str">
        <f ca="1">'Segment Analysis'!P160</f>
        <v>N/A</v>
      </c>
      <c r="Q32" s="377" t="str">
        <f ca="1">'Segment Analysis'!Q160</f>
        <v>N/A</v>
      </c>
      <c r="R32" s="377" t="str">
        <f ca="1">'Segment Analysis'!R160</f>
        <v>N/A</v>
      </c>
      <c r="S32" s="377" t="str">
        <f ca="1">'Segment Analysis'!S160</f>
        <v>N/A</v>
      </c>
      <c r="T32" s="378" t="str">
        <f ca="1">'Segment Analysis'!T160</f>
        <v>N/A</v>
      </c>
      <c r="U32" s="377" t="str">
        <f ca="1">'Segment Analysis'!U160</f>
        <v>N/A</v>
      </c>
      <c r="V32" s="377" t="str">
        <f ca="1">'Segment Analysis'!V160</f>
        <v>N/A</v>
      </c>
      <c r="W32" s="377" t="str">
        <f ca="1">'Segment Analysis'!W160</f>
        <v>N/A</v>
      </c>
      <c r="X32" s="379">
        <f ca="1">IF(Case_Scenario="Bull",X33,IF(Case_Scenario="Base",X34,IF(Case_Scenario="bear",X35,"N/A")))</f>
        <v>0.13</v>
      </c>
      <c r="Y32" s="378" t="str">
        <f ca="1">'Segment Analysis'!Y160</f>
        <v>N/A</v>
      </c>
      <c r="Z32" s="379">
        <f ca="1">IF(Case_Scenario="Bull",Z33,IF(Case_Scenario="Base",Z34,IF(Case_Scenario="bear",Z35,"N/A")))</f>
        <v>0.14</v>
      </c>
      <c r="AA32" s="379">
        <f ca="1">IF(Case_Scenario="Bull",AA33,IF(Case_Scenario="Base",AA34,IF(Case_Scenario="bear",AA35,"N/A")))</f>
        <v>0.145</v>
      </c>
      <c r="AB32" s="379">
        <f ca="1">IF(Case_Scenario="Bull",AB33,IF(Case_Scenario="Base",AB34,IF(Case_Scenario="bear",AB35,"N/A")))</f>
        <v>0.12</v>
      </c>
      <c r="AC32" s="379">
        <f ca="1">IF(Case_Scenario="Bull",AC33,IF(Case_Scenario="Base",AC34,IF(Case_Scenario="bear",AC35,"N/A")))</f>
        <v>0.135</v>
      </c>
      <c r="AD32" s="378" t="str">
        <f ca="1">'Segment Analysis'!AD160</f>
        <v>N/A</v>
      </c>
      <c r="AE32" s="378">
        <f ca="1">IF(Case_Scenario="Bull",AE33,IF(Case_Scenario="Base",AE34,IF(Case_Scenario="bear",AE35,"N/A")))</f>
        <v>0.139</v>
      </c>
      <c r="AF32" s="378">
        <f ca="1">IF(Case_Scenario="Bull",AF33,IF(Case_Scenario="Base",AF34,IF(Case_Scenario="bear",AF35,"N/A")))</f>
        <v>0.14</v>
      </c>
      <c r="AG32" s="378">
        <f ca="1">IF(Case_Scenario="Bull",AG33,IF(Case_Scenario="Base",AG34,IF(Case_Scenario="bear",AG35,"N/A")))</f>
        <v>0.142</v>
      </c>
      <c r="AH32" s="16"/>
      <c r="AI32" s="16"/>
    </row>
    <row r="33" ht="12.75" customHeight="1" spans="1:35" x14ac:dyDescent="0.25">
      <c r="A33" s="16"/>
      <c r="B33" s="16"/>
      <c r="C33" s="139" t="str">
        <f ca="1">IF(C32="","","Bull Case")</f>
        <v/>
      </c>
      <c r="D33" s="16"/>
      <c r="E33" s="16"/>
      <c r="F33" s="377"/>
      <c r="G33" s="377"/>
      <c r="H33" s="377"/>
      <c r="I33" s="377"/>
      <c r="J33" s="378"/>
      <c r="K33" s="377"/>
      <c r="L33" s="377"/>
      <c r="M33" s="377"/>
      <c r="N33" s="377"/>
      <c r="O33" s="378"/>
      <c r="P33" s="377"/>
      <c r="Q33" s="377"/>
      <c r="R33" s="377"/>
      <c r="S33" s="377"/>
      <c r="T33" s="378"/>
      <c r="U33" s="377"/>
      <c r="V33" s="377"/>
      <c r="W33" s="377"/>
      <c r="X33" s="320">
        <v>0.15</v>
      </c>
      <c r="Y33" s="378"/>
      <c r="Z33" s="320">
        <v>0.145</v>
      </c>
      <c r="AA33" s="320">
        <v>0.15</v>
      </c>
      <c r="AB33" s="320">
        <v>0.15</v>
      </c>
      <c r="AC33" s="320">
        <v>0.15</v>
      </c>
      <c r="AD33" s="378"/>
      <c r="AE33" s="321">
        <v>0.15</v>
      </c>
      <c r="AF33" s="321">
        <v>0.15</v>
      </c>
      <c r="AG33" s="321">
        <v>0.15</v>
      </c>
      <c r="AH33" s="16"/>
      <c r="AI33" s="16"/>
    </row>
    <row r="34" ht="12.75" customHeight="1" spans="1:35" x14ac:dyDescent="0.25">
      <c r="A34" s="16"/>
      <c r="B34" s="16"/>
      <c r="C34" s="139" t="str">
        <f ca="1">IF(C32="","","Base Case")</f>
        <v/>
      </c>
      <c r="D34" s="16"/>
      <c r="E34" s="16"/>
      <c r="F34" s="377"/>
      <c r="G34" s="377"/>
      <c r="H34" s="377"/>
      <c r="I34" s="377"/>
      <c r="J34" s="378"/>
      <c r="K34" s="377"/>
      <c r="L34" s="377"/>
      <c r="M34" s="377"/>
      <c r="N34" s="377"/>
      <c r="O34" s="378"/>
      <c r="P34" s="377"/>
      <c r="Q34" s="377"/>
      <c r="R34" s="377"/>
      <c r="S34" s="377"/>
      <c r="T34" s="378"/>
      <c r="U34" s="377"/>
      <c r="V34" s="377"/>
      <c r="W34" s="377"/>
      <c r="X34" s="320">
        <v>0.13</v>
      </c>
      <c r="Y34" s="378"/>
      <c r="Z34" s="320">
        <v>0.14</v>
      </c>
      <c r="AA34" s="320">
        <v>0.145</v>
      </c>
      <c r="AB34" s="320">
        <v>0.12</v>
      </c>
      <c r="AC34" s="320">
        <v>0.135</v>
      </c>
      <c r="AD34" s="378"/>
      <c r="AE34" s="321">
        <v>0.139</v>
      </c>
      <c r="AF34" s="321">
        <v>0.14</v>
      </c>
      <c r="AG34" s="321">
        <v>0.142</v>
      </c>
      <c r="AH34" s="16"/>
      <c r="AI34" s="16"/>
    </row>
    <row r="35" ht="12.75" customHeight="1" spans="1:35" x14ac:dyDescent="0.25">
      <c r="A35" s="16"/>
      <c r="B35" s="16"/>
      <c r="C35" s="139" t="str">
        <f ca="1">IF(C32="","","Bear Case")</f>
        <v/>
      </c>
      <c r="D35" s="16"/>
      <c r="E35" s="16"/>
      <c r="F35" s="377"/>
      <c r="G35" s="377"/>
      <c r="H35" s="377"/>
      <c r="I35" s="377"/>
      <c r="J35" s="378"/>
      <c r="K35" s="377"/>
      <c r="L35" s="377"/>
      <c r="M35" s="377"/>
      <c r="N35" s="377"/>
      <c r="O35" s="378"/>
      <c r="P35" s="377"/>
      <c r="Q35" s="377"/>
      <c r="R35" s="377"/>
      <c r="S35" s="377"/>
      <c r="T35" s="378"/>
      <c r="U35" s="377"/>
      <c r="V35" s="377"/>
      <c r="W35" s="377"/>
      <c r="X35" s="320">
        <v>0.08</v>
      </c>
      <c r="Y35" s="378"/>
      <c r="Z35" s="320">
        <v>0.08</v>
      </c>
      <c r="AA35" s="320">
        <v>0.08</v>
      </c>
      <c r="AB35" s="320">
        <v>0.08</v>
      </c>
      <c r="AC35" s="320">
        <v>0.08</v>
      </c>
      <c r="AD35" s="378"/>
      <c r="AE35" s="321">
        <v>0.085</v>
      </c>
      <c r="AF35" s="321">
        <v>0.09</v>
      </c>
      <c r="AG35" s="321">
        <v>0.105</v>
      </c>
      <c r="AH35" s="16"/>
      <c r="AI35" s="16"/>
    </row>
    <row r="36" ht="12.75" customHeight="1" spans="1:35" x14ac:dyDescent="0.25">
      <c r="A36" s="16"/>
      <c r="B36" s="16"/>
      <c r="C36" s="139"/>
      <c r="D36" s="16"/>
      <c r="E36" s="16"/>
      <c r="F36" s="377"/>
      <c r="G36" s="377"/>
      <c r="H36" s="377"/>
      <c r="I36" s="377"/>
      <c r="J36" s="378"/>
      <c r="K36" s="377"/>
      <c r="L36" s="377"/>
      <c r="M36" s="377"/>
      <c r="N36" s="377"/>
      <c r="O36" s="378"/>
      <c r="P36" s="377"/>
      <c r="Q36" s="377"/>
      <c r="R36" s="377"/>
      <c r="S36" s="377"/>
      <c r="T36" s="378"/>
      <c r="U36" s="377"/>
      <c r="V36" s="377"/>
      <c r="W36" s="377"/>
      <c r="X36" s="320"/>
      <c r="Y36" s="378"/>
      <c r="Z36" s="320"/>
      <c r="AA36" s="320"/>
      <c r="AB36" s="320"/>
      <c r="AC36" s="320"/>
      <c r="AD36" s="378"/>
      <c r="AE36" s="321"/>
      <c r="AF36" s="321"/>
      <c r="AG36" s="321"/>
      <c r="AH36" s="16"/>
      <c r="AI36" s="16"/>
    </row>
    <row r="37" ht="12.75" customHeight="1" spans="1:35" x14ac:dyDescent="0.25">
      <c r="A37" s="16"/>
      <c r="B37" s="16"/>
      <c r="C37" s="16"/>
      <c r="D37" s="16"/>
      <c r="E37" s="16"/>
      <c r="F37" s="377"/>
      <c r="G37" s="377"/>
      <c r="H37" s="377"/>
      <c r="I37" s="377"/>
      <c r="J37" s="378"/>
      <c r="K37" s="377"/>
      <c r="L37" s="377"/>
      <c r="M37" s="377"/>
      <c r="N37" s="377"/>
      <c r="O37" s="378"/>
      <c r="P37" s="377"/>
      <c r="Q37" s="377"/>
      <c r="R37" s="377"/>
      <c r="S37" s="377"/>
      <c r="T37" s="378"/>
      <c r="U37" s="377"/>
      <c r="V37" s="377"/>
      <c r="W37" s="377"/>
      <c r="X37" s="379"/>
      <c r="Y37" s="378"/>
      <c r="Z37" s="379"/>
      <c r="AA37" s="379"/>
      <c r="AB37" s="379"/>
      <c r="AC37" s="379"/>
      <c r="AD37" s="378"/>
      <c r="AE37" s="168"/>
      <c r="AF37" s="168"/>
      <c r="AG37" s="168"/>
      <c r="AH37" s="16"/>
      <c r="AI37" s="16"/>
    </row>
    <row r="38" ht="12.75" customHeight="1" spans="1:35" x14ac:dyDescent="0.25">
      <c r="A38" s="16"/>
      <c r="B38" s="16"/>
      <c r="C38" s="512" t="s">
        <v>484</v>
      </c>
      <c r="D38" s="513"/>
      <c r="E38" s="513"/>
      <c r="F38" s="514"/>
      <c r="G38" s="515"/>
      <c r="H38" s="515"/>
      <c r="I38" s="515"/>
      <c r="J38" s="515"/>
      <c r="K38" s="515"/>
      <c r="L38" s="515"/>
      <c r="M38" s="515"/>
      <c r="N38" s="515"/>
      <c r="O38" s="515"/>
      <c r="P38" s="515"/>
      <c r="Q38" s="515"/>
      <c r="R38" s="515"/>
      <c r="S38" s="515"/>
      <c r="T38" s="515"/>
      <c r="U38" s="515"/>
      <c r="V38" s="515"/>
      <c r="W38" s="515"/>
      <c r="X38" s="515"/>
      <c r="Y38" s="515"/>
      <c r="Z38" s="515"/>
      <c r="AA38" s="515"/>
      <c r="AB38" s="515"/>
      <c r="AC38" s="515"/>
      <c r="AD38" s="515"/>
      <c r="AE38" s="515"/>
      <c r="AF38" s="515"/>
      <c r="AG38" s="516"/>
      <c r="AH38" s="16"/>
      <c r="AI38" s="16"/>
    </row>
    <row r="39" ht="12.75" customHeight="1" spans="1:35" x14ac:dyDescent="0.25">
      <c r="A39" s="16"/>
      <c r="B39" s="16"/>
      <c r="C39" s="16"/>
      <c r="D39" s="16"/>
      <c r="E39" s="16"/>
      <c r="F39" s="377"/>
      <c r="G39" s="377"/>
      <c r="H39" s="377"/>
      <c r="I39" s="377"/>
      <c r="J39" s="378"/>
      <c r="K39" s="377"/>
      <c r="L39" s="377"/>
      <c r="M39" s="377"/>
      <c r="N39" s="377"/>
      <c r="O39" s="378"/>
      <c r="P39" s="377"/>
      <c r="Q39" s="377"/>
      <c r="R39" s="377"/>
      <c r="S39" s="377"/>
      <c r="T39" s="378"/>
      <c r="U39" s="377"/>
      <c r="V39" s="377"/>
      <c r="W39" s="377"/>
      <c r="X39" s="379"/>
      <c r="Y39" s="378"/>
      <c r="Z39" s="379"/>
      <c r="AA39" s="379"/>
      <c r="AB39" s="379"/>
      <c r="AC39" s="379"/>
      <c r="AD39" s="378"/>
      <c r="AE39" s="168"/>
      <c r="AF39" s="168"/>
      <c r="AG39" s="168"/>
      <c r="AH39" s="16"/>
      <c r="AI39" s="16"/>
    </row>
    <row r="40" ht="12.75" customHeight="1" spans="1:35" x14ac:dyDescent="0.25">
      <c r="A40" s="16"/>
      <c r="B40" s="16"/>
      <c r="C40" s="16" t="str">
        <f ca="1">Model!C67</f>
        <v>SG&amp;A as % of Revenue</v>
      </c>
      <c r="D40" s="16"/>
      <c r="E40" s="16"/>
      <c r="F40" s="377">
        <f ca="1">Model!F67</f>
        <v>-0.24118663594470047</v>
      </c>
      <c r="G40" s="377">
        <f ca="1">Model!G67</f>
        <v>-0.2245787054768288</v>
      </c>
      <c r="H40" s="377">
        <f ca="1">Model!H67</f>
        <v>-0.24519092736147</v>
      </c>
      <c r="I40" s="377">
        <f ca="1">Model!I67</f>
        <v>-0.27259363415569476</v>
      </c>
      <c r="J40" s="378">
        <f ca="1">Model!J67</f>
        <v>-0.2441907753579492</v>
      </c>
      <c r="K40" s="377">
        <f ca="1">Model!K67</f>
        <v>-0.21768784172256356</v>
      </c>
      <c r="L40" s="377">
        <f ca="1">Model!L67</f>
        <v>-0.19283536585365854</v>
      </c>
      <c r="M40" s="377">
        <f ca="1">Model!M67</f>
        <v>-0.21693121693121692</v>
      </c>
      <c r="N40" s="377">
        <f ca="1">Model!N67</f>
        <v>-0.2299245024021963</v>
      </c>
      <c r="O40" s="378">
        <f ca="1">Model!O67</f>
        <v>-0.21299273715141098</v>
      </c>
      <c r="P40" s="377">
        <f ca="1">Model!P67</f>
        <v>-0.21326556543837358</v>
      </c>
      <c r="Q40" s="377">
        <f ca="1">Model!Q67</f>
        <v>-0.18386931360339903</v>
      </c>
      <c r="R40" s="377">
        <f ca="1">Model!R67</f>
        <v>-0.2138150522210767</v>
      </c>
      <c r="S40" s="377">
        <f ca="1">Model!S67</f>
        <v>-0.16281817734232681</v>
      </c>
      <c r="T40" s="378">
        <f ca="1">Model!T67</f>
        <v>-0.19300869448753866</v>
      </c>
      <c r="U40" s="377">
        <f ca="1">Model!U67</f>
        <v>-0.18401441323396936</v>
      </c>
      <c r="V40" s="377">
        <f ca="1">Model!V67</f>
        <v>-0.17022125498730503</v>
      </c>
      <c r="W40" s="377">
        <f ca="1">Model!W67</f>
        <v>-0.19081071646740552</v>
      </c>
      <c r="X40" s="379">
        <f ca="1">IF(Case_Scenario="Bull",X41,IF(Case_Scenario="Base",X42,IF(Case_Scenario="bear",X43,"N/A")))</f>
        <v>-0.22</v>
      </c>
      <c r="Y40" s="378">
        <f ca="1">Model!Y67</f>
        <v>-0.18979585673045993</v>
      </c>
      <c r="Z40" s="379">
        <f ca="1">IF(Case_Scenario="Bull",Z41,IF(Case_Scenario="Base",Z42,IF(Case_Scenario="bear",Z43,"N/A")))</f>
        <v>-0.225</v>
      </c>
      <c r="AA40" s="379">
        <f ca="1">IF(Case_Scenario="Bull",AA41,IF(Case_Scenario="Base",AA42,IF(Case_Scenario="bear",AA43,"N/A")))</f>
        <v>-0.225</v>
      </c>
      <c r="AB40" s="379">
        <f ca="1">IF(Case_Scenario="Bull",AB41,IF(Case_Scenario="Base",AB42,IF(Case_Scenario="bear",AB43,"N/A")))</f>
        <v>-0.22</v>
      </c>
      <c r="AC40" s="379">
        <f ca="1">IF(Case_Scenario="Bull",AC41,IF(Case_Scenario="Base",AC42,IF(Case_Scenario="bear",AC43,"N/A")))</f>
        <v>-0.22</v>
      </c>
      <c r="AD40" s="378">
        <f ca="1">Model!AD67</f>
        <v>-0.22261215163174033</v>
      </c>
      <c r="AE40" s="378">
        <f ca="1">IF(Case_Scenario="Bull",AE41,IF(Case_Scenario="Base",AE42,IF(Case_Scenario="bear",AE43,"N/A")))</f>
        <v>-0.215</v>
      </c>
      <c r="AF40" s="378">
        <f ca="1">IF(Case_Scenario="Bull",AF41,IF(Case_Scenario="Base",AF42,IF(Case_Scenario="bear",AF43,"N/A")))</f>
        <v>-0.211</v>
      </c>
      <c r="AG40" s="378">
        <f ca="1">IF(Case_Scenario="Bull",AG41,IF(Case_Scenario="Base",AG42,IF(Case_Scenario="bear",AG43,"N/A")))</f>
        <v>-0.206</v>
      </c>
      <c r="AH40" s="16"/>
      <c r="AI40" s="16"/>
    </row>
    <row r="41" ht="12.75" customHeight="1" spans="1:35" x14ac:dyDescent="0.25">
      <c r="A41" s="16"/>
      <c r="B41" s="16"/>
      <c r="C41" s="139" t="s">
        <v>251</v>
      </c>
      <c r="D41" s="16"/>
      <c r="E41" s="16"/>
      <c r="F41" s="377"/>
      <c r="G41" s="377"/>
      <c r="H41" s="377"/>
      <c r="I41" s="377"/>
      <c r="J41" s="378"/>
      <c r="K41" s="377"/>
      <c r="L41" s="377"/>
      <c r="M41" s="377"/>
      <c r="N41" s="377"/>
      <c r="O41" s="378"/>
      <c r="P41" s="377"/>
      <c r="Q41" s="377"/>
      <c r="R41" s="377"/>
      <c r="S41" s="377"/>
      <c r="T41" s="378"/>
      <c r="U41" s="377"/>
      <c r="V41" s="377"/>
      <c r="W41" s="377"/>
      <c r="X41" s="320">
        <v>-0.19</v>
      </c>
      <c r="Y41" s="378"/>
      <c r="Z41" s="320">
        <v>-0.19</v>
      </c>
      <c r="AA41" s="320">
        <v>-0.19</v>
      </c>
      <c r="AB41" s="320">
        <v>-0.19</v>
      </c>
      <c r="AC41" s="320">
        <v>-0.19</v>
      </c>
      <c r="AD41" s="378"/>
      <c r="AE41" s="321">
        <v>-0.19</v>
      </c>
      <c r="AF41" s="321">
        <v>-0.19</v>
      </c>
      <c r="AG41" s="321">
        <v>-0.19</v>
      </c>
      <c r="AH41" s="16"/>
      <c r="AI41" s="16"/>
    </row>
    <row r="42" ht="12.75" customHeight="1" spans="1:35" x14ac:dyDescent="0.25">
      <c r="A42" s="16"/>
      <c r="B42" s="16"/>
      <c r="C42" s="139" t="s">
        <v>252</v>
      </c>
      <c r="D42" s="16"/>
      <c r="E42" s="16"/>
      <c r="F42" s="377"/>
      <c r="G42" s="377"/>
      <c r="H42" s="377"/>
      <c r="I42" s="377"/>
      <c r="J42" s="378"/>
      <c r="K42" s="377"/>
      <c r="L42" s="377"/>
      <c r="M42" s="377"/>
      <c r="N42" s="377"/>
      <c r="O42" s="378"/>
      <c r="P42" s="377"/>
      <c r="Q42" s="377"/>
      <c r="R42" s="377"/>
      <c r="S42" s="377"/>
      <c r="T42" s="378"/>
      <c r="U42" s="377"/>
      <c r="V42" s="377"/>
      <c r="W42" s="377"/>
      <c r="X42" s="320">
        <v>-0.22</v>
      </c>
      <c r="Y42" s="378"/>
      <c r="Z42" s="320">
        <v>-0.225</v>
      </c>
      <c r="AA42" s="320">
        <v>-0.225</v>
      </c>
      <c r="AB42" s="320">
        <v>-0.22</v>
      </c>
      <c r="AC42" s="320">
        <v>-0.22</v>
      </c>
      <c r="AD42" s="378"/>
      <c r="AE42" s="321">
        <v>-0.215</v>
      </c>
      <c r="AF42" s="321">
        <v>-0.211</v>
      </c>
      <c r="AG42" s="321">
        <v>-0.206</v>
      </c>
      <c r="AH42" s="16"/>
      <c r="AI42" s="16"/>
    </row>
    <row r="43" ht="12.75" customHeight="1" spans="1:35" x14ac:dyDescent="0.25">
      <c r="A43" s="264" t="s">
        <v>1</v>
      </c>
      <c r="B43" s="16"/>
      <c r="C43" s="139" t="s">
        <v>253</v>
      </c>
      <c r="D43" s="16"/>
      <c r="E43" s="16"/>
      <c r="F43" s="377"/>
      <c r="G43" s="377"/>
      <c r="H43" s="377"/>
      <c r="I43" s="377"/>
      <c r="J43" s="378"/>
      <c r="K43" s="377"/>
      <c r="L43" s="377"/>
      <c r="M43" s="377"/>
      <c r="N43" s="377"/>
      <c r="O43" s="378"/>
      <c r="P43" s="377"/>
      <c r="Q43" s="377"/>
      <c r="R43" s="377"/>
      <c r="S43" s="377"/>
      <c r="T43" s="378"/>
      <c r="U43" s="377"/>
      <c r="V43" s="377"/>
      <c r="W43" s="377"/>
      <c r="X43" s="320">
        <v>-0.22</v>
      </c>
      <c r="Y43" s="378"/>
      <c r="Z43" s="320">
        <v>-0.22</v>
      </c>
      <c r="AA43" s="320">
        <v>-0.22</v>
      </c>
      <c r="AB43" s="320">
        <v>-0.22</v>
      </c>
      <c r="AC43" s="320">
        <v>-0.22</v>
      </c>
      <c r="AD43" s="378"/>
      <c r="AE43" s="321">
        <v>-0.22</v>
      </c>
      <c r="AF43" s="321">
        <v>-0.22</v>
      </c>
      <c r="AG43" s="321">
        <v>-0.22</v>
      </c>
      <c r="AH43" s="264" t="s">
        <v>1</v>
      </c>
      <c r="AI43" s="264"/>
    </row>
    <row r="44" ht="12.75" customHeight="1" spans="1:35" x14ac:dyDescent="0.25">
      <c r="A44" s="264"/>
      <c r="B44" s="16"/>
      <c r="C44" s="16"/>
      <c r="D44" s="16"/>
      <c r="E44" s="16"/>
      <c r="F44" s="377"/>
      <c r="G44" s="377"/>
      <c r="H44" s="377"/>
      <c r="I44" s="377"/>
      <c r="J44" s="378"/>
      <c r="K44" s="377"/>
      <c r="L44" s="377"/>
      <c r="M44" s="377"/>
      <c r="N44" s="377"/>
      <c r="O44" s="378"/>
      <c r="P44" s="377"/>
      <c r="Q44" s="377"/>
      <c r="R44" s="377"/>
      <c r="S44" s="377"/>
      <c r="T44" s="378"/>
      <c r="U44" s="377"/>
      <c r="V44" s="377"/>
      <c r="W44" s="377"/>
      <c r="X44" s="379"/>
      <c r="Y44" s="378"/>
      <c r="Z44" s="379"/>
      <c r="AA44" s="379"/>
      <c r="AB44" s="379"/>
      <c r="AC44" s="379"/>
      <c r="AD44" s="378"/>
      <c r="AE44" s="168"/>
      <c r="AF44" s="168"/>
      <c r="AG44" s="168"/>
      <c r="AH44" s="16"/>
      <c r="AI44" s="16"/>
    </row>
    <row r="45" ht="12.75" customHeight="1" spans="1:35" x14ac:dyDescent="0.25">
      <c r="A45" s="16"/>
      <c r="B45" s="16"/>
      <c r="C45" s="16" t="str">
        <f ca="1">Model!C68</f>
        <v>R&amp;D as a % of Revenue</v>
      </c>
      <c r="D45" s="16"/>
      <c r="E45" s="16"/>
      <c r="F45" s="377">
        <f ca="1">Model!F68</f>
        <v>-0.19522200772200773</v>
      </c>
      <c r="G45" s="377">
        <f ca="1">Model!G68</f>
        <v>-0.2720763723150358</v>
      </c>
      <c r="H45" s="377">
        <f ca="1">Model!H68</f>
        <v>-0.32793795312763446</v>
      </c>
      <c r="I45" s="377">
        <f ca="1">Model!I68</f>
        <v>-0.3225913072219468</v>
      </c>
      <c r="J45" s="378">
        <f ca="1">Model!J68</f>
        <v>-0.2720768147104619</v>
      </c>
      <c r="K45" s="377">
        <f ca="1">Model!K68</f>
        <v>-0.260706340378198</v>
      </c>
      <c r="L45" s="377">
        <f ca="1">Model!L68</f>
        <v>-0.15103279780854373</v>
      </c>
      <c r="M45" s="377">
        <f ca="1">Model!M68</f>
        <v>-0.12660044150110375</v>
      </c>
      <c r="N45" s="377">
        <f ca="1">Model!N68</f>
        <v>-0.11152332262588789</v>
      </c>
      <c r="O45" s="378">
        <f ca="1">Model!O68</f>
        <v>-0.14237877942286858</v>
      </c>
      <c r="P45" s="377">
        <f ca="1">Model!P68</f>
        <v>-0.10443864229765012</v>
      </c>
      <c r="Q45" s="377">
        <f ca="1">Model!Q68</f>
        <v>-0.10286284953395473</v>
      </c>
      <c r="R45" s="377">
        <f ca="1">Model!R68</f>
        <v>-0.09663075081238241</v>
      </c>
      <c r="S45" s="377">
        <f ca="1">Model!S68</f>
        <v>-0.09442933055350741</v>
      </c>
      <c r="T45" s="378">
        <f ca="1">Model!T68</f>
        <v>-0.0989601293516326</v>
      </c>
      <c r="U45" s="377">
        <f ca="1">Model!U68</f>
        <v>-0.09053152376197177</v>
      </c>
      <c r="V45" s="377">
        <f ca="1">Model!V68</f>
        <v>-0.0917998416875254</v>
      </c>
      <c r="W45" s="377">
        <f ca="1">Model!W68</f>
        <v>1e-12</v>
      </c>
      <c r="X45" s="379">
        <f ca="1">IF(Case_Scenario="Bull",X46,IF(Case_Scenario="Base",X47,IF(Case_Scenario="bear",X48,"N/A")))</f>
        <v>0</v>
      </c>
      <c r="Y45" s="378">
        <f ca="1">Model!Y68</f>
        <v>-0.06110922092385628</v>
      </c>
      <c r="Z45" s="379">
        <f ca="1">IF(Case_Scenario="Bull",Z46,IF(Case_Scenario="Base",Z47,IF(Case_Scenario="bear",Z48,"N/A")))</f>
        <v>0</v>
      </c>
      <c r="AA45" s="379">
        <f ca="1">IF(Case_Scenario="Bull",AA46,IF(Case_Scenario="Base",AA47,IF(Case_Scenario="bear",AA48,"N/A")))</f>
        <v>0</v>
      </c>
      <c r="AB45" s="379">
        <f ca="1">IF(Case_Scenario="Bull",AB46,IF(Case_Scenario="Base",AB47,IF(Case_Scenario="bear",AB48,"N/A")))</f>
        <v>0</v>
      </c>
      <c r="AC45" s="379">
        <f ca="1">IF(Case_Scenario="Bull",AC46,IF(Case_Scenario="Base",AC47,IF(Case_Scenario="bear",AC48,"N/A")))</f>
        <v>0</v>
      </c>
      <c r="AD45" s="378">
        <f ca="1">Model!AD68</f>
        <v>1e-12</v>
      </c>
      <c r="AE45" s="378">
        <f ca="1">IF(Case_Scenario="Bull",AE46,IF(Case_Scenario="Base",AE47,IF(Case_Scenario="bear",AE48,"N/A")))</f>
        <v>0</v>
      </c>
      <c r="AF45" s="378">
        <f ca="1">IF(Case_Scenario="Bull",AF46,IF(Case_Scenario="Base",AF47,IF(Case_Scenario="bear",AF48,"N/A")))</f>
        <v>0</v>
      </c>
      <c r="AG45" s="378">
        <f ca="1">IF(Case_Scenario="Bull",AG46,IF(Case_Scenario="Base",AG47,IF(Case_Scenario="bear",AG48,"N/A")))</f>
        <v>0</v>
      </c>
      <c r="AH45" s="16"/>
      <c r="AI45" s="16"/>
    </row>
    <row r="46" ht="12.75" customHeight="1" spans="1:35" x14ac:dyDescent="0.25">
      <c r="A46" s="16"/>
      <c r="B46" s="16"/>
      <c r="C46" s="139" t="s">
        <v>251</v>
      </c>
      <c r="D46" s="16"/>
      <c r="E46" s="16"/>
      <c r="F46" s="377"/>
      <c r="G46" s="377"/>
      <c r="H46" s="377"/>
      <c r="I46" s="377"/>
      <c r="J46" s="378"/>
      <c r="K46" s="377"/>
      <c r="L46" s="377"/>
      <c r="M46" s="377"/>
      <c r="N46" s="377"/>
      <c r="O46" s="378"/>
      <c r="P46" s="377"/>
      <c r="Q46" s="377"/>
      <c r="R46" s="377"/>
      <c r="S46" s="377"/>
      <c r="T46" s="378"/>
      <c r="U46" s="377"/>
      <c r="V46" s="377"/>
      <c r="W46" s="377"/>
      <c r="X46" s="320">
        <v>0</v>
      </c>
      <c r="Y46" s="378"/>
      <c r="Z46" s="320">
        <v>0</v>
      </c>
      <c r="AA46" s="320">
        <v>0</v>
      </c>
      <c r="AB46" s="320">
        <v>0</v>
      </c>
      <c r="AC46" s="320">
        <v>0</v>
      </c>
      <c r="AD46" s="378"/>
      <c r="AE46" s="321">
        <v>0</v>
      </c>
      <c r="AF46" s="321">
        <v>0</v>
      </c>
      <c r="AG46" s="321">
        <v>0</v>
      </c>
      <c r="AH46" s="16"/>
      <c r="AI46" s="16"/>
    </row>
    <row r="47" ht="12.75" customHeight="1" spans="1:35" x14ac:dyDescent="0.25">
      <c r="A47" s="16"/>
      <c r="B47" s="16"/>
      <c r="C47" s="139" t="s">
        <v>252</v>
      </c>
      <c r="D47" s="16"/>
      <c r="E47" s="16"/>
      <c r="F47" s="377"/>
      <c r="G47" s="377"/>
      <c r="H47" s="377"/>
      <c r="I47" s="377"/>
      <c r="J47" s="378"/>
      <c r="K47" s="377"/>
      <c r="L47" s="377"/>
      <c r="M47" s="377"/>
      <c r="N47" s="377"/>
      <c r="O47" s="378"/>
      <c r="P47" s="377"/>
      <c r="Q47" s="377"/>
      <c r="R47" s="377"/>
      <c r="S47" s="377"/>
      <c r="T47" s="378"/>
      <c r="U47" s="377"/>
      <c r="V47" s="377"/>
      <c r="W47" s="377"/>
      <c r="X47" s="320">
        <v>0</v>
      </c>
      <c r="Y47" s="378"/>
      <c r="Z47" s="320">
        <v>0</v>
      </c>
      <c r="AA47" s="320">
        <v>0</v>
      </c>
      <c r="AB47" s="320">
        <v>0</v>
      </c>
      <c r="AC47" s="320">
        <v>0</v>
      </c>
      <c r="AD47" s="378"/>
      <c r="AE47" s="321">
        <v>0</v>
      </c>
      <c r="AF47" s="321">
        <v>0</v>
      </c>
      <c r="AG47" s="321">
        <v>0</v>
      </c>
      <c r="AH47" s="16"/>
      <c r="AI47" s="16"/>
    </row>
    <row r="48" ht="12.75" customHeight="1" spans="1:35" x14ac:dyDescent="0.25">
      <c r="A48" s="16"/>
      <c r="B48" s="16"/>
      <c r="C48" s="139" t="s">
        <v>253</v>
      </c>
      <c r="D48" s="16"/>
      <c r="E48" s="16"/>
      <c r="F48" s="377"/>
      <c r="G48" s="377"/>
      <c r="H48" s="377"/>
      <c r="I48" s="377"/>
      <c r="J48" s="378"/>
      <c r="K48" s="377"/>
      <c r="L48" s="377"/>
      <c r="M48" s="377"/>
      <c r="N48" s="377"/>
      <c r="O48" s="378"/>
      <c r="P48" s="377"/>
      <c r="Q48" s="377"/>
      <c r="R48" s="377"/>
      <c r="S48" s="377"/>
      <c r="T48" s="378"/>
      <c r="U48" s="377"/>
      <c r="V48" s="377"/>
      <c r="W48" s="377"/>
      <c r="X48" s="320">
        <v>0</v>
      </c>
      <c r="Y48" s="378"/>
      <c r="Z48" s="320">
        <v>0</v>
      </c>
      <c r="AA48" s="320">
        <v>0</v>
      </c>
      <c r="AB48" s="320">
        <v>0</v>
      </c>
      <c r="AC48" s="320">
        <v>0</v>
      </c>
      <c r="AD48" s="378"/>
      <c r="AE48" s="321">
        <v>0</v>
      </c>
      <c r="AF48" s="321">
        <v>0</v>
      </c>
      <c r="AG48" s="321">
        <v>0</v>
      </c>
      <c r="AH48" s="16"/>
      <c r="AI48" s="16"/>
    </row>
    <row r="49" ht="12.75" customHeight="1" spans="1:35" x14ac:dyDescent="0.25">
      <c r="A49" s="16"/>
      <c r="B49" s="16"/>
      <c r="C49" s="16"/>
      <c r="D49" s="16"/>
      <c r="E49" s="16"/>
      <c r="F49" s="377"/>
      <c r="G49" s="377"/>
      <c r="H49" s="377"/>
      <c r="I49" s="377"/>
      <c r="J49" s="378"/>
      <c r="K49" s="377"/>
      <c r="L49" s="377"/>
      <c r="M49" s="377"/>
      <c r="N49" s="377"/>
      <c r="O49" s="378"/>
      <c r="P49" s="377"/>
      <c r="Q49" s="377"/>
      <c r="R49" s="377"/>
      <c r="S49" s="377"/>
      <c r="T49" s="378"/>
      <c r="U49" s="377"/>
      <c r="V49" s="377"/>
      <c r="W49" s="377"/>
      <c r="X49" s="379"/>
      <c r="Y49" s="378"/>
      <c r="Z49" s="379"/>
      <c r="AA49" s="379"/>
      <c r="AB49" s="379"/>
      <c r="AC49" s="379"/>
      <c r="AD49" s="378"/>
      <c r="AE49" s="168"/>
      <c r="AF49" s="168"/>
      <c r="AG49" s="168"/>
      <c r="AH49" s="16"/>
      <c r="AI49" s="16"/>
    </row>
    <row r="50" ht="12.75" customHeight="1" spans="1:35" x14ac:dyDescent="0.25">
      <c r="A50" s="16"/>
      <c r="B50" s="16"/>
      <c r="C50" s="16" t="str">
        <f ca="1">Model!C69</f>
        <v>Other Operating Income as a % of Revenue</v>
      </c>
      <c r="D50" s="16"/>
      <c r="E50" s="16"/>
      <c r="F50" s="377">
        <f ca="1">Model!F69</f>
        <v>1e-12</v>
      </c>
      <c r="G50" s="377">
        <f ca="1">Model!G69</f>
        <v>1e-12</v>
      </c>
      <c r="H50" s="377">
        <f ca="1">Model!H69</f>
        <v>1e-12</v>
      </c>
      <c r="I50" s="377">
        <f ca="1">Model!I69</f>
        <v>1e-12</v>
      </c>
      <c r="J50" s="378">
        <f ca="1">Model!J69</f>
        <v>1e-12</v>
      </c>
      <c r="K50" s="377">
        <f ca="1">Model!K69</f>
        <v>1e-12</v>
      </c>
      <c r="L50" s="377">
        <f ca="1">Model!L69</f>
        <v>1e-12</v>
      </c>
      <c r="M50" s="377">
        <f ca="1">Model!M69</f>
        <v>1e-12</v>
      </c>
      <c r="N50" s="377">
        <f ca="1">Model!N69</f>
        <v>1e-12</v>
      </c>
      <c r="O50" s="378">
        <f ca="1">Model!O69</f>
        <v>1e-12</v>
      </c>
      <c r="P50" s="377">
        <f ca="1">Model!P69</f>
        <v>1e-12</v>
      </c>
      <c r="Q50" s="377">
        <f ca="1">Model!Q69</f>
        <v>1e-12</v>
      </c>
      <c r="R50" s="377">
        <f ca="1">Model!R69</f>
        <v>1e-12</v>
      </c>
      <c r="S50" s="377">
        <f ca="1">Model!S69</f>
        <v>1e-12</v>
      </c>
      <c r="T50" s="378">
        <f ca="1">Model!T69</f>
        <v>1e-12</v>
      </c>
      <c r="U50" s="377">
        <f ca="1">Model!U69</f>
        <v>1e-12</v>
      </c>
      <c r="V50" s="377">
        <f ca="1">Model!V69</f>
        <v>1e-12</v>
      </c>
      <c r="W50" s="377">
        <f ca="1">Model!W69</f>
        <v>1e-12</v>
      </c>
      <c r="X50" s="379">
        <f ca="1">IF(Case_Scenario="Bull",X51,IF(Case_Scenario="Base",X52,IF(Case_Scenario="bear",X53,"N/A")))</f>
        <v>0</v>
      </c>
      <c r="Y50" s="378">
        <f ca="1">Model!Y69</f>
        <v>1e-12</v>
      </c>
      <c r="Z50" s="379">
        <f ca="1">IF(Case_Scenario="Bull",Z51,IF(Case_Scenario="Base",Z52,IF(Case_Scenario="bear",Z53,"N/A")))</f>
        <v>0</v>
      </c>
      <c r="AA50" s="379">
        <f ca="1">IF(Case_Scenario="Bull",AA51,IF(Case_Scenario="Base",AA52,IF(Case_Scenario="bear",AA53,"N/A")))</f>
        <v>0</v>
      </c>
      <c r="AB50" s="379">
        <f ca="1">IF(Case_Scenario="Bull",AB51,IF(Case_Scenario="Base",AB52,IF(Case_Scenario="bear",AB53,"N/A")))</f>
        <v>0</v>
      </c>
      <c r="AC50" s="379">
        <f ca="1">IF(Case_Scenario="Bull",AC51,IF(Case_Scenario="Base",AC52,IF(Case_Scenario="bear",AC53,"N/A")))</f>
        <v>0</v>
      </c>
      <c r="AD50" s="378">
        <f ca="1">Model!AD69</f>
        <v>1e-12</v>
      </c>
      <c r="AE50" s="378">
        <f ca="1">IF(Case_Scenario="Bull",AE51,IF(Case_Scenario="Base",AE52,IF(Case_Scenario="bear",AE53,"N/A")))</f>
        <v>0</v>
      </c>
      <c r="AF50" s="378">
        <f ca="1">IF(Case_Scenario="Bull",AF51,IF(Case_Scenario="Base",AF52,IF(Case_Scenario="bear",AF53,"N/A")))</f>
        <v>0</v>
      </c>
      <c r="AG50" s="378">
        <f ca="1">IF(Case_Scenario="Bull",AG51,IF(Case_Scenario="Base",AG52,IF(Case_Scenario="bear",AG53,"N/A")))</f>
        <v>0</v>
      </c>
      <c r="AH50" s="16"/>
      <c r="AI50" s="16"/>
    </row>
    <row r="51" ht="12.75" customHeight="1" spans="1:35" x14ac:dyDescent="0.25">
      <c r="A51" s="16"/>
      <c r="B51" s="16"/>
      <c r="C51" s="139" t="s">
        <v>251</v>
      </c>
      <c r="D51" s="16"/>
      <c r="E51" s="16"/>
      <c r="F51" s="377"/>
      <c r="G51" s="377"/>
      <c r="H51" s="377"/>
      <c r="I51" s="377"/>
      <c r="J51" s="378"/>
      <c r="K51" s="377"/>
      <c r="L51" s="377"/>
      <c r="M51" s="377"/>
      <c r="N51" s="377"/>
      <c r="O51" s="378"/>
      <c r="P51" s="377"/>
      <c r="Q51" s="377"/>
      <c r="R51" s="377"/>
      <c r="S51" s="377"/>
      <c r="T51" s="378"/>
      <c r="U51" s="377"/>
      <c r="V51" s="377"/>
      <c r="W51" s="377"/>
      <c r="X51" s="320">
        <v>0</v>
      </c>
      <c r="Y51" s="378"/>
      <c r="Z51" s="320">
        <v>0</v>
      </c>
      <c r="AA51" s="320">
        <v>0</v>
      </c>
      <c r="AB51" s="320">
        <v>0</v>
      </c>
      <c r="AC51" s="320">
        <v>0</v>
      </c>
      <c r="AD51" s="378"/>
      <c r="AE51" s="321">
        <v>0</v>
      </c>
      <c r="AF51" s="321">
        <v>0</v>
      </c>
      <c r="AG51" s="321">
        <v>0</v>
      </c>
      <c r="AH51" s="16"/>
      <c r="AI51" s="16"/>
    </row>
    <row r="52" ht="12.75" customHeight="1" spans="1:35" x14ac:dyDescent="0.25">
      <c r="A52" s="16"/>
      <c r="B52" s="16"/>
      <c r="C52" s="139" t="s">
        <v>252</v>
      </c>
      <c r="D52" s="16"/>
      <c r="E52" s="16"/>
      <c r="F52" s="377"/>
      <c r="G52" s="377"/>
      <c r="H52" s="377"/>
      <c r="I52" s="377"/>
      <c r="J52" s="378"/>
      <c r="K52" s="377"/>
      <c r="L52" s="377"/>
      <c r="M52" s="377"/>
      <c r="N52" s="377"/>
      <c r="O52" s="378"/>
      <c r="P52" s="377"/>
      <c r="Q52" s="377"/>
      <c r="R52" s="377"/>
      <c r="S52" s="377"/>
      <c r="T52" s="378"/>
      <c r="U52" s="377"/>
      <c r="V52" s="377"/>
      <c r="W52" s="377"/>
      <c r="X52" s="320">
        <v>0</v>
      </c>
      <c r="Y52" s="378"/>
      <c r="Z52" s="320">
        <v>0</v>
      </c>
      <c r="AA52" s="320">
        <v>0</v>
      </c>
      <c r="AB52" s="320">
        <v>0</v>
      </c>
      <c r="AC52" s="320">
        <v>0</v>
      </c>
      <c r="AD52" s="378"/>
      <c r="AE52" s="321">
        <v>0</v>
      </c>
      <c r="AF52" s="321">
        <v>0</v>
      </c>
      <c r="AG52" s="321">
        <v>0</v>
      </c>
      <c r="AH52" s="16"/>
      <c r="AI52" s="16"/>
    </row>
    <row r="53" ht="12.75" customHeight="1" spans="1:35" x14ac:dyDescent="0.25">
      <c r="A53" s="16"/>
      <c r="B53" s="16"/>
      <c r="C53" s="139" t="s">
        <v>253</v>
      </c>
      <c r="D53" s="16"/>
      <c r="E53" s="16"/>
      <c r="F53" s="377"/>
      <c r="G53" s="377"/>
      <c r="H53" s="377"/>
      <c r="I53" s="377"/>
      <c r="J53" s="378"/>
      <c r="K53" s="377"/>
      <c r="L53" s="377"/>
      <c r="M53" s="377"/>
      <c r="N53" s="377"/>
      <c r="O53" s="378"/>
      <c r="P53" s="377"/>
      <c r="Q53" s="377"/>
      <c r="R53" s="377"/>
      <c r="S53" s="377"/>
      <c r="T53" s="378"/>
      <c r="U53" s="377"/>
      <c r="V53" s="377"/>
      <c r="W53" s="377"/>
      <c r="X53" s="320">
        <v>0</v>
      </c>
      <c r="Y53" s="378"/>
      <c r="Z53" s="320">
        <v>0</v>
      </c>
      <c r="AA53" s="320">
        <v>0</v>
      </c>
      <c r="AB53" s="320">
        <v>0</v>
      </c>
      <c r="AC53" s="320">
        <v>0</v>
      </c>
      <c r="AD53" s="378"/>
      <c r="AE53" s="321">
        <v>0</v>
      </c>
      <c r="AF53" s="321">
        <v>0</v>
      </c>
      <c r="AG53" s="321">
        <v>0</v>
      </c>
      <c r="AH53" s="16"/>
      <c r="AI53" s="16"/>
    </row>
    <row r="54" ht="12.75" customHeight="1" spans="1:35" x14ac:dyDescent="0.25">
      <c r="A54" s="16"/>
      <c r="B54" s="16"/>
      <c r="C54" s="16"/>
      <c r="D54" s="16"/>
      <c r="E54" s="16"/>
      <c r="F54" s="377"/>
      <c r="G54" s="377"/>
      <c r="H54" s="377"/>
      <c r="I54" s="377"/>
      <c r="J54" s="378"/>
      <c r="K54" s="377"/>
      <c r="L54" s="377"/>
      <c r="M54" s="377"/>
      <c r="N54" s="377"/>
      <c r="O54" s="378"/>
      <c r="P54" s="377"/>
      <c r="Q54" s="377"/>
      <c r="R54" s="377"/>
      <c r="S54" s="377"/>
      <c r="T54" s="378"/>
      <c r="U54" s="377"/>
      <c r="V54" s="377"/>
      <c r="W54" s="377"/>
      <c r="X54" s="379"/>
      <c r="Y54" s="378"/>
      <c r="Z54" s="379"/>
      <c r="AA54" s="379"/>
      <c r="AB54" s="379"/>
      <c r="AC54" s="379"/>
      <c r="AD54" s="378"/>
      <c r="AE54" s="168"/>
      <c r="AF54" s="168"/>
      <c r="AG54" s="168"/>
      <c r="AH54" s="16"/>
      <c r="AI54" s="16"/>
    </row>
    <row r="55" ht="12.75" customHeight="1" spans="1:35" x14ac:dyDescent="0.25">
      <c r="A55" s="16"/>
      <c r="B55" s="16"/>
      <c r="C55" s="512" t="s">
        <v>485</v>
      </c>
      <c r="D55" s="513"/>
      <c r="E55" s="513"/>
      <c r="F55" s="514"/>
      <c r="G55" s="515"/>
      <c r="H55" s="515"/>
      <c r="I55" s="515"/>
      <c r="J55" s="515"/>
      <c r="K55" s="515"/>
      <c r="L55" s="515"/>
      <c r="M55" s="515"/>
      <c r="N55" s="515"/>
      <c r="O55" s="515"/>
      <c r="P55" s="515"/>
      <c r="Q55" s="515"/>
      <c r="R55" s="515"/>
      <c r="S55" s="515"/>
      <c r="T55" s="515"/>
      <c r="U55" s="515"/>
      <c r="V55" s="515"/>
      <c r="W55" s="515"/>
      <c r="X55" s="515"/>
      <c r="Y55" s="515"/>
      <c r="Z55" s="515"/>
      <c r="AA55" s="515"/>
      <c r="AB55" s="515"/>
      <c r="AC55" s="515"/>
      <c r="AD55" s="515"/>
      <c r="AE55" s="515"/>
      <c r="AF55" s="515"/>
      <c r="AG55" s="516"/>
      <c r="AH55" s="16"/>
      <c r="AI55" s="16"/>
    </row>
    <row r="56" ht="12.75" customHeight="1" spans="1:35" x14ac:dyDescent="0.25">
      <c r="A56" s="264" t="s">
        <v>1</v>
      </c>
      <c r="B56" s="16"/>
      <c r="C56" s="16"/>
      <c r="D56" s="16"/>
      <c r="E56" s="16"/>
      <c r="F56" s="377"/>
      <c r="G56" s="377"/>
      <c r="H56" s="377"/>
      <c r="I56" s="377"/>
      <c r="J56" s="378"/>
      <c r="K56" s="377"/>
      <c r="L56" s="377"/>
      <c r="M56" s="377"/>
      <c r="N56" s="377"/>
      <c r="O56" s="378"/>
      <c r="P56" s="377"/>
      <c r="Q56" s="377"/>
      <c r="R56" s="377"/>
      <c r="S56" s="377"/>
      <c r="T56" s="378"/>
      <c r="U56" s="377"/>
      <c r="V56" s="377"/>
      <c r="W56" s="377"/>
      <c r="X56" s="379"/>
      <c r="Y56" s="378"/>
      <c r="Z56" s="379"/>
      <c r="AA56" s="379"/>
      <c r="AB56" s="379"/>
      <c r="AC56" s="379"/>
      <c r="AD56" s="378"/>
      <c r="AE56" s="168"/>
      <c r="AF56" s="168"/>
      <c r="AG56" s="168"/>
      <c r="AH56" s="264" t="s">
        <v>1</v>
      </c>
      <c r="AI56" s="264"/>
    </row>
    <row r="57" ht="12.75" customHeight="1" spans="1:35" x14ac:dyDescent="0.25">
      <c r="A57" s="16"/>
      <c r="B57" s="16"/>
      <c r="C57" s="16" t="str">
        <f ca="1">Model!C70</f>
        <v>Other Non-Operating Income as a % of Revenue</v>
      </c>
      <c r="D57" s="16"/>
      <c r="E57" s="16"/>
      <c r="F57" s="377">
        <f ca="1">Model!F70</f>
        <v>-0.0015685328185328184</v>
      </c>
      <c r="G57" s="377">
        <f ca="1">Model!G70</f>
        <v>-0.0007458233890214797</v>
      </c>
      <c r="H57" s="377">
        <f ca="1">Model!H70</f>
        <v>-0.0018546619457089867</v>
      </c>
      <c r="I57" s="377">
        <f ca="1">Model!I70</f>
        <v>-0.0031399768633283754</v>
      </c>
      <c r="J57" s="378">
        <f ca="1">Model!J70</f>
        <v>-0.0017794913620523467</v>
      </c>
      <c r="K57" s="377">
        <f ca="1">Model!K70</f>
        <v>-0.002085650723025584</v>
      </c>
      <c r="L57" s="377">
        <f ca="1">Model!L70</f>
        <v>0.004368105426815725</v>
      </c>
      <c r="M57" s="377">
        <f ca="1">Model!M70</f>
        <v>-0.003642384105960265</v>
      </c>
      <c r="N57" s="377">
        <f ca="1">Model!N70</f>
        <v>0.011808351807446953</v>
      </c>
      <c r="O57" s="378">
        <f ca="1">Model!O70</f>
        <v>0.003923049144808116</v>
      </c>
      <c r="P57" s="377">
        <f ca="1">Model!P70</f>
        <v>0.0028797419751190293</v>
      </c>
      <c r="Q57" s="377">
        <f ca="1">Model!Q70</f>
        <v>0.006291611185086551</v>
      </c>
      <c r="R57" s="377">
        <f ca="1">Model!R70</f>
        <v>-0.047514456049128156</v>
      </c>
      <c r="S57" s="377">
        <f ca="1">Model!S70</f>
        <v>-0.061296834227758355</v>
      </c>
      <c r="T57" s="378">
        <f ca="1">Model!T70</f>
        <v>-0.02572630780048439</v>
      </c>
      <c r="U57" s="377">
        <f ca="1">Model!U70</f>
        <v>-0.004085152739321865</v>
      </c>
      <c r="V57" s="377">
        <f ca="1">Model!V70</f>
        <v>0.0478360396209058</v>
      </c>
      <c r="W57" s="377">
        <f ca="1">Model!W70</f>
        <v>1e-12</v>
      </c>
      <c r="X57" s="379">
        <f ca="1">IF(Case_Scenario="Bull",X58,IF(Case_Scenario="Base",X59,IF(Case_Scenario="bear",X60,"N/A")))</f>
        <v>0</v>
      </c>
      <c r="Y57" s="378">
        <f ca="1">Model!Y70</f>
        <v>0.015173980461286053</v>
      </c>
      <c r="Z57" s="379">
        <f ca="1">IF(Case_Scenario="Bull",Z58,IF(Case_Scenario="Base",Z59,IF(Case_Scenario="bear",Z60,"N/A")))</f>
        <v>0</v>
      </c>
      <c r="AA57" s="379">
        <f ca="1">IF(Case_Scenario="Bull",AA58,IF(Case_Scenario="Base",AA59,IF(Case_Scenario="bear",AA60,"N/A")))</f>
        <v>0</v>
      </c>
      <c r="AB57" s="379">
        <f ca="1">IF(Case_Scenario="Bull",AB58,IF(Case_Scenario="Base",AB59,IF(Case_Scenario="bear",AB60,"N/A")))</f>
        <v>0</v>
      </c>
      <c r="AC57" s="379">
        <f ca="1">IF(Case_Scenario="Bull",AC58,IF(Case_Scenario="Base",AC59,IF(Case_Scenario="bear",AC60,"N/A")))</f>
        <v>0</v>
      </c>
      <c r="AD57" s="378">
        <f ca="1">Model!AD70</f>
        <v>1e-12</v>
      </c>
      <c r="AE57" s="378">
        <f ca="1">IF(Case_Scenario="Bull",AE58,IF(Case_Scenario="Base",AE59,IF(Case_Scenario="bear",AE60,"N/A")))</f>
        <v>0</v>
      </c>
      <c r="AF57" s="378">
        <f ca="1">IF(Case_Scenario="Bull",AF58,IF(Case_Scenario="Base",AF59,IF(Case_Scenario="bear",AF60,"N/A")))</f>
        <v>0</v>
      </c>
      <c r="AG57" s="378">
        <f ca="1">IF(Case_Scenario="Bull",AG58,IF(Case_Scenario="Base",AG59,IF(Case_Scenario="bear",AG60,"N/A")))</f>
        <v>0</v>
      </c>
      <c r="AH57" s="16"/>
      <c r="AI57" s="16"/>
    </row>
    <row r="58" ht="12.75" customHeight="1" spans="1:35" x14ac:dyDescent="0.25">
      <c r="A58" s="16"/>
      <c r="B58" s="16"/>
      <c r="C58" s="139" t="s">
        <v>251</v>
      </c>
      <c r="D58" s="16"/>
      <c r="E58" s="16"/>
      <c r="F58" s="377"/>
      <c r="G58" s="377"/>
      <c r="H58" s="377"/>
      <c r="I58" s="377"/>
      <c r="J58" s="378"/>
      <c r="K58" s="377"/>
      <c r="L58" s="377"/>
      <c r="M58" s="377"/>
      <c r="N58" s="377"/>
      <c r="O58" s="378"/>
      <c r="P58" s="377"/>
      <c r="Q58" s="377"/>
      <c r="R58" s="377"/>
      <c r="S58" s="377"/>
      <c r="T58" s="378"/>
      <c r="U58" s="377"/>
      <c r="V58" s="377"/>
      <c r="W58" s="377"/>
      <c r="X58" s="320">
        <v>0</v>
      </c>
      <c r="Y58" s="378"/>
      <c r="Z58" s="320">
        <v>0</v>
      </c>
      <c r="AA58" s="320">
        <v>0</v>
      </c>
      <c r="AB58" s="320">
        <v>0</v>
      </c>
      <c r="AC58" s="320">
        <v>0</v>
      </c>
      <c r="AD58" s="378"/>
      <c r="AE58" s="321">
        <v>0</v>
      </c>
      <c r="AF58" s="321">
        <v>0</v>
      </c>
      <c r="AG58" s="321">
        <v>0</v>
      </c>
      <c r="AH58" s="16"/>
      <c r="AI58" s="16"/>
    </row>
    <row r="59" ht="12.75" customHeight="1" spans="1:35" x14ac:dyDescent="0.25">
      <c r="A59" s="16"/>
      <c r="B59" s="16"/>
      <c r="C59" s="139" t="s">
        <v>252</v>
      </c>
      <c r="D59" s="16"/>
      <c r="E59" s="16"/>
      <c r="F59" s="377"/>
      <c r="G59" s="377"/>
      <c r="H59" s="377"/>
      <c r="I59" s="377"/>
      <c r="J59" s="378"/>
      <c r="K59" s="377"/>
      <c r="L59" s="377"/>
      <c r="M59" s="377"/>
      <c r="N59" s="377"/>
      <c r="O59" s="378"/>
      <c r="P59" s="377"/>
      <c r="Q59" s="377"/>
      <c r="R59" s="377"/>
      <c r="S59" s="377"/>
      <c r="T59" s="378"/>
      <c r="U59" s="377"/>
      <c r="V59" s="377"/>
      <c r="W59" s="377"/>
      <c r="X59" s="320">
        <v>0</v>
      </c>
      <c r="Y59" s="378"/>
      <c r="Z59" s="320">
        <v>0</v>
      </c>
      <c r="AA59" s="320">
        <v>0</v>
      </c>
      <c r="AB59" s="320">
        <v>0</v>
      </c>
      <c r="AC59" s="320">
        <v>0</v>
      </c>
      <c r="AD59" s="378"/>
      <c r="AE59" s="321">
        <v>0</v>
      </c>
      <c r="AF59" s="321">
        <v>0</v>
      </c>
      <c r="AG59" s="321">
        <v>0</v>
      </c>
      <c r="AH59" s="16"/>
      <c r="AI59" s="16"/>
    </row>
    <row r="60" ht="12.75" customHeight="1" spans="1:35" x14ac:dyDescent="0.25">
      <c r="A60" s="16"/>
      <c r="B60" s="16"/>
      <c r="C60" s="139" t="s">
        <v>253</v>
      </c>
      <c r="D60" s="16"/>
      <c r="E60" s="16"/>
      <c r="F60" s="377"/>
      <c r="G60" s="377"/>
      <c r="H60" s="377"/>
      <c r="I60" s="377"/>
      <c r="J60" s="378"/>
      <c r="K60" s="377"/>
      <c r="L60" s="377"/>
      <c r="M60" s="377"/>
      <c r="N60" s="377"/>
      <c r="O60" s="378"/>
      <c r="P60" s="377"/>
      <c r="Q60" s="377"/>
      <c r="R60" s="377"/>
      <c r="S60" s="377"/>
      <c r="T60" s="378"/>
      <c r="U60" s="377"/>
      <c r="V60" s="377"/>
      <c r="W60" s="377"/>
      <c r="X60" s="320">
        <v>0</v>
      </c>
      <c r="Y60" s="378"/>
      <c r="Z60" s="320">
        <v>0</v>
      </c>
      <c r="AA60" s="320">
        <v>0</v>
      </c>
      <c r="AB60" s="320">
        <v>0</v>
      </c>
      <c r="AC60" s="320">
        <v>0</v>
      </c>
      <c r="AD60" s="378"/>
      <c r="AE60" s="321">
        <v>0</v>
      </c>
      <c r="AF60" s="321">
        <v>0</v>
      </c>
      <c r="AG60" s="321">
        <v>0</v>
      </c>
      <c r="AH60" s="16"/>
      <c r="AI60" s="16"/>
    </row>
    <row r="61" ht="12.75" customHeight="1" spans="1:35" x14ac:dyDescent="0.25">
      <c r="A61" s="16"/>
      <c r="B61" s="16"/>
      <c r="C61" s="139"/>
      <c r="D61" s="16"/>
      <c r="E61" s="16"/>
      <c r="F61" s="377"/>
      <c r="G61" s="377"/>
      <c r="H61" s="377"/>
      <c r="I61" s="377"/>
      <c r="J61" s="378"/>
      <c r="K61" s="377"/>
      <c r="L61" s="377"/>
      <c r="M61" s="377"/>
      <c r="N61" s="377"/>
      <c r="O61" s="378"/>
      <c r="P61" s="377"/>
      <c r="Q61" s="377"/>
      <c r="R61" s="377"/>
      <c r="S61" s="377"/>
      <c r="T61" s="378"/>
      <c r="U61" s="377"/>
      <c r="V61" s="377"/>
      <c r="W61" s="377"/>
      <c r="X61" s="320"/>
      <c r="Y61" s="378"/>
      <c r="Z61" s="320"/>
      <c r="AA61" s="320"/>
      <c r="AB61" s="320"/>
      <c r="AC61" s="320"/>
      <c r="AD61" s="378"/>
      <c r="AE61" s="321"/>
      <c r="AF61" s="321"/>
      <c r="AG61" s="321"/>
      <c r="AH61" s="16"/>
      <c r="AI61" s="16"/>
    </row>
    <row r="62" ht="12.75" customHeight="1" spans="1:35" x14ac:dyDescent="0.25">
      <c r="A62" s="16"/>
      <c r="B62" s="16"/>
      <c r="C62" s="16" t="str">
        <f ca="1">Model!C40</f>
        <v>Goodwill Impairment</v>
      </c>
      <c r="D62" s="16"/>
      <c r="E62" s="16"/>
      <c r="F62" s="325">
        <f ca="1">Model!F40</f>
        <v>1e-12</v>
      </c>
      <c r="G62" s="325">
        <f ca="1">Model!G40</f>
        <v>1e-12</v>
      </c>
      <c r="H62" s="325">
        <f ca="1">Model!H40</f>
        <v>1e-12</v>
      </c>
      <c r="I62" s="325">
        <f ca="1">Model!I40</f>
        <v>1e-12</v>
      </c>
      <c r="J62" s="326">
        <f ca="1">Model!J40</f>
        <v>1e-12</v>
      </c>
      <c r="K62" s="325">
        <f ca="1">Model!K40</f>
        <v>1e-12</v>
      </c>
      <c r="L62" s="325">
        <f ca="1">Model!L40</f>
        <v>1e-12</v>
      </c>
      <c r="M62" s="325">
        <f ca="1">Model!M40</f>
        <v>1e-12</v>
      </c>
      <c r="N62" s="325">
        <f ca="1">Model!N40</f>
        <v>1e-12</v>
      </c>
      <c r="O62" s="326">
        <f ca="1">Model!O40</f>
        <v>1e-12</v>
      </c>
      <c r="P62" s="325">
        <f ca="1">Model!P40</f>
        <v>1e-12</v>
      </c>
      <c r="Q62" s="325">
        <f ca="1">Model!Q40</f>
        <v>1e-12</v>
      </c>
      <c r="R62" s="325">
        <f ca="1">Model!R40</f>
        <v>1e-12</v>
      </c>
      <c r="S62" s="325">
        <f ca="1">Model!S40</f>
        <v>1e-12</v>
      </c>
      <c r="T62" s="326">
        <f ca="1">Model!T40</f>
        <v>1e-12</v>
      </c>
      <c r="U62" s="325">
        <f ca="1">Model!U40</f>
        <v>1e-12</v>
      </c>
      <c r="V62" s="325">
        <f ca="1">Model!V40</f>
        <v>1e-12</v>
      </c>
      <c r="W62" s="325">
        <f ca="1">Model!W40</f>
        <v>1e-12</v>
      </c>
      <c r="X62" s="517">
        <v>0</v>
      </c>
      <c r="Y62" s="326">
        <f ca="1">Model!Y40</f>
        <v>1e-12</v>
      </c>
      <c r="Z62" s="517">
        <v>0</v>
      </c>
      <c r="AA62" s="517">
        <v>0</v>
      </c>
      <c r="AB62" s="517">
        <v>0</v>
      </c>
      <c r="AC62" s="517">
        <v>0</v>
      </c>
      <c r="AD62" s="326">
        <f ca="1">Model!AD40</f>
        <v>1e-12</v>
      </c>
      <c r="AE62" s="518">
        <v>0</v>
      </c>
      <c r="AF62" s="518">
        <v>0</v>
      </c>
      <c r="AG62" s="518">
        <v>0</v>
      </c>
      <c r="AH62" s="16"/>
      <c r="AI62" s="16"/>
    </row>
    <row r="63" ht="12.75" customHeight="1" spans="1:35" x14ac:dyDescent="0.25">
      <c r="A63" s="16"/>
      <c r="B63" s="16"/>
      <c r="C63" s="16"/>
      <c r="D63" s="16"/>
      <c r="E63" s="16"/>
      <c r="F63" s="377"/>
      <c r="G63" s="377"/>
      <c r="H63" s="377"/>
      <c r="I63" s="377"/>
      <c r="J63" s="378"/>
      <c r="K63" s="377"/>
      <c r="L63" s="377"/>
      <c r="M63" s="377"/>
      <c r="N63" s="377"/>
      <c r="O63" s="378"/>
      <c r="P63" s="377"/>
      <c r="Q63" s="377"/>
      <c r="R63" s="377"/>
      <c r="S63" s="377"/>
      <c r="T63" s="378"/>
      <c r="U63" s="377"/>
      <c r="V63" s="377"/>
      <c r="W63" s="377"/>
      <c r="X63" s="379"/>
      <c r="Y63" s="378"/>
      <c r="Z63" s="379"/>
      <c r="AA63" s="379"/>
      <c r="AB63" s="379"/>
      <c r="AC63" s="379"/>
      <c r="AD63" s="378"/>
      <c r="AE63" s="168"/>
      <c r="AF63" s="168"/>
      <c r="AG63" s="168"/>
      <c r="AH63" s="16"/>
      <c r="AI63" s="16"/>
    </row>
    <row r="64" ht="12.75" customHeight="1" spans="1:35" x14ac:dyDescent="0.25">
      <c r="A64" s="16"/>
      <c r="B64" s="16"/>
      <c r="C64" s="16" t="str">
        <f ca="1">Model!C71</f>
        <v>Tax Rate</v>
      </c>
      <c r="D64" s="16"/>
      <c r="E64" s="16"/>
      <c r="F64" s="377">
        <f ca="1">Model!F71</f>
        <v>0.24291187739463602</v>
      </c>
      <c r="G64" s="377">
        <f ca="1">Model!G71</f>
        <v>0.24365987071108902</v>
      </c>
      <c r="H64" s="377">
        <f ca="1">Model!H71</f>
        <v>0.21766169154228857</v>
      </c>
      <c r="I64" s="377">
        <f ca="1">Model!I71</f>
        <v>-0.1349862258953168</v>
      </c>
      <c r="J64" s="378">
        <f ca="1">Model!J71</f>
        <v>0.3182086034177961</v>
      </c>
      <c r="K64" s="377">
        <f ca="1">Model!K71</f>
        <v>0.16653386454183267</v>
      </c>
      <c r="L64" s="377">
        <f ca="1">Model!L71</f>
        <v>0.2423146473779385</v>
      </c>
      <c r="M64" s="377">
        <f ca="1">Model!M71</f>
        <v>0.24040550325850832</v>
      </c>
      <c r="N64" s="377">
        <f ca="1">Model!N71</f>
        <v>0.3419354838709677</v>
      </c>
      <c r="O64" s="378">
        <f ca="1">Model!O71</f>
        <v>0.23866263560377024</v>
      </c>
      <c r="P64" s="377">
        <f ca="1">Model!P71</f>
        <v>0.25139977603583424</v>
      </c>
      <c r="Q64" s="377">
        <f ca="1">Model!Q71</f>
        <v>0.24344569288389514</v>
      </c>
      <c r="R64" s="377">
        <f ca="1">Model!R71</f>
        <v>0.22595078299776286</v>
      </c>
      <c r="S64" s="377">
        <f ca="1">Model!S71</f>
        <v>0.2590909090909091</v>
      </c>
      <c r="T64" s="378">
        <f ca="1">Model!T71</f>
        <v>0.24592918066683897</v>
      </c>
      <c r="U64" s="377">
        <f ca="1">Model!U71</f>
        <v>0.23500329597890574</v>
      </c>
      <c r="V64" s="377">
        <f ca="1">Model!V71</f>
        <v>0.2443665498247371</v>
      </c>
      <c r="W64" s="377">
        <f ca="1">Model!W71</f>
        <v>0.26110678098207324</v>
      </c>
      <c r="X64" s="379">
        <f ca="1">IF(Case_Scenario="Bull",X65,IF(Case_Scenario="Base",X66,IF(Case_Scenario="bear",X67,"N/A")))</f>
        <v>0.24</v>
      </c>
      <c r="Y64" s="378">
        <f ca="1">Model!Y71</f>
        <v>0.15020538888187615</v>
      </c>
      <c r="Z64" s="379">
        <f ca="1">IF(Case_Scenario="Bull",Z65,IF(Case_Scenario="Base",Z66,IF(Case_Scenario="bear",Z67,"N/A")))</f>
        <v>0.24</v>
      </c>
      <c r="AA64" s="379">
        <f ca="1">IF(Case_Scenario="Bull",AA65,IF(Case_Scenario="Base",AA66,IF(Case_Scenario="bear",AA67,"N/A")))</f>
        <v>0.24</v>
      </c>
      <c r="AB64" s="379">
        <f ca="1">IF(Case_Scenario="Bull",AB65,IF(Case_Scenario="Base",AB66,IF(Case_Scenario="bear",AB67,"N/A")))</f>
        <v>0.24</v>
      </c>
      <c r="AC64" s="379">
        <f ca="1">IF(Case_Scenario="Bull",AC65,IF(Case_Scenario="Base",AC66,IF(Case_Scenario="bear",AC67,"N/A")))</f>
        <v>0.24</v>
      </c>
      <c r="AD64" s="378">
        <f ca="1">Model!AD71</f>
        <v>0.24</v>
      </c>
      <c r="AE64" s="378">
        <f ca="1">IF(Case_Scenario="Bull",AE65,IF(Case_Scenario="Base",AE66,IF(Case_Scenario="bear",AE67,"N/A")))</f>
        <v>0.24</v>
      </c>
      <c r="AF64" s="378">
        <f ca="1">IF(Case_Scenario="Bull",AF65,IF(Case_Scenario="Base",AF66,IF(Case_Scenario="bear",AF67,"N/A")))</f>
        <v>0.24</v>
      </c>
      <c r="AG64" s="378">
        <f ca="1">IF(Case_Scenario="Bull",AG65,IF(Case_Scenario="Base",AG66,IF(Case_Scenario="bear",AG67,"N/A")))</f>
        <v>0.24</v>
      </c>
      <c r="AH64" s="16"/>
      <c r="AI64" s="16"/>
    </row>
    <row r="65" ht="12.75" customHeight="1" spans="1:35" x14ac:dyDescent="0.25">
      <c r="A65" s="264" t="s">
        <v>1</v>
      </c>
      <c r="B65" s="16"/>
      <c r="C65" s="139" t="s">
        <v>251</v>
      </c>
      <c r="D65" s="16"/>
      <c r="E65" s="16"/>
      <c r="F65" s="377"/>
      <c r="G65" s="377"/>
      <c r="H65" s="377"/>
      <c r="I65" s="377"/>
      <c r="J65" s="378"/>
      <c r="K65" s="377"/>
      <c r="L65" s="377"/>
      <c r="M65" s="377"/>
      <c r="N65" s="377"/>
      <c r="O65" s="378"/>
      <c r="P65" s="377"/>
      <c r="Q65" s="377"/>
      <c r="R65" s="377"/>
      <c r="S65" s="377"/>
      <c r="T65" s="378"/>
      <c r="U65" s="377"/>
      <c r="V65" s="377"/>
      <c r="W65" s="377"/>
      <c r="X65" s="320">
        <v>0.23</v>
      </c>
      <c r="Y65" s="378"/>
      <c r="Z65" s="320">
        <v>0.22</v>
      </c>
      <c r="AA65" s="320">
        <v>0.22</v>
      </c>
      <c r="AB65" s="320">
        <v>0.23</v>
      </c>
      <c r="AC65" s="320">
        <v>0.23</v>
      </c>
      <c r="AD65" s="378"/>
      <c r="AE65" s="321">
        <v>0.23</v>
      </c>
      <c r="AF65" s="321">
        <v>0.23</v>
      </c>
      <c r="AG65" s="321">
        <v>0.23</v>
      </c>
      <c r="AH65" s="264" t="s">
        <v>1</v>
      </c>
      <c r="AI65" s="264"/>
    </row>
    <row r="66" ht="12.75" customHeight="1" spans="1:35" x14ac:dyDescent="0.25">
      <c r="A66" s="16"/>
      <c r="B66" s="16"/>
      <c r="C66" s="139" t="s">
        <v>252</v>
      </c>
      <c r="D66" s="16"/>
      <c r="E66" s="16"/>
      <c r="F66" s="377"/>
      <c r="G66" s="377"/>
      <c r="H66" s="377"/>
      <c r="I66" s="377"/>
      <c r="J66" s="378"/>
      <c r="K66" s="377"/>
      <c r="L66" s="377"/>
      <c r="M66" s="377"/>
      <c r="N66" s="377"/>
      <c r="O66" s="378"/>
      <c r="P66" s="377"/>
      <c r="Q66" s="377"/>
      <c r="R66" s="377"/>
      <c r="S66" s="377"/>
      <c r="T66" s="378"/>
      <c r="U66" s="377"/>
      <c r="V66" s="377"/>
      <c r="W66" s="377"/>
      <c r="X66" s="320">
        <v>0.24</v>
      </c>
      <c r="Y66" s="378"/>
      <c r="Z66" s="320">
        <v>0.24</v>
      </c>
      <c r="AA66" s="320">
        <v>0.24</v>
      </c>
      <c r="AB66" s="320">
        <v>0.24</v>
      </c>
      <c r="AC66" s="320">
        <v>0.24</v>
      </c>
      <c r="AD66" s="378"/>
      <c r="AE66" s="321">
        <v>0.24</v>
      </c>
      <c r="AF66" s="321">
        <v>0.24</v>
      </c>
      <c r="AG66" s="321">
        <v>0.24</v>
      </c>
      <c r="AH66" s="16"/>
      <c r="AI66" s="16"/>
    </row>
    <row r="67" ht="12.75" customHeight="1" spans="1:35" x14ac:dyDescent="0.25">
      <c r="A67" s="16"/>
      <c r="B67" s="16"/>
      <c r="C67" s="139" t="s">
        <v>253</v>
      </c>
      <c r="D67" s="16"/>
      <c r="E67" s="16"/>
      <c r="F67" s="377"/>
      <c r="G67" s="377"/>
      <c r="H67" s="377"/>
      <c r="I67" s="377"/>
      <c r="J67" s="378"/>
      <c r="K67" s="377"/>
      <c r="L67" s="377"/>
      <c r="M67" s="377"/>
      <c r="N67" s="377"/>
      <c r="O67" s="378"/>
      <c r="P67" s="377"/>
      <c r="Q67" s="377"/>
      <c r="R67" s="377"/>
      <c r="S67" s="377"/>
      <c r="T67" s="378"/>
      <c r="U67" s="377"/>
      <c r="V67" s="377"/>
      <c r="W67" s="377"/>
      <c r="X67" s="320">
        <v>0.3</v>
      </c>
      <c r="Y67" s="378"/>
      <c r="Z67" s="320">
        <v>0.26</v>
      </c>
      <c r="AA67" s="320">
        <v>0.27</v>
      </c>
      <c r="AB67" s="320">
        <v>0.3</v>
      </c>
      <c r="AC67" s="320">
        <v>0.3</v>
      </c>
      <c r="AD67" s="378"/>
      <c r="AE67" s="321">
        <v>0.3</v>
      </c>
      <c r="AF67" s="321">
        <v>0.28</v>
      </c>
      <c r="AG67" s="321">
        <v>0.27</v>
      </c>
      <c r="AH67" s="16"/>
      <c r="AI67" s="16"/>
    </row>
    <row r="68" ht="12.75" customHeight="1" spans="1:35" x14ac:dyDescent="0.25">
      <c r="A68" s="16"/>
      <c r="B68" s="16"/>
      <c r="C68" s="16"/>
      <c r="D68" s="16"/>
      <c r="E68" s="16"/>
      <c r="F68" s="377"/>
      <c r="G68" s="377"/>
      <c r="H68" s="377"/>
      <c r="I68" s="377"/>
      <c r="J68" s="378"/>
      <c r="K68" s="377"/>
      <c r="L68" s="377"/>
      <c r="M68" s="377"/>
      <c r="N68" s="377"/>
      <c r="O68" s="378"/>
      <c r="P68" s="377"/>
      <c r="Q68" s="377"/>
      <c r="R68" s="377"/>
      <c r="S68" s="377"/>
      <c r="T68" s="378"/>
      <c r="U68" s="377"/>
      <c r="V68" s="377"/>
      <c r="W68" s="377"/>
      <c r="X68" s="379"/>
      <c r="Y68" s="378"/>
      <c r="Z68" s="379"/>
      <c r="AA68" s="379"/>
      <c r="AB68" s="379"/>
      <c r="AC68" s="379"/>
      <c r="AD68" s="378"/>
      <c r="AE68" s="168"/>
      <c r="AF68" s="168"/>
      <c r="AG68" s="168"/>
      <c r="AH68" s="16"/>
      <c r="AI68" s="16"/>
    </row>
    <row r="69" ht="12.75" customHeight="1" spans="1:35" x14ac:dyDescent="0.25">
      <c r="A69" s="16"/>
      <c r="B69" s="16"/>
      <c r="C69" s="350" t="s">
        <v>486</v>
      </c>
      <c r="D69" s="373"/>
      <c r="E69" s="373"/>
      <c r="F69" s="351" t="str">
        <f ca="1">Model!F$25</f>
        <v>1Q23</v>
      </c>
      <c r="G69" s="194" t="str">
        <f ca="1">Model!G$25</f>
        <v>2Q23</v>
      </c>
      <c r="H69" s="194" t="str">
        <f ca="1">Model!H$25</f>
        <v>3Q23</v>
      </c>
      <c r="I69" s="194" t="str">
        <f ca="1">Model!I$25</f>
        <v>4Q23</v>
      </c>
      <c r="J69" s="194">
        <f ca="1">Model!J$25</f>
        <v>2023</v>
      </c>
      <c r="K69" s="194" t="str">
        <f ca="1">Model!K$25</f>
        <v>1Q24</v>
      </c>
      <c r="L69" s="194" t="str">
        <f ca="1">Model!L$25</f>
        <v>2Q24</v>
      </c>
      <c r="M69" s="194" t="str">
        <f ca="1">Model!M$25</f>
        <v>3Q24</v>
      </c>
      <c r="N69" s="194" t="str">
        <f ca="1">Model!N$25</f>
        <v>4Q24</v>
      </c>
      <c r="O69" s="194">
        <f ca="1">Model!O$25</f>
        <v>2024</v>
      </c>
      <c r="P69" s="194" t="str">
        <f ca="1">Model!P$25</f>
        <v>1Q25</v>
      </c>
      <c r="Q69" s="194" t="str">
        <f ca="1">Model!Q$25</f>
        <v>2Q25</v>
      </c>
      <c r="R69" s="194" t="str">
        <f ca="1">Model!R$25</f>
        <v>3Q25</v>
      </c>
      <c r="S69" s="194" t="str">
        <f ca="1">Model!S$25</f>
        <v>4Q25</v>
      </c>
      <c r="T69" s="194">
        <f ca="1">Model!T$25</f>
        <v>2025</v>
      </c>
      <c r="U69" s="194" t="str">
        <f ca="1">Model!U$25</f>
        <v>1Q26</v>
      </c>
      <c r="V69" s="194" t="str">
        <f ca="1">Model!V$25</f>
        <v>2Q26</v>
      </c>
      <c r="W69" s="194" t="str">
        <f ca="1">Model!W$25</f>
        <v>3Q26e</v>
      </c>
      <c r="X69" s="194" t="str">
        <f ca="1">Model!X$25</f>
        <v>4Q26e</v>
      </c>
      <c r="Y69" s="194" t="str">
        <f ca="1">Model!Y$25</f>
        <v>2026e</v>
      </c>
      <c r="Z69" s="194" t="str">
        <f ca="1">Model!Z$25</f>
        <v>1Q27e</v>
      </c>
      <c r="AA69" s="194" t="str">
        <f ca="1">Model!AA$25</f>
        <v>2Q27e</v>
      </c>
      <c r="AB69" s="194" t="str">
        <f ca="1">Model!AB$25</f>
        <v>3Q27e</v>
      </c>
      <c r="AC69" s="194" t="str">
        <f ca="1">Model!AC$25</f>
        <v>4Q27e</v>
      </c>
      <c r="AD69" s="194" t="str">
        <f ca="1">Model!AD$25</f>
        <v>2027e</v>
      </c>
      <c r="AE69" s="194" t="str">
        <f ca="1">Model!AE$25</f>
        <v>2028e</v>
      </c>
      <c r="AF69" s="194" t="str">
        <f ca="1">Model!AF$25</f>
        <v>2029e</v>
      </c>
      <c r="AG69" s="352" t="str">
        <f ca="1">Model!AG$25</f>
        <v>2030e</v>
      </c>
      <c r="AH69" s="16"/>
      <c r="AI69" s="16"/>
    </row>
    <row r="70" ht="12.75" customHeight="1" spans="1:35" x14ac:dyDescent="0.25">
      <c r="A70" s="16"/>
      <c r="B70" s="16"/>
      <c r="C70" s="507" t="s">
        <v>487</v>
      </c>
      <c r="D70" s="508"/>
      <c r="E70" s="508"/>
      <c r="F70" s="519"/>
      <c r="G70" s="520"/>
      <c r="H70" s="520"/>
      <c r="I70" s="520"/>
      <c r="J70" s="520"/>
      <c r="K70" s="520"/>
      <c r="L70" s="520"/>
      <c r="M70" s="520"/>
      <c r="N70" s="520"/>
      <c r="O70" s="520"/>
      <c r="P70" s="520"/>
      <c r="Q70" s="520"/>
      <c r="R70" s="520"/>
      <c r="S70" s="520"/>
      <c r="T70" s="520"/>
      <c r="U70" s="520"/>
      <c r="V70" s="520"/>
      <c r="W70" s="520"/>
      <c r="X70" s="520"/>
      <c r="Y70" s="520"/>
      <c r="Z70" s="520"/>
      <c r="AA70" s="520"/>
      <c r="AB70" s="520"/>
      <c r="AC70" s="520"/>
      <c r="AD70" s="520"/>
      <c r="AE70" s="520"/>
      <c r="AF70" s="520"/>
      <c r="AG70" s="521"/>
      <c r="AH70" s="16"/>
      <c r="AI70" s="16"/>
    </row>
    <row r="71" ht="12.75" customHeight="1" spans="1:35" x14ac:dyDescent="0.25">
      <c r="A71" s="16"/>
      <c r="B71" s="16"/>
      <c r="C71" s="16"/>
      <c r="D71" s="16"/>
      <c r="E71" s="16"/>
      <c r="F71" s="377"/>
      <c r="G71" s="377"/>
      <c r="H71" s="377"/>
      <c r="I71" s="377"/>
      <c r="J71" s="378"/>
      <c r="K71" s="377"/>
      <c r="L71" s="377"/>
      <c r="M71" s="377"/>
      <c r="N71" s="377"/>
      <c r="O71" s="378"/>
      <c r="P71" s="377"/>
      <c r="Q71" s="377"/>
      <c r="R71" s="377"/>
      <c r="S71" s="377"/>
      <c r="T71" s="378"/>
      <c r="U71" s="377"/>
      <c r="V71" s="377"/>
      <c r="W71" s="377"/>
      <c r="X71" s="379"/>
      <c r="Y71" s="378"/>
      <c r="Z71" s="379"/>
      <c r="AA71" s="379"/>
      <c r="AB71" s="379"/>
      <c r="AC71" s="379"/>
      <c r="AD71" s="378"/>
      <c r="AE71" s="168"/>
      <c r="AF71" s="168"/>
      <c r="AG71" s="168"/>
      <c r="AH71" s="16"/>
      <c r="AI71" s="16"/>
    </row>
    <row r="72" ht="12.75" customHeight="1" spans="1:35" x14ac:dyDescent="0.25">
      <c r="A72" s="16"/>
      <c r="B72" s="16"/>
      <c r="C72" s="16" t="str">
        <f ca="1">Model!C201</f>
        <v>Depreciation as a % of Avg. PP&amp;E</v>
      </c>
      <c r="D72" s="16"/>
      <c r="E72" s="16"/>
      <c r="F72" s="377"/>
      <c r="G72" s="377">
        <f ca="1">Model!G201</f>
        <v>0.07136946628051304</v>
      </c>
      <c r="H72" s="377">
        <f ca="1">Model!H201</f>
        <v>0.09093056831605198</v>
      </c>
      <c r="I72" s="377">
        <f ca="1">Model!I201</f>
        <v>0.07260072279480659</v>
      </c>
      <c r="J72" s="378">
        <f ca="1">Model!J201</f>
        <v>0.07770923487708314</v>
      </c>
      <c r="K72" s="377">
        <f ca="1">Model!K201</f>
        <v>0.06604340932699142</v>
      </c>
      <c r="L72" s="377">
        <f ca="1">Model!L201</f>
        <v>0.06844001870547135</v>
      </c>
      <c r="M72" s="377">
        <f ca="1">Model!M201</f>
        <v>0.06780773226882485</v>
      </c>
      <c r="N72" s="377">
        <f ca="1">Model!N201</f>
        <v>0.07321814254859611</v>
      </c>
      <c r="O72" s="378">
        <f ca="1">Model!O201</f>
        <v>0.06803051130697285</v>
      </c>
      <c r="P72" s="377">
        <f ca="1">Model!P201</f>
        <v>0.07016411084207694</v>
      </c>
      <c r="Q72" s="377">
        <f ca="1">Model!Q201</f>
        <v>0.0704874302804947</v>
      </c>
      <c r="R72" s="377">
        <f ca="1">Model!R201</f>
        <v>0.07614961791124816</v>
      </c>
      <c r="S72" s="377">
        <f ca="1">Model!S201</f>
        <v>0.07487401007919367</v>
      </c>
      <c r="T72" s="378">
        <f ca="1">Model!T201</f>
        <v>0.06712118302285384</v>
      </c>
      <c r="U72" s="377">
        <f ca="1">Model!U201</f>
        <v>0.07439471055510631</v>
      </c>
      <c r="V72" s="377">
        <f ca="1">Model!V201</f>
        <v>0.042425833552113414</v>
      </c>
      <c r="W72" s="377">
        <f ca="1">Model!W201</f>
        <v>0.04405100642849615</v>
      </c>
      <c r="X72" s="379">
        <f ca="1">IF(Case_Scenario="Bull",X73,IF(Case_Scenario="Base",X74,IF(Case_Scenario="bear",X75,"N/A")))</f>
        <v>0.07</v>
      </c>
      <c r="Y72" s="378">
        <f ca="1">Model!Y201</f>
        <v>0.054024417503968955</v>
      </c>
      <c r="Z72" s="379">
        <f ca="1">IF(Case_Scenario="Bull",Z73,IF(Case_Scenario="Base",Z74,IF(Case_Scenario="bear",Z75,"N/A")))</f>
        <v>0.07</v>
      </c>
      <c r="AA72" s="379">
        <f ca="1">IF(Case_Scenario="Bull",AA73,IF(Case_Scenario="Base",AA74,IF(Case_Scenario="bear",AA75,"N/A")))</f>
        <v>0.07</v>
      </c>
      <c r="AB72" s="379">
        <f ca="1">IF(Case_Scenario="Bull",AB73,IF(Case_Scenario="Base",AB74,IF(Case_Scenario="bear",AB75,"N/A")))</f>
        <v>0.07</v>
      </c>
      <c r="AC72" s="379">
        <f ca="1">IF(Case_Scenario="Bull",AC73,IF(Case_Scenario="Base",AC74,IF(Case_Scenario="bear",AC75,"N/A")))</f>
        <v>0.07</v>
      </c>
      <c r="AD72" s="378">
        <f ca="1">Model!AD201</f>
        <v>0.07003993909428458</v>
      </c>
      <c r="AE72" s="378">
        <f ca="1">IF(Case_Scenario="Bull",AE73,IF(Case_Scenario="Base",AE74,IF(Case_Scenario="bear",AE75,"N/A")))</f>
        <v>0.072</v>
      </c>
      <c r="AF72" s="378">
        <f ca="1">IF(Case_Scenario="Bull",AF73,IF(Case_Scenario="Base",AF74,IF(Case_Scenario="bear",AF75,"N/A")))</f>
        <v>0.072</v>
      </c>
      <c r="AG72" s="378">
        <f ca="1">IF(Case_Scenario="Bull",AG73,IF(Case_Scenario="Base",AG74,IF(Case_Scenario="bear",AG75,"N/A")))</f>
        <v>0.072</v>
      </c>
      <c r="AH72" s="16"/>
      <c r="AI72" s="16"/>
    </row>
    <row r="73" ht="12.75" customHeight="1" spans="1:35" x14ac:dyDescent="0.25">
      <c r="A73" s="16"/>
      <c r="B73" s="16"/>
      <c r="C73" s="139" t="s">
        <v>251</v>
      </c>
      <c r="D73" s="16"/>
      <c r="E73" s="16"/>
      <c r="F73" s="377"/>
      <c r="G73" s="377"/>
      <c r="H73" s="377"/>
      <c r="I73" s="377"/>
      <c r="J73" s="378"/>
      <c r="K73" s="377"/>
      <c r="L73" s="377"/>
      <c r="M73" s="377"/>
      <c r="N73" s="377"/>
      <c r="O73" s="378"/>
      <c r="P73" s="377"/>
      <c r="Q73" s="377"/>
      <c r="R73" s="377"/>
      <c r="S73" s="377"/>
      <c r="T73" s="378"/>
      <c r="U73" s="377"/>
      <c r="V73" s="377"/>
      <c r="W73" s="377"/>
      <c r="X73" s="320">
        <v>0.06</v>
      </c>
      <c r="Y73" s="378"/>
      <c r="Z73" s="320">
        <v>0.06</v>
      </c>
      <c r="AA73" s="320">
        <v>0.06</v>
      </c>
      <c r="AB73" s="320">
        <v>0.06</v>
      </c>
      <c r="AC73" s="320">
        <v>0.06</v>
      </c>
      <c r="AD73" s="378"/>
      <c r="AE73" s="321">
        <v>0.07</v>
      </c>
      <c r="AF73" s="321">
        <v>0.07</v>
      </c>
      <c r="AG73" s="321">
        <v>0.07</v>
      </c>
      <c r="AH73" s="16"/>
      <c r="AI73" s="16"/>
    </row>
    <row r="74" ht="12.75" customHeight="1" spans="1:35" x14ac:dyDescent="0.25">
      <c r="A74" s="16"/>
      <c r="B74" s="16"/>
      <c r="C74" s="139" t="s">
        <v>252</v>
      </c>
      <c r="D74" s="16"/>
      <c r="E74" s="16"/>
      <c r="F74" s="377"/>
      <c r="G74" s="377"/>
      <c r="H74" s="377"/>
      <c r="I74" s="377"/>
      <c r="J74" s="378"/>
      <c r="K74" s="377"/>
      <c r="L74" s="377"/>
      <c r="M74" s="377"/>
      <c r="N74" s="377"/>
      <c r="O74" s="378"/>
      <c r="P74" s="377"/>
      <c r="Q74" s="377"/>
      <c r="R74" s="377"/>
      <c r="S74" s="377"/>
      <c r="T74" s="378"/>
      <c r="U74" s="377"/>
      <c r="V74" s="377"/>
      <c r="W74" s="377"/>
      <c r="X74" s="320">
        <v>0.07</v>
      </c>
      <c r="Y74" s="378"/>
      <c r="Z74" s="320">
        <v>0.07</v>
      </c>
      <c r="AA74" s="320">
        <v>0.07</v>
      </c>
      <c r="AB74" s="320">
        <v>0.07</v>
      </c>
      <c r="AC74" s="320">
        <v>0.07</v>
      </c>
      <c r="AD74" s="378"/>
      <c r="AE74" s="321">
        <v>0.072</v>
      </c>
      <c r="AF74" s="321">
        <v>0.072</v>
      </c>
      <c r="AG74" s="321">
        <v>0.072</v>
      </c>
      <c r="AH74" s="16"/>
      <c r="AI74" s="16"/>
    </row>
    <row r="75" ht="12.75" customHeight="1" spans="1:35" x14ac:dyDescent="0.25">
      <c r="A75" s="16"/>
      <c r="B75" s="16"/>
      <c r="C75" s="139" t="s">
        <v>253</v>
      </c>
      <c r="D75" s="16"/>
      <c r="E75" s="16"/>
      <c r="F75" s="377"/>
      <c r="G75" s="377"/>
      <c r="H75" s="377"/>
      <c r="I75" s="377"/>
      <c r="J75" s="378"/>
      <c r="K75" s="377"/>
      <c r="L75" s="377"/>
      <c r="M75" s="377"/>
      <c r="N75" s="377"/>
      <c r="O75" s="378"/>
      <c r="P75" s="377"/>
      <c r="Q75" s="377"/>
      <c r="R75" s="377"/>
      <c r="S75" s="377"/>
      <c r="T75" s="378"/>
      <c r="U75" s="377"/>
      <c r="V75" s="377"/>
      <c r="W75" s="377"/>
      <c r="X75" s="320">
        <v>0.08</v>
      </c>
      <c r="Y75" s="378"/>
      <c r="Z75" s="320">
        <v>0.08</v>
      </c>
      <c r="AA75" s="320">
        <v>0.08</v>
      </c>
      <c r="AB75" s="320">
        <v>0.08</v>
      </c>
      <c r="AC75" s="320">
        <v>0.08</v>
      </c>
      <c r="AD75" s="378"/>
      <c r="AE75" s="321">
        <v>0.075</v>
      </c>
      <c r="AF75" s="321">
        <v>0.075</v>
      </c>
      <c r="AG75" s="321">
        <v>0.075</v>
      </c>
      <c r="AH75" s="16"/>
      <c r="AI75" s="16"/>
    </row>
    <row r="76" ht="12.75" customHeight="1" spans="1:35" x14ac:dyDescent="0.25">
      <c r="A76" s="16"/>
      <c r="B76" s="16"/>
      <c r="C76" s="139"/>
      <c r="D76" s="16"/>
      <c r="E76" s="16"/>
      <c r="F76" s="377"/>
      <c r="G76" s="377"/>
      <c r="H76" s="377"/>
      <c r="I76" s="377"/>
      <c r="J76" s="378"/>
      <c r="K76" s="377"/>
      <c r="L76" s="377"/>
      <c r="M76" s="377"/>
      <c r="N76" s="377"/>
      <c r="O76" s="378"/>
      <c r="P76" s="377"/>
      <c r="Q76" s="377"/>
      <c r="R76" s="377"/>
      <c r="S76" s="377"/>
      <c r="T76" s="378"/>
      <c r="U76" s="377"/>
      <c r="V76" s="377"/>
      <c r="W76" s="377"/>
      <c r="X76" s="320"/>
      <c r="Y76" s="378"/>
      <c r="Z76" s="320"/>
      <c r="AA76" s="320"/>
      <c r="AB76" s="320"/>
      <c r="AC76" s="320"/>
      <c r="AD76" s="378"/>
      <c r="AE76" s="321"/>
      <c r="AF76" s="321"/>
      <c r="AG76" s="321"/>
      <c r="AH76" s="16"/>
      <c r="AI76" s="16"/>
    </row>
    <row r="77" ht="12.75" customHeight="1" spans="1:35" x14ac:dyDescent="0.25">
      <c r="A77" s="16"/>
      <c r="B77" s="16"/>
      <c r="C77" s="491" t="str">
        <f ca="1">'Segment Analysis'!C61</f>
        <v>Segment D&amp;A Mix</v>
      </c>
      <c r="D77" s="16"/>
      <c r="E77" s="16"/>
      <c r="F77" s="377"/>
      <c r="G77" s="377"/>
      <c r="H77" s="377"/>
      <c r="I77" s="377"/>
      <c r="J77" s="378"/>
      <c r="K77" s="377"/>
      <c r="L77" s="377"/>
      <c r="M77" s="377"/>
      <c r="N77" s="377"/>
      <c r="O77" s="378"/>
      <c r="P77" s="377"/>
      <c r="Q77" s="377"/>
      <c r="R77" s="377"/>
      <c r="S77" s="377"/>
      <c r="T77" s="378"/>
      <c r="U77" s="377"/>
      <c r="V77" s="377"/>
      <c r="W77" s="377"/>
      <c r="X77" s="320"/>
      <c r="Y77" s="378"/>
      <c r="Z77" s="320"/>
      <c r="AA77" s="320"/>
      <c r="AB77" s="320"/>
      <c r="AC77" s="320"/>
      <c r="AD77" s="378"/>
      <c r="AE77" s="321"/>
      <c r="AF77" s="321"/>
      <c r="AG77" s="321"/>
      <c r="AH77" s="16"/>
      <c r="AI77" s="16"/>
    </row>
    <row r="78" ht="12.75" customHeight="1" spans="1:35" x14ac:dyDescent="0.25">
      <c r="A78" s="16"/>
      <c r="B78" s="16"/>
      <c r="C78" s="491" t="str">
        <f ca="1">'Segment Analysis'!C62</f>
        <v>Home Improvement Retail</v>
      </c>
      <c r="D78" s="16"/>
      <c r="E78" s="16"/>
      <c r="F78" s="522">
        <f ca="1">'Segment Analysis'!F62</f>
        <v>1</v>
      </c>
      <c r="G78" s="522">
        <f ca="1">'Segment Analysis'!G62</f>
        <v>1</v>
      </c>
      <c r="H78" s="522">
        <f ca="1">'Segment Analysis'!H62</f>
        <v>1</v>
      </c>
      <c r="I78" s="522">
        <f ca="1">'Segment Analysis'!I62</f>
        <v>1</v>
      </c>
      <c r="J78" s="381">
        <f ca="1">'Segment Analysis'!J62</f>
        <v>1</v>
      </c>
      <c r="K78" s="522">
        <f ca="1">'Segment Analysis'!K62</f>
        <v>1</v>
      </c>
      <c r="L78" s="522">
        <f ca="1">'Segment Analysis'!L62</f>
        <v>1</v>
      </c>
      <c r="M78" s="522">
        <f ca="1">'Segment Analysis'!M62</f>
        <v>1</v>
      </c>
      <c r="N78" s="522">
        <f ca="1">'Segment Analysis'!N62</f>
        <v>1</v>
      </c>
      <c r="O78" s="381">
        <f ca="1">'Segment Analysis'!O62</f>
        <v>1</v>
      </c>
      <c r="P78" s="522">
        <f ca="1">'Segment Analysis'!P62</f>
        <v>1</v>
      </c>
      <c r="Q78" s="522">
        <f ca="1">'Segment Analysis'!Q62</f>
        <v>1</v>
      </c>
      <c r="R78" s="522">
        <f ca="1">'Segment Analysis'!R62</f>
        <v>1</v>
      </c>
      <c r="S78" s="522">
        <f ca="1">'Segment Analysis'!S62</f>
        <v>1</v>
      </c>
      <c r="T78" s="381">
        <f ca="1">'Segment Analysis'!T62</f>
        <v>1</v>
      </c>
      <c r="U78" s="522">
        <f ca="1">'Segment Analysis'!U62</f>
        <v>1</v>
      </c>
      <c r="V78" s="522">
        <f ca="1">'Segment Analysis'!V62</f>
        <v>1</v>
      </c>
      <c r="W78" s="522">
        <f ca="1">'Segment Analysis'!W62</f>
        <v>1</v>
      </c>
      <c r="X78" s="320">
        <v>1</v>
      </c>
      <c r="Y78" s="381">
        <f ca="1">'Segment Analysis'!Y62</f>
        <v>1</v>
      </c>
      <c r="Z78" s="320">
        <v>1</v>
      </c>
      <c r="AA78" s="320">
        <v>1</v>
      </c>
      <c r="AB78" s="320">
        <v>1</v>
      </c>
      <c r="AC78" s="320">
        <v>1</v>
      </c>
      <c r="AD78" s="381">
        <f ca="1">'Segment Analysis'!AD62</f>
        <v>1</v>
      </c>
      <c r="AE78" s="321">
        <v>1</v>
      </c>
      <c r="AF78" s="321">
        <v>1</v>
      </c>
      <c r="AG78" s="321">
        <v>1</v>
      </c>
      <c r="AH78" s="16"/>
      <c r="AI78" s="16"/>
    </row>
    <row r="79" ht="12.75" customHeight="1" spans="1:35" x14ac:dyDescent="0.25">
      <c r="A79" s="16"/>
      <c r="B79" s="16"/>
      <c r="C79" s="491" t="str">
        <f ca="1">'Segment Analysis'!C63</f>
        <v>Segment 2</v>
      </c>
      <c r="D79" s="16"/>
      <c r="E79" s="16"/>
      <c r="F79" s="522">
        <f ca="1">'Segment Analysis'!F63</f>
        <v>1e-12</v>
      </c>
      <c r="G79" s="522">
        <f ca="1">'Segment Analysis'!G63</f>
        <v>1e-12</v>
      </c>
      <c r="H79" s="522">
        <f ca="1">'Segment Analysis'!H63</f>
        <v>1e-12</v>
      </c>
      <c r="I79" s="522">
        <f ca="1">'Segment Analysis'!I63</f>
        <v>1e-12</v>
      </c>
      <c r="J79" s="381">
        <f ca="1">'Segment Analysis'!J63</f>
        <v>1e-12</v>
      </c>
      <c r="K79" s="522">
        <f ca="1">'Segment Analysis'!K63</f>
        <v>1e-12</v>
      </c>
      <c r="L79" s="522">
        <f ca="1">'Segment Analysis'!L63</f>
        <v>1e-12</v>
      </c>
      <c r="M79" s="522">
        <f ca="1">'Segment Analysis'!M63</f>
        <v>1e-12</v>
      </c>
      <c r="N79" s="522">
        <f ca="1">'Segment Analysis'!N63</f>
        <v>1e-12</v>
      </c>
      <c r="O79" s="381">
        <f ca="1">'Segment Analysis'!O63</f>
        <v>1e-12</v>
      </c>
      <c r="P79" s="522">
        <f ca="1">'Segment Analysis'!P63</f>
        <v>1e-12</v>
      </c>
      <c r="Q79" s="522">
        <f ca="1">'Segment Analysis'!Q63</f>
        <v>1e-12</v>
      </c>
      <c r="R79" s="522">
        <f ca="1">'Segment Analysis'!R63</f>
        <v>1e-12</v>
      </c>
      <c r="S79" s="522">
        <f ca="1">'Segment Analysis'!S63</f>
        <v>1e-12</v>
      </c>
      <c r="T79" s="381">
        <f ca="1">'Segment Analysis'!T63</f>
        <v>1e-12</v>
      </c>
      <c r="U79" s="522">
        <f ca="1">'Segment Analysis'!U63</f>
        <v>1e-12</v>
      </c>
      <c r="V79" s="522">
        <f ca="1">'Segment Analysis'!V63</f>
        <v>1e-12</v>
      </c>
      <c r="W79" s="522">
        <f ca="1">'Segment Analysis'!W63</f>
        <v>1e-12</v>
      </c>
      <c r="X79" s="320">
        <v>0</v>
      </c>
      <c r="Y79" s="381">
        <f ca="1">'Segment Analysis'!Y63</f>
        <v>1e-12</v>
      </c>
      <c r="Z79" s="320">
        <v>0</v>
      </c>
      <c r="AA79" s="320">
        <v>0</v>
      </c>
      <c r="AB79" s="320">
        <v>0</v>
      </c>
      <c r="AC79" s="320">
        <v>0</v>
      </c>
      <c r="AD79" s="381">
        <f ca="1">'Segment Analysis'!AD63</f>
        <v>1e-12</v>
      </c>
      <c r="AE79" s="321">
        <v>0</v>
      </c>
      <c r="AF79" s="321">
        <v>0</v>
      </c>
      <c r="AG79" s="321">
        <v>0</v>
      </c>
      <c r="AH79" s="16"/>
      <c r="AI79" s="16"/>
    </row>
    <row r="80" ht="12.75" customHeight="1" spans="1:35" x14ac:dyDescent="0.25">
      <c r="A80" s="16"/>
      <c r="B80" s="16"/>
      <c r="C80" s="491" t="str">
        <f ca="1">'Segment Analysis'!C64</f>
        <v>Segment 3</v>
      </c>
      <c r="D80" s="16"/>
      <c r="E80" s="16"/>
      <c r="F80" s="522">
        <f ca="1">'Segment Analysis'!F64</f>
        <v>1e-12</v>
      </c>
      <c r="G80" s="522">
        <f ca="1">'Segment Analysis'!G64</f>
        <v>1e-12</v>
      </c>
      <c r="H80" s="522">
        <f ca="1">'Segment Analysis'!H64</f>
        <v>1e-12</v>
      </c>
      <c r="I80" s="522">
        <f ca="1">'Segment Analysis'!I64</f>
        <v>1e-12</v>
      </c>
      <c r="J80" s="381">
        <f ca="1">'Segment Analysis'!J64</f>
        <v>1e-12</v>
      </c>
      <c r="K80" s="522">
        <f ca="1">'Segment Analysis'!K64</f>
        <v>1e-12</v>
      </c>
      <c r="L80" s="522">
        <f ca="1">'Segment Analysis'!L64</f>
        <v>1e-12</v>
      </c>
      <c r="M80" s="522">
        <f ca="1">'Segment Analysis'!M64</f>
        <v>1e-12</v>
      </c>
      <c r="N80" s="522">
        <f ca="1">'Segment Analysis'!N64</f>
        <v>1e-12</v>
      </c>
      <c r="O80" s="381">
        <f ca="1">'Segment Analysis'!O64</f>
        <v>1e-12</v>
      </c>
      <c r="P80" s="522">
        <f ca="1">'Segment Analysis'!P64</f>
        <v>1e-12</v>
      </c>
      <c r="Q80" s="522">
        <f ca="1">'Segment Analysis'!Q64</f>
        <v>1e-12</v>
      </c>
      <c r="R80" s="522">
        <f ca="1">'Segment Analysis'!R64</f>
        <v>1e-12</v>
      </c>
      <c r="S80" s="522">
        <f ca="1">'Segment Analysis'!S64</f>
        <v>1e-12</v>
      </c>
      <c r="T80" s="381">
        <f ca="1">'Segment Analysis'!T64</f>
        <v>1e-12</v>
      </c>
      <c r="U80" s="522">
        <f ca="1">'Segment Analysis'!U64</f>
        <v>1e-12</v>
      </c>
      <c r="V80" s="522">
        <f ca="1">'Segment Analysis'!V64</f>
        <v>1e-12</v>
      </c>
      <c r="W80" s="522">
        <f ca="1">'Segment Analysis'!W64</f>
        <v>1e-12</v>
      </c>
      <c r="X80" s="320">
        <v>0</v>
      </c>
      <c r="Y80" s="381">
        <f ca="1">'Segment Analysis'!Y64</f>
        <v>1e-12</v>
      </c>
      <c r="Z80" s="320">
        <v>0</v>
      </c>
      <c r="AA80" s="320">
        <v>0</v>
      </c>
      <c r="AB80" s="320">
        <v>0</v>
      </c>
      <c r="AC80" s="320">
        <v>0</v>
      </c>
      <c r="AD80" s="381">
        <f ca="1">'Segment Analysis'!AD64</f>
        <v>1e-12</v>
      </c>
      <c r="AE80" s="321">
        <v>0</v>
      </c>
      <c r="AF80" s="321">
        <v>0</v>
      </c>
      <c r="AG80" s="321">
        <v>0</v>
      </c>
      <c r="AH80" s="16"/>
      <c r="AI80" s="16"/>
    </row>
    <row r="81" ht="12.75" customHeight="1" spans="1:35" x14ac:dyDescent="0.25">
      <c r="A81" s="16"/>
      <c r="B81" s="16"/>
      <c r="C81" s="491" t="str">
        <f ca="1">'Segment Analysis'!C65</f>
        <v>Segment 4</v>
      </c>
      <c r="D81" s="16"/>
      <c r="E81" s="16"/>
      <c r="F81" s="522">
        <f ca="1">'Segment Analysis'!F65</f>
        <v>1e-12</v>
      </c>
      <c r="G81" s="522">
        <f ca="1">'Segment Analysis'!G65</f>
        <v>1e-12</v>
      </c>
      <c r="H81" s="522">
        <f ca="1">'Segment Analysis'!H65</f>
        <v>1e-12</v>
      </c>
      <c r="I81" s="522">
        <f ca="1">'Segment Analysis'!I65</f>
        <v>1e-12</v>
      </c>
      <c r="J81" s="381">
        <f ca="1">'Segment Analysis'!J65</f>
        <v>1e-12</v>
      </c>
      <c r="K81" s="522">
        <f ca="1">'Segment Analysis'!K65</f>
        <v>1e-12</v>
      </c>
      <c r="L81" s="522">
        <f ca="1">'Segment Analysis'!L65</f>
        <v>1e-12</v>
      </c>
      <c r="M81" s="522">
        <f ca="1">'Segment Analysis'!M65</f>
        <v>1e-12</v>
      </c>
      <c r="N81" s="522">
        <f ca="1">'Segment Analysis'!N65</f>
        <v>1e-12</v>
      </c>
      <c r="O81" s="381">
        <f ca="1">'Segment Analysis'!O65</f>
        <v>1e-12</v>
      </c>
      <c r="P81" s="522">
        <f ca="1">'Segment Analysis'!P65</f>
        <v>1e-12</v>
      </c>
      <c r="Q81" s="522">
        <f ca="1">'Segment Analysis'!Q65</f>
        <v>1e-12</v>
      </c>
      <c r="R81" s="522">
        <f ca="1">'Segment Analysis'!R65</f>
        <v>1e-12</v>
      </c>
      <c r="S81" s="522">
        <f ca="1">'Segment Analysis'!S65</f>
        <v>1e-12</v>
      </c>
      <c r="T81" s="381">
        <f ca="1">'Segment Analysis'!T65</f>
        <v>1e-12</v>
      </c>
      <c r="U81" s="522">
        <f ca="1">'Segment Analysis'!U65</f>
        <v>1e-12</v>
      </c>
      <c r="V81" s="522">
        <f ca="1">'Segment Analysis'!V65</f>
        <v>1e-12</v>
      </c>
      <c r="W81" s="522">
        <f ca="1">'Segment Analysis'!W65</f>
        <v>1e-12</v>
      </c>
      <c r="X81" s="320">
        <v>0</v>
      </c>
      <c r="Y81" s="381">
        <f ca="1">'Segment Analysis'!Y65</f>
        <v>1e-12</v>
      </c>
      <c r="Z81" s="320">
        <v>0</v>
      </c>
      <c r="AA81" s="320">
        <v>0</v>
      </c>
      <c r="AB81" s="320">
        <v>0</v>
      </c>
      <c r="AC81" s="320">
        <v>0</v>
      </c>
      <c r="AD81" s="381">
        <f ca="1">'Segment Analysis'!AD65</f>
        <v>1e-12</v>
      </c>
      <c r="AE81" s="321">
        <v>0</v>
      </c>
      <c r="AF81" s="321">
        <v>0</v>
      </c>
      <c r="AG81" s="321">
        <v>0</v>
      </c>
      <c r="AH81" s="16"/>
      <c r="AI81" s="16"/>
    </row>
    <row r="82" ht="12.75" customHeight="1" spans="1:35" x14ac:dyDescent="0.25">
      <c r="A82" s="16"/>
      <c r="B82" s="16"/>
      <c r="C82" s="491" t="str">
        <f ca="1">'Segment Analysis'!C66</f>
        <v>Segment 5</v>
      </c>
      <c r="D82" s="16"/>
      <c r="E82" s="16"/>
      <c r="F82" s="522">
        <f ca="1">'Segment Analysis'!F66</f>
        <v>1e-12</v>
      </c>
      <c r="G82" s="522">
        <f ca="1">'Segment Analysis'!G66</f>
        <v>1e-12</v>
      </c>
      <c r="H82" s="522">
        <f ca="1">'Segment Analysis'!H66</f>
        <v>1e-12</v>
      </c>
      <c r="I82" s="522">
        <f ca="1">'Segment Analysis'!I66</f>
        <v>1e-12</v>
      </c>
      <c r="J82" s="381">
        <f ca="1">'Segment Analysis'!J66</f>
        <v>1e-12</v>
      </c>
      <c r="K82" s="522">
        <f ca="1">'Segment Analysis'!K66</f>
        <v>1e-12</v>
      </c>
      <c r="L82" s="522">
        <f ca="1">'Segment Analysis'!L66</f>
        <v>1e-12</v>
      </c>
      <c r="M82" s="522">
        <f ca="1">'Segment Analysis'!M66</f>
        <v>1e-12</v>
      </c>
      <c r="N82" s="522">
        <f ca="1">'Segment Analysis'!N66</f>
        <v>1e-12</v>
      </c>
      <c r="O82" s="381">
        <f ca="1">'Segment Analysis'!O66</f>
        <v>1e-12</v>
      </c>
      <c r="P82" s="522">
        <f ca="1">'Segment Analysis'!P66</f>
        <v>1e-12</v>
      </c>
      <c r="Q82" s="522">
        <f ca="1">'Segment Analysis'!Q66</f>
        <v>1e-12</v>
      </c>
      <c r="R82" s="522">
        <f ca="1">'Segment Analysis'!R66</f>
        <v>1e-12</v>
      </c>
      <c r="S82" s="522">
        <f ca="1">'Segment Analysis'!S66</f>
        <v>1e-12</v>
      </c>
      <c r="T82" s="381">
        <f ca="1">'Segment Analysis'!T66</f>
        <v>1e-12</v>
      </c>
      <c r="U82" s="522">
        <f ca="1">'Segment Analysis'!U66</f>
        <v>1e-12</v>
      </c>
      <c r="V82" s="522">
        <f ca="1">'Segment Analysis'!V66</f>
        <v>1e-12</v>
      </c>
      <c r="W82" s="522">
        <f ca="1">'Segment Analysis'!W66</f>
        <v>1e-12</v>
      </c>
      <c r="X82" s="320">
        <v>0</v>
      </c>
      <c r="Y82" s="381">
        <f ca="1">'Segment Analysis'!Y66</f>
        <v>1e-12</v>
      </c>
      <c r="Z82" s="320">
        <v>0</v>
      </c>
      <c r="AA82" s="320">
        <v>0</v>
      </c>
      <c r="AB82" s="320">
        <v>0</v>
      </c>
      <c r="AC82" s="320">
        <v>0</v>
      </c>
      <c r="AD82" s="381">
        <f ca="1">'Segment Analysis'!AD66</f>
        <v>1e-12</v>
      </c>
      <c r="AE82" s="321">
        <v>0</v>
      </c>
      <c r="AF82" s="321">
        <v>0</v>
      </c>
      <c r="AG82" s="321">
        <v>0</v>
      </c>
      <c r="AH82" s="16"/>
      <c r="AI82" s="16"/>
    </row>
    <row r="83" ht="12.75" customHeight="1" spans="1:35" x14ac:dyDescent="0.25">
      <c r="A83" s="16"/>
      <c r="B83" s="16"/>
      <c r="C83" s="491" t="str">
        <f ca="1">'Segment Analysis'!C67</f>
        <v>Segment 6</v>
      </c>
      <c r="D83" s="16"/>
      <c r="E83" s="16"/>
      <c r="F83" s="522">
        <f ca="1">'Segment Analysis'!F67</f>
        <v>1e-12</v>
      </c>
      <c r="G83" s="522">
        <f ca="1">'Segment Analysis'!G67</f>
        <v>1e-12</v>
      </c>
      <c r="H83" s="522">
        <f ca="1">'Segment Analysis'!H67</f>
        <v>1e-12</v>
      </c>
      <c r="I83" s="522">
        <f ca="1">'Segment Analysis'!I67</f>
        <v>1e-12</v>
      </c>
      <c r="J83" s="381">
        <f ca="1">'Segment Analysis'!J67</f>
        <v>1e-12</v>
      </c>
      <c r="K83" s="522">
        <f ca="1">'Segment Analysis'!K67</f>
        <v>1e-12</v>
      </c>
      <c r="L83" s="522">
        <f ca="1">'Segment Analysis'!L67</f>
        <v>1e-12</v>
      </c>
      <c r="M83" s="522">
        <f ca="1">'Segment Analysis'!M67</f>
        <v>1e-12</v>
      </c>
      <c r="N83" s="522">
        <f ca="1">'Segment Analysis'!N67</f>
        <v>1e-12</v>
      </c>
      <c r="O83" s="381">
        <f ca="1">'Segment Analysis'!O67</f>
        <v>1e-12</v>
      </c>
      <c r="P83" s="522">
        <f ca="1">'Segment Analysis'!P67</f>
        <v>1e-12</v>
      </c>
      <c r="Q83" s="522">
        <f ca="1">'Segment Analysis'!Q67</f>
        <v>1e-12</v>
      </c>
      <c r="R83" s="522">
        <f ca="1">'Segment Analysis'!R67</f>
        <v>1e-12</v>
      </c>
      <c r="S83" s="522">
        <f ca="1">'Segment Analysis'!S67</f>
        <v>1e-12</v>
      </c>
      <c r="T83" s="381">
        <f ca="1">'Segment Analysis'!T67</f>
        <v>1e-12</v>
      </c>
      <c r="U83" s="522">
        <f ca="1">'Segment Analysis'!U67</f>
        <v>1e-12</v>
      </c>
      <c r="V83" s="522">
        <f ca="1">'Segment Analysis'!V67</f>
        <v>1e-12</v>
      </c>
      <c r="W83" s="522">
        <f ca="1">'Segment Analysis'!W67</f>
        <v>1e-12</v>
      </c>
      <c r="X83" s="320">
        <v>0</v>
      </c>
      <c r="Y83" s="381">
        <f ca="1">'Segment Analysis'!Y67</f>
        <v>1e-12</v>
      </c>
      <c r="Z83" s="320">
        <v>0</v>
      </c>
      <c r="AA83" s="320">
        <v>0</v>
      </c>
      <c r="AB83" s="320">
        <v>0</v>
      </c>
      <c r="AC83" s="320">
        <v>0</v>
      </c>
      <c r="AD83" s="381">
        <f ca="1">'Segment Analysis'!AD67</f>
        <v>1e-12</v>
      </c>
      <c r="AE83" s="321">
        <v>0</v>
      </c>
      <c r="AF83" s="321">
        <v>0</v>
      </c>
      <c r="AG83" s="321">
        <v>0</v>
      </c>
      <c r="AH83" s="16"/>
      <c r="AI83" s="16"/>
    </row>
    <row r="84" ht="12.75" customHeight="1" spans="1:35" x14ac:dyDescent="0.25">
      <c r="A84" s="264" t="s">
        <v>1</v>
      </c>
      <c r="B84" s="16"/>
      <c r="C84" s="16"/>
      <c r="D84" s="16"/>
      <c r="E84" s="16"/>
      <c r="F84" s="377"/>
      <c r="G84" s="377"/>
      <c r="H84" s="377"/>
      <c r="I84" s="377"/>
      <c r="J84" s="378"/>
      <c r="K84" s="377"/>
      <c r="L84" s="377"/>
      <c r="M84" s="377"/>
      <c r="N84" s="377"/>
      <c r="O84" s="378"/>
      <c r="P84" s="377"/>
      <c r="Q84" s="377"/>
      <c r="R84" s="377"/>
      <c r="S84" s="377"/>
      <c r="T84" s="378"/>
      <c r="U84" s="377"/>
      <c r="V84" s="377"/>
      <c r="W84" s="377"/>
      <c r="X84" s="320"/>
      <c r="Y84" s="378"/>
      <c r="Z84" s="320"/>
      <c r="AA84" s="320"/>
      <c r="AB84" s="320"/>
      <c r="AC84" s="320"/>
      <c r="AD84" s="378"/>
      <c r="AE84" s="321"/>
      <c r="AF84" s="321"/>
      <c r="AG84" s="321"/>
      <c r="AH84" s="264" t="s">
        <v>1</v>
      </c>
      <c r="AI84" s="264"/>
    </row>
    <row r="85" ht="12.75" customHeight="1" spans="1:35" x14ac:dyDescent="0.25">
      <c r="A85" s="264"/>
      <c r="B85" s="16"/>
      <c r="C85" s="16" t="str">
        <f ca="1">Model!C214</f>
        <v>Amortization as a % of Avg. Intangibles</v>
      </c>
      <c r="D85" s="16"/>
      <c r="E85" s="16"/>
      <c r="F85" s="377"/>
      <c r="G85" s="377">
        <f ca="1">Model!G214</f>
      </c>
      <c r="H85" s="377">
        <f ca="1">Model!H214</f>
      </c>
      <c r="I85" s="377">
        <f ca="1">Model!I214</f>
      </c>
      <c r="J85" s="378">
        <f ca="1">Model!J214</f>
      </c>
      <c r="K85" s="377">
        <f ca="1">Model!K214</f>
      </c>
      <c r="L85" s="377">
        <f ca="1">Model!L214</f>
      </c>
      <c r="M85" s="377">
        <f ca="1">Model!M214</f>
      </c>
      <c r="N85" s="377">
        <f ca="1">Model!N214</f>
      </c>
      <c r="O85" s="378">
        <f ca="1">Model!O214</f>
      </c>
      <c r="P85" s="377">
        <f ca="1">Model!P214</f>
      </c>
      <c r="Q85" s="377">
        <f ca="1">Model!Q214</f>
      </c>
      <c r="R85" s="377">
        <f ca="1">Model!R214</f>
      </c>
      <c r="S85" s="377">
        <f ca="1">Model!S214</f>
      </c>
      <c r="T85" s="378">
        <f ca="1">Model!T214</f>
      </c>
      <c r="U85" s="377">
        <f ca="1">Model!U214</f>
      </c>
      <c r="V85" s="377">
        <f ca="1">Model!V214</f>
      </c>
      <c r="W85" s="377">
        <f ca="1">Model!W214</f>
        <v>1e-12</v>
      </c>
      <c r="X85" s="379">
        <f ca="1">IF(Case_Scenario="Bull",X86,IF(Case_Scenario="Base",X87,IF(Case_Scenario="bear",X88,"N/A")))</f>
        <v>0</v>
      </c>
      <c r="Y85" s="378">
        <f ca="1">Model!Y214</f>
        <v>1e-12</v>
      </c>
      <c r="Z85" s="379">
        <f ca="1">IF(Case_Scenario="Bull",Z86,IF(Case_Scenario="Base",Z87,IF(Case_Scenario="bear",Z88,"N/A")))</f>
        <v>0</v>
      </c>
      <c r="AA85" s="379">
        <f ca="1">IF(Case_Scenario="Bull",AA86,IF(Case_Scenario="Base",AA87,IF(Case_Scenario="bear",AA88,"N/A")))</f>
        <v>0</v>
      </c>
      <c r="AB85" s="379">
        <f ca="1">IF(Case_Scenario="Bull",AB86,IF(Case_Scenario="Base",AB87,IF(Case_Scenario="bear",AB88,"N/A")))</f>
        <v>0</v>
      </c>
      <c r="AC85" s="379">
        <f ca="1">IF(Case_Scenario="Bull",AC86,IF(Case_Scenario="Base",AC87,IF(Case_Scenario="bear",AC88,"N/A")))</f>
        <v>0</v>
      </c>
      <c r="AD85" s="378">
        <f ca="1">Model!AD214</f>
        <v>1e-12</v>
      </c>
      <c r="AE85" s="378">
        <f ca="1">IF(Case_Scenario="Bull",AE86,IF(Case_Scenario="Base",AE87,IF(Case_Scenario="bear",AE88,"N/A")))</f>
        <v>0</v>
      </c>
      <c r="AF85" s="378">
        <f ca="1">IF(Case_Scenario="Bull",AF86,IF(Case_Scenario="Base",AF87,IF(Case_Scenario="bear",AF88,"N/A")))</f>
        <v>0</v>
      </c>
      <c r="AG85" s="378">
        <f ca="1">IF(Case_Scenario="Bull",AG86,IF(Case_Scenario="Base",AG87,IF(Case_Scenario="bear",AG88,"N/A")))</f>
        <v>0</v>
      </c>
      <c r="AH85" s="16"/>
      <c r="AI85" s="16"/>
    </row>
    <row r="86" ht="12.75" customHeight="1" spans="1:35" x14ac:dyDescent="0.25">
      <c r="A86" s="16"/>
      <c r="B86" s="16"/>
      <c r="C86" s="139" t="s">
        <v>251</v>
      </c>
      <c r="D86" s="16"/>
      <c r="E86" s="16"/>
      <c r="F86" s="377"/>
      <c r="G86" s="377"/>
      <c r="H86" s="377"/>
      <c r="I86" s="377"/>
      <c r="J86" s="378"/>
      <c r="K86" s="377"/>
      <c r="L86" s="377"/>
      <c r="M86" s="377"/>
      <c r="N86" s="377"/>
      <c r="O86" s="378"/>
      <c r="P86" s="377"/>
      <c r="Q86" s="377"/>
      <c r="R86" s="377"/>
      <c r="S86" s="377"/>
      <c r="T86" s="378"/>
      <c r="U86" s="377"/>
      <c r="V86" s="377"/>
      <c r="W86" s="377"/>
      <c r="X86" s="320">
        <v>0</v>
      </c>
      <c r="Y86" s="378"/>
      <c r="Z86" s="320">
        <v>0</v>
      </c>
      <c r="AA86" s="320">
        <v>0</v>
      </c>
      <c r="AB86" s="320">
        <v>0</v>
      </c>
      <c r="AC86" s="320">
        <v>0</v>
      </c>
      <c r="AD86" s="378"/>
      <c r="AE86" s="321">
        <v>0</v>
      </c>
      <c r="AF86" s="321">
        <v>0</v>
      </c>
      <c r="AG86" s="321">
        <v>0</v>
      </c>
      <c r="AH86" s="16"/>
      <c r="AI86" s="16"/>
    </row>
    <row r="87" ht="12.75" customHeight="1" spans="1:35" x14ac:dyDescent="0.25">
      <c r="A87" s="16"/>
      <c r="B87" s="16"/>
      <c r="C87" s="139" t="s">
        <v>252</v>
      </c>
      <c r="D87" s="16"/>
      <c r="E87" s="16"/>
      <c r="F87" s="377"/>
      <c r="G87" s="377"/>
      <c r="H87" s="377"/>
      <c r="I87" s="377"/>
      <c r="J87" s="378"/>
      <c r="K87" s="377"/>
      <c r="L87" s="377"/>
      <c r="M87" s="377"/>
      <c r="N87" s="377"/>
      <c r="O87" s="378"/>
      <c r="P87" s="377"/>
      <c r="Q87" s="377"/>
      <c r="R87" s="377"/>
      <c r="S87" s="377"/>
      <c r="T87" s="378"/>
      <c r="U87" s="377"/>
      <c r="V87" s="377"/>
      <c r="W87" s="377"/>
      <c r="X87" s="320">
        <v>0</v>
      </c>
      <c r="Y87" s="378"/>
      <c r="Z87" s="320">
        <v>0</v>
      </c>
      <c r="AA87" s="320">
        <v>0</v>
      </c>
      <c r="AB87" s="320">
        <v>0</v>
      </c>
      <c r="AC87" s="320">
        <v>0</v>
      </c>
      <c r="AD87" s="378"/>
      <c r="AE87" s="321">
        <v>0</v>
      </c>
      <c r="AF87" s="321">
        <v>0</v>
      </c>
      <c r="AG87" s="321">
        <v>0</v>
      </c>
      <c r="AH87" s="16"/>
      <c r="AI87" s="16"/>
    </row>
    <row r="88" ht="12.75" customHeight="1" spans="1:35" x14ac:dyDescent="0.25">
      <c r="A88" s="16"/>
      <c r="B88" s="16"/>
      <c r="C88" s="139" t="s">
        <v>253</v>
      </c>
      <c r="D88" s="16"/>
      <c r="E88" s="16"/>
      <c r="F88" s="377"/>
      <c r="G88" s="377"/>
      <c r="H88" s="377"/>
      <c r="I88" s="377"/>
      <c r="J88" s="378"/>
      <c r="K88" s="377"/>
      <c r="L88" s="377"/>
      <c r="M88" s="377"/>
      <c r="N88" s="377"/>
      <c r="O88" s="378"/>
      <c r="P88" s="377"/>
      <c r="Q88" s="377"/>
      <c r="R88" s="377"/>
      <c r="S88" s="377"/>
      <c r="T88" s="378"/>
      <c r="U88" s="377"/>
      <c r="V88" s="377"/>
      <c r="W88" s="377"/>
      <c r="X88" s="320">
        <v>0</v>
      </c>
      <c r="Y88" s="378"/>
      <c r="Z88" s="320">
        <v>0</v>
      </c>
      <c r="AA88" s="320">
        <v>0</v>
      </c>
      <c r="AB88" s="320">
        <v>0</v>
      </c>
      <c r="AC88" s="320">
        <v>0</v>
      </c>
      <c r="AD88" s="378"/>
      <c r="AE88" s="321">
        <v>0</v>
      </c>
      <c r="AF88" s="321">
        <v>0</v>
      </c>
      <c r="AG88" s="321">
        <v>0</v>
      </c>
      <c r="AH88" s="16"/>
      <c r="AI88" s="16"/>
    </row>
    <row r="89" ht="12.75" customHeight="1" spans="1:35" x14ac:dyDescent="0.25">
      <c r="A89" s="16"/>
      <c r="B89" s="16"/>
      <c r="C89" s="16"/>
      <c r="D89" s="16"/>
      <c r="E89" s="16"/>
      <c r="F89" s="377"/>
      <c r="G89" s="377"/>
      <c r="H89" s="377"/>
      <c r="I89" s="377"/>
      <c r="J89" s="378"/>
      <c r="K89" s="377"/>
      <c r="L89" s="377"/>
      <c r="M89" s="377"/>
      <c r="N89" s="377"/>
      <c r="O89" s="378"/>
      <c r="P89" s="377"/>
      <c r="Q89" s="377"/>
      <c r="R89" s="377"/>
      <c r="S89" s="377"/>
      <c r="T89" s="378"/>
      <c r="U89" s="377"/>
      <c r="V89" s="377"/>
      <c r="W89" s="377"/>
      <c r="X89" s="320"/>
      <c r="Y89" s="378"/>
      <c r="Z89" s="320"/>
      <c r="AA89" s="320"/>
      <c r="AB89" s="320"/>
      <c r="AC89" s="320"/>
      <c r="AD89" s="378"/>
      <c r="AE89" s="321"/>
      <c r="AF89" s="321"/>
      <c r="AG89" s="321"/>
      <c r="AH89" s="16"/>
      <c r="AI89" s="16"/>
    </row>
    <row r="90" ht="12.75" customHeight="1" spans="1:35" x14ac:dyDescent="0.25">
      <c r="A90" s="16"/>
      <c r="B90" s="16"/>
      <c r="C90" s="512" t="s">
        <v>488</v>
      </c>
      <c r="D90" s="513"/>
      <c r="E90" s="513"/>
      <c r="F90" s="514"/>
      <c r="G90" s="515"/>
      <c r="H90" s="515"/>
      <c r="I90" s="515"/>
      <c r="J90" s="515"/>
      <c r="K90" s="515"/>
      <c r="L90" s="515"/>
      <c r="M90" s="515"/>
      <c r="N90" s="515"/>
      <c r="O90" s="515"/>
      <c r="P90" s="515"/>
      <c r="Q90" s="515"/>
      <c r="R90" s="515"/>
      <c r="S90" s="515"/>
      <c r="T90" s="515"/>
      <c r="U90" s="515"/>
      <c r="V90" s="515"/>
      <c r="W90" s="515"/>
      <c r="X90" s="515"/>
      <c r="Y90" s="515"/>
      <c r="Z90" s="515"/>
      <c r="AA90" s="515"/>
      <c r="AB90" s="515"/>
      <c r="AC90" s="515"/>
      <c r="AD90" s="515"/>
      <c r="AE90" s="515"/>
      <c r="AF90" s="515"/>
      <c r="AG90" s="516"/>
      <c r="AH90" s="16"/>
      <c r="AI90" s="16"/>
    </row>
    <row r="91" ht="12.75" customHeight="1" spans="1:35" x14ac:dyDescent="0.25">
      <c r="A91" s="16"/>
      <c r="B91" s="16"/>
      <c r="C91" s="16"/>
      <c r="D91" s="16"/>
      <c r="E91" s="16"/>
      <c r="F91" s="377"/>
      <c r="G91" s="377"/>
      <c r="H91" s="377"/>
      <c r="I91" s="377"/>
      <c r="J91" s="378"/>
      <c r="K91" s="377"/>
      <c r="L91" s="377"/>
      <c r="M91" s="377"/>
      <c r="N91" s="377"/>
      <c r="O91" s="378"/>
      <c r="P91" s="377"/>
      <c r="Q91" s="377"/>
      <c r="R91" s="377"/>
      <c r="S91" s="377"/>
      <c r="T91" s="378"/>
      <c r="U91" s="377"/>
      <c r="V91" s="377"/>
      <c r="W91" s="377"/>
      <c r="X91" s="379"/>
      <c r="Y91" s="378"/>
      <c r="Z91" s="379"/>
      <c r="AA91" s="379"/>
      <c r="AB91" s="379"/>
      <c r="AC91" s="379"/>
      <c r="AD91" s="378"/>
      <c r="AE91" s="168"/>
      <c r="AF91" s="168"/>
      <c r="AG91" s="168"/>
      <c r="AH91" s="16"/>
      <c r="AI91" s="16"/>
    </row>
    <row r="92" ht="12.75" customHeight="1" spans="1:35" x14ac:dyDescent="0.25">
      <c r="A92" s="16"/>
      <c r="B92" s="16"/>
      <c r="C92" s="16" t="str">
        <f ca="1">Model!C200</f>
        <v>Capex as a % of Sales</v>
      </c>
      <c r="D92" s="16"/>
      <c r="E92" s="16"/>
      <c r="F92" s="377">
        <f ca="1">Model!F200</f>
        <v>0.012903225806451613</v>
      </c>
      <c r="G92" s="377">
        <f ca="1">Model!G200</f>
        <v>0.015271926464955956</v>
      </c>
      <c r="H92" s="377">
        <f ca="1">Model!H200</f>
        <v>0.01739879414298019</v>
      </c>
      <c r="I92" s="377">
        <f ca="1">Model!I200</f>
        <v>0.020963824619711108</v>
      </c>
      <c r="J92" s="378">
        <f ca="1">Model!J200</f>
        <v>0.016463559999439062</v>
      </c>
      <c r="K92" s="377">
        <f ca="1">Model!K200</f>
        <v>0.011555154726340116</v>
      </c>
      <c r="L92" s="377">
        <f ca="1">Model!L200</f>
        <v>0.015291539634146341</v>
      </c>
      <c r="M92" s="377">
        <f ca="1">Model!M200</f>
        <v>0.02306188175753393</v>
      </c>
      <c r="N92" s="377">
        <f ca="1">Model!N200</f>
        <v>0.03475385287327635</v>
      </c>
      <c r="O92" s="378">
        <f ca="1">Model!O200</f>
        <v>0.020568830736818762</v>
      </c>
      <c r="P92" s="377">
        <f ca="1">Model!P200</f>
        <v>0.016670902160101652</v>
      </c>
      <c r="Q92" s="377">
        <f ca="1">Model!Q200</f>
        <v>0.013991648963445902</v>
      </c>
      <c r="R92" s="377">
        <f ca="1">Model!R200</f>
        <v>0.02070913084405397</v>
      </c>
      <c r="S92" s="377">
        <f ca="1">Model!S200</f>
        <v>0.02742356358623406</v>
      </c>
      <c r="T92" s="378">
        <f ca="1">Model!T200</f>
        <v>0.019297521122359006</v>
      </c>
      <c r="U92" s="377">
        <f ca="1">Model!U200</f>
        <v>0.018876422897387602</v>
      </c>
      <c r="V92" s="377">
        <f ca="1">Model!V200</f>
        <v>0.013964454116793616</v>
      </c>
      <c r="W92" s="377">
        <f ca="1">Model!W200</f>
        <v>0.017889868225848676</v>
      </c>
      <c r="X92" s="379">
        <f ca="1">IF(Case_Scenario="Bull",X93,IF(Case_Scenario="Base",X94,IF(Case_Scenario="bear",X95,"N/A")))</f>
        <v>0.017</v>
      </c>
      <c r="Y92" s="378">
        <f ca="1">Model!Y200</f>
        <v>0.016819304711006483</v>
      </c>
      <c r="Z92" s="379">
        <f ca="1">IF(Case_Scenario="Bull",Z93,IF(Case_Scenario="Base",Z94,IF(Case_Scenario="bear",Z95,"N/A")))</f>
        <v>0.024</v>
      </c>
      <c r="AA92" s="379">
        <f ca="1">IF(Case_Scenario="Bull",AA93,IF(Case_Scenario="Base",AA94,IF(Case_Scenario="bear",AA95,"N/A")))</f>
        <v>0.022</v>
      </c>
      <c r="AB92" s="379">
        <f ca="1">IF(Case_Scenario="Bull",AB93,IF(Case_Scenario="Base",AB94,IF(Case_Scenario="bear",AB95,"N/A")))</f>
        <v>0.017</v>
      </c>
      <c r="AC92" s="379">
        <f ca="1">IF(Case_Scenario="Bull",AC93,IF(Case_Scenario="Base",AC94,IF(Case_Scenario="bear",AC95,"N/A")))</f>
        <v>0.017</v>
      </c>
      <c r="AD92" s="378">
        <f ca="1">Model!AD200</f>
        <v>0.02010040427318712</v>
      </c>
      <c r="AE92" s="378">
        <f ca="1">IF(Case_Scenario="Bull",AE93,IF(Case_Scenario="Base",AE94,IF(Case_Scenario="bear",AE95,"N/A")))</f>
        <v>0.02</v>
      </c>
      <c r="AF92" s="378">
        <f ca="1">IF(Case_Scenario="Bull",AF93,IF(Case_Scenario="Base",AF94,IF(Case_Scenario="bear",AF95,"N/A")))</f>
        <v>0.02</v>
      </c>
      <c r="AG92" s="378">
        <f ca="1">IF(Case_Scenario="Bull",AG93,IF(Case_Scenario="Base",AG94,IF(Case_Scenario="bear",AG95,"N/A")))</f>
        <v>0.021</v>
      </c>
      <c r="AH92" s="16"/>
      <c r="AI92" s="16"/>
    </row>
    <row r="93" ht="12.75" customHeight="1" spans="1:35" x14ac:dyDescent="0.25">
      <c r="A93" s="16"/>
      <c r="B93" s="16"/>
      <c r="C93" s="139" t="s">
        <v>251</v>
      </c>
      <c r="D93" s="16"/>
      <c r="E93" s="16"/>
      <c r="F93" s="377"/>
      <c r="G93" s="377"/>
      <c r="H93" s="377"/>
      <c r="I93" s="377"/>
      <c r="J93" s="378"/>
      <c r="K93" s="377"/>
      <c r="L93" s="377"/>
      <c r="M93" s="377"/>
      <c r="N93" s="377"/>
      <c r="O93" s="378"/>
      <c r="P93" s="377"/>
      <c r="Q93" s="377"/>
      <c r="R93" s="377"/>
      <c r="S93" s="377"/>
      <c r="T93" s="378"/>
      <c r="U93" s="377"/>
      <c r="V93" s="377"/>
      <c r="W93" s="377"/>
      <c r="X93" s="320">
        <v>0.01</v>
      </c>
      <c r="Y93" s="378"/>
      <c r="Z93" s="320">
        <v>0.01</v>
      </c>
      <c r="AA93" s="320">
        <v>0.01</v>
      </c>
      <c r="AB93" s="320">
        <v>0.01</v>
      </c>
      <c r="AC93" s="320">
        <v>0.01</v>
      </c>
      <c r="AD93" s="378"/>
      <c r="AE93" s="321">
        <v>0.01</v>
      </c>
      <c r="AF93" s="321">
        <v>0.012</v>
      </c>
      <c r="AG93" s="321">
        <v>0.012</v>
      </c>
      <c r="AH93" s="16"/>
      <c r="AI93" s="16"/>
    </row>
    <row r="94" ht="12.75" customHeight="1" spans="1:35" x14ac:dyDescent="0.25">
      <c r="A94" s="16"/>
      <c r="B94" s="16"/>
      <c r="C94" s="139" t="s">
        <v>252</v>
      </c>
      <c r="D94" s="16"/>
      <c r="E94" s="16"/>
      <c r="F94" s="377"/>
      <c r="G94" s="377"/>
      <c r="H94" s="377"/>
      <c r="I94" s="377"/>
      <c r="J94" s="378"/>
      <c r="K94" s="377"/>
      <c r="L94" s="377"/>
      <c r="M94" s="377"/>
      <c r="N94" s="377"/>
      <c r="O94" s="378"/>
      <c r="P94" s="377"/>
      <c r="Q94" s="377"/>
      <c r="R94" s="377"/>
      <c r="S94" s="377"/>
      <c r="T94" s="378"/>
      <c r="U94" s="377"/>
      <c r="V94" s="377"/>
      <c r="W94" s="377"/>
      <c r="X94" s="320">
        <v>0.017</v>
      </c>
      <c r="Y94" s="378"/>
      <c r="Z94" s="320">
        <v>0.024</v>
      </c>
      <c r="AA94" s="320">
        <v>0.022</v>
      </c>
      <c r="AB94" s="320">
        <v>0.017</v>
      </c>
      <c r="AC94" s="320">
        <v>0.017</v>
      </c>
      <c r="AD94" s="378"/>
      <c r="AE94" s="321">
        <v>0.02</v>
      </c>
      <c r="AF94" s="321">
        <v>0.02</v>
      </c>
      <c r="AG94" s="321">
        <v>0.021</v>
      </c>
      <c r="AH94" s="16"/>
      <c r="AI94" s="16"/>
    </row>
    <row r="95" ht="12.75" customHeight="1" spans="1:35" x14ac:dyDescent="0.25">
      <c r="A95" s="16"/>
      <c r="B95" s="16"/>
      <c r="C95" s="139" t="s">
        <v>253</v>
      </c>
      <c r="D95" s="16"/>
      <c r="E95" s="16"/>
      <c r="F95" s="377"/>
      <c r="G95" s="377"/>
      <c r="H95" s="377"/>
      <c r="I95" s="377"/>
      <c r="J95" s="378"/>
      <c r="K95" s="377"/>
      <c r="L95" s="377"/>
      <c r="M95" s="377"/>
      <c r="N95" s="377"/>
      <c r="O95" s="378"/>
      <c r="P95" s="377"/>
      <c r="Q95" s="377"/>
      <c r="R95" s="377"/>
      <c r="S95" s="377"/>
      <c r="T95" s="378"/>
      <c r="U95" s="377"/>
      <c r="V95" s="377"/>
      <c r="W95" s="377"/>
      <c r="X95" s="320">
        <v>0.03</v>
      </c>
      <c r="Y95" s="378"/>
      <c r="Z95" s="320">
        <v>0.03</v>
      </c>
      <c r="AA95" s="320">
        <v>0.03</v>
      </c>
      <c r="AB95" s="320">
        <v>0.03</v>
      </c>
      <c r="AC95" s="320">
        <v>0.03</v>
      </c>
      <c r="AD95" s="378"/>
      <c r="AE95" s="321">
        <v>0.03</v>
      </c>
      <c r="AF95" s="321">
        <v>0.03</v>
      </c>
      <c r="AG95" s="321">
        <v>0.03</v>
      </c>
      <c r="AH95" s="16"/>
      <c r="AI95" s="16"/>
    </row>
    <row r="96" ht="12.75" customHeight="1" spans="1:35" x14ac:dyDescent="0.25">
      <c r="A96" s="16"/>
      <c r="B96" s="16"/>
      <c r="C96" s="16"/>
      <c r="D96" s="16"/>
      <c r="E96" s="16"/>
      <c r="F96" s="377"/>
      <c r="G96" s="377"/>
      <c r="H96" s="377"/>
      <c r="I96" s="377"/>
      <c r="J96" s="378"/>
      <c r="K96" s="377"/>
      <c r="L96" s="377"/>
      <c r="M96" s="377"/>
      <c r="N96" s="377"/>
      <c r="O96" s="378"/>
      <c r="P96" s="377"/>
      <c r="Q96" s="377"/>
      <c r="R96" s="377"/>
      <c r="S96" s="377"/>
      <c r="T96" s="378"/>
      <c r="U96" s="377"/>
      <c r="V96" s="377"/>
      <c r="W96" s="377"/>
      <c r="X96" s="320"/>
      <c r="Y96" s="378"/>
      <c r="Z96" s="320"/>
      <c r="AA96" s="320"/>
      <c r="AB96" s="320"/>
      <c r="AC96" s="320"/>
      <c r="AD96" s="378"/>
      <c r="AE96" s="321"/>
      <c r="AF96" s="321"/>
      <c r="AG96" s="321"/>
      <c r="AH96" s="16"/>
      <c r="AI96" s="16"/>
    </row>
    <row r="97" ht="12.75" customHeight="1" spans="1:35" x14ac:dyDescent="0.25">
      <c r="A97" s="16"/>
      <c r="B97" s="16"/>
      <c r="C97" s="16" t="str">
        <f ca="1">Model!C84</f>
        <v>Proceeds From/(Acquisitions of) Businesses</v>
      </c>
      <c r="D97" s="16"/>
      <c r="E97" s="16"/>
      <c r="F97" s="325">
        <f ca="1">Model!F84</f>
        <v>1e-12</v>
      </c>
      <c r="G97" s="325">
        <f ca="1">Model!G84</f>
        <v>1e-12</v>
      </c>
      <c r="H97" s="325">
        <f ca="1">Model!H84</f>
        <v>1e-12</v>
      </c>
      <c r="I97" s="325">
        <f ca="1">Model!I84</f>
        <v>1e-12</v>
      </c>
      <c r="J97" s="326">
        <f ca="1">Model!J84</f>
        <v>1e-12</v>
      </c>
      <c r="K97" s="325">
        <f ca="1">Model!K84</f>
        <v>1e-12</v>
      </c>
      <c r="L97" s="325">
        <f ca="1">Model!L84</f>
        <v>1e-12</v>
      </c>
      <c r="M97" s="325">
        <f ca="1">Model!M84</f>
        <v>1e-12</v>
      </c>
      <c r="N97" s="325">
        <f ca="1">Model!N84</f>
        <v>1e-12</v>
      </c>
      <c r="O97" s="326">
        <f ca="1">Model!O84</f>
        <v>1e-12</v>
      </c>
      <c r="P97" s="325">
        <f ca="1">Model!P84</f>
        <v>1e-12</v>
      </c>
      <c r="Q97" s="325">
        <f ca="1">Model!Q84</f>
        <v>1e-12</v>
      </c>
      <c r="R97" s="325">
        <f ca="1">Model!R84</f>
        <v>1e-12</v>
      </c>
      <c r="S97" s="325">
        <f ca="1">Model!S84</f>
        <v>1e-12</v>
      </c>
      <c r="T97" s="326">
        <f ca="1">Model!T84</f>
        <v>1e-12</v>
      </c>
      <c r="U97" s="325">
        <f ca="1">Model!U84</f>
        <v>1e-12</v>
      </c>
      <c r="V97" s="325">
        <f ca="1">Model!V84</f>
        <v>1e-12</v>
      </c>
      <c r="W97" s="325">
        <f ca="1">Model!W84</f>
        <v>1e-12</v>
      </c>
      <c r="X97" s="517">
        <v>0</v>
      </c>
      <c r="Y97" s="326">
        <f ca="1">Model!Y84</f>
        <v>1e-12</v>
      </c>
      <c r="Z97" s="517">
        <v>0</v>
      </c>
      <c r="AA97" s="517">
        <v>0</v>
      </c>
      <c r="AB97" s="517">
        <v>0</v>
      </c>
      <c r="AC97" s="517">
        <v>0</v>
      </c>
      <c r="AD97" s="326">
        <f ca="1">Model!AD84</f>
        <v>1e-12</v>
      </c>
      <c r="AE97" s="518">
        <v>0</v>
      </c>
      <c r="AF97" s="518">
        <v>0</v>
      </c>
      <c r="AG97" s="518">
        <v>0</v>
      </c>
      <c r="AH97" s="16"/>
      <c r="AI97" s="16"/>
    </row>
    <row r="98" ht="12.75" customHeight="1" spans="1:35" x14ac:dyDescent="0.25">
      <c r="A98" s="16"/>
      <c r="B98" s="16"/>
      <c r="C98" s="16"/>
      <c r="D98" s="16"/>
      <c r="E98" s="16"/>
      <c r="F98" s="377"/>
      <c r="G98" s="377"/>
      <c r="H98" s="377"/>
      <c r="I98" s="377"/>
      <c r="J98" s="378"/>
      <c r="K98" s="377"/>
      <c r="L98" s="377"/>
      <c r="M98" s="377"/>
      <c r="N98" s="377"/>
      <c r="O98" s="378"/>
      <c r="P98" s="377"/>
      <c r="Q98" s="377"/>
      <c r="R98" s="377"/>
      <c r="S98" s="377"/>
      <c r="T98" s="378"/>
      <c r="U98" s="377"/>
      <c r="V98" s="377"/>
      <c r="W98" s="377"/>
      <c r="X98" s="320"/>
      <c r="Y98" s="378"/>
      <c r="Z98" s="320"/>
      <c r="AA98" s="320"/>
      <c r="AB98" s="320"/>
      <c r="AC98" s="320"/>
      <c r="AD98" s="378"/>
      <c r="AE98" s="321"/>
      <c r="AF98" s="321"/>
      <c r="AG98" s="321"/>
      <c r="AH98" s="16"/>
      <c r="AI98" s="16"/>
    </row>
    <row r="99" ht="12.75" customHeight="1" spans="1:35" x14ac:dyDescent="0.25">
      <c r="A99" s="16"/>
      <c r="B99" s="16"/>
      <c r="C99" s="512" t="s">
        <v>489</v>
      </c>
      <c r="D99" s="513"/>
      <c r="E99" s="513"/>
      <c r="F99" s="514"/>
      <c r="G99" s="515"/>
      <c r="H99" s="515"/>
      <c r="I99" s="515"/>
      <c r="J99" s="515"/>
      <c r="K99" s="515"/>
      <c r="L99" s="515"/>
      <c r="M99" s="515"/>
      <c r="N99" s="515"/>
      <c r="O99" s="515"/>
      <c r="P99" s="515"/>
      <c r="Q99" s="515"/>
      <c r="R99" s="515"/>
      <c r="S99" s="515"/>
      <c r="T99" s="515"/>
      <c r="U99" s="515"/>
      <c r="V99" s="515"/>
      <c r="W99" s="515"/>
      <c r="X99" s="515"/>
      <c r="Y99" s="515"/>
      <c r="Z99" s="515"/>
      <c r="AA99" s="515"/>
      <c r="AB99" s="515"/>
      <c r="AC99" s="515"/>
      <c r="AD99" s="515"/>
      <c r="AE99" s="515"/>
      <c r="AF99" s="515"/>
      <c r="AG99" s="516"/>
      <c r="AH99" s="16"/>
      <c r="AI99" s="16"/>
    </row>
    <row r="100" ht="12.75" customHeight="1" spans="1:35" x14ac:dyDescent="0.25">
      <c r="A100" s="16"/>
      <c r="B100" s="16"/>
      <c r="C100" s="16"/>
      <c r="D100" s="16"/>
      <c r="E100" s="16"/>
      <c r="F100" s="377"/>
      <c r="G100" s="377"/>
      <c r="H100" s="377"/>
      <c r="I100" s="377"/>
      <c r="J100" s="378"/>
      <c r="K100" s="377"/>
      <c r="L100" s="377"/>
      <c r="M100" s="377"/>
      <c r="N100" s="377"/>
      <c r="O100" s="378"/>
      <c r="P100" s="377"/>
      <c r="Q100" s="377"/>
      <c r="R100" s="377"/>
      <c r="S100" s="377"/>
      <c r="T100" s="378"/>
      <c r="U100" s="377"/>
      <c r="V100" s="377"/>
      <c r="W100" s="377"/>
      <c r="X100" s="379"/>
      <c r="Y100" s="378"/>
      <c r="Z100" s="379"/>
      <c r="AA100" s="379"/>
      <c r="AB100" s="379"/>
      <c r="AC100" s="379"/>
      <c r="AD100" s="378"/>
      <c r="AE100" s="168"/>
      <c r="AF100" s="168"/>
      <c r="AG100" s="168"/>
      <c r="AH100" s="16"/>
      <c r="AI100" s="16"/>
    </row>
    <row r="101" ht="12.75" customHeight="1" spans="1:35" x14ac:dyDescent="0.25">
      <c r="A101" s="16"/>
      <c r="B101" s="16"/>
      <c r="C101" s="16" t="str">
        <f ca="1">Model!C273</f>
        <v>Dividends YoY Growth Rate</v>
      </c>
      <c r="D101" s="16"/>
      <c r="E101" s="16"/>
      <c r="F101" s="377"/>
      <c r="G101" s="377"/>
      <c r="H101" s="377"/>
      <c r="I101" s="377"/>
      <c r="J101" s="378"/>
      <c r="K101" s="377">
        <f ca="1">Model!K273</f>
        <v>0.13235294117647056</v>
      </c>
      <c r="L101" s="377">
        <f ca="1">Model!L273</f>
        <v>0.1301775147928994</v>
      </c>
      <c r="M101" s="377">
        <f ca="1">Model!M273</f>
        <v>0.09743589743589753</v>
      </c>
      <c r="N101" s="377">
        <f ca="1">Model!N273</f>
        <v>0.09302325581395343</v>
      </c>
      <c r="O101" s="378"/>
      <c r="P101" s="377">
        <f ca="1">Model!P273</f>
        <v>0.09090909090909083</v>
      </c>
      <c r="Q101" s="377">
        <f ca="1">Model!Q273</f>
        <v>0.08900523560209428</v>
      </c>
      <c r="R101" s="377">
        <f ca="1">Model!R273</f>
        <v>-0.028037383177570097</v>
      </c>
      <c r="S101" s="377">
        <f ca="1">Model!S273</f>
        <v>0.0685579196217494</v>
      </c>
      <c r="T101" s="378"/>
      <c r="U101" s="377">
        <f ca="1">Model!U273</f>
        <v>0.04761904761904767</v>
      </c>
      <c r="V101" s="377">
        <f ca="1">Model!V273</f>
        <v>0.033653846153846256</v>
      </c>
      <c r="W101" s="377">
        <f ca="1">Model!W273</f>
        <v>0.3533653846153846</v>
      </c>
      <c r="X101" s="379">
        <f ca="1">IF(Case_Scenario="Bull",X102,IF(Case_Scenario="Base",X103,IF(Case_Scenario="bear",X104,"N/A")))</f>
        <v>0.15</v>
      </c>
      <c r="Y101" s="378"/>
      <c r="Z101" s="379">
        <f ca="1">IF(Case_Scenario="Bull",Z102,IF(Case_Scenario="Base",Z103,IF(Case_Scenario="bear",Z104,"N/A")))</f>
        <v>0.15</v>
      </c>
      <c r="AA101" s="379">
        <f ca="1">IF(Case_Scenario="Bull",AA102,IF(Case_Scenario="Base",AA103,IF(Case_Scenario="bear",AA104,"N/A")))</f>
        <v>0.15</v>
      </c>
      <c r="AB101" s="379">
        <f ca="1">IF(Case_Scenario="Bull",AB102,IF(Case_Scenario="Base",AB103,IF(Case_Scenario="bear",AB104,"N/A")))</f>
        <v>0.15</v>
      </c>
      <c r="AC101" s="379">
        <f ca="1">IF(Case_Scenario="Bull",AC102,IF(Case_Scenario="Base",AC103,IF(Case_Scenario="bear",AC104,"N/A")))</f>
        <v>0.15</v>
      </c>
      <c r="AD101" s="378"/>
      <c r="AE101" s="378">
        <f ca="1">IF(Case_Scenario="Bull",AE102,IF(Case_Scenario="Base",AE103,IF(Case_Scenario="bear",AE104,"N/A")))</f>
        <v>0.1</v>
      </c>
      <c r="AF101" s="378">
        <f ca="1">IF(Case_Scenario="Bull",AF102,IF(Case_Scenario="Base",AF103,IF(Case_Scenario="bear",AF104,"N/A")))</f>
        <v>0.1</v>
      </c>
      <c r="AG101" s="378">
        <f ca="1">IF(Case_Scenario="Bull",AG102,IF(Case_Scenario="Base",AG103,IF(Case_Scenario="bear",AG104,"N/A")))</f>
        <v>0.1</v>
      </c>
      <c r="AH101" s="16"/>
      <c r="AI101" s="16"/>
    </row>
    <row r="102" ht="12.75" customHeight="1" spans="1:35" x14ac:dyDescent="0.25">
      <c r="A102" s="16"/>
      <c r="B102" s="16"/>
      <c r="C102" s="139" t="s">
        <v>251</v>
      </c>
      <c r="D102" s="16"/>
      <c r="E102" s="16"/>
      <c r="F102" s="377"/>
      <c r="G102" s="377"/>
      <c r="H102" s="377"/>
      <c r="I102" s="377"/>
      <c r="J102" s="378"/>
      <c r="K102" s="377"/>
      <c r="L102" s="377"/>
      <c r="M102" s="377"/>
      <c r="N102" s="377"/>
      <c r="O102" s="378"/>
      <c r="P102" s="377"/>
      <c r="Q102" s="377"/>
      <c r="R102" s="377"/>
      <c r="S102" s="377"/>
      <c r="T102" s="378"/>
      <c r="U102" s="377"/>
      <c r="V102" s="377"/>
      <c r="W102" s="377"/>
      <c r="X102" s="320">
        <v>0.2</v>
      </c>
      <c r="Y102" s="378"/>
      <c r="Z102" s="320">
        <v>0.2</v>
      </c>
      <c r="AA102" s="320">
        <v>0.2</v>
      </c>
      <c r="AB102" s="320">
        <v>0.2</v>
      </c>
      <c r="AC102" s="320">
        <v>0.2</v>
      </c>
      <c r="AD102" s="378"/>
      <c r="AE102" s="321">
        <v>0.15</v>
      </c>
      <c r="AF102" s="321">
        <v>0.15</v>
      </c>
      <c r="AG102" s="321">
        <v>0.15</v>
      </c>
      <c r="AH102" s="16"/>
      <c r="AI102" s="16"/>
    </row>
    <row r="103" ht="12.75" customHeight="1" spans="1:35" x14ac:dyDescent="0.25">
      <c r="A103" s="16"/>
      <c r="B103" s="16"/>
      <c r="C103" s="139" t="s">
        <v>252</v>
      </c>
      <c r="D103" s="16"/>
      <c r="E103" s="16"/>
      <c r="F103" s="377"/>
      <c r="G103" s="377"/>
      <c r="H103" s="377"/>
      <c r="I103" s="377"/>
      <c r="J103" s="378"/>
      <c r="K103" s="377"/>
      <c r="L103" s="377"/>
      <c r="M103" s="377"/>
      <c r="N103" s="377"/>
      <c r="O103" s="378"/>
      <c r="P103" s="377"/>
      <c r="Q103" s="377"/>
      <c r="R103" s="377"/>
      <c r="S103" s="377"/>
      <c r="T103" s="378"/>
      <c r="U103" s="377"/>
      <c r="V103" s="377"/>
      <c r="W103" s="377"/>
      <c r="X103" s="320">
        <v>0.15</v>
      </c>
      <c r="Y103" s="378"/>
      <c r="Z103" s="320">
        <v>0.15</v>
      </c>
      <c r="AA103" s="320">
        <v>0.15</v>
      </c>
      <c r="AB103" s="320">
        <v>0.15</v>
      </c>
      <c r="AC103" s="320">
        <v>0.15</v>
      </c>
      <c r="AD103" s="378"/>
      <c r="AE103" s="321">
        <v>0.1</v>
      </c>
      <c r="AF103" s="321">
        <v>0.1</v>
      </c>
      <c r="AG103" s="321">
        <v>0.1</v>
      </c>
      <c r="AH103" s="16"/>
      <c r="AI103" s="16"/>
    </row>
    <row r="104" ht="12.75" customHeight="1" spans="1:35" x14ac:dyDescent="0.25">
      <c r="A104" s="16"/>
      <c r="B104" s="16"/>
      <c r="C104" s="139" t="s">
        <v>253</v>
      </c>
      <c r="D104" s="16"/>
      <c r="E104" s="16"/>
      <c r="F104" s="377"/>
      <c r="G104" s="377"/>
      <c r="H104" s="377"/>
      <c r="I104" s="377"/>
      <c r="J104" s="378"/>
      <c r="K104" s="377"/>
      <c r="L104" s="377"/>
      <c r="M104" s="377"/>
      <c r="N104" s="377"/>
      <c r="O104" s="378"/>
      <c r="P104" s="377"/>
      <c r="Q104" s="377"/>
      <c r="R104" s="377"/>
      <c r="S104" s="377"/>
      <c r="T104" s="378"/>
      <c r="U104" s="377"/>
      <c r="V104" s="377"/>
      <c r="W104" s="377"/>
      <c r="X104" s="320">
        <v>0.05</v>
      </c>
      <c r="Y104" s="378"/>
      <c r="Z104" s="320">
        <v>0</v>
      </c>
      <c r="AA104" s="320">
        <v>0</v>
      </c>
      <c r="AB104" s="320">
        <v>0.05</v>
      </c>
      <c r="AC104" s="320">
        <v>0.05</v>
      </c>
      <c r="AD104" s="378"/>
      <c r="AE104" s="321">
        <v>0.05</v>
      </c>
      <c r="AF104" s="321">
        <v>0.05</v>
      </c>
      <c r="AG104" s="321">
        <v>0.05</v>
      </c>
      <c r="AH104" s="16"/>
      <c r="AI104" s="16"/>
    </row>
    <row r="105" ht="12.75" customHeight="1" spans="1:35" x14ac:dyDescent="0.25">
      <c r="A105" s="16"/>
      <c r="B105" s="16"/>
      <c r="C105" s="16"/>
      <c r="D105" s="16"/>
      <c r="E105" s="16"/>
      <c r="F105" s="377"/>
      <c r="G105" s="377"/>
      <c r="H105" s="377"/>
      <c r="I105" s="377"/>
      <c r="J105" s="378"/>
      <c r="K105" s="377"/>
      <c r="L105" s="377"/>
      <c r="M105" s="377"/>
      <c r="N105" s="377"/>
      <c r="O105" s="378"/>
      <c r="P105" s="377"/>
      <c r="Q105" s="377"/>
      <c r="R105" s="377"/>
      <c r="S105" s="377"/>
      <c r="T105" s="378"/>
      <c r="U105" s="377"/>
      <c r="V105" s="377"/>
      <c r="W105" s="377"/>
      <c r="X105" s="320"/>
      <c r="Y105" s="378"/>
      <c r="Z105" s="320"/>
      <c r="AA105" s="320"/>
      <c r="AB105" s="320"/>
      <c r="AC105" s="320"/>
      <c r="AD105" s="378"/>
      <c r="AE105" s="321"/>
      <c r="AF105" s="321"/>
      <c r="AG105" s="321"/>
      <c r="AH105" s="16"/>
      <c r="AI105" s="16"/>
    </row>
    <row r="106" ht="12.75" customHeight="1" spans="1:35" x14ac:dyDescent="0.25">
      <c r="A106" s="16"/>
      <c r="B106" s="16"/>
      <c r="C106" s="16" t="str">
        <f ca="1">Model!C95</f>
        <v>Change in Noncontrolling Interests</v>
      </c>
      <c r="D106" s="16"/>
      <c r="E106" s="16"/>
      <c r="F106" s="325">
        <f ca="1">Model!F95</f>
        <v>1e-12</v>
      </c>
      <c r="G106" s="325">
        <f ca="1">Model!G95</f>
        <v>1e-12</v>
      </c>
      <c r="H106" s="325">
        <f ca="1">Model!H95</f>
        <v>1e-12</v>
      </c>
      <c r="I106" s="325">
        <f ca="1">Model!I95</f>
        <v>1e-12</v>
      </c>
      <c r="J106" s="326">
        <f ca="1">Model!J95</f>
        <v>1e-12</v>
      </c>
      <c r="K106" s="325">
        <f ca="1">Model!K95</f>
        <v>1e-12</v>
      </c>
      <c r="L106" s="325">
        <f ca="1">Model!L95</f>
        <v>1e-12</v>
      </c>
      <c r="M106" s="325">
        <f ca="1">Model!M95</f>
        <v>1e-12</v>
      </c>
      <c r="N106" s="325">
        <f ca="1">Model!N95</f>
        <v>1e-12</v>
      </c>
      <c r="O106" s="326">
        <f ca="1">Model!O95</f>
        <v>1e-12</v>
      </c>
      <c r="P106" s="325">
        <f ca="1">Model!P95</f>
        <v>1e-12</v>
      </c>
      <c r="Q106" s="325">
        <f ca="1">Model!Q95</f>
        <v>1e-12</v>
      </c>
      <c r="R106" s="325">
        <f ca="1">Model!R95</f>
        <v>1e-12</v>
      </c>
      <c r="S106" s="325">
        <f ca="1">Model!S95</f>
        <v>1e-12</v>
      </c>
      <c r="T106" s="326">
        <f ca="1">Model!T95</f>
        <v>1e-12</v>
      </c>
      <c r="U106" s="325">
        <f ca="1">Model!U95</f>
        <v>1e-12</v>
      </c>
      <c r="V106" s="325">
        <f ca="1">Model!V95</f>
        <v>1e-12</v>
      </c>
      <c r="W106" s="325">
        <f ca="1">Model!W95</f>
        <v>1e-12</v>
      </c>
      <c r="X106" s="517">
        <v>0</v>
      </c>
      <c r="Y106" s="326">
        <f ca="1">Model!Y95</f>
        <v>1e-12</v>
      </c>
      <c r="Z106" s="517">
        <v>0</v>
      </c>
      <c r="AA106" s="517">
        <v>0</v>
      </c>
      <c r="AB106" s="517">
        <v>0</v>
      </c>
      <c r="AC106" s="517">
        <v>0</v>
      </c>
      <c r="AD106" s="326">
        <f ca="1">Model!AD95</f>
        <v>1e-12</v>
      </c>
      <c r="AE106" s="518">
        <v>0</v>
      </c>
      <c r="AF106" s="518">
        <v>0</v>
      </c>
      <c r="AG106" s="518">
        <v>0</v>
      </c>
      <c r="AH106" s="16"/>
      <c r="AI106" s="16"/>
    </row>
    <row r="107" ht="12.75" customHeight="1" spans="1:35" x14ac:dyDescent="0.25">
      <c r="A107" s="264" t="s">
        <v>1</v>
      </c>
      <c r="B107" s="16"/>
      <c r="C107" s="16"/>
      <c r="D107" s="16"/>
      <c r="E107" s="16"/>
      <c r="F107" s="377"/>
      <c r="G107" s="377"/>
      <c r="H107" s="377"/>
      <c r="I107" s="377"/>
      <c r="J107" s="378"/>
      <c r="K107" s="377"/>
      <c r="L107" s="377"/>
      <c r="M107" s="377"/>
      <c r="N107" s="377"/>
      <c r="O107" s="378"/>
      <c r="P107" s="377"/>
      <c r="Q107" s="377"/>
      <c r="R107" s="377"/>
      <c r="S107" s="377"/>
      <c r="T107" s="378"/>
      <c r="U107" s="377"/>
      <c r="V107" s="377"/>
      <c r="W107" s="377"/>
      <c r="X107" s="320"/>
      <c r="Y107" s="378"/>
      <c r="Z107" s="320"/>
      <c r="AA107" s="320"/>
      <c r="AB107" s="320"/>
      <c r="AC107" s="320"/>
      <c r="AD107" s="378"/>
      <c r="AE107" s="321"/>
      <c r="AF107" s="321"/>
      <c r="AG107" s="321"/>
      <c r="AH107" s="264" t="s">
        <v>1</v>
      </c>
      <c r="AI107" s="264"/>
    </row>
    <row r="108" ht="12.75" customHeight="1" spans="1:35" x14ac:dyDescent="0.25">
      <c r="A108" s="16"/>
      <c r="B108" s="16"/>
      <c r="C108" s="16" t="str">
        <f ca="1">Model!C98</f>
        <v>Effect of FX Rate Changes on Cash</v>
      </c>
      <c r="D108" s="16"/>
      <c r="E108" s="16"/>
      <c r="F108" s="325">
        <f ca="1">Model!F98</f>
        <v>1e-12</v>
      </c>
      <c r="G108" s="325">
        <f ca="1">Model!G98</f>
        <v>1e-12</v>
      </c>
      <c r="H108" s="325">
        <f ca="1">Model!H98</f>
        <v>1e-12</v>
      </c>
      <c r="I108" s="325">
        <f ca="1">Model!I98</f>
        <v>1e-12</v>
      </c>
      <c r="J108" s="326">
        <f ca="1">Model!J98</f>
        <v>1e-12</v>
      </c>
      <c r="K108" s="325">
        <f ca="1">Model!K98</f>
        <v>1e-12</v>
      </c>
      <c r="L108" s="325">
        <f ca="1">Model!L98</f>
        <v>1e-12</v>
      </c>
      <c r="M108" s="325">
        <f ca="1">Model!M98</f>
        <v>1e-12</v>
      </c>
      <c r="N108" s="325">
        <f ca="1">Model!N98</f>
        <v>1e-12</v>
      </c>
      <c r="O108" s="326">
        <f ca="1">Model!O98</f>
        <v>1e-12</v>
      </c>
      <c r="P108" s="325">
        <f ca="1">Model!P98</f>
        <v>1e-12</v>
      </c>
      <c r="Q108" s="325">
        <f ca="1">Model!Q98</f>
        <v>1e-12</v>
      </c>
      <c r="R108" s="325">
        <f ca="1">Model!R98</f>
        <v>1e-12</v>
      </c>
      <c r="S108" s="325">
        <f ca="1">Model!S98</f>
        <v>1e-12</v>
      </c>
      <c r="T108" s="326">
        <f ca="1">Model!T98</f>
        <v>1e-12</v>
      </c>
      <c r="U108" s="325">
        <f ca="1">Model!U98</f>
        <v>1e-12</v>
      </c>
      <c r="V108" s="325">
        <f ca="1">Model!V98</f>
        <v>1e-12</v>
      </c>
      <c r="W108" s="325">
        <f ca="1">Model!W98</f>
        <v>1e-12</v>
      </c>
      <c r="X108" s="517">
        <v>0</v>
      </c>
      <c r="Y108" s="326">
        <f ca="1">Model!Y98</f>
        <v>1e-12</v>
      </c>
      <c r="Z108" s="517">
        <v>0</v>
      </c>
      <c r="AA108" s="517">
        <v>0</v>
      </c>
      <c r="AB108" s="517">
        <v>0</v>
      </c>
      <c r="AC108" s="517">
        <v>0</v>
      </c>
      <c r="AD108" s="326">
        <f ca="1">Model!AD98</f>
        <v>1e-12</v>
      </c>
      <c r="AE108" s="518">
        <v>0</v>
      </c>
      <c r="AF108" s="518">
        <v>0</v>
      </c>
      <c r="AG108" s="518">
        <v>0</v>
      </c>
      <c r="AH108" s="16"/>
      <c r="AI108" s="16"/>
    </row>
    <row r="109" ht="12.75" customHeight="1" spans="1:35" x14ac:dyDescent="0.25">
      <c r="A109" s="16"/>
      <c r="B109" s="16"/>
      <c r="C109" s="16"/>
      <c r="D109" s="16"/>
      <c r="E109" s="16"/>
      <c r="F109" s="377"/>
      <c r="G109" s="377"/>
      <c r="H109" s="377"/>
      <c r="I109" s="377"/>
      <c r="J109" s="378"/>
      <c r="K109" s="377"/>
      <c r="L109" s="377"/>
      <c r="M109" s="377"/>
      <c r="N109" s="377"/>
      <c r="O109" s="378"/>
      <c r="P109" s="377"/>
      <c r="Q109" s="377"/>
      <c r="R109" s="377"/>
      <c r="S109" s="377"/>
      <c r="T109" s="378"/>
      <c r="U109" s="377"/>
      <c r="V109" s="377"/>
      <c r="W109" s="377"/>
      <c r="X109" s="320"/>
      <c r="Y109" s="378"/>
      <c r="Z109" s="320"/>
      <c r="AA109" s="320"/>
      <c r="AB109" s="320"/>
      <c r="AC109" s="320"/>
      <c r="AD109" s="378"/>
      <c r="AE109" s="321"/>
      <c r="AF109" s="321"/>
      <c r="AG109" s="321"/>
      <c r="AH109" s="16"/>
      <c r="AI109" s="16"/>
    </row>
    <row r="110" ht="12.75" customHeight="1" spans="1:35" x14ac:dyDescent="0.25">
      <c r="A110" s="16"/>
      <c r="B110" s="16"/>
      <c r="C110" s="350" t="s">
        <v>490</v>
      </c>
      <c r="D110" s="373"/>
      <c r="E110" s="373"/>
      <c r="F110" s="351" t="str">
        <f ca="1">Model!F$25</f>
        <v>1Q23</v>
      </c>
      <c r="G110" s="194" t="str">
        <f ca="1">Model!G$25</f>
        <v>2Q23</v>
      </c>
      <c r="H110" s="194" t="str">
        <f ca="1">Model!H$25</f>
        <v>3Q23</v>
      </c>
      <c r="I110" s="194" t="str">
        <f ca="1">Model!I$25</f>
        <v>4Q23</v>
      </c>
      <c r="J110" s="194">
        <f ca="1">Model!J$25</f>
        <v>2023</v>
      </c>
      <c r="K110" s="194" t="str">
        <f ca="1">Model!K$25</f>
        <v>1Q24</v>
      </c>
      <c r="L110" s="194" t="str">
        <f ca="1">Model!L$25</f>
        <v>2Q24</v>
      </c>
      <c r="M110" s="194" t="str">
        <f ca="1">Model!M$25</f>
        <v>3Q24</v>
      </c>
      <c r="N110" s="194" t="str">
        <f ca="1">Model!N$25</f>
        <v>4Q24</v>
      </c>
      <c r="O110" s="194">
        <f ca="1">Model!O$25</f>
        <v>2024</v>
      </c>
      <c r="P110" s="194" t="str">
        <f ca="1">Model!P$25</f>
        <v>1Q25</v>
      </c>
      <c r="Q110" s="194" t="str">
        <f ca="1">Model!Q$25</f>
        <v>2Q25</v>
      </c>
      <c r="R110" s="194" t="str">
        <f ca="1">Model!R$25</f>
        <v>3Q25</v>
      </c>
      <c r="S110" s="194" t="str">
        <f ca="1">Model!S$25</f>
        <v>4Q25</v>
      </c>
      <c r="T110" s="194">
        <f ca="1">Model!T$25</f>
        <v>2025</v>
      </c>
      <c r="U110" s="194" t="str">
        <f ca="1">Model!U$25</f>
        <v>1Q26</v>
      </c>
      <c r="V110" s="194" t="str">
        <f ca="1">Model!V$25</f>
        <v>2Q26</v>
      </c>
      <c r="W110" s="194" t="str">
        <f ca="1">Model!W$25</f>
        <v>3Q26e</v>
      </c>
      <c r="X110" s="194" t="str">
        <f ca="1">Model!X$25</f>
        <v>4Q26e</v>
      </c>
      <c r="Y110" s="194" t="str">
        <f ca="1">Model!Y$25</f>
        <v>2026e</v>
      </c>
      <c r="Z110" s="194" t="str">
        <f ca="1">Model!Z$25</f>
        <v>1Q27e</v>
      </c>
      <c r="AA110" s="194" t="str">
        <f ca="1">Model!AA$25</f>
        <v>2Q27e</v>
      </c>
      <c r="AB110" s="194" t="str">
        <f ca="1">Model!AB$25</f>
        <v>3Q27e</v>
      </c>
      <c r="AC110" s="194" t="str">
        <f ca="1">Model!AC$25</f>
        <v>4Q27e</v>
      </c>
      <c r="AD110" s="194" t="str">
        <f ca="1">Model!AD$25</f>
        <v>2027e</v>
      </c>
      <c r="AE110" s="194" t="str">
        <f ca="1">Model!AE$25</f>
        <v>2028e</v>
      </c>
      <c r="AF110" s="194" t="str">
        <f ca="1">Model!AF$25</f>
        <v>2029e</v>
      </c>
      <c r="AG110" s="352" t="str">
        <f ca="1">Model!AG$25</f>
        <v>2030e</v>
      </c>
      <c r="AH110" s="16"/>
      <c r="AI110" s="16"/>
    </row>
    <row r="111" ht="12.75" customHeight="1" spans="1:35" x14ac:dyDescent="0.25">
      <c r="A111" s="16"/>
      <c r="B111" s="16"/>
      <c r="C111" s="507" t="s">
        <v>491</v>
      </c>
      <c r="D111" s="508"/>
      <c r="E111" s="508"/>
      <c r="F111" s="519"/>
      <c r="G111" s="520"/>
      <c r="H111" s="520"/>
      <c r="I111" s="520"/>
      <c r="J111" s="520"/>
      <c r="K111" s="520"/>
      <c r="L111" s="520"/>
      <c r="M111" s="520"/>
      <c r="N111" s="520"/>
      <c r="O111" s="520"/>
      <c r="P111" s="520"/>
      <c r="Q111" s="520"/>
      <c r="R111" s="520"/>
      <c r="S111" s="520"/>
      <c r="T111" s="520"/>
      <c r="U111" s="520"/>
      <c r="V111" s="520"/>
      <c r="W111" s="520"/>
      <c r="X111" s="520"/>
      <c r="Y111" s="520"/>
      <c r="Z111" s="520"/>
      <c r="AA111" s="520"/>
      <c r="AB111" s="520"/>
      <c r="AC111" s="520"/>
      <c r="AD111" s="520"/>
      <c r="AE111" s="520"/>
      <c r="AF111" s="520"/>
      <c r="AG111" s="521"/>
      <c r="AH111" s="16"/>
      <c r="AI111" s="16"/>
    </row>
    <row r="112" ht="12.75" customHeight="1" spans="1:35" x14ac:dyDescent="0.25">
      <c r="A112" s="16"/>
      <c r="B112" s="16"/>
      <c r="C112" s="16"/>
      <c r="D112" s="16"/>
      <c r="E112" s="16"/>
      <c r="F112" s="377"/>
      <c r="G112" s="377"/>
      <c r="H112" s="377"/>
      <c r="I112" s="377"/>
      <c r="J112" s="378"/>
      <c r="K112" s="377"/>
      <c r="L112" s="377"/>
      <c r="M112" s="377"/>
      <c r="N112" s="377"/>
      <c r="O112" s="378"/>
      <c r="P112" s="377"/>
      <c r="Q112" s="377"/>
      <c r="R112" s="377"/>
      <c r="S112" s="377"/>
      <c r="T112" s="378"/>
      <c r="U112" s="377"/>
      <c r="V112" s="377"/>
      <c r="W112" s="377"/>
      <c r="X112" s="379"/>
      <c r="Y112" s="378"/>
      <c r="Z112" s="379"/>
      <c r="AA112" s="379"/>
      <c r="AB112" s="379"/>
      <c r="AC112" s="379"/>
      <c r="AD112" s="378"/>
      <c r="AE112" s="168"/>
      <c r="AF112" s="168"/>
      <c r="AG112" s="168"/>
      <c r="AH112" s="16"/>
      <c r="AI112" s="16"/>
    </row>
    <row r="113" ht="12.75" customHeight="1" spans="1:35" x14ac:dyDescent="0.25">
      <c r="A113" s="16"/>
      <c r="B113" s="16"/>
      <c r="C113" s="16" t="str">
        <f ca="1">Model!C182</f>
        <v>Days Sales Outstanding</v>
      </c>
      <c r="D113" s="16"/>
      <c r="E113" s="16"/>
      <c r="F113" s="377"/>
      <c r="G113" s="325">
        <f ca="1">Model!G182</f>
        <v>0</v>
      </c>
      <c r="H113" s="325">
        <f ca="1">Model!H182</f>
        <v>0</v>
      </c>
      <c r="I113" s="325">
        <f ca="1">Model!I182</f>
        <v>0</v>
      </c>
      <c r="J113" s="326">
        <f ca="1">Model!J182</f>
        <v>0</v>
      </c>
      <c r="K113" s="325">
        <f ca="1">Model!K182</f>
        <v>0</v>
      </c>
      <c r="L113" s="325">
        <f ca="1">Model!L182</f>
        <v>0</v>
      </c>
      <c r="M113" s="325">
        <f ca="1">Model!M182</f>
        <v>0</v>
      </c>
      <c r="N113" s="325">
        <f ca="1">Model!N182</f>
        <v>0</v>
      </c>
      <c r="O113" s="326">
        <f ca="1">Model!O182</f>
        <v>0</v>
      </c>
      <c r="P113" s="325">
        <f ca="1">Model!P182</f>
        <v>0</v>
      </c>
      <c r="Q113" s="325">
        <f ca="1">Model!Q182</f>
        <v>0</v>
      </c>
      <c r="R113" s="325">
        <f ca="1">Model!R182</f>
        <v>0</v>
      </c>
      <c r="S113" s="325">
        <f ca="1">Model!S182</f>
        <v>0</v>
      </c>
      <c r="T113" s="326">
        <f ca="1">Model!T182</f>
        <v>0</v>
      </c>
      <c r="U113" s="325">
        <f ca="1">Model!U182</f>
        <v>0</v>
      </c>
      <c r="V113" s="325">
        <f ca="1">Model!V182</f>
        <v>0</v>
      </c>
      <c r="W113" s="325">
        <f ca="1">Model!W182</f>
        <v>1e-12</v>
      </c>
      <c r="X113" s="327">
        <f ca="1">IF(Case_Scenario="Bull",X114,IF(Case_Scenario="Base",X115,IF(Case_Scenario="bear",X116,"N/A")))</f>
        <v>0</v>
      </c>
      <c r="Y113" s="326">
        <f ca="1">Model!Y182</f>
        <v>1e-12</v>
      </c>
      <c r="Z113" s="327">
        <f ca="1">IF(Case_Scenario="Bull",Z114,IF(Case_Scenario="Base",Z115,IF(Case_Scenario="bear",Z116,"N/A")))</f>
        <v>0</v>
      </c>
      <c r="AA113" s="327">
        <f ca="1">IF(Case_Scenario="Bull",AA114,IF(Case_Scenario="Base",AA115,IF(Case_Scenario="bear",AA116,"N/A")))</f>
        <v>0</v>
      </c>
      <c r="AB113" s="327">
        <f ca="1">IF(Case_Scenario="Bull",AB114,IF(Case_Scenario="Base",AB115,IF(Case_Scenario="bear",AB116,"N/A")))</f>
        <v>0</v>
      </c>
      <c r="AC113" s="327">
        <f ca="1">IF(Case_Scenario="Bull",AC114,IF(Case_Scenario="Base",AC115,IF(Case_Scenario="bear",AC116,"N/A")))</f>
        <v>0</v>
      </c>
      <c r="AD113" s="326">
        <f ca="1">Model!AD182</f>
        <v>1e-12</v>
      </c>
      <c r="AE113" s="326">
        <f ca="1">IF(Case_Scenario="Bull",AE114,IF(Case_Scenario="Base",AE115,IF(Case_Scenario="bear",AE116,"N/A")))</f>
        <v>0</v>
      </c>
      <c r="AF113" s="326">
        <f ca="1">IF(Case_Scenario="Bull",AF114,IF(Case_Scenario="Base",AF115,IF(Case_Scenario="bear",AF116,"N/A")))</f>
        <v>0</v>
      </c>
      <c r="AG113" s="326">
        <f ca="1">IF(Case_Scenario="Bull",AG114,IF(Case_Scenario="Base",AG115,IF(Case_Scenario="bear",AG116,"N/A")))</f>
        <v>0</v>
      </c>
      <c r="AH113" s="16"/>
      <c r="AI113" s="16"/>
    </row>
    <row r="114" ht="12.75" customHeight="1" spans="1:35" x14ac:dyDescent="0.25">
      <c r="A114" s="16"/>
      <c r="B114" s="16"/>
      <c r="C114" s="139" t="s">
        <v>251</v>
      </c>
      <c r="D114" s="16"/>
      <c r="E114" s="16"/>
      <c r="F114" s="377"/>
      <c r="G114" s="377"/>
      <c r="H114" s="377"/>
      <c r="I114" s="377"/>
      <c r="J114" s="378"/>
      <c r="K114" s="377"/>
      <c r="L114" s="377"/>
      <c r="M114" s="377"/>
      <c r="N114" s="377"/>
      <c r="O114" s="378"/>
      <c r="P114" s="377"/>
      <c r="Q114" s="377"/>
      <c r="R114" s="377"/>
      <c r="S114" s="377"/>
      <c r="T114" s="378"/>
      <c r="U114" s="377"/>
      <c r="V114" s="377"/>
      <c r="W114" s="377"/>
      <c r="X114" s="523">
        <v>0</v>
      </c>
      <c r="Y114" s="378"/>
      <c r="Z114" s="523">
        <v>0</v>
      </c>
      <c r="AA114" s="523">
        <v>0</v>
      </c>
      <c r="AB114" s="523">
        <v>0</v>
      </c>
      <c r="AC114" s="523">
        <v>0</v>
      </c>
      <c r="AD114" s="378"/>
      <c r="AE114" s="524">
        <v>0</v>
      </c>
      <c r="AF114" s="524">
        <v>0</v>
      </c>
      <c r="AG114" s="524">
        <v>0</v>
      </c>
      <c r="AH114" s="16"/>
      <c r="AI114" s="16"/>
    </row>
    <row r="115" ht="12.75" customHeight="1" spans="1:35" x14ac:dyDescent="0.25">
      <c r="A115" s="16"/>
      <c r="B115" s="16"/>
      <c r="C115" s="139" t="s">
        <v>252</v>
      </c>
      <c r="D115" s="16"/>
      <c r="E115" s="16"/>
      <c r="F115" s="377"/>
      <c r="G115" s="377"/>
      <c r="H115" s="377"/>
      <c r="I115" s="377"/>
      <c r="J115" s="378"/>
      <c r="K115" s="377"/>
      <c r="L115" s="377"/>
      <c r="M115" s="377"/>
      <c r="N115" s="377"/>
      <c r="O115" s="378"/>
      <c r="P115" s="377"/>
      <c r="Q115" s="377"/>
      <c r="R115" s="377"/>
      <c r="S115" s="377"/>
      <c r="T115" s="378"/>
      <c r="U115" s="377"/>
      <c r="V115" s="377"/>
      <c r="W115" s="377"/>
      <c r="X115" s="523">
        <v>0</v>
      </c>
      <c r="Y115" s="378"/>
      <c r="Z115" s="523">
        <v>0</v>
      </c>
      <c r="AA115" s="523">
        <v>0</v>
      </c>
      <c r="AB115" s="523">
        <v>0</v>
      </c>
      <c r="AC115" s="523">
        <v>0</v>
      </c>
      <c r="AD115" s="378"/>
      <c r="AE115" s="524">
        <v>0</v>
      </c>
      <c r="AF115" s="524">
        <v>0</v>
      </c>
      <c r="AG115" s="524">
        <v>0</v>
      </c>
      <c r="AH115" s="16"/>
      <c r="AI115" s="16"/>
    </row>
    <row r="116" ht="12.75" customHeight="1" spans="1:35" x14ac:dyDescent="0.25">
      <c r="A116" s="16"/>
      <c r="B116" s="16"/>
      <c r="C116" s="139" t="s">
        <v>253</v>
      </c>
      <c r="D116" s="16"/>
      <c r="E116" s="16"/>
      <c r="F116" s="377"/>
      <c r="G116" s="377"/>
      <c r="H116" s="377"/>
      <c r="I116" s="377"/>
      <c r="J116" s="378"/>
      <c r="K116" s="377"/>
      <c r="L116" s="377"/>
      <c r="M116" s="377"/>
      <c r="N116" s="377"/>
      <c r="O116" s="378"/>
      <c r="P116" s="377"/>
      <c r="Q116" s="377"/>
      <c r="R116" s="377"/>
      <c r="S116" s="377"/>
      <c r="T116" s="378"/>
      <c r="U116" s="377"/>
      <c r="V116" s="377"/>
      <c r="W116" s="377"/>
      <c r="X116" s="523">
        <v>0</v>
      </c>
      <c r="Y116" s="378"/>
      <c r="Z116" s="523">
        <v>0</v>
      </c>
      <c r="AA116" s="523">
        <v>0</v>
      </c>
      <c r="AB116" s="523">
        <v>0</v>
      </c>
      <c r="AC116" s="523">
        <v>0</v>
      </c>
      <c r="AD116" s="378"/>
      <c r="AE116" s="524">
        <v>0</v>
      </c>
      <c r="AF116" s="524">
        <v>0</v>
      </c>
      <c r="AG116" s="524">
        <v>0</v>
      </c>
      <c r="AH116" s="16"/>
      <c r="AI116" s="16"/>
    </row>
    <row r="117" ht="12.75" customHeight="1" spans="1:35" x14ac:dyDescent="0.25">
      <c r="A117" s="16"/>
      <c r="B117" s="16"/>
      <c r="C117" s="16"/>
      <c r="D117" s="16"/>
      <c r="E117" s="16"/>
      <c r="F117" s="377"/>
      <c r="G117" s="377"/>
      <c r="H117" s="377"/>
      <c r="I117" s="377"/>
      <c r="J117" s="378"/>
      <c r="K117" s="377"/>
      <c r="L117" s="377"/>
      <c r="M117" s="377"/>
      <c r="N117" s="377"/>
      <c r="O117" s="378"/>
      <c r="P117" s="377"/>
      <c r="Q117" s="377"/>
      <c r="R117" s="377"/>
      <c r="S117" s="377"/>
      <c r="T117" s="378"/>
      <c r="U117" s="377"/>
      <c r="V117" s="377"/>
      <c r="W117" s="377"/>
      <c r="X117" s="320"/>
      <c r="Y117" s="378"/>
      <c r="Z117" s="320"/>
      <c r="AA117" s="320"/>
      <c r="AB117" s="320"/>
      <c r="AC117" s="320"/>
      <c r="AD117" s="378"/>
      <c r="AE117" s="321"/>
      <c r="AF117" s="321"/>
      <c r="AG117" s="321"/>
      <c r="AH117" s="16"/>
      <c r="AI117" s="16"/>
    </row>
    <row r="118" ht="12.75" customHeight="1" spans="1:35" x14ac:dyDescent="0.25">
      <c r="A118" s="16"/>
      <c r="B118" s="16"/>
      <c r="C118" s="16" t="str">
        <f ca="1">Model!C183</f>
        <v>Days Inventory Outstanding</v>
      </c>
      <c r="D118" s="16"/>
      <c r="E118" s="16"/>
      <c r="F118" s="377"/>
      <c r="G118" s="325">
        <f ca="1">Model!G183</f>
        <v>83.39173789173789</v>
      </c>
      <c r="H118" s="325">
        <f ca="1">Model!H183</f>
        <v>94.8957890259464</v>
      </c>
      <c r="I118" s="325">
        <f ca="1">Model!I183</f>
        <v>98.76785252821087</v>
      </c>
      <c r="J118" s="326">
        <f ca="1">Model!J183</f>
        <v>94.5511972893122</v>
      </c>
      <c r="K118" s="325">
        <f ca="1">Model!K183</f>
        <v>102.09004934210527</v>
      </c>
      <c r="L118" s="325">
        <f ca="1">Model!L183</f>
        <v>91.80451866404715</v>
      </c>
      <c r="M118" s="325">
        <f ca="1">Model!M183</f>
        <v>107.46646237657474</v>
      </c>
      <c r="N118" s="325">
        <f ca="1">Model!N183</f>
        <v>112.01177003168854</v>
      </c>
      <c r="O118" s="326">
        <f ca="1">Model!O183</f>
        <v>95.46895640686921</v>
      </c>
      <c r="P118" s="325">
        <f ca="1">Model!P183</f>
        <v>93.89074608722079</v>
      </c>
      <c r="Q118" s="325">
        <f ca="1">Model!Q183</f>
        <v>71.07384153794867</v>
      </c>
      <c r="R118" s="325">
        <f ca="1">Model!R183</f>
        <v>90.54420680924778</v>
      </c>
      <c r="S118" s="325">
        <f ca="1">Model!S183</f>
        <v>106.00433369447454</v>
      </c>
      <c r="T118" s="326">
        <f ca="1">Model!T183</f>
        <v>89.31899223514513</v>
      </c>
      <c r="U118" s="325">
        <f ca="1">Model!U183</f>
        <v>95.49932482199853</v>
      </c>
      <c r="V118" s="325">
        <f ca="1">Model!V183</f>
        <v>88.97644868003067</v>
      </c>
      <c r="W118" s="325">
        <f ca="1">Model!W183</f>
        <v>102.03652729763225</v>
      </c>
      <c r="X118" s="327">
        <f ca="1">IF(Case_Scenario="Bull",X119,IF(Case_Scenario="Base",X120,IF(Case_Scenario="bear",X121,"N/A")))</f>
        <v>90</v>
      </c>
      <c r="Y118" s="326">
        <f ca="1">Model!Y183</f>
        <v>92.07624734938022</v>
      </c>
      <c r="Z118" s="327">
        <f ca="1">IF(Case_Scenario="Bull",Z119,IF(Case_Scenario="Base",Z120,IF(Case_Scenario="bear",Z121,"N/A")))</f>
        <v>95</v>
      </c>
      <c r="AA118" s="327">
        <f ca="1">IF(Case_Scenario="Bull",AA119,IF(Case_Scenario="Base",AA120,IF(Case_Scenario="bear",AA121,"N/A")))</f>
        <v>80</v>
      </c>
      <c r="AB118" s="327">
        <f ca="1">IF(Case_Scenario="Bull",AB119,IF(Case_Scenario="Base",AB120,IF(Case_Scenario="bear",AB121,"N/A")))</f>
        <v>85</v>
      </c>
      <c r="AC118" s="327">
        <f ca="1">IF(Case_Scenario="Bull",AC119,IF(Case_Scenario="Base",AC120,IF(Case_Scenario="bear",AC121,"N/A")))</f>
        <v>90</v>
      </c>
      <c r="AD118" s="326">
        <f ca="1">Model!AD183</f>
        <v>78.93300806770992</v>
      </c>
      <c r="AE118" s="326">
        <f ca="1">IF(Case_Scenario="Bull",AE119,IF(Case_Scenario="Base",AE120,IF(Case_Scenario="bear",AE121,"N/A")))</f>
        <v>84</v>
      </c>
      <c r="AF118" s="326">
        <f ca="1">IF(Case_Scenario="Bull",AF119,IF(Case_Scenario="Base",AF120,IF(Case_Scenario="bear",AF121,"N/A")))</f>
        <v>84</v>
      </c>
      <c r="AG118" s="326">
        <f ca="1">IF(Case_Scenario="Bull",AG119,IF(Case_Scenario="Base",AG120,IF(Case_Scenario="bear",AG121,"N/A")))</f>
        <v>84</v>
      </c>
      <c r="AH118" s="16"/>
      <c r="AI118" s="16"/>
    </row>
    <row r="119" ht="12.75" customHeight="1" spans="1:35" x14ac:dyDescent="0.25">
      <c r="A119" s="16"/>
      <c r="B119" s="16"/>
      <c r="C119" s="139" t="s">
        <v>251</v>
      </c>
      <c r="D119" s="16"/>
      <c r="E119" s="16"/>
      <c r="F119" s="377"/>
      <c r="G119" s="377"/>
      <c r="H119" s="377"/>
      <c r="I119" s="377"/>
      <c r="J119" s="378"/>
      <c r="K119" s="377"/>
      <c r="L119" s="377"/>
      <c r="M119" s="377"/>
      <c r="N119" s="377"/>
      <c r="O119" s="378"/>
      <c r="P119" s="377"/>
      <c r="Q119" s="377"/>
      <c r="R119" s="377"/>
      <c r="S119" s="377"/>
      <c r="T119" s="378"/>
      <c r="U119" s="377"/>
      <c r="V119" s="377"/>
      <c r="W119" s="377"/>
      <c r="X119" s="523">
        <v>85</v>
      </c>
      <c r="Y119" s="378"/>
      <c r="Z119" s="523">
        <v>90</v>
      </c>
      <c r="AA119" s="523">
        <v>78</v>
      </c>
      <c r="AB119" s="523">
        <v>78</v>
      </c>
      <c r="AC119" s="523">
        <v>85</v>
      </c>
      <c r="AD119" s="378"/>
      <c r="AE119" s="524">
        <v>78</v>
      </c>
      <c r="AF119" s="524">
        <v>78</v>
      </c>
      <c r="AG119" s="524">
        <v>78</v>
      </c>
      <c r="AH119" s="16"/>
      <c r="AI119" s="16"/>
    </row>
    <row r="120" ht="12.75" customHeight="1" spans="1:35" x14ac:dyDescent="0.25">
      <c r="A120" s="16"/>
      <c r="B120" s="16"/>
      <c r="C120" s="139" t="s">
        <v>252</v>
      </c>
      <c r="D120" s="16"/>
      <c r="E120" s="16"/>
      <c r="F120" s="377"/>
      <c r="G120" s="377"/>
      <c r="H120" s="377"/>
      <c r="I120" s="377"/>
      <c r="J120" s="378"/>
      <c r="K120" s="377"/>
      <c r="L120" s="377"/>
      <c r="M120" s="377"/>
      <c r="N120" s="377"/>
      <c r="O120" s="378"/>
      <c r="P120" s="377"/>
      <c r="Q120" s="377"/>
      <c r="R120" s="377"/>
      <c r="S120" s="377"/>
      <c r="T120" s="378"/>
      <c r="U120" s="377"/>
      <c r="V120" s="377"/>
      <c r="W120" s="377"/>
      <c r="X120" s="523">
        <v>90</v>
      </c>
      <c r="Y120" s="378"/>
      <c r="Z120" s="523">
        <v>95</v>
      </c>
      <c r="AA120" s="523">
        <v>80</v>
      </c>
      <c r="AB120" s="523">
        <v>85</v>
      </c>
      <c r="AC120" s="523">
        <v>90</v>
      </c>
      <c r="AD120" s="378"/>
      <c r="AE120" s="524">
        <v>84</v>
      </c>
      <c r="AF120" s="524">
        <v>84</v>
      </c>
      <c r="AG120" s="524">
        <v>84</v>
      </c>
      <c r="AH120" s="16"/>
      <c r="AI120" s="16"/>
    </row>
    <row r="121" ht="12.75" customHeight="1" spans="1:35" x14ac:dyDescent="0.25">
      <c r="A121" s="16"/>
      <c r="B121" s="16"/>
      <c r="C121" s="139" t="s">
        <v>253</v>
      </c>
      <c r="D121" s="16"/>
      <c r="E121" s="16"/>
      <c r="F121" s="377"/>
      <c r="G121" s="377"/>
      <c r="H121" s="377"/>
      <c r="I121" s="377"/>
      <c r="J121" s="378"/>
      <c r="K121" s="377"/>
      <c r="L121" s="377"/>
      <c r="M121" s="377"/>
      <c r="N121" s="377"/>
      <c r="O121" s="378"/>
      <c r="P121" s="377"/>
      <c r="Q121" s="377"/>
      <c r="R121" s="377"/>
      <c r="S121" s="377"/>
      <c r="T121" s="378"/>
      <c r="U121" s="377"/>
      <c r="V121" s="377"/>
      <c r="W121" s="377"/>
      <c r="X121" s="523">
        <v>95</v>
      </c>
      <c r="Y121" s="378"/>
      <c r="Z121" s="523">
        <v>105</v>
      </c>
      <c r="AA121" s="523">
        <v>90</v>
      </c>
      <c r="AB121" s="523">
        <v>90</v>
      </c>
      <c r="AC121" s="523">
        <v>95</v>
      </c>
      <c r="AD121" s="378"/>
      <c r="AE121" s="524">
        <v>90</v>
      </c>
      <c r="AF121" s="524">
        <v>90</v>
      </c>
      <c r="AG121" s="524">
        <v>90</v>
      </c>
      <c r="AH121" s="16"/>
      <c r="AI121" s="16"/>
    </row>
    <row r="122" ht="12.75" customHeight="1" spans="1:35" x14ac:dyDescent="0.25">
      <c r="A122" s="16"/>
      <c r="B122" s="16"/>
      <c r="C122" s="16"/>
      <c r="D122" s="16"/>
      <c r="E122" s="16"/>
      <c r="F122" s="377"/>
      <c r="G122" s="377"/>
      <c r="H122" s="377"/>
      <c r="I122" s="377"/>
      <c r="J122" s="378"/>
      <c r="K122" s="377"/>
      <c r="L122" s="377"/>
      <c r="M122" s="377"/>
      <c r="N122" s="377"/>
      <c r="O122" s="378"/>
      <c r="P122" s="377"/>
      <c r="Q122" s="377"/>
      <c r="R122" s="377"/>
      <c r="S122" s="377"/>
      <c r="T122" s="378"/>
      <c r="U122" s="377"/>
      <c r="V122" s="377"/>
      <c r="W122" s="377"/>
      <c r="X122" s="320"/>
      <c r="Y122" s="378"/>
      <c r="Z122" s="320"/>
      <c r="AA122" s="320"/>
      <c r="AB122" s="320"/>
      <c r="AC122" s="320"/>
      <c r="AD122" s="378"/>
      <c r="AE122" s="321"/>
      <c r="AF122" s="321"/>
      <c r="AG122" s="321"/>
      <c r="AH122" s="16"/>
      <c r="AI122" s="16"/>
    </row>
    <row r="123" ht="12.75" customHeight="1" spans="1:35" x14ac:dyDescent="0.25">
      <c r="A123" s="16"/>
      <c r="B123" s="16"/>
      <c r="C123" s="16" t="str">
        <f ca="1">Model!C186</f>
        <v>Prepaid &amp; Other Current Assets as a % of Sales</v>
      </c>
      <c r="D123" s="16"/>
      <c r="E123" s="16"/>
      <c r="F123" s="377">
        <f ca="1">Model!F186</f>
        <v>0.015250576036866359</v>
      </c>
      <c r="G123" s="377">
        <f ca="1">Model!G186</f>
        <v>0.011441976254308693</v>
      </c>
      <c r="H123" s="377">
        <f ca="1">Model!H186</f>
        <v>0.012876830318690784</v>
      </c>
      <c r="I123" s="377">
        <f ca="1">Model!I186</f>
        <v>0.014987856321104435</v>
      </c>
      <c r="J123" s="378">
        <f ca="1">Model!J186</f>
        <v>0.01315401982919407</v>
      </c>
      <c r="K123" s="377">
        <f ca="1">Model!K186</f>
        <v>0.016149033312665578</v>
      </c>
      <c r="L123" s="377">
        <f ca="1">Model!L186</f>
        <v>0.011849752286585366</v>
      </c>
      <c r="M123" s="377">
        <f ca="1">Model!M186</f>
        <v>0.01473717506326202</v>
      </c>
      <c r="N123" s="377">
        <f ca="1">Model!N186</f>
        <v>0.01970112934423161</v>
      </c>
      <c r="O123" s="378">
        <f ca="1">Model!O186</f>
        <v>0.01750568276320896</v>
      </c>
      <c r="P123" s="377">
        <f ca="1">Model!P186</f>
        <v>0.018894536213468868</v>
      </c>
      <c r="Q123" s="377">
        <f ca="1">Model!Q186</f>
        <v>0.010621932459160502</v>
      </c>
      <c r="R123" s="377">
        <f ca="1">Model!R186</f>
        <v>0.012360482316553857</v>
      </c>
      <c r="S123" s="377">
        <f ca="1">Model!S186</f>
        <v>0.011533159371768992</v>
      </c>
      <c r="T123" s="378">
        <f ca="1">Model!T186</f>
        <v>0.010457939439936606</v>
      </c>
      <c r="U123" s="377">
        <f ca="1">Model!U186</f>
        <v>0.01318483334698223</v>
      </c>
      <c r="V123" s="377">
        <f ca="1">Model!V186</f>
        <v>0.013656147986942329</v>
      </c>
      <c r="W123" s="377">
        <f ca="1">Model!W186</f>
        <v>0.016264508246792913</v>
      </c>
      <c r="X123" s="379">
        <f ca="1">IF(Case_Scenario="Bull",X124,IF(Case_Scenario="Base",X125,IF(Case_Scenario="bear",X126,"N/A")))</f>
        <v>0</v>
      </c>
      <c r="Y123" s="378">
        <f ca="1">Model!Y186</f>
        <v>1e-12</v>
      </c>
      <c r="Z123" s="379">
        <f ca="1">IF(Case_Scenario="Bull",Z124,IF(Case_Scenario="Base",Z125,IF(Case_Scenario="bear",Z126,"N/A")))</f>
        <v>0.018</v>
      </c>
      <c r="AA123" s="379">
        <f ca="1">IF(Case_Scenario="Bull",AA124,IF(Case_Scenario="Base",AA125,IF(Case_Scenario="bear",AA126,"N/A")))</f>
        <v>0.018</v>
      </c>
      <c r="AB123" s="379">
        <f ca="1">IF(Case_Scenario="Bull",AB124,IF(Case_Scenario="Base",AB125,IF(Case_Scenario="bear",AB126,"N/A")))</f>
        <v>0.018</v>
      </c>
      <c r="AC123" s="379">
        <f ca="1">IF(Case_Scenario="Bull",AC124,IF(Case_Scenario="Base",AC125,IF(Case_Scenario="bear",AC126,"N/A")))</f>
        <v>0.018</v>
      </c>
      <c r="AD123" s="378">
        <f ca="1">Model!AD186</f>
        <v>0.016751674706560162</v>
      </c>
      <c r="AE123" s="378">
        <f ca="1">IF(Case_Scenario="Bull",AE124,IF(Case_Scenario="Base",AE125,IF(Case_Scenario="bear",AE126,"N/A")))</f>
        <v>0.018</v>
      </c>
      <c r="AF123" s="378">
        <f ca="1">IF(Case_Scenario="Bull",AF124,IF(Case_Scenario="Base",AF125,IF(Case_Scenario="bear",AF126,"N/A")))</f>
        <v>0.018</v>
      </c>
      <c r="AG123" s="378">
        <f ca="1">IF(Case_Scenario="Bull",AG124,IF(Case_Scenario="Base",AG125,IF(Case_Scenario="bear",AG126,"N/A")))</f>
        <v>0.018</v>
      </c>
      <c r="AH123" s="16"/>
      <c r="AI123" s="16"/>
    </row>
    <row r="124" ht="12.75" customHeight="1" spans="1:35" x14ac:dyDescent="0.25">
      <c r="A124" s="16"/>
      <c r="B124" s="16"/>
      <c r="C124" s="139" t="s">
        <v>251</v>
      </c>
      <c r="D124" s="16"/>
      <c r="E124" s="16"/>
      <c r="F124" s="377"/>
      <c r="G124" s="377"/>
      <c r="H124" s="377"/>
      <c r="I124" s="377"/>
      <c r="J124" s="378"/>
      <c r="K124" s="377"/>
      <c r="L124" s="377"/>
      <c r="M124" s="377"/>
      <c r="N124" s="377"/>
      <c r="O124" s="378"/>
      <c r="P124" s="377"/>
      <c r="Q124" s="377"/>
      <c r="R124" s="377"/>
      <c r="S124" s="377"/>
      <c r="T124" s="378"/>
      <c r="U124" s="377"/>
      <c r="V124" s="377"/>
      <c r="W124" s="377"/>
      <c r="X124" s="320">
        <v>0.022</v>
      </c>
      <c r="Y124" s="378"/>
      <c r="Z124" s="320">
        <v>0.022</v>
      </c>
      <c r="AA124" s="320">
        <v>0.022</v>
      </c>
      <c r="AB124" s="320">
        <v>0.022</v>
      </c>
      <c r="AC124" s="320">
        <v>0.022</v>
      </c>
      <c r="AD124" s="378"/>
      <c r="AE124" s="321">
        <v>0.024</v>
      </c>
      <c r="AF124" s="321">
        <v>0.024</v>
      </c>
      <c r="AG124" s="321">
        <v>0.024</v>
      </c>
      <c r="AH124" s="16"/>
      <c r="AI124" s="16"/>
    </row>
    <row r="125" ht="12.75" customHeight="1" spans="1:35" x14ac:dyDescent="0.25">
      <c r="A125" s="16"/>
      <c r="B125" s="16"/>
      <c r="C125" s="139" t="s">
        <v>252</v>
      </c>
      <c r="D125" s="16"/>
      <c r="E125" s="16"/>
      <c r="F125" s="377"/>
      <c r="G125" s="377"/>
      <c r="H125" s="377"/>
      <c r="I125" s="377"/>
      <c r="J125" s="378"/>
      <c r="K125" s="377"/>
      <c r="L125" s="377"/>
      <c r="M125" s="377"/>
      <c r="N125" s="377"/>
      <c r="O125" s="378"/>
      <c r="P125" s="377"/>
      <c r="Q125" s="377"/>
      <c r="R125" s="377"/>
      <c r="S125" s="377"/>
      <c r="T125" s="378"/>
      <c r="U125" s="377"/>
      <c r="V125" s="377"/>
      <c r="W125" s="377"/>
      <c r="X125" s="320">
        <f ca="1">W125</f>
        <v>1e-12</v>
      </c>
      <c r="Y125" s="378"/>
      <c r="Z125" s="320">
        <v>0.018</v>
      </c>
      <c r="AA125" s="320">
        <f t="shared" ref="AA125:AC125" si="0" ca="1">Z125</f>
        <v>0.018</v>
      </c>
      <c r="AB125" s="320">
        <f ca="1">AA125</f>
        <v>0.018</v>
      </c>
      <c r="AC125" s="320">
        <f ca="1">AB125</f>
        <v>0.018</v>
      </c>
      <c r="AD125" s="378"/>
      <c r="AE125" s="321">
        <f ca="1">AC125</f>
        <v>0.018</v>
      </c>
      <c r="AF125" s="321">
        <f t="shared" ref="AF125:AG125" si="1" ca="1">AE125</f>
        <v>0.018</v>
      </c>
      <c r="AG125" s="321">
        <f ca="1">AF125</f>
        <v>0.018</v>
      </c>
      <c r="AH125" s="16"/>
      <c r="AI125" s="16"/>
    </row>
    <row r="126" ht="12.75" customHeight="1" spans="1:35" x14ac:dyDescent="0.25">
      <c r="A126" s="16"/>
      <c r="B126" s="16"/>
      <c r="C126" s="139" t="s">
        <v>253</v>
      </c>
      <c r="D126" s="16"/>
      <c r="E126" s="16"/>
      <c r="F126" s="377"/>
      <c r="G126" s="377"/>
      <c r="H126" s="377"/>
      <c r="I126" s="377"/>
      <c r="J126" s="378"/>
      <c r="K126" s="377"/>
      <c r="L126" s="377"/>
      <c r="M126" s="377"/>
      <c r="N126" s="377"/>
      <c r="O126" s="378"/>
      <c r="P126" s="377"/>
      <c r="Q126" s="377"/>
      <c r="R126" s="377"/>
      <c r="S126" s="377"/>
      <c r="T126" s="378"/>
      <c r="U126" s="377"/>
      <c r="V126" s="377"/>
      <c r="W126" s="377"/>
      <c r="X126" s="320">
        <v>0.02</v>
      </c>
      <c r="Y126" s="378"/>
      <c r="Z126" s="320">
        <v>0.02</v>
      </c>
      <c r="AA126" s="320">
        <v>0.02</v>
      </c>
      <c r="AB126" s="320">
        <v>0.02</v>
      </c>
      <c r="AC126" s="320">
        <v>0.02</v>
      </c>
      <c r="AD126" s="378"/>
      <c r="AE126" s="321">
        <v>0.022</v>
      </c>
      <c r="AF126" s="321">
        <v>0.022</v>
      </c>
      <c r="AG126" s="321">
        <v>0.022</v>
      </c>
      <c r="AH126" s="16"/>
      <c r="AI126" s="16"/>
    </row>
    <row r="127" ht="12.75" customHeight="1" spans="1:35" x14ac:dyDescent="0.25">
      <c r="A127" s="16"/>
      <c r="B127" s="16"/>
      <c r="C127" s="139"/>
      <c r="D127" s="16"/>
      <c r="E127" s="16"/>
      <c r="F127" s="377"/>
      <c r="G127" s="377"/>
      <c r="H127" s="377"/>
      <c r="I127" s="377"/>
      <c r="J127" s="378"/>
      <c r="K127" s="377"/>
      <c r="L127" s="377"/>
      <c r="M127" s="377"/>
      <c r="N127" s="377"/>
      <c r="O127" s="378"/>
      <c r="P127" s="377"/>
      <c r="Q127" s="377"/>
      <c r="R127" s="377"/>
      <c r="S127" s="377"/>
      <c r="T127" s="378"/>
      <c r="U127" s="377"/>
      <c r="V127" s="377"/>
      <c r="W127" s="377"/>
      <c r="X127" s="320"/>
      <c r="Y127" s="378"/>
      <c r="Z127" s="320"/>
      <c r="AA127" s="320"/>
      <c r="AB127" s="320"/>
      <c r="AC127" s="320"/>
      <c r="AD127" s="378"/>
      <c r="AE127" s="321"/>
      <c r="AF127" s="321"/>
      <c r="AG127" s="321"/>
      <c r="AH127" s="16"/>
      <c r="AI127" s="16"/>
    </row>
    <row r="128" ht="12.75" customHeight="1" spans="1:35" x14ac:dyDescent="0.25">
      <c r="A128" s="16"/>
      <c r="B128" s="16"/>
      <c r="C128" s="16" t="str">
        <f ca="1">Model!C232</f>
        <v>% Change in LT Assets</v>
      </c>
      <c r="D128" s="16"/>
      <c r="E128" s="16"/>
      <c r="F128" s="377">
        <f ca="1">Model!F232</f>
        <v>1e-12</v>
      </c>
      <c r="G128" s="377">
        <f ca="1">Model!G232</f>
        <v>-0.1673728813559322</v>
      </c>
      <c r="H128" s="377">
        <f ca="1">Model!H232</f>
        <v>0.17048346055979646</v>
      </c>
      <c r="I128" s="377">
        <f ca="1">Model!I232</f>
        <v>0.11956521739130443</v>
      </c>
      <c r="J128" s="378">
        <f ca="1">Model!J232</f>
        <v>1e-12</v>
      </c>
      <c r="K128" s="377">
        <f ca="1">Model!K232</f>
        <v>2.515210355987055</v>
      </c>
      <c r="L128" s="377">
        <f ca="1">Model!L232</f>
        <v>-0.00699686982139569</v>
      </c>
      <c r="M128" s="377">
        <f ca="1">Model!M232</f>
        <v>0.0064898943074356286</v>
      </c>
      <c r="N128" s="377">
        <f ca="1">Model!N232</f>
        <v>-0.045504789977892424</v>
      </c>
      <c r="O128" s="378">
        <f ca="1">Model!O232</f>
        <v>2.353398058252427</v>
      </c>
      <c r="P128" s="377">
        <f ca="1">Model!P232</f>
        <v>0.04323489673808134</v>
      </c>
      <c r="Q128" s="377">
        <f ca="1">Model!Q232</f>
        <v>0.005365402405180353</v>
      </c>
      <c r="R128" s="377">
        <f ca="1">Model!R232</f>
        <v>-0.028156054471843994</v>
      </c>
      <c r="S128" s="377">
        <f ca="1">Model!S232</f>
        <v>-0.7896231774285173</v>
      </c>
      <c r="T128" s="378">
        <f ca="1">Model!T232</f>
        <v>-0.7855626326963907</v>
      </c>
      <c r="U128" s="377">
        <f ca="1">Model!U232</f>
        <v>3.7929792979297927</v>
      </c>
      <c r="V128" s="377">
        <f ca="1">Model!V232</f>
        <v>-0.0065727699530516714</v>
      </c>
      <c r="W128" s="377">
        <f ca="1">Model!W232</f>
        <v>0.06351606805293009</v>
      </c>
      <c r="X128" s="379">
        <f ca="1">IF(Case_Scenario="Bull",X129,IF(Case_Scenario="Base",X130,IF(Case_Scenario="bear",X131,"N/A")))</f>
        <v>0.02</v>
      </c>
      <c r="Y128" s="378">
        <f ca="1">Model!Y232</f>
        <v>4.165184518451846</v>
      </c>
      <c r="Z128" s="379">
        <f ca="1">IF(Case_Scenario="Bull",Z129,IF(Case_Scenario="Base",Z130,IF(Case_Scenario="bear",Z131,"N/A")))</f>
        <v>0.02</v>
      </c>
      <c r="AA128" s="379">
        <f ca="1">IF(Case_Scenario="Bull",AA129,IF(Case_Scenario="Base",AA130,IF(Case_Scenario="bear",AA131,"N/A")))</f>
        <v>0.02</v>
      </c>
      <c r="AB128" s="379">
        <f ca="1">IF(Case_Scenario="Bull",AB129,IF(Case_Scenario="Base",AB130,IF(Case_Scenario="bear",AB131,"N/A")))</f>
        <v>0.02</v>
      </c>
      <c r="AC128" s="379">
        <f ca="1">IF(Case_Scenario="Bull",AC129,IF(Case_Scenario="Base",AC130,IF(Case_Scenario="bear",AC131,"N/A")))</f>
        <v>0.02</v>
      </c>
      <c r="AD128" s="378">
        <f ca="1">Model!AD232</f>
        <v>0.0824321600000002</v>
      </c>
      <c r="AE128" s="378">
        <f ca="1">IF(Case_Scenario="Bull",AE129,IF(Case_Scenario="Base",AE130,IF(Case_Scenario="bear",AE131,"N/A")))</f>
        <v>0.02</v>
      </c>
      <c r="AF128" s="378">
        <f ca="1">IF(Case_Scenario="Bull",AF129,IF(Case_Scenario="Base",AF130,IF(Case_Scenario="bear",AF131,"N/A")))</f>
        <v>0.02</v>
      </c>
      <c r="AG128" s="378">
        <f ca="1">IF(Case_Scenario="Bull",AG129,IF(Case_Scenario="Base",AG130,IF(Case_Scenario="bear",AG131,"N/A")))</f>
        <v>0.02</v>
      </c>
      <c r="AH128" s="16"/>
      <c r="AI128" s="16"/>
    </row>
    <row r="129" ht="12.75" customHeight="1" spans="1:35" x14ac:dyDescent="0.25">
      <c r="A129" s="16"/>
      <c r="B129" s="16"/>
      <c r="C129" s="139" t="s">
        <v>251</v>
      </c>
      <c r="D129" s="16"/>
      <c r="E129" s="16"/>
      <c r="F129" s="377"/>
      <c r="G129" s="377"/>
      <c r="H129" s="377"/>
      <c r="I129" s="377"/>
      <c r="J129" s="378"/>
      <c r="K129" s="377"/>
      <c r="L129" s="377"/>
      <c r="M129" s="377"/>
      <c r="N129" s="377"/>
      <c r="O129" s="378"/>
      <c r="P129" s="377"/>
      <c r="Q129" s="377"/>
      <c r="R129" s="377"/>
      <c r="S129" s="377"/>
      <c r="T129" s="378"/>
      <c r="U129" s="377"/>
      <c r="V129" s="377"/>
      <c r="W129" s="377"/>
      <c r="X129" s="320">
        <v>0.02</v>
      </c>
      <c r="Y129" s="378"/>
      <c r="Z129" s="320">
        <v>0.02</v>
      </c>
      <c r="AA129" s="320">
        <v>0.02</v>
      </c>
      <c r="AB129" s="320">
        <v>0.02</v>
      </c>
      <c r="AC129" s="320">
        <v>0.02</v>
      </c>
      <c r="AD129" s="378"/>
      <c r="AE129" s="321">
        <v>0.02</v>
      </c>
      <c r="AF129" s="321">
        <v>0.02</v>
      </c>
      <c r="AG129" s="321">
        <v>0.02</v>
      </c>
      <c r="AH129" s="16"/>
      <c r="AI129" s="16"/>
    </row>
    <row r="130" ht="12.75" customHeight="1" spans="1:35" x14ac:dyDescent="0.25">
      <c r="A130" s="16"/>
      <c r="B130" s="16"/>
      <c r="C130" s="139" t="s">
        <v>252</v>
      </c>
      <c r="D130" s="16"/>
      <c r="E130" s="16"/>
      <c r="F130" s="377"/>
      <c r="G130" s="377"/>
      <c r="H130" s="377"/>
      <c r="I130" s="377"/>
      <c r="J130" s="378"/>
      <c r="K130" s="377"/>
      <c r="L130" s="377"/>
      <c r="M130" s="377"/>
      <c r="N130" s="377"/>
      <c r="O130" s="378"/>
      <c r="P130" s="377"/>
      <c r="Q130" s="377"/>
      <c r="R130" s="377"/>
      <c r="S130" s="377"/>
      <c r="T130" s="378"/>
      <c r="U130" s="377"/>
      <c r="V130" s="377"/>
      <c r="W130" s="377"/>
      <c r="X130" s="320">
        <v>0.02</v>
      </c>
      <c r="Y130" s="378"/>
      <c r="Z130" s="320">
        <v>0.02</v>
      </c>
      <c r="AA130" s="320">
        <v>0.02</v>
      </c>
      <c r="AB130" s="320">
        <v>0.02</v>
      </c>
      <c r="AC130" s="320">
        <v>0.02</v>
      </c>
      <c r="AD130" s="378"/>
      <c r="AE130" s="321">
        <v>0.02</v>
      </c>
      <c r="AF130" s="321">
        <v>0.02</v>
      </c>
      <c r="AG130" s="321">
        <v>0.02</v>
      </c>
      <c r="AH130" s="16"/>
      <c r="AI130" s="16"/>
    </row>
    <row r="131" ht="12.75" customHeight="1" spans="1:35" x14ac:dyDescent="0.25">
      <c r="A131" s="16"/>
      <c r="B131" s="16"/>
      <c r="C131" s="139" t="s">
        <v>253</v>
      </c>
      <c r="D131" s="16"/>
      <c r="E131" s="16"/>
      <c r="F131" s="377"/>
      <c r="G131" s="377"/>
      <c r="H131" s="377"/>
      <c r="I131" s="377"/>
      <c r="J131" s="378"/>
      <c r="K131" s="377"/>
      <c r="L131" s="377"/>
      <c r="M131" s="377"/>
      <c r="N131" s="377"/>
      <c r="O131" s="378"/>
      <c r="P131" s="377"/>
      <c r="Q131" s="377"/>
      <c r="R131" s="377"/>
      <c r="S131" s="377"/>
      <c r="T131" s="378"/>
      <c r="U131" s="377"/>
      <c r="V131" s="377"/>
      <c r="W131" s="377"/>
      <c r="X131" s="320">
        <v>-0.01</v>
      </c>
      <c r="Y131" s="378"/>
      <c r="Z131" s="320">
        <v>-0.01</v>
      </c>
      <c r="AA131" s="320">
        <v>-0.01</v>
      </c>
      <c r="AB131" s="320">
        <v>-0.01</v>
      </c>
      <c r="AC131" s="320">
        <v>-0.01</v>
      </c>
      <c r="AD131" s="378"/>
      <c r="AE131" s="321">
        <v>-0.01</v>
      </c>
      <c r="AF131" s="321">
        <v>-0.01</v>
      </c>
      <c r="AG131" s="321">
        <v>-0.01</v>
      </c>
      <c r="AH131" s="16"/>
      <c r="AI131" s="16"/>
    </row>
    <row r="132" ht="12.75" customHeight="1" spans="1:35" x14ac:dyDescent="0.25">
      <c r="A132" s="16"/>
      <c r="B132" s="16"/>
      <c r="C132" s="16"/>
      <c r="D132" s="16"/>
      <c r="E132" s="16"/>
      <c r="F132" s="377"/>
      <c r="G132" s="377"/>
      <c r="H132" s="377"/>
      <c r="I132" s="377"/>
      <c r="J132" s="378"/>
      <c r="K132" s="377"/>
      <c r="L132" s="377"/>
      <c r="M132" s="377"/>
      <c r="N132" s="377"/>
      <c r="O132" s="378"/>
      <c r="P132" s="377"/>
      <c r="Q132" s="377"/>
      <c r="R132" s="377"/>
      <c r="S132" s="377"/>
      <c r="T132" s="378"/>
      <c r="U132" s="377"/>
      <c r="V132" s="377"/>
      <c r="W132" s="377"/>
      <c r="X132" s="320"/>
      <c r="Y132" s="378"/>
      <c r="Z132" s="320"/>
      <c r="AA132" s="320"/>
      <c r="AB132" s="320"/>
      <c r="AC132" s="320"/>
      <c r="AD132" s="378"/>
      <c r="AE132" s="321"/>
      <c r="AF132" s="321"/>
      <c r="AG132" s="321"/>
      <c r="AH132" s="16"/>
      <c r="AI132" s="16"/>
    </row>
    <row r="133" ht="12.75" customHeight="1" spans="1:35" x14ac:dyDescent="0.25">
      <c r="A133" s="16"/>
      <c r="B133" s="16"/>
      <c r="C133" s="512" t="s">
        <v>492</v>
      </c>
      <c r="D133" s="513"/>
      <c r="E133" s="513"/>
      <c r="F133" s="514"/>
      <c r="G133" s="515"/>
      <c r="H133" s="515"/>
      <c r="I133" s="515"/>
      <c r="J133" s="515"/>
      <c r="K133" s="515"/>
      <c r="L133" s="515"/>
      <c r="M133" s="515"/>
      <c r="N133" s="515"/>
      <c r="O133" s="515"/>
      <c r="P133" s="515"/>
      <c r="Q133" s="515"/>
      <c r="R133" s="515"/>
      <c r="S133" s="515"/>
      <c r="T133" s="515"/>
      <c r="U133" s="515"/>
      <c r="V133" s="515"/>
      <c r="W133" s="515"/>
      <c r="X133" s="515"/>
      <c r="Y133" s="515"/>
      <c r="Z133" s="515"/>
      <c r="AA133" s="515"/>
      <c r="AB133" s="515"/>
      <c r="AC133" s="515"/>
      <c r="AD133" s="515"/>
      <c r="AE133" s="515"/>
      <c r="AF133" s="515"/>
      <c r="AG133" s="516"/>
      <c r="AH133" s="16"/>
      <c r="AI133" s="16"/>
    </row>
    <row r="134" ht="12.75" customHeight="1" spans="1:35" x14ac:dyDescent="0.25">
      <c r="A134" s="16"/>
      <c r="B134" s="16"/>
      <c r="C134" s="16"/>
      <c r="D134" s="16"/>
      <c r="E134" s="16"/>
      <c r="F134" s="377"/>
      <c r="G134" s="377"/>
      <c r="H134" s="377"/>
      <c r="I134" s="377"/>
      <c r="J134" s="378"/>
      <c r="K134" s="377"/>
      <c r="L134" s="377"/>
      <c r="M134" s="377"/>
      <c r="N134" s="377"/>
      <c r="O134" s="378"/>
      <c r="P134" s="377"/>
      <c r="Q134" s="377"/>
      <c r="R134" s="377"/>
      <c r="S134" s="377"/>
      <c r="T134" s="378"/>
      <c r="U134" s="377"/>
      <c r="V134" s="377"/>
      <c r="W134" s="377"/>
      <c r="X134" s="379"/>
      <c r="Y134" s="378"/>
      <c r="Z134" s="379"/>
      <c r="AA134" s="379"/>
      <c r="AB134" s="379"/>
      <c r="AC134" s="379"/>
      <c r="AD134" s="378"/>
      <c r="AE134" s="168"/>
      <c r="AF134" s="168"/>
      <c r="AG134" s="168"/>
      <c r="AH134" s="16"/>
      <c r="AI134" s="16"/>
    </row>
    <row r="135" ht="12.75" customHeight="1" spans="1:35" x14ac:dyDescent="0.25">
      <c r="A135" s="16"/>
      <c r="B135" s="16"/>
      <c r="C135" s="16" t="str">
        <f ca="1">Model!C184</f>
        <v>Days Payables Outstanding</v>
      </c>
      <c r="D135" s="16"/>
      <c r="E135" s="16"/>
      <c r="F135" s="377"/>
      <c r="G135" s="325">
        <f ca="1">Model!G184</f>
        <v>63.44539411206078</v>
      </c>
      <c r="H135" s="325">
        <f ca="1">Model!H184</f>
        <v>71.48294342832837</v>
      </c>
      <c r="I135" s="325">
        <f ca="1">Model!I184</f>
        <v>69.58842277543286</v>
      </c>
      <c r="J135" s="326">
        <f ca="1">Model!J184</f>
        <v>69.28524204045371</v>
      </c>
      <c r="K135" s="325">
        <f ca="1">Model!K184</f>
        <v>73.13980263157895</v>
      </c>
      <c r="L135" s="325">
        <f ca="1">Model!L184</f>
        <v>66.99214145383104</v>
      </c>
      <c r="M135" s="325">
        <f ca="1">Model!M184</f>
        <v>71.73697650663944</v>
      </c>
      <c r="N135" s="325">
        <f ca="1">Model!N184</f>
        <v>68.63974649162517</v>
      </c>
      <c r="O135" s="326">
        <f ca="1">Model!O184</f>
        <v>59.11360634081902</v>
      </c>
      <c r="P135" s="325">
        <f ca="1">Model!P184</f>
        <v>63.250265917033886</v>
      </c>
      <c r="Q135" s="325">
        <f ca="1">Model!Q184</f>
        <v>60.05908989887765</v>
      </c>
      <c r="R135" s="325">
        <f ca="1">Model!R184</f>
        <v>78.68945299486974</v>
      </c>
      <c r="S135" s="325">
        <f ca="1">Model!S184</f>
        <v>78.55384615384615</v>
      </c>
      <c r="T135" s="326">
        <f ca="1">Model!T184</f>
        <v>56.38846769087213</v>
      </c>
      <c r="U135" s="325">
        <f ca="1">Model!U184</f>
        <v>68.63245764792536</v>
      </c>
      <c r="V135" s="325">
        <f ca="1">Model!V184</f>
        <v>64.7312137145361</v>
      </c>
      <c r="W135" s="325">
        <f ca="1">Model!W184</f>
        <v>70.04565912204032</v>
      </c>
      <c r="X135" s="327">
        <f ca="1">IF(Case_Scenario="Bull",X136,IF(Case_Scenario="Base",X137,IF(Case_Scenario="bear",X138,"N/A")))</f>
        <v>55</v>
      </c>
      <c r="Y135" s="326">
        <f ca="1">Model!Y184</f>
        <v>58.889473853616515</v>
      </c>
      <c r="Z135" s="327">
        <f ca="1">IF(Case_Scenario="Bull",Z136,IF(Case_Scenario="Base",Z137,IF(Case_Scenario="bear",Z138,"N/A")))</f>
        <v>58</v>
      </c>
      <c r="AA135" s="327">
        <f ca="1">IF(Case_Scenario="Bull",AA136,IF(Case_Scenario="Base",AA137,IF(Case_Scenario="bear",AA138,"N/A")))</f>
        <v>48</v>
      </c>
      <c r="AB135" s="327">
        <f ca="1">IF(Case_Scenario="Bull",AB136,IF(Case_Scenario="Base",AB137,IF(Case_Scenario="bear",AB138,"N/A")))</f>
        <v>53</v>
      </c>
      <c r="AC135" s="327">
        <f ca="1">IF(Case_Scenario="Bull",AC136,IF(Case_Scenario="Base",AC137,IF(Case_Scenario="bear",AC138,"N/A")))</f>
        <v>55</v>
      </c>
      <c r="AD135" s="326">
        <f ca="1">Model!AD184</f>
        <v>48.236838263600504</v>
      </c>
      <c r="AE135" s="326">
        <f ca="1">IF(Case_Scenario="Bull",AE136,IF(Case_Scenario="Base",AE137,IF(Case_Scenario="bear",AE138,"N/A")))</f>
        <v>54</v>
      </c>
      <c r="AF135" s="326">
        <f ca="1">IF(Case_Scenario="Bull",AF136,IF(Case_Scenario="Base",AF137,IF(Case_Scenario="bear",AF138,"N/A")))</f>
        <v>54</v>
      </c>
      <c r="AG135" s="326">
        <f ca="1">IF(Case_Scenario="Bull",AG136,IF(Case_Scenario="Base",AG137,IF(Case_Scenario="bear",AG138,"N/A")))</f>
        <v>54</v>
      </c>
      <c r="AH135" s="16"/>
      <c r="AI135" s="16"/>
    </row>
    <row r="136" ht="12.75" customHeight="1" spans="1:35" x14ac:dyDescent="0.25">
      <c r="A136" s="16"/>
      <c r="B136" s="16"/>
      <c r="C136" s="139" t="s">
        <v>251</v>
      </c>
      <c r="D136" s="16"/>
      <c r="E136" s="16"/>
      <c r="F136" s="377"/>
      <c r="G136" s="377"/>
      <c r="H136" s="377"/>
      <c r="I136" s="377"/>
      <c r="J136" s="378"/>
      <c r="K136" s="377"/>
      <c r="L136" s="377"/>
      <c r="M136" s="377"/>
      <c r="N136" s="377"/>
      <c r="O136" s="378"/>
      <c r="P136" s="377"/>
      <c r="Q136" s="377"/>
      <c r="R136" s="377"/>
      <c r="S136" s="377"/>
      <c r="T136" s="378"/>
      <c r="U136" s="377"/>
      <c r="V136" s="377"/>
      <c r="W136" s="377"/>
      <c r="X136" s="523">
        <v>60</v>
      </c>
      <c r="Y136" s="378"/>
      <c r="Z136" s="523">
        <v>55</v>
      </c>
      <c r="AA136" s="523">
        <v>55</v>
      </c>
      <c r="AB136" s="523">
        <v>52</v>
      </c>
      <c r="AC136" s="523">
        <v>60</v>
      </c>
      <c r="AD136" s="378"/>
      <c r="AE136" s="524">
        <v>52</v>
      </c>
      <c r="AF136" s="524">
        <v>52</v>
      </c>
      <c r="AG136" s="524">
        <v>52</v>
      </c>
      <c r="AH136" s="16"/>
      <c r="AI136" s="16"/>
    </row>
    <row r="137" ht="12.75" customHeight="1" spans="1:35" x14ac:dyDescent="0.25">
      <c r="A137" s="16"/>
      <c r="B137" s="16"/>
      <c r="C137" s="139" t="s">
        <v>252</v>
      </c>
      <c r="D137" s="16"/>
      <c r="E137" s="16"/>
      <c r="F137" s="377"/>
      <c r="G137" s="377"/>
      <c r="H137" s="377"/>
      <c r="I137" s="377"/>
      <c r="J137" s="378"/>
      <c r="K137" s="377"/>
      <c r="L137" s="377"/>
      <c r="M137" s="377"/>
      <c r="N137" s="377"/>
      <c r="O137" s="378"/>
      <c r="P137" s="377"/>
      <c r="Q137" s="377"/>
      <c r="R137" s="377"/>
      <c r="S137" s="377"/>
      <c r="T137" s="378"/>
      <c r="U137" s="377"/>
      <c r="V137" s="377"/>
      <c r="W137" s="377"/>
      <c r="X137" s="523">
        <v>55</v>
      </c>
      <c r="Y137" s="378"/>
      <c r="Z137" s="523">
        <v>58</v>
      </c>
      <c r="AA137" s="523">
        <v>48</v>
      </c>
      <c r="AB137" s="523">
        <v>53</v>
      </c>
      <c r="AC137" s="523">
        <v>55</v>
      </c>
      <c r="AD137" s="378"/>
      <c r="AE137" s="524">
        <v>54</v>
      </c>
      <c r="AF137" s="524">
        <v>54</v>
      </c>
      <c r="AG137" s="524">
        <v>54</v>
      </c>
      <c r="AH137" s="16"/>
      <c r="AI137" s="16"/>
    </row>
    <row r="138" ht="12.75" customHeight="1" spans="1:35" x14ac:dyDescent="0.25">
      <c r="A138" s="16"/>
      <c r="B138" s="16"/>
      <c r="C138" s="139" t="s">
        <v>253</v>
      </c>
      <c r="D138" s="16"/>
      <c r="E138" s="16"/>
      <c r="F138" s="377"/>
      <c r="G138" s="377"/>
      <c r="H138" s="377"/>
      <c r="I138" s="377"/>
      <c r="J138" s="378"/>
      <c r="K138" s="377"/>
      <c r="L138" s="377"/>
      <c r="M138" s="377"/>
      <c r="N138" s="377"/>
      <c r="O138" s="378"/>
      <c r="P138" s="377"/>
      <c r="Q138" s="377"/>
      <c r="R138" s="377"/>
      <c r="S138" s="377"/>
      <c r="T138" s="378"/>
      <c r="U138" s="377"/>
      <c r="V138" s="377"/>
      <c r="W138" s="377"/>
      <c r="X138" s="523">
        <v>62</v>
      </c>
      <c r="Y138" s="378"/>
      <c r="Z138" s="523">
        <v>65</v>
      </c>
      <c r="AA138" s="523">
        <v>55</v>
      </c>
      <c r="AB138" s="523">
        <v>60</v>
      </c>
      <c r="AC138" s="523">
        <v>62</v>
      </c>
      <c r="AD138" s="378"/>
      <c r="AE138" s="524">
        <v>58</v>
      </c>
      <c r="AF138" s="524">
        <v>58</v>
      </c>
      <c r="AG138" s="524">
        <v>58</v>
      </c>
      <c r="AH138" s="16"/>
      <c r="AI138" s="16"/>
    </row>
    <row r="139" ht="12.75" customHeight="1" spans="1:35" x14ac:dyDescent="0.25">
      <c r="A139" s="16"/>
      <c r="B139" s="16"/>
      <c r="C139" s="16"/>
      <c r="D139" s="16"/>
      <c r="E139" s="16"/>
      <c r="F139" s="377"/>
      <c r="G139" s="377"/>
      <c r="H139" s="377"/>
      <c r="I139" s="377"/>
      <c r="J139" s="378"/>
      <c r="K139" s="377"/>
      <c r="L139" s="377"/>
      <c r="M139" s="377"/>
      <c r="N139" s="377"/>
      <c r="O139" s="378"/>
      <c r="P139" s="377"/>
      <c r="Q139" s="377"/>
      <c r="R139" s="377"/>
      <c r="S139" s="377"/>
      <c r="T139" s="378"/>
      <c r="U139" s="377"/>
      <c r="V139" s="377"/>
      <c r="W139" s="377"/>
      <c r="X139" s="320"/>
      <c r="Y139" s="378"/>
      <c r="Z139" s="320"/>
      <c r="AA139" s="320"/>
      <c r="AB139" s="320"/>
      <c r="AC139" s="320"/>
      <c r="AD139" s="378"/>
      <c r="AE139" s="321"/>
      <c r="AF139" s="321"/>
      <c r="AG139" s="321"/>
      <c r="AH139" s="16"/>
      <c r="AI139" s="16"/>
    </row>
    <row r="140" ht="12.75" customHeight="1" spans="1:35" x14ac:dyDescent="0.25">
      <c r="A140" s="16"/>
      <c r="B140" s="16"/>
      <c r="C140" s="16" t="str">
        <f ca="1">Model!C187</f>
        <v>Accrued Liabilities as a % of COGS</v>
      </c>
      <c r="D140" s="16"/>
      <c r="E140" s="16"/>
      <c r="F140" s="377">
        <f ca="1">Model!F187</f>
        <v>0.015751674303842087</v>
      </c>
      <c r="G140" s="377">
        <f ca="1">Model!G187</f>
        <v>0.012254364818467383</v>
      </c>
      <c r="H140" s="377">
        <f ca="1">Model!H187</f>
        <v>0.017141641854529988</v>
      </c>
      <c r="I140" s="377">
        <f ca="1">Model!I187</f>
        <v>0.014256180549573607</v>
      </c>
      <c r="J140" s="378">
        <f ca="1">Model!J187</f>
        <v>0.013677403359434723</v>
      </c>
      <c r="K140" s="377">
        <f ca="1">Model!K187</f>
        <v>0.015810032894736842</v>
      </c>
      <c r="L140" s="377">
        <f ca="1">Model!L187</f>
        <v>0.012577182149873701</v>
      </c>
      <c r="M140" s="377">
        <f ca="1">Model!M187</f>
        <v>0.016577289751447056</v>
      </c>
      <c r="N140" s="377">
        <f ca="1">Model!N187</f>
        <v>0.015482118605703938</v>
      </c>
      <c r="O140" s="378">
        <f ca="1">Model!O187</f>
        <v>0.01390102631846357</v>
      </c>
      <c r="P140" s="377">
        <f ca="1">Model!P187</f>
        <v>0.01865218051967786</v>
      </c>
      <c r="Q140" s="377">
        <f ca="1">Model!Q187</f>
        <v>0.015821202355817313</v>
      </c>
      <c r="R140" s="377">
        <f ca="1">Model!R187</f>
        <v>0.018605503364647877</v>
      </c>
      <c r="S140" s="377">
        <f ca="1">Model!S187</f>
        <v>0.04353557240881185</v>
      </c>
      <c r="T140" s="378">
        <f ca="1">Model!T187</f>
        <v>0.040173959409471126</v>
      </c>
      <c r="U140" s="377">
        <f ca="1">Model!U187</f>
        <v>0.020132580407561995</v>
      </c>
      <c r="V140" s="377">
        <f ca="1">Model!V187</f>
        <v>0.01822488772045131</v>
      </c>
      <c r="W140" s="377">
        <f ca="1">Model!W187</f>
        <v>0.02206314004305003</v>
      </c>
      <c r="X140" s="379">
        <f ca="1">IF(Case_Scenario="Bull",X141,IF(Case_Scenario="Base",X142,IF(Case_Scenario="bear",X143,"N/A")))</f>
        <v>0.0125</v>
      </c>
      <c r="Y140" s="378">
        <f ca="1">Model!Y187</f>
        <v>0.013761244159941528</v>
      </c>
      <c r="Z140" s="379">
        <f ca="1">IF(Case_Scenario="Bull",Z141,IF(Case_Scenario="Base",Z142,IF(Case_Scenario="bear",Z143,"N/A")))</f>
        <v>0.0125</v>
      </c>
      <c r="AA140" s="379">
        <f ca="1">IF(Case_Scenario="Bull",AA141,IF(Case_Scenario="Base",AA142,IF(Case_Scenario="bear",AA143,"N/A")))</f>
        <v>0.0125</v>
      </c>
      <c r="AB140" s="379">
        <f ca="1">IF(Case_Scenario="Bull",AB141,IF(Case_Scenario="Base",AB142,IF(Case_Scenario="bear",AB143,"N/A")))</f>
        <v>0.0125</v>
      </c>
      <c r="AC140" s="379">
        <f ca="1">IF(Case_Scenario="Bull",AC141,IF(Case_Scenario="Base",AC142,IF(Case_Scenario="bear",AC143,"N/A")))</f>
        <v>0.0125</v>
      </c>
      <c r="AD140" s="378">
        <f ca="1">Model!AD187</f>
        <v>0.01163754798419242</v>
      </c>
      <c r="AE140" s="378">
        <f ca="1">IF(Case_Scenario="Bull",AE141,IF(Case_Scenario="Base",AE142,IF(Case_Scenario="bear",AE143,"N/A")))</f>
        <v>0.013</v>
      </c>
      <c r="AF140" s="378">
        <f ca="1">IF(Case_Scenario="Bull",AF141,IF(Case_Scenario="Base",AF142,IF(Case_Scenario="bear",AF143,"N/A")))</f>
        <v>0.013</v>
      </c>
      <c r="AG140" s="378">
        <f ca="1">IF(Case_Scenario="Bull",AG141,IF(Case_Scenario="Base",AG142,IF(Case_Scenario="bear",AG143,"N/A")))</f>
        <v>0.013</v>
      </c>
      <c r="AH140" s="16"/>
      <c r="AI140" s="16"/>
    </row>
    <row r="141" ht="12.75" customHeight="1" spans="1:35" x14ac:dyDescent="0.25">
      <c r="A141" s="16"/>
      <c r="B141" s="16"/>
      <c r="C141" s="139" t="s">
        <v>251</v>
      </c>
      <c r="D141" s="16"/>
      <c r="E141" s="16"/>
      <c r="F141" s="377"/>
      <c r="G141" s="377"/>
      <c r="H141" s="377"/>
      <c r="I141" s="377"/>
      <c r="J141" s="378"/>
      <c r="K141" s="377"/>
      <c r="L141" s="377"/>
      <c r="M141" s="377"/>
      <c r="N141" s="377"/>
      <c r="O141" s="378"/>
      <c r="P141" s="377"/>
      <c r="Q141" s="377"/>
      <c r="R141" s="377"/>
      <c r="S141" s="377"/>
      <c r="T141" s="378"/>
      <c r="U141" s="377"/>
      <c r="V141" s="377"/>
      <c r="W141" s="377"/>
      <c r="X141" s="320">
        <v>0.011</v>
      </c>
      <c r="Y141" s="378"/>
      <c r="Z141" s="320">
        <v>0.011</v>
      </c>
      <c r="AA141" s="320">
        <v>0.011</v>
      </c>
      <c r="AB141" s="320">
        <v>0.011</v>
      </c>
      <c r="AC141" s="320">
        <v>0.011</v>
      </c>
      <c r="AD141" s="378"/>
      <c r="AE141" s="321">
        <v>0.011</v>
      </c>
      <c r="AF141" s="321">
        <v>0.011</v>
      </c>
      <c r="AG141" s="321">
        <v>0.011</v>
      </c>
      <c r="AH141" s="16"/>
      <c r="AI141" s="16"/>
    </row>
    <row r="142" ht="12.75" customHeight="1" spans="1:35" x14ac:dyDescent="0.25">
      <c r="A142" s="16"/>
      <c r="B142" s="16"/>
      <c r="C142" s="139" t="s">
        <v>252</v>
      </c>
      <c r="D142" s="16"/>
      <c r="E142" s="16"/>
      <c r="F142" s="377"/>
      <c r="G142" s="377"/>
      <c r="H142" s="377"/>
      <c r="I142" s="377"/>
      <c r="J142" s="378"/>
      <c r="K142" s="377"/>
      <c r="L142" s="377"/>
      <c r="M142" s="377"/>
      <c r="N142" s="377"/>
      <c r="O142" s="378"/>
      <c r="P142" s="377"/>
      <c r="Q142" s="377"/>
      <c r="R142" s="377"/>
      <c r="S142" s="377"/>
      <c r="T142" s="378"/>
      <c r="U142" s="377"/>
      <c r="V142" s="377"/>
      <c r="W142" s="377"/>
      <c r="X142" s="320">
        <v>0.0125</v>
      </c>
      <c r="Y142" s="378"/>
      <c r="Z142" s="320">
        <v>0.0125</v>
      </c>
      <c r="AA142" s="320">
        <v>0.0125</v>
      </c>
      <c r="AB142" s="320">
        <v>0.0125</v>
      </c>
      <c r="AC142" s="320">
        <v>0.0125</v>
      </c>
      <c r="AD142" s="378"/>
      <c r="AE142" s="321">
        <v>0.013</v>
      </c>
      <c r="AF142" s="321">
        <v>0.013</v>
      </c>
      <c r="AG142" s="321">
        <v>0.013</v>
      </c>
      <c r="AH142" s="16"/>
      <c r="AI142" s="16"/>
    </row>
    <row r="143" ht="12.75" customHeight="1" spans="1:35" x14ac:dyDescent="0.25">
      <c r="A143" s="264" t="s">
        <v>1</v>
      </c>
      <c r="B143" s="264" t="s">
        <v>1</v>
      </c>
      <c r="C143" s="139" t="s">
        <v>253</v>
      </c>
      <c r="D143" s="16"/>
      <c r="E143" s="16"/>
      <c r="F143" s="377"/>
      <c r="G143" s="377"/>
      <c r="H143" s="377"/>
      <c r="I143" s="377"/>
      <c r="J143" s="378"/>
      <c r="K143" s="377"/>
      <c r="L143" s="377"/>
      <c r="M143" s="377"/>
      <c r="N143" s="377"/>
      <c r="O143" s="378"/>
      <c r="P143" s="377"/>
      <c r="Q143" s="377"/>
      <c r="R143" s="377"/>
      <c r="S143" s="377"/>
      <c r="T143" s="378"/>
      <c r="U143" s="377"/>
      <c r="V143" s="377"/>
      <c r="W143" s="377"/>
      <c r="X143" s="320">
        <v>0.017</v>
      </c>
      <c r="Y143" s="378"/>
      <c r="Z143" s="320">
        <v>0.017</v>
      </c>
      <c r="AA143" s="320">
        <v>0.017</v>
      </c>
      <c r="AB143" s="320">
        <v>0.017</v>
      </c>
      <c r="AC143" s="320">
        <v>0.017</v>
      </c>
      <c r="AD143" s="378"/>
      <c r="AE143" s="321">
        <v>0.017</v>
      </c>
      <c r="AF143" s="321">
        <v>0.017</v>
      </c>
      <c r="AG143" s="321">
        <v>0.017</v>
      </c>
      <c r="AH143" s="264" t="s">
        <v>1</v>
      </c>
      <c r="AI143" s="264"/>
    </row>
    <row r="144" ht="12.75" customHeight="1" spans="1:35" x14ac:dyDescent="0.25">
      <c r="A144" s="16"/>
      <c r="B144" s="16"/>
      <c r="C144" s="16"/>
      <c r="D144" s="16"/>
      <c r="E144" s="16"/>
      <c r="F144" s="377"/>
      <c r="G144" s="377"/>
      <c r="H144" s="377"/>
      <c r="I144" s="377"/>
      <c r="J144" s="378"/>
      <c r="K144" s="377"/>
      <c r="L144" s="377"/>
      <c r="M144" s="377"/>
      <c r="N144" s="377"/>
      <c r="O144" s="378"/>
      <c r="P144" s="377"/>
      <c r="Q144" s="377"/>
      <c r="R144" s="377"/>
      <c r="S144" s="377"/>
      <c r="T144" s="378"/>
      <c r="U144" s="377"/>
      <c r="V144" s="377"/>
      <c r="W144" s="377"/>
      <c r="X144" s="320"/>
      <c r="Y144" s="378"/>
      <c r="Z144" s="320"/>
      <c r="AA144" s="320"/>
      <c r="AB144" s="320"/>
      <c r="AC144" s="320"/>
      <c r="AD144" s="378"/>
      <c r="AE144" s="321"/>
      <c r="AF144" s="321"/>
      <c r="AG144" s="321"/>
      <c r="AH144" s="16"/>
      <c r="AI144" s="16"/>
    </row>
    <row r="145" ht="12.75" customHeight="1" spans="1:35" x14ac:dyDescent="0.25">
      <c r="A145" s="16"/>
      <c r="B145" s="16"/>
      <c r="C145" s="16" t="str">
        <f ca="1">Model!C188</f>
        <v>Other Current Liabilities as a % of COGS</v>
      </c>
      <c r="D145" s="16"/>
      <c r="E145" s="16"/>
      <c r="F145" s="377">
        <f ca="1">Model!F188</f>
        <v>0.08942104335565738</v>
      </c>
      <c r="G145" s="377">
        <f ca="1">Model!G188</f>
        <v>0.07363576594345825</v>
      </c>
      <c r="H145" s="377">
        <f ca="1">Model!H188</f>
        <v>0.08215652913653765</v>
      </c>
      <c r="I145" s="377">
        <f ca="1">Model!I188</f>
        <v>0.09574468085106383</v>
      </c>
      <c r="J145" s="378">
        <f ca="1">Model!J188</f>
        <v>0.0918576062478048</v>
      </c>
      <c r="K145" s="377">
        <f ca="1">Model!K188</f>
        <v>0.09290707236842105</v>
      </c>
      <c r="L145" s="377">
        <f ca="1">Model!L188</f>
        <v>0.08086584339040134</v>
      </c>
      <c r="M145" s="377">
        <f ca="1">Model!M188</f>
        <v>0.10401770514130065</v>
      </c>
      <c r="N145" s="377">
        <f ca="1">Model!N188</f>
        <v>0.1412856496152105</v>
      </c>
      <c r="O145" s="378">
        <f ca="1">Model!O188</f>
        <v>0.12685702672492633</v>
      </c>
      <c r="P145" s="377">
        <f ca="1">Model!P188</f>
        <v>0.11202704756116091</v>
      </c>
      <c r="Q145" s="377">
        <f ca="1">Model!Q188</f>
        <v>0.09314923880431158</v>
      </c>
      <c r="R145" s="377">
        <f ca="1">Model!R188</f>
        <v>0.08459924045572656</v>
      </c>
      <c r="S145" s="377">
        <f ca="1">Model!S188</f>
        <v>0.06525821596244132</v>
      </c>
      <c r="T145" s="378">
        <f ca="1">Model!T188</f>
        <v>0.060219282167494254</v>
      </c>
      <c r="U145" s="377">
        <f ca="1">Model!U188</f>
        <v>0.09633562484655045</v>
      </c>
      <c r="V145" s="377">
        <f ca="1">Model!V188</f>
        <v>0.09554715741045021</v>
      </c>
      <c r="W145" s="377">
        <f ca="1">Model!W188</f>
        <v>0.11080490509425348</v>
      </c>
      <c r="X145" s="379">
        <f ca="1">IF(Case_Scenario="Bull",X146,IF(Case_Scenario="Base",X147,IF(Case_Scenario="bear",X148,"N/A")))</f>
        <v>0.125</v>
      </c>
      <c r="Y145" s="378">
        <f ca="1">Model!Y188</f>
        <v>0.13761244159941527</v>
      </c>
      <c r="Z145" s="379">
        <f ca="1">IF(Case_Scenario="Bull",Z146,IF(Case_Scenario="Base",Z147,IF(Case_Scenario="bear",Z148,"N/A")))</f>
        <v>0.11</v>
      </c>
      <c r="AA145" s="379">
        <f ca="1">IF(Case_Scenario="Bull",AA146,IF(Case_Scenario="Base",AA147,IF(Case_Scenario="bear",AA148,"N/A")))</f>
        <v>0.11</v>
      </c>
      <c r="AB145" s="379">
        <f ca="1">IF(Case_Scenario="Bull",AB146,IF(Case_Scenario="Base",AB147,IF(Case_Scenario="bear",AB148,"N/A")))</f>
        <v>0.125</v>
      </c>
      <c r="AC145" s="379">
        <f ca="1">IF(Case_Scenario="Bull",AC146,IF(Case_Scenario="Base",AC147,IF(Case_Scenario="bear",AC148,"N/A")))</f>
        <v>0.125</v>
      </c>
      <c r="AD145" s="378">
        <f ca="1">Model!AD188</f>
        <v>0.11637547984192419</v>
      </c>
      <c r="AE145" s="378">
        <f ca="1">IF(Case_Scenario="Bull",AE146,IF(Case_Scenario="Base",AE147,IF(Case_Scenario="bear",AE148,"N/A")))</f>
        <v>0.12</v>
      </c>
      <c r="AF145" s="378">
        <f ca="1">IF(Case_Scenario="Bull",AF146,IF(Case_Scenario="Base",AF147,IF(Case_Scenario="bear",AF148,"N/A")))</f>
        <v>0.12</v>
      </c>
      <c r="AG145" s="378">
        <f ca="1">IF(Case_Scenario="Bull",AG146,IF(Case_Scenario="Base",AG147,IF(Case_Scenario="bear",AG148,"N/A")))</f>
        <v>0.12</v>
      </c>
      <c r="AH145" s="16"/>
      <c r="AI145" s="16"/>
    </row>
    <row r="146" ht="12.75" customHeight="1" spans="1:35" x14ac:dyDescent="0.25">
      <c r="A146" s="264" t="s">
        <v>1</v>
      </c>
      <c r="B146" s="264" t="s">
        <v>1</v>
      </c>
      <c r="C146" s="139" t="s">
        <v>251</v>
      </c>
      <c r="D146" s="16"/>
      <c r="E146" s="16"/>
      <c r="F146" s="377"/>
      <c r="G146" s="377"/>
      <c r="H146" s="377"/>
      <c r="I146" s="377"/>
      <c r="J146" s="378"/>
      <c r="K146" s="377"/>
      <c r="L146" s="377"/>
      <c r="M146" s="377"/>
      <c r="N146" s="377"/>
      <c r="O146" s="378"/>
      <c r="P146" s="377"/>
      <c r="Q146" s="377"/>
      <c r="R146" s="377"/>
      <c r="S146" s="377"/>
      <c r="T146" s="378"/>
      <c r="U146" s="377"/>
      <c r="V146" s="377"/>
      <c r="W146" s="377"/>
      <c r="X146" s="320">
        <v>0.1</v>
      </c>
      <c r="Y146" s="378"/>
      <c r="Z146" s="320">
        <v>0.1</v>
      </c>
      <c r="AA146" s="320">
        <v>0.1</v>
      </c>
      <c r="AB146" s="320">
        <v>0.1</v>
      </c>
      <c r="AC146" s="320">
        <v>0.1</v>
      </c>
      <c r="AD146" s="378"/>
      <c r="AE146" s="321">
        <v>0.1</v>
      </c>
      <c r="AF146" s="321">
        <v>0.1</v>
      </c>
      <c r="AG146" s="321">
        <v>0.1</v>
      </c>
      <c r="AH146" s="16"/>
      <c r="AI146" s="16"/>
    </row>
    <row r="147" ht="12.75" customHeight="1" spans="1:35" x14ac:dyDescent="0.25">
      <c r="A147" s="16"/>
      <c r="B147" s="16"/>
      <c r="C147" s="139" t="s">
        <v>252</v>
      </c>
      <c r="D147" s="16"/>
      <c r="E147" s="16"/>
      <c r="F147" s="377"/>
      <c r="G147" s="377"/>
      <c r="H147" s="377"/>
      <c r="I147" s="377"/>
      <c r="J147" s="378"/>
      <c r="K147" s="377"/>
      <c r="L147" s="377"/>
      <c r="M147" s="377"/>
      <c r="N147" s="377"/>
      <c r="O147" s="378"/>
      <c r="P147" s="377"/>
      <c r="Q147" s="377"/>
      <c r="R147" s="377"/>
      <c r="S147" s="377"/>
      <c r="T147" s="378"/>
      <c r="U147" s="377"/>
      <c r="V147" s="377"/>
      <c r="W147" s="377"/>
      <c r="X147" s="320">
        <v>0.125</v>
      </c>
      <c r="Y147" s="378"/>
      <c r="Z147" s="320">
        <v>0.11</v>
      </c>
      <c r="AA147" s="320">
        <v>0.11</v>
      </c>
      <c r="AB147" s="320">
        <v>0.125</v>
      </c>
      <c r="AC147" s="320">
        <v>0.125</v>
      </c>
      <c r="AD147" s="378"/>
      <c r="AE147" s="321">
        <v>0.12</v>
      </c>
      <c r="AF147" s="321">
        <v>0.12</v>
      </c>
      <c r="AG147" s="321">
        <v>0.12</v>
      </c>
      <c r="AH147" s="16"/>
      <c r="AI147" s="16"/>
    </row>
    <row r="148" ht="12.75" customHeight="1" spans="1:35" x14ac:dyDescent="0.25">
      <c r="A148" s="16"/>
      <c r="B148" s="16"/>
      <c r="C148" s="139" t="s">
        <v>253</v>
      </c>
      <c r="D148" s="16"/>
      <c r="E148" s="16"/>
      <c r="F148" s="377"/>
      <c r="G148" s="377"/>
      <c r="H148" s="377"/>
      <c r="I148" s="377"/>
      <c r="J148" s="378"/>
      <c r="K148" s="377"/>
      <c r="L148" s="377"/>
      <c r="M148" s="377"/>
      <c r="N148" s="377"/>
      <c r="O148" s="378"/>
      <c r="P148" s="377"/>
      <c r="Q148" s="377"/>
      <c r="R148" s="377"/>
      <c r="S148" s="377"/>
      <c r="T148" s="378"/>
      <c r="U148" s="377"/>
      <c r="V148" s="377"/>
      <c r="W148" s="377"/>
      <c r="X148" s="320">
        <v>0.13</v>
      </c>
      <c r="Y148" s="378"/>
      <c r="Z148" s="320">
        <v>0.13</v>
      </c>
      <c r="AA148" s="320">
        <v>0.13</v>
      </c>
      <c r="AB148" s="320">
        <v>0.13</v>
      </c>
      <c r="AC148" s="320">
        <v>0.13</v>
      </c>
      <c r="AD148" s="378"/>
      <c r="AE148" s="321">
        <v>0.14</v>
      </c>
      <c r="AF148" s="321">
        <v>0.14</v>
      </c>
      <c r="AG148" s="321">
        <v>0.14</v>
      </c>
      <c r="AH148" s="16"/>
      <c r="AI148" s="16"/>
    </row>
    <row r="149" ht="12.75" customHeight="1" spans="1:35" x14ac:dyDescent="0.25">
      <c r="A149" s="16"/>
      <c r="B149" s="16"/>
      <c r="C149" s="139"/>
      <c r="D149" s="16"/>
      <c r="E149" s="16"/>
      <c r="F149" s="377"/>
      <c r="G149" s="377"/>
      <c r="H149" s="377"/>
      <c r="I149" s="377"/>
      <c r="J149" s="378"/>
      <c r="K149" s="377"/>
      <c r="L149" s="377"/>
      <c r="M149" s="377"/>
      <c r="N149" s="377"/>
      <c r="O149" s="378"/>
      <c r="P149" s="377"/>
      <c r="Q149" s="377"/>
      <c r="R149" s="377"/>
      <c r="S149" s="377"/>
      <c r="T149" s="378"/>
      <c r="U149" s="377"/>
      <c r="V149" s="377"/>
      <c r="W149" s="377"/>
      <c r="X149" s="320"/>
      <c r="Y149" s="378"/>
      <c r="Z149" s="320"/>
      <c r="AA149" s="320"/>
      <c r="AB149" s="320"/>
      <c r="AC149" s="320"/>
      <c r="AD149" s="378"/>
      <c r="AE149" s="321"/>
      <c r="AF149" s="321"/>
      <c r="AG149" s="321"/>
      <c r="AH149" s="16"/>
      <c r="AI149" s="16"/>
    </row>
    <row r="150" ht="12.75" customHeight="1" spans="1:35" x14ac:dyDescent="0.25">
      <c r="A150" s="16"/>
      <c r="B150" s="16"/>
      <c r="C150" s="512" t="s">
        <v>493</v>
      </c>
      <c r="D150" s="513"/>
      <c r="E150" s="513"/>
      <c r="F150" s="514"/>
      <c r="G150" s="515"/>
      <c r="H150" s="515"/>
      <c r="I150" s="515"/>
      <c r="J150" s="515"/>
      <c r="K150" s="515"/>
      <c r="L150" s="515"/>
      <c r="M150" s="515"/>
      <c r="N150" s="515"/>
      <c r="O150" s="515"/>
      <c r="P150" s="515"/>
      <c r="Q150" s="515"/>
      <c r="R150" s="515"/>
      <c r="S150" s="515"/>
      <c r="T150" s="515"/>
      <c r="U150" s="515"/>
      <c r="V150" s="515"/>
      <c r="W150" s="515"/>
      <c r="X150" s="515"/>
      <c r="Y150" s="515"/>
      <c r="Z150" s="515"/>
      <c r="AA150" s="515"/>
      <c r="AB150" s="515"/>
      <c r="AC150" s="515"/>
      <c r="AD150" s="515"/>
      <c r="AE150" s="515"/>
      <c r="AF150" s="515"/>
      <c r="AG150" s="516"/>
      <c r="AH150" s="16"/>
      <c r="AI150" s="16"/>
    </row>
    <row r="151" ht="12.75" customHeight="1" spans="1:35" x14ac:dyDescent="0.25">
      <c r="A151" s="16"/>
      <c r="B151" s="16"/>
      <c r="C151" s="16"/>
      <c r="D151" s="16"/>
      <c r="E151" s="16"/>
      <c r="F151" s="377"/>
      <c r="G151" s="377"/>
      <c r="H151" s="377"/>
      <c r="I151" s="377"/>
      <c r="J151" s="378"/>
      <c r="K151" s="377"/>
      <c r="L151" s="377"/>
      <c r="M151" s="377"/>
      <c r="N151" s="377"/>
      <c r="O151" s="378"/>
      <c r="P151" s="377"/>
      <c r="Q151" s="377"/>
      <c r="R151" s="377"/>
      <c r="S151" s="377"/>
      <c r="T151" s="378"/>
      <c r="U151" s="377"/>
      <c r="V151" s="377"/>
      <c r="W151" s="377"/>
      <c r="X151" s="379"/>
      <c r="Y151" s="378"/>
      <c r="Z151" s="379"/>
      <c r="AA151" s="379"/>
      <c r="AB151" s="379"/>
      <c r="AC151" s="379"/>
      <c r="AD151" s="378"/>
      <c r="AE151" s="168"/>
      <c r="AF151" s="168"/>
      <c r="AG151" s="168"/>
      <c r="AH151" s="16"/>
      <c r="AI151" s="16"/>
    </row>
    <row r="152" ht="12.75" customHeight="1" spans="1:35" x14ac:dyDescent="0.25">
      <c r="A152" s="16"/>
      <c r="B152" s="16"/>
      <c r="C152" s="16" t="str">
        <f ca="1">Model!C308</f>
        <v>Issuance of Debt</v>
      </c>
      <c r="D152" s="16"/>
      <c r="E152" s="16"/>
      <c r="F152" s="353">
        <f ca="1">Model!F308</f>
        <v>15844</v>
      </c>
      <c r="G152" s="353">
        <f ca="1">Model!G308</f>
        <v>0</v>
      </c>
      <c r="H152" s="353">
        <f ca="1">Model!H308</f>
        <v>0</v>
      </c>
      <c r="I152" s="353">
        <f ca="1">Model!I308</f>
        <v>0</v>
      </c>
      <c r="J152" s="282">
        <f ca="1">F152</f>
        <v>15844</v>
      </c>
      <c r="K152" s="353">
        <f ca="1">Model!K308</f>
        <v>2049</v>
      </c>
      <c r="L152" s="353">
        <f ca="1">Model!L308</f>
        <v>0</v>
      </c>
      <c r="M152" s="353">
        <f ca="1">Model!M308</f>
        <v>0</v>
      </c>
      <c r="N152" s="353">
        <f ca="1">Model!N308</f>
        <v>156</v>
      </c>
      <c r="O152" s="282">
        <f ca="1">K152</f>
        <v>2049</v>
      </c>
      <c r="P152" s="353">
        <f ca="1">Model!P308</f>
        <v>3439</v>
      </c>
      <c r="Q152" s="353">
        <f ca="1">Model!Q308</f>
        <v>2</v>
      </c>
      <c r="R152" s="353">
        <f ca="1">Model!R308</f>
        <v>988</v>
      </c>
      <c r="S152" s="353">
        <f ca="1">Model!S308</f>
        <v>4417</v>
      </c>
      <c r="T152" s="282">
        <f ca="1">P152</f>
        <v>3439</v>
      </c>
      <c r="U152" s="353">
        <f ca="1">Model!U308</f>
        <v>0</v>
      </c>
      <c r="V152" s="353">
        <f ca="1">Model!V308</f>
        <v>67</v>
      </c>
      <c r="W152" s="353">
        <f ca="1">Model!W308</f>
        <v>1922</v>
      </c>
      <c r="X152" s="525">
        <f ca="1">IF(Case_Scenario="Bull",X153,IF(Case_Scenario="Base",X154,IF(Case_Scenario="bear",X155,"N/A")))</f>
        <v>0</v>
      </c>
      <c r="Y152" s="282">
        <f ca="1">SUM(U152:X152)</f>
        <v>1989</v>
      </c>
      <c r="Z152" s="525">
        <f ca="1">IF(Case_Scenario="Bull",Z153,IF(Case_Scenario="Base",Z154,IF(Case_Scenario="bear",Z155,"N/A")))</f>
        <v>0</v>
      </c>
      <c r="AA152" s="525">
        <f ca="1">IF(Case_Scenario="Bull",AA153,IF(Case_Scenario="Base",AA154,IF(Case_Scenario="bear",AA155,"N/A")))</f>
        <v>0</v>
      </c>
      <c r="AB152" s="525">
        <f ca="1">IF(Case_Scenario="Bull",AB153,IF(Case_Scenario="Base",AB154,IF(Case_Scenario="bear",AB155,"N/A")))</f>
        <v>0</v>
      </c>
      <c r="AC152" s="525">
        <f ca="1">IF(Case_Scenario="Bull",AC153,IF(Case_Scenario="Base",AC154,IF(Case_Scenario="bear",AC155,"N/A")))</f>
        <v>0</v>
      </c>
      <c r="AD152" s="282">
        <f ca="1">SUM(Z152:AC152)</f>
        <v>1e-12</v>
      </c>
      <c r="AE152" s="526">
        <f ca="1">IF(Case_Scenario="Bull",AE153,IF(Case_Scenario="Base",AE154,IF(Case_Scenario="bear",AE155,"N/A")))</f>
        <v>0</v>
      </c>
      <c r="AF152" s="526">
        <f ca="1">IF(Case_Scenario="Bull",AF153,IF(Case_Scenario="Base",AF154,IF(Case_Scenario="bear",AF155,"N/A")))</f>
        <v>0</v>
      </c>
      <c r="AG152" s="526">
        <f ca="1">IF(Case_Scenario="Bull",AG153,IF(Case_Scenario="Base",AG154,IF(Case_Scenario="bear",AG155,"N/A")))</f>
        <v>0</v>
      </c>
      <c r="AH152" s="16"/>
      <c r="AI152" s="16"/>
    </row>
    <row r="153" ht="12.75" customHeight="1" spans="1:35" x14ac:dyDescent="0.25">
      <c r="A153" s="16"/>
      <c r="B153" s="16"/>
      <c r="C153" s="139" t="s">
        <v>251</v>
      </c>
      <c r="D153" s="16"/>
      <c r="E153" s="16"/>
      <c r="F153" s="377"/>
      <c r="G153" s="377"/>
      <c r="H153" s="377"/>
      <c r="I153" s="377"/>
      <c r="J153" s="378"/>
      <c r="K153" s="377"/>
      <c r="L153" s="377"/>
      <c r="M153" s="377"/>
      <c r="N153" s="377"/>
      <c r="O153" s="378"/>
      <c r="P153" s="377"/>
      <c r="Q153" s="377"/>
      <c r="R153" s="377"/>
      <c r="S153" s="377"/>
      <c r="T153" s="378"/>
      <c r="U153" s="377"/>
      <c r="V153" s="377"/>
      <c r="W153" s="377"/>
      <c r="X153" s="527">
        <v>0</v>
      </c>
      <c r="Y153" s="378"/>
      <c r="Z153" s="527">
        <v>0</v>
      </c>
      <c r="AA153" s="527">
        <v>0</v>
      </c>
      <c r="AB153" s="527">
        <v>0</v>
      </c>
      <c r="AC153" s="527">
        <v>0</v>
      </c>
      <c r="AD153" s="378"/>
      <c r="AE153" s="528">
        <v>0</v>
      </c>
      <c r="AF153" s="528">
        <v>0</v>
      </c>
      <c r="AG153" s="528">
        <v>0</v>
      </c>
      <c r="AH153" s="16"/>
      <c r="AI153" s="16"/>
    </row>
    <row r="154" ht="12.75" customHeight="1" spans="1:35" x14ac:dyDescent="0.25">
      <c r="A154" s="16"/>
      <c r="B154" s="16"/>
      <c r="C154" s="139" t="s">
        <v>252</v>
      </c>
      <c r="D154" s="16"/>
      <c r="E154" s="16"/>
      <c r="F154" s="377"/>
      <c r="G154" s="377"/>
      <c r="H154" s="377"/>
      <c r="I154" s="377"/>
      <c r="J154" s="378"/>
      <c r="K154" s="377"/>
      <c r="L154" s="377"/>
      <c r="M154" s="377"/>
      <c r="N154" s="377"/>
      <c r="O154" s="378"/>
      <c r="P154" s="377"/>
      <c r="Q154" s="377"/>
      <c r="R154" s="377"/>
      <c r="S154" s="377"/>
      <c r="T154" s="378"/>
      <c r="U154" s="377"/>
      <c r="V154" s="377"/>
      <c r="W154" s="377"/>
      <c r="X154" s="527">
        <v>0</v>
      </c>
      <c r="Y154" s="378"/>
      <c r="Z154" s="527">
        <v>0</v>
      </c>
      <c r="AA154" s="527">
        <v>0</v>
      </c>
      <c r="AB154" s="527">
        <v>0</v>
      </c>
      <c r="AC154" s="527">
        <v>0</v>
      </c>
      <c r="AD154" s="378"/>
      <c r="AE154" s="528">
        <v>0</v>
      </c>
      <c r="AF154" s="528">
        <v>0</v>
      </c>
      <c r="AG154" s="528">
        <v>0</v>
      </c>
      <c r="AH154" s="16"/>
      <c r="AI154" s="16"/>
    </row>
    <row r="155" ht="12.75" customHeight="1" spans="1:35" x14ac:dyDescent="0.25">
      <c r="A155" s="16"/>
      <c r="B155" s="16"/>
      <c r="C155" s="139" t="s">
        <v>253</v>
      </c>
      <c r="D155" s="16"/>
      <c r="E155" s="16"/>
      <c r="F155" s="377"/>
      <c r="G155" s="377"/>
      <c r="H155" s="377"/>
      <c r="I155" s="377"/>
      <c r="J155" s="378"/>
      <c r="K155" s="377"/>
      <c r="L155" s="377"/>
      <c r="M155" s="377"/>
      <c r="N155" s="377"/>
      <c r="O155" s="378"/>
      <c r="P155" s="377"/>
      <c r="Q155" s="377"/>
      <c r="R155" s="377"/>
      <c r="S155" s="377"/>
      <c r="T155" s="378"/>
      <c r="U155" s="377"/>
      <c r="V155" s="377"/>
      <c r="W155" s="377"/>
      <c r="X155" s="527">
        <v>0</v>
      </c>
      <c r="Y155" s="378"/>
      <c r="Z155" s="527">
        <v>1000</v>
      </c>
      <c r="AA155" s="527">
        <v>0</v>
      </c>
      <c r="AB155" s="527">
        <v>0</v>
      </c>
      <c r="AC155" s="527">
        <v>0</v>
      </c>
      <c r="AD155" s="378"/>
      <c r="AE155" s="528">
        <v>2000</v>
      </c>
      <c r="AF155" s="528">
        <v>0</v>
      </c>
      <c r="AG155" s="528">
        <v>2000</v>
      </c>
      <c r="AH155" s="16"/>
      <c r="AI155" s="16"/>
    </row>
    <row r="156" ht="12.75" customHeight="1" spans="1:35" x14ac:dyDescent="0.25">
      <c r="A156" s="16"/>
      <c r="B156" s="16"/>
      <c r="C156" s="139"/>
      <c r="D156" s="16"/>
      <c r="E156" s="16"/>
      <c r="F156" s="377"/>
      <c r="G156" s="377"/>
      <c r="H156" s="377"/>
      <c r="I156" s="377"/>
      <c r="J156" s="378"/>
      <c r="K156" s="377"/>
      <c r="L156" s="377"/>
      <c r="M156" s="377"/>
      <c r="N156" s="377"/>
      <c r="O156" s="378"/>
      <c r="P156" s="377"/>
      <c r="Q156" s="377"/>
      <c r="R156" s="377"/>
      <c r="S156" s="377"/>
      <c r="T156" s="378"/>
      <c r="U156" s="377"/>
      <c r="V156" s="377"/>
      <c r="W156" s="377"/>
      <c r="X156" s="527"/>
      <c r="Y156" s="378"/>
      <c r="Z156" s="527"/>
      <c r="AA156" s="527"/>
      <c r="AB156" s="527"/>
      <c r="AC156" s="527"/>
      <c r="AD156" s="378"/>
      <c r="AE156" s="529"/>
      <c r="AF156" s="529"/>
      <c r="AG156" s="529"/>
      <c r="AH156" s="16"/>
      <c r="AI156" s="16"/>
    </row>
    <row r="157" ht="12.75" customHeight="1" spans="1:35" x14ac:dyDescent="0.25">
      <c r="A157" s="16"/>
      <c r="B157" s="16"/>
      <c r="C157" s="16" t="str">
        <f ca="1">Model!C309</f>
        <v>Repayment of Debt</v>
      </c>
      <c r="D157" s="16"/>
      <c r="E157" s="16"/>
      <c r="F157" s="353">
        <f ca="1">Model!F309</f>
        <v>0</v>
      </c>
      <c r="G157" s="353">
        <f ca="1">Model!G309</f>
        <v>-13</v>
      </c>
      <c r="H157" s="353">
        <f ca="1">Model!H309</f>
        <v>-254</v>
      </c>
      <c r="I157" s="353">
        <f ca="1">Model!I309</f>
        <v>-76</v>
      </c>
      <c r="J157" s="282">
        <f ca="1">Model!J309</f>
        <v>0</v>
      </c>
      <c r="K157" s="353">
        <f ca="1">Model!K309</f>
        <v>0</v>
      </c>
      <c r="L157" s="353">
        <f ca="1">Model!L309</f>
        <v>-3</v>
      </c>
      <c r="M157" s="353">
        <f ca="1">Model!M309</f>
        <v>-338</v>
      </c>
      <c r="N157" s="353">
        <f ca="1">Model!N309</f>
        <v>0</v>
      </c>
      <c r="O157" s="282">
        <f ca="1">Model!O309</f>
        <v>0</v>
      </c>
      <c r="P157" s="353">
        <f ca="1">Model!P309</f>
        <v>0</v>
      </c>
      <c r="Q157" s="353">
        <f ca="1">Model!Q309</f>
        <v>0</v>
      </c>
      <c r="R157" s="353">
        <f ca="1">Model!R309</f>
        <v>0</v>
      </c>
      <c r="S157" s="353">
        <f ca="1">Model!S309</f>
        <v>0</v>
      </c>
      <c r="T157" s="282">
        <f ca="1">Model!T309</f>
        <v>0</v>
      </c>
      <c r="U157" s="353">
        <f ca="1">Model!U309</f>
        <v>-2967</v>
      </c>
      <c r="V157" s="353">
        <f ca="1">Model!V309</f>
        <v>0</v>
      </c>
      <c r="W157" s="353">
        <f ca="1">Model!W309</f>
        <v>1e-12</v>
      </c>
      <c r="X157" s="286">
        <f ca="1">IF(Case_Scenario="Bull",X158,IF(Case_Scenario="Base",X159,IF(Case_Scenario="bear",X160,"N/A")))</f>
        <v>-500</v>
      </c>
      <c r="Y157" s="282">
        <f ca="1">SUM(U157:X157)</f>
        <v>-3467</v>
      </c>
      <c r="Z157" s="286">
        <f ca="1">IF(Case_Scenario="Bull",Z158,IF(Case_Scenario="Base",Z159,IF(Case_Scenario="bear",Z160,"N/A")))</f>
        <v>-500</v>
      </c>
      <c r="AA157" s="286">
        <f ca="1">IF(Case_Scenario="Bull",AA158,IF(Case_Scenario="Base",AA159,IF(Case_Scenario="bear",AA160,"N/A")))</f>
        <v>-500</v>
      </c>
      <c r="AB157" s="286">
        <f ca="1">IF(Case_Scenario="Bull",AB158,IF(Case_Scenario="Base",AB159,IF(Case_Scenario="bear",AB160,"N/A")))</f>
        <v>-500</v>
      </c>
      <c r="AC157" s="286">
        <f ca="1">IF(Case_Scenario="Bull",AC158,IF(Case_Scenario="Base",AC159,IF(Case_Scenario="bear",AC160,"N/A")))</f>
        <v>-500</v>
      </c>
      <c r="AD157" s="282">
        <f ca="1">SUM(Z157:AC157)</f>
        <v>-2000</v>
      </c>
      <c r="AE157" s="287">
        <f ca="1">IF(Case_Scenario="Bull",AE158,IF(Case_Scenario="Base",AE159,IF(Case_Scenario="bear",AE160,"N/A")))</f>
        <v>-1400</v>
      </c>
      <c r="AF157" s="287">
        <f ca="1">IF(Case_Scenario="Bull",AF158,IF(Case_Scenario="Base",AF159,IF(Case_Scenario="bear",AF160,"N/A")))</f>
        <v>-1300</v>
      </c>
      <c r="AG157" s="287">
        <f ca="1">IF(Case_Scenario="Bull",AG158,IF(Case_Scenario="Base",AG159,IF(Case_Scenario="bear",AG160,"N/A")))</f>
        <v>-1200</v>
      </c>
      <c r="AH157" s="16"/>
      <c r="AI157" s="16"/>
    </row>
    <row r="158" ht="12.75" customHeight="1" spans="1:35" x14ac:dyDescent="0.25">
      <c r="A158" s="16"/>
      <c r="B158" s="16"/>
      <c r="C158" s="139" t="s">
        <v>251</v>
      </c>
      <c r="D158" s="16"/>
      <c r="E158" s="16"/>
      <c r="F158" s="377"/>
      <c r="G158" s="377"/>
      <c r="H158" s="377"/>
      <c r="I158" s="377"/>
      <c r="J158" s="378"/>
      <c r="K158" s="377"/>
      <c r="L158" s="377"/>
      <c r="M158" s="377"/>
      <c r="N158" s="377"/>
      <c r="O158" s="378"/>
      <c r="P158" s="377"/>
      <c r="Q158" s="377"/>
      <c r="R158" s="377"/>
      <c r="S158" s="377"/>
      <c r="T158" s="378"/>
      <c r="U158" s="377"/>
      <c r="V158" s="377"/>
      <c r="W158" s="377"/>
      <c r="X158" s="530">
        <v>0</v>
      </c>
      <c r="Y158" s="378"/>
      <c r="Z158" s="530">
        <v>-500</v>
      </c>
      <c r="AA158" s="530">
        <v>-500</v>
      </c>
      <c r="AB158" s="530">
        <v>0</v>
      </c>
      <c r="AC158" s="530">
        <v>0</v>
      </c>
      <c r="AD158" s="378"/>
      <c r="AE158" s="531">
        <v>-1000</v>
      </c>
      <c r="AF158" s="531">
        <v>0</v>
      </c>
      <c r="AG158" s="531">
        <v>-1000</v>
      </c>
      <c r="AH158" s="16"/>
      <c r="AI158" s="16"/>
    </row>
    <row r="159" ht="12.75" customHeight="1" spans="1:35" x14ac:dyDescent="0.25">
      <c r="A159" s="16"/>
      <c r="B159" s="16"/>
      <c r="C159" s="139" t="s">
        <v>252</v>
      </c>
      <c r="D159" s="16"/>
      <c r="E159" s="16"/>
      <c r="F159" s="377"/>
      <c r="G159" s="377"/>
      <c r="H159" s="377"/>
      <c r="I159" s="377"/>
      <c r="J159" s="378"/>
      <c r="K159" s="377"/>
      <c r="L159" s="377"/>
      <c r="M159" s="377"/>
      <c r="N159" s="377"/>
      <c r="O159" s="378"/>
      <c r="P159" s="377"/>
      <c r="Q159" s="377"/>
      <c r="R159" s="377"/>
      <c r="S159" s="377"/>
      <c r="T159" s="378"/>
      <c r="U159" s="377"/>
      <c r="V159" s="377"/>
      <c r="W159" s="377"/>
      <c r="X159" s="530">
        <v>-500</v>
      </c>
      <c r="Y159" s="378"/>
      <c r="Z159" s="530">
        <v>-500</v>
      </c>
      <c r="AA159" s="530">
        <v>-500</v>
      </c>
      <c r="AB159" s="530">
        <v>-500</v>
      </c>
      <c r="AC159" s="530">
        <v>-500</v>
      </c>
      <c r="AD159" s="378"/>
      <c r="AE159" s="531">
        <v>-1400</v>
      </c>
      <c r="AF159" s="531">
        <v>-1300</v>
      </c>
      <c r="AG159" s="531">
        <v>-1200</v>
      </c>
      <c r="AH159" s="16"/>
      <c r="AI159" s="16"/>
    </row>
    <row r="160" ht="12.75" customHeight="1" spans="1:35" x14ac:dyDescent="0.25">
      <c r="A160" s="16"/>
      <c r="B160" s="16"/>
      <c r="C160" s="139" t="s">
        <v>253</v>
      </c>
      <c r="D160" s="16"/>
      <c r="E160" s="16"/>
      <c r="F160" s="377"/>
      <c r="G160" s="377"/>
      <c r="H160" s="377"/>
      <c r="I160" s="377"/>
      <c r="J160" s="378"/>
      <c r="K160" s="377"/>
      <c r="L160" s="377"/>
      <c r="M160" s="377"/>
      <c r="N160" s="377"/>
      <c r="O160" s="378"/>
      <c r="P160" s="377"/>
      <c r="Q160" s="377"/>
      <c r="R160" s="377"/>
      <c r="S160" s="377"/>
      <c r="T160" s="378"/>
      <c r="U160" s="377"/>
      <c r="V160" s="377"/>
      <c r="W160" s="377"/>
      <c r="X160" s="530">
        <v>0</v>
      </c>
      <c r="Y160" s="378"/>
      <c r="Z160" s="530">
        <v>0</v>
      </c>
      <c r="AA160" s="530">
        <v>-3000</v>
      </c>
      <c r="AB160" s="530">
        <v>-500</v>
      </c>
      <c r="AC160" s="530">
        <v>0</v>
      </c>
      <c r="AD160" s="378"/>
      <c r="AE160" s="531">
        <v>-1000</v>
      </c>
      <c r="AF160" s="531">
        <v>-1000</v>
      </c>
      <c r="AG160" s="531">
        <v>-1000</v>
      </c>
      <c r="AH160" s="16"/>
      <c r="AI160" s="16"/>
    </row>
    <row r="161" ht="12.75" customHeight="1" spans="1:35" x14ac:dyDescent="0.25">
      <c r="A161" s="16"/>
      <c r="B161" s="16"/>
      <c r="C161" s="139"/>
      <c r="D161" s="16"/>
      <c r="E161" s="16"/>
      <c r="F161" s="377"/>
      <c r="G161" s="377"/>
      <c r="H161" s="377"/>
      <c r="I161" s="377"/>
      <c r="J161" s="378"/>
      <c r="K161" s="377"/>
      <c r="L161" s="377"/>
      <c r="M161" s="377"/>
      <c r="N161" s="377"/>
      <c r="O161" s="378"/>
      <c r="P161" s="377"/>
      <c r="Q161" s="377"/>
      <c r="R161" s="377"/>
      <c r="S161" s="377"/>
      <c r="T161" s="378"/>
      <c r="U161" s="377"/>
      <c r="V161" s="377"/>
      <c r="W161" s="377"/>
      <c r="X161" s="530"/>
      <c r="Y161" s="378"/>
      <c r="Z161" s="530"/>
      <c r="AA161" s="530"/>
      <c r="AB161" s="530"/>
      <c r="AC161" s="530"/>
      <c r="AD161" s="378"/>
      <c r="AE161" s="531"/>
      <c r="AF161" s="531"/>
      <c r="AG161" s="531"/>
      <c r="AH161" s="16"/>
      <c r="AI161" s="16"/>
    </row>
    <row r="162" ht="12.75" customHeight="1" spans="1:35" x14ac:dyDescent="0.25">
      <c r="A162" s="16"/>
      <c r="B162" s="16"/>
      <c r="C162" s="350" t="s">
        <v>494</v>
      </c>
      <c r="D162" s="373"/>
      <c r="E162" s="373"/>
      <c r="F162" s="351" t="str">
        <f ca="1">Model!F$25</f>
        <v>1Q23</v>
      </c>
      <c r="G162" s="194" t="str">
        <f ca="1">Model!G$25</f>
        <v>2Q23</v>
      </c>
      <c r="H162" s="194" t="str">
        <f ca="1">Model!H$25</f>
        <v>3Q23</v>
      </c>
      <c r="I162" s="194" t="str">
        <f ca="1">Model!I$25</f>
        <v>4Q23</v>
      </c>
      <c r="J162" s="194">
        <f ca="1">Model!J$25</f>
        <v>2023</v>
      </c>
      <c r="K162" s="194" t="str">
        <f ca="1">Model!K$25</f>
        <v>1Q24</v>
      </c>
      <c r="L162" s="194" t="str">
        <f ca="1">Model!L$25</f>
        <v>2Q24</v>
      </c>
      <c r="M162" s="194" t="str">
        <f ca="1">Model!M$25</f>
        <v>3Q24</v>
      </c>
      <c r="N162" s="194" t="str">
        <f ca="1">Model!N$25</f>
        <v>4Q24</v>
      </c>
      <c r="O162" s="194">
        <f ca="1">Model!O$25</f>
        <v>2024</v>
      </c>
      <c r="P162" s="194" t="str">
        <f ca="1">Model!P$25</f>
        <v>1Q25</v>
      </c>
      <c r="Q162" s="194" t="str">
        <f ca="1">Model!Q$25</f>
        <v>2Q25</v>
      </c>
      <c r="R162" s="194" t="str">
        <f ca="1">Model!R$25</f>
        <v>3Q25</v>
      </c>
      <c r="S162" s="194" t="str">
        <f ca="1">Model!S$25</f>
        <v>4Q25</v>
      </c>
      <c r="T162" s="194">
        <f ca="1">Model!T$25</f>
        <v>2025</v>
      </c>
      <c r="U162" s="194" t="str">
        <f ca="1">Model!U$25</f>
        <v>1Q26</v>
      </c>
      <c r="V162" s="194" t="str">
        <f ca="1">Model!V$25</f>
        <v>2Q26</v>
      </c>
      <c r="W162" s="194" t="str">
        <f ca="1">Model!W$25</f>
        <v>3Q26e</v>
      </c>
      <c r="X162" s="194" t="str">
        <f ca="1">Model!X$25</f>
        <v>4Q26e</v>
      </c>
      <c r="Y162" s="194" t="str">
        <f ca="1">Model!Y$25</f>
        <v>2026e</v>
      </c>
      <c r="Z162" s="194" t="str">
        <f ca="1">Model!Z$25</f>
        <v>1Q27e</v>
      </c>
      <c r="AA162" s="194" t="str">
        <f ca="1">Model!AA$25</f>
        <v>2Q27e</v>
      </c>
      <c r="AB162" s="194" t="str">
        <f ca="1">Model!AB$25</f>
        <v>3Q27e</v>
      </c>
      <c r="AC162" s="194" t="str">
        <f ca="1">Model!AC$25</f>
        <v>4Q27e</v>
      </c>
      <c r="AD162" s="194" t="str">
        <f ca="1">Model!AD$25</f>
        <v>2027e</v>
      </c>
      <c r="AE162" s="194" t="str">
        <f ca="1">Model!AE$25</f>
        <v>2028e</v>
      </c>
      <c r="AF162" s="194" t="str">
        <f ca="1">Model!AF$25</f>
        <v>2029e</v>
      </c>
      <c r="AG162" s="352" t="str">
        <f ca="1">Model!AG$25</f>
        <v>2030e</v>
      </c>
      <c r="AH162" s="16"/>
      <c r="AI162" s="16"/>
    </row>
    <row r="163" ht="12.75" customHeight="1" spans="1:35" x14ac:dyDescent="0.25">
      <c r="A163" s="16"/>
      <c r="B163" s="16"/>
      <c r="C163" s="512" t="s">
        <v>495</v>
      </c>
      <c r="D163" s="513"/>
      <c r="E163" s="513"/>
      <c r="F163" s="514"/>
      <c r="G163" s="515"/>
      <c r="H163" s="515"/>
      <c r="I163" s="515"/>
      <c r="J163" s="515"/>
      <c r="K163" s="515"/>
      <c r="L163" s="515"/>
      <c r="M163" s="515"/>
      <c r="N163" s="515"/>
      <c r="O163" s="515"/>
      <c r="P163" s="515"/>
      <c r="Q163" s="515"/>
      <c r="R163" s="515"/>
      <c r="S163" s="515"/>
      <c r="T163" s="515"/>
      <c r="U163" s="515"/>
      <c r="V163" s="515"/>
      <c r="W163" s="515"/>
      <c r="X163" s="515"/>
      <c r="Y163" s="515"/>
      <c r="Z163" s="515"/>
      <c r="AA163" s="515"/>
      <c r="AB163" s="515"/>
      <c r="AC163" s="515"/>
      <c r="AD163" s="515"/>
      <c r="AE163" s="515"/>
      <c r="AF163" s="515"/>
      <c r="AG163" s="516"/>
      <c r="AH163" s="16"/>
      <c r="AI163" s="16"/>
    </row>
    <row r="164" ht="12.75" customHeight="1" spans="1:35" x14ac:dyDescent="0.25">
      <c r="A164" s="16"/>
      <c r="B164" s="16"/>
      <c r="C164" s="139"/>
      <c r="D164" s="16"/>
      <c r="E164" s="16"/>
      <c r="F164" s="377"/>
      <c r="G164" s="377"/>
      <c r="H164" s="377"/>
      <c r="I164" s="377"/>
      <c r="J164" s="378"/>
      <c r="K164" s="377"/>
      <c r="L164" s="377"/>
      <c r="M164" s="377"/>
      <c r="N164" s="377"/>
      <c r="O164" s="378"/>
      <c r="P164" s="377"/>
      <c r="Q164" s="377"/>
      <c r="R164" s="377"/>
      <c r="S164" s="377"/>
      <c r="T164" s="378"/>
      <c r="U164" s="377"/>
      <c r="V164" s="377"/>
      <c r="W164" s="377"/>
      <c r="X164" s="530"/>
      <c r="Y164" s="378"/>
      <c r="Z164" s="530"/>
      <c r="AA164" s="530"/>
      <c r="AB164" s="530"/>
      <c r="AC164" s="530"/>
      <c r="AD164" s="378"/>
      <c r="AE164" s="531"/>
      <c r="AF164" s="531"/>
      <c r="AG164" s="531"/>
      <c r="AH164" s="16"/>
      <c r="AI164" s="16"/>
    </row>
    <row r="165" ht="12.75" customHeight="1" spans="1:35" x14ac:dyDescent="0.25">
      <c r="A165" s="16"/>
      <c r="B165" s="16"/>
      <c r="C165" s="16" t="str">
        <f ca="1">Model!C272</f>
        <v>Share Repurchase Guidance</v>
      </c>
      <c r="D165" s="16"/>
      <c r="E165" s="16"/>
      <c r="F165" s="353">
        <f ca="1">Model!F272</f>
        <v>728</v>
      </c>
      <c r="G165" s="353">
        <f ca="1">Model!G272</f>
        <v>1118</v>
      </c>
      <c r="H165" s="353">
        <f ca="1">Model!H272</f>
        <v>652</v>
      </c>
      <c r="I165" s="353">
        <f ca="1">Model!I272</f>
        <v>539</v>
      </c>
      <c r="J165" s="282">
        <f ca="1">Model!J272</f>
        <v>3037</v>
      </c>
      <c r="K165" s="353">
        <f ca="1">Model!K272</f>
        <v>826</v>
      </c>
      <c r="L165" s="353">
        <f ca="1">Model!L272</f>
        <v>1944</v>
      </c>
      <c r="M165" s="353">
        <f ca="1">Model!M272</f>
        <v>879</v>
      </c>
      <c r="N165" s="353">
        <f ca="1">Model!N272</f>
        <v>664</v>
      </c>
      <c r="O165" s="282">
        <f ca="1">Model!O272</f>
        <v>4313</v>
      </c>
      <c r="P165" s="353">
        <f ca="1">Model!P272</f>
        <v>966</v>
      </c>
      <c r="Q165" s="353">
        <f ca="1">Model!Q272</f>
        <v>1e-12</v>
      </c>
      <c r="R165" s="353">
        <f ca="1">Model!R272</f>
        <v>562</v>
      </c>
      <c r="S165" s="353">
        <f ca="1">Model!S272</f>
        <v>3443</v>
      </c>
      <c r="T165" s="282">
        <f ca="1">Model!T272</f>
        <v>4971</v>
      </c>
      <c r="U165" s="353">
        <f ca="1">Model!U272</f>
        <v>3038</v>
      </c>
      <c r="V165" s="353">
        <f ca="1">Model!V272</f>
        <v>3136</v>
      </c>
      <c r="W165" s="353">
        <f ca="1">Model!W272</f>
        <v>2825</v>
      </c>
      <c r="X165" s="525">
        <f ca="1">IF(Case_Scenario="Bull",X166,IF(Case_Scenario="Base",X167,IF(Case_Scenario="bear",X168,"N/A")))</f>
        <v>500</v>
      </c>
      <c r="Y165" s="282">
        <f ca="1">SUM(U165:X165)</f>
        <v>9499</v>
      </c>
      <c r="Z165" s="525">
        <f ca="1">IF(Case_Scenario="Bull",Z166,IF(Case_Scenario="Base",Z167,IF(Case_Scenario="bear",Z168,"N/A")))</f>
        <v>500</v>
      </c>
      <c r="AA165" s="525">
        <f ca="1">IF(Case_Scenario="Bull",AA166,IF(Case_Scenario="Base",AA167,IF(Case_Scenario="bear",AA168,"N/A")))</f>
        <v>500</v>
      </c>
      <c r="AB165" s="525">
        <f ca="1">IF(Case_Scenario="Bull",AB166,IF(Case_Scenario="Base",AB167,IF(Case_Scenario="bear",AB168,"N/A")))</f>
        <v>500</v>
      </c>
      <c r="AC165" s="525">
        <f ca="1">IF(Case_Scenario="Bull",AC166,IF(Case_Scenario="Base",AC167,IF(Case_Scenario="bear",AC168,"N/A")))</f>
        <v>500</v>
      </c>
      <c r="AD165" s="282">
        <f ca="1">SUM(Z165:AC165)</f>
        <v>2000</v>
      </c>
      <c r="AE165" s="287">
        <f ca="1">IF(Case_Scenario="Bull",AE166,IF(Case_Scenario="Base",AE167,IF(Case_Scenario="bear",AE168,"N/A")))</f>
        <v>3000</v>
      </c>
      <c r="AF165" s="287">
        <f ca="1">IF(Case_Scenario="Bull",AF166,IF(Case_Scenario="Base",AF167,IF(Case_Scenario="bear",AF168,"N/A")))</f>
        <v>3000</v>
      </c>
      <c r="AG165" s="287">
        <f ca="1">IF(Case_Scenario="Bull",AG166,IF(Case_Scenario="Base",AG167,IF(Case_Scenario="bear",AG168,"N/A")))</f>
        <v>3000</v>
      </c>
      <c r="AH165" s="16"/>
      <c r="AI165" s="16"/>
    </row>
    <row r="166" ht="12.75" customHeight="1" spans="1:35" x14ac:dyDescent="0.25">
      <c r="A166" s="16"/>
      <c r="B166" s="16"/>
      <c r="C166" s="139" t="s">
        <v>251</v>
      </c>
      <c r="D166" s="16"/>
      <c r="E166" s="16"/>
      <c r="F166" s="377"/>
      <c r="G166" s="377"/>
      <c r="H166" s="377"/>
      <c r="I166" s="377"/>
      <c r="J166" s="378"/>
      <c r="K166" s="377"/>
      <c r="L166" s="377"/>
      <c r="M166" s="377"/>
      <c r="N166" s="377"/>
      <c r="O166" s="378"/>
      <c r="P166" s="377"/>
      <c r="Q166" s="377"/>
      <c r="R166" s="377"/>
      <c r="S166" s="377"/>
      <c r="T166" s="378"/>
      <c r="U166" s="377"/>
      <c r="V166" s="377"/>
      <c r="W166" s="377"/>
      <c r="X166" s="527">
        <v>1000</v>
      </c>
      <c r="Y166" s="378"/>
      <c r="Z166" s="527">
        <v>1000</v>
      </c>
      <c r="AA166" s="527">
        <v>800</v>
      </c>
      <c r="AB166" s="527">
        <v>500</v>
      </c>
      <c r="AC166" s="527">
        <v>1000</v>
      </c>
      <c r="AD166" s="378"/>
      <c r="AE166" s="531">
        <v>3500</v>
      </c>
      <c r="AF166" s="531">
        <v>3500</v>
      </c>
      <c r="AG166" s="531">
        <v>3500</v>
      </c>
      <c r="AH166" s="16"/>
      <c r="AI166" s="16"/>
    </row>
    <row r="167" ht="12.75" customHeight="1" spans="1:35" x14ac:dyDescent="0.25">
      <c r="A167" s="16"/>
      <c r="B167" s="16"/>
      <c r="C167" s="139" t="s">
        <v>252</v>
      </c>
      <c r="D167" s="16"/>
      <c r="E167" s="16"/>
      <c r="F167" s="377"/>
      <c r="G167" s="377"/>
      <c r="H167" s="377"/>
      <c r="I167" s="377"/>
      <c r="J167" s="378"/>
      <c r="K167" s="377"/>
      <c r="L167" s="377"/>
      <c r="M167" s="377"/>
      <c r="N167" s="377"/>
      <c r="O167" s="378"/>
      <c r="P167" s="377"/>
      <c r="Q167" s="377"/>
      <c r="R167" s="377"/>
      <c r="S167" s="377"/>
      <c r="T167" s="378"/>
      <c r="U167" s="377"/>
      <c r="V167" s="377"/>
      <c r="W167" s="377"/>
      <c r="X167" s="527">
        <v>500</v>
      </c>
      <c r="Y167" s="378"/>
      <c r="Z167" s="527">
        <v>500</v>
      </c>
      <c r="AA167" s="527">
        <v>500</v>
      </c>
      <c r="AB167" s="527">
        <v>500</v>
      </c>
      <c r="AC167" s="527">
        <v>500</v>
      </c>
      <c r="AD167" s="378"/>
      <c r="AE167" s="531">
        <v>3000</v>
      </c>
      <c r="AF167" s="531">
        <v>3000</v>
      </c>
      <c r="AG167" s="531">
        <v>3000</v>
      </c>
      <c r="AH167" s="16"/>
      <c r="AI167" s="16"/>
    </row>
    <row r="168" ht="12.75" customHeight="1" spans="1:35" x14ac:dyDescent="0.25">
      <c r="A168" s="16"/>
      <c r="B168" s="16"/>
      <c r="C168" s="139" t="s">
        <v>253</v>
      </c>
      <c r="D168" s="16"/>
      <c r="E168" s="16"/>
      <c r="F168" s="377"/>
      <c r="G168" s="377"/>
      <c r="H168" s="377"/>
      <c r="I168" s="377"/>
      <c r="J168" s="378"/>
      <c r="K168" s="377"/>
      <c r="L168" s="377"/>
      <c r="M168" s="377"/>
      <c r="N168" s="377"/>
      <c r="O168" s="378"/>
      <c r="P168" s="377"/>
      <c r="Q168" s="377"/>
      <c r="R168" s="377"/>
      <c r="S168" s="377"/>
      <c r="T168" s="378"/>
      <c r="U168" s="377"/>
      <c r="V168" s="377"/>
      <c r="W168" s="377"/>
      <c r="X168" s="527">
        <v>500</v>
      </c>
      <c r="Y168" s="378"/>
      <c r="Z168" s="527">
        <v>0</v>
      </c>
      <c r="AA168" s="527">
        <v>0</v>
      </c>
      <c r="AB168" s="527">
        <v>500</v>
      </c>
      <c r="AC168" s="527">
        <v>500</v>
      </c>
      <c r="AD168" s="378"/>
      <c r="AE168" s="531">
        <v>1000</v>
      </c>
      <c r="AF168" s="531">
        <v>1000</v>
      </c>
      <c r="AG168" s="531">
        <v>1000</v>
      </c>
      <c r="AH168" s="16"/>
      <c r="AI168" s="16"/>
    </row>
    <row r="169" ht="12.75" customHeight="1" spans="1:35" x14ac:dyDescent="0.25">
      <c r="A169" s="16"/>
      <c r="B169" s="16"/>
      <c r="C169" s="16"/>
      <c r="D169" s="16"/>
      <c r="E169" s="16"/>
      <c r="F169" s="397"/>
      <c r="G169" s="397"/>
      <c r="H169" s="397"/>
      <c r="I169" s="397"/>
      <c r="J169" s="398"/>
      <c r="K169" s="397"/>
      <c r="L169" s="397"/>
      <c r="M169" s="397"/>
      <c r="N169" s="397"/>
      <c r="O169" s="398"/>
      <c r="P169" s="397"/>
      <c r="Q169" s="397"/>
      <c r="R169" s="397"/>
      <c r="S169" s="397"/>
      <c r="T169" s="398"/>
      <c r="U169" s="397"/>
      <c r="V169" s="397"/>
      <c r="W169" s="397"/>
      <c r="X169" s="527"/>
      <c r="Y169" s="342"/>
      <c r="Z169" s="341"/>
      <c r="AA169" s="341"/>
      <c r="AB169" s="341"/>
      <c r="AC169" s="341"/>
      <c r="AD169" s="16"/>
      <c r="AE169" s="342"/>
      <c r="AF169" s="342"/>
      <c r="AG169" s="342"/>
      <c r="AH169" s="16"/>
      <c r="AI169" s="16"/>
    </row>
    <row r="170" ht="12.75" customHeight="1" spans="1:35" x14ac:dyDescent="0.25">
      <c r="A170" s="16"/>
      <c r="B170" s="16"/>
      <c r="C170" s="62" t="s">
        <v>262</v>
      </c>
      <c r="D170" s="19"/>
      <c r="E170" s="19"/>
      <c r="F170" s="313"/>
      <c r="G170" s="63"/>
      <c r="H170" s="63"/>
      <c r="I170" s="63"/>
      <c r="J170" s="63"/>
      <c r="K170" s="63"/>
      <c r="L170" s="63"/>
      <c r="M170" s="63"/>
      <c r="N170" s="63"/>
      <c r="O170" s="63"/>
      <c r="P170" s="63"/>
      <c r="Q170" s="63"/>
      <c r="R170" s="63"/>
      <c r="S170" s="63"/>
      <c r="T170" s="63"/>
      <c r="U170" s="63"/>
      <c r="V170" s="63"/>
      <c r="W170" s="63"/>
      <c r="X170" s="63"/>
      <c r="Y170" s="63"/>
      <c r="Z170" s="63"/>
      <c r="AA170" s="63"/>
      <c r="AB170" s="63"/>
      <c r="AC170" s="63"/>
      <c r="AD170" s="63"/>
      <c r="AE170" s="63"/>
      <c r="AF170" s="63"/>
      <c r="AG170" s="64"/>
      <c r="AH170" s="16"/>
      <c r="AI170" s="16"/>
    </row>
    <row r="171" ht="12.75" customHeight="1" spans="1:35" x14ac:dyDescent="0.25">
      <c r="A171" s="16"/>
      <c r="B171" s="16"/>
      <c r="C171" s="16"/>
      <c r="D171" s="16"/>
      <c r="E171" s="16"/>
      <c r="F171" s="16"/>
      <c r="G171" s="16"/>
      <c r="H171" s="16"/>
      <c r="I171" s="16"/>
      <c r="J171" s="16"/>
      <c r="K171" s="16"/>
      <c r="L171" s="16"/>
      <c r="M171" s="16"/>
      <c r="N171" s="16"/>
      <c r="O171" s="16"/>
      <c r="P171" s="16"/>
      <c r="Q171" s="16"/>
      <c r="R171" s="16"/>
      <c r="S171" s="16"/>
      <c r="T171" s="16"/>
      <c r="U171" s="16"/>
      <c r="V171" s="16"/>
      <c r="W171" s="16"/>
      <c r="X171" s="16"/>
      <c r="Y171" s="16"/>
      <c r="Z171" s="16"/>
      <c r="AA171" s="16"/>
      <c r="AB171" s="16"/>
      <c r="AC171" s="16"/>
      <c r="AD171" s="16"/>
      <c r="AE171" s="16"/>
      <c r="AF171" s="16"/>
      <c r="AG171" s="16"/>
      <c r="AH171" s="16"/>
      <c r="AI171" s="16"/>
    </row>
    <row r="172" ht="12.75" customHeight="1" spans="1:35" x14ac:dyDescent="0.25">
      <c r="A172" s="16"/>
      <c r="B172" s="16"/>
      <c r="C172" s="16"/>
      <c r="D172" s="16"/>
      <c r="E172" s="16"/>
      <c r="F172" s="16"/>
      <c r="G172" s="16"/>
      <c r="H172" s="16"/>
      <c r="I172" s="16"/>
      <c r="J172" s="16"/>
      <c r="K172" s="16"/>
      <c r="L172" s="16"/>
      <c r="M172" s="16"/>
      <c r="N172" s="16"/>
      <c r="O172" s="16"/>
      <c r="P172" s="16"/>
      <c r="Q172" s="16"/>
      <c r="R172" s="16"/>
      <c r="S172" s="16"/>
      <c r="T172" s="16"/>
      <c r="U172" s="16"/>
      <c r="V172" s="16"/>
      <c r="W172" s="16"/>
      <c r="X172" s="16"/>
      <c r="Y172" s="16"/>
      <c r="Z172" s="16"/>
      <c r="AA172" s="16"/>
      <c r="AB172" s="16"/>
      <c r="AC172" s="16"/>
      <c r="AD172" s="16"/>
      <c r="AE172" s="16"/>
      <c r="AF172" s="16"/>
      <c r="AG172" s="16"/>
      <c r="AH172" s="16"/>
      <c r="AI172" s="16"/>
    </row>
    <row r="173" ht="12.75" customHeight="1" spans="1:35" x14ac:dyDescent="0.25">
      <c r="A173" s="16"/>
      <c r="B173" s="16"/>
      <c r="C173" s="16"/>
      <c r="D173" s="16"/>
      <c r="E173" s="16"/>
      <c r="F173" s="16"/>
      <c r="G173" s="16"/>
      <c r="H173" s="16"/>
      <c r="I173" s="16"/>
      <c r="J173" s="16"/>
      <c r="K173" s="16"/>
      <c r="L173" s="16"/>
      <c r="M173" s="16"/>
      <c r="N173" s="16"/>
      <c r="O173" s="16"/>
      <c r="P173" s="16"/>
      <c r="Q173" s="16"/>
      <c r="R173" s="16"/>
      <c r="S173" s="16"/>
      <c r="T173" s="16"/>
      <c r="U173" s="16"/>
      <c r="V173" s="16"/>
      <c r="W173" s="16"/>
      <c r="X173" s="16"/>
      <c r="Y173" s="16"/>
      <c r="Z173" s="16"/>
      <c r="AA173" s="16"/>
      <c r="AB173" s="16"/>
      <c r="AC173" s="16"/>
      <c r="AD173" s="16"/>
      <c r="AE173" s="16"/>
      <c r="AF173" s="16"/>
      <c r="AG173" s="16"/>
      <c r="AH173" s="16"/>
      <c r="AI173" s="16"/>
    </row>
    <row r="174" ht="12.75" customHeight="1" spans="1:35" x14ac:dyDescent="0.25">
      <c r="A174" s="16"/>
      <c r="B174" s="16"/>
      <c r="C174" s="16"/>
      <c r="D174" s="16"/>
      <c r="E174" s="16"/>
      <c r="F174" s="16"/>
      <c r="G174" s="16"/>
      <c r="H174" s="16"/>
      <c r="I174" s="16"/>
      <c r="J174" s="16"/>
      <c r="K174" s="16"/>
      <c r="L174" s="16"/>
      <c r="M174" s="16"/>
      <c r="N174" s="16"/>
      <c r="O174" s="16"/>
      <c r="P174" s="16"/>
      <c r="Q174" s="16"/>
      <c r="R174" s="16"/>
      <c r="S174" s="16"/>
      <c r="T174" s="16"/>
      <c r="U174" s="16"/>
      <c r="V174" s="16"/>
      <c r="W174" s="16"/>
      <c r="X174" s="16"/>
      <c r="Y174" s="16"/>
      <c r="Z174" s="16"/>
      <c r="AA174" s="16"/>
      <c r="AB174" s="16"/>
      <c r="AC174" s="16"/>
      <c r="AD174" s="16"/>
      <c r="AE174" s="16"/>
      <c r="AF174" s="16"/>
      <c r="AG174" s="16"/>
      <c r="AH174" s="16"/>
      <c r="AI174" s="16"/>
    </row>
    <row r="175" ht="12.75" customHeight="1" spans="1:35" x14ac:dyDescent="0.25">
      <c r="A175" s="16"/>
      <c r="B175" s="16"/>
      <c r="C175" s="16"/>
      <c r="D175" s="16"/>
      <c r="E175" s="16"/>
      <c r="F175" s="16"/>
      <c r="G175" s="16"/>
      <c r="H175" s="16"/>
      <c r="I175" s="16"/>
      <c r="J175" s="16"/>
      <c r="K175" s="16"/>
      <c r="L175" s="16"/>
      <c r="M175" s="16"/>
      <c r="N175" s="16"/>
      <c r="O175" s="16"/>
      <c r="P175" s="16"/>
      <c r="Q175" s="16"/>
      <c r="R175" s="16"/>
      <c r="S175" s="16"/>
      <c r="T175" s="16"/>
      <c r="U175" s="16"/>
      <c r="V175" s="16"/>
      <c r="W175" s="16"/>
      <c r="X175" s="16"/>
      <c r="Y175" s="16"/>
      <c r="Z175" s="16"/>
      <c r="AA175" s="16"/>
      <c r="AB175" s="16"/>
      <c r="AC175" s="16"/>
      <c r="AD175" s="16"/>
      <c r="AE175" s="16"/>
      <c r="AF175" s="16"/>
      <c r="AG175" s="16"/>
      <c r="AH175" s="16"/>
      <c r="AI175" s="16"/>
    </row>
    <row r="176" ht="12.75" customHeight="1" spans="1:35" x14ac:dyDescent="0.25">
      <c r="A176" s="16"/>
      <c r="B176" s="16"/>
      <c r="C176" s="16"/>
      <c r="D176" s="16"/>
      <c r="E176" s="16"/>
      <c r="F176" s="16"/>
      <c r="G176" s="16"/>
      <c r="H176" s="16"/>
      <c r="I176" s="16"/>
      <c r="J176" s="16"/>
      <c r="K176" s="16"/>
      <c r="L176" s="16"/>
      <c r="M176" s="16"/>
      <c r="N176" s="16"/>
      <c r="O176" s="16"/>
      <c r="P176" s="16"/>
      <c r="Q176" s="16"/>
      <c r="R176" s="16"/>
      <c r="S176" s="16"/>
      <c r="T176" s="16"/>
      <c r="U176" s="16"/>
      <c r="V176" s="16"/>
      <c r="W176" s="16"/>
      <c r="X176" s="16"/>
      <c r="Y176" s="16"/>
      <c r="Z176" s="16"/>
      <c r="AA176" s="16"/>
      <c r="AB176" s="16"/>
      <c r="AC176" s="16"/>
      <c r="AD176" s="16"/>
      <c r="AE176" s="16"/>
      <c r="AF176" s="16"/>
      <c r="AG176" s="16"/>
      <c r="AH176" s="16"/>
      <c r="AI176" s="16"/>
    </row>
    <row r="177" ht="12.75" customHeight="1" spans="1:35" x14ac:dyDescent="0.25">
      <c r="A177" s="16"/>
      <c r="B177" s="16"/>
      <c r="C177" s="16"/>
      <c r="D177" s="16"/>
      <c r="E177" s="16"/>
      <c r="F177" s="16"/>
      <c r="G177" s="16"/>
      <c r="H177" s="16"/>
      <c r="I177" s="16"/>
      <c r="J177" s="16"/>
      <c r="K177" s="16"/>
      <c r="L177" s="16"/>
      <c r="M177" s="16"/>
      <c r="N177" s="16"/>
      <c r="O177" s="16"/>
      <c r="P177" s="16"/>
      <c r="Q177" s="16"/>
      <c r="R177" s="16"/>
      <c r="S177" s="16"/>
      <c r="T177" s="16"/>
      <c r="U177" s="16"/>
      <c r="V177" s="16"/>
      <c r="W177" s="16"/>
      <c r="X177" s="16"/>
      <c r="Y177" s="16"/>
      <c r="Z177" s="16"/>
      <c r="AA177" s="16"/>
      <c r="AB177" s="16"/>
      <c r="AC177" s="16"/>
      <c r="AD177" s="16"/>
      <c r="AE177" s="16"/>
      <c r="AF177" s="16"/>
      <c r="AG177" s="16"/>
      <c r="AH177" s="16"/>
      <c r="AI177" s="16"/>
    </row>
    <row r="178" ht="12.75" customHeight="1" spans="1:35" x14ac:dyDescent="0.25">
      <c r="A178" s="16"/>
      <c r="B178" s="16"/>
      <c r="C178" s="16"/>
      <c r="D178" s="16"/>
      <c r="E178" s="16"/>
      <c r="F178" s="16"/>
      <c r="G178" s="16"/>
      <c r="H178" s="16"/>
      <c r="I178" s="16"/>
      <c r="J178" s="16"/>
      <c r="K178" s="16"/>
      <c r="L178" s="16"/>
      <c r="M178" s="16"/>
      <c r="N178" s="16"/>
      <c r="O178" s="16"/>
      <c r="P178" s="16"/>
      <c r="Q178" s="16"/>
      <c r="R178" s="16"/>
      <c r="S178" s="16"/>
      <c r="T178" s="16"/>
      <c r="U178" s="16"/>
      <c r="V178" s="16"/>
      <c r="W178" s="16"/>
      <c r="X178" s="16"/>
      <c r="Y178" s="16"/>
      <c r="Z178" s="16"/>
      <c r="AA178" s="16"/>
      <c r="AB178" s="16"/>
      <c r="AC178" s="16"/>
      <c r="AD178" s="16"/>
      <c r="AE178" s="16"/>
      <c r="AF178" s="16"/>
      <c r="AG178" s="16"/>
      <c r="AH178" s="16"/>
      <c r="AI178" s="16"/>
    </row>
    <row r="179" ht="12.75" customHeight="1" spans="1:35" x14ac:dyDescent="0.25">
      <c r="A179" s="16"/>
      <c r="B179" s="16"/>
      <c r="C179" s="16"/>
      <c r="D179" s="16"/>
      <c r="E179" s="16"/>
      <c r="F179" s="16"/>
      <c r="G179" s="16"/>
      <c r="H179" s="16"/>
      <c r="I179" s="16"/>
      <c r="J179" s="16"/>
      <c r="K179" s="16"/>
      <c r="L179" s="16"/>
      <c r="M179" s="16"/>
      <c r="N179" s="16"/>
      <c r="O179" s="16"/>
      <c r="P179" s="16"/>
      <c r="Q179" s="16"/>
      <c r="R179" s="16"/>
      <c r="S179" s="16"/>
      <c r="T179" s="16"/>
      <c r="U179" s="16"/>
      <c r="V179" s="16"/>
      <c r="W179" s="16"/>
      <c r="X179" s="16"/>
      <c r="Y179" s="16"/>
      <c r="Z179" s="16"/>
      <c r="AA179" s="16"/>
      <c r="AB179" s="16"/>
      <c r="AC179" s="16"/>
      <c r="AD179" s="16"/>
      <c r="AE179" s="16"/>
      <c r="AF179" s="16"/>
      <c r="AG179" s="16"/>
      <c r="AH179" s="16"/>
      <c r="AI179" s="16"/>
    </row>
    <row r="180" ht="12.75" customHeight="1" spans="1:35" x14ac:dyDescent="0.25">
      <c r="A180" s="16"/>
      <c r="B180" s="16"/>
      <c r="C180" s="16"/>
      <c r="D180" s="16"/>
      <c r="E180" s="16"/>
      <c r="F180" s="16"/>
      <c r="G180" s="16"/>
      <c r="H180" s="16"/>
      <c r="I180" s="16"/>
      <c r="J180" s="16"/>
      <c r="K180" s="16"/>
      <c r="L180" s="16"/>
      <c r="M180" s="16"/>
      <c r="N180" s="16"/>
      <c r="O180" s="16"/>
      <c r="P180" s="16"/>
      <c r="Q180" s="16"/>
      <c r="R180" s="16"/>
      <c r="S180" s="16"/>
      <c r="T180" s="16"/>
      <c r="U180" s="16"/>
      <c r="V180" s="16"/>
      <c r="W180" s="16"/>
      <c r="X180" s="16"/>
      <c r="Y180" s="16"/>
      <c r="Z180" s="16"/>
      <c r="AA180" s="16"/>
      <c r="AB180" s="16"/>
      <c r="AC180" s="16"/>
      <c r="AD180" s="16"/>
      <c r="AE180" s="16"/>
      <c r="AF180" s="16"/>
      <c r="AG180" s="16"/>
      <c r="AH180" s="16"/>
      <c r="AI180" s="16"/>
    </row>
    <row r="181" ht="12.75" customHeight="1" spans="1:35" x14ac:dyDescent="0.25">
      <c r="A181" s="16"/>
      <c r="B181" s="16"/>
      <c r="C181" s="16"/>
      <c r="D181" s="16"/>
      <c r="E181" s="16"/>
      <c r="F181" s="16"/>
      <c r="G181" s="16"/>
      <c r="H181" s="16"/>
      <c r="I181" s="16"/>
      <c r="J181" s="16"/>
      <c r="K181" s="16"/>
      <c r="L181" s="16"/>
      <c r="M181" s="16"/>
      <c r="N181" s="16"/>
      <c r="O181" s="16"/>
      <c r="P181" s="16"/>
      <c r="Q181" s="16"/>
      <c r="R181" s="16"/>
      <c r="S181" s="16"/>
      <c r="T181" s="16"/>
      <c r="U181" s="16"/>
      <c r="V181" s="16"/>
      <c r="W181" s="16"/>
      <c r="X181" s="16"/>
      <c r="Y181" s="16"/>
      <c r="Z181" s="16"/>
      <c r="AA181" s="16"/>
      <c r="AB181" s="16"/>
      <c r="AC181" s="16"/>
      <c r="AD181" s="16"/>
      <c r="AE181" s="16"/>
      <c r="AF181" s="16"/>
      <c r="AG181" s="16"/>
      <c r="AH181" s="16"/>
      <c r="AI181" s="16"/>
    </row>
    <row r="182" ht="12.75" customHeight="1" spans="1:35" x14ac:dyDescent="0.25">
      <c r="A182" s="16"/>
      <c r="B182" s="16"/>
      <c r="C182" s="16"/>
      <c r="D182" s="16"/>
      <c r="E182" s="16"/>
      <c r="F182" s="16"/>
      <c r="G182" s="16"/>
      <c r="H182" s="16"/>
      <c r="I182" s="16"/>
      <c r="J182" s="16"/>
      <c r="K182" s="16"/>
      <c r="L182" s="16"/>
      <c r="M182" s="16"/>
      <c r="N182" s="16"/>
      <c r="O182" s="16"/>
      <c r="P182" s="16"/>
      <c r="Q182" s="16"/>
      <c r="R182" s="16"/>
      <c r="S182" s="16"/>
      <c r="T182" s="16"/>
      <c r="U182" s="16"/>
      <c r="V182" s="16"/>
      <c r="W182" s="16"/>
      <c r="X182" s="16"/>
      <c r="Y182" s="16"/>
      <c r="Z182" s="16"/>
      <c r="AA182" s="16"/>
      <c r="AB182" s="16"/>
      <c r="AC182" s="16"/>
      <c r="AD182" s="16"/>
      <c r="AE182" s="16"/>
      <c r="AF182" s="16"/>
      <c r="AG182" s="16"/>
      <c r="AH182" s="16"/>
      <c r="AI182" s="16"/>
    </row>
    <row r="183" ht="12.75" customHeight="1" spans="1:35" x14ac:dyDescent="0.25">
      <c r="A183" s="16"/>
      <c r="B183" s="16"/>
      <c r="C183" s="16"/>
      <c r="D183" s="16"/>
      <c r="E183" s="16"/>
      <c r="F183" s="16"/>
      <c r="G183" s="16"/>
      <c r="H183" s="16"/>
      <c r="I183" s="16"/>
      <c r="J183" s="16"/>
      <c r="K183" s="16"/>
      <c r="L183" s="16"/>
      <c r="M183" s="16"/>
      <c r="N183" s="16"/>
      <c r="O183" s="16"/>
      <c r="P183" s="16"/>
      <c r="Q183" s="16"/>
      <c r="R183" s="16"/>
      <c r="S183" s="16"/>
      <c r="T183" s="16"/>
      <c r="U183" s="16"/>
      <c r="V183" s="16"/>
      <c r="W183" s="16"/>
      <c r="X183" s="16"/>
      <c r="Y183" s="16"/>
      <c r="Z183" s="16"/>
      <c r="AA183" s="16"/>
      <c r="AB183" s="16"/>
      <c r="AC183" s="16"/>
      <c r="AD183" s="16"/>
      <c r="AE183" s="16"/>
      <c r="AF183" s="16"/>
      <c r="AG183" s="16"/>
      <c r="AH183" s="16"/>
      <c r="AI183" s="16"/>
    </row>
    <row r="184" ht="12.75" customHeight="1" spans="1:35" x14ac:dyDescent="0.25">
      <c r="A184" s="16"/>
      <c r="B184" s="16"/>
      <c r="C184" s="16"/>
      <c r="D184" s="16"/>
      <c r="E184" s="16"/>
      <c r="F184" s="16"/>
      <c r="G184" s="16"/>
      <c r="H184" s="16"/>
      <c r="I184" s="16"/>
      <c r="J184" s="16"/>
      <c r="K184" s="16"/>
      <c r="L184" s="16"/>
      <c r="M184" s="16"/>
      <c r="N184" s="16"/>
      <c r="O184" s="16"/>
      <c r="P184" s="16"/>
      <c r="Q184" s="16"/>
      <c r="R184" s="16"/>
      <c r="S184" s="16"/>
      <c r="T184" s="16"/>
      <c r="U184" s="16"/>
      <c r="V184" s="16"/>
      <c r="W184" s="16"/>
      <c r="X184" s="16"/>
      <c r="Y184" s="16"/>
      <c r="Z184" s="16"/>
      <c r="AA184" s="16"/>
      <c r="AB184" s="16"/>
      <c r="AC184" s="16"/>
      <c r="AD184" s="16"/>
      <c r="AE184" s="16"/>
      <c r="AF184" s="16"/>
      <c r="AG184" s="16"/>
      <c r="AH184" s="16"/>
      <c r="AI184" s="16"/>
    </row>
    <row r="185" ht="12.75" customHeight="1" spans="1:35" x14ac:dyDescent="0.25">
      <c r="A185" s="16"/>
      <c r="B185" s="16"/>
      <c r="C185" s="16"/>
      <c r="D185" s="16"/>
      <c r="E185" s="16"/>
      <c r="F185" s="16"/>
      <c r="G185" s="16"/>
      <c r="H185" s="16"/>
      <c r="I185" s="16"/>
      <c r="J185" s="16"/>
      <c r="K185" s="16"/>
      <c r="L185" s="16"/>
      <c r="M185" s="16"/>
      <c r="N185" s="16"/>
      <c r="O185" s="16"/>
      <c r="P185" s="16"/>
      <c r="Q185" s="16"/>
      <c r="R185" s="16"/>
      <c r="S185" s="16"/>
      <c r="T185" s="16"/>
      <c r="U185" s="16"/>
      <c r="V185" s="16"/>
      <c r="W185" s="16"/>
      <c r="X185" s="16"/>
      <c r="Y185" s="16"/>
      <c r="Z185" s="16"/>
      <c r="AA185" s="16"/>
      <c r="AB185" s="16"/>
      <c r="AC185" s="16"/>
      <c r="AD185" s="16"/>
      <c r="AE185" s="16"/>
      <c r="AF185" s="16"/>
      <c r="AG185" s="16"/>
      <c r="AH185" s="16"/>
      <c r="AI185" s="16"/>
    </row>
    <row r="186" ht="12.75" customHeight="1" spans="1:35" x14ac:dyDescent="0.25">
      <c r="A186" s="16"/>
      <c r="B186" s="16"/>
      <c r="C186" s="16"/>
      <c r="D186" s="16"/>
      <c r="E186" s="16"/>
      <c r="F186" s="16"/>
      <c r="G186" s="16"/>
      <c r="H186" s="16"/>
      <c r="I186" s="16"/>
      <c r="J186" s="16"/>
      <c r="K186" s="16"/>
      <c r="L186" s="16"/>
      <c r="M186" s="16"/>
      <c r="N186" s="16"/>
      <c r="O186" s="16"/>
      <c r="P186" s="16"/>
      <c r="Q186" s="16"/>
      <c r="R186" s="16"/>
      <c r="S186" s="16"/>
      <c r="T186" s="16"/>
      <c r="U186" s="16"/>
      <c r="V186" s="16"/>
      <c r="W186" s="16"/>
      <c r="X186" s="16"/>
      <c r="Y186" s="16"/>
      <c r="Z186" s="16"/>
      <c r="AA186" s="16"/>
      <c r="AB186" s="16"/>
      <c r="AC186" s="16"/>
      <c r="AD186" s="16"/>
      <c r="AE186" s="16"/>
      <c r="AF186" s="16"/>
      <c r="AG186" s="16"/>
      <c r="AH186" s="16"/>
      <c r="AI186" s="16"/>
    </row>
    <row r="187" ht="12.75" customHeight="1" spans="1:35" x14ac:dyDescent="0.25">
      <c r="A187" s="16"/>
      <c r="B187" s="16"/>
      <c r="C187" s="16"/>
      <c r="D187" s="16"/>
      <c r="E187" s="16"/>
      <c r="F187" s="16"/>
      <c r="G187" s="16"/>
      <c r="H187" s="16"/>
      <c r="I187" s="16"/>
      <c r="J187" s="16"/>
      <c r="K187" s="16"/>
      <c r="L187" s="16"/>
      <c r="M187" s="16"/>
      <c r="N187" s="16"/>
      <c r="O187" s="16"/>
      <c r="P187" s="16"/>
      <c r="Q187" s="16"/>
      <c r="R187" s="16"/>
      <c r="S187" s="16"/>
      <c r="T187" s="16"/>
      <c r="U187" s="16"/>
      <c r="V187" s="16"/>
      <c r="W187" s="16"/>
      <c r="X187" s="16"/>
      <c r="Y187" s="16"/>
      <c r="Z187" s="16"/>
      <c r="AA187" s="16"/>
      <c r="AB187" s="16"/>
      <c r="AC187" s="16"/>
      <c r="AD187" s="16"/>
      <c r="AE187" s="16"/>
      <c r="AF187" s="16"/>
      <c r="AG187" s="16"/>
      <c r="AH187" s="16"/>
      <c r="AI187" s="16"/>
    </row>
    <row r="188" ht="12.75" customHeight="1" spans="1:35" x14ac:dyDescent="0.25">
      <c r="A188" s="16"/>
      <c r="B188" s="16"/>
      <c r="C188" s="16"/>
      <c r="D188" s="16"/>
      <c r="E188" s="16"/>
      <c r="F188" s="16"/>
      <c r="G188" s="16"/>
      <c r="H188" s="16"/>
      <c r="I188" s="16"/>
      <c r="J188" s="16"/>
      <c r="K188" s="16"/>
      <c r="L188" s="16"/>
      <c r="M188" s="16"/>
      <c r="N188" s="16"/>
      <c r="O188" s="16"/>
      <c r="P188" s="16"/>
      <c r="Q188" s="16"/>
      <c r="R188" s="16"/>
      <c r="S188" s="16"/>
      <c r="T188" s="16"/>
      <c r="U188" s="16"/>
      <c r="V188" s="16"/>
      <c r="W188" s="16"/>
      <c r="X188" s="16"/>
      <c r="Y188" s="16"/>
      <c r="Z188" s="16"/>
      <c r="AA188" s="16"/>
      <c r="AB188" s="16"/>
      <c r="AC188" s="16"/>
      <c r="AD188" s="16"/>
      <c r="AE188" s="16"/>
      <c r="AF188" s="16"/>
      <c r="AG188" s="16"/>
      <c r="AH188" s="16"/>
      <c r="AI188" s="16"/>
    </row>
    <row r="189" ht="12.75" customHeight="1" spans="1:35" x14ac:dyDescent="0.25">
      <c r="A189" s="16"/>
      <c r="B189" s="16"/>
      <c r="C189" s="16"/>
      <c r="D189" s="16"/>
      <c r="E189" s="16"/>
      <c r="F189" s="16"/>
      <c r="G189" s="16"/>
      <c r="H189" s="16"/>
      <c r="I189" s="16"/>
      <c r="J189" s="16"/>
      <c r="K189" s="16"/>
      <c r="L189" s="16"/>
      <c r="M189" s="16"/>
      <c r="N189" s="16"/>
      <c r="O189" s="16"/>
      <c r="P189" s="16"/>
      <c r="Q189" s="16"/>
      <c r="R189" s="16"/>
      <c r="S189" s="16"/>
      <c r="T189" s="16"/>
      <c r="U189" s="16"/>
      <c r="V189" s="16"/>
      <c r="W189" s="16"/>
      <c r="X189" s="16"/>
      <c r="Y189" s="16"/>
      <c r="Z189" s="16"/>
      <c r="AA189" s="16"/>
      <c r="AB189" s="16"/>
      <c r="AC189" s="16"/>
      <c r="AD189" s="16"/>
      <c r="AE189" s="16"/>
      <c r="AF189" s="16"/>
      <c r="AG189" s="16"/>
      <c r="AH189" s="16"/>
      <c r="AI189" s="16"/>
    </row>
    <row r="190" ht="12.75" customHeight="1" spans="1:35" x14ac:dyDescent="0.25">
      <c r="A190" s="16"/>
      <c r="B190" s="16"/>
      <c r="C190" s="16"/>
      <c r="D190" s="16"/>
      <c r="E190" s="16"/>
      <c r="F190" s="16"/>
      <c r="G190" s="16"/>
      <c r="H190" s="16"/>
      <c r="I190" s="16"/>
      <c r="J190" s="16"/>
      <c r="K190" s="16"/>
      <c r="L190" s="16"/>
      <c r="M190" s="16"/>
      <c r="N190" s="16"/>
      <c r="O190" s="16"/>
      <c r="P190" s="16"/>
      <c r="Q190" s="16"/>
      <c r="R190" s="16"/>
      <c r="S190" s="16"/>
      <c r="T190" s="16"/>
      <c r="U190" s="16"/>
      <c r="V190" s="16"/>
      <c r="W190" s="16"/>
      <c r="X190" s="16"/>
      <c r="Y190" s="16"/>
      <c r="Z190" s="16"/>
      <c r="AA190" s="16"/>
      <c r="AB190" s="16"/>
      <c r="AC190" s="16"/>
      <c r="AD190" s="16"/>
      <c r="AE190" s="16"/>
      <c r="AF190" s="16"/>
      <c r="AG190" s="16"/>
      <c r="AH190" s="16"/>
      <c r="AI190" s="16"/>
    </row>
    <row r="191" ht="12.75" customHeight="1" spans="1:35" x14ac:dyDescent="0.25">
      <c r="A191" s="16"/>
      <c r="B191" s="16"/>
      <c r="C191" s="16"/>
      <c r="D191" s="16"/>
      <c r="E191" s="16"/>
      <c r="F191" s="16"/>
      <c r="G191" s="16"/>
      <c r="H191" s="16"/>
      <c r="I191" s="16"/>
      <c r="J191" s="16"/>
      <c r="K191" s="16"/>
      <c r="L191" s="16"/>
      <c r="M191" s="16"/>
      <c r="N191" s="16"/>
      <c r="O191" s="16"/>
      <c r="P191" s="16"/>
      <c r="Q191" s="16"/>
      <c r="R191" s="16"/>
      <c r="S191" s="16"/>
      <c r="T191" s="16"/>
      <c r="U191" s="16"/>
      <c r="V191" s="16"/>
      <c r="W191" s="16"/>
      <c r="X191" s="16"/>
      <c r="Y191" s="16"/>
      <c r="Z191" s="16"/>
      <c r="AA191" s="16"/>
      <c r="AB191" s="16"/>
      <c r="AC191" s="16"/>
      <c r="AD191" s="16"/>
      <c r="AE191" s="16"/>
      <c r="AF191" s="16"/>
      <c r="AG191" s="16"/>
      <c r="AH191" s="16"/>
      <c r="AI191" s="16"/>
    </row>
    <row r="192" ht="12.75" customHeight="1" spans="1:35" x14ac:dyDescent="0.25">
      <c r="A192" s="16"/>
      <c r="B192" s="16"/>
      <c r="C192" s="16"/>
      <c r="D192" s="16"/>
      <c r="E192" s="16"/>
      <c r="F192" s="16"/>
      <c r="G192" s="16"/>
      <c r="H192" s="16"/>
      <c r="I192" s="16"/>
      <c r="J192" s="16"/>
      <c r="K192" s="16"/>
      <c r="L192" s="16"/>
      <c r="M192" s="16"/>
      <c r="N192" s="16"/>
      <c r="O192" s="16"/>
      <c r="P192" s="16"/>
      <c r="Q192" s="16"/>
      <c r="R192" s="16"/>
      <c r="S192" s="16"/>
      <c r="T192" s="16"/>
      <c r="U192" s="16"/>
      <c r="V192" s="16"/>
      <c r="W192" s="16"/>
      <c r="X192" s="16"/>
      <c r="Y192" s="16"/>
      <c r="Z192" s="16"/>
      <c r="AA192" s="16"/>
      <c r="AB192" s="16"/>
      <c r="AC192" s="16"/>
      <c r="AD192" s="16"/>
      <c r="AE192" s="16"/>
      <c r="AF192" s="16"/>
      <c r="AG192" s="16"/>
      <c r="AH192" s="16"/>
      <c r="AI192" s="16"/>
    </row>
    <row r="193" ht="12.75" customHeight="1" spans="1:35" x14ac:dyDescent="0.25">
      <c r="A193" s="16"/>
      <c r="B193" s="16"/>
      <c r="C193" s="16"/>
      <c r="D193" s="16"/>
      <c r="E193" s="16"/>
      <c r="F193" s="16"/>
      <c r="G193" s="16"/>
      <c r="H193" s="16"/>
      <c r="I193" s="16"/>
      <c r="J193" s="16"/>
      <c r="K193" s="16"/>
      <c r="L193" s="16"/>
      <c r="M193" s="16"/>
      <c r="N193" s="16"/>
      <c r="O193" s="16"/>
      <c r="P193" s="16"/>
      <c r="Q193" s="16"/>
      <c r="R193" s="16"/>
      <c r="S193" s="16"/>
      <c r="T193" s="16"/>
      <c r="U193" s="16"/>
      <c r="V193" s="16"/>
      <c r="W193" s="16"/>
      <c r="X193" s="16"/>
      <c r="Y193" s="16"/>
      <c r="Z193" s="16"/>
      <c r="AA193" s="16"/>
      <c r="AB193" s="16"/>
      <c r="AC193" s="16"/>
      <c r="AD193" s="16"/>
      <c r="AE193" s="16"/>
      <c r="AF193" s="16"/>
      <c r="AG193" s="16"/>
      <c r="AH193" s="16"/>
      <c r="AI193" s="16"/>
    </row>
    <row r="194" ht="12.75" customHeight="1" spans="1:35" x14ac:dyDescent="0.25">
      <c r="A194" s="16"/>
      <c r="B194" s="16"/>
      <c r="C194" s="16"/>
      <c r="D194" s="16"/>
      <c r="E194" s="16"/>
      <c r="F194" s="16"/>
      <c r="G194" s="16"/>
      <c r="H194" s="16"/>
      <c r="I194" s="16"/>
      <c r="J194" s="16"/>
      <c r="K194" s="16"/>
      <c r="L194" s="16"/>
      <c r="M194" s="16"/>
      <c r="N194" s="16"/>
      <c r="O194" s="16"/>
      <c r="P194" s="16"/>
      <c r="Q194" s="16"/>
      <c r="R194" s="16"/>
      <c r="S194" s="16"/>
      <c r="T194" s="16"/>
      <c r="U194" s="16"/>
      <c r="V194" s="16"/>
      <c r="W194" s="16"/>
      <c r="X194" s="16"/>
      <c r="Y194" s="16"/>
      <c r="Z194" s="16"/>
      <c r="AA194" s="16"/>
      <c r="AB194" s="16"/>
      <c r="AC194" s="16"/>
      <c r="AD194" s="16"/>
      <c r="AE194" s="16"/>
      <c r="AF194" s="16"/>
      <c r="AG194" s="16"/>
      <c r="AH194" s="16"/>
      <c r="AI194" s="16"/>
    </row>
    <row r="195" ht="12.75" customHeight="1" spans="1:35" x14ac:dyDescent="0.25">
      <c r="A195" s="16"/>
      <c r="B195" s="16"/>
      <c r="C195" s="16"/>
      <c r="D195" s="16"/>
      <c r="E195" s="16"/>
      <c r="F195" s="16"/>
      <c r="G195" s="16"/>
      <c r="H195" s="16"/>
      <c r="I195" s="16"/>
      <c r="J195" s="16"/>
      <c r="K195" s="16"/>
      <c r="L195" s="16"/>
      <c r="M195" s="16"/>
      <c r="N195" s="16"/>
      <c r="O195" s="16"/>
      <c r="P195" s="16"/>
      <c r="Q195" s="16"/>
      <c r="R195" s="16"/>
      <c r="S195" s="16"/>
      <c r="T195" s="16"/>
      <c r="U195" s="16"/>
      <c r="V195" s="16"/>
      <c r="W195" s="16"/>
      <c r="X195" s="16"/>
      <c r="Y195" s="16"/>
      <c r="Z195" s="16"/>
      <c r="AA195" s="16"/>
      <c r="AB195" s="16"/>
      <c r="AC195" s="16"/>
      <c r="AD195" s="16"/>
      <c r="AE195" s="16"/>
      <c r="AF195" s="16"/>
      <c r="AG195" s="16"/>
      <c r="AH195" s="16"/>
      <c r="AI195" s="16"/>
    </row>
    <row r="196" ht="12.75" customHeight="1" spans="1:35" x14ac:dyDescent="0.25">
      <c r="A196" s="16"/>
      <c r="B196" s="16"/>
      <c r="C196" s="16"/>
      <c r="D196" s="16"/>
      <c r="E196" s="16"/>
      <c r="F196" s="16"/>
      <c r="G196" s="16"/>
      <c r="H196" s="16"/>
      <c r="I196" s="16"/>
      <c r="J196" s="16"/>
      <c r="K196" s="16"/>
      <c r="L196" s="16"/>
      <c r="M196" s="16"/>
      <c r="N196" s="16"/>
      <c r="O196" s="16"/>
      <c r="P196" s="16"/>
      <c r="Q196" s="16"/>
      <c r="R196" s="16"/>
      <c r="S196" s="16"/>
      <c r="T196" s="16"/>
      <c r="U196" s="16"/>
      <c r="V196" s="16"/>
      <c r="W196" s="16"/>
      <c r="X196" s="16"/>
      <c r="Y196" s="16"/>
      <c r="Z196" s="16"/>
      <c r="AA196" s="16"/>
      <c r="AB196" s="16"/>
      <c r="AC196" s="16"/>
      <c r="AD196" s="16"/>
      <c r="AE196" s="16"/>
      <c r="AF196" s="16"/>
      <c r="AG196" s="16"/>
      <c r="AH196" s="16"/>
      <c r="AI196" s="16"/>
    </row>
    <row r="197" ht="12.75" customHeight="1" spans="1:35" x14ac:dyDescent="0.25">
      <c r="A197" s="16"/>
      <c r="B197" s="16"/>
      <c r="C197" s="16"/>
      <c r="D197" s="16"/>
      <c r="E197" s="16"/>
      <c r="F197" s="16"/>
      <c r="G197" s="16"/>
      <c r="H197" s="16"/>
      <c r="I197" s="16"/>
      <c r="J197" s="16"/>
      <c r="K197" s="16"/>
      <c r="L197" s="16"/>
      <c r="M197" s="16"/>
      <c r="N197" s="16"/>
      <c r="O197" s="16"/>
      <c r="P197" s="16"/>
      <c r="Q197" s="16"/>
      <c r="R197" s="16"/>
      <c r="S197" s="16"/>
      <c r="T197" s="16"/>
      <c r="U197" s="16"/>
      <c r="V197" s="16"/>
      <c r="W197" s="16"/>
      <c r="X197" s="16"/>
      <c r="Y197" s="16"/>
      <c r="Z197" s="16"/>
      <c r="AA197" s="16"/>
      <c r="AB197" s="16"/>
      <c r="AC197" s="16"/>
      <c r="AD197" s="16"/>
      <c r="AE197" s="16"/>
      <c r="AF197" s="16"/>
      <c r="AG197" s="16"/>
      <c r="AH197" s="16"/>
      <c r="AI197" s="16"/>
    </row>
    <row r="198" ht="12.75" customHeight="1" spans="1:35" x14ac:dyDescent="0.25">
      <c r="A198" s="16"/>
      <c r="B198" s="16"/>
      <c r="C198" s="16"/>
      <c r="D198" s="16"/>
      <c r="E198" s="16"/>
      <c r="F198" s="16"/>
      <c r="G198" s="16"/>
      <c r="H198" s="16"/>
      <c r="I198" s="16"/>
      <c r="J198" s="16"/>
      <c r="K198" s="16"/>
      <c r="L198" s="16"/>
      <c r="M198" s="16"/>
      <c r="N198" s="16"/>
      <c r="O198" s="16"/>
      <c r="P198" s="16"/>
      <c r="Q198" s="16"/>
      <c r="R198" s="16"/>
      <c r="S198" s="16"/>
      <c r="T198" s="16"/>
      <c r="U198" s="16"/>
      <c r="V198" s="16"/>
      <c r="W198" s="16"/>
      <c r="X198" s="16"/>
      <c r="Y198" s="16"/>
      <c r="Z198" s="16"/>
      <c r="AA198" s="16"/>
      <c r="AB198" s="16"/>
      <c r="AC198" s="16"/>
      <c r="AD198" s="16"/>
      <c r="AE198" s="16"/>
      <c r="AF198" s="16"/>
      <c r="AG198" s="16"/>
      <c r="AH198" s="16"/>
      <c r="AI198" s="16"/>
    </row>
    <row r="199" ht="12.75" customHeight="1" spans="1:35" x14ac:dyDescent="0.25">
      <c r="A199" s="16"/>
      <c r="B199" s="16"/>
      <c r="C199" s="16"/>
      <c r="D199" s="16"/>
      <c r="E199" s="16"/>
      <c r="F199" s="16"/>
      <c r="G199" s="16"/>
      <c r="H199" s="16"/>
      <c r="I199" s="16"/>
      <c r="J199" s="16"/>
      <c r="K199" s="16"/>
      <c r="L199" s="16"/>
      <c r="M199" s="16"/>
      <c r="N199" s="16"/>
      <c r="O199" s="16"/>
      <c r="P199" s="16"/>
      <c r="Q199" s="16"/>
      <c r="R199" s="16"/>
      <c r="S199" s="16"/>
      <c r="T199" s="16"/>
      <c r="U199" s="16"/>
      <c r="V199" s="16"/>
      <c r="W199" s="16"/>
      <c r="X199" s="16"/>
      <c r="Y199" s="16"/>
      <c r="Z199" s="16"/>
      <c r="AA199" s="16"/>
      <c r="AB199" s="16"/>
      <c r="AC199" s="16"/>
      <c r="AD199" s="16"/>
      <c r="AE199" s="16"/>
      <c r="AF199" s="16"/>
      <c r="AG199" s="16"/>
      <c r="AH199" s="16"/>
      <c r="AI199" s="16"/>
    </row>
    <row r="200" ht="12.75" customHeight="1" spans="1:35" x14ac:dyDescent="0.25">
      <c r="A200" s="16"/>
      <c r="B200" s="16"/>
      <c r="C200" s="16"/>
      <c r="D200" s="16"/>
      <c r="E200" s="16"/>
      <c r="F200" s="16"/>
      <c r="G200" s="16"/>
      <c r="H200" s="16"/>
      <c r="I200" s="16"/>
      <c r="J200" s="16"/>
      <c r="K200" s="16"/>
      <c r="L200" s="16"/>
      <c r="M200" s="16"/>
      <c r="N200" s="16"/>
      <c r="O200" s="16"/>
      <c r="P200" s="16"/>
      <c r="Q200" s="16"/>
      <c r="R200" s="16"/>
      <c r="S200" s="16"/>
      <c r="T200" s="16"/>
      <c r="U200" s="16"/>
      <c r="V200" s="16"/>
      <c r="W200" s="16"/>
      <c r="X200" s="16"/>
      <c r="Y200" s="16"/>
      <c r="Z200" s="16"/>
      <c r="AA200" s="16"/>
      <c r="AB200" s="16"/>
      <c r="AC200" s="16"/>
      <c r="AD200" s="16"/>
      <c r="AE200" s="16"/>
      <c r="AF200" s="16"/>
      <c r="AG200" s="16"/>
      <c r="AH200" s="16"/>
      <c r="AI200" s="16"/>
    </row>
    <row r="201" ht="12.75" customHeight="1" spans="1:35" x14ac:dyDescent="0.25">
      <c r="A201" s="16"/>
      <c r="B201" s="16"/>
      <c r="C201" s="16"/>
      <c r="D201" s="16"/>
      <c r="E201" s="16"/>
      <c r="F201" s="16"/>
      <c r="G201" s="16"/>
      <c r="H201" s="16"/>
      <c r="I201" s="16"/>
      <c r="J201" s="16"/>
      <c r="K201" s="16"/>
      <c r="L201" s="16"/>
      <c r="M201" s="16"/>
      <c r="N201" s="16"/>
      <c r="O201" s="16"/>
      <c r="P201" s="16"/>
      <c r="Q201" s="16"/>
      <c r="R201" s="16"/>
      <c r="S201" s="16"/>
      <c r="T201" s="16"/>
      <c r="U201" s="16"/>
      <c r="V201" s="16"/>
      <c r="W201" s="16"/>
      <c r="X201" s="16"/>
      <c r="Y201" s="16"/>
      <c r="Z201" s="16"/>
      <c r="AA201" s="16"/>
      <c r="AB201" s="16"/>
      <c r="AC201" s="16"/>
      <c r="AD201" s="16"/>
      <c r="AE201" s="16"/>
      <c r="AF201" s="16"/>
      <c r="AG201" s="16"/>
      <c r="AH201" s="16"/>
      <c r="AI201" s="16"/>
    </row>
    <row r="202" ht="12.75" customHeight="1" spans="1:35" x14ac:dyDescent="0.25">
      <c r="A202" s="16"/>
      <c r="B202" s="16"/>
      <c r="C202" s="16"/>
      <c r="D202" s="16"/>
      <c r="E202" s="16"/>
      <c r="F202" s="16"/>
      <c r="G202" s="16"/>
      <c r="H202" s="16"/>
      <c r="I202" s="16"/>
      <c r="J202" s="16"/>
      <c r="K202" s="16"/>
      <c r="L202" s="16"/>
      <c r="M202" s="16"/>
      <c r="N202" s="16"/>
      <c r="O202" s="16"/>
      <c r="P202" s="16"/>
      <c r="Q202" s="16"/>
      <c r="R202" s="16"/>
      <c r="S202" s="16"/>
      <c r="T202" s="16"/>
      <c r="U202" s="16"/>
      <c r="V202" s="16"/>
      <c r="W202" s="16"/>
      <c r="X202" s="16"/>
      <c r="Y202" s="16"/>
      <c r="Z202" s="16"/>
      <c r="AA202" s="16"/>
      <c r="AB202" s="16"/>
      <c r="AC202" s="16"/>
      <c r="AD202" s="16"/>
      <c r="AE202" s="16"/>
      <c r="AF202" s="16"/>
      <c r="AG202" s="16"/>
      <c r="AH202" s="16"/>
      <c r="AI202" s="16"/>
    </row>
    <row r="203" ht="12.75" customHeight="1" spans="1:35" x14ac:dyDescent="0.25">
      <c r="A203" s="16"/>
      <c r="B203" s="16"/>
      <c r="C203" s="16"/>
      <c r="D203" s="16"/>
      <c r="E203" s="16"/>
      <c r="F203" s="16"/>
      <c r="G203" s="16"/>
      <c r="H203" s="16"/>
      <c r="I203" s="16"/>
      <c r="J203" s="16"/>
      <c r="K203" s="16"/>
      <c r="L203" s="16"/>
      <c r="M203" s="16"/>
      <c r="N203" s="16"/>
      <c r="O203" s="16"/>
      <c r="P203" s="16"/>
      <c r="Q203" s="16"/>
      <c r="R203" s="16"/>
      <c r="S203" s="16"/>
      <c r="T203" s="16"/>
      <c r="U203" s="16"/>
      <c r="V203" s="16"/>
      <c r="W203" s="16"/>
      <c r="X203" s="16"/>
      <c r="Y203" s="16"/>
      <c r="Z203" s="16"/>
      <c r="AA203" s="16"/>
      <c r="AB203" s="16"/>
      <c r="AC203" s="16"/>
      <c r="AD203" s="16"/>
      <c r="AE203" s="16"/>
      <c r="AF203" s="16"/>
      <c r="AG203" s="16"/>
      <c r="AH203" s="16"/>
      <c r="AI203" s="16"/>
    </row>
    <row r="204" ht="12.75" customHeight="1" spans="1:35" x14ac:dyDescent="0.25">
      <c r="A204" s="16"/>
      <c r="B204" s="16"/>
      <c r="C204" s="16"/>
      <c r="D204" s="16"/>
      <c r="E204" s="16"/>
      <c r="F204" s="16"/>
      <c r="G204" s="16"/>
      <c r="H204" s="16"/>
      <c r="I204" s="16"/>
      <c r="J204" s="16"/>
      <c r="K204" s="16"/>
      <c r="L204" s="16"/>
      <c r="M204" s="16"/>
      <c r="N204" s="16"/>
      <c r="O204" s="16"/>
      <c r="P204" s="16"/>
      <c r="Q204" s="16"/>
      <c r="R204" s="16"/>
      <c r="S204" s="16"/>
      <c r="T204" s="16"/>
      <c r="U204" s="16"/>
      <c r="V204" s="16"/>
      <c r="W204" s="16"/>
      <c r="X204" s="16"/>
      <c r="Y204" s="16"/>
      <c r="Z204" s="16"/>
      <c r="AA204" s="16"/>
      <c r="AB204" s="16"/>
      <c r="AC204" s="16"/>
      <c r="AD204" s="16"/>
      <c r="AE204" s="16"/>
      <c r="AF204" s="16"/>
      <c r="AG204" s="16"/>
      <c r="AH204" s="16"/>
      <c r="AI204" s="16"/>
    </row>
    <row r="205" ht="12.75" customHeight="1" spans="1:35" x14ac:dyDescent="0.25">
      <c r="A205" s="16"/>
      <c r="B205" s="16"/>
      <c r="C205" s="16"/>
      <c r="D205" s="16"/>
      <c r="E205" s="16"/>
      <c r="F205" s="16"/>
      <c r="G205" s="16"/>
      <c r="H205" s="16"/>
      <c r="I205" s="16"/>
      <c r="J205" s="16"/>
      <c r="K205" s="16"/>
      <c r="L205" s="16"/>
      <c r="M205" s="16"/>
      <c r="N205" s="16"/>
      <c r="O205" s="16"/>
      <c r="P205" s="16"/>
      <c r="Q205" s="16"/>
      <c r="R205" s="16"/>
      <c r="S205" s="16"/>
      <c r="T205" s="16"/>
      <c r="U205" s="16"/>
      <c r="V205" s="16"/>
      <c r="W205" s="16"/>
      <c r="X205" s="16"/>
      <c r="Y205" s="16"/>
      <c r="Z205" s="16"/>
      <c r="AA205" s="16"/>
      <c r="AB205" s="16"/>
      <c r="AC205" s="16"/>
      <c r="AD205" s="16"/>
      <c r="AE205" s="16"/>
      <c r="AF205" s="16"/>
      <c r="AG205" s="16"/>
      <c r="AH205" s="16"/>
      <c r="AI205" s="16"/>
    </row>
    <row r="206" ht="12.75" customHeight="1" spans="1:35" x14ac:dyDescent="0.25">
      <c r="A206" s="16"/>
      <c r="B206" s="16"/>
      <c r="C206" s="16"/>
      <c r="D206" s="16"/>
      <c r="E206" s="16"/>
      <c r="F206" s="16"/>
      <c r="G206" s="16"/>
      <c r="H206" s="16"/>
      <c r="I206" s="16"/>
      <c r="J206" s="16"/>
      <c r="K206" s="16"/>
      <c r="L206" s="16"/>
      <c r="M206" s="16"/>
      <c r="N206" s="16"/>
      <c r="O206" s="16"/>
      <c r="P206" s="16"/>
      <c r="Q206" s="16"/>
      <c r="R206" s="16"/>
      <c r="S206" s="16"/>
      <c r="T206" s="16"/>
      <c r="U206" s="16"/>
      <c r="V206" s="16"/>
      <c r="W206" s="16"/>
      <c r="X206" s="16"/>
      <c r="Y206" s="16"/>
      <c r="Z206" s="16"/>
      <c r="AA206" s="16"/>
      <c r="AB206" s="16"/>
      <c r="AC206" s="16"/>
      <c r="AD206" s="16"/>
      <c r="AE206" s="16"/>
      <c r="AF206" s="16"/>
      <c r="AG206" s="16"/>
      <c r="AH206" s="16"/>
      <c r="AI206" s="16"/>
    </row>
    <row r="207" ht="12.75" customHeight="1" spans="1:35" x14ac:dyDescent="0.25">
      <c r="A207" s="16"/>
      <c r="B207" s="16"/>
      <c r="C207" s="16"/>
      <c r="D207" s="16"/>
      <c r="E207" s="16"/>
      <c r="F207" s="16"/>
      <c r="G207" s="16"/>
      <c r="H207" s="16"/>
      <c r="I207" s="16"/>
      <c r="J207" s="16"/>
      <c r="K207" s="16"/>
      <c r="L207" s="16"/>
      <c r="M207" s="16"/>
      <c r="N207" s="16"/>
      <c r="O207" s="16"/>
      <c r="P207" s="16"/>
      <c r="Q207" s="16"/>
      <c r="R207" s="16"/>
      <c r="S207" s="16"/>
      <c r="T207" s="16"/>
      <c r="U207" s="16"/>
      <c r="V207" s="16"/>
      <c r="W207" s="16"/>
      <c r="X207" s="16"/>
      <c r="Y207" s="16"/>
      <c r="Z207" s="16"/>
      <c r="AA207" s="16"/>
      <c r="AB207" s="16"/>
      <c r="AC207" s="16"/>
      <c r="AD207" s="16"/>
      <c r="AE207" s="16"/>
      <c r="AF207" s="16"/>
      <c r="AG207" s="16"/>
      <c r="AH207" s="16"/>
      <c r="AI207" s="16"/>
    </row>
    <row r="208" ht="12.75" customHeight="1" spans="1:35" x14ac:dyDescent="0.25">
      <c r="A208" s="16"/>
      <c r="B208" s="16"/>
      <c r="C208" s="16"/>
      <c r="D208" s="16"/>
      <c r="E208" s="16"/>
      <c r="F208" s="16"/>
      <c r="G208" s="16"/>
      <c r="H208" s="16"/>
      <c r="I208" s="16"/>
      <c r="J208" s="16"/>
      <c r="K208" s="16"/>
      <c r="L208" s="16"/>
      <c r="M208" s="16"/>
      <c r="N208" s="16"/>
      <c r="O208" s="16"/>
      <c r="P208" s="16"/>
      <c r="Q208" s="16"/>
      <c r="R208" s="16"/>
      <c r="S208" s="16"/>
      <c r="T208" s="16"/>
      <c r="U208" s="16"/>
      <c r="V208" s="16"/>
      <c r="W208" s="16"/>
      <c r="X208" s="16"/>
      <c r="Y208" s="16"/>
      <c r="Z208" s="16"/>
      <c r="AA208" s="16"/>
      <c r="AB208" s="16"/>
      <c r="AC208" s="16"/>
      <c r="AD208" s="16"/>
      <c r="AE208" s="16"/>
      <c r="AF208" s="16"/>
      <c r="AG208" s="16"/>
      <c r="AH208" s="16"/>
      <c r="AI208" s="16"/>
    </row>
    <row r="209" ht="12.75" customHeight="1" spans="1:35" x14ac:dyDescent="0.25">
      <c r="A209" s="16"/>
      <c r="B209" s="16"/>
      <c r="C209" s="16"/>
      <c r="D209" s="16"/>
      <c r="E209" s="16"/>
      <c r="F209" s="16"/>
      <c r="G209" s="16"/>
      <c r="H209" s="16"/>
      <c r="I209" s="16"/>
      <c r="J209" s="16"/>
      <c r="K209" s="16"/>
      <c r="L209" s="16"/>
      <c r="M209" s="16"/>
      <c r="N209" s="16"/>
      <c r="O209" s="16"/>
      <c r="P209" s="16"/>
      <c r="Q209" s="16"/>
      <c r="R209" s="16"/>
      <c r="S209" s="16"/>
      <c r="T209" s="16"/>
      <c r="U209" s="16"/>
      <c r="V209" s="16"/>
      <c r="W209" s="16"/>
      <c r="X209" s="16"/>
      <c r="Y209" s="16"/>
      <c r="Z209" s="16"/>
      <c r="AA209" s="16"/>
      <c r="AB209" s="16"/>
      <c r="AC209" s="16"/>
      <c r="AD209" s="16"/>
      <c r="AE209" s="16"/>
      <c r="AF209" s="16"/>
      <c r="AG209" s="16"/>
      <c r="AH209" s="16"/>
      <c r="AI209" s="16"/>
    </row>
    <row r="210" ht="12.75" customHeight="1" spans="1:35" x14ac:dyDescent="0.25">
      <c r="A210" s="16"/>
      <c r="B210" s="16"/>
      <c r="C210" s="16"/>
      <c r="D210" s="16"/>
      <c r="E210" s="16"/>
      <c r="F210" s="16"/>
      <c r="G210" s="16"/>
      <c r="H210" s="16"/>
      <c r="I210" s="16"/>
      <c r="J210" s="16"/>
      <c r="K210" s="16"/>
      <c r="L210" s="16"/>
      <c r="M210" s="16"/>
      <c r="N210" s="16"/>
      <c r="O210" s="16"/>
      <c r="P210" s="16"/>
      <c r="Q210" s="16"/>
      <c r="R210" s="16"/>
      <c r="S210" s="16"/>
      <c r="T210" s="16"/>
      <c r="U210" s="16"/>
      <c r="V210" s="16"/>
      <c r="W210" s="16"/>
      <c r="X210" s="16"/>
      <c r="Y210" s="16"/>
      <c r="Z210" s="16"/>
      <c r="AA210" s="16"/>
      <c r="AB210" s="16"/>
      <c r="AC210" s="16"/>
      <c r="AD210" s="16"/>
      <c r="AE210" s="16"/>
      <c r="AF210" s="16"/>
      <c r="AG210" s="16"/>
      <c r="AH210" s="16"/>
      <c r="AI210" s="16"/>
    </row>
    <row r="211" ht="12.75" customHeight="1" spans="1:35" x14ac:dyDescent="0.25">
      <c r="A211" s="16"/>
      <c r="B211" s="16"/>
      <c r="C211" s="16"/>
      <c r="D211" s="16"/>
      <c r="E211" s="16"/>
      <c r="F211" s="16"/>
      <c r="G211" s="16"/>
      <c r="H211" s="16"/>
      <c r="I211" s="16"/>
      <c r="J211" s="16"/>
      <c r="K211" s="16"/>
      <c r="L211" s="16"/>
      <c r="M211" s="16"/>
      <c r="N211" s="16"/>
      <c r="O211" s="16"/>
      <c r="P211" s="16"/>
      <c r="Q211" s="16"/>
      <c r="R211" s="16"/>
      <c r="S211" s="16"/>
      <c r="T211" s="16"/>
      <c r="U211" s="16"/>
      <c r="V211" s="16"/>
      <c r="W211" s="16"/>
      <c r="X211" s="16"/>
      <c r="Y211" s="16"/>
      <c r="Z211" s="16"/>
      <c r="AA211" s="16"/>
      <c r="AB211" s="16"/>
      <c r="AC211" s="16"/>
      <c r="AD211" s="16"/>
      <c r="AE211" s="16"/>
      <c r="AF211" s="16"/>
      <c r="AG211" s="16"/>
      <c r="AH211" s="16"/>
      <c r="AI211" s="16"/>
    </row>
    <row r="212" ht="12.75" customHeight="1" spans="1:35" x14ac:dyDescent="0.25">
      <c r="A212" s="16"/>
      <c r="B212" s="16"/>
      <c r="C212" s="16"/>
      <c r="D212" s="16"/>
      <c r="E212" s="16"/>
      <c r="F212" s="16"/>
      <c r="G212" s="16"/>
      <c r="H212" s="16"/>
      <c r="I212" s="16"/>
      <c r="J212" s="16"/>
      <c r="K212" s="16"/>
      <c r="L212" s="16"/>
      <c r="M212" s="16"/>
      <c r="N212" s="16"/>
      <c r="O212" s="16"/>
      <c r="P212" s="16"/>
      <c r="Q212" s="16"/>
      <c r="R212" s="16"/>
      <c r="S212" s="16"/>
      <c r="T212" s="16"/>
      <c r="U212" s="16"/>
      <c r="V212" s="16"/>
      <c r="W212" s="16"/>
      <c r="X212" s="16"/>
      <c r="Y212" s="16"/>
      <c r="Z212" s="16"/>
      <c r="AA212" s="16"/>
      <c r="AB212" s="16"/>
      <c r="AC212" s="16"/>
      <c r="AD212" s="16"/>
      <c r="AE212" s="16"/>
      <c r="AF212" s="16"/>
      <c r="AG212" s="16"/>
      <c r="AH212" s="16"/>
      <c r="AI212" s="16"/>
    </row>
    <row r="213" ht="12.75" customHeight="1" spans="1:35" x14ac:dyDescent="0.25">
      <c r="A213" s="16"/>
      <c r="B213" s="16"/>
      <c r="C213" s="16"/>
      <c r="D213" s="16"/>
      <c r="E213" s="16"/>
      <c r="F213" s="16"/>
      <c r="G213" s="16"/>
      <c r="H213" s="16"/>
      <c r="I213" s="16"/>
      <c r="J213" s="16"/>
      <c r="K213" s="16"/>
      <c r="L213" s="16"/>
      <c r="M213" s="16"/>
      <c r="N213" s="16"/>
      <c r="O213" s="16"/>
      <c r="P213" s="16"/>
      <c r="Q213" s="16"/>
      <c r="R213" s="16"/>
      <c r="S213" s="16"/>
      <c r="T213" s="16"/>
      <c r="U213" s="16"/>
      <c r="V213" s="16"/>
      <c r="W213" s="16"/>
      <c r="X213" s="16"/>
      <c r="Y213" s="16"/>
      <c r="Z213" s="16"/>
      <c r="AA213" s="16"/>
      <c r="AB213" s="16"/>
      <c r="AC213" s="16"/>
      <c r="AD213" s="16"/>
      <c r="AE213" s="16"/>
      <c r="AF213" s="16"/>
      <c r="AG213" s="16"/>
      <c r="AH213" s="16"/>
      <c r="AI213" s="16"/>
    </row>
    <row r="214" ht="12.75" customHeight="1" spans="1:35" x14ac:dyDescent="0.25">
      <c r="A214" s="16"/>
      <c r="B214" s="16"/>
      <c r="C214" s="16"/>
      <c r="D214" s="16"/>
      <c r="E214" s="16"/>
      <c r="F214" s="16"/>
      <c r="G214" s="16"/>
      <c r="H214" s="16"/>
      <c r="I214" s="16"/>
      <c r="J214" s="16"/>
      <c r="K214" s="16"/>
      <c r="L214" s="16"/>
      <c r="M214" s="16"/>
      <c r="N214" s="16"/>
      <c r="O214" s="16"/>
      <c r="P214" s="16"/>
      <c r="Q214" s="16"/>
      <c r="R214" s="16"/>
      <c r="S214" s="16"/>
      <c r="T214" s="16"/>
      <c r="U214" s="16"/>
      <c r="V214" s="16"/>
      <c r="W214" s="16"/>
      <c r="X214" s="16"/>
      <c r="Y214" s="16"/>
      <c r="Z214" s="16"/>
      <c r="AA214" s="16"/>
      <c r="AB214" s="16"/>
      <c r="AC214" s="16"/>
      <c r="AD214" s="16"/>
      <c r="AE214" s="16"/>
      <c r="AF214" s="16"/>
      <c r="AG214" s="16"/>
      <c r="AH214" s="16"/>
      <c r="AI214" s="16"/>
    </row>
    <row r="215" ht="12.75" customHeight="1" spans="1:35" x14ac:dyDescent="0.25">
      <c r="A215" s="16"/>
      <c r="B215" s="16"/>
      <c r="C215" s="16"/>
      <c r="D215" s="16"/>
      <c r="E215" s="16"/>
      <c r="F215" s="16"/>
      <c r="G215" s="16"/>
      <c r="H215" s="16"/>
      <c r="I215" s="16"/>
      <c r="J215" s="16"/>
      <c r="K215" s="16"/>
      <c r="L215" s="16"/>
      <c r="M215" s="16"/>
      <c r="N215" s="16"/>
      <c r="O215" s="16"/>
      <c r="P215" s="16"/>
      <c r="Q215" s="16"/>
      <c r="R215" s="16"/>
      <c r="S215" s="16"/>
      <c r="T215" s="16"/>
      <c r="U215" s="16"/>
      <c r="V215" s="16"/>
      <c r="W215" s="16"/>
      <c r="X215" s="16"/>
      <c r="Y215" s="16"/>
      <c r="Z215" s="16"/>
      <c r="AA215" s="16"/>
      <c r="AB215" s="16"/>
      <c r="AC215" s="16"/>
      <c r="AD215" s="16"/>
      <c r="AE215" s="16"/>
      <c r="AF215" s="16"/>
      <c r="AG215" s="16"/>
      <c r="AH215" s="16"/>
      <c r="AI215" s="16"/>
    </row>
    <row r="216" ht="12.75" customHeight="1" spans="1:35" x14ac:dyDescent="0.25">
      <c r="A216" s="16"/>
      <c r="B216" s="16"/>
      <c r="C216" s="16"/>
      <c r="D216" s="16"/>
      <c r="E216" s="16"/>
      <c r="F216" s="16"/>
      <c r="G216" s="16"/>
      <c r="H216" s="16"/>
      <c r="I216" s="16"/>
      <c r="J216" s="16"/>
      <c r="K216" s="16"/>
      <c r="L216" s="16"/>
      <c r="M216" s="16"/>
      <c r="N216" s="16"/>
      <c r="O216" s="16"/>
      <c r="P216" s="16"/>
      <c r="Q216" s="16"/>
      <c r="R216" s="16"/>
      <c r="S216" s="16"/>
      <c r="T216" s="16"/>
      <c r="U216" s="16"/>
      <c r="V216" s="16"/>
      <c r="W216" s="16"/>
      <c r="X216" s="16"/>
      <c r="Y216" s="16"/>
      <c r="Z216" s="16"/>
      <c r="AA216" s="16"/>
      <c r="AB216" s="16"/>
      <c r="AC216" s="16"/>
      <c r="AD216" s="16"/>
      <c r="AE216" s="16"/>
      <c r="AF216" s="16"/>
      <c r="AG216" s="16"/>
      <c r="AH216" s="16"/>
      <c r="AI216" s="16"/>
    </row>
    <row r="217" ht="12.75" customHeight="1" spans="1:35" x14ac:dyDescent="0.25">
      <c r="A217" s="16"/>
      <c r="B217" s="16"/>
      <c r="C217" s="16"/>
      <c r="D217" s="16"/>
      <c r="E217" s="16"/>
      <c r="F217" s="16"/>
      <c r="G217" s="16"/>
      <c r="H217" s="16"/>
      <c r="I217" s="16"/>
      <c r="J217" s="16"/>
      <c r="K217" s="16"/>
      <c r="L217" s="16"/>
      <c r="M217" s="16"/>
      <c r="N217" s="16"/>
      <c r="O217" s="16"/>
      <c r="P217" s="16"/>
      <c r="Q217" s="16"/>
      <c r="R217" s="16"/>
      <c r="S217" s="16"/>
      <c r="T217" s="16"/>
      <c r="U217" s="16"/>
      <c r="V217" s="16"/>
      <c r="W217" s="16"/>
      <c r="X217" s="16"/>
      <c r="Y217" s="16"/>
      <c r="Z217" s="16"/>
      <c r="AA217" s="16"/>
      <c r="AB217" s="16"/>
      <c r="AC217" s="16"/>
      <c r="AD217" s="16"/>
      <c r="AE217" s="16"/>
      <c r="AF217" s="16"/>
      <c r="AG217" s="16"/>
      <c r="AH217" s="16"/>
      <c r="AI217" s="16"/>
    </row>
    <row r="218" ht="12.75" customHeight="1" spans="1:35" x14ac:dyDescent="0.25">
      <c r="A218" s="16"/>
      <c r="B218" s="16"/>
      <c r="C218" s="16"/>
      <c r="D218" s="16"/>
      <c r="E218" s="16"/>
      <c r="F218" s="16"/>
      <c r="G218" s="16"/>
      <c r="H218" s="16"/>
      <c r="I218" s="16"/>
      <c r="J218" s="16"/>
      <c r="K218" s="16"/>
      <c r="L218" s="16"/>
      <c r="M218" s="16"/>
      <c r="N218" s="16"/>
      <c r="O218" s="16"/>
      <c r="P218" s="16"/>
      <c r="Q218" s="16"/>
      <c r="R218" s="16"/>
      <c r="S218" s="16"/>
      <c r="T218" s="16"/>
      <c r="U218" s="16"/>
      <c r="V218" s="16"/>
      <c r="W218" s="16"/>
      <c r="X218" s="16"/>
      <c r="Y218" s="16"/>
      <c r="Z218" s="16"/>
      <c r="AA218" s="16"/>
      <c r="AB218" s="16"/>
      <c r="AC218" s="16"/>
      <c r="AD218" s="16"/>
      <c r="AE218" s="16"/>
      <c r="AF218" s="16"/>
      <c r="AG218" s="16"/>
      <c r="AH218" s="16"/>
      <c r="AI218" s="16"/>
    </row>
    <row r="219" ht="12.75" customHeight="1" spans="1:35" x14ac:dyDescent="0.25">
      <c r="A219" s="16"/>
      <c r="B219" s="16"/>
      <c r="C219" s="16"/>
      <c r="D219" s="16"/>
      <c r="E219" s="16"/>
      <c r="F219" s="16"/>
      <c r="G219" s="16"/>
      <c r="H219" s="16"/>
      <c r="I219" s="16"/>
      <c r="J219" s="16"/>
      <c r="K219" s="16"/>
      <c r="L219" s="16"/>
      <c r="M219" s="16"/>
      <c r="N219" s="16"/>
      <c r="O219" s="16"/>
      <c r="P219" s="16"/>
      <c r="Q219" s="16"/>
      <c r="R219" s="16"/>
      <c r="S219" s="16"/>
      <c r="T219" s="16"/>
      <c r="U219" s="16"/>
      <c r="V219" s="16"/>
      <c r="W219" s="16"/>
      <c r="X219" s="16"/>
      <c r="Y219" s="16"/>
      <c r="Z219" s="16"/>
      <c r="AA219" s="16"/>
      <c r="AB219" s="16"/>
      <c r="AC219" s="16"/>
      <c r="AD219" s="16"/>
      <c r="AE219" s="16"/>
      <c r="AF219" s="16"/>
      <c r="AG219" s="16"/>
      <c r="AH219" s="16"/>
      <c r="AI219" s="16"/>
    </row>
    <row r="220" ht="12.75" customHeight="1" spans="1:35" x14ac:dyDescent="0.25">
      <c r="A220" s="16"/>
      <c r="B220" s="16"/>
      <c r="C220" s="16"/>
      <c r="D220" s="16"/>
      <c r="E220" s="16"/>
      <c r="F220" s="16"/>
      <c r="G220" s="16"/>
      <c r="H220" s="16"/>
      <c r="I220" s="16"/>
      <c r="J220" s="16"/>
      <c r="K220" s="16"/>
      <c r="L220" s="16"/>
      <c r="M220" s="16"/>
      <c r="N220" s="16"/>
      <c r="O220" s="16"/>
      <c r="P220" s="16"/>
      <c r="Q220" s="16"/>
      <c r="R220" s="16"/>
      <c r="S220" s="16"/>
      <c r="T220" s="16"/>
      <c r="U220" s="16"/>
      <c r="V220" s="16"/>
      <c r="W220" s="16"/>
      <c r="X220" s="16"/>
      <c r="Y220" s="16"/>
      <c r="Z220" s="16"/>
      <c r="AA220" s="16"/>
      <c r="AB220" s="16"/>
      <c r="AC220" s="16"/>
      <c r="AD220" s="16"/>
      <c r="AE220" s="16"/>
      <c r="AF220" s="16"/>
      <c r="AG220" s="16"/>
      <c r="AH220" s="16"/>
      <c r="AI220" s="16"/>
    </row>
    <row r="221" ht="12.75" customHeight="1" spans="1:35" x14ac:dyDescent="0.25">
      <c r="A221" s="16"/>
      <c r="B221" s="16"/>
      <c r="C221" s="16"/>
      <c r="D221" s="16"/>
      <c r="E221" s="16"/>
      <c r="F221" s="16"/>
      <c r="G221" s="16"/>
      <c r="H221" s="16"/>
      <c r="I221" s="16"/>
      <c r="J221" s="16"/>
      <c r="K221" s="16"/>
      <c r="L221" s="16"/>
      <c r="M221" s="16"/>
      <c r="N221" s="16"/>
      <c r="O221" s="16"/>
      <c r="P221" s="16"/>
      <c r="Q221" s="16"/>
      <c r="R221" s="16"/>
      <c r="S221" s="16"/>
      <c r="T221" s="16"/>
      <c r="U221" s="16"/>
      <c r="V221" s="16"/>
      <c r="W221" s="16"/>
      <c r="X221" s="16"/>
      <c r="Y221" s="16"/>
      <c r="Z221" s="16"/>
      <c r="AA221" s="16"/>
      <c r="AB221" s="16"/>
      <c r="AC221" s="16"/>
      <c r="AD221" s="16"/>
      <c r="AE221" s="16"/>
      <c r="AF221" s="16"/>
      <c r="AG221" s="16"/>
      <c r="AH221" s="16"/>
      <c r="AI221" s="16"/>
    </row>
    <row r="222" ht="12.75" customHeight="1" spans="1:35" x14ac:dyDescent="0.25">
      <c r="A222" s="16"/>
      <c r="B222" s="16"/>
      <c r="C222" s="16"/>
      <c r="D222" s="16"/>
      <c r="E222" s="16"/>
      <c r="F222" s="16"/>
      <c r="G222" s="16"/>
      <c r="H222" s="16"/>
      <c r="I222" s="16"/>
      <c r="J222" s="16"/>
      <c r="K222" s="16"/>
      <c r="L222" s="16"/>
      <c r="M222" s="16"/>
      <c r="N222" s="16"/>
      <c r="O222" s="16"/>
      <c r="P222" s="16"/>
      <c r="Q222" s="16"/>
      <c r="R222" s="16"/>
      <c r="S222" s="16"/>
      <c r="T222" s="16"/>
      <c r="U222" s="16"/>
      <c r="V222" s="16"/>
      <c r="W222" s="16"/>
      <c r="X222" s="16"/>
      <c r="Y222" s="16"/>
      <c r="Z222" s="16"/>
      <c r="AA222" s="16"/>
      <c r="AB222" s="16"/>
      <c r="AC222" s="16"/>
      <c r="AD222" s="16"/>
      <c r="AE222" s="16"/>
      <c r="AF222" s="16"/>
      <c r="AG222" s="16"/>
      <c r="AH222" s="16"/>
      <c r="AI222" s="16"/>
    </row>
    <row r="223" ht="12.75" customHeight="1" spans="1:35" x14ac:dyDescent="0.25">
      <c r="A223" s="16"/>
      <c r="B223" s="16"/>
      <c r="C223" s="16"/>
      <c r="D223" s="16"/>
      <c r="E223" s="16"/>
      <c r="F223" s="16"/>
      <c r="G223" s="16"/>
      <c r="H223" s="16"/>
      <c r="I223" s="16"/>
      <c r="J223" s="16"/>
      <c r="K223" s="16"/>
      <c r="L223" s="16"/>
      <c r="M223" s="16"/>
      <c r="N223" s="16"/>
      <c r="O223" s="16"/>
      <c r="P223" s="16"/>
      <c r="Q223" s="16"/>
      <c r="R223" s="16"/>
      <c r="S223" s="16"/>
      <c r="T223" s="16"/>
      <c r="U223" s="16"/>
      <c r="V223" s="16"/>
      <c r="W223" s="16"/>
      <c r="X223" s="16"/>
      <c r="Y223" s="16"/>
      <c r="Z223" s="16"/>
      <c r="AA223" s="16"/>
      <c r="AB223" s="16"/>
      <c r="AC223" s="16"/>
      <c r="AD223" s="16"/>
      <c r="AE223" s="16"/>
      <c r="AF223" s="16"/>
      <c r="AG223" s="16"/>
      <c r="AH223" s="16"/>
      <c r="AI223" s="16"/>
    </row>
    <row r="224" ht="12.75" customHeight="1" spans="1:35" x14ac:dyDescent="0.25">
      <c r="A224" s="16"/>
      <c r="B224" s="16"/>
      <c r="C224" s="16"/>
      <c r="D224" s="16"/>
      <c r="E224" s="16"/>
      <c r="F224" s="16"/>
      <c r="G224" s="16"/>
      <c r="H224" s="16"/>
      <c r="I224" s="16"/>
      <c r="J224" s="16"/>
      <c r="K224" s="16"/>
      <c r="L224" s="16"/>
      <c r="M224" s="16"/>
      <c r="N224" s="16"/>
      <c r="O224" s="16"/>
      <c r="P224" s="16"/>
      <c r="Q224" s="16"/>
      <c r="R224" s="16"/>
      <c r="S224" s="16"/>
      <c r="T224" s="16"/>
      <c r="U224" s="16"/>
      <c r="V224" s="16"/>
      <c r="W224" s="16"/>
      <c r="X224" s="16"/>
      <c r="Y224" s="16"/>
      <c r="Z224" s="16"/>
      <c r="AA224" s="16"/>
      <c r="AB224" s="16"/>
      <c r="AC224" s="16"/>
      <c r="AD224" s="16"/>
      <c r="AE224" s="16"/>
      <c r="AF224" s="16"/>
      <c r="AG224" s="16"/>
      <c r="AH224" s="16"/>
      <c r="AI224" s="16"/>
    </row>
    <row r="225" ht="12.75" customHeight="1" spans="1:35" x14ac:dyDescent="0.25">
      <c r="A225" s="16"/>
      <c r="B225" s="16"/>
      <c r="C225" s="16"/>
      <c r="D225" s="16"/>
      <c r="E225" s="16"/>
      <c r="F225" s="16"/>
      <c r="G225" s="16"/>
      <c r="H225" s="16"/>
      <c r="I225" s="16"/>
      <c r="J225" s="16"/>
      <c r="K225" s="16"/>
      <c r="L225" s="16"/>
      <c r="M225" s="16"/>
      <c r="N225" s="16"/>
      <c r="O225" s="16"/>
      <c r="P225" s="16"/>
      <c r="Q225" s="16"/>
      <c r="R225" s="16"/>
      <c r="S225" s="16"/>
      <c r="T225" s="16"/>
      <c r="U225" s="16"/>
      <c r="V225" s="16"/>
      <c r="W225" s="16"/>
      <c r="X225" s="16"/>
      <c r="Y225" s="16"/>
      <c r="Z225" s="16"/>
      <c r="AA225" s="16"/>
      <c r="AB225" s="16"/>
      <c r="AC225" s="16"/>
      <c r="AD225" s="16"/>
      <c r="AE225" s="16"/>
      <c r="AF225" s="16"/>
      <c r="AG225" s="16"/>
      <c r="AH225" s="16"/>
      <c r="AI225" s="16"/>
    </row>
    <row r="226" ht="12.75" customHeight="1" spans="1:35" x14ac:dyDescent="0.25">
      <c r="A226" s="16"/>
      <c r="B226" s="16"/>
      <c r="C226" s="16"/>
      <c r="D226" s="16"/>
      <c r="E226" s="16"/>
      <c r="F226" s="16"/>
      <c r="G226" s="16"/>
      <c r="H226" s="16"/>
      <c r="I226" s="16"/>
      <c r="J226" s="16"/>
      <c r="K226" s="16"/>
      <c r="L226" s="16"/>
      <c r="M226" s="16"/>
      <c r="N226" s="16"/>
      <c r="O226" s="16"/>
      <c r="P226" s="16"/>
      <c r="Q226" s="16"/>
      <c r="R226" s="16"/>
      <c r="S226" s="16"/>
      <c r="T226" s="16"/>
      <c r="U226" s="16"/>
      <c r="V226" s="16"/>
      <c r="W226" s="16"/>
      <c r="X226" s="16"/>
      <c r="Y226" s="16"/>
      <c r="Z226" s="16"/>
      <c r="AA226" s="16"/>
      <c r="AB226" s="16"/>
      <c r="AC226" s="16"/>
      <c r="AD226" s="16"/>
      <c r="AE226" s="16"/>
      <c r="AF226" s="16"/>
      <c r="AG226" s="16"/>
      <c r="AH226" s="16"/>
      <c r="AI226" s="16"/>
    </row>
    <row r="227" ht="12.75" customHeight="1" spans="1:35" x14ac:dyDescent="0.25">
      <c r="A227" s="16"/>
      <c r="B227" s="16"/>
      <c r="C227" s="16"/>
      <c r="D227" s="16"/>
      <c r="E227" s="16"/>
      <c r="F227" s="16"/>
      <c r="G227" s="16"/>
      <c r="H227" s="16"/>
      <c r="I227" s="16"/>
      <c r="J227" s="16"/>
      <c r="K227" s="16"/>
      <c r="L227" s="16"/>
      <c r="M227" s="16"/>
      <c r="N227" s="16"/>
      <c r="O227" s="16"/>
      <c r="P227" s="16"/>
      <c r="Q227" s="16"/>
      <c r="R227" s="16"/>
      <c r="S227" s="16"/>
      <c r="T227" s="16"/>
      <c r="U227" s="16"/>
      <c r="V227" s="16"/>
      <c r="W227" s="16"/>
      <c r="X227" s="16"/>
      <c r="Y227" s="16"/>
      <c r="Z227" s="16"/>
      <c r="AA227" s="16"/>
      <c r="AB227" s="16"/>
      <c r="AC227" s="16"/>
      <c r="AD227" s="16"/>
      <c r="AE227" s="16"/>
      <c r="AF227" s="16"/>
      <c r="AG227" s="16"/>
      <c r="AH227" s="16"/>
      <c r="AI227" s="16"/>
    </row>
    <row r="228" ht="12.75" customHeight="1" spans="1:35" x14ac:dyDescent="0.25">
      <c r="A228" s="16"/>
      <c r="B228" s="16"/>
      <c r="C228" s="16"/>
      <c r="D228" s="16"/>
      <c r="E228" s="16"/>
      <c r="F228" s="16"/>
      <c r="G228" s="16"/>
      <c r="H228" s="16"/>
      <c r="I228" s="16"/>
      <c r="J228" s="16"/>
      <c r="K228" s="16"/>
      <c r="L228" s="16"/>
      <c r="M228" s="16"/>
      <c r="N228" s="16"/>
      <c r="O228" s="16"/>
      <c r="P228" s="16"/>
      <c r="Q228" s="16"/>
      <c r="R228" s="16"/>
      <c r="S228" s="16"/>
      <c r="T228" s="16"/>
      <c r="U228" s="16"/>
      <c r="V228" s="16"/>
      <c r="W228" s="16"/>
      <c r="X228" s="16"/>
      <c r="Y228" s="16"/>
      <c r="Z228" s="16"/>
      <c r="AA228" s="16"/>
      <c r="AB228" s="16"/>
      <c r="AC228" s="16"/>
      <c r="AD228" s="16"/>
      <c r="AE228" s="16"/>
      <c r="AF228" s="16"/>
      <c r="AG228" s="16"/>
      <c r="AH228" s="16"/>
      <c r="AI228" s="16"/>
    </row>
    <row r="229" ht="12.75" customHeight="1" spans="1:35" x14ac:dyDescent="0.25">
      <c r="A229" s="16"/>
      <c r="B229" s="16"/>
      <c r="C229" s="16"/>
      <c r="D229" s="16"/>
      <c r="E229" s="16"/>
      <c r="F229" s="16"/>
      <c r="G229" s="16"/>
      <c r="H229" s="16"/>
      <c r="I229" s="16"/>
      <c r="J229" s="16"/>
      <c r="K229" s="16"/>
      <c r="L229" s="16"/>
      <c r="M229" s="16"/>
      <c r="N229" s="16"/>
      <c r="O229" s="16"/>
      <c r="P229" s="16"/>
      <c r="Q229" s="16"/>
      <c r="R229" s="16"/>
      <c r="S229" s="16"/>
      <c r="T229" s="16"/>
      <c r="U229" s="16"/>
      <c r="V229" s="16"/>
      <c r="W229" s="16"/>
      <c r="X229" s="16"/>
      <c r="Y229" s="16"/>
      <c r="Z229" s="16"/>
      <c r="AA229" s="16"/>
      <c r="AB229" s="16"/>
      <c r="AC229" s="16"/>
      <c r="AD229" s="16"/>
      <c r="AE229" s="16"/>
      <c r="AF229" s="16"/>
      <c r="AG229" s="16"/>
      <c r="AH229" s="16"/>
      <c r="AI229" s="16"/>
    </row>
    <row r="230" ht="12.75" customHeight="1" spans="1:35" x14ac:dyDescent="0.25">
      <c r="A230" s="16"/>
      <c r="B230" s="16"/>
      <c r="C230" s="16"/>
      <c r="D230" s="16"/>
      <c r="E230" s="16"/>
      <c r="F230" s="16"/>
      <c r="G230" s="16"/>
      <c r="H230" s="16"/>
      <c r="I230" s="16"/>
      <c r="J230" s="16"/>
      <c r="K230" s="16"/>
      <c r="L230" s="16"/>
      <c r="M230" s="16"/>
      <c r="N230" s="16"/>
      <c r="O230" s="16"/>
      <c r="P230" s="16"/>
      <c r="Q230" s="16"/>
      <c r="R230" s="16"/>
      <c r="S230" s="16"/>
      <c r="T230" s="16"/>
      <c r="U230" s="16"/>
      <c r="V230" s="16"/>
      <c r="W230" s="16"/>
      <c r="X230" s="16"/>
      <c r="Y230" s="16"/>
      <c r="Z230" s="16"/>
      <c r="AA230" s="16"/>
      <c r="AB230" s="16"/>
      <c r="AC230" s="16"/>
      <c r="AD230" s="16"/>
      <c r="AE230" s="16"/>
      <c r="AF230" s="16"/>
      <c r="AG230" s="16"/>
      <c r="AH230" s="16"/>
      <c r="AI230" s="16"/>
    </row>
    <row r="231" ht="12.75" customHeight="1" spans="1:35" x14ac:dyDescent="0.25">
      <c r="A231" s="16"/>
      <c r="B231" s="16"/>
      <c r="C231" s="16"/>
      <c r="D231" s="16"/>
      <c r="E231" s="16"/>
      <c r="F231" s="16"/>
      <c r="G231" s="16"/>
      <c r="H231" s="16"/>
      <c r="I231" s="16"/>
      <c r="J231" s="16"/>
      <c r="K231" s="16"/>
      <c r="L231" s="16"/>
      <c r="M231" s="16"/>
      <c r="N231" s="16"/>
      <c r="O231" s="16"/>
      <c r="P231" s="16"/>
      <c r="Q231" s="16"/>
      <c r="R231" s="16"/>
      <c r="S231" s="16"/>
      <c r="T231" s="16"/>
      <c r="U231" s="16"/>
      <c r="V231" s="16"/>
      <c r="W231" s="16"/>
      <c r="X231" s="16"/>
      <c r="Y231" s="16"/>
      <c r="Z231" s="16"/>
      <c r="AA231" s="16"/>
      <c r="AB231" s="16"/>
      <c r="AC231" s="16"/>
      <c r="AD231" s="16"/>
      <c r="AE231" s="16"/>
      <c r="AF231" s="16"/>
      <c r="AG231" s="16"/>
      <c r="AH231" s="16"/>
      <c r="AI231" s="16"/>
    </row>
    <row r="232" ht="12.75" customHeight="1" spans="1:35" x14ac:dyDescent="0.25">
      <c r="A232" s="16"/>
      <c r="B232" s="16"/>
      <c r="C232" s="16"/>
      <c r="D232" s="16"/>
      <c r="E232" s="16"/>
      <c r="F232" s="16"/>
      <c r="G232" s="16"/>
      <c r="H232" s="16"/>
      <c r="I232" s="16"/>
      <c r="J232" s="16"/>
      <c r="K232" s="16"/>
      <c r="L232" s="16"/>
      <c r="M232" s="16"/>
      <c r="N232" s="16"/>
      <c r="O232" s="16"/>
      <c r="P232" s="16"/>
      <c r="Q232" s="16"/>
      <c r="R232" s="16"/>
      <c r="S232" s="16"/>
      <c r="T232" s="16"/>
      <c r="U232" s="16"/>
      <c r="V232" s="16"/>
      <c r="W232" s="16"/>
      <c r="X232" s="16"/>
      <c r="Y232" s="16"/>
      <c r="Z232" s="16"/>
      <c r="AA232" s="16"/>
      <c r="AB232" s="16"/>
      <c r="AC232" s="16"/>
      <c r="AD232" s="16"/>
      <c r="AE232" s="16"/>
      <c r="AF232" s="16"/>
      <c r="AG232" s="16"/>
      <c r="AH232" s="16"/>
      <c r="AI232" s="16"/>
    </row>
    <row r="233" ht="12.75" customHeight="1" spans="1:35" x14ac:dyDescent="0.25">
      <c r="A233" s="16"/>
      <c r="B233" s="16"/>
      <c r="C233" s="16"/>
      <c r="D233" s="16"/>
      <c r="E233" s="16"/>
      <c r="F233" s="16"/>
      <c r="G233" s="16"/>
      <c r="H233" s="16"/>
      <c r="I233" s="16"/>
      <c r="J233" s="16"/>
      <c r="K233" s="16"/>
      <c r="L233" s="16"/>
      <c r="M233" s="16"/>
      <c r="N233" s="16"/>
      <c r="O233" s="16"/>
      <c r="P233" s="16"/>
      <c r="Q233" s="16"/>
      <c r="R233" s="16"/>
      <c r="S233" s="16"/>
      <c r="T233" s="16"/>
      <c r="U233" s="16"/>
      <c r="V233" s="16"/>
      <c r="W233" s="16"/>
      <c r="X233" s="16"/>
      <c r="Y233" s="16"/>
      <c r="Z233" s="16"/>
      <c r="AA233" s="16"/>
      <c r="AB233" s="16"/>
      <c r="AC233" s="16"/>
      <c r="AD233" s="16"/>
      <c r="AE233" s="16"/>
      <c r="AF233" s="16"/>
      <c r="AG233" s="16"/>
      <c r="AH233" s="16"/>
      <c r="AI233" s="16"/>
    </row>
    <row r="234" ht="12.75" customHeight="1" spans="1:35" x14ac:dyDescent="0.25">
      <c r="A234" s="16"/>
      <c r="B234" s="16"/>
      <c r="C234" s="16"/>
      <c r="D234" s="16"/>
      <c r="E234" s="16"/>
      <c r="F234" s="16"/>
      <c r="G234" s="16"/>
      <c r="H234" s="16"/>
      <c r="I234" s="16"/>
      <c r="J234" s="16"/>
      <c r="K234" s="16"/>
      <c r="L234" s="16"/>
      <c r="M234" s="16"/>
      <c r="N234" s="16"/>
      <c r="O234" s="16"/>
      <c r="P234" s="16"/>
      <c r="Q234" s="16"/>
      <c r="R234" s="16"/>
      <c r="S234" s="16"/>
      <c r="T234" s="16"/>
      <c r="U234" s="16"/>
      <c r="V234" s="16"/>
      <c r="W234" s="16"/>
      <c r="X234" s="16"/>
      <c r="Y234" s="16"/>
      <c r="Z234" s="16"/>
      <c r="AA234" s="16"/>
      <c r="AB234" s="16"/>
      <c r="AC234" s="16"/>
      <c r="AD234" s="16"/>
      <c r="AE234" s="16"/>
      <c r="AF234" s="16"/>
      <c r="AG234" s="16"/>
      <c r="AH234" s="16"/>
      <c r="AI234" s="16"/>
    </row>
    <row r="235" ht="12.75" customHeight="1" spans="1:35" x14ac:dyDescent="0.25">
      <c r="A235" s="16"/>
      <c r="B235" s="16"/>
      <c r="C235" s="16"/>
      <c r="D235" s="16"/>
      <c r="E235" s="16"/>
      <c r="F235" s="16"/>
      <c r="G235" s="16"/>
      <c r="H235" s="16"/>
      <c r="I235" s="16"/>
      <c r="J235" s="16"/>
      <c r="K235" s="16"/>
      <c r="L235" s="16"/>
      <c r="M235" s="16"/>
      <c r="N235" s="16"/>
      <c r="O235" s="16"/>
      <c r="P235" s="16"/>
      <c r="Q235" s="16"/>
      <c r="R235" s="16"/>
      <c r="S235" s="16"/>
      <c r="T235" s="16"/>
      <c r="U235" s="16"/>
      <c r="V235" s="16"/>
      <c r="W235" s="16"/>
      <c r="X235" s="16"/>
      <c r="Y235" s="16"/>
      <c r="Z235" s="16"/>
      <c r="AA235" s="16"/>
      <c r="AB235" s="16"/>
      <c r="AC235" s="16"/>
      <c r="AD235" s="16"/>
      <c r="AE235" s="16"/>
      <c r="AF235" s="16"/>
      <c r="AG235" s="16"/>
      <c r="AH235" s="16"/>
      <c r="AI235" s="16"/>
    </row>
    <row r="236" ht="12.75" customHeight="1" spans="1:35" x14ac:dyDescent="0.25">
      <c r="A236" s="16"/>
      <c r="B236" s="16"/>
      <c r="C236" s="16"/>
      <c r="D236" s="16"/>
      <c r="E236" s="16"/>
      <c r="F236" s="16"/>
      <c r="G236" s="16"/>
      <c r="H236" s="16"/>
      <c r="I236" s="16"/>
      <c r="J236" s="16"/>
      <c r="K236" s="16"/>
      <c r="L236" s="16"/>
      <c r="M236" s="16"/>
      <c r="N236" s="16"/>
      <c r="O236" s="16"/>
      <c r="P236" s="16"/>
      <c r="Q236" s="16"/>
      <c r="R236" s="16"/>
      <c r="S236" s="16"/>
      <c r="T236" s="16"/>
      <c r="U236" s="16"/>
      <c r="V236" s="16"/>
      <c r="W236" s="16"/>
      <c r="X236" s="16"/>
      <c r="Y236" s="16"/>
      <c r="Z236" s="16"/>
      <c r="AA236" s="16"/>
      <c r="AB236" s="16"/>
      <c r="AC236" s="16"/>
      <c r="AD236" s="16"/>
      <c r="AE236" s="16"/>
      <c r="AF236" s="16"/>
      <c r="AG236" s="16"/>
      <c r="AH236" s="16"/>
      <c r="AI236" s="16"/>
    </row>
    <row r="237" ht="12.75" customHeight="1" spans="1:35" x14ac:dyDescent="0.25">
      <c r="A237" s="16"/>
      <c r="B237" s="16"/>
      <c r="C237" s="16"/>
      <c r="D237" s="16"/>
      <c r="E237" s="16"/>
      <c r="F237" s="16"/>
      <c r="G237" s="16"/>
      <c r="H237" s="16"/>
      <c r="I237" s="16"/>
      <c r="J237" s="16"/>
      <c r="K237" s="16"/>
      <c r="L237" s="16"/>
      <c r="M237" s="16"/>
      <c r="N237" s="16"/>
      <c r="O237" s="16"/>
      <c r="P237" s="16"/>
      <c r="Q237" s="16"/>
      <c r="R237" s="16"/>
      <c r="S237" s="16"/>
      <c r="T237" s="16"/>
      <c r="U237" s="16"/>
      <c r="V237" s="16"/>
      <c r="W237" s="16"/>
      <c r="X237" s="16"/>
      <c r="Y237" s="16"/>
      <c r="Z237" s="16"/>
      <c r="AA237" s="16"/>
      <c r="AB237" s="16"/>
      <c r="AC237" s="16"/>
      <c r="AD237" s="16"/>
      <c r="AE237" s="16"/>
      <c r="AF237" s="16"/>
      <c r="AG237" s="16"/>
      <c r="AH237" s="16"/>
      <c r="AI237" s="16"/>
    </row>
    <row r="238" ht="12.75" customHeight="1" spans="1:35" x14ac:dyDescent="0.25">
      <c r="A238" s="16"/>
      <c r="B238" s="16"/>
      <c r="C238" s="16"/>
      <c r="D238" s="16"/>
      <c r="E238" s="16"/>
      <c r="F238" s="16"/>
      <c r="G238" s="16"/>
      <c r="H238" s="16"/>
      <c r="I238" s="16"/>
      <c r="J238" s="16"/>
      <c r="K238" s="16"/>
      <c r="L238" s="16"/>
      <c r="M238" s="16"/>
      <c r="N238" s="16"/>
      <c r="O238" s="16"/>
      <c r="P238" s="16"/>
      <c r="Q238" s="16"/>
      <c r="R238" s="16"/>
      <c r="S238" s="16"/>
      <c r="T238" s="16"/>
      <c r="U238" s="16"/>
      <c r="V238" s="16"/>
      <c r="W238" s="16"/>
      <c r="X238" s="16"/>
      <c r="Y238" s="16"/>
      <c r="Z238" s="16"/>
      <c r="AA238" s="16"/>
      <c r="AB238" s="16"/>
      <c r="AC238" s="16"/>
      <c r="AD238" s="16"/>
      <c r="AE238" s="16"/>
      <c r="AF238" s="16"/>
      <c r="AG238" s="16"/>
      <c r="AH238" s="16"/>
      <c r="AI238" s="16"/>
    </row>
    <row r="239" ht="12.75" customHeight="1" spans="1:35" x14ac:dyDescent="0.25">
      <c r="A239" s="16"/>
      <c r="B239" s="16"/>
      <c r="C239" s="16"/>
      <c r="D239" s="16"/>
      <c r="E239" s="16"/>
      <c r="F239" s="16"/>
      <c r="G239" s="16"/>
      <c r="H239" s="16"/>
      <c r="I239" s="16"/>
      <c r="J239" s="16"/>
      <c r="K239" s="16"/>
      <c r="L239" s="16"/>
      <c r="M239" s="16"/>
      <c r="N239" s="16"/>
      <c r="O239" s="16"/>
      <c r="P239" s="16"/>
      <c r="Q239" s="16"/>
      <c r="R239" s="16"/>
      <c r="S239" s="16"/>
      <c r="T239" s="16"/>
      <c r="U239" s="16"/>
      <c r="V239" s="16"/>
      <c r="W239" s="16"/>
      <c r="X239" s="16"/>
      <c r="Y239" s="16"/>
      <c r="Z239" s="16"/>
      <c r="AA239" s="16"/>
      <c r="AB239" s="16"/>
      <c r="AC239" s="16"/>
      <c r="AD239" s="16"/>
      <c r="AE239" s="16"/>
      <c r="AF239" s="16"/>
      <c r="AG239" s="16"/>
      <c r="AH239" s="16"/>
      <c r="AI239" s="16"/>
    </row>
    <row r="240" ht="12.75" customHeight="1" spans="1:35" x14ac:dyDescent="0.25">
      <c r="A240" s="16"/>
      <c r="B240" s="16"/>
      <c r="C240" s="16"/>
      <c r="D240" s="16"/>
      <c r="E240" s="16"/>
      <c r="F240" s="16"/>
      <c r="G240" s="16"/>
      <c r="H240" s="16"/>
      <c r="I240" s="16"/>
      <c r="J240" s="16"/>
      <c r="K240" s="16"/>
      <c r="L240" s="16"/>
      <c r="M240" s="16"/>
      <c r="N240" s="16"/>
      <c r="O240" s="16"/>
      <c r="P240" s="16"/>
      <c r="Q240" s="16"/>
      <c r="R240" s="16"/>
      <c r="S240" s="16"/>
      <c r="T240" s="16"/>
      <c r="U240" s="16"/>
      <c r="V240" s="16"/>
      <c r="W240" s="16"/>
      <c r="X240" s="16"/>
      <c r="Y240" s="16"/>
      <c r="Z240" s="16"/>
      <c r="AA240" s="16"/>
      <c r="AB240" s="16"/>
      <c r="AC240" s="16"/>
      <c r="AD240" s="16"/>
      <c r="AE240" s="16"/>
      <c r="AF240" s="16"/>
      <c r="AG240" s="16"/>
      <c r="AH240" s="16"/>
      <c r="AI240" s="16"/>
    </row>
    <row r="241" ht="12.75" customHeight="1" spans="1:35" x14ac:dyDescent="0.25">
      <c r="A241" s="16"/>
      <c r="B241" s="16"/>
      <c r="C241" s="16"/>
      <c r="D241" s="16"/>
      <c r="E241" s="16"/>
      <c r="F241" s="16"/>
      <c r="G241" s="16"/>
      <c r="H241" s="16"/>
      <c r="I241" s="16"/>
      <c r="J241" s="16"/>
      <c r="K241" s="16"/>
      <c r="L241" s="16"/>
      <c r="M241" s="16"/>
      <c r="N241" s="16"/>
      <c r="O241" s="16"/>
      <c r="P241" s="16"/>
      <c r="Q241" s="16"/>
      <c r="R241" s="16"/>
      <c r="S241" s="16"/>
      <c r="T241" s="16"/>
      <c r="U241" s="16"/>
      <c r="V241" s="16"/>
      <c r="W241" s="16"/>
      <c r="X241" s="16"/>
      <c r="Y241" s="16"/>
      <c r="Z241" s="16"/>
      <c r="AA241" s="16"/>
      <c r="AB241" s="16"/>
      <c r="AC241" s="16"/>
      <c r="AD241" s="16"/>
      <c r="AE241" s="16"/>
      <c r="AF241" s="16"/>
      <c r="AG241" s="16"/>
      <c r="AH241" s="16"/>
      <c r="AI241" s="16"/>
    </row>
    <row r="242" ht="12.75" customHeight="1" spans="1:35" x14ac:dyDescent="0.25">
      <c r="A242" s="16"/>
      <c r="B242" s="16"/>
      <c r="C242" s="16"/>
      <c r="D242" s="16"/>
      <c r="E242" s="16"/>
      <c r="F242" s="16"/>
      <c r="G242" s="16"/>
      <c r="H242" s="16"/>
      <c r="I242" s="16"/>
      <c r="J242" s="16"/>
      <c r="K242" s="16"/>
      <c r="L242" s="16"/>
      <c r="M242" s="16"/>
      <c r="N242" s="16"/>
      <c r="O242" s="16"/>
      <c r="P242" s="16"/>
      <c r="Q242" s="16"/>
      <c r="R242" s="16"/>
      <c r="S242" s="16"/>
      <c r="T242" s="16"/>
      <c r="U242" s="16"/>
      <c r="V242" s="16"/>
      <c r="W242" s="16"/>
      <c r="X242" s="16"/>
      <c r="Y242" s="16"/>
      <c r="Z242" s="16"/>
      <c r="AA242" s="16"/>
      <c r="AB242" s="16"/>
      <c r="AC242" s="16"/>
      <c r="AD242" s="16"/>
      <c r="AE242" s="16"/>
      <c r="AF242" s="16"/>
      <c r="AG242" s="16"/>
      <c r="AH242" s="16"/>
      <c r="AI242" s="16"/>
    </row>
    <row r="243" ht="12.75" customHeight="1" spans="1:35" x14ac:dyDescent="0.25">
      <c r="A243" s="16"/>
      <c r="B243" s="16"/>
      <c r="C243" s="16"/>
      <c r="D243" s="16"/>
      <c r="E243" s="16"/>
      <c r="F243" s="16"/>
      <c r="G243" s="16"/>
      <c r="H243" s="16"/>
      <c r="I243" s="16"/>
      <c r="J243" s="16"/>
      <c r="K243" s="16"/>
      <c r="L243" s="16"/>
      <c r="M243" s="16"/>
      <c r="N243" s="16"/>
      <c r="O243" s="16"/>
      <c r="P243" s="16"/>
      <c r="Q243" s="16"/>
      <c r="R243" s="16"/>
      <c r="S243" s="16"/>
      <c r="T243" s="16"/>
      <c r="U243" s="16"/>
      <c r="V243" s="16"/>
      <c r="W243" s="16"/>
      <c r="X243" s="16"/>
      <c r="Y243" s="16"/>
      <c r="Z243" s="16"/>
      <c r="AA243" s="16"/>
      <c r="AB243" s="16"/>
      <c r="AC243" s="16"/>
      <c r="AD243" s="16"/>
      <c r="AE243" s="16"/>
      <c r="AF243" s="16"/>
      <c r="AG243" s="16"/>
      <c r="AH243" s="16"/>
      <c r="AI243" s="16"/>
    </row>
    <row r="244" ht="12.75" customHeight="1" spans="1:35" x14ac:dyDescent="0.25">
      <c r="A244" s="16"/>
      <c r="B244" s="16"/>
      <c r="C244" s="16"/>
      <c r="D244" s="16"/>
      <c r="E244" s="16"/>
      <c r="F244" s="16"/>
      <c r="G244" s="16"/>
      <c r="H244" s="16"/>
      <c r="I244" s="16"/>
      <c r="J244" s="16"/>
      <c r="K244" s="16"/>
      <c r="L244" s="16"/>
      <c r="M244" s="16"/>
      <c r="N244" s="16"/>
      <c r="O244" s="16"/>
      <c r="P244" s="16"/>
      <c r="Q244" s="16"/>
      <c r="R244" s="16"/>
      <c r="S244" s="16"/>
      <c r="T244" s="16"/>
      <c r="U244" s="16"/>
      <c r="V244" s="16"/>
      <c r="W244" s="16"/>
      <c r="X244" s="16"/>
      <c r="Y244" s="16"/>
      <c r="Z244" s="16"/>
      <c r="AA244" s="16"/>
      <c r="AB244" s="16"/>
      <c r="AC244" s="16"/>
      <c r="AD244" s="16"/>
      <c r="AE244" s="16"/>
      <c r="AF244" s="16"/>
      <c r="AG244" s="16"/>
      <c r="AH244" s="16"/>
      <c r="AI244" s="16"/>
    </row>
    <row r="245" ht="12.75" customHeight="1" spans="1:35" x14ac:dyDescent="0.25">
      <c r="A245" s="16"/>
      <c r="B245" s="16"/>
      <c r="C245" s="16"/>
      <c r="D245" s="16"/>
      <c r="E245" s="16"/>
      <c r="F245" s="16"/>
      <c r="G245" s="16"/>
      <c r="H245" s="16"/>
      <c r="I245" s="16"/>
      <c r="J245" s="16"/>
      <c r="K245" s="16"/>
      <c r="L245" s="16"/>
      <c r="M245" s="16"/>
      <c r="N245" s="16"/>
      <c r="O245" s="16"/>
      <c r="P245" s="16"/>
      <c r="Q245" s="16"/>
      <c r="R245" s="16"/>
      <c r="S245" s="16"/>
      <c r="T245" s="16"/>
      <c r="U245" s="16"/>
      <c r="V245" s="16"/>
      <c r="W245" s="16"/>
      <c r="X245" s="16"/>
      <c r="Y245" s="16"/>
      <c r="Z245" s="16"/>
      <c r="AA245" s="16"/>
      <c r="AB245" s="16"/>
      <c r="AC245" s="16"/>
      <c r="AD245" s="16"/>
      <c r="AE245" s="16"/>
      <c r="AF245" s="16"/>
      <c r="AG245" s="16"/>
      <c r="AH245" s="16"/>
      <c r="AI245" s="16"/>
    </row>
    <row r="246" ht="12.75" customHeight="1" spans="1:35" x14ac:dyDescent="0.25">
      <c r="A246" s="16"/>
      <c r="B246" s="16"/>
      <c r="C246" s="16"/>
      <c r="D246" s="16"/>
      <c r="E246" s="16"/>
      <c r="F246" s="16"/>
      <c r="G246" s="16"/>
      <c r="H246" s="16"/>
      <c r="I246" s="16"/>
      <c r="J246" s="16"/>
      <c r="K246" s="16"/>
      <c r="L246" s="16"/>
      <c r="M246" s="16"/>
      <c r="N246" s="16"/>
      <c r="O246" s="16"/>
      <c r="P246" s="16"/>
      <c r="Q246" s="16"/>
      <c r="R246" s="16"/>
      <c r="S246" s="16"/>
      <c r="T246" s="16"/>
      <c r="U246" s="16"/>
      <c r="V246" s="16"/>
      <c r="W246" s="16"/>
      <c r="X246" s="16"/>
      <c r="Y246" s="16"/>
      <c r="Z246" s="16"/>
      <c r="AA246" s="16"/>
      <c r="AB246" s="16"/>
      <c r="AC246" s="16"/>
      <c r="AD246" s="16"/>
      <c r="AE246" s="16"/>
      <c r="AF246" s="16"/>
      <c r="AG246" s="16"/>
      <c r="AH246" s="16"/>
      <c r="AI246" s="16"/>
    </row>
    <row r="247" ht="12.75" customHeight="1" spans="1:35" x14ac:dyDescent="0.25">
      <c r="A247" s="16"/>
      <c r="B247" s="16"/>
      <c r="C247" s="16"/>
      <c r="D247" s="16"/>
      <c r="E247" s="16"/>
      <c r="F247" s="16"/>
      <c r="G247" s="16"/>
      <c r="H247" s="16"/>
      <c r="I247" s="16"/>
      <c r="J247" s="16"/>
      <c r="K247" s="16"/>
      <c r="L247" s="16"/>
      <c r="M247" s="16"/>
      <c r="N247" s="16"/>
      <c r="O247" s="16"/>
      <c r="P247" s="16"/>
      <c r="Q247" s="16"/>
      <c r="R247" s="16"/>
      <c r="S247" s="16"/>
      <c r="T247" s="16"/>
      <c r="U247" s="16"/>
      <c r="V247" s="16"/>
      <c r="W247" s="16"/>
      <c r="X247" s="16"/>
      <c r="Y247" s="16"/>
      <c r="Z247" s="16"/>
      <c r="AA247" s="16"/>
      <c r="AB247" s="16"/>
      <c r="AC247" s="16"/>
      <c r="AD247" s="16"/>
      <c r="AE247" s="16"/>
      <c r="AF247" s="16"/>
      <c r="AG247" s="16"/>
      <c r="AH247" s="16"/>
      <c r="AI247" s="16"/>
    </row>
    <row r="248" ht="12.75" customHeight="1" spans="1:35" x14ac:dyDescent="0.25">
      <c r="A248" s="16"/>
      <c r="B248" s="16"/>
      <c r="C248" s="16"/>
      <c r="D248" s="16"/>
      <c r="E248" s="16"/>
      <c r="F248" s="16"/>
      <c r="G248" s="16"/>
      <c r="H248" s="16"/>
      <c r="I248" s="16"/>
      <c r="J248" s="16"/>
      <c r="K248" s="16"/>
      <c r="L248" s="16"/>
      <c r="M248" s="16"/>
      <c r="N248" s="16"/>
      <c r="O248" s="16"/>
      <c r="P248" s="16"/>
      <c r="Q248" s="16"/>
      <c r="R248" s="16"/>
      <c r="S248" s="16"/>
      <c r="T248" s="16"/>
      <c r="U248" s="16"/>
      <c r="V248" s="16"/>
      <c r="W248" s="16"/>
      <c r="X248" s="16"/>
      <c r="Y248" s="16"/>
      <c r="Z248" s="16"/>
      <c r="AA248" s="16"/>
      <c r="AB248" s="16"/>
      <c r="AC248" s="16"/>
      <c r="AD248" s="16"/>
      <c r="AE248" s="16"/>
      <c r="AF248" s="16"/>
      <c r="AG248" s="16"/>
      <c r="AH248" s="16"/>
      <c r="AI248" s="16"/>
    </row>
    <row r="249" ht="12.75" customHeight="1" spans="1:35" x14ac:dyDescent="0.25">
      <c r="A249" s="16"/>
      <c r="B249" s="16"/>
      <c r="C249" s="16"/>
      <c r="D249" s="16"/>
      <c r="E249" s="16"/>
      <c r="F249" s="16"/>
      <c r="G249" s="16"/>
      <c r="H249" s="16"/>
      <c r="I249" s="16"/>
      <c r="J249" s="16"/>
      <c r="K249" s="16"/>
      <c r="L249" s="16"/>
      <c r="M249" s="16"/>
      <c r="N249" s="16"/>
      <c r="O249" s="16"/>
      <c r="P249" s="16"/>
      <c r="Q249" s="16"/>
      <c r="R249" s="16"/>
      <c r="S249" s="16"/>
      <c r="T249" s="16"/>
      <c r="U249" s="16"/>
      <c r="V249" s="16"/>
      <c r="W249" s="16"/>
      <c r="X249" s="16"/>
      <c r="Y249" s="16"/>
      <c r="Z249" s="16"/>
      <c r="AA249" s="16"/>
      <c r="AB249" s="16"/>
      <c r="AC249" s="16"/>
      <c r="AD249" s="16"/>
      <c r="AE249" s="16"/>
      <c r="AF249" s="16"/>
      <c r="AG249" s="16"/>
      <c r="AH249" s="16"/>
      <c r="AI249" s="16"/>
    </row>
    <row r="250" ht="12.75" customHeight="1" spans="1:35" x14ac:dyDescent="0.25">
      <c r="A250" s="16"/>
      <c r="B250" s="16"/>
      <c r="C250" s="16"/>
      <c r="D250" s="16"/>
      <c r="E250" s="16"/>
      <c r="F250" s="16"/>
      <c r="G250" s="16"/>
      <c r="H250" s="16"/>
      <c r="I250" s="16"/>
      <c r="J250" s="16"/>
      <c r="K250" s="16"/>
      <c r="L250" s="16"/>
      <c r="M250" s="16"/>
      <c r="N250" s="16"/>
      <c r="O250" s="16"/>
      <c r="P250" s="16"/>
      <c r="Q250" s="16"/>
      <c r="R250" s="16"/>
      <c r="S250" s="16"/>
      <c r="T250" s="16"/>
      <c r="U250" s="16"/>
      <c r="V250" s="16"/>
      <c r="W250" s="16"/>
      <c r="X250" s="16"/>
      <c r="Y250" s="16"/>
      <c r="Z250" s="16"/>
      <c r="AA250" s="16"/>
      <c r="AB250" s="16"/>
      <c r="AC250" s="16"/>
      <c r="AD250" s="16"/>
      <c r="AE250" s="16"/>
      <c r="AF250" s="16"/>
      <c r="AG250" s="16"/>
      <c r="AH250" s="16"/>
      <c r="AI250" s="16"/>
    </row>
    <row r="251" ht="12.75" customHeight="1" spans="1:35" x14ac:dyDescent="0.25">
      <c r="A251" s="16"/>
      <c r="B251" s="16"/>
      <c r="C251" s="16"/>
      <c r="D251" s="16"/>
      <c r="E251" s="16"/>
      <c r="F251" s="16"/>
      <c r="G251" s="16"/>
      <c r="H251" s="16"/>
      <c r="I251" s="16"/>
      <c r="J251" s="16"/>
      <c r="K251" s="16"/>
      <c r="L251" s="16"/>
      <c r="M251" s="16"/>
      <c r="N251" s="16"/>
      <c r="O251" s="16"/>
      <c r="P251" s="16"/>
      <c r="Q251" s="16"/>
      <c r="R251" s="16"/>
      <c r="S251" s="16"/>
      <c r="T251" s="16"/>
      <c r="U251" s="16"/>
      <c r="V251" s="16"/>
      <c r="W251" s="16"/>
      <c r="X251" s="16"/>
      <c r="Y251" s="16"/>
      <c r="Z251" s="16"/>
      <c r="AA251" s="16"/>
      <c r="AB251" s="16"/>
      <c r="AC251" s="16"/>
      <c r="AD251" s="16"/>
      <c r="AE251" s="16"/>
      <c r="AF251" s="16"/>
      <c r="AG251" s="16"/>
      <c r="AH251" s="16"/>
      <c r="AI251" s="16"/>
    </row>
    <row r="252" ht="12.75" customHeight="1" spans="1:35" x14ac:dyDescent="0.25">
      <c r="A252" s="16"/>
      <c r="B252" s="16"/>
      <c r="C252" s="16"/>
      <c r="D252" s="16"/>
      <c r="E252" s="16"/>
      <c r="F252" s="16"/>
      <c r="G252" s="16"/>
      <c r="H252" s="16"/>
      <c r="I252" s="16"/>
      <c r="J252" s="16"/>
      <c r="K252" s="16"/>
      <c r="L252" s="16"/>
      <c r="M252" s="16"/>
      <c r="N252" s="16"/>
      <c r="O252" s="16"/>
      <c r="P252" s="16"/>
      <c r="Q252" s="16"/>
      <c r="R252" s="16"/>
      <c r="S252" s="16"/>
      <c r="T252" s="16"/>
      <c r="U252" s="16"/>
      <c r="V252" s="16"/>
      <c r="W252" s="16"/>
      <c r="X252" s="16"/>
      <c r="Y252" s="16"/>
      <c r="Z252" s="16"/>
      <c r="AA252" s="16"/>
      <c r="AB252" s="16"/>
      <c r="AC252" s="16"/>
      <c r="AD252" s="16"/>
      <c r="AE252" s="16"/>
      <c r="AF252" s="16"/>
      <c r="AG252" s="16"/>
      <c r="AH252" s="16"/>
      <c r="AI252" s="16"/>
    </row>
    <row r="253" ht="12.75" customHeight="1" spans="1:35" x14ac:dyDescent="0.25">
      <c r="A253" s="16"/>
      <c r="B253" s="16"/>
      <c r="C253" s="16"/>
      <c r="D253" s="16"/>
      <c r="E253" s="16"/>
      <c r="F253" s="16"/>
      <c r="G253" s="16"/>
      <c r="H253" s="16"/>
      <c r="I253" s="16"/>
      <c r="J253" s="16"/>
      <c r="K253" s="16"/>
      <c r="L253" s="16"/>
      <c r="M253" s="16"/>
      <c r="N253" s="16"/>
      <c r="O253" s="16"/>
      <c r="P253" s="16"/>
      <c r="Q253" s="16"/>
      <c r="R253" s="16"/>
      <c r="S253" s="16"/>
      <c r="T253" s="16"/>
      <c r="U253" s="16"/>
      <c r="V253" s="16"/>
      <c r="W253" s="16"/>
      <c r="X253" s="16"/>
      <c r="Y253" s="16"/>
      <c r="Z253" s="16"/>
      <c r="AA253" s="16"/>
      <c r="AB253" s="16"/>
      <c r="AC253" s="16"/>
      <c r="AD253" s="16"/>
      <c r="AE253" s="16"/>
      <c r="AF253" s="16"/>
      <c r="AG253" s="16"/>
      <c r="AH253" s="16"/>
      <c r="AI253" s="16"/>
    </row>
    <row r="254" ht="12.75" customHeight="1" spans="1:35" x14ac:dyDescent="0.25">
      <c r="A254" s="16"/>
      <c r="B254" s="16"/>
      <c r="C254" s="16"/>
      <c r="D254" s="16"/>
      <c r="E254" s="16"/>
      <c r="F254" s="16"/>
      <c r="G254" s="16"/>
      <c r="H254" s="16"/>
      <c r="I254" s="16"/>
      <c r="J254" s="16"/>
      <c r="K254" s="16"/>
      <c r="L254" s="16"/>
      <c r="M254" s="16"/>
      <c r="N254" s="16"/>
      <c r="O254" s="16"/>
      <c r="P254" s="16"/>
      <c r="Q254" s="16"/>
      <c r="R254" s="16"/>
      <c r="S254" s="16"/>
      <c r="T254" s="16"/>
      <c r="U254" s="16"/>
      <c r="V254" s="16"/>
      <c r="W254" s="16"/>
      <c r="X254" s="16"/>
      <c r="Y254" s="16"/>
      <c r="Z254" s="16"/>
      <c r="AA254" s="16"/>
      <c r="AB254" s="16"/>
      <c r="AC254" s="16"/>
      <c r="AD254" s="16"/>
      <c r="AE254" s="16"/>
      <c r="AF254" s="16"/>
      <c r="AG254" s="16"/>
      <c r="AH254" s="16"/>
      <c r="AI254" s="16"/>
    </row>
    <row r="255" ht="12.75" customHeight="1" spans="1:35" x14ac:dyDescent="0.25">
      <c r="A255" s="16"/>
      <c r="B255" s="16"/>
      <c r="C255" s="16"/>
      <c r="D255" s="16"/>
      <c r="E255" s="16"/>
      <c r="F255" s="16"/>
      <c r="G255" s="16"/>
      <c r="H255" s="16"/>
      <c r="I255" s="16"/>
      <c r="J255" s="16"/>
      <c r="K255" s="16"/>
      <c r="L255" s="16"/>
      <c r="M255" s="16"/>
      <c r="N255" s="16"/>
      <c r="O255" s="16"/>
      <c r="P255" s="16"/>
      <c r="Q255" s="16"/>
      <c r="R255" s="16"/>
      <c r="S255" s="16"/>
      <c r="T255" s="16"/>
      <c r="U255" s="16"/>
      <c r="V255" s="16"/>
      <c r="W255" s="16"/>
      <c r="X255" s="16"/>
      <c r="Y255" s="16"/>
      <c r="Z255" s="16"/>
      <c r="AA255" s="16"/>
      <c r="AB255" s="16"/>
      <c r="AC255" s="16"/>
      <c r="AD255" s="16"/>
      <c r="AE255" s="16"/>
      <c r="AF255" s="16"/>
      <c r="AG255" s="16"/>
      <c r="AH255" s="16"/>
      <c r="AI255" s="16"/>
    </row>
    <row r="256" ht="12.75" customHeight="1" spans="1:35" x14ac:dyDescent="0.25">
      <c r="A256" s="16"/>
      <c r="B256" s="16"/>
      <c r="C256" s="16"/>
      <c r="D256" s="16"/>
      <c r="E256" s="16"/>
      <c r="F256" s="16"/>
      <c r="G256" s="16"/>
      <c r="H256" s="16"/>
      <c r="I256" s="16"/>
      <c r="J256" s="16"/>
      <c r="K256" s="16"/>
      <c r="L256" s="16"/>
      <c r="M256" s="16"/>
      <c r="N256" s="16"/>
      <c r="O256" s="16"/>
      <c r="P256" s="16"/>
      <c r="Q256" s="16"/>
      <c r="R256" s="16"/>
      <c r="S256" s="16"/>
      <c r="T256" s="16"/>
      <c r="U256" s="16"/>
      <c r="V256" s="16"/>
      <c r="W256" s="16"/>
      <c r="X256" s="16"/>
      <c r="Y256" s="16"/>
      <c r="Z256" s="16"/>
      <c r="AA256" s="16"/>
      <c r="AB256" s="16"/>
      <c r="AC256" s="16"/>
      <c r="AD256" s="16"/>
      <c r="AE256" s="16"/>
      <c r="AF256" s="16"/>
      <c r="AG256" s="16"/>
      <c r="AH256" s="16"/>
      <c r="AI256" s="16"/>
    </row>
    <row r="257" ht="12.75" customHeight="1" spans="1:35" x14ac:dyDescent="0.25">
      <c r="A257" s="16"/>
      <c r="B257" s="16"/>
      <c r="C257" s="16"/>
      <c r="D257" s="16"/>
      <c r="E257" s="16"/>
      <c r="F257" s="16"/>
      <c r="G257" s="16"/>
      <c r="H257" s="16"/>
      <c r="I257" s="16"/>
      <c r="J257" s="16"/>
      <c r="K257" s="16"/>
      <c r="L257" s="16"/>
      <c r="M257" s="16"/>
      <c r="N257" s="16"/>
      <c r="O257" s="16"/>
      <c r="P257" s="16"/>
      <c r="Q257" s="16"/>
      <c r="R257" s="16"/>
      <c r="S257" s="16"/>
      <c r="T257" s="16"/>
      <c r="U257" s="16"/>
      <c r="V257" s="16"/>
      <c r="W257" s="16"/>
      <c r="X257" s="16"/>
      <c r="Y257" s="16"/>
      <c r="Z257" s="16"/>
      <c r="AA257" s="16"/>
      <c r="AB257" s="16"/>
      <c r="AC257" s="16"/>
      <c r="AD257" s="16"/>
      <c r="AE257" s="16"/>
      <c r="AF257" s="16"/>
      <c r="AG257" s="16"/>
      <c r="AH257" s="16"/>
      <c r="AI257" s="16"/>
    </row>
    <row r="258" ht="12.75" customHeight="1" spans="1:35" x14ac:dyDescent="0.25">
      <c r="A258" s="16"/>
      <c r="B258" s="16"/>
      <c r="C258" s="16"/>
      <c r="D258" s="16"/>
      <c r="E258" s="16"/>
      <c r="F258" s="16"/>
      <c r="G258" s="16"/>
      <c r="H258" s="16"/>
      <c r="I258" s="16"/>
      <c r="J258" s="16"/>
      <c r="K258" s="16"/>
      <c r="L258" s="16"/>
      <c r="M258" s="16"/>
      <c r="N258" s="16"/>
      <c r="O258" s="16"/>
      <c r="P258" s="16"/>
      <c r="Q258" s="16"/>
      <c r="R258" s="16"/>
      <c r="S258" s="16"/>
      <c r="T258" s="16"/>
      <c r="U258" s="16"/>
      <c r="V258" s="16"/>
      <c r="W258" s="16"/>
      <c r="X258" s="16"/>
      <c r="Y258" s="16"/>
      <c r="Z258" s="16"/>
      <c r="AA258" s="16"/>
      <c r="AB258" s="16"/>
      <c r="AC258" s="16"/>
      <c r="AD258" s="16"/>
      <c r="AE258" s="16"/>
      <c r="AF258" s="16"/>
      <c r="AG258" s="16"/>
      <c r="AH258" s="16"/>
      <c r="AI258" s="16"/>
    </row>
    <row r="259" ht="12.75" customHeight="1" spans="1:35" x14ac:dyDescent="0.25">
      <c r="A259" s="16"/>
      <c r="B259" s="16"/>
      <c r="C259" s="16"/>
      <c r="D259" s="16"/>
      <c r="E259" s="16"/>
      <c r="F259" s="16"/>
      <c r="G259" s="16"/>
      <c r="H259" s="16"/>
      <c r="I259" s="16"/>
      <c r="J259" s="16"/>
      <c r="K259" s="16"/>
      <c r="L259" s="16"/>
      <c r="M259" s="16"/>
      <c r="N259" s="16"/>
      <c r="O259" s="16"/>
      <c r="P259" s="16"/>
      <c r="Q259" s="16"/>
      <c r="R259" s="16"/>
      <c r="S259" s="16"/>
      <c r="T259" s="16"/>
      <c r="U259" s="16"/>
      <c r="V259" s="16"/>
      <c r="W259" s="16"/>
      <c r="X259" s="16"/>
      <c r="Y259" s="16"/>
      <c r="Z259" s="16"/>
      <c r="AA259" s="16"/>
      <c r="AB259" s="16"/>
      <c r="AC259" s="16"/>
      <c r="AD259" s="16"/>
      <c r="AE259" s="16"/>
      <c r="AF259" s="16"/>
      <c r="AG259" s="16"/>
      <c r="AH259" s="16"/>
      <c r="AI259" s="16"/>
    </row>
    <row r="260" ht="12.75" customHeight="1" spans="1:35" x14ac:dyDescent="0.25">
      <c r="A260" s="16"/>
      <c r="B260" s="16"/>
      <c r="C260" s="16"/>
      <c r="D260" s="16"/>
      <c r="E260" s="16"/>
      <c r="F260" s="16"/>
      <c r="G260" s="16"/>
      <c r="H260" s="16"/>
      <c r="I260" s="16"/>
      <c r="J260" s="16"/>
      <c r="K260" s="16"/>
      <c r="L260" s="16"/>
      <c r="M260" s="16"/>
      <c r="N260" s="16"/>
      <c r="O260" s="16"/>
      <c r="P260" s="16"/>
      <c r="Q260" s="16"/>
      <c r="R260" s="16"/>
      <c r="S260" s="16"/>
      <c r="T260" s="16"/>
      <c r="U260" s="16"/>
      <c r="V260" s="16"/>
      <c r="W260" s="16"/>
      <c r="X260" s="16"/>
      <c r="Y260" s="16"/>
      <c r="Z260" s="16"/>
      <c r="AA260" s="16"/>
      <c r="AB260" s="16"/>
      <c r="AC260" s="16"/>
      <c r="AD260" s="16"/>
      <c r="AE260" s="16"/>
      <c r="AF260" s="16"/>
      <c r="AG260" s="16"/>
      <c r="AH260" s="16"/>
      <c r="AI260" s="16"/>
    </row>
    <row r="261" ht="12.75" customHeight="1" spans="1:35" x14ac:dyDescent="0.25">
      <c r="A261" s="16"/>
      <c r="B261" s="16"/>
      <c r="C261" s="16"/>
      <c r="D261" s="16"/>
      <c r="E261" s="16"/>
      <c r="F261" s="16"/>
      <c r="G261" s="16"/>
      <c r="H261" s="16"/>
      <c r="I261" s="16"/>
      <c r="J261" s="16"/>
      <c r="K261" s="16"/>
      <c r="L261" s="16"/>
      <c r="M261" s="16"/>
      <c r="N261" s="16"/>
      <c r="O261" s="16"/>
      <c r="P261" s="16"/>
      <c r="Q261" s="16"/>
      <c r="R261" s="16"/>
      <c r="S261" s="16"/>
      <c r="T261" s="16"/>
      <c r="U261" s="16"/>
      <c r="V261" s="16"/>
      <c r="W261" s="16"/>
      <c r="X261" s="16"/>
      <c r="Y261" s="16"/>
      <c r="Z261" s="16"/>
      <c r="AA261" s="16"/>
      <c r="AB261" s="16"/>
      <c r="AC261" s="16"/>
      <c r="AD261" s="16"/>
      <c r="AE261" s="16"/>
      <c r="AF261" s="16"/>
      <c r="AG261" s="16"/>
      <c r="AH261" s="16"/>
      <c r="AI261" s="16"/>
    </row>
    <row r="262" ht="12.75" customHeight="1" spans="1:35" x14ac:dyDescent="0.25">
      <c r="A262" s="16"/>
      <c r="B262" s="16"/>
      <c r="C262" s="16"/>
      <c r="D262" s="16"/>
      <c r="E262" s="16"/>
      <c r="F262" s="16"/>
      <c r="G262" s="16"/>
      <c r="H262" s="16"/>
      <c r="I262" s="16"/>
      <c r="J262" s="16"/>
      <c r="K262" s="16"/>
      <c r="L262" s="16"/>
      <c r="M262" s="16"/>
      <c r="N262" s="16"/>
      <c r="O262" s="16"/>
      <c r="P262" s="16"/>
      <c r="Q262" s="16"/>
      <c r="R262" s="16"/>
      <c r="S262" s="16"/>
      <c r="T262" s="16"/>
      <c r="U262" s="16"/>
      <c r="V262" s="16"/>
      <c r="W262" s="16"/>
      <c r="X262" s="16"/>
      <c r="Y262" s="16"/>
      <c r="Z262" s="16"/>
      <c r="AA262" s="16"/>
      <c r="AB262" s="16"/>
      <c r="AC262" s="16"/>
      <c r="AD262" s="16"/>
      <c r="AE262" s="16"/>
      <c r="AF262" s="16"/>
      <c r="AG262" s="16"/>
      <c r="AH262" s="16"/>
      <c r="AI262" s="16"/>
    </row>
    <row r="263" ht="12.75" customHeight="1" spans="1:35" x14ac:dyDescent="0.25">
      <c r="A263" s="16"/>
      <c r="B263" s="16"/>
      <c r="C263" s="16"/>
      <c r="D263" s="16"/>
      <c r="E263" s="16"/>
      <c r="F263" s="16"/>
      <c r="G263" s="16"/>
      <c r="H263" s="16"/>
      <c r="I263" s="16"/>
      <c r="J263" s="16"/>
      <c r="K263" s="16"/>
      <c r="L263" s="16"/>
      <c r="M263" s="16"/>
      <c r="N263" s="16"/>
      <c r="O263" s="16"/>
      <c r="P263" s="16"/>
      <c r="Q263" s="16"/>
      <c r="R263" s="16"/>
      <c r="S263" s="16"/>
      <c r="T263" s="16"/>
      <c r="U263" s="16"/>
      <c r="V263" s="16"/>
      <c r="W263" s="16"/>
      <c r="X263" s="16"/>
      <c r="Y263" s="16"/>
      <c r="Z263" s="16"/>
      <c r="AA263" s="16"/>
      <c r="AB263" s="16"/>
      <c r="AC263" s="16"/>
      <c r="AD263" s="16"/>
      <c r="AE263" s="16"/>
      <c r="AF263" s="16"/>
      <c r="AG263" s="16"/>
      <c r="AH263" s="16"/>
      <c r="AI263" s="16"/>
    </row>
    <row r="264" ht="12.75" customHeight="1" spans="1:35" x14ac:dyDescent="0.25">
      <c r="A264" s="16"/>
      <c r="B264" s="16"/>
      <c r="C264" s="16"/>
      <c r="D264" s="16"/>
      <c r="E264" s="16"/>
      <c r="F264" s="16"/>
      <c r="G264" s="16"/>
      <c r="H264" s="16"/>
      <c r="I264" s="16"/>
      <c r="J264" s="16"/>
      <c r="K264" s="16"/>
      <c r="L264" s="16"/>
      <c r="M264" s="16"/>
      <c r="N264" s="16"/>
      <c r="O264" s="16"/>
      <c r="P264" s="16"/>
      <c r="Q264" s="16"/>
      <c r="R264" s="16"/>
      <c r="S264" s="16"/>
      <c r="T264" s="16"/>
      <c r="U264" s="16"/>
      <c r="V264" s="16"/>
      <c r="W264" s="16"/>
      <c r="X264" s="16"/>
      <c r="Y264" s="16"/>
      <c r="Z264" s="16"/>
      <c r="AA264" s="16"/>
      <c r="AB264" s="16"/>
      <c r="AC264" s="16"/>
      <c r="AD264" s="16"/>
      <c r="AE264" s="16"/>
      <c r="AF264" s="16"/>
      <c r="AG264" s="16"/>
      <c r="AH264" s="16"/>
      <c r="AI264" s="16"/>
    </row>
    <row r="265" ht="12.75" customHeight="1" spans="1:35" x14ac:dyDescent="0.25">
      <c r="A265" s="16"/>
      <c r="B265" s="16"/>
      <c r="C265" s="16"/>
      <c r="D265" s="16"/>
      <c r="E265" s="16"/>
      <c r="F265" s="16"/>
      <c r="G265" s="16"/>
      <c r="H265" s="16"/>
      <c r="I265" s="16"/>
      <c r="J265" s="16"/>
      <c r="K265" s="16"/>
      <c r="L265" s="16"/>
      <c r="M265" s="16"/>
      <c r="N265" s="16"/>
      <c r="O265" s="16"/>
      <c r="P265" s="16"/>
      <c r="Q265" s="16"/>
      <c r="R265" s="16"/>
      <c r="S265" s="16"/>
      <c r="T265" s="16"/>
      <c r="U265" s="16"/>
      <c r="V265" s="16"/>
      <c r="W265" s="16"/>
      <c r="X265" s="16"/>
      <c r="Y265" s="16"/>
      <c r="Z265" s="16"/>
      <c r="AA265" s="16"/>
      <c r="AB265" s="16"/>
      <c r="AC265" s="16"/>
      <c r="AD265" s="16"/>
      <c r="AE265" s="16"/>
      <c r="AF265" s="16"/>
      <c r="AG265" s="16"/>
      <c r="AH265" s="16"/>
      <c r="AI265" s="16"/>
    </row>
    <row r="266" ht="12.75" customHeight="1" spans="1:35" x14ac:dyDescent="0.25">
      <c r="A266" s="16"/>
      <c r="B266" s="16"/>
      <c r="C266" s="16"/>
      <c r="D266" s="16"/>
      <c r="E266" s="16"/>
      <c r="F266" s="16"/>
      <c r="G266" s="16"/>
      <c r="H266" s="16"/>
      <c r="I266" s="16"/>
      <c r="J266" s="16"/>
      <c r="K266" s="16"/>
      <c r="L266" s="16"/>
      <c r="M266" s="16"/>
      <c r="N266" s="16"/>
      <c r="O266" s="16"/>
      <c r="P266" s="16"/>
      <c r="Q266" s="16"/>
      <c r="R266" s="16"/>
      <c r="S266" s="16"/>
      <c r="T266" s="16"/>
      <c r="U266" s="16"/>
      <c r="V266" s="16"/>
      <c r="W266" s="16"/>
      <c r="X266" s="16"/>
      <c r="Y266" s="16"/>
      <c r="Z266" s="16"/>
      <c r="AA266" s="16"/>
      <c r="AB266" s="16"/>
      <c r="AC266" s="16"/>
      <c r="AD266" s="16"/>
      <c r="AE266" s="16"/>
      <c r="AF266" s="16"/>
      <c r="AG266" s="16"/>
      <c r="AH266" s="16"/>
      <c r="AI266" s="16"/>
    </row>
    <row r="267" ht="12.75" customHeight="1" spans="1:35" x14ac:dyDescent="0.25">
      <c r="A267" s="16"/>
      <c r="B267" s="16"/>
      <c r="C267" s="16"/>
      <c r="D267" s="16"/>
      <c r="E267" s="16"/>
      <c r="F267" s="16"/>
      <c r="G267" s="16"/>
      <c r="H267" s="16"/>
      <c r="I267" s="16"/>
      <c r="J267" s="16"/>
      <c r="K267" s="16"/>
      <c r="L267" s="16"/>
      <c r="M267" s="16"/>
      <c r="N267" s="16"/>
      <c r="O267" s="16"/>
      <c r="P267" s="16"/>
      <c r="Q267" s="16"/>
      <c r="R267" s="16"/>
      <c r="S267" s="16"/>
      <c r="T267" s="16"/>
      <c r="U267" s="16"/>
      <c r="V267" s="16"/>
      <c r="W267" s="16"/>
      <c r="X267" s="16"/>
      <c r="Y267" s="16"/>
      <c r="Z267" s="16"/>
      <c r="AA267" s="16"/>
      <c r="AB267" s="16"/>
      <c r="AC267" s="16"/>
      <c r="AD267" s="16"/>
      <c r="AE267" s="16"/>
      <c r="AF267" s="16"/>
      <c r="AG267" s="16"/>
      <c r="AH267" s="16"/>
      <c r="AI267" s="16"/>
    </row>
    <row r="268" ht="12.75" customHeight="1" spans="1:35" x14ac:dyDescent="0.25">
      <c r="A268" s="16"/>
      <c r="B268" s="16"/>
      <c r="C268" s="16"/>
      <c r="D268" s="16"/>
      <c r="E268" s="16"/>
      <c r="F268" s="16"/>
      <c r="G268" s="16"/>
      <c r="H268" s="16"/>
      <c r="I268" s="16"/>
      <c r="J268" s="16"/>
      <c r="K268" s="16"/>
      <c r="L268" s="16"/>
      <c r="M268" s="16"/>
      <c r="N268" s="16"/>
      <c r="O268" s="16"/>
      <c r="P268" s="16"/>
      <c r="Q268" s="16"/>
      <c r="R268" s="16"/>
      <c r="S268" s="16"/>
      <c r="T268" s="16"/>
      <c r="U268" s="16"/>
      <c r="V268" s="16"/>
      <c r="W268" s="16"/>
      <c r="X268" s="16"/>
      <c r="Y268" s="16"/>
      <c r="Z268" s="16"/>
      <c r="AA268" s="16"/>
      <c r="AB268" s="16"/>
      <c r="AC268" s="16"/>
      <c r="AD268" s="16"/>
      <c r="AE268" s="16"/>
      <c r="AF268" s="16"/>
      <c r="AG268" s="16"/>
      <c r="AH268" s="16"/>
      <c r="AI268" s="16"/>
    </row>
    <row r="269" ht="12.75" customHeight="1" spans="1:35" x14ac:dyDescent="0.25">
      <c r="A269" s="16"/>
      <c r="B269" s="16"/>
      <c r="C269" s="16"/>
      <c r="D269" s="16"/>
      <c r="E269" s="16"/>
      <c r="F269" s="16"/>
      <c r="G269" s="16"/>
      <c r="H269" s="16"/>
      <c r="I269" s="16"/>
      <c r="J269" s="16"/>
      <c r="K269" s="16"/>
      <c r="L269" s="16"/>
      <c r="M269" s="16"/>
      <c r="N269" s="16"/>
      <c r="O269" s="16"/>
      <c r="P269" s="16"/>
      <c r="Q269" s="16"/>
      <c r="R269" s="16"/>
      <c r="S269" s="16"/>
      <c r="T269" s="16"/>
      <c r="U269" s="16"/>
      <c r="V269" s="16"/>
      <c r="W269" s="16"/>
      <c r="X269" s="16"/>
      <c r="Y269" s="16"/>
      <c r="Z269" s="16"/>
      <c r="AA269" s="16"/>
      <c r="AB269" s="16"/>
      <c r="AC269" s="16"/>
      <c r="AD269" s="16"/>
      <c r="AE269" s="16"/>
      <c r="AF269" s="16"/>
      <c r="AG269" s="16"/>
      <c r="AH269" s="16"/>
      <c r="AI269" s="16"/>
    </row>
    <row r="270" ht="12.75" customHeight="1" spans="1:35" x14ac:dyDescent="0.25">
      <c r="A270" s="16"/>
      <c r="B270" s="16"/>
      <c r="C270" s="16"/>
      <c r="D270" s="16"/>
      <c r="E270" s="16"/>
      <c r="F270" s="16"/>
      <c r="G270" s="16"/>
      <c r="H270" s="16"/>
      <c r="I270" s="16"/>
      <c r="J270" s="16"/>
      <c r="K270" s="16"/>
      <c r="L270" s="16"/>
      <c r="M270" s="16"/>
      <c r="N270" s="16"/>
      <c r="O270" s="16"/>
      <c r="P270" s="16"/>
      <c r="Q270" s="16"/>
      <c r="R270" s="16"/>
      <c r="S270" s="16"/>
      <c r="T270" s="16"/>
      <c r="U270" s="16"/>
      <c r="V270" s="16"/>
      <c r="W270" s="16"/>
      <c r="X270" s="16"/>
      <c r="Y270" s="16"/>
      <c r="Z270" s="16"/>
      <c r="AA270" s="16"/>
      <c r="AB270" s="16"/>
      <c r="AC270" s="16"/>
      <c r="AD270" s="16"/>
      <c r="AE270" s="16"/>
      <c r="AF270" s="16"/>
      <c r="AG270" s="16"/>
      <c r="AH270" s="16"/>
      <c r="AI270" s="16"/>
    </row>
    <row r="271" ht="12.75" customHeight="1" spans="1:35" x14ac:dyDescent="0.25">
      <c r="A271" s="16"/>
      <c r="B271" s="16"/>
      <c r="C271" s="16"/>
      <c r="D271" s="16"/>
      <c r="E271" s="16"/>
      <c r="F271" s="16"/>
      <c r="G271" s="16"/>
      <c r="H271" s="16"/>
      <c r="I271" s="16"/>
      <c r="J271" s="16"/>
      <c r="K271" s="16"/>
      <c r="L271" s="16"/>
      <c r="M271" s="16"/>
      <c r="N271" s="16"/>
      <c r="O271" s="16"/>
      <c r="P271" s="16"/>
      <c r="Q271" s="16"/>
      <c r="R271" s="16"/>
      <c r="S271" s="16"/>
      <c r="T271" s="16"/>
      <c r="U271" s="16"/>
      <c r="V271" s="16"/>
      <c r="W271" s="16"/>
      <c r="X271" s="16"/>
      <c r="Y271" s="16"/>
      <c r="Z271" s="16"/>
      <c r="AA271" s="16"/>
      <c r="AB271" s="16"/>
      <c r="AC271" s="16"/>
      <c r="AD271" s="16"/>
      <c r="AE271" s="16"/>
      <c r="AF271" s="16"/>
      <c r="AG271" s="16"/>
      <c r="AH271" s="16"/>
      <c r="AI271" s="16"/>
    </row>
    <row r="272" ht="12.75" customHeight="1" spans="1:35" x14ac:dyDescent="0.25">
      <c r="A272" s="16"/>
      <c r="B272" s="16"/>
      <c r="C272" s="16"/>
      <c r="D272" s="16"/>
      <c r="E272" s="16"/>
      <c r="F272" s="16"/>
      <c r="G272" s="16"/>
      <c r="H272" s="16"/>
      <c r="I272" s="16"/>
      <c r="J272" s="16"/>
      <c r="K272" s="16"/>
      <c r="L272" s="16"/>
      <c r="M272" s="16"/>
      <c r="N272" s="16"/>
      <c r="O272" s="16"/>
      <c r="P272" s="16"/>
      <c r="Q272" s="16"/>
      <c r="R272" s="16"/>
      <c r="S272" s="16"/>
      <c r="T272" s="16"/>
      <c r="U272" s="16"/>
      <c r="V272" s="16"/>
      <c r="W272" s="16"/>
      <c r="X272" s="16"/>
      <c r="Y272" s="16"/>
      <c r="Z272" s="16"/>
      <c r="AA272" s="16"/>
      <c r="AB272" s="16"/>
      <c r="AC272" s="16"/>
      <c r="AD272" s="16"/>
      <c r="AE272" s="16"/>
      <c r="AF272" s="16"/>
      <c r="AG272" s="16"/>
      <c r="AH272" s="16"/>
      <c r="AI272" s="16"/>
    </row>
    <row r="273" ht="12.75" customHeight="1" spans="1:35" x14ac:dyDescent="0.25">
      <c r="A273" s="16"/>
      <c r="B273" s="16"/>
      <c r="C273" s="16"/>
      <c r="D273" s="16"/>
      <c r="E273" s="16"/>
      <c r="F273" s="16"/>
      <c r="G273" s="16"/>
      <c r="H273" s="16"/>
      <c r="I273" s="16"/>
      <c r="J273" s="16"/>
      <c r="K273" s="16"/>
      <c r="L273" s="16"/>
      <c r="M273" s="16"/>
      <c r="N273" s="16"/>
      <c r="O273" s="16"/>
      <c r="P273" s="16"/>
      <c r="Q273" s="16"/>
      <c r="R273" s="16"/>
      <c r="S273" s="16"/>
      <c r="T273" s="16"/>
      <c r="U273" s="16"/>
      <c r="V273" s="16"/>
      <c r="W273" s="16"/>
      <c r="X273" s="16"/>
      <c r="Y273" s="16"/>
      <c r="Z273" s="16"/>
      <c r="AA273" s="16"/>
      <c r="AB273" s="16"/>
      <c r="AC273" s="16"/>
      <c r="AD273" s="16"/>
      <c r="AE273" s="16"/>
      <c r="AF273" s="16"/>
      <c r="AG273" s="16"/>
      <c r="AH273" s="16"/>
      <c r="AI273" s="16"/>
    </row>
    <row r="274" ht="12.75" customHeight="1" spans="1:35" x14ac:dyDescent="0.25">
      <c r="A274" s="16"/>
      <c r="B274" s="16"/>
      <c r="C274" s="16"/>
      <c r="D274" s="16"/>
      <c r="E274" s="16"/>
      <c r="F274" s="16"/>
      <c r="G274" s="16"/>
      <c r="H274" s="16"/>
      <c r="I274" s="16"/>
      <c r="J274" s="16"/>
      <c r="K274" s="16"/>
      <c r="L274" s="16"/>
      <c r="M274" s="16"/>
      <c r="N274" s="16"/>
      <c r="O274" s="16"/>
      <c r="P274" s="16"/>
      <c r="Q274" s="16"/>
      <c r="R274" s="16"/>
      <c r="S274" s="16"/>
      <c r="T274" s="16"/>
      <c r="U274" s="16"/>
      <c r="V274" s="16"/>
      <c r="W274" s="16"/>
      <c r="X274" s="16"/>
      <c r="Y274" s="16"/>
      <c r="Z274" s="16"/>
      <c r="AA274" s="16"/>
      <c r="AB274" s="16"/>
      <c r="AC274" s="16"/>
      <c r="AD274" s="16"/>
      <c r="AE274" s="16"/>
      <c r="AF274" s="16"/>
      <c r="AG274" s="16"/>
      <c r="AH274" s="16"/>
      <c r="AI274" s="16"/>
    </row>
    <row r="275" ht="12.75" customHeight="1" spans="1:35" x14ac:dyDescent="0.25">
      <c r="A275" s="16"/>
      <c r="B275" s="16"/>
      <c r="C275" s="16"/>
      <c r="D275" s="16"/>
      <c r="E275" s="16"/>
      <c r="F275" s="16"/>
      <c r="G275" s="16"/>
      <c r="H275" s="16"/>
      <c r="I275" s="16"/>
      <c r="J275" s="16"/>
      <c r="K275" s="16"/>
      <c r="L275" s="16"/>
      <c r="M275" s="16"/>
      <c r="N275" s="16"/>
      <c r="O275" s="16"/>
      <c r="P275" s="16"/>
      <c r="Q275" s="16"/>
      <c r="R275" s="16"/>
      <c r="S275" s="16"/>
      <c r="T275" s="16"/>
      <c r="U275" s="16"/>
      <c r="V275" s="16"/>
      <c r="W275" s="16"/>
      <c r="X275" s="16"/>
      <c r="Y275" s="16"/>
      <c r="Z275" s="16"/>
      <c r="AA275" s="16"/>
      <c r="AB275" s="16"/>
      <c r="AC275" s="16"/>
      <c r="AD275" s="16"/>
      <c r="AE275" s="16"/>
      <c r="AF275" s="16"/>
      <c r="AG275" s="16"/>
      <c r="AH275" s="16"/>
      <c r="AI275" s="16"/>
    </row>
    <row r="276" ht="12.75" customHeight="1" spans="1:35" x14ac:dyDescent="0.25">
      <c r="A276" s="16"/>
      <c r="B276" s="16"/>
      <c r="C276" s="16"/>
      <c r="D276" s="16"/>
      <c r="E276" s="16"/>
      <c r="F276" s="16"/>
      <c r="G276" s="16"/>
      <c r="H276" s="16"/>
      <c r="I276" s="16"/>
      <c r="J276" s="16"/>
      <c r="K276" s="16"/>
      <c r="L276" s="16"/>
      <c r="M276" s="16"/>
      <c r="N276" s="16"/>
      <c r="O276" s="16"/>
      <c r="P276" s="16"/>
      <c r="Q276" s="16"/>
      <c r="R276" s="16"/>
      <c r="S276" s="16"/>
      <c r="T276" s="16"/>
      <c r="U276" s="16"/>
      <c r="V276" s="16"/>
      <c r="W276" s="16"/>
      <c r="X276" s="16"/>
      <c r="Y276" s="16"/>
      <c r="Z276" s="16"/>
      <c r="AA276" s="16"/>
      <c r="AB276" s="16"/>
      <c r="AC276" s="16"/>
      <c r="AD276" s="16"/>
      <c r="AE276" s="16"/>
      <c r="AF276" s="16"/>
      <c r="AG276" s="16"/>
      <c r="AH276" s="16"/>
      <c r="AI276" s="16"/>
    </row>
    <row r="277" ht="12.75" customHeight="1" spans="1:35" x14ac:dyDescent="0.25">
      <c r="A277" s="16"/>
      <c r="B277" s="16"/>
      <c r="C277" s="16"/>
      <c r="D277" s="16"/>
      <c r="E277" s="16"/>
      <c r="F277" s="16"/>
      <c r="G277" s="16"/>
      <c r="H277" s="16"/>
      <c r="I277" s="16"/>
      <c r="J277" s="16"/>
      <c r="K277" s="16"/>
      <c r="L277" s="16"/>
      <c r="M277" s="16"/>
      <c r="N277" s="16"/>
      <c r="O277" s="16"/>
      <c r="P277" s="16"/>
      <c r="Q277" s="16"/>
      <c r="R277" s="16"/>
      <c r="S277" s="16"/>
      <c r="T277" s="16"/>
      <c r="U277" s="16"/>
      <c r="V277" s="16"/>
      <c r="W277" s="16"/>
      <c r="X277" s="16"/>
      <c r="Y277" s="16"/>
      <c r="Z277" s="16"/>
      <c r="AA277" s="16"/>
      <c r="AB277" s="16"/>
      <c r="AC277" s="16"/>
      <c r="AD277" s="16"/>
      <c r="AE277" s="16"/>
      <c r="AF277" s="16"/>
      <c r="AG277" s="16"/>
      <c r="AH277" s="16"/>
      <c r="AI277" s="16"/>
    </row>
    <row r="278" ht="12.75" customHeight="1" spans="1:35" x14ac:dyDescent="0.25">
      <c r="A278" s="16"/>
      <c r="B278" s="16"/>
      <c r="C278" s="16"/>
      <c r="D278" s="16"/>
      <c r="E278" s="16"/>
      <c r="F278" s="16"/>
      <c r="G278" s="16"/>
      <c r="H278" s="16"/>
      <c r="I278" s="16"/>
      <c r="J278" s="16"/>
      <c r="K278" s="16"/>
      <c r="L278" s="16"/>
      <c r="M278" s="16"/>
      <c r="N278" s="16"/>
      <c r="O278" s="16"/>
      <c r="P278" s="16"/>
      <c r="Q278" s="16"/>
      <c r="R278" s="16"/>
      <c r="S278" s="16"/>
      <c r="T278" s="16"/>
      <c r="U278" s="16"/>
      <c r="V278" s="16"/>
      <c r="W278" s="16"/>
      <c r="X278" s="16"/>
      <c r="Y278" s="16"/>
      <c r="Z278" s="16"/>
      <c r="AA278" s="16"/>
      <c r="AB278" s="16"/>
      <c r="AC278" s="16"/>
      <c r="AD278" s="16"/>
      <c r="AE278" s="16"/>
      <c r="AF278" s="16"/>
      <c r="AG278" s="16"/>
      <c r="AH278" s="16"/>
      <c r="AI278" s="16"/>
    </row>
    <row r="279" ht="12.75" customHeight="1" spans="1:35" x14ac:dyDescent="0.25">
      <c r="A279" s="16"/>
      <c r="B279" s="16"/>
      <c r="C279" s="16"/>
      <c r="D279" s="16"/>
      <c r="E279" s="16"/>
      <c r="F279" s="16"/>
      <c r="G279" s="16"/>
      <c r="H279" s="16"/>
      <c r="I279" s="16"/>
      <c r="J279" s="16"/>
      <c r="K279" s="16"/>
      <c r="L279" s="16"/>
      <c r="M279" s="16"/>
      <c r="N279" s="16"/>
      <c r="O279" s="16"/>
      <c r="P279" s="16"/>
      <c r="Q279" s="16"/>
      <c r="R279" s="16"/>
      <c r="S279" s="16"/>
      <c r="T279" s="16"/>
      <c r="U279" s="16"/>
      <c r="V279" s="16"/>
      <c r="W279" s="16"/>
      <c r="X279" s="16"/>
      <c r="Y279" s="16"/>
      <c r="Z279" s="16"/>
      <c r="AA279" s="16"/>
      <c r="AB279" s="16"/>
      <c r="AC279" s="16"/>
      <c r="AD279" s="16"/>
      <c r="AE279" s="16"/>
      <c r="AF279" s="16"/>
      <c r="AG279" s="16"/>
      <c r="AH279" s="16"/>
      <c r="AI279" s="16"/>
    </row>
    <row r="280" ht="12.75" customHeight="1" spans="1:35" x14ac:dyDescent="0.25">
      <c r="A280" s="16"/>
      <c r="B280" s="16"/>
      <c r="C280" s="16"/>
      <c r="D280" s="16"/>
      <c r="E280" s="16"/>
      <c r="F280" s="16"/>
      <c r="G280" s="16"/>
      <c r="H280" s="16"/>
      <c r="I280" s="16"/>
      <c r="J280" s="16"/>
      <c r="K280" s="16"/>
      <c r="L280" s="16"/>
      <c r="M280" s="16"/>
      <c r="N280" s="16"/>
      <c r="O280" s="16"/>
      <c r="P280" s="16"/>
      <c r="Q280" s="16"/>
      <c r="R280" s="16"/>
      <c r="S280" s="16"/>
      <c r="T280" s="16"/>
      <c r="U280" s="16"/>
      <c r="V280" s="16"/>
      <c r="W280" s="16"/>
      <c r="X280" s="16"/>
      <c r="Y280" s="16"/>
      <c r="Z280" s="16"/>
      <c r="AA280" s="16"/>
      <c r="AB280" s="16"/>
      <c r="AC280" s="16"/>
      <c r="AD280" s="16"/>
      <c r="AE280" s="16"/>
      <c r="AF280" s="16"/>
      <c r="AG280" s="16"/>
      <c r="AH280" s="16"/>
      <c r="AI280" s="16"/>
    </row>
    <row r="281" ht="12.75" customHeight="1" spans="1:35" x14ac:dyDescent="0.25">
      <c r="A281" s="16"/>
      <c r="B281" s="16"/>
      <c r="C281" s="16"/>
      <c r="D281" s="16"/>
      <c r="E281" s="16"/>
      <c r="F281" s="16"/>
      <c r="G281" s="16"/>
      <c r="H281" s="16"/>
      <c r="I281" s="16"/>
      <c r="J281" s="16"/>
      <c r="K281" s="16"/>
      <c r="L281" s="16"/>
      <c r="M281" s="16"/>
      <c r="N281" s="16"/>
      <c r="O281" s="16"/>
      <c r="P281" s="16"/>
      <c r="Q281" s="16"/>
      <c r="R281" s="16"/>
      <c r="S281" s="16"/>
      <c r="T281" s="16"/>
      <c r="U281" s="16"/>
      <c r="V281" s="16"/>
      <c r="W281" s="16"/>
      <c r="X281" s="16"/>
      <c r="Y281" s="16"/>
      <c r="Z281" s="16"/>
      <c r="AA281" s="16"/>
      <c r="AB281" s="16"/>
      <c r="AC281" s="16"/>
      <c r="AD281" s="16"/>
      <c r="AE281" s="16"/>
      <c r="AF281" s="16"/>
      <c r="AG281" s="16"/>
      <c r="AH281" s="16"/>
      <c r="AI281" s="16"/>
    </row>
    <row r="282" ht="12.75" customHeight="1" spans="1:35" x14ac:dyDescent="0.25">
      <c r="A282" s="16"/>
      <c r="B282" s="16"/>
      <c r="C282" s="16"/>
      <c r="D282" s="16"/>
      <c r="E282" s="16"/>
      <c r="F282" s="16"/>
      <c r="G282" s="16"/>
      <c r="H282" s="16"/>
      <c r="I282" s="16"/>
      <c r="J282" s="16"/>
      <c r="K282" s="16"/>
      <c r="L282" s="16"/>
      <c r="M282" s="16"/>
      <c r="N282" s="16"/>
      <c r="O282" s="16"/>
      <c r="P282" s="16"/>
      <c r="Q282" s="16"/>
      <c r="R282" s="16"/>
      <c r="S282" s="16"/>
      <c r="T282" s="16"/>
      <c r="U282" s="16"/>
      <c r="V282" s="16"/>
      <c r="W282" s="16"/>
      <c r="X282" s="16"/>
      <c r="Y282" s="16"/>
      <c r="Z282" s="16"/>
      <c r="AA282" s="16"/>
      <c r="AB282" s="16"/>
      <c r="AC282" s="16"/>
      <c r="AD282" s="16"/>
      <c r="AE282" s="16"/>
      <c r="AF282" s="16"/>
      <c r="AG282" s="16"/>
      <c r="AH282" s="16"/>
      <c r="AI282" s="16"/>
    </row>
    <row r="283" ht="12.75" customHeight="1" spans="1:35" x14ac:dyDescent="0.25">
      <c r="A283" s="16"/>
      <c r="B283" s="16"/>
      <c r="C283" s="16"/>
      <c r="D283" s="16"/>
      <c r="E283" s="16"/>
      <c r="F283" s="16"/>
      <c r="G283" s="16"/>
      <c r="H283" s="16"/>
      <c r="I283" s="16"/>
      <c r="J283" s="16"/>
      <c r="K283" s="16"/>
      <c r="L283" s="16"/>
      <c r="M283" s="16"/>
      <c r="N283" s="16"/>
      <c r="O283" s="16"/>
      <c r="P283" s="16"/>
      <c r="Q283" s="16"/>
      <c r="R283" s="16"/>
      <c r="S283" s="16"/>
      <c r="T283" s="16"/>
      <c r="U283" s="16"/>
      <c r="V283" s="16"/>
      <c r="W283" s="16"/>
      <c r="X283" s="16"/>
      <c r="Y283" s="16"/>
      <c r="Z283" s="16"/>
      <c r="AA283" s="16"/>
      <c r="AB283" s="16"/>
      <c r="AC283" s="16"/>
      <c r="AD283" s="16"/>
      <c r="AE283" s="16"/>
      <c r="AF283" s="16"/>
      <c r="AG283" s="16"/>
      <c r="AH283" s="16"/>
      <c r="AI283" s="16"/>
    </row>
    <row r="284" ht="12.75" customHeight="1" spans="1:35" x14ac:dyDescent="0.25">
      <c r="A284" s="16"/>
      <c r="B284" s="16"/>
      <c r="C284" s="16"/>
      <c r="D284" s="16"/>
      <c r="E284" s="16"/>
      <c r="F284" s="16"/>
      <c r="G284" s="16"/>
      <c r="H284" s="16"/>
      <c r="I284" s="16"/>
      <c r="J284" s="16"/>
      <c r="K284" s="16"/>
      <c r="L284" s="16"/>
      <c r="M284" s="16"/>
      <c r="N284" s="16"/>
      <c r="O284" s="16"/>
      <c r="P284" s="16"/>
      <c r="Q284" s="16"/>
      <c r="R284" s="16"/>
      <c r="S284" s="16"/>
      <c r="T284" s="16"/>
      <c r="U284" s="16"/>
      <c r="V284" s="16"/>
      <c r="W284" s="16"/>
      <c r="X284" s="16"/>
      <c r="Y284" s="16"/>
      <c r="Z284" s="16"/>
      <c r="AA284" s="16"/>
      <c r="AB284" s="16"/>
      <c r="AC284" s="16"/>
      <c r="AD284" s="16"/>
      <c r="AE284" s="16"/>
      <c r="AF284" s="16"/>
      <c r="AG284" s="16"/>
      <c r="AH284" s="16"/>
      <c r="AI284" s="16"/>
    </row>
    <row r="285" ht="12.75" customHeight="1" spans="1:35" x14ac:dyDescent="0.25">
      <c r="A285" s="16"/>
      <c r="B285" s="16"/>
      <c r="C285" s="16"/>
      <c r="D285" s="16"/>
      <c r="E285" s="16"/>
      <c r="F285" s="16"/>
      <c r="G285" s="16"/>
      <c r="H285" s="16"/>
      <c r="I285" s="16"/>
      <c r="J285" s="16"/>
      <c r="K285" s="16"/>
      <c r="L285" s="16"/>
      <c r="M285" s="16"/>
      <c r="N285" s="16"/>
      <c r="O285" s="16"/>
      <c r="P285" s="16"/>
      <c r="Q285" s="16"/>
      <c r="R285" s="16"/>
      <c r="S285" s="16"/>
      <c r="T285" s="16"/>
      <c r="U285" s="16"/>
      <c r="V285" s="16"/>
      <c r="W285" s="16"/>
      <c r="X285" s="16"/>
      <c r="Y285" s="16"/>
      <c r="Z285" s="16"/>
      <c r="AA285" s="16"/>
      <c r="AB285" s="16"/>
      <c r="AC285" s="16"/>
      <c r="AD285" s="16"/>
      <c r="AE285" s="16"/>
      <c r="AF285" s="16"/>
      <c r="AG285" s="16"/>
      <c r="AH285" s="16"/>
      <c r="AI285" s="16"/>
    </row>
    <row r="286" ht="12.75" customHeight="1" spans="1:35" x14ac:dyDescent="0.25">
      <c r="A286" s="16"/>
      <c r="B286" s="16"/>
      <c r="C286" s="16"/>
      <c r="D286" s="16"/>
      <c r="E286" s="16"/>
      <c r="F286" s="16"/>
      <c r="G286" s="16"/>
      <c r="H286" s="16"/>
      <c r="I286" s="16"/>
      <c r="J286" s="16"/>
      <c r="K286" s="16"/>
      <c r="L286" s="16"/>
      <c r="M286" s="16"/>
      <c r="N286" s="16"/>
      <c r="O286" s="16"/>
      <c r="P286" s="16"/>
      <c r="Q286" s="16"/>
      <c r="R286" s="16"/>
      <c r="S286" s="16"/>
      <c r="T286" s="16"/>
      <c r="U286" s="16"/>
      <c r="V286" s="16"/>
      <c r="W286" s="16"/>
      <c r="X286" s="16"/>
      <c r="Y286" s="16"/>
      <c r="Z286" s="16"/>
      <c r="AA286" s="16"/>
      <c r="AB286" s="16"/>
      <c r="AC286" s="16"/>
      <c r="AD286" s="16"/>
      <c r="AE286" s="16"/>
      <c r="AF286" s="16"/>
      <c r="AG286" s="16"/>
      <c r="AH286" s="16"/>
      <c r="AI286" s="16"/>
    </row>
    <row r="287" ht="12.75" customHeight="1" spans="1:35" x14ac:dyDescent="0.25">
      <c r="A287" s="16"/>
      <c r="B287" s="16"/>
      <c r="C287" s="16"/>
      <c r="D287" s="16"/>
      <c r="E287" s="16"/>
      <c r="F287" s="16"/>
      <c r="G287" s="16"/>
      <c r="H287" s="16"/>
      <c r="I287" s="16"/>
      <c r="J287" s="16"/>
      <c r="K287" s="16"/>
      <c r="L287" s="16"/>
      <c r="M287" s="16"/>
      <c r="N287" s="16"/>
      <c r="O287" s="16"/>
      <c r="P287" s="16"/>
      <c r="Q287" s="16"/>
      <c r="R287" s="16"/>
      <c r="S287" s="16"/>
      <c r="T287" s="16"/>
      <c r="U287" s="16"/>
      <c r="V287" s="16"/>
      <c r="W287" s="16"/>
      <c r="X287" s="16"/>
      <c r="Y287" s="16"/>
      <c r="Z287" s="16"/>
      <c r="AA287" s="16"/>
      <c r="AB287" s="16"/>
      <c r="AC287" s="16"/>
      <c r="AD287" s="16"/>
      <c r="AE287" s="16"/>
      <c r="AF287" s="16"/>
      <c r="AG287" s="16"/>
      <c r="AH287" s="16"/>
      <c r="AI287" s="16"/>
    </row>
    <row r="288" ht="12.75" customHeight="1" spans="1:35" x14ac:dyDescent="0.25">
      <c r="A288" s="16"/>
      <c r="B288" s="16"/>
      <c r="C288" s="16"/>
      <c r="D288" s="16"/>
      <c r="E288" s="16"/>
      <c r="F288" s="16"/>
      <c r="G288" s="16"/>
      <c r="H288" s="16"/>
      <c r="I288" s="16"/>
      <c r="J288" s="16"/>
      <c r="K288" s="16"/>
      <c r="L288" s="16"/>
      <c r="M288" s="16"/>
      <c r="N288" s="16"/>
      <c r="O288" s="16"/>
      <c r="P288" s="16"/>
      <c r="Q288" s="16"/>
      <c r="R288" s="16"/>
      <c r="S288" s="16"/>
      <c r="T288" s="16"/>
      <c r="U288" s="16"/>
      <c r="V288" s="16"/>
      <c r="W288" s="16"/>
      <c r="X288" s="16"/>
      <c r="Y288" s="16"/>
      <c r="Z288" s="16"/>
      <c r="AA288" s="16"/>
      <c r="AB288" s="16"/>
      <c r="AC288" s="16"/>
      <c r="AD288" s="16"/>
      <c r="AE288" s="16"/>
      <c r="AF288" s="16"/>
      <c r="AG288" s="16"/>
      <c r="AH288" s="16"/>
      <c r="AI288" s="16"/>
    </row>
    <row r="289" ht="12.75" customHeight="1" spans="1:35" x14ac:dyDescent="0.25">
      <c r="A289" s="16"/>
      <c r="B289" s="16"/>
      <c r="C289" s="16"/>
      <c r="D289" s="16"/>
      <c r="E289" s="16"/>
      <c r="F289" s="16"/>
      <c r="G289" s="16"/>
      <c r="H289" s="16"/>
      <c r="I289" s="16"/>
      <c r="J289" s="16"/>
      <c r="K289" s="16"/>
      <c r="L289" s="16"/>
      <c r="M289" s="16"/>
      <c r="N289" s="16"/>
      <c r="O289" s="16"/>
      <c r="P289" s="16"/>
      <c r="Q289" s="16"/>
      <c r="R289" s="16"/>
      <c r="S289" s="16"/>
      <c r="T289" s="16"/>
      <c r="U289" s="16"/>
      <c r="V289" s="16"/>
      <c r="W289" s="16"/>
      <c r="X289" s="16"/>
      <c r="Y289" s="16"/>
      <c r="Z289" s="16"/>
      <c r="AA289" s="16"/>
      <c r="AB289" s="16"/>
      <c r="AC289" s="16"/>
      <c r="AD289" s="16"/>
      <c r="AE289" s="16"/>
      <c r="AF289" s="16"/>
      <c r="AG289" s="16"/>
      <c r="AH289" s="16"/>
      <c r="AI289" s="16"/>
    </row>
    <row r="290" ht="12.75" customHeight="1" spans="1:35" x14ac:dyDescent="0.25">
      <c r="A290" s="16"/>
      <c r="B290" s="16"/>
      <c r="C290" s="16"/>
      <c r="D290" s="16"/>
      <c r="E290" s="16"/>
      <c r="F290" s="16"/>
      <c r="G290" s="16"/>
      <c r="H290" s="16"/>
      <c r="I290" s="16"/>
      <c r="J290" s="16"/>
      <c r="K290" s="16"/>
      <c r="L290" s="16"/>
      <c r="M290" s="16"/>
      <c r="N290" s="16"/>
      <c r="O290" s="16"/>
      <c r="P290" s="16"/>
      <c r="Q290" s="16"/>
      <c r="R290" s="16"/>
      <c r="S290" s="16"/>
      <c r="T290" s="16"/>
      <c r="U290" s="16"/>
      <c r="V290" s="16"/>
      <c r="W290" s="16"/>
      <c r="X290" s="16"/>
      <c r="Y290" s="16"/>
      <c r="Z290" s="16"/>
      <c r="AA290" s="16"/>
      <c r="AB290" s="16"/>
      <c r="AC290" s="16"/>
      <c r="AD290" s="16"/>
      <c r="AE290" s="16"/>
      <c r="AF290" s="16"/>
      <c r="AG290" s="16"/>
      <c r="AH290" s="16"/>
      <c r="AI290" s="16"/>
    </row>
    <row r="291" ht="12.75" customHeight="1" spans="1:35" x14ac:dyDescent="0.25">
      <c r="A291" s="16"/>
      <c r="B291" s="16"/>
      <c r="C291" s="16"/>
      <c r="D291" s="16"/>
      <c r="E291" s="16"/>
      <c r="F291" s="16"/>
      <c r="G291" s="16"/>
      <c r="H291" s="16"/>
      <c r="I291" s="16"/>
      <c r="J291" s="16"/>
      <c r="K291" s="16"/>
      <c r="L291" s="16"/>
      <c r="M291" s="16"/>
      <c r="N291" s="16"/>
      <c r="O291" s="16"/>
      <c r="P291" s="16"/>
      <c r="Q291" s="16"/>
      <c r="R291" s="16"/>
      <c r="S291" s="16"/>
      <c r="T291" s="16"/>
      <c r="U291" s="16"/>
      <c r="V291" s="16"/>
      <c r="W291" s="16"/>
      <c r="X291" s="16"/>
      <c r="Y291" s="16"/>
      <c r="Z291" s="16"/>
      <c r="AA291" s="16"/>
      <c r="AB291" s="16"/>
      <c r="AC291" s="16"/>
      <c r="AD291" s="16"/>
      <c r="AE291" s="16"/>
      <c r="AF291" s="16"/>
      <c r="AG291" s="16"/>
      <c r="AH291" s="16"/>
      <c r="AI291" s="16"/>
    </row>
    <row r="292" ht="12.75" customHeight="1" spans="1:35" x14ac:dyDescent="0.25">
      <c r="A292" s="16"/>
      <c r="B292" s="16"/>
      <c r="C292" s="16"/>
      <c r="D292" s="16"/>
      <c r="E292" s="16"/>
      <c r="F292" s="16"/>
      <c r="G292" s="16"/>
      <c r="H292" s="16"/>
      <c r="I292" s="16"/>
      <c r="J292" s="16"/>
      <c r="K292" s="16"/>
      <c r="L292" s="16"/>
      <c r="M292" s="16"/>
      <c r="N292" s="16"/>
      <c r="O292" s="16"/>
      <c r="P292" s="16"/>
      <c r="Q292" s="16"/>
      <c r="R292" s="16"/>
      <c r="S292" s="16"/>
      <c r="T292" s="16"/>
      <c r="U292" s="16"/>
      <c r="V292" s="16"/>
      <c r="W292" s="16"/>
      <c r="X292" s="16"/>
      <c r="Y292" s="16"/>
      <c r="Z292" s="16"/>
      <c r="AA292" s="16"/>
      <c r="AB292" s="16"/>
      <c r="AC292" s="16"/>
      <c r="AD292" s="16"/>
      <c r="AE292" s="16"/>
      <c r="AF292" s="16"/>
      <c r="AG292" s="16"/>
      <c r="AH292" s="16"/>
      <c r="AI292" s="16"/>
    </row>
    <row r="293" ht="12.75" customHeight="1" spans="1:35" x14ac:dyDescent="0.25">
      <c r="A293" s="16"/>
      <c r="B293" s="16"/>
      <c r="C293" s="16"/>
      <c r="D293" s="16"/>
      <c r="E293" s="16"/>
      <c r="F293" s="16"/>
      <c r="G293" s="16"/>
      <c r="H293" s="16"/>
      <c r="I293" s="16"/>
      <c r="J293" s="16"/>
      <c r="K293" s="16"/>
      <c r="L293" s="16"/>
      <c r="M293" s="16"/>
      <c r="N293" s="16"/>
      <c r="O293" s="16"/>
      <c r="P293" s="16"/>
      <c r="Q293" s="16"/>
      <c r="R293" s="16"/>
      <c r="S293" s="16"/>
      <c r="T293" s="16"/>
      <c r="U293" s="16"/>
      <c r="V293" s="16"/>
      <c r="W293" s="16"/>
      <c r="X293" s="16"/>
      <c r="Y293" s="16"/>
      <c r="Z293" s="16"/>
      <c r="AA293" s="16"/>
      <c r="AB293" s="16"/>
      <c r="AC293" s="16"/>
      <c r="AD293" s="16"/>
      <c r="AE293" s="16"/>
      <c r="AF293" s="16"/>
      <c r="AG293" s="16"/>
      <c r="AH293" s="16"/>
      <c r="AI293" s="16"/>
    </row>
    <row r="294" ht="12.75" customHeight="1" spans="1:35" x14ac:dyDescent="0.25">
      <c r="A294" s="16"/>
      <c r="B294" s="16"/>
      <c r="C294" s="16"/>
      <c r="D294" s="16"/>
      <c r="E294" s="16"/>
      <c r="F294" s="16"/>
      <c r="G294" s="16"/>
      <c r="H294" s="16"/>
      <c r="I294" s="16"/>
      <c r="J294" s="16"/>
      <c r="K294" s="16"/>
      <c r="L294" s="16"/>
      <c r="M294" s="16"/>
      <c r="N294" s="16"/>
      <c r="O294" s="16"/>
      <c r="P294" s="16"/>
      <c r="Q294" s="16"/>
      <c r="R294" s="16"/>
      <c r="S294" s="16"/>
      <c r="T294" s="16"/>
      <c r="U294" s="16"/>
      <c r="V294" s="16"/>
      <c r="W294" s="16"/>
      <c r="X294" s="16"/>
      <c r="Y294" s="16"/>
      <c r="Z294" s="16"/>
      <c r="AA294" s="16"/>
      <c r="AB294" s="16"/>
      <c r="AC294" s="16"/>
      <c r="AD294" s="16"/>
      <c r="AE294" s="16"/>
      <c r="AF294" s="16"/>
      <c r="AG294" s="16"/>
      <c r="AH294" s="16"/>
      <c r="AI294" s="16"/>
    </row>
    <row r="295" ht="12.75" customHeight="1" spans="1:35" x14ac:dyDescent="0.25">
      <c r="A295" s="16"/>
      <c r="B295" s="16"/>
      <c r="C295" s="16"/>
      <c r="D295" s="16"/>
      <c r="E295" s="16"/>
      <c r="F295" s="16"/>
      <c r="G295" s="16"/>
      <c r="H295" s="16"/>
      <c r="I295" s="16"/>
      <c r="J295" s="16"/>
      <c r="K295" s="16"/>
      <c r="L295" s="16"/>
      <c r="M295" s="16"/>
      <c r="N295" s="16"/>
      <c r="O295" s="16"/>
      <c r="P295" s="16"/>
      <c r="Q295" s="16"/>
      <c r="R295" s="16"/>
      <c r="S295" s="16"/>
      <c r="T295" s="16"/>
      <c r="U295" s="16"/>
      <c r="V295" s="16"/>
      <c r="W295" s="16"/>
      <c r="X295" s="16"/>
      <c r="Y295" s="16"/>
      <c r="Z295" s="16"/>
      <c r="AA295" s="16"/>
      <c r="AB295" s="16"/>
      <c r="AC295" s="16"/>
      <c r="AD295" s="16"/>
      <c r="AE295" s="16"/>
      <c r="AF295" s="16"/>
      <c r="AG295" s="16"/>
      <c r="AH295" s="16"/>
      <c r="AI295" s="16"/>
    </row>
    <row r="296" ht="12.75" customHeight="1" spans="1:35" x14ac:dyDescent="0.25">
      <c r="A296" s="16"/>
      <c r="B296" s="16"/>
      <c r="C296" s="16"/>
      <c r="D296" s="16"/>
      <c r="E296" s="16"/>
      <c r="F296" s="16"/>
      <c r="G296" s="16"/>
      <c r="H296" s="16"/>
      <c r="I296" s="16"/>
      <c r="J296" s="16"/>
      <c r="K296" s="16"/>
      <c r="L296" s="16"/>
      <c r="M296" s="16"/>
      <c r="N296" s="16"/>
      <c r="O296" s="16"/>
      <c r="P296" s="16"/>
      <c r="Q296" s="16"/>
      <c r="R296" s="16"/>
      <c r="S296" s="16"/>
      <c r="T296" s="16"/>
      <c r="U296" s="16"/>
      <c r="V296" s="16"/>
      <c r="W296" s="16"/>
      <c r="X296" s="16"/>
      <c r="Y296" s="16"/>
      <c r="Z296" s="16"/>
      <c r="AA296" s="16"/>
      <c r="AB296" s="16"/>
      <c r="AC296" s="16"/>
      <c r="AD296" s="16"/>
      <c r="AE296" s="16"/>
      <c r="AF296" s="16"/>
      <c r="AG296" s="16"/>
      <c r="AH296" s="16"/>
      <c r="AI296" s="16"/>
    </row>
    <row r="297" ht="12.75" customHeight="1" spans="1:35" x14ac:dyDescent="0.25">
      <c r="A297" s="16"/>
      <c r="B297" s="16"/>
      <c r="C297" s="16"/>
      <c r="D297" s="16"/>
      <c r="E297" s="16"/>
      <c r="F297" s="16"/>
      <c r="G297" s="16"/>
      <c r="H297" s="16"/>
      <c r="I297" s="16"/>
      <c r="J297" s="16"/>
      <c r="K297" s="16"/>
      <c r="L297" s="16"/>
      <c r="M297" s="16"/>
      <c r="N297" s="16"/>
      <c r="O297" s="16"/>
      <c r="P297" s="16"/>
      <c r="Q297" s="16"/>
      <c r="R297" s="16"/>
      <c r="S297" s="16"/>
      <c r="T297" s="16"/>
      <c r="U297" s="16"/>
      <c r="V297" s="16"/>
      <c r="W297" s="16"/>
      <c r="X297" s="16"/>
      <c r="Y297" s="16"/>
      <c r="Z297" s="16"/>
      <c r="AA297" s="16"/>
      <c r="AB297" s="16"/>
      <c r="AC297" s="16"/>
      <c r="AD297" s="16"/>
      <c r="AE297" s="16"/>
      <c r="AF297" s="16"/>
      <c r="AG297" s="16"/>
      <c r="AH297" s="16"/>
      <c r="AI297" s="16"/>
    </row>
    <row r="298" ht="12.75" customHeight="1" spans="1:35" x14ac:dyDescent="0.25">
      <c r="A298" s="16"/>
      <c r="B298" s="16"/>
      <c r="C298" s="16"/>
      <c r="D298" s="16"/>
      <c r="E298" s="16"/>
      <c r="F298" s="16"/>
      <c r="G298" s="16"/>
      <c r="H298" s="16"/>
      <c r="I298" s="16"/>
      <c r="J298" s="16"/>
      <c r="K298" s="16"/>
      <c r="L298" s="16"/>
      <c r="M298" s="16"/>
      <c r="N298" s="16"/>
      <c r="O298" s="16"/>
      <c r="P298" s="16"/>
      <c r="Q298" s="16"/>
      <c r="R298" s="16"/>
      <c r="S298" s="16"/>
      <c r="T298" s="16"/>
      <c r="U298" s="16"/>
      <c r="V298" s="16"/>
      <c r="W298" s="16"/>
      <c r="X298" s="16"/>
      <c r="Y298" s="16"/>
      <c r="Z298" s="16"/>
      <c r="AA298" s="16"/>
      <c r="AB298" s="16"/>
      <c r="AC298" s="16"/>
      <c r="AD298" s="16"/>
      <c r="AE298" s="16"/>
      <c r="AF298" s="16"/>
      <c r="AG298" s="16"/>
      <c r="AH298" s="16"/>
      <c r="AI298" s="16"/>
    </row>
    <row r="299" ht="12.75" customHeight="1" spans="1:35" x14ac:dyDescent="0.25">
      <c r="A299" s="16"/>
      <c r="B299" s="16"/>
      <c r="C299" s="16"/>
      <c r="D299" s="16"/>
      <c r="E299" s="16"/>
      <c r="F299" s="16"/>
      <c r="G299" s="16"/>
      <c r="H299" s="16"/>
      <c r="I299" s="16"/>
      <c r="J299" s="16"/>
      <c r="K299" s="16"/>
      <c r="L299" s="16"/>
      <c r="M299" s="16"/>
      <c r="N299" s="16"/>
      <c r="O299" s="16"/>
      <c r="P299" s="16"/>
      <c r="Q299" s="16"/>
      <c r="R299" s="16"/>
      <c r="S299" s="16"/>
      <c r="T299" s="16"/>
      <c r="U299" s="16"/>
      <c r="V299" s="16"/>
      <c r="W299" s="16"/>
      <c r="X299" s="16"/>
      <c r="Y299" s="16"/>
      <c r="Z299" s="16"/>
      <c r="AA299" s="16"/>
      <c r="AB299" s="16"/>
      <c r="AC299" s="16"/>
      <c r="AD299" s="16"/>
      <c r="AE299" s="16"/>
      <c r="AF299" s="16"/>
      <c r="AG299" s="16"/>
      <c r="AH299" s="16"/>
      <c r="AI299" s="16"/>
    </row>
    <row r="300" ht="12.75" customHeight="1" spans="1:35" x14ac:dyDescent="0.25">
      <c r="A300" s="16"/>
      <c r="B300" s="16"/>
      <c r="C300" s="16"/>
      <c r="D300" s="16"/>
      <c r="E300" s="16"/>
      <c r="F300" s="16"/>
      <c r="G300" s="16"/>
      <c r="H300" s="16"/>
      <c r="I300" s="16"/>
      <c r="J300" s="16"/>
      <c r="K300" s="16"/>
      <c r="L300" s="16"/>
      <c r="M300" s="16"/>
      <c r="N300" s="16"/>
      <c r="O300" s="16"/>
      <c r="P300" s="16"/>
      <c r="Q300" s="16"/>
      <c r="R300" s="16"/>
      <c r="S300" s="16"/>
      <c r="T300" s="16"/>
      <c r="U300" s="16"/>
      <c r="V300" s="16"/>
      <c r="W300" s="16"/>
      <c r="X300" s="16"/>
      <c r="Y300" s="16"/>
      <c r="Z300" s="16"/>
      <c r="AA300" s="16"/>
      <c r="AB300" s="16"/>
      <c r="AC300" s="16"/>
      <c r="AD300" s="16"/>
      <c r="AE300" s="16"/>
      <c r="AF300" s="16"/>
      <c r="AG300" s="16"/>
      <c r="AH300" s="16"/>
      <c r="AI300" s="16"/>
    </row>
    <row r="301" ht="12.75" customHeight="1" spans="1:35" x14ac:dyDescent="0.25">
      <c r="A301" s="16"/>
      <c r="B301" s="16"/>
      <c r="C301" s="16"/>
      <c r="D301" s="16"/>
      <c r="E301" s="16"/>
      <c r="F301" s="16"/>
      <c r="G301" s="16"/>
      <c r="H301" s="16"/>
      <c r="I301" s="16"/>
      <c r="J301" s="16"/>
      <c r="K301" s="16"/>
      <c r="L301" s="16"/>
      <c r="M301" s="16"/>
      <c r="N301" s="16"/>
      <c r="O301" s="16"/>
      <c r="P301" s="16"/>
      <c r="Q301" s="16"/>
      <c r="R301" s="16"/>
      <c r="S301" s="16"/>
      <c r="T301" s="16"/>
      <c r="U301" s="16"/>
      <c r="V301" s="16"/>
      <c r="W301" s="16"/>
      <c r="X301" s="16"/>
      <c r="Y301" s="16"/>
      <c r="Z301" s="16"/>
      <c r="AA301" s="16"/>
      <c r="AB301" s="16"/>
      <c r="AC301" s="16"/>
      <c r="AD301" s="16"/>
      <c r="AE301" s="16"/>
      <c r="AF301" s="16"/>
      <c r="AG301" s="16"/>
      <c r="AH301" s="16"/>
      <c r="AI301" s="16"/>
    </row>
    <row r="302" ht="12.75" customHeight="1" spans="1:35" x14ac:dyDescent="0.25">
      <c r="A302" s="16"/>
      <c r="B302" s="16"/>
      <c r="C302" s="16"/>
      <c r="D302" s="16"/>
      <c r="E302" s="16"/>
      <c r="F302" s="16"/>
      <c r="G302" s="16"/>
      <c r="H302" s="16"/>
      <c r="I302" s="16"/>
      <c r="J302" s="16"/>
      <c r="K302" s="16"/>
      <c r="L302" s="16"/>
      <c r="M302" s="16"/>
      <c r="N302" s="16"/>
      <c r="O302" s="16"/>
      <c r="P302" s="16"/>
      <c r="Q302" s="16"/>
      <c r="R302" s="16"/>
      <c r="S302" s="16"/>
      <c r="T302" s="16"/>
      <c r="U302" s="16"/>
      <c r="V302" s="16"/>
      <c r="W302" s="16"/>
      <c r="X302" s="16"/>
      <c r="Y302" s="16"/>
      <c r="Z302" s="16"/>
      <c r="AA302" s="16"/>
      <c r="AB302" s="16"/>
      <c r="AC302" s="16"/>
      <c r="AD302" s="16"/>
      <c r="AE302" s="16"/>
      <c r="AF302" s="16"/>
      <c r="AG302" s="16"/>
      <c r="AH302" s="16"/>
      <c r="AI302" s="16"/>
    </row>
    <row r="303" ht="12.75" customHeight="1" spans="1:35" x14ac:dyDescent="0.25">
      <c r="A303" s="16"/>
      <c r="B303" s="16"/>
      <c r="C303" s="16"/>
      <c r="D303" s="16"/>
      <c r="E303" s="16"/>
      <c r="F303" s="16"/>
      <c r="G303" s="16"/>
      <c r="H303" s="16"/>
      <c r="I303" s="16"/>
      <c r="J303" s="16"/>
      <c r="K303" s="16"/>
      <c r="L303" s="16"/>
      <c r="M303" s="16"/>
      <c r="N303" s="16"/>
      <c r="O303" s="16"/>
      <c r="P303" s="16"/>
      <c r="Q303" s="16"/>
      <c r="R303" s="16"/>
      <c r="S303" s="16"/>
      <c r="T303" s="16"/>
      <c r="U303" s="16"/>
      <c r="V303" s="16"/>
      <c r="W303" s="16"/>
      <c r="X303" s="16"/>
      <c r="Y303" s="16"/>
      <c r="Z303" s="16"/>
      <c r="AA303" s="16"/>
      <c r="AB303" s="16"/>
      <c r="AC303" s="16"/>
      <c r="AD303" s="16"/>
      <c r="AE303" s="16"/>
      <c r="AF303" s="16"/>
      <c r="AG303" s="16"/>
      <c r="AH303" s="16"/>
      <c r="AI303" s="16"/>
    </row>
    <row r="304" ht="12.75" customHeight="1" spans="1:35" x14ac:dyDescent="0.25">
      <c r="A304" s="16"/>
      <c r="B304" s="16"/>
      <c r="C304" s="16"/>
      <c r="D304" s="16"/>
      <c r="E304" s="16"/>
      <c r="F304" s="16"/>
      <c r="G304" s="16"/>
      <c r="H304" s="16"/>
      <c r="I304" s="16"/>
      <c r="J304" s="16"/>
      <c r="K304" s="16"/>
      <c r="L304" s="16"/>
      <c r="M304" s="16"/>
      <c r="N304" s="16"/>
      <c r="O304" s="16"/>
      <c r="P304" s="16"/>
      <c r="Q304" s="16"/>
      <c r="R304" s="16"/>
      <c r="S304" s="16"/>
      <c r="T304" s="16"/>
      <c r="U304" s="16"/>
      <c r="V304" s="16"/>
      <c r="W304" s="16"/>
      <c r="X304" s="16"/>
      <c r="Y304" s="16"/>
      <c r="Z304" s="16"/>
      <c r="AA304" s="16"/>
      <c r="AB304" s="16"/>
      <c r="AC304" s="16"/>
      <c r="AD304" s="16"/>
      <c r="AE304" s="16"/>
      <c r="AF304" s="16"/>
      <c r="AG304" s="16"/>
      <c r="AH304" s="16"/>
      <c r="AI304" s="16"/>
    </row>
    <row r="305" ht="12.75" customHeight="1" spans="1:35" x14ac:dyDescent="0.25">
      <c r="A305" s="16"/>
      <c r="B305" s="16"/>
      <c r="C305" s="16"/>
      <c r="D305" s="16"/>
      <c r="E305" s="16"/>
      <c r="F305" s="16"/>
      <c r="G305" s="16"/>
      <c r="H305" s="16"/>
      <c r="I305" s="16"/>
      <c r="J305" s="16"/>
      <c r="K305" s="16"/>
      <c r="L305" s="16"/>
      <c r="M305" s="16"/>
      <c r="N305" s="16"/>
      <c r="O305" s="16"/>
      <c r="P305" s="16"/>
      <c r="Q305" s="16"/>
      <c r="R305" s="16"/>
      <c r="S305" s="16"/>
      <c r="T305" s="16"/>
      <c r="U305" s="16"/>
      <c r="V305" s="16"/>
      <c r="W305" s="16"/>
      <c r="X305" s="16"/>
      <c r="Y305" s="16"/>
      <c r="Z305" s="16"/>
      <c r="AA305" s="16"/>
      <c r="AB305" s="16"/>
      <c r="AC305" s="16"/>
      <c r="AD305" s="16"/>
      <c r="AE305" s="16"/>
      <c r="AF305" s="16"/>
      <c r="AG305" s="16"/>
      <c r="AH305" s="16"/>
      <c r="AI305" s="16"/>
    </row>
    <row r="306" ht="12.75" customHeight="1" spans="1:35" x14ac:dyDescent="0.25">
      <c r="A306" s="16"/>
      <c r="B306" s="16"/>
      <c r="C306" s="16"/>
      <c r="D306" s="16"/>
      <c r="E306" s="16"/>
      <c r="F306" s="16"/>
      <c r="G306" s="16"/>
      <c r="H306" s="16"/>
      <c r="I306" s="16"/>
      <c r="J306" s="16"/>
      <c r="K306" s="16"/>
      <c r="L306" s="16"/>
      <c r="M306" s="16"/>
      <c r="N306" s="16"/>
      <c r="O306" s="16"/>
      <c r="P306" s="16"/>
      <c r="Q306" s="16"/>
      <c r="R306" s="16"/>
      <c r="S306" s="16"/>
      <c r="T306" s="16"/>
      <c r="U306" s="16"/>
      <c r="V306" s="16"/>
      <c r="W306" s="16"/>
      <c r="X306" s="16"/>
      <c r="Y306" s="16"/>
      <c r="Z306" s="16"/>
      <c r="AA306" s="16"/>
      <c r="AB306" s="16"/>
      <c r="AC306" s="16"/>
      <c r="AD306" s="16"/>
      <c r="AE306" s="16"/>
      <c r="AF306" s="16"/>
      <c r="AG306" s="16"/>
      <c r="AH306" s="16"/>
      <c r="AI306" s="16"/>
    </row>
    <row r="307" ht="12.75" customHeight="1" spans="1:35" x14ac:dyDescent="0.25">
      <c r="A307" s="16"/>
      <c r="B307" s="16"/>
      <c r="C307" s="16"/>
      <c r="D307" s="16"/>
      <c r="E307" s="16"/>
      <c r="F307" s="16"/>
      <c r="G307" s="16"/>
      <c r="H307" s="16"/>
      <c r="I307" s="16"/>
      <c r="J307" s="16"/>
      <c r="K307" s="16"/>
      <c r="L307" s="16"/>
      <c r="M307" s="16"/>
      <c r="N307" s="16"/>
      <c r="O307" s="16"/>
      <c r="P307" s="16"/>
      <c r="Q307" s="16"/>
      <c r="R307" s="16"/>
      <c r="S307" s="16"/>
      <c r="T307" s="16"/>
      <c r="U307" s="16"/>
      <c r="V307" s="16"/>
      <c r="W307" s="16"/>
      <c r="X307" s="16"/>
      <c r="Y307" s="16"/>
      <c r="Z307" s="16"/>
      <c r="AA307" s="16"/>
      <c r="AB307" s="16"/>
      <c r="AC307" s="16"/>
      <c r="AD307" s="16"/>
      <c r="AE307" s="16"/>
      <c r="AF307" s="16"/>
      <c r="AG307" s="16"/>
      <c r="AH307" s="16"/>
      <c r="AI307" s="16"/>
    </row>
    <row r="308" ht="12.75" customHeight="1" spans="1:35" x14ac:dyDescent="0.25">
      <c r="A308" s="16"/>
      <c r="B308" s="16"/>
      <c r="C308" s="16"/>
      <c r="D308" s="16"/>
      <c r="E308" s="16"/>
      <c r="F308" s="16"/>
      <c r="G308" s="16"/>
      <c r="H308" s="16"/>
      <c r="I308" s="16"/>
      <c r="J308" s="16"/>
      <c r="K308" s="16"/>
      <c r="L308" s="16"/>
      <c r="M308" s="16"/>
      <c r="N308" s="16"/>
      <c r="O308" s="16"/>
      <c r="P308" s="16"/>
      <c r="Q308" s="16"/>
      <c r="R308" s="16"/>
      <c r="S308" s="16"/>
      <c r="T308" s="16"/>
      <c r="U308" s="16"/>
      <c r="V308" s="16"/>
      <c r="W308" s="16"/>
      <c r="X308" s="16"/>
      <c r="Y308" s="16"/>
      <c r="Z308" s="16"/>
      <c r="AA308" s="16"/>
      <c r="AB308" s="16"/>
      <c r="AC308" s="16"/>
      <c r="AD308" s="16"/>
      <c r="AE308" s="16"/>
      <c r="AF308" s="16"/>
      <c r="AG308" s="16"/>
      <c r="AH308" s="16"/>
      <c r="AI308" s="16"/>
    </row>
    <row r="309" ht="12.75" customHeight="1" spans="1:35" x14ac:dyDescent="0.25">
      <c r="A309" s="16"/>
      <c r="B309" s="16"/>
      <c r="C309" s="16"/>
      <c r="D309" s="16"/>
      <c r="E309" s="16"/>
      <c r="F309" s="16"/>
      <c r="G309" s="16"/>
      <c r="H309" s="16"/>
      <c r="I309" s="16"/>
      <c r="J309" s="16"/>
      <c r="K309" s="16"/>
      <c r="L309" s="16"/>
      <c r="M309" s="16"/>
      <c r="N309" s="16"/>
      <c r="O309" s="16"/>
      <c r="P309" s="16"/>
      <c r="Q309" s="16"/>
      <c r="R309" s="16"/>
      <c r="S309" s="16"/>
      <c r="T309" s="16"/>
      <c r="U309" s="16"/>
      <c r="V309" s="16"/>
      <c r="W309" s="16"/>
      <c r="X309" s="16"/>
      <c r="Y309" s="16"/>
      <c r="Z309" s="16"/>
      <c r="AA309" s="16"/>
      <c r="AB309" s="16"/>
      <c r="AC309" s="16"/>
      <c r="AD309" s="16"/>
      <c r="AE309" s="16"/>
      <c r="AF309" s="16"/>
      <c r="AG309" s="16"/>
      <c r="AH309" s="16"/>
      <c r="AI309" s="16"/>
    </row>
    <row r="310" ht="12.75" customHeight="1" spans="1:35" x14ac:dyDescent="0.25">
      <c r="A310" s="16"/>
      <c r="B310" s="16"/>
      <c r="C310" s="16"/>
      <c r="D310" s="16"/>
      <c r="E310" s="16"/>
      <c r="F310" s="16"/>
      <c r="G310" s="16"/>
      <c r="H310" s="16"/>
      <c r="I310" s="16"/>
      <c r="J310" s="16"/>
      <c r="K310" s="16"/>
      <c r="L310" s="16"/>
      <c r="M310" s="16"/>
      <c r="N310" s="16"/>
      <c r="O310" s="16"/>
      <c r="P310" s="16"/>
      <c r="Q310" s="16"/>
      <c r="R310" s="16"/>
      <c r="S310" s="16"/>
      <c r="T310" s="16"/>
      <c r="U310" s="16"/>
      <c r="V310" s="16"/>
      <c r="W310" s="16"/>
      <c r="X310" s="16"/>
      <c r="Y310" s="16"/>
      <c r="Z310" s="16"/>
      <c r="AA310" s="16"/>
      <c r="AB310" s="16"/>
      <c r="AC310" s="16"/>
      <c r="AD310" s="16"/>
      <c r="AE310" s="16"/>
      <c r="AF310" s="16"/>
      <c r="AG310" s="16"/>
      <c r="AH310" s="16"/>
      <c r="AI310" s="16"/>
    </row>
    <row r="311" ht="12.75" customHeight="1" spans="1:35" x14ac:dyDescent="0.25">
      <c r="A311" s="16"/>
      <c r="B311" s="16"/>
      <c r="C311" s="16"/>
      <c r="D311" s="16"/>
      <c r="E311" s="16"/>
      <c r="F311" s="16"/>
      <c r="G311" s="16"/>
      <c r="H311" s="16"/>
      <c r="I311" s="16"/>
      <c r="J311" s="16"/>
      <c r="K311" s="16"/>
      <c r="L311" s="16"/>
      <c r="M311" s="16"/>
      <c r="N311" s="16"/>
      <c r="O311" s="16"/>
      <c r="P311" s="16"/>
      <c r="Q311" s="16"/>
      <c r="R311" s="16"/>
      <c r="S311" s="16"/>
      <c r="T311" s="16"/>
      <c r="U311" s="16"/>
      <c r="V311" s="16"/>
      <c r="W311" s="16"/>
      <c r="X311" s="16"/>
      <c r="Y311" s="16"/>
      <c r="Z311" s="16"/>
      <c r="AA311" s="16"/>
      <c r="AB311" s="16"/>
      <c r="AC311" s="16"/>
      <c r="AD311" s="16"/>
      <c r="AE311" s="16"/>
      <c r="AF311" s="16"/>
      <c r="AG311" s="16"/>
      <c r="AH311" s="16"/>
      <c r="AI311" s="16"/>
    </row>
    <row r="312" ht="12.75" customHeight="1" spans="1:35" x14ac:dyDescent="0.25">
      <c r="A312" s="16"/>
      <c r="B312" s="16"/>
      <c r="C312" s="16"/>
      <c r="D312" s="16"/>
      <c r="E312" s="16"/>
      <c r="F312" s="16"/>
      <c r="G312" s="16"/>
      <c r="H312" s="16"/>
      <c r="I312" s="16"/>
      <c r="J312" s="16"/>
      <c r="K312" s="16"/>
      <c r="L312" s="16"/>
      <c r="M312" s="16"/>
      <c r="N312" s="16"/>
      <c r="O312" s="16"/>
      <c r="P312" s="16"/>
      <c r="Q312" s="16"/>
      <c r="R312" s="16"/>
      <c r="S312" s="16"/>
      <c r="T312" s="16"/>
      <c r="U312" s="16"/>
      <c r="V312" s="16"/>
      <c r="W312" s="16"/>
      <c r="X312" s="16"/>
      <c r="Y312" s="16"/>
      <c r="Z312" s="16"/>
      <c r="AA312" s="16"/>
      <c r="AB312" s="16"/>
      <c r="AC312" s="16"/>
      <c r="AD312" s="16"/>
      <c r="AE312" s="16"/>
      <c r="AF312" s="16"/>
      <c r="AG312" s="16"/>
      <c r="AH312" s="16"/>
      <c r="AI312" s="16"/>
    </row>
    <row r="313" ht="12.75" customHeight="1" spans="1:35" x14ac:dyDescent="0.25">
      <c r="A313" s="16"/>
      <c r="B313" s="16"/>
      <c r="C313" s="16"/>
      <c r="D313" s="16"/>
      <c r="E313" s="16"/>
      <c r="F313" s="16"/>
      <c r="G313" s="16"/>
      <c r="H313" s="16"/>
      <c r="I313" s="16"/>
      <c r="J313" s="16"/>
      <c r="K313" s="16"/>
      <c r="L313" s="16"/>
      <c r="M313" s="16"/>
      <c r="N313" s="16"/>
      <c r="O313" s="16"/>
      <c r="P313" s="16"/>
      <c r="Q313" s="16"/>
      <c r="R313" s="16"/>
      <c r="S313" s="16"/>
      <c r="T313" s="16"/>
      <c r="U313" s="16"/>
      <c r="V313" s="16"/>
      <c r="W313" s="16"/>
      <c r="X313" s="16"/>
      <c r="Y313" s="16"/>
      <c r="Z313" s="16"/>
      <c r="AA313" s="16"/>
      <c r="AB313" s="16"/>
      <c r="AC313" s="16"/>
      <c r="AD313" s="16"/>
      <c r="AE313" s="16"/>
      <c r="AF313" s="16"/>
      <c r="AG313" s="16"/>
      <c r="AH313" s="16"/>
      <c r="AI313" s="16"/>
    </row>
    <row r="314" ht="12.75" customHeight="1" spans="1:35" x14ac:dyDescent="0.25">
      <c r="A314" s="16"/>
      <c r="B314" s="16"/>
      <c r="C314" s="16"/>
      <c r="D314" s="16"/>
      <c r="E314" s="16"/>
      <c r="F314" s="16"/>
      <c r="G314" s="16"/>
      <c r="H314" s="16"/>
      <c r="I314" s="16"/>
      <c r="J314" s="16"/>
      <c r="K314" s="16"/>
      <c r="L314" s="16"/>
      <c r="M314" s="16"/>
      <c r="N314" s="16"/>
      <c r="O314" s="16"/>
      <c r="P314" s="16"/>
      <c r="Q314" s="16"/>
      <c r="R314" s="16"/>
      <c r="S314" s="16"/>
      <c r="T314" s="16"/>
      <c r="U314" s="16"/>
      <c r="V314" s="16"/>
      <c r="W314" s="16"/>
      <c r="X314" s="16"/>
      <c r="Y314" s="16"/>
      <c r="Z314" s="16"/>
      <c r="AA314" s="16"/>
      <c r="AB314" s="16"/>
      <c r="AC314" s="16"/>
      <c r="AD314" s="16"/>
      <c r="AE314" s="16"/>
      <c r="AF314" s="16"/>
      <c r="AG314" s="16"/>
      <c r="AH314" s="16"/>
      <c r="AI314" s="16"/>
    </row>
    <row r="315" ht="12.75" customHeight="1" spans="1:35" x14ac:dyDescent="0.25">
      <c r="A315" s="16"/>
      <c r="B315" s="16"/>
      <c r="C315" s="16"/>
      <c r="D315" s="16"/>
      <c r="E315" s="16"/>
      <c r="F315" s="16"/>
      <c r="G315" s="16"/>
      <c r="H315" s="16"/>
      <c r="I315" s="16"/>
      <c r="J315" s="16"/>
      <c r="K315" s="16"/>
      <c r="L315" s="16"/>
      <c r="M315" s="16"/>
      <c r="N315" s="16"/>
      <c r="O315" s="16"/>
      <c r="P315" s="16"/>
      <c r="Q315" s="16"/>
      <c r="R315" s="16"/>
      <c r="S315" s="16"/>
      <c r="T315" s="16"/>
      <c r="U315" s="16"/>
      <c r="V315" s="16"/>
      <c r="W315" s="16"/>
      <c r="X315" s="16"/>
      <c r="Y315" s="16"/>
      <c r="Z315" s="16"/>
      <c r="AA315" s="16"/>
      <c r="AB315" s="16"/>
      <c r="AC315" s="16"/>
      <c r="AD315" s="16"/>
      <c r="AE315" s="16"/>
      <c r="AF315" s="16"/>
      <c r="AG315" s="16"/>
      <c r="AH315" s="16"/>
      <c r="AI315" s="16"/>
    </row>
    <row r="316" ht="12.75" customHeight="1" spans="1:35" x14ac:dyDescent="0.25">
      <c r="A316" s="16"/>
      <c r="B316" s="16"/>
      <c r="C316" s="16"/>
      <c r="D316" s="16"/>
      <c r="E316" s="16"/>
      <c r="F316" s="16"/>
      <c r="G316" s="16"/>
      <c r="H316" s="16"/>
      <c r="I316" s="16"/>
      <c r="J316" s="16"/>
      <c r="K316" s="16"/>
      <c r="L316" s="16"/>
      <c r="M316" s="16"/>
      <c r="N316" s="16"/>
      <c r="O316" s="16"/>
      <c r="P316" s="16"/>
      <c r="Q316" s="16"/>
      <c r="R316" s="16"/>
      <c r="S316" s="16"/>
      <c r="T316" s="16"/>
      <c r="U316" s="16"/>
      <c r="V316" s="16"/>
      <c r="W316" s="16"/>
      <c r="X316" s="16"/>
      <c r="Y316" s="16"/>
      <c r="Z316" s="16"/>
      <c r="AA316" s="16"/>
      <c r="AB316" s="16"/>
      <c r="AC316" s="16"/>
      <c r="AD316" s="16"/>
      <c r="AE316" s="16"/>
      <c r="AF316" s="16"/>
      <c r="AG316" s="16"/>
      <c r="AH316" s="16"/>
      <c r="AI316" s="16"/>
    </row>
    <row r="317" ht="12.75" customHeight="1" spans="1:35" x14ac:dyDescent="0.25">
      <c r="A317" s="16"/>
      <c r="B317" s="16"/>
      <c r="C317" s="16"/>
      <c r="D317" s="16"/>
      <c r="E317" s="16"/>
      <c r="F317" s="16"/>
      <c r="G317" s="16"/>
      <c r="H317" s="16"/>
      <c r="I317" s="16"/>
      <c r="J317" s="16"/>
      <c r="K317" s="16"/>
      <c r="L317" s="16"/>
      <c r="M317" s="16"/>
      <c r="N317" s="16"/>
      <c r="O317" s="16"/>
      <c r="P317" s="16"/>
      <c r="Q317" s="16"/>
      <c r="R317" s="16"/>
      <c r="S317" s="16"/>
      <c r="T317" s="16"/>
      <c r="U317" s="16"/>
      <c r="V317" s="16"/>
      <c r="W317" s="16"/>
      <c r="X317" s="16"/>
      <c r="Y317" s="16"/>
      <c r="Z317" s="16"/>
      <c r="AA317" s="16"/>
      <c r="AB317" s="16"/>
      <c r="AC317" s="16"/>
      <c r="AD317" s="16"/>
      <c r="AE317" s="16"/>
      <c r="AF317" s="16"/>
      <c r="AG317" s="16"/>
      <c r="AH317" s="16"/>
      <c r="AI317" s="16"/>
    </row>
    <row r="318" ht="12.75" customHeight="1" spans="1:35" x14ac:dyDescent="0.25">
      <c r="A318" s="16"/>
      <c r="B318" s="16"/>
      <c r="C318" s="16"/>
      <c r="D318" s="16"/>
      <c r="E318" s="16"/>
      <c r="F318" s="16"/>
      <c r="G318" s="16"/>
      <c r="H318" s="16"/>
      <c r="I318" s="16"/>
      <c r="J318" s="16"/>
      <c r="K318" s="16"/>
      <c r="L318" s="16"/>
      <c r="M318" s="16"/>
      <c r="N318" s="16"/>
      <c r="O318" s="16"/>
      <c r="P318" s="16"/>
      <c r="Q318" s="16"/>
      <c r="R318" s="16"/>
      <c r="S318" s="16"/>
      <c r="T318" s="16"/>
      <c r="U318" s="16"/>
      <c r="V318" s="16"/>
      <c r="W318" s="16"/>
      <c r="X318" s="16"/>
      <c r="Y318" s="16"/>
      <c r="Z318" s="16"/>
      <c r="AA318" s="16"/>
      <c r="AB318" s="16"/>
      <c r="AC318" s="16"/>
      <c r="AD318" s="16"/>
      <c r="AE318" s="16"/>
      <c r="AF318" s="16"/>
      <c r="AG318" s="16"/>
      <c r="AH318" s="16"/>
      <c r="AI318" s="16"/>
    </row>
    <row r="319" ht="12.75" customHeight="1" spans="1:35" x14ac:dyDescent="0.25">
      <c r="A319" s="16"/>
      <c r="B319" s="16"/>
      <c r="C319" s="16"/>
      <c r="D319" s="16"/>
      <c r="E319" s="16"/>
      <c r="F319" s="16"/>
      <c r="G319" s="16"/>
      <c r="H319" s="16"/>
      <c r="I319" s="16"/>
      <c r="J319" s="16"/>
      <c r="K319" s="16"/>
      <c r="L319" s="16"/>
      <c r="M319" s="16"/>
      <c r="N319" s="16"/>
      <c r="O319" s="16"/>
      <c r="P319" s="16"/>
      <c r="Q319" s="16"/>
      <c r="R319" s="16"/>
      <c r="S319" s="16"/>
      <c r="T319" s="16"/>
      <c r="U319" s="16"/>
      <c r="V319" s="16"/>
      <c r="W319" s="16"/>
      <c r="X319" s="16"/>
      <c r="Y319" s="16"/>
      <c r="Z319" s="16"/>
      <c r="AA319" s="16"/>
      <c r="AB319" s="16"/>
      <c r="AC319" s="16"/>
      <c r="AD319" s="16"/>
      <c r="AE319" s="16"/>
      <c r="AF319" s="16"/>
      <c r="AG319" s="16"/>
      <c r="AH319" s="16"/>
      <c r="AI319" s="16"/>
    </row>
    <row r="320" ht="12.75" customHeight="1" spans="1:35" x14ac:dyDescent="0.25">
      <c r="A320" s="16"/>
      <c r="B320" s="16"/>
      <c r="C320" s="16"/>
      <c r="D320" s="16"/>
      <c r="E320" s="16"/>
      <c r="F320" s="16"/>
      <c r="G320" s="16"/>
      <c r="H320" s="16"/>
      <c r="I320" s="16"/>
      <c r="J320" s="16"/>
      <c r="K320" s="16"/>
      <c r="L320" s="16"/>
      <c r="M320" s="16"/>
      <c r="N320" s="16"/>
      <c r="O320" s="16"/>
      <c r="P320" s="16"/>
      <c r="Q320" s="16"/>
      <c r="R320" s="16"/>
      <c r="S320" s="16"/>
      <c r="T320" s="16"/>
      <c r="U320" s="16"/>
      <c r="V320" s="16"/>
      <c r="W320" s="16"/>
      <c r="X320" s="16"/>
      <c r="Y320" s="16"/>
      <c r="Z320" s="16"/>
      <c r="AA320" s="16"/>
      <c r="AB320" s="16"/>
      <c r="AC320" s="16"/>
      <c r="AD320" s="16"/>
      <c r="AE320" s="16"/>
      <c r="AF320" s="16"/>
      <c r="AG320" s="16"/>
      <c r="AH320" s="16"/>
      <c r="AI320" s="16"/>
    </row>
    <row r="321" ht="12.75" customHeight="1" spans="1:35" x14ac:dyDescent="0.25">
      <c r="A321" s="16"/>
      <c r="B321" s="16"/>
      <c r="C321" s="16"/>
      <c r="D321" s="16"/>
      <c r="E321" s="16"/>
      <c r="F321" s="16"/>
      <c r="G321" s="16"/>
      <c r="H321" s="16"/>
      <c r="I321" s="16"/>
      <c r="J321" s="16"/>
      <c r="K321" s="16"/>
      <c r="L321" s="16"/>
      <c r="M321" s="16"/>
      <c r="N321" s="16"/>
      <c r="O321" s="16"/>
      <c r="P321" s="16"/>
      <c r="Q321" s="16"/>
      <c r="R321" s="16"/>
      <c r="S321" s="16"/>
      <c r="T321" s="16"/>
      <c r="U321" s="16"/>
      <c r="V321" s="16"/>
      <c r="W321" s="16"/>
      <c r="X321" s="16"/>
      <c r="Y321" s="16"/>
      <c r="Z321" s="16"/>
      <c r="AA321" s="16"/>
      <c r="AB321" s="16"/>
      <c r="AC321" s="16"/>
      <c r="AD321" s="16"/>
      <c r="AE321" s="16"/>
      <c r="AF321" s="16"/>
      <c r="AG321" s="16"/>
      <c r="AH321" s="16"/>
      <c r="AI321" s="16"/>
    </row>
    <row r="322" ht="12.75" customHeight="1" spans="1:35" x14ac:dyDescent="0.25">
      <c r="A322" s="16"/>
      <c r="B322" s="16"/>
      <c r="C322" s="16"/>
      <c r="D322" s="16"/>
      <c r="E322" s="16"/>
      <c r="F322" s="16"/>
      <c r="G322" s="16"/>
      <c r="H322" s="16"/>
      <c r="I322" s="16"/>
      <c r="J322" s="16"/>
      <c r="K322" s="16"/>
      <c r="L322" s="16"/>
      <c r="M322" s="16"/>
      <c r="N322" s="16"/>
      <c r="O322" s="16"/>
      <c r="P322" s="16"/>
      <c r="Q322" s="16"/>
      <c r="R322" s="16"/>
      <c r="S322" s="16"/>
      <c r="T322" s="16"/>
      <c r="U322" s="16"/>
      <c r="V322" s="16"/>
      <c r="W322" s="16"/>
      <c r="X322" s="16"/>
      <c r="Y322" s="16"/>
      <c r="Z322" s="16"/>
      <c r="AA322" s="16"/>
      <c r="AB322" s="16"/>
      <c r="AC322" s="16"/>
      <c r="AD322" s="16"/>
      <c r="AE322" s="16"/>
      <c r="AF322" s="16"/>
      <c r="AG322" s="16"/>
      <c r="AH322" s="16"/>
      <c r="AI322" s="16"/>
    </row>
    <row r="323" ht="12.75" customHeight="1" spans="1:35" x14ac:dyDescent="0.25">
      <c r="A323" s="16"/>
      <c r="B323" s="16"/>
      <c r="C323" s="16"/>
      <c r="D323" s="16"/>
      <c r="E323" s="16"/>
      <c r="F323" s="16"/>
      <c r="G323" s="16"/>
      <c r="H323" s="16"/>
      <c r="I323" s="16"/>
      <c r="J323" s="16"/>
      <c r="K323" s="16"/>
      <c r="L323" s="16"/>
      <c r="M323" s="16"/>
      <c r="N323" s="16"/>
      <c r="O323" s="16"/>
      <c r="P323" s="16"/>
      <c r="Q323" s="16"/>
      <c r="R323" s="16"/>
      <c r="S323" s="16"/>
      <c r="T323" s="16"/>
      <c r="U323" s="16"/>
      <c r="V323" s="16"/>
      <c r="W323" s="16"/>
      <c r="X323" s="16"/>
      <c r="Y323" s="16"/>
      <c r="Z323" s="16"/>
      <c r="AA323" s="16"/>
      <c r="AB323" s="16"/>
      <c r="AC323" s="16"/>
      <c r="AD323" s="16"/>
      <c r="AE323" s="16"/>
      <c r="AF323" s="16"/>
      <c r="AG323" s="16"/>
      <c r="AH323" s="16"/>
      <c r="AI323" s="16"/>
    </row>
    <row r="324" ht="12.75" customHeight="1" spans="1:35" x14ac:dyDescent="0.25">
      <c r="A324" s="16"/>
      <c r="B324" s="16"/>
      <c r="C324" s="16"/>
      <c r="D324" s="16"/>
      <c r="E324" s="16"/>
      <c r="F324" s="16"/>
      <c r="G324" s="16"/>
      <c r="H324" s="16"/>
      <c r="I324" s="16"/>
      <c r="J324" s="16"/>
      <c r="K324" s="16"/>
      <c r="L324" s="16"/>
      <c r="M324" s="16"/>
      <c r="N324" s="16"/>
      <c r="O324" s="16"/>
      <c r="P324" s="16"/>
      <c r="Q324" s="16"/>
      <c r="R324" s="16"/>
      <c r="S324" s="16"/>
      <c r="T324" s="16"/>
      <c r="U324" s="16"/>
      <c r="V324" s="16"/>
      <c r="W324" s="16"/>
      <c r="X324" s="16"/>
      <c r="Y324" s="16"/>
      <c r="Z324" s="16"/>
      <c r="AA324" s="16"/>
      <c r="AB324" s="16"/>
      <c r="AC324" s="16"/>
      <c r="AD324" s="16"/>
      <c r="AE324" s="16"/>
      <c r="AF324" s="16"/>
      <c r="AG324" s="16"/>
      <c r="AH324" s="16"/>
      <c r="AI324" s="16"/>
    </row>
    <row r="325" ht="12.75" customHeight="1" spans="1:35" x14ac:dyDescent="0.25">
      <c r="A325" s="16"/>
      <c r="B325" s="16"/>
      <c r="C325" s="16"/>
      <c r="D325" s="16"/>
      <c r="E325" s="16"/>
      <c r="F325" s="16"/>
      <c r="G325" s="16"/>
      <c r="H325" s="16"/>
      <c r="I325" s="16"/>
      <c r="J325" s="16"/>
      <c r="K325" s="16"/>
      <c r="L325" s="16"/>
      <c r="M325" s="16"/>
      <c r="N325" s="16"/>
      <c r="O325" s="16"/>
      <c r="P325" s="16"/>
      <c r="Q325" s="16"/>
      <c r="R325" s="16"/>
      <c r="S325" s="16"/>
      <c r="T325" s="16"/>
      <c r="U325" s="16"/>
      <c r="V325" s="16"/>
      <c r="W325" s="16"/>
      <c r="X325" s="16"/>
      <c r="Y325" s="16"/>
      <c r="Z325" s="16"/>
      <c r="AA325" s="16"/>
      <c r="AB325" s="16"/>
      <c r="AC325" s="16"/>
      <c r="AD325" s="16"/>
      <c r="AE325" s="16"/>
      <c r="AF325" s="16"/>
      <c r="AG325" s="16"/>
      <c r="AH325" s="16"/>
      <c r="AI325" s="16"/>
    </row>
    <row r="326" ht="12.75" customHeight="1" spans="1:35" x14ac:dyDescent="0.25">
      <c r="A326" s="16"/>
      <c r="B326" s="16"/>
      <c r="C326" s="16"/>
      <c r="D326" s="16"/>
      <c r="E326" s="16"/>
      <c r="F326" s="16"/>
      <c r="G326" s="16"/>
      <c r="H326" s="16"/>
      <c r="I326" s="16"/>
      <c r="J326" s="16"/>
      <c r="K326" s="16"/>
      <c r="L326" s="16"/>
      <c r="M326" s="16"/>
      <c r="N326" s="16"/>
      <c r="O326" s="16"/>
      <c r="P326" s="16"/>
      <c r="Q326" s="16"/>
      <c r="R326" s="16"/>
      <c r="S326" s="16"/>
      <c r="T326" s="16"/>
      <c r="U326" s="16"/>
      <c r="V326" s="16"/>
      <c r="W326" s="16"/>
      <c r="X326" s="16"/>
      <c r="Y326" s="16"/>
      <c r="Z326" s="16"/>
      <c r="AA326" s="16"/>
      <c r="AB326" s="16"/>
      <c r="AC326" s="16"/>
      <c r="AD326" s="16"/>
      <c r="AE326" s="16"/>
      <c r="AF326" s="16"/>
      <c r="AG326" s="16"/>
      <c r="AH326" s="16"/>
      <c r="AI326" s="16"/>
    </row>
    <row r="327" ht="12.75" customHeight="1" spans="1:35" x14ac:dyDescent="0.25">
      <c r="A327" s="16"/>
      <c r="B327" s="16"/>
      <c r="C327" s="16"/>
      <c r="D327" s="16"/>
      <c r="E327" s="16"/>
      <c r="F327" s="16"/>
      <c r="G327" s="16"/>
      <c r="H327" s="16"/>
      <c r="I327" s="16"/>
      <c r="J327" s="16"/>
      <c r="K327" s="16"/>
      <c r="L327" s="16"/>
      <c r="M327" s="16"/>
      <c r="N327" s="16"/>
      <c r="O327" s="16"/>
      <c r="P327" s="16"/>
      <c r="Q327" s="16"/>
      <c r="R327" s="16"/>
      <c r="S327" s="16"/>
      <c r="T327" s="16"/>
      <c r="U327" s="16"/>
      <c r="V327" s="16"/>
      <c r="W327" s="16"/>
      <c r="X327" s="16"/>
      <c r="Y327" s="16"/>
      <c r="Z327" s="16"/>
      <c r="AA327" s="16"/>
      <c r="AB327" s="16"/>
      <c r="AC327" s="16"/>
      <c r="AD327" s="16"/>
      <c r="AE327" s="16"/>
      <c r="AF327" s="16"/>
      <c r="AG327" s="16"/>
      <c r="AH327" s="16"/>
      <c r="AI327" s="16"/>
    </row>
    <row r="328" ht="12.75" customHeight="1" spans="1:35" x14ac:dyDescent="0.25">
      <c r="A328" s="16"/>
      <c r="B328" s="16"/>
      <c r="C328" s="16"/>
      <c r="D328" s="16"/>
      <c r="E328" s="16"/>
      <c r="F328" s="16"/>
      <c r="G328" s="16"/>
      <c r="H328" s="16"/>
      <c r="I328" s="16"/>
      <c r="J328" s="16"/>
      <c r="K328" s="16"/>
      <c r="L328" s="16"/>
      <c r="M328" s="16"/>
      <c r="N328" s="16"/>
      <c r="O328" s="16"/>
      <c r="P328" s="16"/>
      <c r="Q328" s="16"/>
      <c r="R328" s="16"/>
      <c r="S328" s="16"/>
      <c r="T328" s="16"/>
      <c r="U328" s="16"/>
      <c r="V328" s="16"/>
      <c r="W328" s="16"/>
      <c r="X328" s="16"/>
      <c r="Y328" s="16"/>
      <c r="Z328" s="16"/>
      <c r="AA328" s="16"/>
      <c r="AB328" s="16"/>
      <c r="AC328" s="16"/>
      <c r="AD328" s="16"/>
      <c r="AE328" s="16"/>
      <c r="AF328" s="16"/>
      <c r="AG328" s="16"/>
      <c r="AH328" s="16"/>
      <c r="AI328" s="16"/>
    </row>
    <row r="329" ht="12.75" customHeight="1" spans="1:35" x14ac:dyDescent="0.25">
      <c r="A329" s="16"/>
      <c r="B329" s="16"/>
      <c r="C329" s="16"/>
      <c r="D329" s="16"/>
      <c r="E329" s="16"/>
      <c r="F329" s="16"/>
      <c r="G329" s="16"/>
      <c r="H329" s="16"/>
      <c r="I329" s="16"/>
      <c r="J329" s="16"/>
      <c r="K329" s="16"/>
      <c r="L329" s="16"/>
      <c r="M329" s="16"/>
      <c r="N329" s="16"/>
      <c r="O329" s="16"/>
      <c r="P329" s="16"/>
      <c r="Q329" s="16"/>
      <c r="R329" s="16"/>
      <c r="S329" s="16"/>
      <c r="T329" s="16"/>
      <c r="U329" s="16"/>
      <c r="V329" s="16"/>
      <c r="W329" s="16"/>
      <c r="X329" s="16"/>
      <c r="Y329" s="16"/>
      <c r="Z329" s="16"/>
      <c r="AA329" s="16"/>
      <c r="AB329" s="16"/>
      <c r="AC329" s="16"/>
      <c r="AD329" s="16"/>
      <c r="AE329" s="16"/>
      <c r="AF329" s="16"/>
      <c r="AG329" s="16"/>
      <c r="AH329" s="16"/>
      <c r="AI329" s="16"/>
    </row>
    <row r="330" ht="12.75" customHeight="1" spans="1:35" x14ac:dyDescent="0.25">
      <c r="A330" s="16"/>
      <c r="B330" s="16"/>
      <c r="C330" s="16"/>
      <c r="D330" s="16"/>
      <c r="E330" s="16"/>
      <c r="F330" s="16"/>
      <c r="G330" s="16"/>
      <c r="H330" s="16"/>
      <c r="I330" s="16"/>
      <c r="J330" s="16"/>
      <c r="K330" s="16"/>
      <c r="L330" s="16"/>
      <c r="M330" s="16"/>
      <c r="N330" s="16"/>
      <c r="O330" s="16"/>
      <c r="P330" s="16"/>
      <c r="Q330" s="16"/>
      <c r="R330" s="16"/>
      <c r="S330" s="16"/>
      <c r="T330" s="16"/>
      <c r="U330" s="16"/>
      <c r="V330" s="16"/>
      <c r="W330" s="16"/>
      <c r="X330" s="16"/>
      <c r="Y330" s="16"/>
      <c r="Z330" s="16"/>
      <c r="AA330" s="16"/>
      <c r="AB330" s="16"/>
      <c r="AC330" s="16"/>
      <c r="AD330" s="16"/>
      <c r="AE330" s="16"/>
      <c r="AF330" s="16"/>
      <c r="AG330" s="16"/>
      <c r="AH330" s="16"/>
      <c r="AI330" s="16"/>
    </row>
    <row r="331" ht="12.75" customHeight="1" spans="1:35" x14ac:dyDescent="0.25">
      <c r="A331" s="16"/>
      <c r="B331" s="16"/>
      <c r="C331" s="16"/>
      <c r="D331" s="16"/>
      <c r="E331" s="16"/>
      <c r="F331" s="16"/>
      <c r="G331" s="16"/>
      <c r="H331" s="16"/>
      <c r="I331" s="16"/>
      <c r="J331" s="16"/>
      <c r="K331" s="16"/>
      <c r="L331" s="16"/>
      <c r="M331" s="16"/>
      <c r="N331" s="16"/>
      <c r="O331" s="16"/>
      <c r="P331" s="16"/>
      <c r="Q331" s="16"/>
      <c r="R331" s="16"/>
      <c r="S331" s="16"/>
      <c r="T331" s="16"/>
      <c r="U331" s="16"/>
      <c r="V331" s="16"/>
      <c r="W331" s="16"/>
      <c r="X331" s="16"/>
      <c r="Y331" s="16"/>
      <c r="Z331" s="16"/>
      <c r="AA331" s="16"/>
      <c r="AB331" s="16"/>
      <c r="AC331" s="16"/>
      <c r="AD331" s="16"/>
      <c r="AE331" s="16"/>
      <c r="AF331" s="16"/>
      <c r="AG331" s="16"/>
      <c r="AH331" s="16"/>
      <c r="AI331" s="16"/>
    </row>
    <row r="332" ht="12.75" customHeight="1" spans="1:35" x14ac:dyDescent="0.25">
      <c r="A332" s="16"/>
      <c r="B332" s="16"/>
      <c r="C332" s="16"/>
      <c r="D332" s="16"/>
      <c r="E332" s="16"/>
      <c r="F332" s="16"/>
      <c r="G332" s="16"/>
      <c r="H332" s="16"/>
      <c r="I332" s="16"/>
      <c r="J332" s="16"/>
      <c r="K332" s="16"/>
      <c r="L332" s="16"/>
      <c r="M332" s="16"/>
      <c r="N332" s="16"/>
      <c r="O332" s="16"/>
      <c r="P332" s="16"/>
      <c r="Q332" s="16"/>
      <c r="R332" s="16"/>
      <c r="S332" s="16"/>
      <c r="T332" s="16"/>
      <c r="U332" s="16"/>
      <c r="V332" s="16"/>
      <c r="W332" s="16"/>
      <c r="X332" s="16"/>
      <c r="Y332" s="16"/>
      <c r="Z332" s="16"/>
      <c r="AA332" s="16"/>
      <c r="AB332" s="16"/>
      <c r="AC332" s="16"/>
      <c r="AD332" s="16"/>
      <c r="AE332" s="16"/>
      <c r="AF332" s="16"/>
      <c r="AG332" s="16"/>
      <c r="AH332" s="16"/>
      <c r="AI332" s="16"/>
    </row>
    <row r="333" ht="12.75" customHeight="1" spans="1:35" x14ac:dyDescent="0.25">
      <c r="A333" s="16"/>
      <c r="B333" s="16"/>
      <c r="C333" s="16"/>
      <c r="D333" s="16"/>
      <c r="E333" s="16"/>
      <c r="F333" s="16"/>
      <c r="G333" s="16"/>
      <c r="H333" s="16"/>
      <c r="I333" s="16"/>
      <c r="J333" s="16"/>
      <c r="K333" s="16"/>
      <c r="L333" s="16"/>
      <c r="M333" s="16"/>
      <c r="N333" s="16"/>
      <c r="O333" s="16"/>
      <c r="P333" s="16"/>
      <c r="Q333" s="16"/>
      <c r="R333" s="16"/>
      <c r="S333" s="16"/>
      <c r="T333" s="16"/>
      <c r="U333" s="16"/>
      <c r="V333" s="16"/>
      <c r="W333" s="16"/>
      <c r="X333" s="16"/>
      <c r="Y333" s="16"/>
      <c r="Z333" s="16"/>
      <c r="AA333" s="16"/>
      <c r="AB333" s="16"/>
      <c r="AC333" s="16"/>
      <c r="AD333" s="16"/>
      <c r="AE333" s="16"/>
      <c r="AF333" s="16"/>
      <c r="AG333" s="16"/>
      <c r="AH333" s="16"/>
      <c r="AI333" s="16"/>
    </row>
    <row r="334" ht="12.75" customHeight="1" spans="1:35" x14ac:dyDescent="0.25">
      <c r="A334" s="16"/>
      <c r="B334" s="16"/>
      <c r="C334" s="16"/>
      <c r="D334" s="16"/>
      <c r="E334" s="16"/>
      <c r="F334" s="16"/>
      <c r="G334" s="16"/>
      <c r="H334" s="16"/>
      <c r="I334" s="16"/>
      <c r="J334" s="16"/>
      <c r="K334" s="16"/>
      <c r="L334" s="16"/>
      <c r="M334" s="16"/>
      <c r="N334" s="16"/>
      <c r="O334" s="16"/>
      <c r="P334" s="16"/>
      <c r="Q334" s="16"/>
      <c r="R334" s="16"/>
      <c r="S334" s="16"/>
      <c r="T334" s="16"/>
      <c r="U334" s="16"/>
      <c r="V334" s="16"/>
      <c r="W334" s="16"/>
      <c r="X334" s="16"/>
      <c r="Y334" s="16"/>
      <c r="Z334" s="16"/>
      <c r="AA334" s="16"/>
      <c r="AB334" s="16"/>
      <c r="AC334" s="16"/>
      <c r="AD334" s="16"/>
      <c r="AE334" s="16"/>
      <c r="AF334" s="16"/>
      <c r="AG334" s="16"/>
      <c r="AH334" s="16"/>
      <c r="AI334" s="16"/>
    </row>
    <row r="335" ht="12.75" customHeight="1" spans="1:35" x14ac:dyDescent="0.25">
      <c r="A335" s="16"/>
      <c r="B335" s="16"/>
      <c r="C335" s="16"/>
      <c r="D335" s="16"/>
      <c r="E335" s="16"/>
      <c r="F335" s="16"/>
      <c r="G335" s="16"/>
      <c r="H335" s="16"/>
      <c r="I335" s="16"/>
      <c r="J335" s="16"/>
      <c r="K335" s="16"/>
      <c r="L335" s="16"/>
      <c r="M335" s="16"/>
      <c r="N335" s="16"/>
      <c r="O335" s="16"/>
      <c r="P335" s="16"/>
      <c r="Q335" s="16"/>
      <c r="R335" s="16"/>
      <c r="S335" s="16"/>
      <c r="T335" s="16"/>
      <c r="U335" s="16"/>
      <c r="V335" s="16"/>
      <c r="W335" s="16"/>
      <c r="X335" s="16"/>
      <c r="Y335" s="16"/>
      <c r="Z335" s="16"/>
      <c r="AA335" s="16"/>
      <c r="AB335" s="16"/>
      <c r="AC335" s="16"/>
      <c r="AD335" s="16"/>
      <c r="AE335" s="16"/>
      <c r="AF335" s="16"/>
      <c r="AG335" s="16"/>
      <c r="AH335" s="16"/>
      <c r="AI335" s="16"/>
    </row>
    <row r="336" ht="12.75" customHeight="1" spans="1:35" x14ac:dyDescent="0.25">
      <c r="A336" s="16"/>
      <c r="B336" s="16"/>
      <c r="C336" s="16"/>
      <c r="D336" s="16"/>
      <c r="E336" s="16"/>
      <c r="F336" s="16"/>
      <c r="G336" s="16"/>
      <c r="H336" s="16"/>
      <c r="I336" s="16"/>
      <c r="J336" s="16"/>
      <c r="K336" s="16"/>
      <c r="L336" s="16"/>
      <c r="M336" s="16"/>
      <c r="N336" s="16"/>
      <c r="O336" s="16"/>
      <c r="P336" s="16"/>
      <c r="Q336" s="16"/>
      <c r="R336" s="16"/>
      <c r="S336" s="16"/>
      <c r="T336" s="16"/>
      <c r="U336" s="16"/>
      <c r="V336" s="16"/>
      <c r="W336" s="16"/>
      <c r="X336" s="16"/>
      <c r="Y336" s="16"/>
      <c r="Z336" s="16"/>
      <c r="AA336" s="16"/>
      <c r="AB336" s="16"/>
      <c r="AC336" s="16"/>
      <c r="AD336" s="16"/>
      <c r="AE336" s="16"/>
      <c r="AF336" s="16"/>
      <c r="AG336" s="16"/>
      <c r="AH336" s="16"/>
      <c r="AI336" s="16"/>
    </row>
    <row r="337" ht="12.75" customHeight="1" spans="1:35" x14ac:dyDescent="0.25">
      <c r="A337" s="16"/>
      <c r="B337" s="16"/>
      <c r="C337" s="16"/>
      <c r="D337" s="16"/>
      <c r="E337" s="16"/>
      <c r="F337" s="16"/>
      <c r="G337" s="16"/>
      <c r="H337" s="16"/>
      <c r="I337" s="16"/>
      <c r="J337" s="16"/>
      <c r="K337" s="16"/>
      <c r="L337" s="16"/>
      <c r="M337" s="16"/>
      <c r="N337" s="16"/>
      <c r="O337" s="16"/>
      <c r="P337" s="16"/>
      <c r="Q337" s="16"/>
      <c r="R337" s="16"/>
      <c r="S337" s="16"/>
      <c r="T337" s="16"/>
      <c r="U337" s="16"/>
      <c r="V337" s="16"/>
      <c r="W337" s="16"/>
      <c r="X337" s="16"/>
      <c r="Y337" s="16"/>
      <c r="Z337" s="16"/>
      <c r="AA337" s="16"/>
      <c r="AB337" s="16"/>
      <c r="AC337" s="16"/>
      <c r="AD337" s="16"/>
      <c r="AE337" s="16"/>
      <c r="AF337" s="16"/>
      <c r="AG337" s="16"/>
      <c r="AH337" s="16"/>
      <c r="AI337" s="16"/>
    </row>
    <row r="338" ht="12.75" customHeight="1" spans="1:35" x14ac:dyDescent="0.25">
      <c r="A338" s="16"/>
      <c r="B338" s="16"/>
      <c r="C338" s="16"/>
      <c r="D338" s="16"/>
      <c r="E338" s="16"/>
      <c r="F338" s="16"/>
      <c r="G338" s="16"/>
      <c r="H338" s="16"/>
      <c r="I338" s="16"/>
      <c r="J338" s="16"/>
      <c r="K338" s="16"/>
      <c r="L338" s="16"/>
      <c r="M338" s="16"/>
      <c r="N338" s="16"/>
      <c r="O338" s="16"/>
      <c r="P338" s="16"/>
      <c r="Q338" s="16"/>
      <c r="R338" s="16"/>
      <c r="S338" s="16"/>
      <c r="T338" s="16"/>
      <c r="U338" s="16"/>
      <c r="V338" s="16"/>
      <c r="W338" s="16"/>
      <c r="X338" s="16"/>
      <c r="Y338" s="16"/>
      <c r="Z338" s="16"/>
      <c r="AA338" s="16"/>
      <c r="AB338" s="16"/>
      <c r="AC338" s="16"/>
      <c r="AD338" s="16"/>
      <c r="AE338" s="16"/>
      <c r="AF338" s="16"/>
      <c r="AG338" s="16"/>
      <c r="AH338" s="16"/>
      <c r="AI338" s="16"/>
    </row>
    <row r="339" ht="12.75" customHeight="1" spans="1:35" x14ac:dyDescent="0.25">
      <c r="A339" s="16"/>
      <c r="B339" s="16"/>
      <c r="C339" s="16"/>
      <c r="D339" s="16"/>
      <c r="E339" s="16"/>
      <c r="F339" s="16"/>
      <c r="G339" s="16"/>
      <c r="H339" s="16"/>
      <c r="I339" s="16"/>
      <c r="J339" s="16"/>
      <c r="K339" s="16"/>
      <c r="L339" s="16"/>
      <c r="M339" s="16"/>
      <c r="N339" s="16"/>
      <c r="O339" s="16"/>
      <c r="P339" s="16"/>
      <c r="Q339" s="16"/>
      <c r="R339" s="16"/>
      <c r="S339" s="16"/>
      <c r="T339" s="16"/>
      <c r="U339" s="16"/>
      <c r="V339" s="16"/>
      <c r="W339" s="16"/>
      <c r="X339" s="16"/>
      <c r="Y339" s="16"/>
      <c r="Z339" s="16"/>
      <c r="AA339" s="16"/>
      <c r="AB339" s="16"/>
      <c r="AC339" s="16"/>
      <c r="AD339" s="16"/>
      <c r="AE339" s="16"/>
      <c r="AF339" s="16"/>
      <c r="AG339" s="16"/>
      <c r="AH339" s="16"/>
      <c r="AI339" s="16"/>
    </row>
    <row r="340" ht="12.75" customHeight="1" spans="1:35" x14ac:dyDescent="0.25">
      <c r="A340" s="16"/>
      <c r="B340" s="16"/>
      <c r="C340" s="16"/>
      <c r="D340" s="16"/>
      <c r="E340" s="16"/>
      <c r="F340" s="16"/>
      <c r="G340" s="16"/>
      <c r="H340" s="16"/>
      <c r="I340" s="16"/>
      <c r="J340" s="16"/>
      <c r="K340" s="16"/>
      <c r="L340" s="16"/>
      <c r="M340" s="16"/>
      <c r="N340" s="16"/>
      <c r="O340" s="16"/>
      <c r="P340" s="16"/>
      <c r="Q340" s="16"/>
      <c r="R340" s="16"/>
      <c r="S340" s="16"/>
      <c r="T340" s="16"/>
      <c r="U340" s="16"/>
      <c r="V340" s="16"/>
      <c r="W340" s="16"/>
      <c r="X340" s="16"/>
      <c r="Y340" s="16"/>
      <c r="Z340" s="16"/>
      <c r="AA340" s="16"/>
      <c r="AB340" s="16"/>
      <c r="AC340" s="16"/>
      <c r="AD340" s="16"/>
      <c r="AE340" s="16"/>
      <c r="AF340" s="16"/>
      <c r="AG340" s="16"/>
      <c r="AH340" s="16"/>
      <c r="AI340" s="16"/>
    </row>
    <row r="341" ht="12.75" customHeight="1" spans="1:35" x14ac:dyDescent="0.25">
      <c r="A341" s="16"/>
      <c r="B341" s="16"/>
      <c r="C341" s="16"/>
      <c r="D341" s="16"/>
      <c r="E341" s="16"/>
      <c r="F341" s="16"/>
      <c r="G341" s="16"/>
      <c r="H341" s="16"/>
      <c r="I341" s="16"/>
      <c r="J341" s="16"/>
      <c r="K341" s="16"/>
      <c r="L341" s="16"/>
      <c r="M341" s="16"/>
      <c r="N341" s="16"/>
      <c r="O341" s="16"/>
      <c r="P341" s="16"/>
      <c r="Q341" s="16"/>
      <c r="R341" s="16"/>
      <c r="S341" s="16"/>
      <c r="T341" s="16"/>
      <c r="U341" s="16"/>
      <c r="V341" s="16"/>
      <c r="W341" s="16"/>
      <c r="X341" s="16"/>
      <c r="Y341" s="16"/>
      <c r="Z341" s="16"/>
      <c r="AA341" s="16"/>
      <c r="AB341" s="16"/>
      <c r="AC341" s="16"/>
      <c r="AD341" s="16"/>
      <c r="AE341" s="16"/>
      <c r="AF341" s="16"/>
      <c r="AG341" s="16"/>
      <c r="AH341" s="16"/>
      <c r="AI341" s="16"/>
    </row>
    <row r="342" ht="12.75" customHeight="1" spans="1:35" x14ac:dyDescent="0.25">
      <c r="A342" s="16"/>
      <c r="B342" s="16"/>
      <c r="C342" s="16"/>
      <c r="D342" s="16"/>
      <c r="E342" s="16"/>
      <c r="F342" s="16"/>
      <c r="G342" s="16"/>
      <c r="H342" s="16"/>
      <c r="I342" s="16"/>
      <c r="J342" s="16"/>
      <c r="K342" s="16"/>
      <c r="L342" s="16"/>
      <c r="M342" s="16"/>
      <c r="N342" s="16"/>
      <c r="O342" s="16"/>
      <c r="P342" s="16"/>
      <c r="Q342" s="16"/>
      <c r="R342" s="16"/>
      <c r="S342" s="16"/>
      <c r="T342" s="16"/>
      <c r="U342" s="16"/>
      <c r="V342" s="16"/>
      <c r="W342" s="16"/>
      <c r="X342" s="16"/>
      <c r="Y342" s="16"/>
      <c r="Z342" s="16"/>
      <c r="AA342" s="16"/>
      <c r="AB342" s="16"/>
      <c r="AC342" s="16"/>
      <c r="AD342" s="16"/>
      <c r="AE342" s="16"/>
      <c r="AF342" s="16"/>
      <c r="AG342" s="16"/>
      <c r="AH342" s="16"/>
      <c r="AI342" s="16"/>
    </row>
    <row r="343" ht="12.75" customHeight="1" spans="1:35" x14ac:dyDescent="0.25">
      <c r="A343" s="16"/>
      <c r="B343" s="16"/>
      <c r="C343" s="16"/>
      <c r="D343" s="16"/>
      <c r="E343" s="16"/>
      <c r="F343" s="16"/>
      <c r="G343" s="16"/>
      <c r="H343" s="16"/>
      <c r="I343" s="16"/>
      <c r="J343" s="16"/>
      <c r="K343" s="16"/>
      <c r="L343" s="16"/>
      <c r="M343" s="16"/>
      <c r="N343" s="16"/>
      <c r="O343" s="16"/>
      <c r="P343" s="16"/>
      <c r="Q343" s="16"/>
      <c r="R343" s="16"/>
      <c r="S343" s="16"/>
      <c r="T343" s="16"/>
      <c r="U343" s="16"/>
      <c r="V343" s="16"/>
      <c r="W343" s="16"/>
      <c r="X343" s="16"/>
      <c r="Y343" s="16"/>
      <c r="Z343" s="16"/>
      <c r="AA343" s="16"/>
      <c r="AB343" s="16"/>
      <c r="AC343" s="16"/>
      <c r="AD343" s="16"/>
      <c r="AE343" s="16"/>
      <c r="AF343" s="16"/>
      <c r="AG343" s="16"/>
      <c r="AH343" s="16"/>
      <c r="AI343" s="16"/>
    </row>
    <row r="344" ht="12.75" customHeight="1" spans="1:35" x14ac:dyDescent="0.25">
      <c r="A344" s="16"/>
      <c r="B344" s="16"/>
      <c r="C344" s="16"/>
      <c r="D344" s="16"/>
      <c r="E344" s="16"/>
      <c r="F344" s="16"/>
      <c r="G344" s="16"/>
      <c r="H344" s="16"/>
      <c r="I344" s="16"/>
      <c r="J344" s="16"/>
      <c r="K344" s="16"/>
      <c r="L344" s="16"/>
      <c r="M344" s="16"/>
      <c r="N344" s="16"/>
      <c r="O344" s="16"/>
      <c r="P344" s="16"/>
      <c r="Q344" s="16"/>
      <c r="R344" s="16"/>
      <c r="S344" s="16"/>
      <c r="T344" s="16"/>
      <c r="U344" s="16"/>
      <c r="V344" s="16"/>
      <c r="W344" s="16"/>
      <c r="X344" s="16"/>
      <c r="Y344" s="16"/>
      <c r="Z344" s="16"/>
      <c r="AA344" s="16"/>
      <c r="AB344" s="16"/>
      <c r="AC344" s="16"/>
      <c r="AD344" s="16"/>
      <c r="AE344" s="16"/>
      <c r="AF344" s="16"/>
      <c r="AG344" s="16"/>
      <c r="AH344" s="16"/>
      <c r="AI344" s="16"/>
    </row>
    <row r="345" ht="12.75" customHeight="1" spans="1:35" x14ac:dyDescent="0.25">
      <c r="A345" s="16"/>
      <c r="B345" s="16"/>
      <c r="C345" s="16"/>
      <c r="D345" s="16"/>
      <c r="E345" s="16"/>
      <c r="F345" s="16"/>
      <c r="G345" s="16"/>
      <c r="H345" s="16"/>
      <c r="I345" s="16"/>
      <c r="J345" s="16"/>
      <c r="K345" s="16"/>
      <c r="L345" s="16"/>
      <c r="M345" s="16"/>
      <c r="N345" s="16"/>
      <c r="O345" s="16"/>
      <c r="P345" s="16"/>
      <c r="Q345" s="16"/>
      <c r="R345" s="16"/>
      <c r="S345" s="16"/>
      <c r="T345" s="16"/>
      <c r="U345" s="16"/>
      <c r="V345" s="16"/>
      <c r="W345" s="16"/>
      <c r="X345" s="16"/>
      <c r="Y345" s="16"/>
      <c r="Z345" s="16"/>
      <c r="AA345" s="16"/>
      <c r="AB345" s="16"/>
      <c r="AC345" s="16"/>
      <c r="AD345" s="16"/>
      <c r="AE345" s="16"/>
      <c r="AF345" s="16"/>
      <c r="AG345" s="16"/>
      <c r="AH345" s="16"/>
      <c r="AI345" s="16"/>
    </row>
    <row r="346" ht="12.75" customHeight="1" spans="1:35" x14ac:dyDescent="0.25">
      <c r="A346" s="16"/>
      <c r="B346" s="16"/>
      <c r="C346" s="16"/>
      <c r="D346" s="16"/>
      <c r="E346" s="16"/>
      <c r="F346" s="16"/>
      <c r="G346" s="16"/>
      <c r="H346" s="16"/>
      <c r="I346" s="16"/>
      <c r="J346" s="16"/>
      <c r="K346" s="16"/>
      <c r="L346" s="16"/>
      <c r="M346" s="16"/>
      <c r="N346" s="16"/>
      <c r="O346" s="16"/>
      <c r="P346" s="16"/>
      <c r="Q346" s="16"/>
      <c r="R346" s="16"/>
      <c r="S346" s="16"/>
      <c r="T346" s="16"/>
      <c r="U346" s="16"/>
      <c r="V346" s="16"/>
      <c r="W346" s="16"/>
      <c r="X346" s="16"/>
      <c r="Y346" s="16"/>
      <c r="Z346" s="16"/>
      <c r="AA346" s="16"/>
      <c r="AB346" s="16"/>
      <c r="AC346" s="16"/>
      <c r="AD346" s="16"/>
      <c r="AE346" s="16"/>
      <c r="AF346" s="16"/>
      <c r="AG346" s="16"/>
      <c r="AH346" s="16"/>
      <c r="AI346" s="16"/>
    </row>
    <row r="347" ht="12.75" customHeight="1" spans="1:35" x14ac:dyDescent="0.25">
      <c r="A347" s="16"/>
      <c r="B347" s="16"/>
      <c r="C347" s="16"/>
      <c r="D347" s="16"/>
      <c r="E347" s="16"/>
      <c r="F347" s="16"/>
      <c r="G347" s="16"/>
      <c r="H347" s="16"/>
      <c r="I347" s="16"/>
      <c r="J347" s="16"/>
      <c r="K347" s="16"/>
      <c r="L347" s="16"/>
      <c r="M347" s="16"/>
      <c r="N347" s="16"/>
      <c r="O347" s="16"/>
      <c r="P347" s="16"/>
      <c r="Q347" s="16"/>
      <c r="R347" s="16"/>
      <c r="S347" s="16"/>
      <c r="T347" s="16"/>
      <c r="U347" s="16"/>
      <c r="V347" s="16"/>
      <c r="W347" s="16"/>
      <c r="X347" s="16"/>
      <c r="Y347" s="16"/>
      <c r="Z347" s="16"/>
      <c r="AA347" s="16"/>
      <c r="AB347" s="16"/>
      <c r="AC347" s="16"/>
      <c r="AD347" s="16"/>
      <c r="AE347" s="16"/>
      <c r="AF347" s="16"/>
      <c r="AG347" s="16"/>
      <c r="AH347" s="16"/>
      <c r="AI347" s="16"/>
    </row>
    <row r="348" ht="12.75" customHeight="1" spans="1:35" x14ac:dyDescent="0.25">
      <c r="A348" s="16"/>
      <c r="B348" s="16"/>
      <c r="C348" s="16"/>
      <c r="D348" s="16"/>
      <c r="E348" s="16"/>
      <c r="F348" s="16"/>
      <c r="G348" s="16"/>
      <c r="H348" s="16"/>
      <c r="I348" s="16"/>
      <c r="J348" s="16"/>
      <c r="K348" s="16"/>
      <c r="L348" s="16"/>
      <c r="M348" s="16"/>
      <c r="N348" s="16"/>
      <c r="O348" s="16"/>
      <c r="P348" s="16"/>
      <c r="Q348" s="16"/>
      <c r="R348" s="16"/>
      <c r="S348" s="16"/>
      <c r="T348" s="16"/>
      <c r="U348" s="16"/>
      <c r="V348" s="16"/>
      <c r="W348" s="16"/>
      <c r="X348" s="16"/>
      <c r="Y348" s="16"/>
      <c r="Z348" s="16"/>
      <c r="AA348" s="16"/>
      <c r="AB348" s="16"/>
      <c r="AC348" s="16"/>
      <c r="AD348" s="16"/>
      <c r="AE348" s="16"/>
      <c r="AF348" s="16"/>
      <c r="AG348" s="16"/>
      <c r="AH348" s="16"/>
      <c r="AI348" s="16"/>
    </row>
    <row r="349" ht="12.75" customHeight="1" spans="1:35" x14ac:dyDescent="0.25">
      <c r="A349" s="16"/>
      <c r="B349" s="16"/>
      <c r="C349" s="16"/>
      <c r="D349" s="16"/>
      <c r="E349" s="16"/>
      <c r="F349" s="16"/>
      <c r="G349" s="16"/>
      <c r="H349" s="16"/>
      <c r="I349" s="16"/>
      <c r="J349" s="16"/>
      <c r="K349" s="16"/>
      <c r="L349" s="16"/>
      <c r="M349" s="16"/>
      <c r="N349" s="16"/>
      <c r="O349" s="16"/>
      <c r="P349" s="16"/>
      <c r="Q349" s="16"/>
      <c r="R349" s="16"/>
      <c r="S349" s="16"/>
      <c r="T349" s="16"/>
      <c r="U349" s="16"/>
      <c r="V349" s="16"/>
      <c r="W349" s="16"/>
      <c r="X349" s="16"/>
      <c r="Y349" s="16"/>
      <c r="Z349" s="16"/>
      <c r="AA349" s="16"/>
      <c r="AB349" s="16"/>
      <c r="AC349" s="16"/>
      <c r="AD349" s="16"/>
      <c r="AE349" s="16"/>
      <c r="AF349" s="16"/>
      <c r="AG349" s="16"/>
      <c r="AH349" s="16"/>
      <c r="AI349" s="16"/>
    </row>
    <row r="350" ht="12.75" customHeight="1" spans="1:35" x14ac:dyDescent="0.25">
      <c r="A350" s="16"/>
      <c r="B350" s="16"/>
      <c r="C350" s="16"/>
      <c r="D350" s="16"/>
      <c r="E350" s="16"/>
      <c r="F350" s="16"/>
      <c r="G350" s="16"/>
      <c r="H350" s="16"/>
      <c r="I350" s="16"/>
      <c r="J350" s="16"/>
      <c r="K350" s="16"/>
      <c r="L350" s="16"/>
      <c r="M350" s="16"/>
      <c r="N350" s="16"/>
      <c r="O350" s="16"/>
      <c r="P350" s="16"/>
      <c r="Q350" s="16"/>
      <c r="R350" s="16"/>
      <c r="S350" s="16"/>
      <c r="T350" s="16"/>
      <c r="U350" s="16"/>
      <c r="V350" s="16"/>
      <c r="W350" s="16"/>
      <c r="X350" s="16"/>
      <c r="Y350" s="16"/>
      <c r="Z350" s="16"/>
      <c r="AA350" s="16"/>
      <c r="AB350" s="16"/>
      <c r="AC350" s="16"/>
      <c r="AD350" s="16"/>
      <c r="AE350" s="16"/>
      <c r="AF350" s="16"/>
      <c r="AG350" s="16"/>
      <c r="AH350" s="16"/>
      <c r="AI350" s="16"/>
    </row>
    <row r="351" ht="12.75" customHeight="1" spans="1:35" x14ac:dyDescent="0.25">
      <c r="A351" s="16"/>
      <c r="B351" s="16"/>
      <c r="C351" s="16"/>
      <c r="D351" s="16"/>
      <c r="E351" s="16"/>
      <c r="F351" s="16"/>
      <c r="G351" s="16"/>
      <c r="H351" s="16"/>
      <c r="I351" s="16"/>
      <c r="J351" s="16"/>
      <c r="K351" s="16"/>
      <c r="L351" s="16"/>
      <c r="M351" s="16"/>
      <c r="N351" s="16"/>
      <c r="O351" s="16"/>
      <c r="P351" s="16"/>
      <c r="Q351" s="16"/>
      <c r="R351" s="16"/>
      <c r="S351" s="16"/>
      <c r="T351" s="16"/>
      <c r="U351" s="16"/>
      <c r="V351" s="16"/>
      <c r="W351" s="16"/>
      <c r="X351" s="16"/>
      <c r="Y351" s="16"/>
      <c r="Z351" s="16"/>
      <c r="AA351" s="16"/>
      <c r="AB351" s="16"/>
      <c r="AC351" s="16"/>
      <c r="AD351" s="16"/>
      <c r="AE351" s="16"/>
      <c r="AF351" s="16"/>
      <c r="AG351" s="16"/>
      <c r="AH351" s="16"/>
      <c r="AI351" s="16"/>
    </row>
    <row r="352" ht="12.75" customHeight="1" spans="1:35" x14ac:dyDescent="0.25">
      <c r="A352" s="16"/>
      <c r="B352" s="16"/>
      <c r="C352" s="16"/>
      <c r="D352" s="16"/>
      <c r="E352" s="16"/>
      <c r="F352" s="16"/>
      <c r="G352" s="16"/>
      <c r="H352" s="16"/>
      <c r="I352" s="16"/>
      <c r="J352" s="16"/>
      <c r="K352" s="16"/>
      <c r="L352" s="16"/>
      <c r="M352" s="16"/>
      <c r="N352" s="16"/>
      <c r="O352" s="16"/>
      <c r="P352" s="16"/>
      <c r="Q352" s="16"/>
      <c r="R352" s="16"/>
      <c r="S352" s="16"/>
      <c r="T352" s="16"/>
      <c r="U352" s="16"/>
      <c r="V352" s="16"/>
      <c r="W352" s="16"/>
      <c r="X352" s="16"/>
      <c r="Y352" s="16"/>
      <c r="Z352" s="16"/>
      <c r="AA352" s="16"/>
      <c r="AB352" s="16"/>
      <c r="AC352" s="16"/>
      <c r="AD352" s="16"/>
      <c r="AE352" s="16"/>
      <c r="AF352" s="16"/>
      <c r="AG352" s="16"/>
      <c r="AH352" s="16"/>
      <c r="AI352" s="16"/>
    </row>
    <row r="353" ht="12.75" customHeight="1" spans="1:35" x14ac:dyDescent="0.25">
      <c r="A353" s="16"/>
      <c r="B353" s="16"/>
      <c r="C353" s="16"/>
      <c r="D353" s="16"/>
      <c r="E353" s="16"/>
      <c r="F353" s="16"/>
      <c r="G353" s="16"/>
      <c r="H353" s="16"/>
      <c r="I353" s="16"/>
      <c r="J353" s="16"/>
      <c r="K353" s="16"/>
      <c r="L353" s="16"/>
      <c r="M353" s="16"/>
      <c r="N353" s="16"/>
      <c r="O353" s="16"/>
      <c r="P353" s="16"/>
      <c r="Q353" s="16"/>
      <c r="R353" s="16"/>
      <c r="S353" s="16"/>
      <c r="T353" s="16"/>
      <c r="U353" s="16"/>
      <c r="V353" s="16"/>
      <c r="W353" s="16"/>
      <c r="X353" s="16"/>
      <c r="Y353" s="16"/>
      <c r="Z353" s="16"/>
      <c r="AA353" s="16"/>
      <c r="AB353" s="16"/>
      <c r="AC353" s="16"/>
      <c r="AD353" s="16"/>
      <c r="AE353" s="16"/>
      <c r="AF353" s="16"/>
      <c r="AG353" s="16"/>
      <c r="AH353" s="16"/>
      <c r="AI353" s="16"/>
    </row>
    <row r="354" ht="12.75" customHeight="1" spans="1:35" x14ac:dyDescent="0.25">
      <c r="A354" s="16"/>
      <c r="B354" s="16"/>
      <c r="C354" s="16"/>
      <c r="D354" s="16"/>
      <c r="E354" s="16"/>
      <c r="F354" s="16"/>
      <c r="G354" s="16"/>
      <c r="H354" s="16"/>
      <c r="I354" s="16"/>
      <c r="J354" s="16"/>
      <c r="K354" s="16"/>
      <c r="L354" s="16"/>
      <c r="M354" s="16"/>
      <c r="N354" s="16"/>
      <c r="O354" s="16"/>
      <c r="P354" s="16"/>
      <c r="Q354" s="16"/>
      <c r="R354" s="16"/>
      <c r="S354" s="16"/>
      <c r="T354" s="16"/>
      <c r="U354" s="16"/>
      <c r="V354" s="16"/>
      <c r="W354" s="16"/>
      <c r="X354" s="16"/>
      <c r="Y354" s="16"/>
      <c r="Z354" s="16"/>
      <c r="AA354" s="16"/>
      <c r="AB354" s="16"/>
      <c r="AC354" s="16"/>
      <c r="AD354" s="16"/>
      <c r="AE354" s="16"/>
      <c r="AF354" s="16"/>
      <c r="AG354" s="16"/>
      <c r="AH354" s="16"/>
      <c r="AI354" s="16"/>
    </row>
    <row r="355" ht="12.75" customHeight="1" spans="1:35" x14ac:dyDescent="0.25">
      <c r="A355" s="16"/>
      <c r="B355" s="16"/>
      <c r="C355" s="16"/>
      <c r="D355" s="16"/>
      <c r="E355" s="16"/>
      <c r="F355" s="16"/>
      <c r="G355" s="16"/>
      <c r="H355" s="16"/>
      <c r="I355" s="16"/>
      <c r="J355" s="16"/>
      <c r="K355" s="16"/>
      <c r="L355" s="16"/>
      <c r="M355" s="16"/>
      <c r="N355" s="16"/>
      <c r="O355" s="16"/>
      <c r="P355" s="16"/>
      <c r="Q355" s="16"/>
      <c r="R355" s="16"/>
      <c r="S355" s="16"/>
      <c r="T355" s="16"/>
      <c r="U355" s="16"/>
      <c r="V355" s="16"/>
      <c r="W355" s="16"/>
      <c r="X355" s="16"/>
      <c r="Y355" s="16"/>
      <c r="Z355" s="16"/>
      <c r="AA355" s="16"/>
      <c r="AB355" s="16"/>
      <c r="AC355" s="16"/>
      <c r="AD355" s="16"/>
      <c r="AE355" s="16"/>
      <c r="AF355" s="16"/>
      <c r="AG355" s="16"/>
      <c r="AH355" s="16"/>
      <c r="AI355" s="16"/>
    </row>
    <row r="356" ht="12.75" customHeight="1" spans="1:35" x14ac:dyDescent="0.25">
      <c r="A356" s="16"/>
      <c r="B356" s="16"/>
      <c r="C356" s="16"/>
      <c r="D356" s="16"/>
      <c r="E356" s="16"/>
      <c r="F356" s="16"/>
      <c r="G356" s="16"/>
      <c r="H356" s="16"/>
      <c r="I356" s="16"/>
      <c r="J356" s="16"/>
      <c r="K356" s="16"/>
      <c r="L356" s="16"/>
      <c r="M356" s="16"/>
      <c r="N356" s="16"/>
      <c r="O356" s="16"/>
      <c r="P356" s="16"/>
      <c r="Q356" s="16"/>
      <c r="R356" s="16"/>
      <c r="S356" s="16"/>
      <c r="T356" s="16"/>
      <c r="U356" s="16"/>
      <c r="V356" s="16"/>
      <c r="W356" s="16"/>
      <c r="X356" s="16"/>
      <c r="Y356" s="16"/>
      <c r="Z356" s="16"/>
      <c r="AA356" s="16"/>
      <c r="AB356" s="16"/>
      <c r="AC356" s="16"/>
      <c r="AD356" s="16"/>
      <c r="AE356" s="16"/>
      <c r="AF356" s="16"/>
      <c r="AG356" s="16"/>
      <c r="AH356" s="16"/>
      <c r="AI356" s="16"/>
    </row>
    <row r="357" ht="12.75" customHeight="1" spans="1:35" x14ac:dyDescent="0.25">
      <c r="A357" s="16"/>
      <c r="B357" s="16"/>
      <c r="C357" s="16"/>
      <c r="D357" s="16"/>
      <c r="E357" s="16"/>
      <c r="F357" s="16"/>
      <c r="G357" s="16"/>
      <c r="H357" s="16"/>
      <c r="I357" s="16"/>
      <c r="J357" s="16"/>
      <c r="K357" s="16"/>
      <c r="L357" s="16"/>
      <c r="M357" s="16"/>
      <c r="N357" s="16"/>
      <c r="O357" s="16"/>
      <c r="P357" s="16"/>
      <c r="Q357" s="16"/>
      <c r="R357" s="16"/>
      <c r="S357" s="16"/>
      <c r="T357" s="16"/>
      <c r="U357" s="16"/>
      <c r="V357" s="16"/>
      <c r="W357" s="16"/>
      <c r="X357" s="16"/>
      <c r="Y357" s="16"/>
      <c r="Z357" s="16"/>
      <c r="AA357" s="16"/>
      <c r="AB357" s="16"/>
      <c r="AC357" s="16"/>
      <c r="AD357" s="16"/>
      <c r="AE357" s="16"/>
      <c r="AF357" s="16"/>
      <c r="AG357" s="16"/>
      <c r="AH357" s="16"/>
      <c r="AI357" s="16"/>
    </row>
    <row r="358" ht="12.75" customHeight="1" spans="1:35" x14ac:dyDescent="0.25">
      <c r="A358" s="16"/>
      <c r="B358" s="16"/>
      <c r="C358" s="16"/>
      <c r="D358" s="16"/>
      <c r="E358" s="16"/>
      <c r="F358" s="16"/>
      <c r="G358" s="16"/>
      <c r="H358" s="16"/>
      <c r="I358" s="16"/>
      <c r="J358" s="16"/>
      <c r="K358" s="16"/>
      <c r="L358" s="16"/>
      <c r="M358" s="16"/>
      <c r="N358" s="16"/>
      <c r="O358" s="16"/>
      <c r="P358" s="16"/>
      <c r="Q358" s="16"/>
      <c r="R358" s="16"/>
      <c r="S358" s="16"/>
      <c r="T358" s="16"/>
      <c r="U358" s="16"/>
      <c r="V358" s="16"/>
      <c r="W358" s="16"/>
      <c r="X358" s="16"/>
      <c r="Y358" s="16"/>
      <c r="Z358" s="16"/>
      <c r="AA358" s="16"/>
      <c r="AB358" s="16"/>
      <c r="AC358" s="16"/>
      <c r="AD358" s="16"/>
      <c r="AE358" s="16"/>
      <c r="AF358" s="16"/>
      <c r="AG358" s="16"/>
      <c r="AH358" s="16"/>
      <c r="AI358" s="16"/>
    </row>
    <row r="359" ht="12.75" customHeight="1" spans="1:35" x14ac:dyDescent="0.25">
      <c r="A359" s="16"/>
      <c r="B359" s="16"/>
      <c r="C359" s="16"/>
      <c r="D359" s="16"/>
      <c r="E359" s="16"/>
      <c r="F359" s="16"/>
      <c r="G359" s="16"/>
      <c r="H359" s="16"/>
      <c r="I359" s="16"/>
      <c r="J359" s="16"/>
      <c r="K359" s="16"/>
      <c r="L359" s="16"/>
      <c r="M359" s="16"/>
      <c r="N359" s="16"/>
      <c r="O359" s="16"/>
      <c r="P359" s="16"/>
      <c r="Q359" s="16"/>
      <c r="R359" s="16"/>
      <c r="S359" s="16"/>
      <c r="T359" s="16"/>
      <c r="U359" s="16"/>
      <c r="V359" s="16"/>
      <c r="W359" s="16"/>
      <c r="X359" s="16"/>
      <c r="Y359" s="16"/>
      <c r="Z359" s="16"/>
      <c r="AA359" s="16"/>
      <c r="AB359" s="16"/>
      <c r="AC359" s="16"/>
      <c r="AD359" s="16"/>
      <c r="AE359" s="16"/>
      <c r="AF359" s="16"/>
      <c r="AG359" s="16"/>
      <c r="AH359" s="16"/>
      <c r="AI359" s="16"/>
    </row>
    <row r="360" ht="12.75" customHeight="1" spans="1:35" x14ac:dyDescent="0.25">
      <c r="A360" s="16"/>
      <c r="B360" s="16"/>
      <c r="C360" s="16"/>
      <c r="D360" s="16"/>
      <c r="E360" s="16"/>
      <c r="F360" s="16"/>
      <c r="G360" s="16"/>
      <c r="H360" s="16"/>
      <c r="I360" s="16"/>
      <c r="J360" s="16"/>
      <c r="K360" s="16"/>
      <c r="L360" s="16"/>
      <c r="M360" s="16"/>
      <c r="N360" s="16"/>
      <c r="O360" s="16"/>
      <c r="P360" s="16"/>
      <c r="Q360" s="16"/>
      <c r="R360" s="16"/>
      <c r="S360" s="16"/>
      <c r="T360" s="16"/>
      <c r="U360" s="16"/>
      <c r="V360" s="16"/>
      <c r="W360" s="16"/>
      <c r="X360" s="16"/>
      <c r="Y360" s="16"/>
      <c r="Z360" s="16"/>
      <c r="AA360" s="16"/>
      <c r="AB360" s="16"/>
      <c r="AC360" s="16"/>
      <c r="AD360" s="16"/>
      <c r="AE360" s="16"/>
      <c r="AF360" s="16"/>
      <c r="AG360" s="16"/>
      <c r="AH360" s="16"/>
      <c r="AI360" s="16"/>
    </row>
    <row r="361" ht="12.75" customHeight="1" spans="1:35" x14ac:dyDescent="0.25">
      <c r="A361" s="16"/>
      <c r="B361" s="16"/>
      <c r="C361" s="16"/>
      <c r="D361" s="16"/>
      <c r="E361" s="16"/>
      <c r="F361" s="16"/>
      <c r="G361" s="16"/>
      <c r="H361" s="16"/>
      <c r="I361" s="16"/>
      <c r="J361" s="16"/>
      <c r="K361" s="16"/>
      <c r="L361" s="16"/>
      <c r="M361" s="16"/>
      <c r="N361" s="16"/>
      <c r="O361" s="16"/>
      <c r="P361" s="16"/>
      <c r="Q361" s="16"/>
      <c r="R361" s="16"/>
      <c r="S361" s="16"/>
      <c r="T361" s="16"/>
      <c r="U361" s="16"/>
      <c r="V361" s="16"/>
      <c r="W361" s="16"/>
      <c r="X361" s="16"/>
      <c r="Y361" s="16"/>
      <c r="Z361" s="16"/>
      <c r="AA361" s="16"/>
      <c r="AB361" s="16"/>
      <c r="AC361" s="16"/>
      <c r="AD361" s="16"/>
      <c r="AE361" s="16"/>
      <c r="AF361" s="16"/>
      <c r="AG361" s="16"/>
      <c r="AH361" s="16"/>
      <c r="AI361" s="16"/>
    </row>
    <row r="362" ht="12.75" customHeight="1" spans="1:35" x14ac:dyDescent="0.25">
      <c r="A362" s="16"/>
      <c r="B362" s="16"/>
      <c r="C362" s="16"/>
      <c r="D362" s="16"/>
      <c r="E362" s="16"/>
      <c r="F362" s="16"/>
      <c r="G362" s="16"/>
      <c r="H362" s="16"/>
      <c r="I362" s="16"/>
      <c r="J362" s="16"/>
      <c r="K362" s="16"/>
      <c r="L362" s="16"/>
      <c r="M362" s="16"/>
      <c r="N362" s="16"/>
      <c r="O362" s="16"/>
      <c r="P362" s="16"/>
      <c r="Q362" s="16"/>
      <c r="R362" s="16"/>
      <c r="S362" s="16"/>
      <c r="T362" s="16"/>
      <c r="U362" s="16"/>
      <c r="V362" s="16"/>
      <c r="W362" s="16"/>
      <c r="X362" s="16"/>
      <c r="Y362" s="16"/>
      <c r="Z362" s="16"/>
      <c r="AA362" s="16"/>
      <c r="AB362" s="16"/>
      <c r="AC362" s="16"/>
      <c r="AD362" s="16"/>
      <c r="AE362" s="16"/>
      <c r="AF362" s="16"/>
      <c r="AG362" s="16"/>
      <c r="AH362" s="16"/>
      <c r="AI362" s="16"/>
    </row>
    <row r="363" ht="12.75" customHeight="1" spans="1:35" x14ac:dyDescent="0.25">
      <c r="A363" s="16"/>
      <c r="B363" s="16"/>
      <c r="C363" s="16"/>
      <c r="D363" s="16"/>
      <c r="E363" s="16"/>
      <c r="F363" s="16"/>
      <c r="G363" s="16"/>
      <c r="H363" s="16"/>
      <c r="I363" s="16"/>
      <c r="J363" s="16"/>
      <c r="K363" s="16"/>
      <c r="L363" s="16"/>
      <c r="M363" s="16"/>
      <c r="N363" s="16"/>
      <c r="O363" s="16"/>
      <c r="P363" s="16"/>
      <c r="Q363" s="16"/>
      <c r="R363" s="16"/>
      <c r="S363" s="16"/>
      <c r="T363" s="16"/>
      <c r="U363" s="16"/>
      <c r="V363" s="16"/>
      <c r="W363" s="16"/>
      <c r="X363" s="16"/>
      <c r="Y363" s="16"/>
      <c r="Z363" s="16"/>
      <c r="AA363" s="16"/>
      <c r="AB363" s="16"/>
      <c r="AC363" s="16"/>
      <c r="AD363" s="16"/>
      <c r="AE363" s="16"/>
      <c r="AF363" s="16"/>
      <c r="AG363" s="16"/>
      <c r="AH363" s="16"/>
      <c r="AI363" s="16"/>
    </row>
    <row r="364" ht="12.75" customHeight="1" spans="1:35" x14ac:dyDescent="0.25">
      <c r="A364" s="16"/>
      <c r="B364" s="16"/>
      <c r="C364" s="16"/>
      <c r="D364" s="16"/>
      <c r="E364" s="16"/>
      <c r="F364" s="16"/>
      <c r="G364" s="16"/>
      <c r="H364" s="16"/>
      <c r="I364" s="16"/>
      <c r="J364" s="16"/>
      <c r="K364" s="16"/>
      <c r="L364" s="16"/>
      <c r="M364" s="16"/>
      <c r="N364" s="16"/>
      <c r="O364" s="16"/>
      <c r="P364" s="16"/>
      <c r="Q364" s="16"/>
      <c r="R364" s="16"/>
      <c r="S364" s="16"/>
      <c r="T364" s="16"/>
      <c r="U364" s="16"/>
      <c r="V364" s="16"/>
      <c r="W364" s="16"/>
      <c r="X364" s="16"/>
      <c r="Y364" s="16"/>
      <c r="Z364" s="16"/>
      <c r="AA364" s="16"/>
      <c r="AB364" s="16"/>
      <c r="AC364" s="16"/>
      <c r="AD364" s="16"/>
      <c r="AE364" s="16"/>
      <c r="AF364" s="16"/>
      <c r="AG364" s="16"/>
      <c r="AH364" s="16"/>
      <c r="AI364" s="16"/>
    </row>
    <row r="365" ht="12.75" customHeight="1" spans="1:35" x14ac:dyDescent="0.25">
      <c r="A365" s="16"/>
      <c r="B365" s="16"/>
      <c r="C365" s="16"/>
      <c r="D365" s="16"/>
      <c r="E365" s="16"/>
      <c r="F365" s="16"/>
      <c r="G365" s="16"/>
      <c r="H365" s="16"/>
      <c r="I365" s="16"/>
      <c r="J365" s="16"/>
      <c r="K365" s="16"/>
      <c r="L365" s="16"/>
      <c r="M365" s="16"/>
      <c r="N365" s="16"/>
      <c r="O365" s="16"/>
      <c r="P365" s="16"/>
      <c r="Q365" s="16"/>
      <c r="R365" s="16"/>
      <c r="S365" s="16"/>
      <c r="T365" s="16"/>
      <c r="U365" s="16"/>
      <c r="V365" s="16"/>
      <c r="W365" s="16"/>
      <c r="X365" s="16"/>
      <c r="Y365" s="16"/>
      <c r="Z365" s="16"/>
      <c r="AA365" s="16"/>
      <c r="AB365" s="16"/>
      <c r="AC365" s="16"/>
      <c r="AD365" s="16"/>
      <c r="AE365" s="16"/>
      <c r="AF365" s="16"/>
      <c r="AG365" s="16"/>
      <c r="AH365" s="16"/>
      <c r="AI365" s="16"/>
    </row>
    <row r="366" ht="12.75" customHeight="1" spans="1:35" x14ac:dyDescent="0.25">
      <c r="A366" s="16"/>
      <c r="B366" s="16"/>
      <c r="C366" s="16"/>
      <c r="D366" s="16"/>
      <c r="E366" s="16"/>
      <c r="F366" s="16"/>
      <c r="G366" s="16"/>
      <c r="H366" s="16"/>
      <c r="I366" s="16"/>
      <c r="J366" s="16"/>
      <c r="K366" s="16"/>
      <c r="L366" s="16"/>
      <c r="M366" s="16"/>
      <c r="N366" s="16"/>
      <c r="O366" s="16"/>
      <c r="P366" s="16"/>
      <c r="Q366" s="16"/>
      <c r="R366" s="16"/>
      <c r="S366" s="16"/>
      <c r="T366" s="16"/>
      <c r="U366" s="16"/>
      <c r="V366" s="16"/>
      <c r="W366" s="16"/>
      <c r="X366" s="16"/>
      <c r="Y366" s="16"/>
      <c r="Z366" s="16"/>
      <c r="AA366" s="16"/>
      <c r="AB366" s="16"/>
      <c r="AC366" s="16"/>
      <c r="AD366" s="16"/>
      <c r="AE366" s="16"/>
      <c r="AF366" s="16"/>
      <c r="AG366" s="16"/>
      <c r="AH366" s="16"/>
      <c r="AI366" s="16"/>
    </row>
    <row r="367" ht="12.75" customHeight="1" spans="1:35" x14ac:dyDescent="0.25">
      <c r="A367" s="16"/>
      <c r="B367" s="16"/>
      <c r="C367" s="16"/>
      <c r="D367" s="16"/>
      <c r="E367" s="16"/>
      <c r="F367" s="16"/>
      <c r="G367" s="16"/>
      <c r="H367" s="16"/>
      <c r="I367" s="16"/>
      <c r="J367" s="16"/>
      <c r="K367" s="16"/>
      <c r="L367" s="16"/>
      <c r="M367" s="16"/>
      <c r="N367" s="16"/>
      <c r="O367" s="16"/>
      <c r="P367" s="16"/>
      <c r="Q367" s="16"/>
      <c r="R367" s="16"/>
      <c r="S367" s="16"/>
      <c r="T367" s="16"/>
      <c r="U367" s="16"/>
      <c r="V367" s="16"/>
      <c r="W367" s="16"/>
      <c r="X367" s="16"/>
      <c r="Y367" s="16"/>
      <c r="Z367" s="16"/>
      <c r="AA367" s="16"/>
      <c r="AB367" s="16"/>
      <c r="AC367" s="16"/>
      <c r="AD367" s="16"/>
      <c r="AE367" s="16"/>
      <c r="AF367" s="16"/>
      <c r="AG367" s="16"/>
      <c r="AH367" s="16"/>
      <c r="AI367" s="16"/>
    </row>
    <row r="368" ht="12.75" customHeight="1" spans="1:35" x14ac:dyDescent="0.25">
      <c r="A368" s="16"/>
      <c r="B368" s="16"/>
      <c r="C368" s="16"/>
      <c r="D368" s="16"/>
      <c r="E368" s="16"/>
      <c r="F368" s="16"/>
      <c r="G368" s="16"/>
      <c r="H368" s="16"/>
      <c r="I368" s="16"/>
      <c r="J368" s="16"/>
      <c r="K368" s="16"/>
      <c r="L368" s="16"/>
      <c r="M368" s="16"/>
      <c r="N368" s="16"/>
      <c r="O368" s="16"/>
      <c r="P368" s="16"/>
      <c r="Q368" s="16"/>
      <c r="R368" s="16"/>
      <c r="S368" s="16"/>
      <c r="T368" s="16"/>
      <c r="U368" s="16"/>
      <c r="V368" s="16"/>
      <c r="W368" s="16"/>
      <c r="X368" s="16"/>
      <c r="Y368" s="16"/>
      <c r="Z368" s="16"/>
      <c r="AA368" s="16"/>
      <c r="AB368" s="16"/>
      <c r="AC368" s="16"/>
      <c r="AD368" s="16"/>
      <c r="AE368" s="16"/>
      <c r="AF368" s="16"/>
      <c r="AG368" s="16"/>
      <c r="AH368" s="16"/>
      <c r="AI368" s="16"/>
    </row>
    <row r="369" ht="12.75" customHeight="1" spans="1:35" x14ac:dyDescent="0.25">
      <c r="A369" s="16"/>
      <c r="B369" s="16"/>
      <c r="C369" s="16"/>
      <c r="D369" s="16"/>
      <c r="E369" s="16"/>
      <c r="F369" s="16"/>
      <c r="G369" s="16"/>
      <c r="H369" s="16"/>
      <c r="I369" s="16"/>
      <c r="J369" s="16"/>
      <c r="K369" s="16"/>
      <c r="L369" s="16"/>
      <c r="M369" s="16"/>
      <c r="N369" s="16"/>
      <c r="O369" s="16"/>
      <c r="P369" s="16"/>
      <c r="Q369" s="16"/>
      <c r="R369" s="16"/>
      <c r="S369" s="16"/>
      <c r="T369" s="16"/>
      <c r="U369" s="16"/>
      <c r="V369" s="16"/>
      <c r="W369" s="16"/>
      <c r="X369" s="16"/>
      <c r="Y369" s="16"/>
      <c r="Z369" s="16"/>
      <c r="AA369" s="16"/>
      <c r="AB369" s="16"/>
      <c r="AC369" s="16"/>
      <c r="AD369" s="16"/>
      <c r="AE369" s="16"/>
      <c r="AF369" s="16"/>
      <c r="AG369" s="16"/>
      <c r="AH369" s="16"/>
      <c r="AI369" s="16"/>
    </row>
    <row r="370" ht="12.75" customHeight="1" spans="1:35" x14ac:dyDescent="0.25">
      <c r="A370" s="16"/>
      <c r="B370" s="16"/>
      <c r="C370" s="16"/>
      <c r="D370" s="16"/>
      <c r="E370" s="16"/>
      <c r="F370" s="16"/>
      <c r="G370" s="16"/>
      <c r="H370" s="16"/>
      <c r="I370" s="16"/>
      <c r="J370" s="16"/>
      <c r="K370" s="16"/>
      <c r="L370" s="16"/>
      <c r="M370" s="16"/>
      <c r="N370" s="16"/>
      <c r="O370" s="16"/>
      <c r="P370" s="16"/>
      <c r="Q370" s="16"/>
      <c r="R370" s="16"/>
      <c r="S370" s="16"/>
      <c r="T370" s="16"/>
      <c r="U370" s="16"/>
      <c r="V370" s="16"/>
      <c r="W370" s="16"/>
      <c r="X370" s="16"/>
      <c r="Y370" s="16"/>
      <c r="Z370" s="16"/>
      <c r="AA370" s="16"/>
      <c r="AB370" s="16"/>
      <c r="AC370" s="16"/>
      <c r="AD370" s="16"/>
      <c r="AE370" s="16"/>
      <c r="AF370" s="16"/>
      <c r="AG370" s="16"/>
      <c r="AH370" s="16"/>
      <c r="AI370" s="16"/>
    </row>
    <row r="371" ht="12.75" customHeight="1" spans="1:35" x14ac:dyDescent="0.25">
      <c r="A371" s="16"/>
      <c r="B371" s="16"/>
      <c r="C371" s="16"/>
      <c r="D371" s="16"/>
      <c r="E371" s="16"/>
      <c r="F371" s="16"/>
      <c r="G371" s="16"/>
      <c r="H371" s="16"/>
      <c r="I371" s="16"/>
      <c r="J371" s="16"/>
      <c r="K371" s="16"/>
      <c r="L371" s="16"/>
      <c r="M371" s="16"/>
      <c r="N371" s="16"/>
      <c r="O371" s="16"/>
      <c r="P371" s="16"/>
      <c r="Q371" s="16"/>
      <c r="R371" s="16"/>
      <c r="S371" s="16"/>
      <c r="T371" s="16"/>
      <c r="U371" s="16"/>
      <c r="V371" s="16"/>
      <c r="W371" s="16"/>
      <c r="X371" s="16"/>
      <c r="Y371" s="16"/>
      <c r="Z371" s="16"/>
      <c r="AA371" s="16"/>
      <c r="AB371" s="16"/>
      <c r="AC371" s="16"/>
      <c r="AD371" s="16"/>
      <c r="AE371" s="16"/>
      <c r="AF371" s="16"/>
      <c r="AG371" s="16"/>
      <c r="AH371" s="16"/>
      <c r="AI371" s="16"/>
    </row>
    <row r="372" ht="12.75" customHeight="1" spans="1:35" x14ac:dyDescent="0.25">
      <c r="A372" s="16"/>
      <c r="B372" s="16"/>
      <c r="C372" s="16"/>
      <c r="D372" s="16"/>
      <c r="E372" s="16"/>
      <c r="F372" s="16"/>
      <c r="G372" s="16"/>
      <c r="H372" s="16"/>
      <c r="I372" s="16"/>
      <c r="J372" s="16"/>
      <c r="K372" s="16"/>
      <c r="L372" s="16"/>
      <c r="M372" s="16"/>
      <c r="N372" s="16"/>
      <c r="O372" s="16"/>
      <c r="P372" s="16"/>
      <c r="Q372" s="16"/>
      <c r="R372" s="16"/>
      <c r="S372" s="16"/>
      <c r="T372" s="16"/>
      <c r="U372" s="16"/>
      <c r="V372" s="16"/>
      <c r="W372" s="16"/>
      <c r="X372" s="16"/>
      <c r="Y372" s="16"/>
      <c r="Z372" s="16"/>
      <c r="AA372" s="16"/>
      <c r="AB372" s="16"/>
      <c r="AC372" s="16"/>
      <c r="AD372" s="16"/>
      <c r="AE372" s="16"/>
      <c r="AF372" s="16"/>
      <c r="AG372" s="16"/>
      <c r="AH372" s="16"/>
      <c r="AI372" s="16"/>
    </row>
    <row r="373" ht="12.75" customHeight="1" spans="1:35" x14ac:dyDescent="0.25">
      <c r="A373" s="16"/>
      <c r="B373" s="16"/>
      <c r="C373" s="16"/>
      <c r="D373" s="16"/>
      <c r="E373" s="16"/>
      <c r="F373" s="16"/>
      <c r="G373" s="16"/>
      <c r="H373" s="16"/>
      <c r="I373" s="16"/>
      <c r="J373" s="16"/>
      <c r="K373" s="16"/>
      <c r="L373" s="16"/>
      <c r="M373" s="16"/>
      <c r="N373" s="16"/>
      <c r="O373" s="16"/>
      <c r="P373" s="16"/>
      <c r="Q373" s="16"/>
      <c r="R373" s="16"/>
      <c r="S373" s="16"/>
      <c r="T373" s="16"/>
      <c r="U373" s="16"/>
      <c r="V373" s="16"/>
      <c r="W373" s="16"/>
      <c r="X373" s="16"/>
      <c r="Y373" s="16"/>
      <c r="Z373" s="16"/>
      <c r="AA373" s="16"/>
      <c r="AB373" s="16"/>
      <c r="AC373" s="16"/>
      <c r="AD373" s="16"/>
      <c r="AE373" s="16"/>
      <c r="AF373" s="16"/>
      <c r="AG373" s="16"/>
      <c r="AH373" s="16"/>
      <c r="AI373" s="16"/>
    </row>
    <row r="374" ht="12.75" customHeight="1" spans="1:35" x14ac:dyDescent="0.25">
      <c r="A374" s="16"/>
      <c r="B374" s="16"/>
      <c r="C374" s="16"/>
      <c r="D374" s="16"/>
      <c r="E374" s="16"/>
      <c r="F374" s="16"/>
      <c r="G374" s="16"/>
      <c r="H374" s="16"/>
      <c r="I374" s="16"/>
      <c r="J374" s="16"/>
      <c r="K374" s="16"/>
      <c r="L374" s="16"/>
      <c r="M374" s="16"/>
      <c r="N374" s="16"/>
      <c r="O374" s="16"/>
      <c r="P374" s="16"/>
      <c r="Q374" s="16"/>
      <c r="R374" s="16"/>
      <c r="S374" s="16"/>
      <c r="T374" s="16"/>
      <c r="U374" s="16"/>
      <c r="V374" s="16"/>
      <c r="W374" s="16"/>
      <c r="X374" s="16"/>
      <c r="Y374" s="16"/>
      <c r="Z374" s="16"/>
      <c r="AA374" s="16"/>
      <c r="AB374" s="16"/>
      <c r="AC374" s="16"/>
      <c r="AD374" s="16"/>
      <c r="AE374" s="16"/>
      <c r="AF374" s="16"/>
      <c r="AG374" s="16"/>
      <c r="AH374" s="16"/>
      <c r="AI374" s="16"/>
    </row>
    <row r="375" ht="12.75" customHeight="1" spans="1:35" x14ac:dyDescent="0.25">
      <c r="A375" s="16"/>
      <c r="B375" s="16"/>
      <c r="C375" s="16"/>
      <c r="D375" s="16"/>
      <c r="E375" s="16"/>
      <c r="F375" s="16"/>
      <c r="G375" s="16"/>
      <c r="H375" s="16"/>
      <c r="I375" s="16"/>
      <c r="J375" s="16"/>
      <c r="K375" s="16"/>
      <c r="L375" s="16"/>
      <c r="M375" s="16"/>
      <c r="N375" s="16"/>
      <c r="O375" s="16"/>
      <c r="P375" s="16"/>
      <c r="Q375" s="16"/>
      <c r="R375" s="16"/>
      <c r="S375" s="16"/>
      <c r="T375" s="16"/>
      <c r="U375" s="16"/>
      <c r="V375" s="16"/>
      <c r="W375" s="16"/>
      <c r="X375" s="16"/>
      <c r="Y375" s="16"/>
      <c r="Z375" s="16"/>
      <c r="AA375" s="16"/>
      <c r="AB375" s="16"/>
      <c r="AC375" s="16"/>
      <c r="AD375" s="16"/>
      <c r="AE375" s="16"/>
      <c r="AF375" s="16"/>
      <c r="AG375" s="16"/>
      <c r="AH375" s="16"/>
      <c r="AI375" s="16"/>
    </row>
    <row r="376" ht="12.75" customHeight="1" spans="1:35" x14ac:dyDescent="0.25">
      <c r="A376" s="16"/>
      <c r="B376" s="16"/>
      <c r="C376" s="16"/>
      <c r="D376" s="16"/>
      <c r="E376" s="16"/>
      <c r="F376" s="16"/>
      <c r="G376" s="16"/>
      <c r="H376" s="16"/>
      <c r="I376" s="16"/>
      <c r="J376" s="16"/>
      <c r="K376" s="16"/>
      <c r="L376" s="16"/>
      <c r="M376" s="16"/>
      <c r="N376" s="16"/>
      <c r="O376" s="16"/>
      <c r="P376" s="16"/>
      <c r="Q376" s="16"/>
      <c r="R376" s="16"/>
      <c r="S376" s="16"/>
      <c r="T376" s="16"/>
      <c r="U376" s="16"/>
      <c r="V376" s="16"/>
      <c r="W376" s="16"/>
      <c r="X376" s="16"/>
      <c r="Y376" s="16"/>
      <c r="Z376" s="16"/>
      <c r="AA376" s="16"/>
      <c r="AB376" s="16"/>
      <c r="AC376" s="16"/>
      <c r="AD376" s="16"/>
      <c r="AE376" s="16"/>
      <c r="AF376" s="16"/>
      <c r="AG376" s="16"/>
      <c r="AH376" s="16"/>
      <c r="AI376" s="16"/>
    </row>
    <row r="377" ht="12.75" customHeight="1" spans="1:35" x14ac:dyDescent="0.25">
      <c r="A377" s="16"/>
      <c r="B377" s="16"/>
      <c r="C377" s="16"/>
      <c r="D377" s="16"/>
      <c r="E377" s="16"/>
      <c r="F377" s="16"/>
      <c r="G377" s="16"/>
      <c r="H377" s="16"/>
      <c r="I377" s="16"/>
      <c r="J377" s="16"/>
      <c r="K377" s="16"/>
      <c r="L377" s="16"/>
      <c r="M377" s="16"/>
      <c r="N377" s="16"/>
      <c r="O377" s="16"/>
      <c r="P377" s="16"/>
      <c r="Q377" s="16"/>
      <c r="R377" s="16"/>
      <c r="S377" s="16"/>
      <c r="T377" s="16"/>
      <c r="U377" s="16"/>
      <c r="V377" s="16"/>
      <c r="W377" s="16"/>
      <c r="X377" s="16"/>
      <c r="Y377" s="16"/>
      <c r="Z377" s="16"/>
      <c r="AA377" s="16"/>
      <c r="AB377" s="16"/>
      <c r="AC377" s="16"/>
      <c r="AD377" s="16"/>
      <c r="AE377" s="16"/>
      <c r="AF377" s="16"/>
      <c r="AG377" s="16"/>
      <c r="AH377" s="16"/>
      <c r="AI377" s="16"/>
    </row>
    <row r="378" ht="12.75" customHeight="1" spans="1:35" x14ac:dyDescent="0.25">
      <c r="A378" s="16"/>
      <c r="B378" s="16"/>
      <c r="C378" s="16"/>
      <c r="D378" s="16"/>
      <c r="E378" s="16"/>
      <c r="F378" s="16"/>
      <c r="G378" s="16"/>
      <c r="H378" s="16"/>
      <c r="I378" s="16"/>
      <c r="J378" s="16"/>
      <c r="K378" s="16"/>
      <c r="L378" s="16"/>
      <c r="M378" s="16"/>
      <c r="N378" s="16"/>
      <c r="O378" s="16"/>
      <c r="P378" s="16"/>
      <c r="Q378" s="16"/>
      <c r="R378" s="16"/>
      <c r="S378" s="16"/>
      <c r="T378" s="16"/>
      <c r="U378" s="16"/>
      <c r="V378" s="16"/>
      <c r="W378" s="16"/>
      <c r="X378" s="16"/>
      <c r="Y378" s="16"/>
      <c r="Z378" s="16"/>
      <c r="AA378" s="16"/>
      <c r="AB378" s="16"/>
      <c r="AC378" s="16"/>
      <c r="AD378" s="16"/>
      <c r="AE378" s="16"/>
      <c r="AF378" s="16"/>
      <c r="AG378" s="16"/>
      <c r="AH378" s="16"/>
      <c r="AI378" s="16"/>
    </row>
    <row r="379" ht="12.75" customHeight="1" spans="1:35" x14ac:dyDescent="0.25">
      <c r="A379" s="16"/>
      <c r="B379" s="16"/>
      <c r="C379" s="16"/>
      <c r="D379" s="16"/>
      <c r="E379" s="16"/>
      <c r="F379" s="16"/>
      <c r="G379" s="16"/>
      <c r="H379" s="16"/>
      <c r="I379" s="16"/>
      <c r="J379" s="16"/>
      <c r="K379" s="16"/>
      <c r="L379" s="16"/>
      <c r="M379" s="16"/>
      <c r="N379" s="16"/>
      <c r="O379" s="16"/>
      <c r="P379" s="16"/>
      <c r="Q379" s="16"/>
      <c r="R379" s="16"/>
      <c r="S379" s="16"/>
      <c r="T379" s="16"/>
      <c r="U379" s="16"/>
      <c r="V379" s="16"/>
      <c r="W379" s="16"/>
      <c r="X379" s="16"/>
      <c r="Y379" s="16"/>
      <c r="Z379" s="16"/>
      <c r="AA379" s="16"/>
      <c r="AB379" s="16"/>
      <c r="AC379" s="16"/>
      <c r="AD379" s="16"/>
      <c r="AE379" s="16"/>
      <c r="AF379" s="16"/>
      <c r="AG379" s="16"/>
      <c r="AH379" s="16"/>
      <c r="AI379" s="16"/>
    </row>
    <row r="380" ht="12.75" customHeight="1" spans="1:35" x14ac:dyDescent="0.25">
      <c r="A380" s="16"/>
      <c r="B380" s="16"/>
      <c r="C380" s="16"/>
      <c r="D380" s="16"/>
      <c r="E380" s="16"/>
      <c r="F380" s="16"/>
      <c r="G380" s="16"/>
      <c r="H380" s="16"/>
      <c r="I380" s="16"/>
      <c r="J380" s="16"/>
      <c r="K380" s="16"/>
      <c r="L380" s="16"/>
      <c r="M380" s="16"/>
      <c r="N380" s="16"/>
      <c r="O380" s="16"/>
      <c r="P380" s="16"/>
      <c r="Q380" s="16"/>
      <c r="R380" s="16"/>
      <c r="S380" s="16"/>
      <c r="T380" s="16"/>
      <c r="U380" s="16"/>
      <c r="V380" s="16"/>
      <c r="W380" s="16"/>
      <c r="X380" s="16"/>
      <c r="Y380" s="16"/>
      <c r="Z380" s="16"/>
      <c r="AA380" s="16"/>
      <c r="AB380" s="16"/>
      <c r="AC380" s="16"/>
      <c r="AD380" s="16"/>
      <c r="AE380" s="16"/>
      <c r="AF380" s="16"/>
      <c r="AG380" s="16"/>
      <c r="AH380" s="16"/>
      <c r="AI380" s="16"/>
    </row>
    <row r="381" ht="12.75" customHeight="1" spans="1:35" x14ac:dyDescent="0.25">
      <c r="A381" s="16"/>
      <c r="B381" s="16"/>
      <c r="C381" s="16"/>
      <c r="D381" s="16"/>
      <c r="E381" s="16"/>
      <c r="F381" s="16"/>
      <c r="G381" s="16"/>
      <c r="H381" s="16"/>
      <c r="I381" s="16"/>
      <c r="J381" s="16"/>
      <c r="K381" s="16"/>
      <c r="L381" s="16"/>
      <c r="M381" s="16"/>
      <c r="N381" s="16"/>
      <c r="O381" s="16"/>
      <c r="P381" s="16"/>
      <c r="Q381" s="16"/>
      <c r="R381" s="16"/>
      <c r="S381" s="16"/>
      <c r="T381" s="16"/>
      <c r="U381" s="16"/>
      <c r="V381" s="16"/>
      <c r="W381" s="16"/>
      <c r="X381" s="16"/>
      <c r="Y381" s="16"/>
      <c r="Z381" s="16"/>
      <c r="AA381" s="16"/>
      <c r="AB381" s="16"/>
      <c r="AC381" s="16"/>
      <c r="AD381" s="16"/>
      <c r="AE381" s="16"/>
      <c r="AF381" s="16"/>
      <c r="AG381" s="16"/>
      <c r="AH381" s="16"/>
      <c r="AI381" s="16"/>
    </row>
    <row r="382" ht="12.75" customHeight="1" spans="1:35" x14ac:dyDescent="0.25">
      <c r="A382" s="16"/>
      <c r="B382" s="16"/>
      <c r="C382" s="16"/>
      <c r="D382" s="16"/>
      <c r="E382" s="16"/>
      <c r="F382" s="16"/>
      <c r="G382" s="16"/>
      <c r="H382" s="16"/>
      <c r="I382" s="16"/>
      <c r="J382" s="16"/>
      <c r="K382" s="16"/>
      <c r="L382" s="16"/>
      <c r="M382" s="16"/>
      <c r="N382" s="16"/>
      <c r="O382" s="16"/>
      <c r="P382" s="16"/>
      <c r="Q382" s="16"/>
      <c r="R382" s="16"/>
      <c r="S382" s="16"/>
      <c r="T382" s="16"/>
      <c r="U382" s="16"/>
      <c r="V382" s="16"/>
      <c r="W382" s="16"/>
      <c r="X382" s="16"/>
      <c r="Y382" s="16"/>
      <c r="Z382" s="16"/>
      <c r="AA382" s="16"/>
      <c r="AB382" s="16"/>
      <c r="AC382" s="16"/>
      <c r="AD382" s="16"/>
      <c r="AE382" s="16"/>
      <c r="AF382" s="16"/>
      <c r="AG382" s="16"/>
      <c r="AH382" s="16"/>
      <c r="AI382" s="16"/>
    </row>
    <row r="383" ht="12.75" customHeight="1" spans="1:35" x14ac:dyDescent="0.25">
      <c r="A383" s="16"/>
      <c r="B383" s="16"/>
      <c r="C383" s="16"/>
      <c r="D383" s="16"/>
      <c r="E383" s="16"/>
      <c r="F383" s="16"/>
      <c r="G383" s="16"/>
      <c r="H383" s="16"/>
      <c r="I383" s="16"/>
      <c r="J383" s="16"/>
      <c r="K383" s="16"/>
      <c r="L383" s="16"/>
      <c r="M383" s="16"/>
      <c r="N383" s="16"/>
      <c r="O383" s="16"/>
      <c r="P383" s="16"/>
      <c r="Q383" s="16"/>
      <c r="R383" s="16"/>
      <c r="S383" s="16"/>
      <c r="T383" s="16"/>
      <c r="U383" s="16"/>
      <c r="V383" s="16"/>
      <c r="W383" s="16"/>
      <c r="X383" s="16"/>
      <c r="Y383" s="16"/>
      <c r="Z383" s="16"/>
      <c r="AA383" s="16"/>
      <c r="AB383" s="16"/>
      <c r="AC383" s="16"/>
      <c r="AD383" s="16"/>
      <c r="AE383" s="16"/>
      <c r="AF383" s="16"/>
      <c r="AG383" s="16"/>
      <c r="AH383" s="16"/>
      <c r="AI383" s="16"/>
    </row>
    <row r="384" ht="12.75" customHeight="1" spans="1:35" x14ac:dyDescent="0.25">
      <c r="A384" s="16"/>
      <c r="B384" s="16"/>
      <c r="C384" s="16"/>
      <c r="D384" s="16"/>
      <c r="E384" s="16"/>
      <c r="F384" s="16"/>
      <c r="G384" s="16"/>
      <c r="H384" s="16"/>
      <c r="I384" s="16"/>
      <c r="J384" s="16"/>
      <c r="K384" s="16"/>
      <c r="L384" s="16"/>
      <c r="M384" s="16"/>
      <c r="N384" s="16"/>
      <c r="O384" s="16"/>
      <c r="P384" s="16"/>
      <c r="Q384" s="16"/>
      <c r="R384" s="16"/>
      <c r="S384" s="16"/>
      <c r="T384" s="16"/>
      <c r="U384" s="16"/>
      <c r="V384" s="16"/>
      <c r="W384" s="16"/>
      <c r="X384" s="16"/>
      <c r="Y384" s="16"/>
      <c r="Z384" s="16"/>
      <c r="AA384" s="16"/>
      <c r="AB384" s="16"/>
      <c r="AC384" s="16"/>
      <c r="AD384" s="16"/>
      <c r="AE384" s="16"/>
      <c r="AF384" s="16"/>
      <c r="AG384" s="16"/>
      <c r="AH384" s="16"/>
      <c r="AI384" s="16"/>
    </row>
    <row r="385" ht="12.75" customHeight="1" spans="1:35" x14ac:dyDescent="0.25">
      <c r="A385" s="16"/>
      <c r="B385" s="16"/>
      <c r="C385" s="16"/>
      <c r="D385" s="16"/>
      <c r="E385" s="16"/>
      <c r="F385" s="16"/>
      <c r="G385" s="16"/>
      <c r="H385" s="16"/>
      <c r="I385" s="16"/>
      <c r="J385" s="16"/>
      <c r="K385" s="16"/>
      <c r="L385" s="16"/>
      <c r="M385" s="16"/>
      <c r="N385" s="16"/>
      <c r="O385" s="16"/>
      <c r="P385" s="16"/>
      <c r="Q385" s="16"/>
      <c r="R385" s="16"/>
      <c r="S385" s="16"/>
      <c r="T385" s="16"/>
      <c r="U385" s="16"/>
      <c r="V385" s="16"/>
      <c r="W385" s="16"/>
      <c r="X385" s="16"/>
      <c r="Y385" s="16"/>
      <c r="Z385" s="16"/>
      <c r="AA385" s="16"/>
      <c r="AB385" s="16"/>
      <c r="AC385" s="16"/>
      <c r="AD385" s="16"/>
      <c r="AE385" s="16"/>
      <c r="AF385" s="16"/>
      <c r="AG385" s="16"/>
      <c r="AH385" s="16"/>
      <c r="AI385" s="16"/>
    </row>
    <row r="386" ht="12.75" customHeight="1" spans="1:35" x14ac:dyDescent="0.25">
      <c r="A386" s="16"/>
      <c r="B386" s="16"/>
      <c r="C386" s="16"/>
      <c r="D386" s="16"/>
      <c r="E386" s="16"/>
      <c r="F386" s="16"/>
      <c r="G386" s="16"/>
      <c r="H386" s="16"/>
      <c r="I386" s="16"/>
      <c r="J386" s="16"/>
      <c r="K386" s="16"/>
      <c r="L386" s="16"/>
      <c r="M386" s="16"/>
      <c r="N386" s="16"/>
      <c r="O386" s="16"/>
      <c r="P386" s="16"/>
      <c r="Q386" s="16"/>
      <c r="R386" s="16"/>
      <c r="S386" s="16"/>
      <c r="T386" s="16"/>
      <c r="U386" s="16"/>
      <c r="V386" s="16"/>
      <c r="W386" s="16"/>
      <c r="X386" s="16"/>
      <c r="Y386" s="16"/>
      <c r="Z386" s="16"/>
      <c r="AA386" s="16"/>
      <c r="AB386" s="16"/>
      <c r="AC386" s="16"/>
      <c r="AD386" s="16"/>
      <c r="AE386" s="16"/>
      <c r="AF386" s="16"/>
      <c r="AG386" s="16"/>
      <c r="AH386" s="16"/>
      <c r="AI386" s="16"/>
    </row>
    <row r="387" ht="12.75" customHeight="1" spans="1:35" x14ac:dyDescent="0.25">
      <c r="A387" s="16"/>
      <c r="B387" s="16"/>
      <c r="C387" s="16"/>
      <c r="D387" s="16"/>
      <c r="E387" s="16"/>
      <c r="F387" s="16"/>
      <c r="G387" s="16"/>
      <c r="H387" s="16"/>
      <c r="I387" s="16"/>
      <c r="J387" s="16"/>
      <c r="K387" s="16"/>
      <c r="L387" s="16"/>
      <c r="M387" s="16"/>
      <c r="N387" s="16"/>
      <c r="O387" s="16"/>
      <c r="P387" s="16"/>
      <c r="Q387" s="16"/>
      <c r="R387" s="16"/>
      <c r="S387" s="16"/>
      <c r="T387" s="16"/>
      <c r="U387" s="16"/>
      <c r="V387" s="16"/>
      <c r="W387" s="16"/>
      <c r="X387" s="16"/>
      <c r="Y387" s="16"/>
      <c r="Z387" s="16"/>
      <c r="AA387" s="16"/>
      <c r="AB387" s="16"/>
      <c r="AC387" s="16"/>
      <c r="AD387" s="16"/>
      <c r="AE387" s="16"/>
      <c r="AF387" s="16"/>
      <c r="AG387" s="16"/>
      <c r="AH387" s="16"/>
      <c r="AI387" s="16"/>
    </row>
    <row r="388" ht="12.75" customHeight="1" spans="1:35" x14ac:dyDescent="0.25">
      <c r="A388" s="16"/>
      <c r="B388" s="16"/>
      <c r="C388" s="16"/>
      <c r="D388" s="16"/>
      <c r="E388" s="16"/>
      <c r="F388" s="16"/>
      <c r="G388" s="16"/>
      <c r="H388" s="16"/>
      <c r="I388" s="16"/>
      <c r="J388" s="16"/>
      <c r="K388" s="16"/>
      <c r="L388" s="16"/>
      <c r="M388" s="16"/>
      <c r="N388" s="16"/>
      <c r="O388" s="16"/>
      <c r="P388" s="16"/>
      <c r="Q388" s="16"/>
      <c r="R388" s="16"/>
      <c r="S388" s="16"/>
      <c r="T388" s="16"/>
      <c r="U388" s="16"/>
      <c r="V388" s="16"/>
      <c r="W388" s="16"/>
      <c r="X388" s="16"/>
      <c r="Y388" s="16"/>
      <c r="Z388" s="16"/>
      <c r="AA388" s="16"/>
      <c r="AB388" s="16"/>
      <c r="AC388" s="16"/>
      <c r="AD388" s="16"/>
      <c r="AE388" s="16"/>
      <c r="AF388" s="16"/>
      <c r="AG388" s="16"/>
      <c r="AH388" s="16"/>
      <c r="AI388" s="16"/>
    </row>
    <row r="389" ht="12.75" customHeight="1" spans="1:35" x14ac:dyDescent="0.25">
      <c r="A389" s="16"/>
      <c r="B389" s="16"/>
      <c r="C389" s="16"/>
      <c r="D389" s="16"/>
      <c r="E389" s="16"/>
      <c r="F389" s="16"/>
      <c r="G389" s="16"/>
      <c r="H389" s="16"/>
      <c r="I389" s="16"/>
      <c r="J389" s="16"/>
      <c r="K389" s="16"/>
      <c r="L389" s="16"/>
      <c r="M389" s="16"/>
      <c r="N389" s="16"/>
      <c r="O389" s="16"/>
      <c r="P389" s="16"/>
      <c r="Q389" s="16"/>
      <c r="R389" s="16"/>
      <c r="S389" s="16"/>
      <c r="T389" s="16"/>
      <c r="U389" s="16"/>
      <c r="V389" s="16"/>
      <c r="W389" s="16"/>
      <c r="X389" s="16"/>
      <c r="Y389" s="16"/>
      <c r="Z389" s="16"/>
      <c r="AA389" s="16"/>
      <c r="AB389" s="16"/>
      <c r="AC389" s="16"/>
      <c r="AD389" s="16"/>
      <c r="AE389" s="16"/>
      <c r="AF389" s="16"/>
      <c r="AG389" s="16"/>
      <c r="AH389" s="16"/>
      <c r="AI389" s="16"/>
    </row>
    <row r="390" ht="12.75" customHeight="1" spans="1:35" x14ac:dyDescent="0.25">
      <c r="A390" s="16"/>
      <c r="B390" s="16"/>
      <c r="C390" s="16"/>
      <c r="D390" s="16"/>
      <c r="E390" s="16"/>
      <c r="F390" s="16"/>
      <c r="G390" s="16"/>
      <c r="H390" s="16"/>
      <c r="I390" s="16"/>
      <c r="J390" s="16"/>
      <c r="K390" s="16"/>
      <c r="L390" s="16"/>
      <c r="M390" s="16"/>
      <c r="N390" s="16"/>
      <c r="O390" s="16"/>
      <c r="P390" s="16"/>
      <c r="Q390" s="16"/>
      <c r="R390" s="16"/>
      <c r="S390" s="16"/>
      <c r="T390" s="16"/>
      <c r="U390" s="16"/>
      <c r="V390" s="16"/>
      <c r="W390" s="16"/>
      <c r="X390" s="16"/>
      <c r="Y390" s="16"/>
      <c r="Z390" s="16"/>
      <c r="AA390" s="16"/>
      <c r="AB390" s="16"/>
      <c r="AC390" s="16"/>
      <c r="AD390" s="16"/>
      <c r="AE390" s="16"/>
      <c r="AF390" s="16"/>
      <c r="AG390" s="16"/>
      <c r="AH390" s="16"/>
      <c r="AI390" s="16"/>
    </row>
    <row r="391" ht="12.75" customHeight="1" spans="1:35" x14ac:dyDescent="0.25">
      <c r="A391" s="16"/>
      <c r="B391" s="16"/>
      <c r="C391" s="16"/>
      <c r="D391" s="16"/>
      <c r="E391" s="16"/>
      <c r="F391" s="16"/>
      <c r="G391" s="16"/>
      <c r="H391" s="16"/>
      <c r="I391" s="16"/>
      <c r="J391" s="16"/>
      <c r="K391" s="16"/>
      <c r="L391" s="16"/>
      <c r="M391" s="16"/>
      <c r="N391" s="16"/>
      <c r="O391" s="16"/>
      <c r="P391" s="16"/>
      <c r="Q391" s="16"/>
      <c r="R391" s="16"/>
      <c r="S391" s="16"/>
      <c r="T391" s="16"/>
      <c r="U391" s="16"/>
      <c r="V391" s="16"/>
      <c r="W391" s="16"/>
      <c r="X391" s="16"/>
      <c r="Y391" s="16"/>
      <c r="Z391" s="16"/>
      <c r="AA391" s="16"/>
      <c r="AB391" s="16"/>
      <c r="AC391" s="16"/>
      <c r="AD391" s="16"/>
      <c r="AE391" s="16"/>
      <c r="AF391" s="16"/>
      <c r="AG391" s="16"/>
      <c r="AH391" s="16"/>
      <c r="AI391" s="16"/>
    </row>
    <row r="392" ht="12.75" customHeight="1" spans="1:35" x14ac:dyDescent="0.25">
      <c r="A392" s="16"/>
      <c r="B392" s="16"/>
      <c r="C392" s="16"/>
      <c r="D392" s="16"/>
      <c r="E392" s="16"/>
      <c r="F392" s="16"/>
      <c r="G392" s="16"/>
      <c r="H392" s="16"/>
      <c r="I392" s="16"/>
      <c r="J392" s="16"/>
      <c r="K392" s="16"/>
      <c r="L392" s="16"/>
      <c r="M392" s="16"/>
      <c r="N392" s="16"/>
      <c r="O392" s="16"/>
      <c r="P392" s="16"/>
      <c r="Q392" s="16"/>
      <c r="R392" s="16"/>
      <c r="S392" s="16"/>
      <c r="T392" s="16"/>
      <c r="U392" s="16"/>
      <c r="V392" s="16"/>
      <c r="W392" s="16"/>
      <c r="X392" s="16"/>
      <c r="Y392" s="16"/>
      <c r="Z392" s="16"/>
      <c r="AA392" s="16"/>
      <c r="AB392" s="16"/>
      <c r="AC392" s="16"/>
      <c r="AD392" s="16"/>
      <c r="AE392" s="16"/>
      <c r="AF392" s="16"/>
      <c r="AG392" s="16"/>
      <c r="AH392" s="16"/>
      <c r="AI392" s="16"/>
    </row>
    <row r="393" ht="12.75" customHeight="1" spans="1:35" x14ac:dyDescent="0.25">
      <c r="A393" s="16"/>
      <c r="B393" s="16"/>
      <c r="C393" s="16"/>
      <c r="D393" s="16"/>
      <c r="E393" s="16"/>
      <c r="F393" s="16"/>
      <c r="G393" s="16"/>
      <c r="H393" s="16"/>
      <c r="I393" s="16"/>
      <c r="J393" s="16"/>
      <c r="K393" s="16"/>
      <c r="L393" s="16"/>
      <c r="M393" s="16"/>
      <c r="N393" s="16"/>
      <c r="O393" s="16"/>
      <c r="P393" s="16"/>
      <c r="Q393" s="16"/>
      <c r="R393" s="16"/>
      <c r="S393" s="16"/>
      <c r="T393" s="16"/>
      <c r="U393" s="16"/>
      <c r="V393" s="16"/>
      <c r="W393" s="16"/>
      <c r="X393" s="16"/>
      <c r="Y393" s="16"/>
      <c r="Z393" s="16"/>
      <c r="AA393" s="16"/>
      <c r="AB393" s="16"/>
      <c r="AC393" s="16"/>
      <c r="AD393" s="16"/>
      <c r="AE393" s="16"/>
      <c r="AF393" s="16"/>
      <c r="AG393" s="16"/>
      <c r="AH393" s="16"/>
      <c r="AI393" s="16"/>
    </row>
    <row r="394" ht="12.75" customHeight="1" spans="1:35" x14ac:dyDescent="0.25">
      <c r="A394" s="16"/>
      <c r="B394" s="16"/>
      <c r="C394" s="16"/>
      <c r="D394" s="16"/>
      <c r="E394" s="16"/>
      <c r="F394" s="16"/>
      <c r="G394" s="16"/>
      <c r="H394" s="16"/>
      <c r="I394" s="16"/>
      <c r="J394" s="16"/>
      <c r="K394" s="16"/>
      <c r="L394" s="16"/>
      <c r="M394" s="16"/>
      <c r="N394" s="16"/>
      <c r="O394" s="16"/>
      <c r="P394" s="16"/>
      <c r="Q394" s="16"/>
      <c r="R394" s="16"/>
      <c r="S394" s="16"/>
      <c r="T394" s="16"/>
      <c r="U394" s="16"/>
      <c r="V394" s="16"/>
      <c r="W394" s="16"/>
      <c r="X394" s="16"/>
      <c r="Y394" s="16"/>
      <c r="Z394" s="16"/>
      <c r="AA394" s="16"/>
      <c r="AB394" s="16"/>
      <c r="AC394" s="16"/>
      <c r="AD394" s="16"/>
      <c r="AE394" s="16"/>
      <c r="AF394" s="16"/>
      <c r="AG394" s="16"/>
      <c r="AH394" s="16"/>
      <c r="AI394" s="16"/>
    </row>
    <row r="395" ht="12.75" customHeight="1" spans="1:35" x14ac:dyDescent="0.25">
      <c r="A395" s="16"/>
      <c r="B395" s="16"/>
      <c r="C395" s="16"/>
      <c r="D395" s="16"/>
      <c r="E395" s="16"/>
      <c r="F395" s="16"/>
      <c r="G395" s="16"/>
      <c r="H395" s="16"/>
      <c r="I395" s="16"/>
      <c r="J395" s="16"/>
      <c r="K395" s="16"/>
      <c r="L395" s="16"/>
      <c r="M395" s="16"/>
      <c r="N395" s="16"/>
      <c r="O395" s="16"/>
      <c r="P395" s="16"/>
      <c r="Q395" s="16"/>
      <c r="R395" s="16"/>
      <c r="S395" s="16"/>
      <c r="T395" s="16"/>
      <c r="U395" s="16"/>
      <c r="V395" s="16"/>
      <c r="W395" s="16"/>
      <c r="X395" s="16"/>
      <c r="Y395" s="16"/>
      <c r="Z395" s="16"/>
      <c r="AA395" s="16"/>
      <c r="AB395" s="16"/>
      <c r="AC395" s="16"/>
      <c r="AD395" s="16"/>
      <c r="AE395" s="16"/>
      <c r="AF395" s="16"/>
      <c r="AG395" s="16"/>
      <c r="AH395" s="16"/>
      <c r="AI395" s="16"/>
    </row>
    <row r="396" ht="12.75" customHeight="1" spans="1:35" x14ac:dyDescent="0.25">
      <c r="A396" s="16"/>
      <c r="B396" s="16"/>
      <c r="C396" s="16"/>
      <c r="D396" s="16"/>
      <c r="E396" s="16"/>
      <c r="F396" s="16"/>
      <c r="G396" s="16"/>
      <c r="H396" s="16"/>
      <c r="I396" s="16"/>
      <c r="J396" s="16"/>
      <c r="K396" s="16"/>
      <c r="L396" s="16"/>
      <c r="M396" s="16"/>
      <c r="N396" s="16"/>
      <c r="O396" s="16"/>
      <c r="P396" s="16"/>
      <c r="Q396" s="16"/>
      <c r="R396" s="16"/>
      <c r="S396" s="16"/>
      <c r="T396" s="16"/>
      <c r="U396" s="16"/>
      <c r="V396" s="16"/>
      <c r="W396" s="16"/>
      <c r="X396" s="16"/>
      <c r="Y396" s="16"/>
      <c r="Z396" s="16"/>
      <c r="AA396" s="16"/>
      <c r="AB396" s="16"/>
      <c r="AC396" s="16"/>
      <c r="AD396" s="16"/>
      <c r="AE396" s="16"/>
      <c r="AF396" s="16"/>
      <c r="AG396" s="16"/>
      <c r="AH396" s="16"/>
      <c r="AI396" s="16"/>
    </row>
    <row r="397" ht="12.75" customHeight="1" spans="1:35" x14ac:dyDescent="0.25">
      <c r="A397" s="16"/>
      <c r="B397" s="16"/>
      <c r="C397" s="16"/>
      <c r="D397" s="16"/>
      <c r="E397" s="16"/>
      <c r="F397" s="16"/>
      <c r="G397" s="16"/>
      <c r="H397" s="16"/>
      <c r="I397" s="16"/>
      <c r="J397" s="16"/>
      <c r="K397" s="16"/>
      <c r="L397" s="16"/>
      <c r="M397" s="16"/>
      <c r="N397" s="16"/>
      <c r="O397" s="16"/>
      <c r="P397" s="16"/>
      <c r="Q397" s="16"/>
      <c r="R397" s="16"/>
      <c r="S397" s="16"/>
      <c r="T397" s="16"/>
      <c r="U397" s="16"/>
      <c r="V397" s="16"/>
      <c r="W397" s="16"/>
      <c r="X397" s="16"/>
      <c r="Y397" s="16"/>
      <c r="Z397" s="16"/>
      <c r="AA397" s="16"/>
      <c r="AB397" s="16"/>
      <c r="AC397" s="16"/>
      <c r="AD397" s="16"/>
      <c r="AE397" s="16"/>
      <c r="AF397" s="16"/>
      <c r="AG397" s="16"/>
      <c r="AH397" s="16"/>
      <c r="AI397" s="16"/>
    </row>
    <row r="398" ht="12.75" customHeight="1" spans="1:35" x14ac:dyDescent="0.25">
      <c r="A398" s="16"/>
      <c r="B398" s="16"/>
      <c r="C398" s="16"/>
      <c r="D398" s="16"/>
      <c r="E398" s="16"/>
      <c r="F398" s="16"/>
      <c r="G398" s="16"/>
      <c r="H398" s="16"/>
      <c r="I398" s="16"/>
      <c r="J398" s="16"/>
      <c r="K398" s="16"/>
      <c r="L398" s="16"/>
      <c r="M398" s="16"/>
      <c r="N398" s="16"/>
      <c r="O398" s="16"/>
      <c r="P398" s="16"/>
      <c r="Q398" s="16"/>
      <c r="R398" s="16"/>
      <c r="S398" s="16"/>
      <c r="T398" s="16"/>
      <c r="U398" s="16"/>
      <c r="V398" s="16"/>
      <c r="W398" s="16"/>
      <c r="X398" s="16"/>
      <c r="Y398" s="16"/>
      <c r="Z398" s="16"/>
      <c r="AA398" s="16"/>
      <c r="AB398" s="16"/>
      <c r="AC398" s="16"/>
      <c r="AD398" s="16"/>
      <c r="AE398" s="16"/>
      <c r="AF398" s="16"/>
      <c r="AG398" s="16"/>
      <c r="AH398" s="16"/>
      <c r="AI398" s="16"/>
    </row>
    <row r="399" ht="12.75" customHeight="1" spans="1:35" x14ac:dyDescent="0.25">
      <c r="A399" s="16"/>
      <c r="B399" s="16"/>
      <c r="C399" s="16"/>
      <c r="D399" s="16"/>
      <c r="E399" s="16"/>
      <c r="F399" s="16"/>
      <c r="G399" s="16"/>
      <c r="H399" s="16"/>
      <c r="I399" s="16"/>
      <c r="J399" s="16"/>
      <c r="K399" s="16"/>
      <c r="L399" s="16"/>
      <c r="M399" s="16"/>
      <c r="N399" s="16"/>
      <c r="O399" s="16"/>
      <c r="P399" s="16"/>
      <c r="Q399" s="16"/>
      <c r="R399" s="16"/>
      <c r="S399" s="16"/>
      <c r="T399" s="16"/>
      <c r="U399" s="16"/>
      <c r="V399" s="16"/>
      <c r="W399" s="16"/>
      <c r="X399" s="16"/>
      <c r="Y399" s="16"/>
      <c r="Z399" s="16"/>
      <c r="AA399" s="16"/>
      <c r="AB399" s="16"/>
      <c r="AC399" s="16"/>
      <c r="AD399" s="16"/>
      <c r="AE399" s="16"/>
      <c r="AF399" s="16"/>
      <c r="AG399" s="16"/>
      <c r="AH399" s="16"/>
      <c r="AI399" s="16"/>
    </row>
    <row r="400" ht="12.75" customHeight="1" spans="1:35" x14ac:dyDescent="0.25">
      <c r="A400" s="16"/>
      <c r="B400" s="16"/>
      <c r="C400" s="16"/>
      <c r="D400" s="16"/>
      <c r="E400" s="16"/>
      <c r="F400" s="16"/>
      <c r="G400" s="16"/>
      <c r="H400" s="16"/>
      <c r="I400" s="16"/>
      <c r="J400" s="16"/>
      <c r="K400" s="16"/>
      <c r="L400" s="16"/>
      <c r="M400" s="16"/>
      <c r="N400" s="16"/>
      <c r="O400" s="16"/>
      <c r="P400" s="16"/>
      <c r="Q400" s="16"/>
      <c r="R400" s="16"/>
      <c r="S400" s="16"/>
      <c r="T400" s="16"/>
      <c r="U400" s="16"/>
      <c r="V400" s="16"/>
      <c r="W400" s="16"/>
      <c r="X400" s="16"/>
      <c r="Y400" s="16"/>
      <c r="Z400" s="16"/>
      <c r="AA400" s="16"/>
      <c r="AB400" s="16"/>
      <c r="AC400" s="16"/>
      <c r="AD400" s="16"/>
      <c r="AE400" s="16"/>
      <c r="AF400" s="16"/>
      <c r="AG400" s="16"/>
      <c r="AH400" s="16"/>
      <c r="AI400" s="16"/>
    </row>
    <row r="401" ht="12.75" customHeight="1" spans="1:35" x14ac:dyDescent="0.25">
      <c r="A401" s="16"/>
      <c r="B401" s="16"/>
      <c r="C401" s="16"/>
      <c r="D401" s="16"/>
      <c r="E401" s="16"/>
      <c r="F401" s="16"/>
      <c r="G401" s="16"/>
      <c r="H401" s="16"/>
      <c r="I401" s="16"/>
      <c r="J401" s="16"/>
      <c r="K401" s="16"/>
      <c r="L401" s="16"/>
      <c r="M401" s="16"/>
      <c r="N401" s="16"/>
      <c r="O401" s="16"/>
      <c r="P401" s="16"/>
      <c r="Q401" s="16"/>
      <c r="R401" s="16"/>
      <c r="S401" s="16"/>
      <c r="T401" s="16"/>
      <c r="U401" s="16"/>
      <c r="V401" s="16"/>
      <c r="W401" s="16"/>
      <c r="X401" s="16"/>
      <c r="Y401" s="16"/>
      <c r="Z401" s="16"/>
      <c r="AA401" s="16"/>
      <c r="AB401" s="16"/>
      <c r="AC401" s="16"/>
      <c r="AD401" s="16"/>
      <c r="AE401" s="16"/>
      <c r="AF401" s="16"/>
      <c r="AG401" s="16"/>
      <c r="AH401" s="16"/>
      <c r="AI401" s="16"/>
    </row>
    <row r="402" ht="12.75" customHeight="1" spans="1:35" x14ac:dyDescent="0.25">
      <c r="A402" s="16"/>
      <c r="B402" s="16"/>
      <c r="C402" s="16"/>
      <c r="D402" s="16"/>
      <c r="E402" s="16"/>
      <c r="F402" s="16"/>
      <c r="G402" s="16"/>
      <c r="H402" s="16"/>
      <c r="I402" s="16"/>
      <c r="J402" s="16"/>
      <c r="K402" s="16"/>
      <c r="L402" s="16"/>
      <c r="M402" s="16"/>
      <c r="N402" s="16"/>
      <c r="O402" s="16"/>
      <c r="P402" s="16"/>
      <c r="Q402" s="16"/>
      <c r="R402" s="16"/>
      <c r="S402" s="16"/>
      <c r="T402" s="16"/>
      <c r="U402" s="16"/>
      <c r="V402" s="16"/>
      <c r="W402" s="16"/>
      <c r="X402" s="16"/>
      <c r="Y402" s="16"/>
      <c r="Z402" s="16"/>
      <c r="AA402" s="16"/>
      <c r="AB402" s="16"/>
      <c r="AC402" s="16"/>
      <c r="AD402" s="16"/>
      <c r="AE402" s="16"/>
      <c r="AF402" s="16"/>
      <c r="AG402" s="16"/>
      <c r="AH402" s="16"/>
      <c r="AI402" s="16"/>
    </row>
    <row r="403" ht="12.75" customHeight="1" spans="1:35" x14ac:dyDescent="0.25">
      <c r="A403" s="16"/>
      <c r="B403" s="16"/>
      <c r="C403" s="16"/>
      <c r="D403" s="16"/>
      <c r="E403" s="16"/>
      <c r="F403" s="16"/>
      <c r="G403" s="16"/>
      <c r="H403" s="16"/>
      <c r="I403" s="16"/>
      <c r="J403" s="16"/>
      <c r="K403" s="16"/>
      <c r="L403" s="16"/>
      <c r="M403" s="16"/>
      <c r="N403" s="16"/>
      <c r="O403" s="16"/>
      <c r="P403" s="16"/>
      <c r="Q403" s="16"/>
      <c r="R403" s="16"/>
      <c r="S403" s="16"/>
      <c r="T403" s="16"/>
      <c r="U403" s="16"/>
      <c r="V403" s="16"/>
      <c r="W403" s="16"/>
      <c r="X403" s="16"/>
      <c r="Y403" s="16"/>
      <c r="Z403" s="16"/>
      <c r="AA403" s="16"/>
      <c r="AB403" s="16"/>
      <c r="AC403" s="16"/>
      <c r="AD403" s="16"/>
      <c r="AE403" s="16"/>
      <c r="AF403" s="16"/>
      <c r="AG403" s="16"/>
      <c r="AH403" s="16"/>
      <c r="AI403" s="16"/>
    </row>
    <row r="404" ht="12.75" customHeight="1" spans="1:35" x14ac:dyDescent="0.25">
      <c r="A404" s="16"/>
      <c r="B404" s="16"/>
      <c r="C404" s="16"/>
      <c r="D404" s="16"/>
      <c r="E404" s="16"/>
      <c r="F404" s="16"/>
      <c r="G404" s="16"/>
      <c r="H404" s="16"/>
      <c r="I404" s="16"/>
      <c r="J404" s="16"/>
      <c r="K404" s="16"/>
      <c r="L404" s="16"/>
      <c r="M404" s="16"/>
      <c r="N404" s="16"/>
      <c r="O404" s="16"/>
      <c r="P404" s="16"/>
      <c r="Q404" s="16"/>
      <c r="R404" s="16"/>
      <c r="S404" s="16"/>
      <c r="T404" s="16"/>
      <c r="U404" s="16"/>
      <c r="V404" s="16"/>
      <c r="W404" s="16"/>
      <c r="X404" s="16"/>
      <c r="Y404" s="16"/>
      <c r="Z404" s="16"/>
      <c r="AA404" s="16"/>
      <c r="AB404" s="16"/>
      <c r="AC404" s="16"/>
      <c r="AD404" s="16"/>
      <c r="AE404" s="16"/>
      <c r="AF404" s="16"/>
      <c r="AG404" s="16"/>
      <c r="AH404" s="16"/>
      <c r="AI404" s="16"/>
    </row>
    <row r="405" ht="12.75" customHeight="1" spans="1:35" x14ac:dyDescent="0.25">
      <c r="A405" s="16"/>
      <c r="B405" s="16"/>
      <c r="C405" s="16"/>
      <c r="D405" s="16"/>
      <c r="E405" s="16"/>
      <c r="F405" s="16"/>
      <c r="G405" s="16"/>
      <c r="H405" s="16"/>
      <c r="I405" s="16"/>
      <c r="J405" s="16"/>
      <c r="K405" s="16"/>
      <c r="L405" s="16"/>
      <c r="M405" s="16"/>
      <c r="N405" s="16"/>
      <c r="O405" s="16"/>
      <c r="P405" s="16"/>
      <c r="Q405" s="16"/>
      <c r="R405" s="16"/>
      <c r="S405" s="16"/>
      <c r="T405" s="16"/>
      <c r="U405" s="16"/>
      <c r="V405" s="16"/>
      <c r="W405" s="16"/>
      <c r="X405" s="16"/>
      <c r="Y405" s="16"/>
      <c r="Z405" s="16"/>
      <c r="AA405" s="16"/>
      <c r="AB405" s="16"/>
      <c r="AC405" s="16"/>
      <c r="AD405" s="16"/>
      <c r="AE405" s="16"/>
      <c r="AF405" s="16"/>
      <c r="AG405" s="16"/>
      <c r="AH405" s="16"/>
      <c r="AI405" s="16"/>
    </row>
    <row r="406" ht="12.75" customHeight="1" spans="1:35" x14ac:dyDescent="0.25">
      <c r="A406" s="16"/>
      <c r="B406" s="16"/>
      <c r="C406" s="16"/>
      <c r="D406" s="16"/>
      <c r="E406" s="16"/>
      <c r="F406" s="16"/>
      <c r="G406" s="16"/>
      <c r="H406" s="16"/>
      <c r="I406" s="16"/>
      <c r="J406" s="16"/>
      <c r="K406" s="16"/>
      <c r="L406" s="16"/>
      <c r="M406" s="16"/>
      <c r="N406" s="16"/>
      <c r="O406" s="16"/>
      <c r="P406" s="16"/>
      <c r="Q406" s="16"/>
      <c r="R406" s="16"/>
      <c r="S406" s="16"/>
      <c r="T406" s="16"/>
      <c r="U406" s="16"/>
      <c r="V406" s="16"/>
      <c r="W406" s="16"/>
      <c r="X406" s="16"/>
      <c r="Y406" s="16"/>
      <c r="Z406" s="16"/>
      <c r="AA406" s="16"/>
      <c r="AB406" s="16"/>
      <c r="AC406" s="16"/>
      <c r="AD406" s="16"/>
      <c r="AE406" s="16"/>
      <c r="AF406" s="16"/>
      <c r="AG406" s="16"/>
      <c r="AH406" s="16"/>
      <c r="AI406" s="16"/>
    </row>
    <row r="407" ht="12.75" customHeight="1" spans="1:35" x14ac:dyDescent="0.25">
      <c r="A407" s="16"/>
      <c r="B407" s="16"/>
      <c r="C407" s="16"/>
      <c r="D407" s="16"/>
      <c r="E407" s="16"/>
      <c r="F407" s="16"/>
      <c r="G407" s="16"/>
      <c r="H407" s="16"/>
      <c r="I407" s="16"/>
      <c r="J407" s="16"/>
      <c r="K407" s="16"/>
      <c r="L407" s="16"/>
      <c r="M407" s="16"/>
      <c r="N407" s="16"/>
      <c r="O407" s="16"/>
      <c r="P407" s="16"/>
      <c r="Q407" s="16"/>
      <c r="R407" s="16"/>
      <c r="S407" s="16"/>
      <c r="T407" s="16"/>
      <c r="U407" s="16"/>
      <c r="V407" s="16"/>
      <c r="W407" s="16"/>
      <c r="X407" s="16"/>
      <c r="Y407" s="16"/>
      <c r="Z407" s="16"/>
      <c r="AA407" s="16"/>
      <c r="AB407" s="16"/>
      <c r="AC407" s="16"/>
      <c r="AD407" s="16"/>
      <c r="AE407" s="16"/>
      <c r="AF407" s="16"/>
      <c r="AG407" s="16"/>
      <c r="AH407" s="16"/>
      <c r="AI407" s="16"/>
    </row>
    <row r="408" ht="12.75" customHeight="1" spans="1:35" x14ac:dyDescent="0.25">
      <c r="A408" s="16"/>
      <c r="B408" s="16"/>
      <c r="C408" s="16"/>
      <c r="D408" s="16"/>
      <c r="E408" s="16"/>
      <c r="F408" s="16"/>
      <c r="G408" s="16"/>
      <c r="H408" s="16"/>
      <c r="I408" s="16"/>
      <c r="J408" s="16"/>
      <c r="K408" s="16"/>
      <c r="L408" s="16"/>
      <c r="M408" s="16"/>
      <c r="N408" s="16"/>
      <c r="O408" s="16"/>
      <c r="P408" s="16"/>
      <c r="Q408" s="16"/>
      <c r="R408" s="16"/>
      <c r="S408" s="16"/>
      <c r="T408" s="16"/>
      <c r="U408" s="16"/>
      <c r="V408" s="16"/>
      <c r="W408" s="16"/>
      <c r="X408" s="16"/>
      <c r="Y408" s="16"/>
      <c r="Z408" s="16"/>
      <c r="AA408" s="16"/>
      <c r="AB408" s="16"/>
      <c r="AC408" s="16"/>
      <c r="AD408" s="16"/>
      <c r="AE408" s="16"/>
      <c r="AF408" s="16"/>
      <c r="AG408" s="16"/>
      <c r="AH408" s="16"/>
      <c r="AI408" s="16"/>
    </row>
    <row r="409" ht="12.75" customHeight="1" spans="1:35" x14ac:dyDescent="0.25">
      <c r="A409" s="16"/>
      <c r="B409" s="16"/>
      <c r="C409" s="16"/>
      <c r="D409" s="16"/>
      <c r="E409" s="16"/>
      <c r="F409" s="16"/>
      <c r="G409" s="16"/>
      <c r="H409" s="16"/>
      <c r="I409" s="16"/>
      <c r="J409" s="16"/>
      <c r="K409" s="16"/>
      <c r="L409" s="16"/>
      <c r="M409" s="16"/>
      <c r="N409" s="16"/>
      <c r="O409" s="16"/>
      <c r="P409" s="16"/>
      <c r="Q409" s="16"/>
      <c r="R409" s="16"/>
      <c r="S409" s="16"/>
      <c r="T409" s="16"/>
      <c r="U409" s="16"/>
      <c r="V409" s="16"/>
      <c r="W409" s="16"/>
      <c r="X409" s="16"/>
      <c r="Y409" s="16"/>
      <c r="Z409" s="16"/>
      <c r="AA409" s="16"/>
      <c r="AB409" s="16"/>
      <c r="AC409" s="16"/>
      <c r="AD409" s="16"/>
      <c r="AE409" s="16"/>
      <c r="AF409" s="16"/>
      <c r="AG409" s="16"/>
      <c r="AH409" s="16"/>
      <c r="AI409" s="16"/>
    </row>
    <row r="410" ht="12.75" customHeight="1" spans="1:35" x14ac:dyDescent="0.25">
      <c r="A410" s="16"/>
      <c r="B410" s="16"/>
      <c r="C410" s="16"/>
      <c r="D410" s="16"/>
      <c r="E410" s="16"/>
      <c r="F410" s="16"/>
      <c r="G410" s="16"/>
      <c r="H410" s="16"/>
      <c r="I410" s="16"/>
      <c r="J410" s="16"/>
      <c r="K410" s="16"/>
      <c r="L410" s="16"/>
      <c r="M410" s="16"/>
      <c r="N410" s="16"/>
      <c r="O410" s="16"/>
      <c r="P410" s="16"/>
      <c r="Q410" s="16"/>
      <c r="R410" s="16"/>
      <c r="S410" s="16"/>
      <c r="T410" s="16"/>
      <c r="U410" s="16"/>
      <c r="V410" s="16"/>
      <c r="W410" s="16"/>
      <c r="X410" s="16"/>
      <c r="Y410" s="16"/>
      <c r="Z410" s="16"/>
      <c r="AA410" s="16"/>
      <c r="AB410" s="16"/>
      <c r="AC410" s="16"/>
      <c r="AD410" s="16"/>
      <c r="AE410" s="16"/>
      <c r="AF410" s="16"/>
      <c r="AG410" s="16"/>
      <c r="AH410" s="16"/>
      <c r="AI410" s="16"/>
    </row>
    <row r="411" ht="12.75" customHeight="1" spans="1:35" x14ac:dyDescent="0.25">
      <c r="A411" s="16"/>
      <c r="B411" s="16"/>
      <c r="C411" s="16"/>
      <c r="D411" s="16"/>
      <c r="E411" s="16"/>
      <c r="F411" s="16"/>
      <c r="G411" s="16"/>
      <c r="H411" s="16"/>
      <c r="I411" s="16"/>
      <c r="J411" s="16"/>
      <c r="K411" s="16"/>
      <c r="L411" s="16"/>
      <c r="M411" s="16"/>
      <c r="N411" s="16"/>
      <c r="O411" s="16"/>
      <c r="P411" s="16"/>
      <c r="Q411" s="16"/>
      <c r="R411" s="16"/>
      <c r="S411" s="16"/>
      <c r="T411" s="16"/>
      <c r="U411" s="16"/>
      <c r="V411" s="16"/>
      <c r="W411" s="16"/>
      <c r="X411" s="16"/>
      <c r="Y411" s="16"/>
      <c r="Z411" s="16"/>
      <c r="AA411" s="16"/>
      <c r="AB411" s="16"/>
      <c r="AC411" s="16"/>
      <c r="AD411" s="16"/>
      <c r="AE411" s="16"/>
      <c r="AF411" s="16"/>
      <c r="AG411" s="16"/>
      <c r="AH411" s="16"/>
      <c r="AI411" s="16"/>
    </row>
    <row r="412" ht="12.75" customHeight="1" spans="1:35" x14ac:dyDescent="0.25">
      <c r="A412" s="16"/>
      <c r="B412" s="16"/>
      <c r="C412" s="16"/>
      <c r="D412" s="16"/>
      <c r="E412" s="16"/>
      <c r="F412" s="16"/>
      <c r="G412" s="16"/>
      <c r="H412" s="16"/>
      <c r="I412" s="16"/>
      <c r="J412" s="16"/>
      <c r="K412" s="16"/>
      <c r="L412" s="16"/>
      <c r="M412" s="16"/>
      <c r="N412" s="16"/>
      <c r="O412" s="16"/>
      <c r="P412" s="16"/>
      <c r="Q412" s="16"/>
      <c r="R412" s="16"/>
      <c r="S412" s="16"/>
      <c r="T412" s="16"/>
      <c r="U412" s="16"/>
      <c r="V412" s="16"/>
      <c r="W412" s="16"/>
      <c r="X412" s="16"/>
      <c r="Y412" s="16"/>
      <c r="Z412" s="16"/>
      <c r="AA412" s="16"/>
      <c r="AB412" s="16"/>
      <c r="AC412" s="16"/>
      <c r="AD412" s="16"/>
      <c r="AE412" s="16"/>
      <c r="AF412" s="16"/>
      <c r="AG412" s="16"/>
      <c r="AH412" s="16"/>
      <c r="AI412" s="16"/>
    </row>
    <row r="413" ht="12.75" customHeight="1" spans="1:35" x14ac:dyDescent="0.25">
      <c r="A413" s="16"/>
      <c r="B413" s="16"/>
      <c r="C413" s="16"/>
      <c r="D413" s="16"/>
      <c r="E413" s="16"/>
      <c r="F413" s="16"/>
      <c r="G413" s="16"/>
      <c r="H413" s="16"/>
      <c r="I413" s="16"/>
      <c r="J413" s="16"/>
      <c r="K413" s="16"/>
      <c r="L413" s="16"/>
      <c r="M413" s="16"/>
      <c r="N413" s="16"/>
      <c r="O413" s="16"/>
      <c r="P413" s="16"/>
      <c r="Q413" s="16"/>
      <c r="R413" s="16"/>
      <c r="S413" s="16"/>
      <c r="T413" s="16"/>
      <c r="U413" s="16"/>
      <c r="V413" s="16"/>
      <c r="W413" s="16"/>
      <c r="X413" s="16"/>
      <c r="Y413" s="16"/>
      <c r="Z413" s="16"/>
      <c r="AA413" s="16"/>
      <c r="AB413" s="16"/>
      <c r="AC413" s="16"/>
      <c r="AD413" s="16"/>
      <c r="AE413" s="16"/>
      <c r="AF413" s="16"/>
      <c r="AG413" s="16"/>
      <c r="AH413" s="16"/>
      <c r="AI413" s="16"/>
    </row>
    <row r="414" ht="12.75" customHeight="1" spans="1:35" x14ac:dyDescent="0.25">
      <c r="A414" s="16"/>
      <c r="B414" s="16"/>
      <c r="C414" s="16"/>
      <c r="D414" s="16"/>
      <c r="E414" s="16"/>
      <c r="F414" s="16"/>
      <c r="G414" s="16"/>
      <c r="H414" s="16"/>
      <c r="I414" s="16"/>
      <c r="J414" s="16"/>
      <c r="K414" s="16"/>
      <c r="L414" s="16"/>
      <c r="M414" s="16"/>
      <c r="N414" s="16"/>
      <c r="O414" s="16"/>
      <c r="P414" s="16"/>
      <c r="Q414" s="16"/>
      <c r="R414" s="16"/>
      <c r="S414" s="16"/>
      <c r="T414" s="16"/>
      <c r="U414" s="16"/>
      <c r="V414" s="16"/>
      <c r="W414" s="16"/>
      <c r="X414" s="16"/>
      <c r="Y414" s="16"/>
      <c r="Z414" s="16"/>
      <c r="AA414" s="16"/>
      <c r="AB414" s="16"/>
      <c r="AC414" s="16"/>
      <c r="AD414" s="16"/>
      <c r="AE414" s="16"/>
      <c r="AF414" s="16"/>
      <c r="AG414" s="16"/>
      <c r="AH414" s="16"/>
      <c r="AI414" s="16"/>
    </row>
    <row r="415" ht="12.75" customHeight="1" spans="1:35" x14ac:dyDescent="0.25">
      <c r="A415" s="16"/>
      <c r="B415" s="16"/>
      <c r="C415" s="16"/>
      <c r="D415" s="16"/>
      <c r="E415" s="16"/>
      <c r="F415" s="16"/>
      <c r="G415" s="16"/>
      <c r="H415" s="16"/>
      <c r="I415" s="16"/>
      <c r="J415" s="16"/>
      <c r="K415" s="16"/>
      <c r="L415" s="16"/>
      <c r="M415" s="16"/>
      <c r="N415" s="16"/>
      <c r="O415" s="16"/>
      <c r="P415" s="16"/>
      <c r="Q415" s="16"/>
      <c r="R415" s="16"/>
      <c r="S415" s="16"/>
      <c r="T415" s="16"/>
      <c r="U415" s="16"/>
      <c r="V415" s="16"/>
      <c r="W415" s="16"/>
      <c r="X415" s="16"/>
      <c r="Y415" s="16"/>
      <c r="Z415" s="16"/>
      <c r="AA415" s="16"/>
      <c r="AB415" s="16"/>
      <c r="AC415" s="16"/>
      <c r="AD415" s="16"/>
      <c r="AE415" s="16"/>
      <c r="AF415" s="16"/>
      <c r="AG415" s="16"/>
      <c r="AH415" s="16"/>
      <c r="AI415" s="16"/>
    </row>
    <row r="416" ht="12.75" customHeight="1" spans="1:35" x14ac:dyDescent="0.25">
      <c r="A416" s="16"/>
      <c r="B416" s="16"/>
      <c r="C416" s="16"/>
      <c r="D416" s="16"/>
      <c r="E416" s="16"/>
      <c r="F416" s="16"/>
      <c r="G416" s="16"/>
      <c r="H416" s="16"/>
      <c r="I416" s="16"/>
      <c r="J416" s="16"/>
      <c r="K416" s="16"/>
      <c r="L416" s="16"/>
      <c r="M416" s="16"/>
      <c r="N416" s="16"/>
      <c r="O416" s="16"/>
      <c r="P416" s="16"/>
      <c r="Q416" s="16"/>
      <c r="R416" s="16"/>
      <c r="S416" s="16"/>
      <c r="T416" s="16"/>
      <c r="U416" s="16"/>
      <c r="V416" s="16"/>
      <c r="W416" s="16"/>
      <c r="X416" s="16"/>
      <c r="Y416" s="16"/>
      <c r="Z416" s="16"/>
      <c r="AA416" s="16"/>
      <c r="AB416" s="16"/>
      <c r="AC416" s="16"/>
      <c r="AD416" s="16"/>
      <c r="AE416" s="16"/>
      <c r="AF416" s="16"/>
      <c r="AG416" s="16"/>
      <c r="AH416" s="16"/>
      <c r="AI416" s="16"/>
    </row>
    <row r="417" ht="12.75" customHeight="1" spans="1:35" x14ac:dyDescent="0.25">
      <c r="A417" s="16"/>
      <c r="B417" s="16"/>
      <c r="C417" s="16"/>
      <c r="D417" s="16"/>
      <c r="E417" s="16"/>
      <c r="F417" s="16"/>
      <c r="G417" s="16"/>
      <c r="H417" s="16"/>
      <c r="I417" s="16"/>
      <c r="J417" s="16"/>
      <c r="K417" s="16"/>
      <c r="L417" s="16"/>
      <c r="M417" s="16"/>
      <c r="N417" s="16"/>
      <c r="O417" s="16"/>
      <c r="P417" s="16"/>
      <c r="Q417" s="16"/>
      <c r="R417" s="16"/>
      <c r="S417" s="16"/>
      <c r="T417" s="16"/>
      <c r="U417" s="16"/>
      <c r="V417" s="16"/>
      <c r="W417" s="16"/>
      <c r="X417" s="16"/>
      <c r="Y417" s="16"/>
      <c r="Z417" s="16"/>
      <c r="AA417" s="16"/>
      <c r="AB417" s="16"/>
      <c r="AC417" s="16"/>
      <c r="AD417" s="16"/>
      <c r="AE417" s="16"/>
      <c r="AF417" s="16"/>
      <c r="AG417" s="16"/>
      <c r="AH417" s="16"/>
      <c r="AI417" s="16"/>
    </row>
    <row r="418" ht="12.75" customHeight="1" spans="1:35" x14ac:dyDescent="0.25">
      <c r="A418" s="16"/>
      <c r="B418" s="16"/>
      <c r="C418" s="16"/>
      <c r="D418" s="16"/>
      <c r="E418" s="16"/>
      <c r="F418" s="16"/>
      <c r="G418" s="16"/>
      <c r="H418" s="16"/>
      <c r="I418" s="16"/>
      <c r="J418" s="16"/>
      <c r="K418" s="16"/>
      <c r="L418" s="16"/>
      <c r="M418" s="16"/>
      <c r="N418" s="16"/>
      <c r="O418" s="16"/>
      <c r="P418" s="16"/>
      <c r="Q418" s="16"/>
      <c r="R418" s="16"/>
      <c r="S418" s="16"/>
      <c r="T418" s="16"/>
      <c r="U418" s="16"/>
      <c r="V418" s="16"/>
      <c r="W418" s="16"/>
      <c r="X418" s="16"/>
      <c r="Y418" s="16"/>
      <c r="Z418" s="16"/>
      <c r="AA418" s="16"/>
      <c r="AB418" s="16"/>
      <c r="AC418" s="16"/>
      <c r="AD418" s="16"/>
      <c r="AE418" s="16"/>
      <c r="AF418" s="16"/>
      <c r="AG418" s="16"/>
      <c r="AH418" s="16"/>
      <c r="AI418" s="16"/>
    </row>
    <row r="419" ht="12.75" customHeight="1" spans="1:35" x14ac:dyDescent="0.25">
      <c r="A419" s="16"/>
      <c r="B419" s="16"/>
      <c r="C419" s="16"/>
      <c r="D419" s="16"/>
      <c r="E419" s="16"/>
      <c r="F419" s="16"/>
      <c r="G419" s="16"/>
      <c r="H419" s="16"/>
      <c r="I419" s="16"/>
      <c r="J419" s="16"/>
      <c r="K419" s="16"/>
      <c r="L419" s="16"/>
      <c r="M419" s="16"/>
      <c r="N419" s="16"/>
      <c r="O419" s="16"/>
      <c r="P419" s="16"/>
      <c r="Q419" s="16"/>
      <c r="R419" s="16"/>
      <c r="S419" s="16"/>
      <c r="T419" s="16"/>
      <c r="U419" s="16"/>
      <c r="V419" s="16"/>
      <c r="W419" s="16"/>
      <c r="X419" s="16"/>
      <c r="Y419" s="16"/>
      <c r="Z419" s="16"/>
      <c r="AA419" s="16"/>
      <c r="AB419" s="16"/>
      <c r="AC419" s="16"/>
      <c r="AD419" s="16"/>
      <c r="AE419" s="16"/>
      <c r="AF419" s="16"/>
      <c r="AG419" s="16"/>
      <c r="AH419" s="16"/>
      <c r="AI419" s="16"/>
    </row>
    <row r="420" ht="12.75" customHeight="1" spans="1:35" x14ac:dyDescent="0.25">
      <c r="A420" s="16"/>
      <c r="B420" s="16"/>
      <c r="C420" s="16"/>
      <c r="D420" s="16"/>
      <c r="E420" s="16"/>
      <c r="F420" s="16"/>
      <c r="G420" s="16"/>
      <c r="H420" s="16"/>
      <c r="I420" s="16"/>
      <c r="J420" s="16"/>
      <c r="K420" s="16"/>
      <c r="L420" s="16"/>
      <c r="M420" s="16"/>
      <c r="N420" s="16"/>
      <c r="O420" s="16"/>
      <c r="P420" s="16"/>
      <c r="Q420" s="16"/>
      <c r="R420" s="16"/>
      <c r="S420" s="16"/>
      <c r="T420" s="16"/>
      <c r="U420" s="16"/>
      <c r="V420" s="16"/>
      <c r="W420" s="16"/>
      <c r="X420" s="16"/>
      <c r="Y420" s="16"/>
      <c r="Z420" s="16"/>
      <c r="AA420" s="16"/>
      <c r="AB420" s="16"/>
      <c r="AC420" s="16"/>
      <c r="AD420" s="16"/>
      <c r="AE420" s="16"/>
      <c r="AF420" s="16"/>
      <c r="AG420" s="16"/>
      <c r="AH420" s="16"/>
      <c r="AI420" s="16"/>
    </row>
    <row r="421" ht="12.75" customHeight="1" spans="1:35" x14ac:dyDescent="0.25">
      <c r="A421" s="16"/>
      <c r="B421" s="16"/>
      <c r="C421" s="16"/>
      <c r="D421" s="16"/>
      <c r="E421" s="16"/>
      <c r="F421" s="16"/>
      <c r="G421" s="16"/>
      <c r="H421" s="16"/>
      <c r="I421" s="16"/>
      <c r="J421" s="16"/>
      <c r="K421" s="16"/>
      <c r="L421" s="16"/>
      <c r="M421" s="16"/>
      <c r="N421" s="16"/>
      <c r="O421" s="16"/>
      <c r="P421" s="16"/>
      <c r="Q421" s="16"/>
      <c r="R421" s="16"/>
      <c r="S421" s="16"/>
      <c r="T421" s="16"/>
      <c r="U421" s="16"/>
      <c r="V421" s="16"/>
      <c r="W421" s="16"/>
      <c r="X421" s="16"/>
      <c r="Y421" s="16"/>
      <c r="Z421" s="16"/>
      <c r="AA421" s="16"/>
      <c r="AB421" s="16"/>
      <c r="AC421" s="16"/>
      <c r="AD421" s="16"/>
      <c r="AE421" s="16"/>
      <c r="AF421" s="16"/>
      <c r="AG421" s="16"/>
      <c r="AH421" s="16"/>
      <c r="AI421" s="16"/>
    </row>
    <row r="422" ht="12.75" customHeight="1" spans="1:35" x14ac:dyDescent="0.25">
      <c r="A422" s="16"/>
      <c r="B422" s="16"/>
      <c r="C422" s="16"/>
      <c r="D422" s="16"/>
      <c r="E422" s="16"/>
      <c r="F422" s="16"/>
      <c r="G422" s="16"/>
      <c r="H422" s="16"/>
      <c r="I422" s="16"/>
      <c r="J422" s="16"/>
      <c r="K422" s="16"/>
      <c r="L422" s="16"/>
      <c r="M422" s="16"/>
      <c r="N422" s="16"/>
      <c r="O422" s="16"/>
      <c r="P422" s="16"/>
      <c r="Q422" s="16"/>
      <c r="R422" s="16"/>
      <c r="S422" s="16"/>
      <c r="T422" s="16"/>
      <c r="U422" s="16"/>
      <c r="V422" s="16"/>
      <c r="W422" s="16"/>
      <c r="X422" s="16"/>
      <c r="Y422" s="16"/>
      <c r="Z422" s="16"/>
      <c r="AA422" s="16"/>
      <c r="AB422" s="16"/>
      <c r="AC422" s="16"/>
      <c r="AD422" s="16"/>
      <c r="AE422" s="16"/>
      <c r="AF422" s="16"/>
      <c r="AG422" s="16"/>
      <c r="AH422" s="16"/>
      <c r="AI422" s="16"/>
    </row>
    <row r="423" ht="12.75" customHeight="1" spans="1:35" x14ac:dyDescent="0.25">
      <c r="A423" s="16"/>
      <c r="B423" s="16"/>
      <c r="C423" s="16"/>
      <c r="D423" s="16"/>
      <c r="E423" s="16"/>
      <c r="F423" s="16"/>
      <c r="G423" s="16"/>
      <c r="H423" s="16"/>
      <c r="I423" s="16"/>
      <c r="J423" s="16"/>
      <c r="K423" s="16"/>
      <c r="L423" s="16"/>
      <c r="M423" s="16"/>
      <c r="N423" s="16"/>
      <c r="O423" s="16"/>
      <c r="P423" s="16"/>
      <c r="Q423" s="16"/>
      <c r="R423" s="16"/>
      <c r="S423" s="16"/>
      <c r="T423" s="16"/>
      <c r="U423" s="16"/>
      <c r="V423" s="16"/>
      <c r="W423" s="16"/>
      <c r="X423" s="16"/>
      <c r="Y423" s="16"/>
      <c r="Z423" s="16"/>
      <c r="AA423" s="16"/>
      <c r="AB423" s="16"/>
      <c r="AC423" s="16"/>
      <c r="AD423" s="16"/>
      <c r="AE423" s="16"/>
      <c r="AF423" s="16"/>
      <c r="AG423" s="16"/>
      <c r="AH423" s="16"/>
      <c r="AI423" s="16"/>
    </row>
    <row r="424" ht="12.75" customHeight="1" spans="1:35" x14ac:dyDescent="0.25">
      <c r="A424" s="16"/>
      <c r="B424" s="16"/>
      <c r="C424" s="16"/>
      <c r="D424" s="16"/>
      <c r="E424" s="16"/>
      <c r="F424" s="16"/>
      <c r="G424" s="16"/>
      <c r="H424" s="16"/>
      <c r="I424" s="16"/>
      <c r="J424" s="16"/>
      <c r="K424" s="16"/>
      <c r="L424" s="16"/>
      <c r="M424" s="16"/>
      <c r="N424" s="16"/>
      <c r="O424" s="16"/>
      <c r="P424" s="16"/>
      <c r="Q424" s="16"/>
      <c r="R424" s="16"/>
      <c r="S424" s="16"/>
      <c r="T424" s="16"/>
      <c r="U424" s="16"/>
      <c r="V424" s="16"/>
      <c r="W424" s="16"/>
      <c r="X424" s="16"/>
      <c r="Y424" s="16"/>
      <c r="Z424" s="16"/>
      <c r="AA424" s="16"/>
      <c r="AB424" s="16"/>
      <c r="AC424" s="16"/>
      <c r="AD424" s="16"/>
      <c r="AE424" s="16"/>
      <c r="AF424" s="16"/>
      <c r="AG424" s="16"/>
      <c r="AH424" s="16"/>
      <c r="AI424" s="16"/>
    </row>
    <row r="425" ht="12.75" customHeight="1" spans="1:35" x14ac:dyDescent="0.25">
      <c r="A425" s="16"/>
      <c r="B425" s="16"/>
      <c r="C425" s="16"/>
      <c r="D425" s="16"/>
      <c r="E425" s="16"/>
      <c r="F425" s="16"/>
      <c r="G425" s="16"/>
      <c r="H425" s="16"/>
      <c r="I425" s="16"/>
      <c r="J425" s="16"/>
      <c r="K425" s="16"/>
      <c r="L425" s="16"/>
      <c r="M425" s="16"/>
      <c r="N425" s="16"/>
      <c r="O425" s="16"/>
      <c r="P425" s="16"/>
      <c r="Q425" s="16"/>
      <c r="R425" s="16"/>
      <c r="S425" s="16"/>
      <c r="T425" s="16"/>
      <c r="U425" s="16"/>
      <c r="V425" s="16"/>
      <c r="W425" s="16"/>
      <c r="X425" s="16"/>
      <c r="Y425" s="16"/>
      <c r="Z425" s="16"/>
      <c r="AA425" s="16"/>
      <c r="AB425" s="16"/>
      <c r="AC425" s="16"/>
      <c r="AD425" s="16"/>
      <c r="AE425" s="16"/>
      <c r="AF425" s="16"/>
      <c r="AG425" s="16"/>
      <c r="AH425" s="16"/>
      <c r="AI425" s="16"/>
    </row>
    <row r="426" ht="12.75" customHeight="1" spans="1:35" x14ac:dyDescent="0.25">
      <c r="A426" s="16"/>
      <c r="B426" s="16"/>
      <c r="C426" s="16"/>
      <c r="D426" s="16"/>
      <c r="E426" s="16"/>
      <c r="F426" s="16"/>
      <c r="G426" s="16"/>
      <c r="H426" s="16"/>
      <c r="I426" s="16"/>
      <c r="J426" s="16"/>
      <c r="K426" s="16"/>
      <c r="L426" s="16"/>
      <c r="M426" s="16"/>
      <c r="N426" s="16"/>
      <c r="O426" s="16"/>
      <c r="P426" s="16"/>
      <c r="Q426" s="16"/>
      <c r="R426" s="16"/>
      <c r="S426" s="16"/>
      <c r="T426" s="16"/>
      <c r="U426" s="16"/>
      <c r="V426" s="16"/>
      <c r="W426" s="16"/>
      <c r="X426" s="16"/>
      <c r="Y426" s="16"/>
      <c r="Z426" s="16"/>
      <c r="AA426" s="16"/>
      <c r="AB426" s="16"/>
      <c r="AC426" s="16"/>
      <c r="AD426" s="16"/>
      <c r="AE426" s="16"/>
      <c r="AF426" s="16"/>
      <c r="AG426" s="16"/>
      <c r="AH426" s="16"/>
      <c r="AI426" s="16"/>
    </row>
    <row r="427" ht="12.75" customHeight="1" spans="1:35" x14ac:dyDescent="0.25">
      <c r="A427" s="16"/>
      <c r="B427" s="16"/>
      <c r="C427" s="16"/>
      <c r="D427" s="16"/>
      <c r="E427" s="16"/>
      <c r="F427" s="16"/>
      <c r="G427" s="16"/>
      <c r="H427" s="16"/>
      <c r="I427" s="16"/>
      <c r="J427" s="16"/>
      <c r="K427" s="16"/>
      <c r="L427" s="16"/>
      <c r="M427" s="16"/>
      <c r="N427" s="16"/>
      <c r="O427" s="16"/>
      <c r="P427" s="16"/>
      <c r="Q427" s="16"/>
      <c r="R427" s="16"/>
      <c r="S427" s="16"/>
      <c r="T427" s="16"/>
      <c r="U427" s="16"/>
      <c r="V427" s="16"/>
      <c r="W427" s="16"/>
      <c r="X427" s="16"/>
      <c r="Y427" s="16"/>
      <c r="Z427" s="16"/>
      <c r="AA427" s="16"/>
      <c r="AB427" s="16"/>
      <c r="AC427" s="16"/>
      <c r="AD427" s="16"/>
      <c r="AE427" s="16"/>
      <c r="AF427" s="16"/>
      <c r="AG427" s="16"/>
      <c r="AH427" s="16"/>
      <c r="AI427" s="16"/>
    </row>
    <row r="428" ht="12.75" customHeight="1" spans="1:35" x14ac:dyDescent="0.25">
      <c r="A428" s="16"/>
      <c r="B428" s="16"/>
      <c r="C428" s="16"/>
      <c r="D428" s="16"/>
      <c r="E428" s="16"/>
      <c r="F428" s="16"/>
      <c r="G428" s="16"/>
      <c r="H428" s="16"/>
      <c r="I428" s="16"/>
      <c r="J428" s="16"/>
      <c r="K428" s="16"/>
      <c r="L428" s="16"/>
      <c r="M428" s="16"/>
      <c r="N428" s="16"/>
      <c r="O428" s="16"/>
      <c r="P428" s="16"/>
      <c r="Q428" s="16"/>
      <c r="R428" s="16"/>
      <c r="S428" s="16"/>
      <c r="T428" s="16"/>
      <c r="U428" s="16"/>
      <c r="V428" s="16"/>
      <c r="W428" s="16"/>
      <c r="X428" s="16"/>
      <c r="Y428" s="16"/>
      <c r="Z428" s="16"/>
      <c r="AA428" s="16"/>
      <c r="AB428" s="16"/>
      <c r="AC428" s="16"/>
      <c r="AD428" s="16"/>
      <c r="AE428" s="16"/>
      <c r="AF428" s="16"/>
      <c r="AG428" s="16"/>
      <c r="AH428" s="16"/>
      <c r="AI428" s="16"/>
    </row>
    <row r="429" ht="12.75" customHeight="1" spans="1:35" x14ac:dyDescent="0.25">
      <c r="A429" s="16"/>
      <c r="B429" s="16"/>
      <c r="C429" s="16"/>
      <c r="D429" s="16"/>
      <c r="E429" s="16"/>
      <c r="F429" s="16"/>
      <c r="G429" s="16"/>
      <c r="H429" s="16"/>
      <c r="I429" s="16"/>
      <c r="J429" s="16"/>
      <c r="K429" s="16"/>
      <c r="L429" s="16"/>
      <c r="M429" s="16"/>
      <c r="N429" s="16"/>
      <c r="O429" s="16"/>
      <c r="P429" s="16"/>
      <c r="Q429" s="16"/>
      <c r="R429" s="16"/>
      <c r="S429" s="16"/>
      <c r="T429" s="16"/>
      <c r="U429" s="16"/>
      <c r="V429" s="16"/>
      <c r="W429" s="16"/>
      <c r="X429" s="16"/>
      <c r="Y429" s="16"/>
      <c r="Z429" s="16"/>
      <c r="AA429" s="16"/>
      <c r="AB429" s="16"/>
      <c r="AC429" s="16"/>
      <c r="AD429" s="16"/>
      <c r="AE429" s="16"/>
      <c r="AF429" s="16"/>
      <c r="AG429" s="16"/>
      <c r="AH429" s="16"/>
      <c r="AI429" s="16"/>
    </row>
    <row r="430" ht="12.75" customHeight="1" spans="1:35" x14ac:dyDescent="0.25">
      <c r="A430" s="16"/>
      <c r="B430" s="16"/>
      <c r="C430" s="16"/>
      <c r="D430" s="16"/>
      <c r="E430" s="16"/>
      <c r="F430" s="16"/>
      <c r="G430" s="16"/>
      <c r="H430" s="16"/>
      <c r="I430" s="16"/>
      <c r="J430" s="16"/>
      <c r="K430" s="16"/>
      <c r="L430" s="16"/>
      <c r="M430" s="16"/>
      <c r="N430" s="16"/>
      <c r="O430" s="16"/>
      <c r="P430" s="16"/>
      <c r="Q430" s="16"/>
      <c r="R430" s="16"/>
      <c r="S430" s="16"/>
      <c r="T430" s="16"/>
      <c r="U430" s="16"/>
      <c r="V430" s="16"/>
      <c r="W430" s="16"/>
      <c r="X430" s="16"/>
      <c r="Y430" s="16"/>
      <c r="Z430" s="16"/>
      <c r="AA430" s="16"/>
      <c r="AB430" s="16"/>
      <c r="AC430" s="16"/>
      <c r="AD430" s="16"/>
      <c r="AE430" s="16"/>
      <c r="AF430" s="16"/>
      <c r="AG430" s="16"/>
      <c r="AH430" s="16"/>
      <c r="AI430" s="16"/>
    </row>
    <row r="431" ht="12.75" customHeight="1" spans="1:35" x14ac:dyDescent="0.25">
      <c r="A431" s="16"/>
      <c r="B431" s="16"/>
      <c r="C431" s="16"/>
      <c r="D431" s="16"/>
      <c r="E431" s="16"/>
      <c r="F431" s="16"/>
      <c r="G431" s="16"/>
      <c r="H431" s="16"/>
      <c r="I431" s="16"/>
      <c r="J431" s="16"/>
      <c r="K431" s="16"/>
      <c r="L431" s="16"/>
      <c r="M431" s="16"/>
      <c r="N431" s="16"/>
      <c r="O431" s="16"/>
      <c r="P431" s="16"/>
      <c r="Q431" s="16"/>
      <c r="R431" s="16"/>
      <c r="S431" s="16"/>
      <c r="T431" s="16"/>
      <c r="U431" s="16"/>
      <c r="V431" s="16"/>
      <c r="W431" s="16"/>
      <c r="X431" s="16"/>
      <c r="Y431" s="16"/>
      <c r="Z431" s="16"/>
      <c r="AA431" s="16"/>
      <c r="AB431" s="16"/>
      <c r="AC431" s="16"/>
      <c r="AD431" s="16"/>
      <c r="AE431" s="16"/>
      <c r="AF431" s="16"/>
      <c r="AG431" s="16"/>
      <c r="AH431" s="16"/>
      <c r="AI431" s="16"/>
    </row>
    <row r="432" ht="12.75" customHeight="1" spans="1:35" x14ac:dyDescent="0.25">
      <c r="A432" s="16"/>
      <c r="B432" s="16"/>
      <c r="C432" s="16"/>
      <c r="D432" s="16"/>
      <c r="E432" s="16"/>
      <c r="F432" s="16"/>
      <c r="G432" s="16"/>
      <c r="H432" s="16"/>
      <c r="I432" s="16"/>
      <c r="J432" s="16"/>
      <c r="K432" s="16"/>
      <c r="L432" s="16"/>
      <c r="M432" s="16"/>
      <c r="N432" s="16"/>
      <c r="O432" s="16"/>
      <c r="P432" s="16"/>
      <c r="Q432" s="16"/>
      <c r="R432" s="16"/>
      <c r="S432" s="16"/>
      <c r="T432" s="16"/>
      <c r="U432" s="16"/>
      <c r="V432" s="16"/>
      <c r="W432" s="16"/>
      <c r="X432" s="16"/>
      <c r="Y432" s="16"/>
      <c r="Z432" s="16"/>
      <c r="AA432" s="16"/>
      <c r="AB432" s="16"/>
      <c r="AC432" s="16"/>
      <c r="AD432" s="16"/>
      <c r="AE432" s="16"/>
      <c r="AF432" s="16"/>
      <c r="AG432" s="16"/>
      <c r="AH432" s="16"/>
      <c r="AI432" s="16"/>
    </row>
    <row r="433" ht="12.75" customHeight="1" spans="1:35" x14ac:dyDescent="0.25">
      <c r="A433" s="16"/>
      <c r="B433" s="16"/>
      <c r="C433" s="16"/>
      <c r="D433" s="16"/>
      <c r="E433" s="16"/>
      <c r="F433" s="16"/>
      <c r="G433" s="16"/>
      <c r="H433" s="16"/>
      <c r="I433" s="16"/>
      <c r="J433" s="16"/>
      <c r="K433" s="16"/>
      <c r="L433" s="16"/>
      <c r="M433" s="16"/>
      <c r="N433" s="16"/>
      <c r="O433" s="16"/>
      <c r="P433" s="16"/>
      <c r="Q433" s="16"/>
      <c r="R433" s="16"/>
      <c r="S433" s="16"/>
      <c r="T433" s="16"/>
      <c r="U433" s="16"/>
      <c r="V433" s="16"/>
      <c r="W433" s="16"/>
      <c r="X433" s="16"/>
      <c r="Y433" s="16"/>
      <c r="Z433" s="16"/>
      <c r="AA433" s="16"/>
      <c r="AB433" s="16"/>
      <c r="AC433" s="16"/>
      <c r="AD433" s="16"/>
      <c r="AE433" s="16"/>
      <c r="AF433" s="16"/>
      <c r="AG433" s="16"/>
      <c r="AH433" s="16"/>
      <c r="AI433" s="16"/>
    </row>
    <row r="434" ht="12.75" customHeight="1" spans="1:35" x14ac:dyDescent="0.25">
      <c r="A434" s="16"/>
      <c r="B434" s="16"/>
      <c r="C434" s="16"/>
      <c r="D434" s="16"/>
      <c r="E434" s="16"/>
      <c r="F434" s="16"/>
      <c r="G434" s="16"/>
      <c r="H434" s="16"/>
      <c r="I434" s="16"/>
      <c r="J434" s="16"/>
      <c r="K434" s="16"/>
      <c r="L434" s="16"/>
      <c r="M434" s="16"/>
      <c r="N434" s="16"/>
      <c r="O434" s="16"/>
      <c r="P434" s="16"/>
      <c r="Q434" s="16"/>
      <c r="R434" s="16"/>
      <c r="S434" s="16"/>
      <c r="T434" s="16"/>
      <c r="U434" s="16"/>
      <c r="V434" s="16"/>
      <c r="W434" s="16"/>
      <c r="X434" s="16"/>
      <c r="Y434" s="16"/>
      <c r="Z434" s="16"/>
      <c r="AA434" s="16"/>
      <c r="AB434" s="16"/>
      <c r="AC434" s="16"/>
      <c r="AD434" s="16"/>
      <c r="AE434" s="16"/>
      <c r="AF434" s="16"/>
      <c r="AG434" s="16"/>
      <c r="AH434" s="16"/>
      <c r="AI434" s="16"/>
    </row>
    <row r="435" ht="12.75" customHeight="1" spans="1:35" x14ac:dyDescent="0.25">
      <c r="A435" s="16"/>
      <c r="B435" s="16"/>
      <c r="C435" s="16"/>
      <c r="D435" s="16"/>
      <c r="E435" s="16"/>
      <c r="F435" s="16"/>
      <c r="G435" s="16"/>
      <c r="H435" s="16"/>
      <c r="I435" s="16"/>
      <c r="J435" s="16"/>
      <c r="K435" s="16"/>
      <c r="L435" s="16"/>
      <c r="M435" s="16"/>
      <c r="N435" s="16"/>
      <c r="O435" s="16"/>
      <c r="P435" s="16"/>
      <c r="Q435" s="16"/>
      <c r="R435" s="16"/>
      <c r="S435" s="16"/>
      <c r="T435" s="16"/>
      <c r="U435" s="16"/>
      <c r="V435" s="16"/>
      <c r="W435" s="16"/>
      <c r="X435" s="16"/>
      <c r="Y435" s="16"/>
      <c r="Z435" s="16"/>
      <c r="AA435" s="16"/>
      <c r="AB435" s="16"/>
      <c r="AC435" s="16"/>
      <c r="AD435" s="16"/>
      <c r="AE435" s="16"/>
      <c r="AF435" s="16"/>
      <c r="AG435" s="16"/>
      <c r="AH435" s="16"/>
      <c r="AI435" s="16"/>
    </row>
    <row r="436" ht="12.75" customHeight="1" spans="1:35" x14ac:dyDescent="0.25">
      <c r="A436" s="16"/>
      <c r="B436" s="16"/>
      <c r="C436" s="16"/>
      <c r="D436" s="16"/>
      <c r="E436" s="16"/>
      <c r="F436" s="16"/>
      <c r="G436" s="16"/>
      <c r="H436" s="16"/>
      <c r="I436" s="16"/>
      <c r="J436" s="16"/>
      <c r="K436" s="16"/>
      <c r="L436" s="16"/>
      <c r="M436" s="16"/>
      <c r="N436" s="16"/>
      <c r="O436" s="16"/>
      <c r="P436" s="16"/>
      <c r="Q436" s="16"/>
      <c r="R436" s="16"/>
      <c r="S436" s="16"/>
      <c r="T436" s="16"/>
      <c r="U436" s="16"/>
      <c r="V436" s="16"/>
      <c r="W436" s="16"/>
      <c r="X436" s="16"/>
      <c r="Y436" s="16"/>
      <c r="Z436" s="16"/>
      <c r="AA436" s="16"/>
      <c r="AB436" s="16"/>
      <c r="AC436" s="16"/>
      <c r="AD436" s="16"/>
      <c r="AE436" s="16"/>
      <c r="AF436" s="16"/>
      <c r="AG436" s="16"/>
      <c r="AH436" s="16"/>
      <c r="AI436" s="16"/>
    </row>
    <row r="437" ht="12.75" customHeight="1" spans="1:35" x14ac:dyDescent="0.25">
      <c r="A437" s="16"/>
      <c r="B437" s="16"/>
      <c r="C437" s="16"/>
      <c r="D437" s="16"/>
      <c r="E437" s="16"/>
      <c r="F437" s="16"/>
      <c r="G437" s="16"/>
      <c r="H437" s="16"/>
      <c r="I437" s="16"/>
      <c r="J437" s="16"/>
      <c r="K437" s="16"/>
      <c r="L437" s="16"/>
      <c r="M437" s="16"/>
      <c r="N437" s="16"/>
      <c r="O437" s="16"/>
      <c r="P437" s="16"/>
      <c r="Q437" s="16"/>
      <c r="R437" s="16"/>
      <c r="S437" s="16"/>
      <c r="T437" s="16"/>
      <c r="U437" s="16"/>
      <c r="V437" s="16"/>
      <c r="W437" s="16"/>
      <c r="X437" s="16"/>
      <c r="Y437" s="16"/>
      <c r="Z437" s="16"/>
      <c r="AA437" s="16"/>
      <c r="AB437" s="16"/>
      <c r="AC437" s="16"/>
      <c r="AD437" s="16"/>
      <c r="AE437" s="16"/>
      <c r="AF437" s="16"/>
      <c r="AG437" s="16"/>
      <c r="AH437" s="16"/>
      <c r="AI437" s="16"/>
    </row>
    <row r="438" ht="12.75" customHeight="1" spans="1:35" x14ac:dyDescent="0.25">
      <c r="A438" s="16"/>
      <c r="B438" s="16"/>
      <c r="C438" s="16"/>
      <c r="D438" s="16"/>
      <c r="E438" s="16"/>
      <c r="F438" s="16"/>
      <c r="G438" s="16"/>
      <c r="H438" s="16"/>
      <c r="I438" s="16"/>
      <c r="J438" s="16"/>
      <c r="K438" s="16"/>
      <c r="L438" s="16"/>
      <c r="M438" s="16"/>
      <c r="N438" s="16"/>
      <c r="O438" s="16"/>
      <c r="P438" s="16"/>
      <c r="Q438" s="16"/>
      <c r="R438" s="16"/>
      <c r="S438" s="16"/>
      <c r="T438" s="16"/>
      <c r="U438" s="16"/>
      <c r="V438" s="16"/>
      <c r="W438" s="16"/>
      <c r="X438" s="16"/>
      <c r="Y438" s="16"/>
      <c r="Z438" s="16"/>
      <c r="AA438" s="16"/>
      <c r="AB438" s="16"/>
      <c r="AC438" s="16"/>
      <c r="AD438" s="16"/>
      <c r="AE438" s="16"/>
      <c r="AF438" s="16"/>
      <c r="AG438" s="16"/>
      <c r="AH438" s="16"/>
      <c r="AI438" s="16"/>
    </row>
    <row r="439" ht="12.75" customHeight="1" spans="1:35" x14ac:dyDescent="0.25">
      <c r="A439" s="16"/>
      <c r="B439" s="16"/>
      <c r="C439" s="16"/>
      <c r="D439" s="16"/>
      <c r="E439" s="16"/>
      <c r="F439" s="16"/>
      <c r="G439" s="16"/>
      <c r="H439" s="16"/>
      <c r="I439" s="16"/>
      <c r="J439" s="16"/>
      <c r="K439" s="16"/>
      <c r="L439" s="16"/>
      <c r="M439" s="16"/>
      <c r="N439" s="16"/>
      <c r="O439" s="16"/>
      <c r="P439" s="16"/>
      <c r="Q439" s="16"/>
      <c r="R439" s="16"/>
      <c r="S439" s="16"/>
      <c r="T439" s="16"/>
      <c r="U439" s="16"/>
      <c r="V439" s="16"/>
      <c r="W439" s="16"/>
      <c r="X439" s="16"/>
      <c r="Y439" s="16"/>
      <c r="Z439" s="16"/>
      <c r="AA439" s="16"/>
      <c r="AB439" s="16"/>
      <c r="AC439" s="16"/>
      <c r="AD439" s="16"/>
      <c r="AE439" s="16"/>
      <c r="AF439" s="16"/>
      <c r="AG439" s="16"/>
      <c r="AH439" s="16"/>
      <c r="AI439" s="16"/>
    </row>
    <row r="440" ht="12.75" customHeight="1" spans="1:35" x14ac:dyDescent="0.25">
      <c r="A440" s="16"/>
      <c r="B440" s="16"/>
      <c r="C440" s="16"/>
      <c r="D440" s="16"/>
      <c r="E440" s="16"/>
      <c r="F440" s="16"/>
      <c r="G440" s="16"/>
      <c r="H440" s="16"/>
      <c r="I440" s="16"/>
      <c r="J440" s="16"/>
      <c r="K440" s="16"/>
      <c r="L440" s="16"/>
      <c r="M440" s="16"/>
      <c r="N440" s="16"/>
      <c r="O440" s="16"/>
      <c r="P440" s="16"/>
      <c r="Q440" s="16"/>
      <c r="R440" s="16"/>
      <c r="S440" s="16"/>
      <c r="T440" s="16"/>
      <c r="U440" s="16"/>
      <c r="V440" s="16"/>
      <c r="W440" s="16"/>
      <c r="X440" s="16"/>
      <c r="Y440" s="16"/>
      <c r="Z440" s="16"/>
      <c r="AA440" s="16"/>
      <c r="AB440" s="16"/>
      <c r="AC440" s="16"/>
      <c r="AD440" s="16"/>
      <c r="AE440" s="16"/>
      <c r="AF440" s="16"/>
      <c r="AG440" s="16"/>
      <c r="AH440" s="16"/>
      <c r="AI440" s="16"/>
    </row>
    <row r="441" ht="12.75" customHeight="1" spans="1:35" x14ac:dyDescent="0.25">
      <c r="A441" s="16"/>
      <c r="B441" s="16"/>
      <c r="C441" s="16"/>
      <c r="D441" s="16"/>
      <c r="E441" s="16"/>
      <c r="F441" s="16"/>
      <c r="G441" s="16"/>
      <c r="H441" s="16"/>
      <c r="I441" s="16"/>
      <c r="J441" s="16"/>
      <c r="K441" s="16"/>
      <c r="L441" s="16"/>
      <c r="M441" s="16"/>
      <c r="N441" s="16"/>
      <c r="O441" s="16"/>
      <c r="P441" s="16"/>
      <c r="Q441" s="16"/>
      <c r="R441" s="16"/>
      <c r="S441" s="16"/>
      <c r="T441" s="16"/>
      <c r="U441" s="16"/>
      <c r="V441" s="16"/>
      <c r="W441" s="16"/>
      <c r="X441" s="16"/>
      <c r="Y441" s="16"/>
      <c r="Z441" s="16"/>
      <c r="AA441" s="16"/>
      <c r="AB441" s="16"/>
      <c r="AC441" s="16"/>
      <c r="AD441" s="16"/>
      <c r="AE441" s="16"/>
      <c r="AF441" s="16"/>
      <c r="AG441" s="16"/>
      <c r="AH441" s="16"/>
      <c r="AI441" s="16"/>
    </row>
    <row r="442" ht="12.75" customHeight="1" spans="1:35" x14ac:dyDescent="0.25">
      <c r="A442" s="16"/>
      <c r="B442" s="16"/>
      <c r="C442" s="16"/>
      <c r="D442" s="16"/>
      <c r="E442" s="16"/>
      <c r="F442" s="16"/>
      <c r="G442" s="16"/>
      <c r="H442" s="16"/>
      <c r="I442" s="16"/>
      <c r="J442" s="16"/>
      <c r="K442" s="16"/>
      <c r="L442" s="16"/>
      <c r="M442" s="16"/>
      <c r="N442" s="16"/>
      <c r="O442" s="16"/>
      <c r="P442" s="16"/>
      <c r="Q442" s="16"/>
      <c r="R442" s="16"/>
      <c r="S442" s="16"/>
      <c r="T442" s="16"/>
      <c r="U442" s="16"/>
      <c r="V442" s="16"/>
      <c r="W442" s="16"/>
      <c r="X442" s="16"/>
      <c r="Y442" s="16"/>
      <c r="Z442" s="16"/>
      <c r="AA442" s="16"/>
      <c r="AB442" s="16"/>
      <c r="AC442" s="16"/>
      <c r="AD442" s="16"/>
      <c r="AE442" s="16"/>
      <c r="AF442" s="16"/>
      <c r="AG442" s="16"/>
      <c r="AH442" s="16"/>
      <c r="AI442" s="16"/>
    </row>
    <row r="443" ht="12.75" customHeight="1" spans="1:35" x14ac:dyDescent="0.25">
      <c r="A443" s="16"/>
      <c r="B443" s="16"/>
      <c r="C443" s="16"/>
      <c r="D443" s="16"/>
      <c r="E443" s="16"/>
      <c r="F443" s="16"/>
      <c r="G443" s="16"/>
      <c r="H443" s="16"/>
      <c r="I443" s="16"/>
      <c r="J443" s="16"/>
      <c r="K443" s="16"/>
      <c r="L443" s="16"/>
      <c r="M443" s="16"/>
      <c r="N443" s="16"/>
      <c r="O443" s="16"/>
      <c r="P443" s="16"/>
      <c r="Q443" s="16"/>
      <c r="R443" s="16"/>
      <c r="S443" s="16"/>
      <c r="T443" s="16"/>
      <c r="U443" s="16"/>
      <c r="V443" s="16"/>
      <c r="W443" s="16"/>
      <c r="X443" s="16"/>
      <c r="Y443" s="16"/>
      <c r="Z443" s="16"/>
      <c r="AA443" s="16"/>
      <c r="AB443" s="16"/>
      <c r="AC443" s="16"/>
      <c r="AD443" s="16"/>
      <c r="AE443" s="16"/>
      <c r="AF443" s="16"/>
      <c r="AG443" s="16"/>
      <c r="AH443" s="16"/>
      <c r="AI443" s="16"/>
    </row>
    <row r="444" ht="12.75" customHeight="1" spans="1:35" x14ac:dyDescent="0.25">
      <c r="A444" s="16"/>
      <c r="B444" s="16"/>
      <c r="C444" s="16"/>
      <c r="D444" s="16"/>
      <c r="E444" s="16"/>
      <c r="F444" s="16"/>
      <c r="G444" s="16"/>
      <c r="H444" s="16"/>
      <c r="I444" s="16"/>
      <c r="J444" s="16"/>
      <c r="K444" s="16"/>
      <c r="L444" s="16"/>
      <c r="M444" s="16"/>
      <c r="N444" s="16"/>
      <c r="O444" s="16"/>
      <c r="P444" s="16"/>
      <c r="Q444" s="16"/>
      <c r="R444" s="16"/>
      <c r="S444" s="16"/>
      <c r="T444" s="16"/>
      <c r="U444" s="16"/>
      <c r="V444" s="16"/>
      <c r="W444" s="16"/>
      <c r="X444" s="16"/>
      <c r="Y444" s="16"/>
      <c r="Z444" s="16"/>
      <c r="AA444" s="16"/>
      <c r="AB444" s="16"/>
      <c r="AC444" s="16"/>
      <c r="AD444" s="16"/>
      <c r="AE444" s="16"/>
      <c r="AF444" s="16"/>
      <c r="AG444" s="16"/>
      <c r="AH444" s="16"/>
      <c r="AI444" s="16"/>
    </row>
    <row r="445" ht="12.75" customHeight="1" spans="1:35" x14ac:dyDescent="0.25">
      <c r="A445" s="16"/>
      <c r="B445" s="16"/>
      <c r="C445" s="16"/>
      <c r="D445" s="16"/>
      <c r="E445" s="16"/>
      <c r="F445" s="16"/>
      <c r="G445" s="16"/>
      <c r="H445" s="16"/>
      <c r="I445" s="16"/>
      <c r="J445" s="16"/>
      <c r="K445" s="16"/>
      <c r="L445" s="16"/>
      <c r="M445" s="16"/>
      <c r="N445" s="16"/>
      <c r="O445" s="16"/>
      <c r="P445" s="16"/>
      <c r="Q445" s="16"/>
      <c r="R445" s="16"/>
      <c r="S445" s="16"/>
      <c r="T445" s="16"/>
      <c r="U445" s="16"/>
      <c r="V445" s="16"/>
      <c r="W445" s="16"/>
      <c r="X445" s="16"/>
      <c r="Y445" s="16"/>
      <c r="Z445" s="16"/>
      <c r="AA445" s="16"/>
      <c r="AB445" s="16"/>
      <c r="AC445" s="16"/>
      <c r="AD445" s="16"/>
      <c r="AE445" s="16"/>
      <c r="AF445" s="16"/>
      <c r="AG445" s="16"/>
      <c r="AH445" s="16"/>
      <c r="AI445" s="16"/>
    </row>
    <row r="446" ht="12.75" customHeight="1" spans="1:35" x14ac:dyDescent="0.25">
      <c r="A446" s="16"/>
      <c r="B446" s="16"/>
      <c r="C446" s="16"/>
      <c r="D446" s="16"/>
      <c r="E446" s="16"/>
      <c r="F446" s="16"/>
      <c r="G446" s="16"/>
      <c r="H446" s="16"/>
      <c r="I446" s="16"/>
      <c r="J446" s="16"/>
      <c r="K446" s="16"/>
      <c r="L446" s="16"/>
      <c r="M446" s="16"/>
      <c r="N446" s="16"/>
      <c r="O446" s="16"/>
      <c r="P446" s="16"/>
      <c r="Q446" s="16"/>
      <c r="R446" s="16"/>
      <c r="S446" s="16"/>
      <c r="T446" s="16"/>
      <c r="U446" s="16"/>
      <c r="V446" s="16"/>
      <c r="W446" s="16"/>
      <c r="X446" s="16"/>
      <c r="Y446" s="16"/>
      <c r="Z446" s="16"/>
      <c r="AA446" s="16"/>
      <c r="AB446" s="16"/>
      <c r="AC446" s="16"/>
      <c r="AD446" s="16"/>
      <c r="AE446" s="16"/>
      <c r="AF446" s="16"/>
      <c r="AG446" s="16"/>
      <c r="AH446" s="16"/>
      <c r="AI446" s="16"/>
    </row>
    <row r="447" ht="12.75" customHeight="1" spans="1:35" x14ac:dyDescent="0.25">
      <c r="A447" s="16"/>
      <c r="B447" s="16"/>
      <c r="C447" s="16"/>
      <c r="D447" s="16"/>
      <c r="E447" s="16"/>
      <c r="F447" s="16"/>
      <c r="G447" s="16"/>
      <c r="H447" s="16"/>
      <c r="I447" s="16"/>
      <c r="J447" s="16"/>
      <c r="K447" s="16"/>
      <c r="L447" s="16"/>
      <c r="M447" s="16"/>
      <c r="N447" s="16"/>
      <c r="O447" s="16"/>
      <c r="P447" s="16"/>
      <c r="Q447" s="16"/>
      <c r="R447" s="16"/>
      <c r="S447" s="16"/>
      <c r="T447" s="16"/>
      <c r="U447" s="16"/>
      <c r="V447" s="16"/>
      <c r="W447" s="16"/>
      <c r="X447" s="16"/>
      <c r="Y447" s="16"/>
      <c r="Z447" s="16"/>
      <c r="AA447" s="16"/>
      <c r="AB447" s="16"/>
      <c r="AC447" s="16"/>
      <c r="AD447" s="16"/>
      <c r="AE447" s="16"/>
      <c r="AF447" s="16"/>
      <c r="AG447" s="16"/>
      <c r="AH447" s="16"/>
      <c r="AI447" s="16"/>
    </row>
    <row r="448" ht="12.75" customHeight="1" spans="1:35" x14ac:dyDescent="0.25">
      <c r="A448" s="16"/>
      <c r="B448" s="16"/>
      <c r="C448" s="16"/>
      <c r="D448" s="16"/>
      <c r="E448" s="16"/>
      <c r="F448" s="16"/>
      <c r="G448" s="16"/>
      <c r="H448" s="16"/>
      <c r="I448" s="16"/>
      <c r="J448" s="16"/>
      <c r="K448" s="16"/>
      <c r="L448" s="16"/>
      <c r="M448" s="16"/>
      <c r="N448" s="16"/>
      <c r="O448" s="16"/>
      <c r="P448" s="16"/>
      <c r="Q448" s="16"/>
      <c r="R448" s="16"/>
      <c r="S448" s="16"/>
      <c r="T448" s="16"/>
      <c r="U448" s="16"/>
      <c r="V448" s="16"/>
      <c r="W448" s="16"/>
      <c r="X448" s="16"/>
      <c r="Y448" s="16"/>
      <c r="Z448" s="16"/>
      <c r="AA448" s="16"/>
      <c r="AB448" s="16"/>
      <c r="AC448" s="16"/>
      <c r="AD448" s="16"/>
      <c r="AE448" s="16"/>
      <c r="AF448" s="16"/>
      <c r="AG448" s="16"/>
      <c r="AH448" s="16"/>
      <c r="AI448" s="16"/>
    </row>
    <row r="449" ht="12.75" customHeight="1" spans="1:35" x14ac:dyDescent="0.25">
      <c r="A449" s="16"/>
      <c r="B449" s="16"/>
      <c r="C449" s="16"/>
      <c r="D449" s="16"/>
      <c r="E449" s="16"/>
      <c r="F449" s="16"/>
      <c r="G449" s="16"/>
      <c r="H449" s="16"/>
      <c r="I449" s="16"/>
      <c r="J449" s="16"/>
      <c r="K449" s="16"/>
      <c r="L449" s="16"/>
      <c r="M449" s="16"/>
      <c r="N449" s="16"/>
      <c r="O449" s="16"/>
      <c r="P449" s="16"/>
      <c r="Q449" s="16"/>
      <c r="R449" s="16"/>
      <c r="S449" s="16"/>
      <c r="T449" s="16"/>
      <c r="U449" s="16"/>
      <c r="V449" s="16"/>
      <c r="W449" s="16"/>
      <c r="X449" s="16"/>
      <c r="Y449" s="16"/>
      <c r="Z449" s="16"/>
      <c r="AA449" s="16"/>
      <c r="AB449" s="16"/>
      <c r="AC449" s="16"/>
      <c r="AD449" s="16"/>
      <c r="AE449" s="16"/>
      <c r="AF449" s="16"/>
      <c r="AG449" s="16"/>
      <c r="AH449" s="16"/>
      <c r="AI449" s="16"/>
    </row>
    <row r="450" ht="12.75" customHeight="1" spans="1:35" x14ac:dyDescent="0.25">
      <c r="A450" s="16"/>
      <c r="B450" s="16"/>
      <c r="C450" s="16"/>
      <c r="D450" s="16"/>
      <c r="E450" s="16"/>
      <c r="F450" s="16"/>
      <c r="G450" s="16"/>
      <c r="H450" s="16"/>
      <c r="I450" s="16"/>
      <c r="J450" s="16"/>
      <c r="K450" s="16"/>
      <c r="L450" s="16"/>
      <c r="M450" s="16"/>
      <c r="N450" s="16"/>
      <c r="O450" s="16"/>
      <c r="P450" s="16"/>
      <c r="Q450" s="16"/>
      <c r="R450" s="16"/>
      <c r="S450" s="16"/>
      <c r="T450" s="16"/>
      <c r="U450" s="16"/>
      <c r="V450" s="16"/>
      <c r="W450" s="16"/>
      <c r="X450" s="16"/>
      <c r="Y450" s="16"/>
      <c r="Z450" s="16"/>
      <c r="AA450" s="16"/>
      <c r="AB450" s="16"/>
      <c r="AC450" s="16"/>
      <c r="AD450" s="16"/>
      <c r="AE450" s="16"/>
      <c r="AF450" s="16"/>
      <c r="AG450" s="16"/>
      <c r="AH450" s="16"/>
      <c r="AI450" s="16"/>
    </row>
    <row r="451" ht="12.75" customHeight="1" spans="1:35" x14ac:dyDescent="0.25">
      <c r="A451" s="16"/>
      <c r="B451" s="16"/>
      <c r="C451" s="16"/>
      <c r="D451" s="16"/>
      <c r="E451" s="16"/>
      <c r="F451" s="16"/>
      <c r="G451" s="16"/>
      <c r="H451" s="16"/>
      <c r="I451" s="16"/>
      <c r="J451" s="16"/>
      <c r="K451" s="16"/>
      <c r="L451" s="16"/>
      <c r="M451" s="16"/>
      <c r="N451" s="16"/>
      <c r="O451" s="16"/>
      <c r="P451" s="16"/>
      <c r="Q451" s="16"/>
      <c r="R451" s="16"/>
      <c r="S451" s="16"/>
      <c r="T451" s="16"/>
      <c r="U451" s="16"/>
      <c r="V451" s="16"/>
      <c r="W451" s="16"/>
      <c r="X451" s="16"/>
      <c r="Y451" s="16"/>
      <c r="Z451" s="16"/>
      <c r="AA451" s="16"/>
      <c r="AB451" s="16"/>
      <c r="AC451" s="16"/>
      <c r="AD451" s="16"/>
      <c r="AE451" s="16"/>
      <c r="AF451" s="16"/>
      <c r="AG451" s="16"/>
      <c r="AH451" s="16"/>
      <c r="AI451" s="16"/>
    </row>
    <row r="452" ht="12.75" customHeight="1" spans="1:35" x14ac:dyDescent="0.25">
      <c r="A452" s="16"/>
      <c r="B452" s="16"/>
      <c r="C452" s="16"/>
      <c r="D452" s="16"/>
      <c r="E452" s="16"/>
      <c r="F452" s="16"/>
      <c r="G452" s="16"/>
      <c r="H452" s="16"/>
      <c r="I452" s="16"/>
      <c r="J452" s="16"/>
      <c r="K452" s="16"/>
      <c r="L452" s="16"/>
      <c r="M452" s="16"/>
      <c r="N452" s="16"/>
      <c r="O452" s="16"/>
      <c r="P452" s="16"/>
      <c r="Q452" s="16"/>
      <c r="R452" s="16"/>
      <c r="S452" s="16"/>
      <c r="T452" s="16"/>
      <c r="U452" s="16"/>
      <c r="V452" s="16"/>
      <c r="W452" s="16"/>
      <c r="X452" s="16"/>
      <c r="Y452" s="16"/>
      <c r="Z452" s="16"/>
      <c r="AA452" s="16"/>
      <c r="AB452" s="16"/>
      <c r="AC452" s="16"/>
      <c r="AD452" s="16"/>
      <c r="AE452" s="16"/>
      <c r="AF452" s="16"/>
      <c r="AG452" s="16"/>
      <c r="AH452" s="16"/>
      <c r="AI452" s="16"/>
    </row>
    <row r="453" ht="12.75" customHeight="1" spans="1:35" x14ac:dyDescent="0.25">
      <c r="A453" s="16"/>
      <c r="B453" s="16"/>
      <c r="C453" s="16"/>
      <c r="D453" s="16"/>
      <c r="E453" s="16"/>
      <c r="F453" s="16"/>
      <c r="G453" s="16"/>
      <c r="H453" s="16"/>
      <c r="I453" s="16"/>
      <c r="J453" s="16"/>
      <c r="K453" s="16"/>
      <c r="L453" s="16"/>
      <c r="M453" s="16"/>
      <c r="N453" s="16"/>
      <c r="O453" s="16"/>
      <c r="P453" s="16"/>
      <c r="Q453" s="16"/>
      <c r="R453" s="16"/>
      <c r="S453" s="16"/>
      <c r="T453" s="16"/>
      <c r="U453" s="16"/>
      <c r="V453" s="16"/>
      <c r="W453" s="16"/>
      <c r="X453" s="16"/>
      <c r="Y453" s="16"/>
      <c r="Z453" s="16"/>
      <c r="AA453" s="16"/>
      <c r="AB453" s="16"/>
      <c r="AC453" s="16"/>
      <c r="AD453" s="16"/>
      <c r="AE453" s="16"/>
      <c r="AF453" s="16"/>
      <c r="AG453" s="16"/>
      <c r="AH453" s="16"/>
      <c r="AI453" s="16"/>
    </row>
    <row r="454" ht="12.75" customHeight="1" spans="1:35" x14ac:dyDescent="0.25">
      <c r="A454" s="16"/>
      <c r="B454" s="16"/>
      <c r="C454" s="16"/>
      <c r="D454" s="16"/>
      <c r="E454" s="16"/>
      <c r="F454" s="16"/>
      <c r="G454" s="16"/>
      <c r="H454" s="16"/>
      <c r="I454" s="16"/>
      <c r="J454" s="16"/>
      <c r="K454" s="16"/>
      <c r="L454" s="16"/>
      <c r="M454" s="16"/>
      <c r="N454" s="16"/>
      <c r="O454" s="16"/>
      <c r="P454" s="16"/>
      <c r="Q454" s="16"/>
      <c r="R454" s="16"/>
      <c r="S454" s="16"/>
      <c r="T454" s="16"/>
      <c r="U454" s="16"/>
      <c r="V454" s="16"/>
      <c r="W454" s="16"/>
      <c r="X454" s="16"/>
      <c r="Y454" s="16"/>
      <c r="Z454" s="16"/>
      <c r="AA454" s="16"/>
      <c r="AB454" s="16"/>
      <c r="AC454" s="16"/>
      <c r="AD454" s="16"/>
      <c r="AE454" s="16"/>
      <c r="AF454" s="16"/>
      <c r="AG454" s="16"/>
      <c r="AH454" s="16"/>
      <c r="AI454" s="16"/>
    </row>
    <row r="455" ht="12.75" customHeight="1" spans="1:35" x14ac:dyDescent="0.25">
      <c r="A455" s="16"/>
      <c r="B455" s="16"/>
      <c r="C455" s="16"/>
      <c r="D455" s="16"/>
      <c r="E455" s="16"/>
      <c r="F455" s="16"/>
      <c r="G455" s="16"/>
      <c r="H455" s="16"/>
      <c r="I455" s="16"/>
      <c r="J455" s="16"/>
      <c r="K455" s="16"/>
      <c r="L455" s="16"/>
      <c r="M455" s="16"/>
      <c r="N455" s="16"/>
      <c r="O455" s="16"/>
      <c r="P455" s="16"/>
      <c r="Q455" s="16"/>
      <c r="R455" s="16"/>
      <c r="S455" s="16"/>
      <c r="T455" s="16"/>
      <c r="U455" s="16"/>
      <c r="V455" s="16"/>
      <c r="W455" s="16"/>
      <c r="X455" s="16"/>
      <c r="Y455" s="16"/>
      <c r="Z455" s="16"/>
      <c r="AA455" s="16"/>
      <c r="AB455" s="16"/>
      <c r="AC455" s="16"/>
      <c r="AD455" s="16"/>
      <c r="AE455" s="16"/>
      <c r="AF455" s="16"/>
      <c r="AG455" s="16"/>
      <c r="AH455" s="16"/>
      <c r="AI455" s="16"/>
    </row>
    <row r="456" ht="12.75" customHeight="1" spans="1:35" x14ac:dyDescent="0.25">
      <c r="A456" s="16"/>
      <c r="B456" s="16"/>
      <c r="C456" s="16"/>
      <c r="D456" s="16"/>
      <c r="E456" s="16"/>
      <c r="F456" s="16"/>
      <c r="G456" s="16"/>
      <c r="H456" s="16"/>
      <c r="I456" s="16"/>
      <c r="J456" s="16"/>
      <c r="K456" s="16"/>
      <c r="L456" s="16"/>
      <c r="M456" s="16"/>
      <c r="N456" s="16"/>
      <c r="O456" s="16"/>
      <c r="P456" s="16"/>
      <c r="Q456" s="16"/>
      <c r="R456" s="16"/>
      <c r="S456" s="16"/>
      <c r="T456" s="16"/>
      <c r="U456" s="16"/>
      <c r="V456" s="16"/>
      <c r="W456" s="16"/>
      <c r="X456" s="16"/>
      <c r="Y456" s="16"/>
      <c r="Z456" s="16"/>
      <c r="AA456" s="16"/>
      <c r="AB456" s="16"/>
      <c r="AC456" s="16"/>
      <c r="AD456" s="16"/>
      <c r="AE456" s="16"/>
      <c r="AF456" s="16"/>
      <c r="AG456" s="16"/>
      <c r="AH456" s="16"/>
      <c r="AI456" s="16"/>
    </row>
    <row r="457" ht="12.75" customHeight="1" spans="1:35" x14ac:dyDescent="0.25">
      <c r="A457" s="16"/>
      <c r="B457" s="16"/>
      <c r="C457" s="16"/>
      <c r="D457" s="16"/>
      <c r="E457" s="16"/>
      <c r="F457" s="16"/>
      <c r="G457" s="16"/>
      <c r="H457" s="16"/>
      <c r="I457" s="16"/>
      <c r="J457" s="16"/>
      <c r="K457" s="16"/>
      <c r="L457" s="16"/>
      <c r="M457" s="16"/>
      <c r="N457" s="16"/>
      <c r="O457" s="16"/>
      <c r="P457" s="16"/>
      <c r="Q457" s="16"/>
      <c r="R457" s="16"/>
      <c r="S457" s="16"/>
      <c r="T457" s="16"/>
      <c r="U457" s="16"/>
      <c r="V457" s="16"/>
      <c r="W457" s="16"/>
      <c r="X457" s="16"/>
      <c r="Y457" s="16"/>
      <c r="Z457" s="16"/>
      <c r="AA457" s="16"/>
      <c r="AB457" s="16"/>
      <c r="AC457" s="16"/>
      <c r="AD457" s="16"/>
      <c r="AE457" s="16"/>
      <c r="AF457" s="16"/>
      <c r="AG457" s="16"/>
      <c r="AH457" s="16"/>
      <c r="AI457" s="16"/>
    </row>
    <row r="458" ht="12.75" customHeight="1" spans="1:35" x14ac:dyDescent="0.25">
      <c r="A458" s="16"/>
      <c r="B458" s="16"/>
      <c r="C458" s="16"/>
      <c r="D458" s="16"/>
      <c r="E458" s="16"/>
      <c r="F458" s="16"/>
      <c r="G458" s="16"/>
      <c r="H458" s="16"/>
      <c r="I458" s="16"/>
      <c r="J458" s="16"/>
      <c r="K458" s="16"/>
      <c r="L458" s="16"/>
      <c r="M458" s="16"/>
      <c r="N458" s="16"/>
      <c r="O458" s="16"/>
      <c r="P458" s="16"/>
      <c r="Q458" s="16"/>
      <c r="R458" s="16"/>
      <c r="S458" s="16"/>
      <c r="T458" s="16"/>
      <c r="U458" s="16"/>
      <c r="V458" s="16"/>
      <c r="W458" s="16"/>
      <c r="X458" s="16"/>
      <c r="Y458" s="16"/>
      <c r="Z458" s="16"/>
      <c r="AA458" s="16"/>
      <c r="AB458" s="16"/>
      <c r="AC458" s="16"/>
      <c r="AD458" s="16"/>
      <c r="AE458" s="16"/>
      <c r="AF458" s="16"/>
      <c r="AG458" s="16"/>
      <c r="AH458" s="16"/>
      <c r="AI458" s="16"/>
    </row>
    <row r="459" ht="12.75" customHeight="1" spans="1:35" x14ac:dyDescent="0.25">
      <c r="A459" s="16"/>
      <c r="B459" s="16"/>
      <c r="C459" s="16"/>
      <c r="D459" s="16"/>
      <c r="E459" s="16"/>
      <c r="F459" s="16"/>
      <c r="G459" s="16"/>
      <c r="H459" s="16"/>
      <c r="I459" s="16"/>
      <c r="J459" s="16"/>
      <c r="K459" s="16"/>
      <c r="L459" s="16"/>
      <c r="M459" s="16"/>
      <c r="N459" s="16"/>
      <c r="O459" s="16"/>
      <c r="P459" s="16"/>
      <c r="Q459" s="16"/>
      <c r="R459" s="16"/>
      <c r="S459" s="16"/>
      <c r="T459" s="16"/>
      <c r="U459" s="16"/>
      <c r="V459" s="16"/>
      <c r="W459" s="16"/>
      <c r="X459" s="16"/>
      <c r="Y459" s="16"/>
      <c r="Z459" s="16"/>
      <c r="AA459" s="16"/>
      <c r="AB459" s="16"/>
      <c r="AC459" s="16"/>
      <c r="AD459" s="16"/>
      <c r="AE459" s="16"/>
      <c r="AF459" s="16"/>
      <c r="AG459" s="16"/>
      <c r="AH459" s="16"/>
      <c r="AI459" s="16"/>
    </row>
    <row r="460" ht="12.75" customHeight="1" spans="1:35" x14ac:dyDescent="0.25">
      <c r="A460" s="16"/>
      <c r="B460" s="16"/>
      <c r="C460" s="16"/>
      <c r="D460" s="16"/>
      <c r="E460" s="16"/>
      <c r="F460" s="16"/>
      <c r="G460" s="16"/>
      <c r="H460" s="16"/>
      <c r="I460" s="16"/>
      <c r="J460" s="16"/>
      <c r="K460" s="16"/>
      <c r="L460" s="16"/>
      <c r="M460" s="16"/>
      <c r="N460" s="16"/>
      <c r="O460" s="16"/>
      <c r="P460" s="16"/>
      <c r="Q460" s="16"/>
      <c r="R460" s="16"/>
      <c r="S460" s="16"/>
      <c r="T460" s="16"/>
      <c r="U460" s="16"/>
      <c r="V460" s="16"/>
      <c r="W460" s="16"/>
      <c r="X460" s="16"/>
      <c r="Y460" s="16"/>
      <c r="Z460" s="16"/>
      <c r="AA460" s="16"/>
      <c r="AB460" s="16"/>
      <c r="AC460" s="16"/>
      <c r="AD460" s="16"/>
      <c r="AE460" s="16"/>
      <c r="AF460" s="16"/>
      <c r="AG460" s="16"/>
      <c r="AH460" s="16"/>
      <c r="AI460" s="16"/>
    </row>
    <row r="461" ht="12.75" customHeight="1" spans="1:35" x14ac:dyDescent="0.25">
      <c r="A461" s="16"/>
      <c r="B461" s="16"/>
      <c r="C461" s="16"/>
      <c r="D461" s="16"/>
      <c r="E461" s="16"/>
      <c r="F461" s="16"/>
      <c r="G461" s="16"/>
      <c r="H461" s="16"/>
      <c r="I461" s="16"/>
      <c r="J461" s="16"/>
      <c r="K461" s="16"/>
      <c r="L461" s="16"/>
      <c r="M461" s="16"/>
      <c r="N461" s="16"/>
      <c r="O461" s="16"/>
      <c r="P461" s="16"/>
      <c r="Q461" s="16"/>
      <c r="R461" s="16"/>
      <c r="S461" s="16"/>
      <c r="T461" s="16"/>
      <c r="U461" s="16"/>
      <c r="V461" s="16"/>
      <c r="W461" s="16"/>
      <c r="X461" s="16"/>
      <c r="Y461" s="16"/>
      <c r="Z461" s="16"/>
      <c r="AA461" s="16"/>
      <c r="AB461" s="16"/>
      <c r="AC461" s="16"/>
      <c r="AD461" s="16"/>
      <c r="AE461" s="16"/>
      <c r="AF461" s="16"/>
      <c r="AG461" s="16"/>
      <c r="AH461" s="16"/>
      <c r="AI461" s="16"/>
    </row>
    <row r="462" ht="12.75" customHeight="1" spans="1:35" x14ac:dyDescent="0.25">
      <c r="A462" s="16"/>
      <c r="B462" s="16"/>
      <c r="C462" s="16"/>
      <c r="D462" s="16"/>
      <c r="E462" s="16"/>
      <c r="F462" s="16"/>
      <c r="G462" s="16"/>
      <c r="H462" s="16"/>
      <c r="I462" s="16"/>
      <c r="J462" s="16"/>
      <c r="K462" s="16"/>
      <c r="L462" s="16"/>
      <c r="M462" s="16"/>
      <c r="N462" s="16"/>
      <c r="O462" s="16"/>
      <c r="P462" s="16"/>
      <c r="Q462" s="16"/>
      <c r="R462" s="16"/>
      <c r="S462" s="16"/>
      <c r="T462" s="16"/>
      <c r="U462" s="16"/>
      <c r="V462" s="16"/>
      <c r="W462" s="16"/>
      <c r="X462" s="16"/>
      <c r="Y462" s="16"/>
      <c r="Z462" s="16"/>
      <c r="AA462" s="16"/>
      <c r="AB462" s="16"/>
      <c r="AC462" s="16"/>
      <c r="AD462" s="16"/>
      <c r="AE462" s="16"/>
      <c r="AF462" s="16"/>
      <c r="AG462" s="16"/>
      <c r="AH462" s="16"/>
      <c r="AI462" s="16"/>
    </row>
    <row r="463" ht="12.75" customHeight="1" spans="1:35" x14ac:dyDescent="0.25">
      <c r="A463" s="16"/>
      <c r="B463" s="16"/>
      <c r="C463" s="16"/>
      <c r="D463" s="16"/>
      <c r="E463" s="16"/>
      <c r="F463" s="16"/>
      <c r="G463" s="16"/>
      <c r="H463" s="16"/>
      <c r="I463" s="16"/>
      <c r="J463" s="16"/>
      <c r="K463" s="16"/>
      <c r="L463" s="16"/>
      <c r="M463" s="16"/>
      <c r="N463" s="16"/>
      <c r="O463" s="16"/>
      <c r="P463" s="16"/>
      <c r="Q463" s="16"/>
      <c r="R463" s="16"/>
      <c r="S463" s="16"/>
      <c r="T463" s="16"/>
      <c r="U463" s="16"/>
      <c r="V463" s="16"/>
      <c r="W463" s="16"/>
      <c r="X463" s="16"/>
      <c r="Y463" s="16"/>
      <c r="Z463" s="16"/>
      <c r="AA463" s="16"/>
      <c r="AB463" s="16"/>
      <c r="AC463" s="16"/>
      <c r="AD463" s="16"/>
      <c r="AE463" s="16"/>
      <c r="AF463" s="16"/>
      <c r="AG463" s="16"/>
      <c r="AH463" s="16"/>
      <c r="AI463" s="16"/>
    </row>
    <row r="464" ht="12.75" customHeight="1" spans="1:35" x14ac:dyDescent="0.25">
      <c r="A464" s="16"/>
      <c r="B464" s="16"/>
      <c r="C464" s="16"/>
      <c r="D464" s="16"/>
      <c r="E464" s="16"/>
      <c r="F464" s="16"/>
      <c r="G464" s="16"/>
      <c r="H464" s="16"/>
      <c r="I464" s="16"/>
      <c r="J464" s="16"/>
      <c r="K464" s="16"/>
      <c r="L464" s="16"/>
      <c r="M464" s="16"/>
      <c r="N464" s="16"/>
      <c r="O464" s="16"/>
      <c r="P464" s="16"/>
      <c r="Q464" s="16"/>
      <c r="R464" s="16"/>
      <c r="S464" s="16"/>
      <c r="T464" s="16"/>
      <c r="U464" s="16"/>
      <c r="V464" s="16"/>
      <c r="W464" s="16"/>
      <c r="X464" s="16"/>
      <c r="Y464" s="16"/>
      <c r="Z464" s="16"/>
      <c r="AA464" s="16"/>
      <c r="AB464" s="16"/>
      <c r="AC464" s="16"/>
      <c r="AD464" s="16"/>
      <c r="AE464" s="16"/>
      <c r="AF464" s="16"/>
      <c r="AG464" s="16"/>
      <c r="AH464" s="16"/>
      <c r="AI464" s="16"/>
    </row>
    <row r="465" ht="12.75" customHeight="1" spans="1:35" x14ac:dyDescent="0.25">
      <c r="A465" s="16"/>
      <c r="B465" s="16"/>
      <c r="C465" s="16"/>
      <c r="D465" s="16"/>
      <c r="E465" s="16"/>
      <c r="F465" s="16"/>
      <c r="G465" s="16"/>
      <c r="H465" s="16"/>
      <c r="I465" s="16"/>
      <c r="J465" s="16"/>
      <c r="K465" s="16"/>
      <c r="L465" s="16"/>
      <c r="M465" s="16"/>
      <c r="N465" s="16"/>
      <c r="O465" s="16"/>
      <c r="P465" s="16"/>
      <c r="Q465" s="16"/>
      <c r="R465" s="16"/>
      <c r="S465" s="16"/>
      <c r="T465" s="16"/>
      <c r="U465" s="16"/>
      <c r="V465" s="16"/>
      <c r="W465" s="16"/>
      <c r="X465" s="16"/>
      <c r="Y465" s="16"/>
      <c r="Z465" s="16"/>
      <c r="AA465" s="16"/>
      <c r="AB465" s="16"/>
      <c r="AC465" s="16"/>
      <c r="AD465" s="16"/>
      <c r="AE465" s="16"/>
      <c r="AF465" s="16"/>
      <c r="AG465" s="16"/>
      <c r="AH465" s="16"/>
      <c r="AI465" s="16"/>
    </row>
    <row r="466" ht="12.75" customHeight="1" spans="1:35" x14ac:dyDescent="0.25">
      <c r="A466" s="16"/>
      <c r="B466" s="16"/>
      <c r="C466" s="16"/>
      <c r="D466" s="16"/>
      <c r="E466" s="16"/>
      <c r="F466" s="16"/>
      <c r="G466" s="16"/>
      <c r="H466" s="16"/>
      <c r="I466" s="16"/>
      <c r="J466" s="16"/>
      <c r="K466" s="16"/>
      <c r="L466" s="16"/>
      <c r="M466" s="16"/>
      <c r="N466" s="16"/>
      <c r="O466" s="16"/>
      <c r="P466" s="16"/>
      <c r="Q466" s="16"/>
      <c r="R466" s="16"/>
      <c r="S466" s="16"/>
      <c r="T466" s="16"/>
      <c r="U466" s="16"/>
      <c r="V466" s="16"/>
      <c r="W466" s="16"/>
      <c r="X466" s="16"/>
      <c r="Y466" s="16"/>
      <c r="Z466" s="16"/>
      <c r="AA466" s="16"/>
      <c r="AB466" s="16"/>
      <c r="AC466" s="16"/>
      <c r="AD466" s="16"/>
      <c r="AE466" s="16"/>
      <c r="AF466" s="16"/>
      <c r="AG466" s="16"/>
      <c r="AH466" s="16"/>
      <c r="AI466" s="16"/>
    </row>
    <row r="467" ht="12.75" customHeight="1" spans="1:35" x14ac:dyDescent="0.25">
      <c r="A467" s="16"/>
      <c r="B467" s="16"/>
      <c r="C467" s="16"/>
      <c r="D467" s="16"/>
      <c r="E467" s="16"/>
      <c r="F467" s="16"/>
      <c r="G467" s="16"/>
      <c r="H467" s="16"/>
      <c r="I467" s="16"/>
      <c r="J467" s="16"/>
      <c r="K467" s="16"/>
      <c r="L467" s="16"/>
      <c r="M467" s="16"/>
      <c r="N467" s="16"/>
      <c r="O467" s="16"/>
      <c r="P467" s="16"/>
      <c r="Q467" s="16"/>
      <c r="R467" s="16"/>
      <c r="S467" s="16"/>
      <c r="T467" s="16"/>
      <c r="U467" s="16"/>
      <c r="V467" s="16"/>
      <c r="W467" s="16"/>
      <c r="X467" s="16"/>
      <c r="Y467" s="16"/>
      <c r="Z467" s="16"/>
      <c r="AA467" s="16"/>
      <c r="AB467" s="16"/>
      <c r="AC467" s="16"/>
      <c r="AD467" s="16"/>
      <c r="AE467" s="16"/>
      <c r="AF467" s="16"/>
      <c r="AG467" s="16"/>
      <c r="AH467" s="16"/>
      <c r="AI467" s="16"/>
    </row>
    <row r="468" ht="12.75" customHeight="1" spans="1:35" x14ac:dyDescent="0.25">
      <c r="A468" s="16"/>
      <c r="B468" s="16"/>
      <c r="C468" s="16"/>
      <c r="D468" s="16"/>
      <c r="E468" s="16"/>
      <c r="F468" s="16"/>
      <c r="G468" s="16"/>
      <c r="H468" s="16"/>
      <c r="I468" s="16"/>
      <c r="J468" s="16"/>
      <c r="K468" s="16"/>
      <c r="L468" s="16"/>
      <c r="M468" s="16"/>
      <c r="N468" s="16"/>
      <c r="O468" s="16"/>
      <c r="P468" s="16"/>
      <c r="Q468" s="16"/>
      <c r="R468" s="16"/>
      <c r="S468" s="16"/>
      <c r="T468" s="16"/>
      <c r="U468" s="16"/>
      <c r="V468" s="16"/>
      <c r="W468" s="16"/>
      <c r="X468" s="16"/>
      <c r="Y468" s="16"/>
      <c r="Z468" s="16"/>
      <c r="AA468" s="16"/>
      <c r="AB468" s="16"/>
      <c r="AC468" s="16"/>
      <c r="AD468" s="16"/>
      <c r="AE468" s="16"/>
      <c r="AF468" s="16"/>
      <c r="AG468" s="16"/>
      <c r="AH468" s="16"/>
      <c r="AI468" s="16"/>
    </row>
    <row r="469" ht="12.75" customHeight="1" spans="1:35" x14ac:dyDescent="0.25">
      <c r="A469" s="16"/>
      <c r="B469" s="16"/>
      <c r="C469" s="16"/>
      <c r="D469" s="16"/>
      <c r="E469" s="16"/>
      <c r="F469" s="16"/>
      <c r="G469" s="16"/>
      <c r="H469" s="16"/>
      <c r="I469" s="16"/>
      <c r="J469" s="16"/>
      <c r="K469" s="16"/>
      <c r="L469" s="16"/>
      <c r="M469" s="16"/>
      <c r="N469" s="16"/>
      <c r="O469" s="16"/>
      <c r="P469" s="16"/>
      <c r="Q469" s="16"/>
      <c r="R469" s="16"/>
      <c r="S469" s="16"/>
      <c r="T469" s="16"/>
      <c r="U469" s="16"/>
      <c r="V469" s="16"/>
      <c r="W469" s="16"/>
      <c r="X469" s="16"/>
      <c r="Y469" s="16"/>
      <c r="Z469" s="16"/>
      <c r="AA469" s="16"/>
      <c r="AB469" s="16"/>
      <c r="AC469" s="16"/>
      <c r="AD469" s="16"/>
      <c r="AE469" s="16"/>
      <c r="AF469" s="16"/>
      <c r="AG469" s="16"/>
      <c r="AH469" s="16"/>
      <c r="AI469" s="16"/>
    </row>
    <row r="470" ht="12.75" customHeight="1" spans="1:35" x14ac:dyDescent="0.25">
      <c r="A470" s="16"/>
      <c r="B470" s="16"/>
      <c r="C470" s="16"/>
      <c r="D470" s="16"/>
      <c r="E470" s="16"/>
      <c r="F470" s="16"/>
      <c r="G470" s="16"/>
      <c r="H470" s="16"/>
      <c r="I470" s="16"/>
      <c r="J470" s="16"/>
      <c r="K470" s="16"/>
      <c r="L470" s="16"/>
      <c r="M470" s="16"/>
      <c r="N470" s="16"/>
      <c r="O470" s="16"/>
      <c r="P470" s="16"/>
      <c r="Q470" s="16"/>
      <c r="R470" s="16"/>
      <c r="S470" s="16"/>
      <c r="T470" s="16"/>
      <c r="U470" s="16"/>
      <c r="V470" s="16"/>
      <c r="W470" s="16"/>
      <c r="X470" s="16"/>
      <c r="Y470" s="16"/>
      <c r="Z470" s="16"/>
      <c r="AA470" s="16"/>
      <c r="AB470" s="16"/>
      <c r="AC470" s="16"/>
      <c r="AD470" s="16"/>
      <c r="AE470" s="16"/>
      <c r="AF470" s="16"/>
      <c r="AG470" s="16"/>
      <c r="AH470" s="16"/>
      <c r="AI470" s="16"/>
    </row>
    <row r="471" ht="12.75" customHeight="1" spans="1:35" x14ac:dyDescent="0.25">
      <c r="A471" s="16"/>
      <c r="B471" s="16"/>
      <c r="C471" s="16"/>
      <c r="D471" s="16"/>
      <c r="E471" s="16"/>
      <c r="F471" s="16"/>
      <c r="G471" s="16"/>
      <c r="H471" s="16"/>
      <c r="I471" s="16"/>
      <c r="J471" s="16"/>
      <c r="K471" s="16"/>
      <c r="L471" s="16"/>
      <c r="M471" s="16"/>
      <c r="N471" s="16"/>
      <c r="O471" s="16"/>
      <c r="P471" s="16"/>
      <c r="Q471" s="16"/>
      <c r="R471" s="16"/>
      <c r="S471" s="16"/>
      <c r="T471" s="16"/>
      <c r="U471" s="16"/>
      <c r="V471" s="16"/>
      <c r="W471" s="16"/>
      <c r="X471" s="16"/>
      <c r="Y471" s="16"/>
      <c r="Z471" s="16"/>
      <c r="AA471" s="16"/>
      <c r="AB471" s="16"/>
      <c r="AC471" s="16"/>
      <c r="AD471" s="16"/>
      <c r="AE471" s="16"/>
      <c r="AF471" s="16"/>
      <c r="AG471" s="16"/>
      <c r="AH471" s="16"/>
      <c r="AI471" s="16"/>
    </row>
    <row r="472" ht="12.75" customHeight="1" spans="1:35" x14ac:dyDescent="0.25">
      <c r="A472" s="16"/>
      <c r="B472" s="16"/>
      <c r="C472" s="16"/>
      <c r="D472" s="16"/>
      <c r="E472" s="16"/>
      <c r="F472" s="16"/>
      <c r="G472" s="16"/>
      <c r="H472" s="16"/>
      <c r="I472" s="16"/>
      <c r="J472" s="16"/>
      <c r="K472" s="16"/>
      <c r="L472" s="16"/>
      <c r="M472" s="16"/>
      <c r="N472" s="16"/>
      <c r="O472" s="16"/>
      <c r="P472" s="16"/>
      <c r="Q472" s="16"/>
      <c r="R472" s="16"/>
      <c r="S472" s="16"/>
      <c r="T472" s="16"/>
      <c r="U472" s="16"/>
      <c r="V472" s="16"/>
      <c r="W472" s="16"/>
      <c r="X472" s="16"/>
      <c r="Y472" s="16"/>
      <c r="Z472" s="16"/>
      <c r="AA472" s="16"/>
      <c r="AB472" s="16"/>
      <c r="AC472" s="16"/>
      <c r="AD472" s="16"/>
      <c r="AE472" s="16"/>
      <c r="AF472" s="16"/>
      <c r="AG472" s="16"/>
      <c r="AH472" s="16"/>
      <c r="AI472" s="16"/>
    </row>
    <row r="473" ht="12.75" customHeight="1" spans="1:35" x14ac:dyDescent="0.25">
      <c r="A473" s="16"/>
      <c r="B473" s="16"/>
      <c r="C473" s="16"/>
      <c r="D473" s="16"/>
      <c r="E473" s="16"/>
      <c r="F473" s="16"/>
      <c r="G473" s="16"/>
      <c r="H473" s="16"/>
      <c r="I473" s="16"/>
      <c r="J473" s="16"/>
      <c r="K473" s="16"/>
      <c r="L473" s="16"/>
      <c r="M473" s="16"/>
      <c r="N473" s="16"/>
      <c r="O473" s="16"/>
      <c r="P473" s="16"/>
      <c r="Q473" s="16"/>
      <c r="R473" s="16"/>
      <c r="S473" s="16"/>
      <c r="T473" s="16"/>
      <c r="U473" s="16"/>
      <c r="V473" s="16"/>
      <c r="W473" s="16"/>
      <c r="X473" s="16"/>
      <c r="Y473" s="16"/>
      <c r="Z473" s="16"/>
      <c r="AA473" s="16"/>
      <c r="AB473" s="16"/>
      <c r="AC473" s="16"/>
      <c r="AD473" s="16"/>
      <c r="AE473" s="16"/>
      <c r="AF473" s="16"/>
      <c r="AG473" s="16"/>
      <c r="AH473" s="16"/>
      <c r="AI473" s="16"/>
    </row>
    <row r="474" ht="12.75" customHeight="1" spans="1:35" x14ac:dyDescent="0.25">
      <c r="A474" s="16"/>
      <c r="B474" s="16"/>
      <c r="C474" s="16"/>
      <c r="D474" s="16"/>
      <c r="E474" s="16"/>
      <c r="F474" s="16"/>
      <c r="G474" s="16"/>
      <c r="H474" s="16"/>
      <c r="I474" s="16"/>
      <c r="J474" s="16"/>
      <c r="K474" s="16"/>
      <c r="L474" s="16"/>
      <c r="M474" s="16"/>
      <c r="N474" s="16"/>
      <c r="O474" s="16"/>
      <c r="P474" s="16"/>
      <c r="Q474" s="16"/>
      <c r="R474" s="16"/>
      <c r="S474" s="16"/>
      <c r="T474" s="16"/>
      <c r="U474" s="16"/>
      <c r="V474" s="16"/>
      <c r="W474" s="16"/>
      <c r="X474" s="16"/>
      <c r="Y474" s="16"/>
      <c r="Z474" s="16"/>
      <c r="AA474" s="16"/>
      <c r="AB474" s="16"/>
      <c r="AC474" s="16"/>
      <c r="AD474" s="16"/>
      <c r="AE474" s="16"/>
      <c r="AF474" s="16"/>
      <c r="AG474" s="16"/>
      <c r="AH474" s="16"/>
      <c r="AI474" s="16"/>
    </row>
    <row r="475" ht="12.75" customHeight="1" spans="1:35" x14ac:dyDescent="0.25">
      <c r="A475" s="16"/>
      <c r="B475" s="16"/>
      <c r="C475" s="16"/>
      <c r="D475" s="16"/>
      <c r="E475" s="16"/>
      <c r="F475" s="16"/>
      <c r="G475" s="16"/>
      <c r="H475" s="16"/>
      <c r="I475" s="16"/>
      <c r="J475" s="16"/>
      <c r="K475" s="16"/>
      <c r="L475" s="16"/>
      <c r="M475" s="16"/>
      <c r="N475" s="16"/>
      <c r="O475" s="16"/>
      <c r="P475" s="16"/>
      <c r="Q475" s="16"/>
      <c r="R475" s="16"/>
      <c r="S475" s="16"/>
      <c r="T475" s="16"/>
      <c r="U475" s="16"/>
      <c r="V475" s="16"/>
      <c r="W475" s="16"/>
      <c r="X475" s="16"/>
      <c r="Y475" s="16"/>
      <c r="Z475" s="16"/>
      <c r="AA475" s="16"/>
      <c r="AB475" s="16"/>
      <c r="AC475" s="16"/>
      <c r="AD475" s="16"/>
      <c r="AE475" s="16"/>
      <c r="AF475" s="16"/>
      <c r="AG475" s="16"/>
      <c r="AH475" s="16"/>
      <c r="AI475" s="16"/>
    </row>
    <row r="476" ht="12.75" customHeight="1" spans="1:35" x14ac:dyDescent="0.25">
      <c r="A476" s="16"/>
      <c r="B476" s="16"/>
      <c r="C476" s="16"/>
      <c r="D476" s="16"/>
      <c r="E476" s="16"/>
      <c r="F476" s="16"/>
      <c r="G476" s="16"/>
      <c r="H476" s="16"/>
      <c r="I476" s="16"/>
      <c r="J476" s="16"/>
      <c r="K476" s="16"/>
      <c r="L476" s="16"/>
      <c r="M476" s="16"/>
      <c r="N476" s="16"/>
      <c r="O476" s="16"/>
      <c r="P476" s="16"/>
      <c r="Q476" s="16"/>
      <c r="R476" s="16"/>
      <c r="S476" s="16"/>
      <c r="T476" s="16"/>
      <c r="U476" s="16"/>
      <c r="V476" s="16"/>
      <c r="W476" s="16"/>
      <c r="X476" s="16"/>
      <c r="Y476" s="16"/>
      <c r="Z476" s="16"/>
      <c r="AA476" s="16"/>
      <c r="AB476" s="16"/>
      <c r="AC476" s="16"/>
      <c r="AD476" s="16"/>
      <c r="AE476" s="16"/>
      <c r="AF476" s="16"/>
      <c r="AG476" s="16"/>
      <c r="AH476" s="16"/>
      <c r="AI476" s="16"/>
    </row>
    <row r="477" ht="12.75" customHeight="1" spans="1:35" x14ac:dyDescent="0.25">
      <c r="A477" s="16"/>
      <c r="B477" s="16"/>
      <c r="C477" s="16"/>
      <c r="D477" s="16"/>
      <c r="E477" s="16"/>
      <c r="F477" s="16"/>
      <c r="G477" s="16"/>
      <c r="H477" s="16"/>
      <c r="I477" s="16"/>
      <c r="J477" s="16"/>
      <c r="K477" s="16"/>
      <c r="L477" s="16"/>
      <c r="M477" s="16"/>
      <c r="N477" s="16"/>
      <c r="O477" s="16"/>
      <c r="P477" s="16"/>
      <c r="Q477" s="16"/>
      <c r="R477" s="16"/>
      <c r="S477" s="16"/>
      <c r="T477" s="16"/>
      <c r="U477" s="16"/>
      <c r="V477" s="16"/>
      <c r="W477" s="16"/>
      <c r="X477" s="16"/>
      <c r="Y477" s="16"/>
      <c r="Z477" s="16"/>
      <c r="AA477" s="16"/>
      <c r="AB477" s="16"/>
      <c r="AC477" s="16"/>
      <c r="AD477" s="16"/>
      <c r="AE477" s="16"/>
      <c r="AF477" s="16"/>
      <c r="AG477" s="16"/>
      <c r="AH477" s="16"/>
      <c r="AI477" s="16"/>
    </row>
    <row r="478" ht="12.75" customHeight="1" spans="1:35" x14ac:dyDescent="0.25">
      <c r="A478" s="16"/>
      <c r="B478" s="16"/>
      <c r="C478" s="16"/>
      <c r="D478" s="16"/>
      <c r="E478" s="16"/>
      <c r="F478" s="16"/>
      <c r="G478" s="16"/>
      <c r="H478" s="16"/>
      <c r="I478" s="16"/>
      <c r="J478" s="16"/>
      <c r="K478" s="16"/>
      <c r="L478" s="16"/>
      <c r="M478" s="16"/>
      <c r="N478" s="16"/>
      <c r="O478" s="16"/>
      <c r="P478" s="16"/>
      <c r="Q478" s="16"/>
      <c r="R478" s="16"/>
      <c r="S478" s="16"/>
      <c r="T478" s="16"/>
      <c r="U478" s="16"/>
      <c r="V478" s="16"/>
      <c r="W478" s="16"/>
      <c r="X478" s="16"/>
      <c r="Y478" s="16"/>
      <c r="Z478" s="16"/>
      <c r="AA478" s="16"/>
      <c r="AB478" s="16"/>
      <c r="AC478" s="16"/>
      <c r="AD478" s="16"/>
      <c r="AE478" s="16"/>
      <c r="AF478" s="16"/>
      <c r="AG478" s="16"/>
      <c r="AH478" s="16"/>
      <c r="AI478" s="16"/>
    </row>
    <row r="479" ht="12.75" customHeight="1" spans="1:35" x14ac:dyDescent="0.25">
      <c r="A479" s="16"/>
      <c r="B479" s="16"/>
      <c r="C479" s="16"/>
      <c r="D479" s="16"/>
      <c r="E479" s="16"/>
      <c r="F479" s="16"/>
      <c r="G479" s="16"/>
      <c r="H479" s="16"/>
      <c r="I479" s="16"/>
      <c r="J479" s="16"/>
      <c r="K479" s="16"/>
      <c r="L479" s="16"/>
      <c r="M479" s="16"/>
      <c r="N479" s="16"/>
      <c r="O479" s="16"/>
      <c r="P479" s="16"/>
      <c r="Q479" s="16"/>
      <c r="R479" s="16"/>
      <c r="S479" s="16"/>
      <c r="T479" s="16"/>
      <c r="U479" s="16"/>
      <c r="V479" s="16"/>
      <c r="W479" s="16"/>
      <c r="X479" s="16"/>
      <c r="Y479" s="16"/>
      <c r="Z479" s="16"/>
      <c r="AA479" s="16"/>
      <c r="AB479" s="16"/>
      <c r="AC479" s="16"/>
      <c r="AD479" s="16"/>
      <c r="AE479" s="16"/>
      <c r="AF479" s="16"/>
      <c r="AG479" s="16"/>
      <c r="AH479" s="16"/>
      <c r="AI479" s="16"/>
    </row>
    <row r="480" ht="12.75" customHeight="1" spans="1:35" x14ac:dyDescent="0.25">
      <c r="A480" s="16"/>
      <c r="B480" s="16"/>
      <c r="C480" s="16"/>
      <c r="D480" s="16"/>
      <c r="E480" s="16"/>
      <c r="F480" s="16"/>
      <c r="G480" s="16"/>
      <c r="H480" s="16"/>
      <c r="I480" s="16"/>
      <c r="J480" s="16"/>
      <c r="K480" s="16"/>
      <c r="L480" s="16"/>
      <c r="M480" s="16"/>
      <c r="N480" s="16"/>
      <c r="O480" s="16"/>
      <c r="P480" s="16"/>
      <c r="Q480" s="16"/>
      <c r="R480" s="16"/>
      <c r="S480" s="16"/>
      <c r="T480" s="16"/>
      <c r="U480" s="16"/>
      <c r="V480" s="16"/>
      <c r="W480" s="16"/>
      <c r="X480" s="16"/>
      <c r="Y480" s="16"/>
      <c r="Z480" s="16"/>
      <c r="AA480" s="16"/>
      <c r="AB480" s="16"/>
      <c r="AC480" s="16"/>
      <c r="AD480" s="16"/>
      <c r="AE480" s="16"/>
      <c r="AF480" s="16"/>
      <c r="AG480" s="16"/>
      <c r="AH480" s="16"/>
      <c r="AI480" s="16"/>
    </row>
    <row r="481" ht="12.75" customHeight="1" spans="1:35" x14ac:dyDescent="0.25">
      <c r="A481" s="16"/>
      <c r="B481" s="16"/>
      <c r="C481" s="16"/>
      <c r="D481" s="16"/>
      <c r="E481" s="16"/>
      <c r="F481" s="16"/>
      <c r="G481" s="16"/>
      <c r="H481" s="16"/>
      <c r="I481" s="16"/>
      <c r="J481" s="16"/>
      <c r="K481" s="16"/>
      <c r="L481" s="16"/>
      <c r="M481" s="16"/>
      <c r="N481" s="16"/>
      <c r="O481" s="16"/>
      <c r="P481" s="16"/>
      <c r="Q481" s="16"/>
      <c r="R481" s="16"/>
      <c r="S481" s="16"/>
      <c r="T481" s="16"/>
      <c r="U481" s="16"/>
      <c r="V481" s="16"/>
      <c r="W481" s="16"/>
      <c r="X481" s="16"/>
      <c r="Y481" s="16"/>
      <c r="Z481" s="16"/>
      <c r="AA481" s="16"/>
      <c r="AB481" s="16"/>
      <c r="AC481" s="16"/>
      <c r="AD481" s="16"/>
      <c r="AE481" s="16"/>
      <c r="AF481" s="16"/>
      <c r="AG481" s="16"/>
      <c r="AH481" s="16"/>
      <c r="AI481" s="16"/>
    </row>
    <row r="482" ht="12.75" customHeight="1" spans="1:35" x14ac:dyDescent="0.25">
      <c r="A482" s="16"/>
      <c r="B482" s="16"/>
      <c r="C482" s="16"/>
      <c r="D482" s="16"/>
      <c r="E482" s="16"/>
      <c r="F482" s="16"/>
      <c r="G482" s="16"/>
      <c r="H482" s="16"/>
      <c r="I482" s="16"/>
      <c r="J482" s="16"/>
      <c r="K482" s="16"/>
      <c r="L482" s="16"/>
      <c r="M482" s="16"/>
      <c r="N482" s="16"/>
      <c r="O482" s="16"/>
      <c r="P482" s="16"/>
      <c r="Q482" s="16"/>
      <c r="R482" s="16"/>
      <c r="S482" s="16"/>
      <c r="T482" s="16"/>
      <c r="U482" s="16"/>
      <c r="V482" s="16"/>
      <c r="W482" s="16"/>
      <c r="X482" s="16"/>
      <c r="Y482" s="16"/>
      <c r="Z482" s="16"/>
      <c r="AA482" s="16"/>
      <c r="AB482" s="16"/>
      <c r="AC482" s="16"/>
      <c r="AD482" s="16"/>
      <c r="AE482" s="16"/>
      <c r="AF482" s="16"/>
      <c r="AG482" s="16"/>
      <c r="AH482" s="16"/>
      <c r="AI482" s="16"/>
    </row>
    <row r="483" ht="12.75" customHeight="1" spans="1:35" x14ac:dyDescent="0.25">
      <c r="A483" s="16"/>
      <c r="B483" s="16"/>
      <c r="C483" s="16"/>
      <c r="D483" s="16"/>
      <c r="E483" s="16"/>
      <c r="F483" s="16"/>
      <c r="G483" s="16"/>
      <c r="H483" s="16"/>
      <c r="I483" s="16"/>
      <c r="J483" s="16"/>
      <c r="K483" s="16"/>
      <c r="L483" s="16"/>
      <c r="M483" s="16"/>
      <c r="N483" s="16"/>
      <c r="O483" s="16"/>
      <c r="P483" s="16"/>
      <c r="Q483" s="16"/>
      <c r="R483" s="16"/>
      <c r="S483" s="16"/>
      <c r="T483" s="16"/>
      <c r="U483" s="16"/>
      <c r="V483" s="16"/>
      <c r="W483" s="16"/>
      <c r="X483" s="16"/>
      <c r="Y483" s="16"/>
      <c r="Z483" s="16"/>
      <c r="AA483" s="16"/>
      <c r="AB483" s="16"/>
      <c r="AC483" s="16"/>
      <c r="AD483" s="16"/>
      <c r="AE483" s="16"/>
      <c r="AF483" s="16"/>
      <c r="AG483" s="16"/>
      <c r="AH483" s="16"/>
      <c r="AI483" s="16"/>
    </row>
    <row r="484" ht="12.75" customHeight="1" spans="1:35" x14ac:dyDescent="0.25">
      <c r="A484" s="16"/>
      <c r="B484" s="16"/>
      <c r="C484" s="16"/>
      <c r="D484" s="16"/>
      <c r="E484" s="16"/>
      <c r="F484" s="16"/>
      <c r="G484" s="16"/>
      <c r="H484" s="16"/>
      <c r="I484" s="16"/>
      <c r="J484" s="16"/>
      <c r="K484" s="16"/>
      <c r="L484" s="16"/>
      <c r="M484" s="16"/>
      <c r="N484" s="16"/>
      <c r="O484" s="16"/>
      <c r="P484" s="16"/>
      <c r="Q484" s="16"/>
      <c r="R484" s="16"/>
      <c r="S484" s="16"/>
      <c r="T484" s="16"/>
      <c r="U484" s="16"/>
      <c r="V484" s="16"/>
      <c r="W484" s="16"/>
      <c r="X484" s="16"/>
      <c r="Y484" s="16"/>
      <c r="Z484" s="16"/>
      <c r="AA484" s="16"/>
      <c r="AB484" s="16"/>
      <c r="AC484" s="16"/>
      <c r="AD484" s="16"/>
      <c r="AE484" s="16"/>
      <c r="AF484" s="16"/>
      <c r="AG484" s="16"/>
      <c r="AH484" s="16"/>
      <c r="AI484" s="16"/>
    </row>
    <row r="485" ht="12.75" customHeight="1" spans="1:35" x14ac:dyDescent="0.25">
      <c r="A485" s="16"/>
      <c r="B485" s="16"/>
      <c r="C485" s="16"/>
      <c r="D485" s="16"/>
      <c r="E485" s="16"/>
      <c r="F485" s="16"/>
      <c r="G485" s="16"/>
      <c r="H485" s="16"/>
      <c r="I485" s="16"/>
      <c r="J485" s="16"/>
      <c r="K485" s="16"/>
      <c r="L485" s="16"/>
      <c r="M485" s="16"/>
      <c r="N485" s="16"/>
      <c r="O485" s="16"/>
      <c r="P485" s="16"/>
      <c r="Q485" s="16"/>
      <c r="R485" s="16"/>
      <c r="S485" s="16"/>
      <c r="T485" s="16"/>
      <c r="U485" s="16"/>
      <c r="V485" s="16"/>
      <c r="W485" s="16"/>
      <c r="X485" s="16"/>
      <c r="Y485" s="16"/>
      <c r="Z485" s="16"/>
      <c r="AA485" s="16"/>
      <c r="AB485" s="16"/>
      <c r="AC485" s="16"/>
      <c r="AD485" s="16"/>
      <c r="AE485" s="16"/>
      <c r="AF485" s="16"/>
      <c r="AG485" s="16"/>
      <c r="AH485" s="16"/>
      <c r="AI485" s="16"/>
    </row>
    <row r="486" ht="12.75" customHeight="1" spans="1:35" x14ac:dyDescent="0.25">
      <c r="A486" s="16"/>
      <c r="B486" s="16"/>
      <c r="C486" s="16"/>
      <c r="D486" s="16"/>
      <c r="E486" s="16"/>
      <c r="F486" s="16"/>
      <c r="G486" s="16"/>
      <c r="H486" s="16"/>
      <c r="I486" s="16"/>
      <c r="J486" s="16"/>
      <c r="K486" s="16"/>
      <c r="L486" s="16"/>
      <c r="M486" s="16"/>
      <c r="N486" s="16"/>
      <c r="O486" s="16"/>
      <c r="P486" s="16"/>
      <c r="Q486" s="16"/>
      <c r="R486" s="16"/>
      <c r="S486" s="16"/>
      <c r="T486" s="16"/>
      <c r="U486" s="16"/>
      <c r="V486" s="16"/>
      <c r="W486" s="16"/>
      <c r="X486" s="16"/>
      <c r="Y486" s="16"/>
      <c r="Z486" s="16"/>
      <c r="AA486" s="16"/>
      <c r="AB486" s="16"/>
      <c r="AC486" s="16"/>
      <c r="AD486" s="16"/>
      <c r="AE486" s="16"/>
      <c r="AF486" s="16"/>
      <c r="AG486" s="16"/>
      <c r="AH486" s="16"/>
      <c r="AI486" s="16"/>
    </row>
    <row r="487" ht="12.75" customHeight="1" spans="1:35" x14ac:dyDescent="0.25">
      <c r="A487" s="16"/>
      <c r="B487" s="16"/>
      <c r="C487" s="16"/>
      <c r="D487" s="16"/>
      <c r="E487" s="16"/>
      <c r="F487" s="16"/>
      <c r="G487" s="16"/>
      <c r="H487" s="16"/>
      <c r="I487" s="16"/>
      <c r="J487" s="16"/>
      <c r="K487" s="16"/>
      <c r="L487" s="16"/>
      <c r="M487" s="16"/>
      <c r="N487" s="16"/>
      <c r="O487" s="16"/>
      <c r="P487" s="16"/>
      <c r="Q487" s="16"/>
      <c r="R487" s="16"/>
      <c r="S487" s="16"/>
      <c r="T487" s="16"/>
      <c r="U487" s="16"/>
      <c r="V487" s="16"/>
      <c r="W487" s="16"/>
      <c r="X487" s="16"/>
      <c r="Y487" s="16"/>
      <c r="Z487" s="16"/>
      <c r="AA487" s="16"/>
      <c r="AB487" s="16"/>
      <c r="AC487" s="16"/>
      <c r="AD487" s="16"/>
      <c r="AE487" s="16"/>
      <c r="AF487" s="16"/>
      <c r="AG487" s="16"/>
      <c r="AH487" s="16"/>
      <c r="AI487" s="16"/>
    </row>
    <row r="488" ht="12.75" customHeight="1" spans="1:35" x14ac:dyDescent="0.25">
      <c r="A488" s="16"/>
      <c r="B488" s="16"/>
      <c r="C488" s="16"/>
      <c r="D488" s="16"/>
      <c r="E488" s="16"/>
      <c r="F488" s="16"/>
      <c r="G488" s="16"/>
      <c r="H488" s="16"/>
      <c r="I488" s="16"/>
      <c r="J488" s="16"/>
      <c r="K488" s="16"/>
      <c r="L488" s="16"/>
      <c r="M488" s="16"/>
      <c r="N488" s="16"/>
      <c r="O488" s="16"/>
      <c r="P488" s="16"/>
      <c r="Q488" s="16"/>
      <c r="R488" s="16"/>
      <c r="S488" s="16"/>
      <c r="T488" s="16"/>
      <c r="U488" s="16"/>
      <c r="V488" s="16"/>
      <c r="W488" s="16"/>
      <c r="X488" s="16"/>
      <c r="Y488" s="16"/>
      <c r="Z488" s="16"/>
      <c r="AA488" s="16"/>
      <c r="AB488" s="16"/>
      <c r="AC488" s="16"/>
      <c r="AD488" s="16"/>
      <c r="AE488" s="16"/>
      <c r="AF488" s="16"/>
      <c r="AG488" s="16"/>
      <c r="AH488" s="16"/>
      <c r="AI488" s="16"/>
    </row>
    <row r="489" ht="12.75" customHeight="1" spans="1:35" x14ac:dyDescent="0.25">
      <c r="A489" s="16"/>
      <c r="B489" s="16"/>
      <c r="C489" s="16"/>
      <c r="D489" s="16"/>
      <c r="E489" s="16"/>
      <c r="F489" s="16"/>
      <c r="G489" s="16"/>
      <c r="H489" s="16"/>
      <c r="I489" s="16"/>
      <c r="J489" s="16"/>
      <c r="K489" s="16"/>
      <c r="L489" s="16"/>
      <c r="M489" s="16"/>
      <c r="N489" s="16"/>
      <c r="O489" s="16"/>
      <c r="P489" s="16"/>
      <c r="Q489" s="16"/>
      <c r="R489" s="16"/>
      <c r="S489" s="16"/>
      <c r="T489" s="16"/>
      <c r="U489" s="16"/>
      <c r="V489" s="16"/>
      <c r="W489" s="16"/>
      <c r="X489" s="16"/>
      <c r="Y489" s="16"/>
      <c r="Z489" s="16"/>
      <c r="AA489" s="16"/>
      <c r="AB489" s="16"/>
      <c r="AC489" s="16"/>
      <c r="AD489" s="16"/>
      <c r="AE489" s="16"/>
      <c r="AF489" s="16"/>
      <c r="AG489" s="16"/>
      <c r="AH489" s="16"/>
      <c r="AI489" s="16"/>
    </row>
    <row r="490" ht="12.75" customHeight="1" spans="1:35" x14ac:dyDescent="0.25">
      <c r="A490" s="16"/>
      <c r="B490" s="16"/>
      <c r="C490" s="16"/>
      <c r="D490" s="16"/>
      <c r="E490" s="16"/>
      <c r="F490" s="16"/>
      <c r="G490" s="16"/>
      <c r="H490" s="16"/>
      <c r="I490" s="16"/>
      <c r="J490" s="16"/>
      <c r="K490" s="16"/>
      <c r="L490" s="16"/>
      <c r="M490" s="16"/>
      <c r="N490" s="16"/>
      <c r="O490" s="16"/>
      <c r="P490" s="16"/>
      <c r="Q490" s="16"/>
      <c r="R490" s="16"/>
      <c r="S490" s="16"/>
      <c r="T490" s="16"/>
      <c r="U490" s="16"/>
      <c r="V490" s="16"/>
      <c r="W490" s="16"/>
      <c r="X490" s="16"/>
      <c r="Y490" s="16"/>
      <c r="Z490" s="16"/>
      <c r="AA490" s="16"/>
      <c r="AB490" s="16"/>
      <c r="AC490" s="16"/>
      <c r="AD490" s="16"/>
      <c r="AE490" s="16"/>
      <c r="AF490" s="16"/>
      <c r="AG490" s="16"/>
      <c r="AH490" s="16"/>
      <c r="AI490" s="16"/>
    </row>
    <row r="491" ht="12.75" customHeight="1" spans="1:35" x14ac:dyDescent="0.25">
      <c r="A491" s="16"/>
      <c r="B491" s="16"/>
      <c r="C491" s="16"/>
      <c r="D491" s="16"/>
      <c r="E491" s="16"/>
      <c r="F491" s="16"/>
      <c r="G491" s="16"/>
      <c r="H491" s="16"/>
      <c r="I491" s="16"/>
      <c r="J491" s="16"/>
      <c r="K491" s="16"/>
      <c r="L491" s="16"/>
      <c r="M491" s="16"/>
      <c r="N491" s="16"/>
      <c r="O491" s="16"/>
      <c r="P491" s="16"/>
      <c r="Q491" s="16"/>
      <c r="R491" s="16"/>
      <c r="S491" s="16"/>
      <c r="T491" s="16"/>
      <c r="U491" s="16"/>
      <c r="V491" s="16"/>
      <c r="W491" s="16"/>
      <c r="X491" s="16"/>
      <c r="Y491" s="16"/>
      <c r="Z491" s="16"/>
      <c r="AA491" s="16"/>
      <c r="AB491" s="16"/>
      <c r="AC491" s="16"/>
      <c r="AD491" s="16"/>
      <c r="AE491" s="16"/>
      <c r="AF491" s="16"/>
      <c r="AG491" s="16"/>
      <c r="AH491" s="16"/>
      <c r="AI491" s="16"/>
    </row>
    <row r="492" ht="12.75" customHeight="1" spans="1:35" x14ac:dyDescent="0.25">
      <c r="A492" s="16"/>
      <c r="B492" s="16"/>
      <c r="C492" s="16"/>
      <c r="D492" s="16"/>
      <c r="E492" s="16"/>
      <c r="F492" s="16"/>
      <c r="G492" s="16"/>
      <c r="H492" s="16"/>
      <c r="I492" s="16"/>
      <c r="J492" s="16"/>
      <c r="K492" s="16"/>
      <c r="L492" s="16"/>
      <c r="M492" s="16"/>
      <c r="N492" s="16"/>
      <c r="O492" s="16"/>
      <c r="P492" s="16"/>
      <c r="Q492" s="16"/>
      <c r="R492" s="16"/>
      <c r="S492" s="16"/>
      <c r="T492" s="16"/>
      <c r="U492" s="16"/>
      <c r="V492" s="16"/>
      <c r="W492" s="16"/>
      <c r="X492" s="16"/>
      <c r="Y492" s="16"/>
      <c r="Z492" s="16"/>
      <c r="AA492" s="16"/>
      <c r="AB492" s="16"/>
      <c r="AC492" s="16"/>
      <c r="AD492" s="16"/>
      <c r="AE492" s="16"/>
      <c r="AF492" s="16"/>
      <c r="AG492" s="16"/>
      <c r="AH492" s="16"/>
      <c r="AI492" s="16"/>
    </row>
    <row r="493" ht="12.75" customHeight="1" spans="1:35" x14ac:dyDescent="0.25">
      <c r="A493" s="16"/>
      <c r="B493" s="16"/>
      <c r="C493" s="16"/>
      <c r="D493" s="16"/>
      <c r="E493" s="16"/>
      <c r="F493" s="16"/>
      <c r="G493" s="16"/>
      <c r="H493" s="16"/>
      <c r="I493" s="16"/>
      <c r="J493" s="16"/>
      <c r="K493" s="16"/>
      <c r="L493" s="16"/>
      <c r="M493" s="16"/>
      <c r="N493" s="16"/>
      <c r="O493" s="16"/>
      <c r="P493" s="16"/>
      <c r="Q493" s="16"/>
      <c r="R493" s="16"/>
      <c r="S493" s="16"/>
      <c r="T493" s="16"/>
      <c r="U493" s="16"/>
      <c r="V493" s="16"/>
      <c r="W493" s="16"/>
      <c r="X493" s="16"/>
      <c r="Y493" s="16"/>
      <c r="Z493" s="16"/>
      <c r="AA493" s="16"/>
      <c r="AB493" s="16"/>
      <c r="AC493" s="16"/>
      <c r="AD493" s="16"/>
      <c r="AE493" s="16"/>
      <c r="AF493" s="16"/>
      <c r="AG493" s="16"/>
      <c r="AH493" s="16"/>
      <c r="AI493" s="16"/>
    </row>
    <row r="494" ht="12.75" customHeight="1" spans="1:35" x14ac:dyDescent="0.25">
      <c r="A494" s="16"/>
      <c r="B494" s="16"/>
      <c r="C494" s="16"/>
      <c r="D494" s="16"/>
      <c r="E494" s="16"/>
      <c r="F494" s="16"/>
      <c r="G494" s="16"/>
      <c r="H494" s="16"/>
      <c r="I494" s="16"/>
      <c r="J494" s="16"/>
      <c r="K494" s="16"/>
      <c r="L494" s="16"/>
      <c r="M494" s="16"/>
      <c r="N494" s="16"/>
      <c r="O494" s="16"/>
      <c r="P494" s="16"/>
      <c r="Q494" s="16"/>
      <c r="R494" s="16"/>
      <c r="S494" s="16"/>
      <c r="T494" s="16"/>
      <c r="U494" s="16"/>
      <c r="V494" s="16"/>
      <c r="W494" s="16"/>
      <c r="X494" s="16"/>
      <c r="Y494" s="16"/>
      <c r="Z494" s="16"/>
      <c r="AA494" s="16"/>
      <c r="AB494" s="16"/>
      <c r="AC494" s="16"/>
      <c r="AD494" s="16"/>
      <c r="AE494" s="16"/>
      <c r="AF494" s="16"/>
      <c r="AG494" s="16"/>
      <c r="AH494" s="16"/>
      <c r="AI494" s="16"/>
    </row>
    <row r="495" ht="12.75" customHeight="1" spans="1:35" x14ac:dyDescent="0.25">
      <c r="A495" s="16"/>
      <c r="B495" s="16"/>
      <c r="C495" s="16"/>
      <c r="D495" s="16"/>
      <c r="E495" s="16"/>
      <c r="F495" s="16"/>
      <c r="G495" s="16"/>
      <c r="H495" s="16"/>
      <c r="I495" s="16"/>
      <c r="J495" s="16"/>
      <c r="K495" s="16"/>
      <c r="L495" s="16"/>
      <c r="M495" s="16"/>
      <c r="N495" s="16"/>
      <c r="O495" s="16"/>
      <c r="P495" s="16"/>
      <c r="Q495" s="16"/>
      <c r="R495" s="16"/>
      <c r="S495" s="16"/>
      <c r="T495" s="16"/>
      <c r="U495" s="16"/>
      <c r="V495" s="16"/>
      <c r="W495" s="16"/>
      <c r="X495" s="16"/>
      <c r="Y495" s="16"/>
      <c r="Z495" s="16"/>
      <c r="AA495" s="16"/>
      <c r="AB495" s="16"/>
      <c r="AC495" s="16"/>
      <c r="AD495" s="16"/>
      <c r="AE495" s="16"/>
      <c r="AF495" s="16"/>
      <c r="AG495" s="16"/>
      <c r="AH495" s="16"/>
      <c r="AI495" s="16"/>
    </row>
    <row r="496" ht="12.75" customHeight="1" spans="1:35" x14ac:dyDescent="0.25">
      <c r="A496" s="16"/>
      <c r="B496" s="16"/>
      <c r="C496" s="16"/>
      <c r="D496" s="16"/>
      <c r="E496" s="16"/>
      <c r="F496" s="16"/>
      <c r="G496" s="16"/>
      <c r="H496" s="16"/>
      <c r="I496" s="16"/>
      <c r="J496" s="16"/>
      <c r="K496" s="16"/>
      <c r="L496" s="16"/>
      <c r="M496" s="16"/>
      <c r="N496" s="16"/>
      <c r="O496" s="16"/>
      <c r="P496" s="16"/>
      <c r="Q496" s="16"/>
      <c r="R496" s="16"/>
      <c r="S496" s="16"/>
      <c r="T496" s="16"/>
      <c r="U496" s="16"/>
      <c r="V496" s="16"/>
      <c r="W496" s="16"/>
      <c r="X496" s="16"/>
      <c r="Y496" s="16"/>
      <c r="Z496" s="16"/>
      <c r="AA496" s="16"/>
      <c r="AB496" s="16"/>
      <c r="AC496" s="16"/>
      <c r="AD496" s="16"/>
      <c r="AE496" s="16"/>
      <c r="AF496" s="16"/>
      <c r="AG496" s="16"/>
      <c r="AH496" s="16"/>
      <c r="AI496" s="16"/>
    </row>
    <row r="497" ht="12.75" customHeight="1" spans="1:35" x14ac:dyDescent="0.25">
      <c r="A497" s="16"/>
      <c r="B497" s="16"/>
      <c r="C497" s="16"/>
      <c r="D497" s="16"/>
      <c r="E497" s="16"/>
      <c r="F497" s="16"/>
      <c r="G497" s="16"/>
      <c r="H497" s="16"/>
      <c r="I497" s="16"/>
      <c r="J497" s="16"/>
      <c r="K497" s="16"/>
      <c r="L497" s="16"/>
      <c r="M497" s="16"/>
      <c r="N497" s="16"/>
      <c r="O497" s="16"/>
      <c r="P497" s="16"/>
      <c r="Q497" s="16"/>
      <c r="R497" s="16"/>
      <c r="S497" s="16"/>
      <c r="T497" s="16"/>
      <c r="U497" s="16"/>
      <c r="V497" s="16"/>
      <c r="W497" s="16"/>
      <c r="X497" s="16"/>
      <c r="Y497" s="16"/>
      <c r="Z497" s="16"/>
      <c r="AA497" s="16"/>
      <c r="AB497" s="16"/>
      <c r="AC497" s="16"/>
      <c r="AD497" s="16"/>
      <c r="AE497" s="16"/>
      <c r="AF497" s="16"/>
      <c r="AG497" s="16"/>
      <c r="AH497" s="16"/>
      <c r="AI497" s="16"/>
    </row>
    <row r="498" ht="12.75" customHeight="1" spans="1:35" x14ac:dyDescent="0.25">
      <c r="A498" s="16"/>
      <c r="B498" s="16"/>
      <c r="C498" s="16"/>
      <c r="D498" s="16"/>
      <c r="E498" s="16"/>
      <c r="F498" s="16"/>
      <c r="G498" s="16"/>
      <c r="H498" s="16"/>
      <c r="I498" s="16"/>
      <c r="J498" s="16"/>
      <c r="K498" s="16"/>
      <c r="L498" s="16"/>
      <c r="M498" s="16"/>
      <c r="N498" s="16"/>
      <c r="O498" s="16"/>
      <c r="P498" s="16"/>
      <c r="Q498" s="16"/>
      <c r="R498" s="16"/>
      <c r="S498" s="16"/>
      <c r="T498" s="16"/>
      <c r="U498" s="16"/>
      <c r="V498" s="16"/>
      <c r="W498" s="16"/>
      <c r="X498" s="16"/>
      <c r="Y498" s="16"/>
      <c r="Z498" s="16"/>
      <c r="AA498" s="16"/>
      <c r="AB498" s="16"/>
      <c r="AC498" s="16"/>
      <c r="AD498" s="16"/>
      <c r="AE498" s="16"/>
      <c r="AF498" s="16"/>
      <c r="AG498" s="16"/>
      <c r="AH498" s="16"/>
      <c r="AI498" s="16"/>
    </row>
    <row r="499" ht="12.75" customHeight="1" spans="1:35" x14ac:dyDescent="0.25">
      <c r="A499" s="16"/>
      <c r="B499" s="16"/>
      <c r="C499" s="16"/>
      <c r="D499" s="16"/>
      <c r="E499" s="16"/>
      <c r="F499" s="16"/>
      <c r="G499" s="16"/>
      <c r="H499" s="16"/>
      <c r="I499" s="16"/>
      <c r="J499" s="16"/>
      <c r="K499" s="16"/>
      <c r="L499" s="16"/>
      <c r="M499" s="16"/>
      <c r="N499" s="16"/>
      <c r="O499" s="16"/>
      <c r="P499" s="16"/>
      <c r="Q499" s="16"/>
      <c r="R499" s="16"/>
      <c r="S499" s="16"/>
      <c r="T499" s="16"/>
      <c r="U499" s="16"/>
      <c r="V499" s="16"/>
      <c r="W499" s="16"/>
      <c r="X499" s="16"/>
      <c r="Y499" s="16"/>
      <c r="Z499" s="16"/>
      <c r="AA499" s="16"/>
      <c r="AB499" s="16"/>
      <c r="AC499" s="16"/>
      <c r="AD499" s="16"/>
      <c r="AE499" s="16"/>
      <c r="AF499" s="16"/>
      <c r="AG499" s="16"/>
      <c r="AH499" s="16"/>
      <c r="AI499" s="16"/>
    </row>
    <row r="500" ht="12.75" customHeight="1" spans="1:35" x14ac:dyDescent="0.25">
      <c r="A500" s="16"/>
      <c r="B500" s="16"/>
      <c r="C500" s="16"/>
      <c r="D500" s="16"/>
      <c r="E500" s="16"/>
      <c r="F500" s="16"/>
      <c r="G500" s="16"/>
      <c r="H500" s="16"/>
      <c r="I500" s="16"/>
      <c r="J500" s="16"/>
      <c r="K500" s="16"/>
      <c r="L500" s="16"/>
      <c r="M500" s="16"/>
      <c r="N500" s="16"/>
      <c r="O500" s="16"/>
      <c r="P500" s="16"/>
      <c r="Q500" s="16"/>
      <c r="R500" s="16"/>
      <c r="S500" s="16"/>
      <c r="T500" s="16"/>
      <c r="U500" s="16"/>
      <c r="V500" s="16"/>
      <c r="W500" s="16"/>
      <c r="X500" s="16"/>
      <c r="Y500" s="16"/>
      <c r="Z500" s="16"/>
      <c r="AA500" s="16"/>
      <c r="AB500" s="16"/>
      <c r="AC500" s="16"/>
      <c r="AD500" s="16"/>
      <c r="AE500" s="16"/>
      <c r="AF500" s="16"/>
      <c r="AG500" s="16"/>
      <c r="AH500" s="16"/>
      <c r="AI500" s="16"/>
    </row>
    <row r="501" ht="12.75" customHeight="1" spans="1:35" x14ac:dyDescent="0.25">
      <c r="A501" s="16"/>
      <c r="B501" s="16"/>
      <c r="C501" s="16"/>
      <c r="D501" s="16"/>
      <c r="E501" s="16"/>
      <c r="F501" s="16"/>
      <c r="G501" s="16"/>
      <c r="H501" s="16"/>
      <c r="I501" s="16"/>
      <c r="J501" s="16"/>
      <c r="K501" s="16"/>
      <c r="L501" s="16"/>
      <c r="M501" s="16"/>
      <c r="N501" s="16"/>
      <c r="O501" s="16"/>
      <c r="P501" s="16"/>
      <c r="Q501" s="16"/>
      <c r="R501" s="16"/>
      <c r="S501" s="16"/>
      <c r="T501" s="16"/>
      <c r="U501" s="16"/>
      <c r="V501" s="16"/>
      <c r="W501" s="16"/>
      <c r="X501" s="16"/>
      <c r="Y501" s="16"/>
      <c r="Z501" s="16"/>
      <c r="AA501" s="16"/>
      <c r="AB501" s="16"/>
      <c r="AC501" s="16"/>
      <c r="AD501" s="16"/>
      <c r="AE501" s="16"/>
      <c r="AF501" s="16"/>
      <c r="AG501" s="16"/>
      <c r="AH501" s="16"/>
      <c r="AI501" s="16"/>
    </row>
    <row r="502" ht="12.75" customHeight="1" spans="1:35" x14ac:dyDescent="0.25">
      <c r="A502" s="16"/>
      <c r="B502" s="16"/>
      <c r="C502" s="16"/>
      <c r="D502" s="16"/>
      <c r="E502" s="16"/>
      <c r="F502" s="16"/>
      <c r="G502" s="16"/>
      <c r="H502" s="16"/>
      <c r="I502" s="16"/>
      <c r="J502" s="16"/>
      <c r="K502" s="16"/>
      <c r="L502" s="16"/>
      <c r="M502" s="16"/>
      <c r="N502" s="16"/>
      <c r="O502" s="16"/>
      <c r="P502" s="16"/>
      <c r="Q502" s="16"/>
      <c r="R502" s="16"/>
      <c r="S502" s="16"/>
      <c r="T502" s="16"/>
      <c r="U502" s="16"/>
      <c r="V502" s="16"/>
      <c r="W502" s="16"/>
      <c r="X502" s="16"/>
      <c r="Y502" s="16"/>
      <c r="Z502" s="16"/>
      <c r="AA502" s="16"/>
      <c r="AB502" s="16"/>
      <c r="AC502" s="16"/>
      <c r="AD502" s="16"/>
      <c r="AE502" s="16"/>
      <c r="AF502" s="16"/>
      <c r="AG502" s="16"/>
      <c r="AH502" s="16"/>
      <c r="AI502" s="16"/>
    </row>
    <row r="503" ht="12.75" customHeight="1" spans="1:35" x14ac:dyDescent="0.25">
      <c r="A503" s="16"/>
      <c r="B503" s="16"/>
      <c r="C503" s="16"/>
      <c r="D503" s="16"/>
      <c r="E503" s="16"/>
      <c r="F503" s="16"/>
      <c r="G503" s="16"/>
      <c r="H503" s="16"/>
      <c r="I503" s="16"/>
      <c r="J503" s="16"/>
      <c r="K503" s="16"/>
      <c r="L503" s="16"/>
      <c r="M503" s="16"/>
      <c r="N503" s="16"/>
      <c r="O503" s="16"/>
      <c r="P503" s="16"/>
      <c r="Q503" s="16"/>
      <c r="R503" s="16"/>
      <c r="S503" s="16"/>
      <c r="T503" s="16"/>
      <c r="U503" s="16"/>
      <c r="V503" s="16"/>
      <c r="W503" s="16"/>
      <c r="X503" s="16"/>
      <c r="Y503" s="16"/>
      <c r="Z503" s="16"/>
      <c r="AA503" s="16"/>
      <c r="AB503" s="16"/>
      <c r="AC503" s="16"/>
      <c r="AD503" s="16"/>
      <c r="AE503" s="16"/>
      <c r="AF503" s="16"/>
      <c r="AG503" s="16"/>
      <c r="AH503" s="16"/>
      <c r="AI503" s="16"/>
    </row>
    <row r="504" ht="12.75" customHeight="1" spans="1:35" x14ac:dyDescent="0.25">
      <c r="A504" s="16"/>
      <c r="B504" s="16"/>
      <c r="C504" s="16"/>
      <c r="D504" s="16"/>
      <c r="E504" s="16"/>
      <c r="F504" s="16"/>
      <c r="G504" s="16"/>
      <c r="H504" s="16"/>
      <c r="I504" s="16"/>
      <c r="J504" s="16"/>
      <c r="K504" s="16"/>
      <c r="L504" s="16"/>
      <c r="M504" s="16"/>
      <c r="N504" s="16"/>
      <c r="O504" s="16"/>
      <c r="P504" s="16"/>
      <c r="Q504" s="16"/>
      <c r="R504" s="16"/>
      <c r="S504" s="16"/>
      <c r="T504" s="16"/>
      <c r="U504" s="16"/>
      <c r="V504" s="16"/>
      <c r="W504" s="16"/>
      <c r="X504" s="16"/>
      <c r="Y504" s="16"/>
      <c r="Z504" s="16"/>
      <c r="AA504" s="16"/>
      <c r="AB504" s="16"/>
      <c r="AC504" s="16"/>
      <c r="AD504" s="16"/>
      <c r="AE504" s="16"/>
      <c r="AF504" s="16"/>
      <c r="AG504" s="16"/>
      <c r="AH504" s="16"/>
      <c r="AI504" s="16"/>
    </row>
    <row r="505" ht="12.75" customHeight="1" spans="1:35" x14ac:dyDescent="0.25">
      <c r="A505" s="16"/>
      <c r="B505" s="16"/>
      <c r="C505" s="16"/>
      <c r="D505" s="16"/>
      <c r="E505" s="16"/>
      <c r="F505" s="16"/>
      <c r="G505" s="16"/>
      <c r="H505" s="16"/>
      <c r="I505" s="16"/>
      <c r="J505" s="16"/>
      <c r="K505" s="16"/>
      <c r="L505" s="16"/>
      <c r="M505" s="16"/>
      <c r="N505" s="16"/>
      <c r="O505" s="16"/>
      <c r="P505" s="16"/>
      <c r="Q505" s="16"/>
      <c r="R505" s="16"/>
      <c r="S505" s="16"/>
      <c r="T505" s="16"/>
      <c r="U505" s="16"/>
      <c r="V505" s="16"/>
      <c r="W505" s="16"/>
      <c r="X505" s="16"/>
      <c r="Y505" s="16"/>
      <c r="Z505" s="16"/>
      <c r="AA505" s="16"/>
      <c r="AB505" s="16"/>
      <c r="AC505" s="16"/>
      <c r="AD505" s="16"/>
      <c r="AE505" s="16"/>
      <c r="AF505" s="16"/>
      <c r="AG505" s="16"/>
      <c r="AH505" s="16"/>
      <c r="AI505" s="16"/>
    </row>
    <row r="506" ht="12.75" customHeight="1" spans="1:35" x14ac:dyDescent="0.25">
      <c r="A506" s="16"/>
      <c r="B506" s="16"/>
      <c r="C506" s="16"/>
      <c r="D506" s="16"/>
      <c r="E506" s="16"/>
      <c r="F506" s="16"/>
      <c r="G506" s="16"/>
      <c r="H506" s="16"/>
      <c r="I506" s="16"/>
      <c r="J506" s="16"/>
      <c r="K506" s="16"/>
      <c r="L506" s="16"/>
      <c r="M506" s="16"/>
      <c r="N506" s="16"/>
      <c r="O506" s="16"/>
      <c r="P506" s="16"/>
      <c r="Q506" s="16"/>
      <c r="R506" s="16"/>
      <c r="S506" s="16"/>
      <c r="T506" s="16"/>
      <c r="U506" s="16"/>
      <c r="V506" s="16"/>
      <c r="W506" s="16"/>
      <c r="X506" s="16"/>
      <c r="Y506" s="16"/>
      <c r="Z506" s="16"/>
      <c r="AA506" s="16"/>
      <c r="AB506" s="16"/>
      <c r="AC506" s="16"/>
      <c r="AD506" s="16"/>
      <c r="AE506" s="16"/>
      <c r="AF506" s="16"/>
      <c r="AG506" s="16"/>
      <c r="AH506" s="16"/>
      <c r="AI506" s="16"/>
    </row>
    <row r="507" ht="12.75" customHeight="1" spans="1:35" x14ac:dyDescent="0.25">
      <c r="A507" s="16"/>
      <c r="B507" s="16"/>
      <c r="C507" s="16"/>
      <c r="D507" s="16"/>
      <c r="E507" s="16"/>
      <c r="F507" s="16"/>
      <c r="G507" s="16"/>
      <c r="H507" s="16"/>
      <c r="I507" s="16"/>
      <c r="J507" s="16"/>
      <c r="K507" s="16"/>
      <c r="L507" s="16"/>
      <c r="M507" s="16"/>
      <c r="N507" s="16"/>
      <c r="O507" s="16"/>
      <c r="P507" s="16"/>
      <c r="Q507" s="16"/>
      <c r="R507" s="16"/>
      <c r="S507" s="16"/>
      <c r="T507" s="16"/>
      <c r="U507" s="16"/>
      <c r="V507" s="16"/>
      <c r="W507" s="16"/>
      <c r="X507" s="16"/>
      <c r="Y507" s="16"/>
      <c r="Z507" s="16"/>
      <c r="AA507" s="16"/>
      <c r="AB507" s="16"/>
      <c r="AC507" s="16"/>
      <c r="AD507" s="16"/>
      <c r="AE507" s="16"/>
      <c r="AF507" s="16"/>
      <c r="AG507" s="16"/>
      <c r="AH507" s="16"/>
      <c r="AI507" s="16"/>
    </row>
    <row r="508" ht="12.75" customHeight="1" spans="1:35" x14ac:dyDescent="0.25">
      <c r="A508" s="16"/>
      <c r="B508" s="16"/>
      <c r="C508" s="16"/>
      <c r="D508" s="16"/>
      <c r="E508" s="16"/>
      <c r="F508" s="16"/>
      <c r="G508" s="16"/>
      <c r="H508" s="16"/>
      <c r="I508" s="16"/>
      <c r="J508" s="16"/>
      <c r="K508" s="16"/>
      <c r="L508" s="16"/>
      <c r="M508" s="16"/>
      <c r="N508" s="16"/>
      <c r="O508" s="16"/>
      <c r="P508" s="16"/>
      <c r="Q508" s="16"/>
      <c r="R508" s="16"/>
      <c r="S508" s="16"/>
      <c r="T508" s="16"/>
      <c r="U508" s="16"/>
      <c r="V508" s="16"/>
      <c r="W508" s="16"/>
      <c r="X508" s="16"/>
      <c r="Y508" s="16"/>
      <c r="Z508" s="16"/>
      <c r="AA508" s="16"/>
      <c r="AB508" s="16"/>
      <c r="AC508" s="16"/>
      <c r="AD508" s="16"/>
      <c r="AE508" s="16"/>
      <c r="AF508" s="16"/>
      <c r="AG508" s="16"/>
      <c r="AH508" s="16"/>
      <c r="AI508" s="16"/>
    </row>
    <row r="509" ht="12.75" customHeight="1" spans="1:35" x14ac:dyDescent="0.25">
      <c r="A509" s="16"/>
      <c r="B509" s="16"/>
      <c r="C509" s="16"/>
      <c r="D509" s="16"/>
      <c r="E509" s="16"/>
      <c r="F509" s="16"/>
      <c r="G509" s="16"/>
      <c r="H509" s="16"/>
      <c r="I509" s="16"/>
      <c r="J509" s="16"/>
      <c r="K509" s="16"/>
      <c r="L509" s="16"/>
      <c r="M509" s="16"/>
      <c r="N509" s="16"/>
      <c r="O509" s="16"/>
      <c r="P509" s="16"/>
      <c r="Q509" s="16"/>
      <c r="R509" s="16"/>
      <c r="S509" s="16"/>
      <c r="T509" s="16"/>
      <c r="U509" s="16"/>
      <c r="V509" s="16"/>
      <c r="W509" s="16"/>
      <c r="X509" s="16"/>
      <c r="Y509" s="16"/>
      <c r="Z509" s="16"/>
      <c r="AA509" s="16"/>
      <c r="AB509" s="16"/>
      <c r="AC509" s="16"/>
      <c r="AD509" s="16"/>
      <c r="AE509" s="16"/>
      <c r="AF509" s="16"/>
      <c r="AG509" s="16"/>
      <c r="AH509" s="16"/>
      <c r="AI509" s="16"/>
    </row>
    <row r="510" ht="12.75" customHeight="1" spans="1:35" x14ac:dyDescent="0.25">
      <c r="A510" s="16"/>
      <c r="B510" s="16"/>
      <c r="C510" s="16"/>
      <c r="D510" s="16"/>
      <c r="E510" s="16"/>
      <c r="F510" s="16"/>
      <c r="G510" s="16"/>
      <c r="H510" s="16"/>
      <c r="I510" s="16"/>
      <c r="J510" s="16"/>
      <c r="K510" s="16"/>
      <c r="L510" s="16"/>
      <c r="M510" s="16"/>
      <c r="N510" s="16"/>
      <c r="O510" s="16"/>
      <c r="P510" s="16"/>
      <c r="Q510" s="16"/>
      <c r="R510" s="16"/>
      <c r="S510" s="16"/>
      <c r="T510" s="16"/>
      <c r="U510" s="16"/>
      <c r="V510" s="16"/>
      <c r="W510" s="16"/>
      <c r="X510" s="16"/>
      <c r="Y510" s="16"/>
      <c r="Z510" s="16"/>
      <c r="AA510" s="16"/>
      <c r="AB510" s="16"/>
      <c r="AC510" s="16"/>
      <c r="AD510" s="16"/>
      <c r="AE510" s="16"/>
      <c r="AF510" s="16"/>
      <c r="AG510" s="16"/>
      <c r="AH510" s="16"/>
      <c r="AI510" s="16"/>
    </row>
    <row r="511" ht="12.75" customHeight="1" spans="1:35" x14ac:dyDescent="0.25">
      <c r="A511" s="16"/>
      <c r="B511" s="16"/>
      <c r="C511" s="16"/>
      <c r="D511" s="16"/>
      <c r="E511" s="16"/>
      <c r="F511" s="16"/>
      <c r="G511" s="16"/>
      <c r="H511" s="16"/>
      <c r="I511" s="16"/>
      <c r="J511" s="16"/>
      <c r="K511" s="16"/>
      <c r="L511" s="16"/>
      <c r="M511" s="16"/>
      <c r="N511" s="16"/>
      <c r="O511" s="16"/>
      <c r="P511" s="16"/>
      <c r="Q511" s="16"/>
      <c r="R511" s="16"/>
      <c r="S511" s="16"/>
      <c r="T511" s="16"/>
      <c r="U511" s="16"/>
      <c r="V511" s="16"/>
      <c r="W511" s="16"/>
      <c r="X511" s="16"/>
      <c r="Y511" s="16"/>
      <c r="Z511" s="16"/>
      <c r="AA511" s="16"/>
      <c r="AB511" s="16"/>
      <c r="AC511" s="16"/>
      <c r="AD511" s="16"/>
      <c r="AE511" s="16"/>
      <c r="AF511" s="16"/>
      <c r="AG511" s="16"/>
      <c r="AH511" s="16"/>
      <c r="AI511" s="16"/>
    </row>
    <row r="512" ht="12.75" customHeight="1" spans="1:35" x14ac:dyDescent="0.25">
      <c r="A512" s="16"/>
      <c r="B512" s="16"/>
      <c r="C512" s="16"/>
      <c r="D512" s="16"/>
      <c r="E512" s="16"/>
      <c r="F512" s="16"/>
      <c r="G512" s="16"/>
      <c r="H512" s="16"/>
      <c r="I512" s="16"/>
      <c r="J512" s="16"/>
      <c r="K512" s="16"/>
      <c r="L512" s="16"/>
      <c r="M512" s="16"/>
      <c r="N512" s="16"/>
      <c r="O512" s="16"/>
      <c r="P512" s="16"/>
      <c r="Q512" s="16"/>
      <c r="R512" s="16"/>
      <c r="S512" s="16"/>
      <c r="T512" s="16"/>
      <c r="U512" s="16"/>
      <c r="V512" s="16"/>
      <c r="W512" s="16"/>
      <c r="X512" s="16"/>
      <c r="Y512" s="16"/>
      <c r="Z512" s="16"/>
      <c r="AA512" s="16"/>
      <c r="AB512" s="16"/>
      <c r="AC512" s="16"/>
      <c r="AD512" s="16"/>
      <c r="AE512" s="16"/>
      <c r="AF512" s="16"/>
      <c r="AG512" s="16"/>
      <c r="AH512" s="16"/>
      <c r="AI512" s="16"/>
    </row>
    <row r="513" ht="12.75" customHeight="1" spans="1:35" x14ac:dyDescent="0.25">
      <c r="A513" s="16"/>
      <c r="B513" s="16"/>
      <c r="C513" s="16"/>
      <c r="D513" s="16"/>
      <c r="E513" s="16"/>
      <c r="F513" s="16"/>
      <c r="G513" s="16"/>
      <c r="H513" s="16"/>
      <c r="I513" s="16"/>
      <c r="J513" s="16"/>
      <c r="K513" s="16"/>
      <c r="L513" s="16"/>
      <c r="M513" s="16"/>
      <c r="N513" s="16"/>
      <c r="O513" s="16"/>
      <c r="P513" s="16"/>
      <c r="Q513" s="16"/>
      <c r="R513" s="16"/>
      <c r="S513" s="16"/>
      <c r="T513" s="16"/>
      <c r="U513" s="16"/>
      <c r="V513" s="16"/>
      <c r="W513" s="16"/>
      <c r="X513" s="16"/>
      <c r="Y513" s="16"/>
      <c r="Z513" s="16"/>
      <c r="AA513" s="16"/>
      <c r="AB513" s="16"/>
      <c r="AC513" s="16"/>
      <c r="AD513" s="16"/>
      <c r="AE513" s="16"/>
      <c r="AF513" s="16"/>
      <c r="AG513" s="16"/>
      <c r="AH513" s="16"/>
      <c r="AI513" s="16"/>
    </row>
    <row r="514" ht="12.75" customHeight="1" spans="1:35" x14ac:dyDescent="0.25">
      <c r="A514" s="16"/>
      <c r="B514" s="16"/>
      <c r="C514" s="16"/>
      <c r="D514" s="16"/>
      <c r="E514" s="16"/>
      <c r="F514" s="16"/>
      <c r="G514" s="16"/>
      <c r="H514" s="16"/>
      <c r="I514" s="16"/>
      <c r="J514" s="16"/>
      <c r="K514" s="16"/>
      <c r="L514" s="16"/>
      <c r="M514" s="16"/>
      <c r="N514" s="16"/>
      <c r="O514" s="16"/>
      <c r="P514" s="16"/>
      <c r="Q514" s="16"/>
      <c r="R514" s="16"/>
      <c r="S514" s="16"/>
      <c r="T514" s="16"/>
      <c r="U514" s="16"/>
      <c r="V514" s="16"/>
      <c r="W514" s="16"/>
      <c r="X514" s="16"/>
      <c r="Y514" s="16"/>
      <c r="Z514" s="16"/>
      <c r="AA514" s="16"/>
      <c r="AB514" s="16"/>
      <c r="AC514" s="16"/>
      <c r="AD514" s="16"/>
      <c r="AE514" s="16"/>
      <c r="AF514" s="16"/>
      <c r="AG514" s="16"/>
      <c r="AH514" s="16"/>
      <c r="AI514" s="16"/>
    </row>
    <row r="515" ht="12.75" customHeight="1" spans="1:35" x14ac:dyDescent="0.25">
      <c r="A515" s="16"/>
      <c r="B515" s="16"/>
      <c r="C515" s="16"/>
      <c r="D515" s="16"/>
      <c r="E515" s="16"/>
      <c r="F515" s="16"/>
      <c r="G515" s="16"/>
      <c r="H515" s="16"/>
      <c r="I515" s="16"/>
      <c r="J515" s="16"/>
      <c r="K515" s="16"/>
      <c r="L515" s="16"/>
      <c r="M515" s="16"/>
      <c r="N515" s="16"/>
      <c r="O515" s="16"/>
      <c r="P515" s="16"/>
      <c r="Q515" s="16"/>
      <c r="R515" s="16"/>
      <c r="S515" s="16"/>
      <c r="T515" s="16"/>
      <c r="U515" s="16"/>
      <c r="V515" s="16"/>
      <c r="W515" s="16"/>
      <c r="X515" s="16"/>
      <c r="Y515" s="16"/>
      <c r="Z515" s="16"/>
      <c r="AA515" s="16"/>
      <c r="AB515" s="16"/>
      <c r="AC515" s="16"/>
      <c r="AD515" s="16"/>
      <c r="AE515" s="16"/>
      <c r="AF515" s="16"/>
      <c r="AG515" s="16"/>
      <c r="AH515" s="16"/>
      <c r="AI515" s="16"/>
    </row>
    <row r="516" ht="12.75" customHeight="1" spans="1:35" x14ac:dyDescent="0.25">
      <c r="A516" s="16"/>
      <c r="B516" s="16"/>
      <c r="C516" s="16"/>
      <c r="D516" s="16"/>
      <c r="E516" s="16"/>
      <c r="F516" s="16"/>
      <c r="G516" s="16"/>
      <c r="H516" s="16"/>
      <c r="I516" s="16"/>
      <c r="J516" s="16"/>
      <c r="K516" s="16"/>
      <c r="L516" s="16"/>
      <c r="M516" s="16"/>
      <c r="N516" s="16"/>
      <c r="O516" s="16"/>
      <c r="P516" s="16"/>
      <c r="Q516" s="16"/>
      <c r="R516" s="16"/>
      <c r="S516" s="16"/>
      <c r="T516" s="16"/>
      <c r="U516" s="16"/>
      <c r="V516" s="16"/>
      <c r="W516" s="16"/>
      <c r="X516" s="16"/>
      <c r="Y516" s="16"/>
      <c r="Z516" s="16"/>
      <c r="AA516" s="16"/>
      <c r="AB516" s="16"/>
      <c r="AC516" s="16"/>
      <c r="AD516" s="16"/>
      <c r="AE516" s="16"/>
      <c r="AF516" s="16"/>
      <c r="AG516" s="16"/>
      <c r="AH516" s="16"/>
      <c r="AI516" s="16"/>
    </row>
    <row r="517" ht="12.75" customHeight="1" spans="1:35" x14ac:dyDescent="0.25">
      <c r="A517" s="16"/>
      <c r="B517" s="16"/>
      <c r="C517" s="16"/>
      <c r="D517" s="16"/>
      <c r="E517" s="16"/>
      <c r="F517" s="16"/>
      <c r="G517" s="16"/>
      <c r="H517" s="16"/>
      <c r="I517" s="16"/>
      <c r="J517" s="16"/>
      <c r="K517" s="16"/>
      <c r="L517" s="16"/>
      <c r="M517" s="16"/>
      <c r="N517" s="16"/>
      <c r="O517" s="16"/>
      <c r="P517" s="16"/>
      <c r="Q517" s="16"/>
      <c r="R517" s="16"/>
      <c r="S517" s="16"/>
      <c r="T517" s="16"/>
      <c r="U517" s="16"/>
      <c r="V517" s="16"/>
      <c r="W517" s="16"/>
      <c r="X517" s="16"/>
      <c r="Y517" s="16"/>
      <c r="Z517" s="16"/>
      <c r="AA517" s="16"/>
      <c r="AB517" s="16"/>
      <c r="AC517" s="16"/>
      <c r="AD517" s="16"/>
      <c r="AE517" s="16"/>
      <c r="AF517" s="16"/>
      <c r="AG517" s="16"/>
      <c r="AH517" s="16"/>
      <c r="AI517" s="16"/>
    </row>
    <row r="518" ht="12.75" customHeight="1" spans="1:35" x14ac:dyDescent="0.25">
      <c r="A518" s="16"/>
      <c r="B518" s="16"/>
      <c r="C518" s="16"/>
      <c r="D518" s="16"/>
      <c r="E518" s="16"/>
      <c r="F518" s="16"/>
      <c r="G518" s="16"/>
      <c r="H518" s="16"/>
      <c r="I518" s="16"/>
      <c r="J518" s="16"/>
      <c r="K518" s="16"/>
      <c r="L518" s="16"/>
      <c r="M518" s="16"/>
      <c r="N518" s="16"/>
      <c r="O518" s="16"/>
      <c r="P518" s="16"/>
      <c r="Q518" s="16"/>
      <c r="R518" s="16"/>
      <c r="S518" s="16"/>
      <c r="T518" s="16"/>
      <c r="U518" s="16"/>
      <c r="V518" s="16"/>
      <c r="W518" s="16"/>
      <c r="X518" s="16"/>
      <c r="Y518" s="16"/>
      <c r="Z518" s="16"/>
      <c r="AA518" s="16"/>
      <c r="AB518" s="16"/>
      <c r="AC518" s="16"/>
      <c r="AD518" s="16"/>
      <c r="AE518" s="16"/>
      <c r="AF518" s="16"/>
      <c r="AG518" s="16"/>
      <c r="AH518" s="16"/>
      <c r="AI518" s="16"/>
    </row>
    <row r="519" ht="12.75" customHeight="1" spans="1:35" x14ac:dyDescent="0.25">
      <c r="A519" s="16"/>
      <c r="B519" s="16"/>
      <c r="C519" s="16"/>
      <c r="D519" s="16"/>
      <c r="E519" s="16"/>
      <c r="F519" s="16"/>
      <c r="G519" s="16"/>
      <c r="H519" s="16"/>
      <c r="I519" s="16"/>
      <c r="J519" s="16"/>
      <c r="K519" s="16"/>
      <c r="L519" s="16"/>
      <c r="M519" s="16"/>
      <c r="N519" s="16"/>
      <c r="O519" s="16"/>
      <c r="P519" s="16"/>
      <c r="Q519" s="16"/>
      <c r="R519" s="16"/>
      <c r="S519" s="16"/>
      <c r="T519" s="16"/>
      <c r="U519" s="16"/>
      <c r="V519" s="16"/>
      <c r="W519" s="16"/>
      <c r="X519" s="16"/>
      <c r="Y519" s="16"/>
      <c r="Z519" s="16"/>
      <c r="AA519" s="16"/>
      <c r="AB519" s="16"/>
      <c r="AC519" s="16"/>
      <c r="AD519" s="16"/>
      <c r="AE519" s="16"/>
      <c r="AF519" s="16"/>
      <c r="AG519" s="16"/>
      <c r="AH519" s="16"/>
      <c r="AI519" s="16"/>
    </row>
    <row r="520" ht="12.75" customHeight="1" spans="1:35" x14ac:dyDescent="0.25">
      <c r="A520" s="16"/>
      <c r="B520" s="16"/>
      <c r="C520" s="16"/>
      <c r="D520" s="16"/>
      <c r="E520" s="16"/>
      <c r="F520" s="16"/>
      <c r="G520" s="16"/>
      <c r="H520" s="16"/>
      <c r="I520" s="16"/>
      <c r="J520" s="16"/>
      <c r="K520" s="16"/>
      <c r="L520" s="16"/>
      <c r="M520" s="16"/>
      <c r="N520" s="16"/>
      <c r="O520" s="16"/>
      <c r="P520" s="16"/>
      <c r="Q520" s="16"/>
      <c r="R520" s="16"/>
      <c r="S520" s="16"/>
      <c r="T520" s="16"/>
      <c r="U520" s="16"/>
      <c r="V520" s="16"/>
      <c r="W520" s="16"/>
      <c r="X520" s="16"/>
      <c r="Y520" s="16"/>
      <c r="Z520" s="16"/>
      <c r="AA520" s="16"/>
      <c r="AB520" s="16"/>
      <c r="AC520" s="16"/>
      <c r="AD520" s="16"/>
      <c r="AE520" s="16"/>
      <c r="AF520" s="16"/>
      <c r="AG520" s="16"/>
      <c r="AH520" s="16"/>
      <c r="AI520" s="16"/>
    </row>
    <row r="521" ht="12.75" customHeight="1" spans="1:35" x14ac:dyDescent="0.25">
      <c r="A521" s="16"/>
      <c r="B521" s="16"/>
      <c r="C521" s="16"/>
      <c r="D521" s="16"/>
      <c r="E521" s="16"/>
      <c r="F521" s="16"/>
      <c r="G521" s="16"/>
      <c r="H521" s="16"/>
      <c r="I521" s="16"/>
      <c r="J521" s="16"/>
      <c r="K521" s="16"/>
      <c r="L521" s="16"/>
      <c r="M521" s="16"/>
      <c r="N521" s="16"/>
      <c r="O521" s="16"/>
      <c r="P521" s="16"/>
      <c r="Q521" s="16"/>
      <c r="R521" s="16"/>
      <c r="S521" s="16"/>
      <c r="T521" s="16"/>
      <c r="U521" s="16"/>
      <c r="V521" s="16"/>
      <c r="W521" s="16"/>
      <c r="X521" s="16"/>
      <c r="Y521" s="16"/>
      <c r="Z521" s="16"/>
      <c r="AA521" s="16"/>
      <c r="AB521" s="16"/>
      <c r="AC521" s="16"/>
      <c r="AD521" s="16"/>
      <c r="AE521" s="16"/>
      <c r="AF521" s="16"/>
      <c r="AG521" s="16"/>
      <c r="AH521" s="16"/>
      <c r="AI521" s="16"/>
    </row>
    <row r="522" ht="12.75" customHeight="1" spans="1:35" x14ac:dyDescent="0.25">
      <c r="A522" s="16"/>
      <c r="B522" s="16"/>
      <c r="C522" s="16"/>
      <c r="D522" s="16"/>
      <c r="E522" s="16"/>
      <c r="F522" s="16"/>
      <c r="G522" s="16"/>
      <c r="H522" s="16"/>
      <c r="I522" s="16"/>
      <c r="J522" s="16"/>
      <c r="K522" s="16"/>
      <c r="L522" s="16"/>
      <c r="M522" s="16"/>
      <c r="N522" s="16"/>
      <c r="O522" s="16"/>
      <c r="P522" s="16"/>
      <c r="Q522" s="16"/>
      <c r="R522" s="16"/>
      <c r="S522" s="16"/>
      <c r="T522" s="16"/>
      <c r="U522" s="16"/>
      <c r="V522" s="16"/>
      <c r="W522" s="16"/>
      <c r="X522" s="16"/>
      <c r="Y522" s="16"/>
      <c r="Z522" s="16"/>
      <c r="AA522" s="16"/>
      <c r="AB522" s="16"/>
      <c r="AC522" s="16"/>
      <c r="AD522" s="16"/>
      <c r="AE522" s="16"/>
      <c r="AF522" s="16"/>
      <c r="AG522" s="16"/>
      <c r="AH522" s="16"/>
      <c r="AI522" s="16"/>
    </row>
    <row r="523" ht="12.75" customHeight="1" spans="1:35" x14ac:dyDescent="0.25">
      <c r="A523" s="16"/>
      <c r="B523" s="16"/>
      <c r="C523" s="16"/>
      <c r="D523" s="16"/>
      <c r="E523" s="16"/>
      <c r="F523" s="16"/>
      <c r="G523" s="16"/>
      <c r="H523" s="16"/>
      <c r="I523" s="16"/>
      <c r="J523" s="16"/>
      <c r="K523" s="16"/>
      <c r="L523" s="16"/>
      <c r="M523" s="16"/>
      <c r="N523" s="16"/>
      <c r="O523" s="16"/>
      <c r="P523" s="16"/>
      <c r="Q523" s="16"/>
      <c r="R523" s="16"/>
      <c r="S523" s="16"/>
      <c r="T523" s="16"/>
      <c r="U523" s="16"/>
      <c r="V523" s="16"/>
      <c r="W523" s="16"/>
      <c r="X523" s="16"/>
      <c r="Y523" s="16"/>
      <c r="Z523" s="16"/>
      <c r="AA523" s="16"/>
      <c r="AB523" s="16"/>
      <c r="AC523" s="16"/>
      <c r="AD523" s="16"/>
      <c r="AE523" s="16"/>
      <c r="AF523" s="16"/>
      <c r="AG523" s="16"/>
      <c r="AH523" s="16"/>
      <c r="AI523" s="16"/>
    </row>
    <row r="524" ht="12.75" customHeight="1" spans="1:35" x14ac:dyDescent="0.25">
      <c r="A524" s="16"/>
      <c r="B524" s="16"/>
      <c r="C524" s="16"/>
      <c r="D524" s="16"/>
      <c r="E524" s="16"/>
      <c r="F524" s="16"/>
      <c r="G524" s="16"/>
      <c r="H524" s="16"/>
      <c r="I524" s="16"/>
      <c r="J524" s="16"/>
      <c r="K524" s="16"/>
      <c r="L524" s="16"/>
      <c r="M524" s="16"/>
      <c r="N524" s="16"/>
      <c r="O524" s="16"/>
      <c r="P524" s="16"/>
      <c r="Q524" s="16"/>
      <c r="R524" s="16"/>
      <c r="S524" s="16"/>
      <c r="T524" s="16"/>
      <c r="U524" s="16"/>
      <c r="V524" s="16"/>
      <c r="W524" s="16"/>
      <c r="X524" s="16"/>
      <c r="Y524" s="16"/>
      <c r="Z524" s="16"/>
      <c r="AA524" s="16"/>
      <c r="AB524" s="16"/>
      <c r="AC524" s="16"/>
      <c r="AD524" s="16"/>
      <c r="AE524" s="16"/>
      <c r="AF524" s="16"/>
      <c r="AG524" s="16"/>
      <c r="AH524" s="16"/>
      <c r="AI524" s="16"/>
    </row>
    <row r="525" ht="12.75" customHeight="1" spans="1:35" x14ac:dyDescent="0.25">
      <c r="A525" s="16"/>
      <c r="B525" s="16"/>
      <c r="C525" s="16"/>
      <c r="D525" s="16"/>
      <c r="E525" s="16"/>
      <c r="F525" s="16"/>
      <c r="G525" s="16"/>
      <c r="H525" s="16"/>
      <c r="I525" s="16"/>
      <c r="J525" s="16"/>
      <c r="K525" s="16"/>
      <c r="L525" s="16"/>
      <c r="M525" s="16"/>
      <c r="N525" s="16"/>
      <c r="O525" s="16"/>
      <c r="P525" s="16"/>
      <c r="Q525" s="16"/>
      <c r="R525" s="16"/>
      <c r="S525" s="16"/>
      <c r="T525" s="16"/>
      <c r="U525" s="16"/>
      <c r="V525" s="16"/>
      <c r="W525" s="16"/>
      <c r="X525" s="16"/>
      <c r="Y525" s="16"/>
      <c r="Z525" s="16"/>
      <c r="AA525" s="16"/>
      <c r="AB525" s="16"/>
      <c r="AC525" s="16"/>
      <c r="AD525" s="16"/>
      <c r="AE525" s="16"/>
      <c r="AF525" s="16"/>
      <c r="AG525" s="16"/>
      <c r="AH525" s="16"/>
      <c r="AI525" s="16"/>
    </row>
    <row r="526" ht="12.75" customHeight="1" spans="1:35" x14ac:dyDescent="0.25">
      <c r="A526" s="16"/>
      <c r="B526" s="16"/>
      <c r="C526" s="16"/>
      <c r="D526" s="16"/>
      <c r="E526" s="16"/>
      <c r="F526" s="16"/>
      <c r="G526" s="16"/>
      <c r="H526" s="16"/>
      <c r="I526" s="16"/>
      <c r="J526" s="16"/>
      <c r="K526" s="16"/>
      <c r="L526" s="16"/>
      <c r="M526" s="16"/>
      <c r="N526" s="16"/>
      <c r="O526" s="16"/>
      <c r="P526" s="16"/>
      <c r="Q526" s="16"/>
      <c r="R526" s="16"/>
      <c r="S526" s="16"/>
      <c r="T526" s="16"/>
      <c r="U526" s="16"/>
      <c r="V526" s="16"/>
      <c r="W526" s="16"/>
      <c r="X526" s="16"/>
      <c r="Y526" s="16"/>
      <c r="Z526" s="16"/>
      <c r="AA526" s="16"/>
      <c r="AB526" s="16"/>
      <c r="AC526" s="16"/>
      <c r="AD526" s="16"/>
      <c r="AE526" s="16"/>
      <c r="AF526" s="16"/>
      <c r="AG526" s="16"/>
      <c r="AH526" s="16"/>
      <c r="AI526" s="16"/>
    </row>
    <row r="527" ht="12.75" customHeight="1" spans="1:35" x14ac:dyDescent="0.25">
      <c r="A527" s="16"/>
      <c r="B527" s="16"/>
      <c r="C527" s="16"/>
      <c r="D527" s="16"/>
      <c r="E527" s="16"/>
      <c r="F527" s="16"/>
      <c r="G527" s="16"/>
      <c r="H527" s="16"/>
      <c r="I527" s="16"/>
      <c r="J527" s="16"/>
      <c r="K527" s="16"/>
      <c r="L527" s="16"/>
      <c r="M527" s="16"/>
      <c r="N527" s="16"/>
      <c r="O527" s="16"/>
      <c r="P527" s="16"/>
      <c r="Q527" s="16"/>
      <c r="R527" s="16"/>
      <c r="S527" s="16"/>
      <c r="T527" s="16"/>
      <c r="U527" s="16"/>
      <c r="V527" s="16"/>
      <c r="W527" s="16"/>
      <c r="X527" s="16"/>
      <c r="Y527" s="16"/>
      <c r="Z527" s="16"/>
      <c r="AA527" s="16"/>
      <c r="AB527" s="16"/>
      <c r="AC527" s="16"/>
      <c r="AD527" s="16"/>
      <c r="AE527" s="16"/>
      <c r="AF527" s="16"/>
      <c r="AG527" s="16"/>
      <c r="AH527" s="16"/>
      <c r="AI527" s="16"/>
    </row>
    <row r="528" ht="12.75" customHeight="1" spans="1:35" x14ac:dyDescent="0.25">
      <c r="A528" s="16"/>
      <c r="B528" s="16"/>
      <c r="C528" s="16"/>
      <c r="D528" s="16"/>
      <c r="E528" s="16"/>
      <c r="F528" s="16"/>
      <c r="G528" s="16"/>
      <c r="H528" s="16"/>
      <c r="I528" s="16"/>
      <c r="J528" s="16"/>
      <c r="K528" s="16"/>
      <c r="L528" s="16"/>
      <c r="M528" s="16"/>
      <c r="N528" s="16"/>
      <c r="O528" s="16"/>
      <c r="P528" s="16"/>
      <c r="Q528" s="16"/>
      <c r="R528" s="16"/>
      <c r="S528" s="16"/>
      <c r="T528" s="16"/>
      <c r="U528" s="16"/>
      <c r="V528" s="16"/>
      <c r="W528" s="16"/>
      <c r="X528" s="16"/>
      <c r="Y528" s="16"/>
      <c r="Z528" s="16"/>
      <c r="AA528" s="16"/>
      <c r="AB528" s="16"/>
      <c r="AC528" s="16"/>
      <c r="AD528" s="16"/>
      <c r="AE528" s="16"/>
      <c r="AF528" s="16"/>
      <c r="AG528" s="16"/>
      <c r="AH528" s="16"/>
      <c r="AI528" s="16"/>
    </row>
    <row r="529" ht="12.75" customHeight="1" spans="1:35" x14ac:dyDescent="0.25">
      <c r="A529" s="16"/>
      <c r="B529" s="16"/>
      <c r="C529" s="16"/>
      <c r="D529" s="16"/>
      <c r="E529" s="16"/>
      <c r="F529" s="16"/>
      <c r="G529" s="16"/>
      <c r="H529" s="16"/>
      <c r="I529" s="16"/>
      <c r="J529" s="16"/>
      <c r="K529" s="16"/>
      <c r="L529" s="16"/>
      <c r="M529" s="16"/>
      <c r="N529" s="16"/>
      <c r="O529" s="16"/>
      <c r="P529" s="16"/>
      <c r="Q529" s="16"/>
      <c r="R529" s="16"/>
      <c r="S529" s="16"/>
      <c r="T529" s="16"/>
      <c r="U529" s="16"/>
      <c r="V529" s="16"/>
      <c r="W529" s="16"/>
      <c r="X529" s="16"/>
      <c r="Y529" s="16"/>
      <c r="Z529" s="16"/>
      <c r="AA529" s="16"/>
      <c r="AB529" s="16"/>
      <c r="AC529" s="16"/>
      <c r="AD529" s="16"/>
      <c r="AE529" s="16"/>
      <c r="AF529" s="16"/>
      <c r="AG529" s="16"/>
      <c r="AH529" s="16"/>
      <c r="AI529" s="16"/>
    </row>
    <row r="530" ht="12.75" customHeight="1" spans="1:35" x14ac:dyDescent="0.25">
      <c r="A530" s="16"/>
      <c r="B530" s="16"/>
      <c r="C530" s="16"/>
      <c r="D530" s="16"/>
      <c r="E530" s="16"/>
      <c r="F530" s="16"/>
      <c r="G530" s="16"/>
      <c r="H530" s="16"/>
      <c r="I530" s="16"/>
      <c r="J530" s="16"/>
      <c r="K530" s="16"/>
      <c r="L530" s="16"/>
      <c r="M530" s="16"/>
      <c r="N530" s="16"/>
      <c r="O530" s="16"/>
      <c r="P530" s="16"/>
      <c r="Q530" s="16"/>
      <c r="R530" s="16"/>
      <c r="S530" s="16"/>
      <c r="T530" s="16"/>
      <c r="U530" s="16"/>
      <c r="V530" s="16"/>
      <c r="W530" s="16"/>
      <c r="X530" s="16"/>
      <c r="Y530" s="16"/>
      <c r="Z530" s="16"/>
      <c r="AA530" s="16"/>
      <c r="AB530" s="16"/>
      <c r="AC530" s="16"/>
      <c r="AD530" s="16"/>
      <c r="AE530" s="16"/>
      <c r="AF530" s="16"/>
      <c r="AG530" s="16"/>
      <c r="AH530" s="16"/>
      <c r="AI530" s="16"/>
    </row>
    <row r="531" ht="12.75" customHeight="1" spans="1:35" x14ac:dyDescent="0.25">
      <c r="A531" s="16"/>
      <c r="B531" s="16"/>
      <c r="C531" s="16"/>
      <c r="D531" s="16"/>
      <c r="E531" s="16"/>
      <c r="F531" s="16"/>
      <c r="G531" s="16"/>
      <c r="H531" s="16"/>
      <c r="I531" s="16"/>
      <c r="J531" s="16"/>
      <c r="K531" s="16"/>
      <c r="L531" s="16"/>
      <c r="M531" s="16"/>
      <c r="N531" s="16"/>
      <c r="O531" s="16"/>
      <c r="P531" s="16"/>
      <c r="Q531" s="16"/>
      <c r="R531" s="16"/>
      <c r="S531" s="16"/>
      <c r="T531" s="16"/>
      <c r="U531" s="16"/>
      <c r="V531" s="16"/>
      <c r="W531" s="16"/>
      <c r="X531" s="16"/>
      <c r="Y531" s="16"/>
      <c r="Z531" s="16"/>
      <c r="AA531" s="16"/>
      <c r="AB531" s="16"/>
      <c r="AC531" s="16"/>
      <c r="AD531" s="16"/>
      <c r="AE531" s="16"/>
      <c r="AF531" s="16"/>
      <c r="AG531" s="16"/>
      <c r="AH531" s="16"/>
      <c r="AI531" s="16"/>
    </row>
    <row r="532" ht="12.75" customHeight="1" spans="1:35" x14ac:dyDescent="0.25">
      <c r="A532" s="16"/>
      <c r="B532" s="16"/>
      <c r="C532" s="16"/>
      <c r="D532" s="16"/>
      <c r="E532" s="16"/>
      <c r="F532" s="16"/>
      <c r="G532" s="16"/>
      <c r="H532" s="16"/>
      <c r="I532" s="16"/>
      <c r="J532" s="16"/>
      <c r="K532" s="16"/>
      <c r="L532" s="16"/>
      <c r="M532" s="16"/>
      <c r="N532" s="16"/>
      <c r="O532" s="16"/>
      <c r="P532" s="16"/>
      <c r="Q532" s="16"/>
      <c r="R532" s="16"/>
      <c r="S532" s="16"/>
      <c r="T532" s="16"/>
      <c r="U532" s="16"/>
      <c r="V532" s="16"/>
      <c r="W532" s="16"/>
      <c r="X532" s="16"/>
      <c r="Y532" s="16"/>
      <c r="Z532" s="16"/>
      <c r="AA532" s="16"/>
      <c r="AB532" s="16"/>
      <c r="AC532" s="16"/>
      <c r="AD532" s="16"/>
      <c r="AE532" s="16"/>
      <c r="AF532" s="16"/>
      <c r="AG532" s="16"/>
      <c r="AH532" s="16"/>
      <c r="AI532" s="16"/>
    </row>
    <row r="533" ht="12.75" customHeight="1" spans="1:35" x14ac:dyDescent="0.25">
      <c r="A533" s="16"/>
      <c r="B533" s="16"/>
      <c r="C533" s="16"/>
      <c r="D533" s="16"/>
      <c r="E533" s="16"/>
      <c r="F533" s="16"/>
      <c r="G533" s="16"/>
      <c r="H533" s="16"/>
      <c r="I533" s="16"/>
      <c r="J533" s="16"/>
      <c r="K533" s="16"/>
      <c r="L533" s="16"/>
      <c r="M533" s="16"/>
      <c r="N533" s="16"/>
      <c r="O533" s="16"/>
      <c r="P533" s="16"/>
      <c r="Q533" s="16"/>
      <c r="R533" s="16"/>
      <c r="S533" s="16"/>
      <c r="T533" s="16"/>
      <c r="U533" s="16"/>
      <c r="V533" s="16"/>
      <c r="W533" s="16"/>
      <c r="X533" s="16"/>
      <c r="Y533" s="16"/>
      <c r="Z533" s="16"/>
      <c r="AA533" s="16"/>
      <c r="AB533" s="16"/>
      <c r="AC533" s="16"/>
      <c r="AD533" s="16"/>
      <c r="AE533" s="16"/>
      <c r="AF533" s="16"/>
      <c r="AG533" s="16"/>
      <c r="AH533" s="16"/>
      <c r="AI533" s="16"/>
    </row>
    <row r="534" ht="12.75" customHeight="1" spans="1:35" x14ac:dyDescent="0.25">
      <c r="A534" s="16"/>
      <c r="B534" s="16"/>
      <c r="C534" s="16"/>
      <c r="D534" s="16"/>
      <c r="E534" s="16"/>
      <c r="F534" s="16"/>
      <c r="G534" s="16"/>
      <c r="H534" s="16"/>
      <c r="I534" s="16"/>
      <c r="J534" s="16"/>
      <c r="K534" s="16"/>
      <c r="L534" s="16"/>
      <c r="M534" s="16"/>
      <c r="N534" s="16"/>
      <c r="O534" s="16"/>
      <c r="P534" s="16"/>
      <c r="Q534" s="16"/>
      <c r="R534" s="16"/>
      <c r="S534" s="16"/>
      <c r="T534" s="16"/>
      <c r="U534" s="16"/>
      <c r="V534" s="16"/>
      <c r="W534" s="16"/>
      <c r="X534" s="16"/>
      <c r="Y534" s="16"/>
      <c r="Z534" s="16"/>
      <c r="AA534" s="16"/>
      <c r="AB534" s="16"/>
      <c r="AC534" s="16"/>
      <c r="AD534" s="16"/>
      <c r="AE534" s="16"/>
      <c r="AF534" s="16"/>
      <c r="AG534" s="16"/>
      <c r="AH534" s="16"/>
      <c r="AI534" s="16"/>
    </row>
    <row r="535" ht="12.75" customHeight="1" spans="1:35" x14ac:dyDescent="0.25">
      <c r="A535" s="16"/>
      <c r="B535" s="16"/>
      <c r="C535" s="16"/>
      <c r="D535" s="16"/>
      <c r="E535" s="16"/>
      <c r="F535" s="16"/>
      <c r="G535" s="16"/>
      <c r="H535" s="16"/>
      <c r="I535" s="16"/>
      <c r="J535" s="16"/>
      <c r="K535" s="16"/>
      <c r="L535" s="16"/>
      <c r="M535" s="16"/>
      <c r="N535" s="16"/>
      <c r="O535" s="16"/>
      <c r="P535" s="16"/>
      <c r="Q535" s="16"/>
      <c r="R535" s="16"/>
      <c r="S535" s="16"/>
      <c r="T535" s="16"/>
      <c r="U535" s="16"/>
      <c r="V535" s="16"/>
      <c r="W535" s="16"/>
      <c r="X535" s="16"/>
      <c r="Y535" s="16"/>
      <c r="Z535" s="16"/>
      <c r="AA535" s="16"/>
      <c r="AB535" s="16"/>
      <c r="AC535" s="16"/>
      <c r="AD535" s="16"/>
      <c r="AE535" s="16"/>
      <c r="AF535" s="16"/>
      <c r="AG535" s="16"/>
      <c r="AH535" s="16"/>
      <c r="AI535" s="16"/>
    </row>
    <row r="536" ht="12.75" customHeight="1" spans="1:35" x14ac:dyDescent="0.25">
      <c r="A536" s="16"/>
      <c r="B536" s="16"/>
      <c r="C536" s="16"/>
      <c r="D536" s="16"/>
      <c r="E536" s="16"/>
      <c r="F536" s="16"/>
      <c r="G536" s="16"/>
      <c r="H536" s="16"/>
      <c r="I536" s="16"/>
      <c r="J536" s="16"/>
      <c r="K536" s="16"/>
      <c r="L536" s="16"/>
      <c r="M536" s="16"/>
      <c r="N536" s="16"/>
      <c r="O536" s="16"/>
      <c r="P536" s="16"/>
      <c r="Q536" s="16"/>
      <c r="R536" s="16"/>
      <c r="S536" s="16"/>
      <c r="T536" s="16"/>
      <c r="U536" s="16"/>
      <c r="V536" s="16"/>
      <c r="W536" s="16"/>
      <c r="X536" s="16"/>
      <c r="Y536" s="16"/>
      <c r="Z536" s="16"/>
      <c r="AA536" s="16"/>
      <c r="AB536" s="16"/>
      <c r="AC536" s="16"/>
      <c r="AD536" s="16"/>
      <c r="AE536" s="16"/>
      <c r="AF536" s="16"/>
      <c r="AG536" s="16"/>
      <c r="AH536" s="16"/>
      <c r="AI536" s="16"/>
    </row>
    <row r="537" ht="12.75" customHeight="1" spans="1:35" x14ac:dyDescent="0.25">
      <c r="A537" s="16"/>
      <c r="B537" s="16"/>
      <c r="C537" s="16"/>
      <c r="D537" s="16"/>
      <c r="E537" s="16"/>
      <c r="F537" s="16"/>
      <c r="G537" s="16"/>
      <c r="H537" s="16"/>
      <c r="I537" s="16"/>
      <c r="J537" s="16"/>
      <c r="K537" s="16"/>
      <c r="L537" s="16"/>
      <c r="M537" s="16"/>
      <c r="N537" s="16"/>
      <c r="O537" s="16"/>
      <c r="P537" s="16"/>
      <c r="Q537" s="16"/>
      <c r="R537" s="16"/>
      <c r="S537" s="16"/>
      <c r="T537" s="16"/>
      <c r="U537" s="16"/>
      <c r="V537" s="16"/>
      <c r="W537" s="16"/>
      <c r="X537" s="16"/>
      <c r="Y537" s="16"/>
      <c r="Z537" s="16"/>
      <c r="AA537" s="16"/>
      <c r="AB537" s="16"/>
      <c r="AC537" s="16"/>
      <c r="AD537" s="16"/>
      <c r="AE537" s="16"/>
      <c r="AF537" s="16"/>
      <c r="AG537" s="16"/>
      <c r="AH537" s="16"/>
      <c r="AI537" s="16"/>
    </row>
    <row r="538" ht="12.75" customHeight="1" spans="1:35" x14ac:dyDescent="0.25">
      <c r="A538" s="16"/>
      <c r="B538" s="16"/>
      <c r="C538" s="16"/>
      <c r="D538" s="16"/>
      <c r="E538" s="16"/>
      <c r="F538" s="16"/>
      <c r="G538" s="16"/>
      <c r="H538" s="16"/>
      <c r="I538" s="16"/>
      <c r="J538" s="16"/>
      <c r="K538" s="16"/>
      <c r="L538" s="16"/>
      <c r="M538" s="16"/>
      <c r="N538" s="16"/>
      <c r="O538" s="16"/>
      <c r="P538" s="16"/>
      <c r="Q538" s="16"/>
      <c r="R538" s="16"/>
      <c r="S538" s="16"/>
      <c r="T538" s="16"/>
      <c r="U538" s="16"/>
      <c r="V538" s="16"/>
      <c r="W538" s="16"/>
      <c r="X538" s="16"/>
      <c r="Y538" s="16"/>
      <c r="Z538" s="16"/>
      <c r="AA538" s="16"/>
      <c r="AB538" s="16"/>
      <c r="AC538" s="16"/>
      <c r="AD538" s="16"/>
      <c r="AE538" s="16"/>
      <c r="AF538" s="16"/>
      <c r="AG538" s="16"/>
      <c r="AH538" s="16"/>
      <c r="AI538" s="16"/>
    </row>
    <row r="539" ht="12.75" customHeight="1" spans="1:35" x14ac:dyDescent="0.25">
      <c r="A539" s="16"/>
      <c r="B539" s="16"/>
      <c r="C539" s="16"/>
      <c r="D539" s="16"/>
      <c r="E539" s="16"/>
      <c r="F539" s="16"/>
      <c r="G539" s="16"/>
      <c r="H539" s="16"/>
      <c r="I539" s="16"/>
      <c r="J539" s="16"/>
      <c r="K539" s="16"/>
      <c r="L539" s="16"/>
      <c r="M539" s="16"/>
      <c r="N539" s="16"/>
      <c r="O539" s="16"/>
      <c r="P539" s="16"/>
      <c r="Q539" s="16"/>
      <c r="R539" s="16"/>
      <c r="S539" s="16"/>
      <c r="T539" s="16"/>
      <c r="U539" s="16"/>
      <c r="V539" s="16"/>
      <c r="W539" s="16"/>
      <c r="X539" s="16"/>
      <c r="Y539" s="16"/>
      <c r="Z539" s="16"/>
      <c r="AA539" s="16"/>
      <c r="AB539" s="16"/>
      <c r="AC539" s="16"/>
      <c r="AD539" s="16"/>
      <c r="AE539" s="16"/>
      <c r="AF539" s="16"/>
      <c r="AG539" s="16"/>
      <c r="AH539" s="16"/>
      <c r="AI539" s="16"/>
    </row>
    <row r="540" ht="12.75" customHeight="1" spans="1:35" x14ac:dyDescent="0.25">
      <c r="A540" s="16"/>
      <c r="B540" s="16"/>
      <c r="C540" s="16"/>
      <c r="D540" s="16"/>
      <c r="E540" s="16"/>
      <c r="F540" s="16"/>
      <c r="G540" s="16"/>
      <c r="H540" s="16"/>
      <c r="I540" s="16"/>
      <c r="J540" s="16"/>
      <c r="K540" s="16"/>
      <c r="L540" s="16"/>
      <c r="M540" s="16"/>
      <c r="N540" s="16"/>
      <c r="O540" s="16"/>
      <c r="P540" s="16"/>
      <c r="Q540" s="16"/>
      <c r="R540" s="16"/>
      <c r="S540" s="16"/>
      <c r="T540" s="16"/>
      <c r="U540" s="16"/>
      <c r="V540" s="16"/>
      <c r="W540" s="16"/>
      <c r="X540" s="16"/>
      <c r="Y540" s="16"/>
      <c r="Z540" s="16"/>
      <c r="AA540" s="16"/>
      <c r="AB540" s="16"/>
      <c r="AC540" s="16"/>
      <c r="AD540" s="16"/>
      <c r="AE540" s="16"/>
      <c r="AF540" s="16"/>
      <c r="AG540" s="16"/>
      <c r="AH540" s="16"/>
      <c r="AI540" s="16"/>
    </row>
    <row r="541" ht="12.75" customHeight="1" spans="1:35" x14ac:dyDescent="0.25">
      <c r="A541" s="16"/>
      <c r="B541" s="16"/>
      <c r="C541" s="16"/>
      <c r="D541" s="16"/>
      <c r="E541" s="16"/>
      <c r="F541" s="16"/>
      <c r="G541" s="16"/>
      <c r="H541" s="16"/>
      <c r="I541" s="16"/>
      <c r="J541" s="16"/>
      <c r="K541" s="16"/>
      <c r="L541" s="16"/>
      <c r="M541" s="16"/>
      <c r="N541" s="16"/>
      <c r="O541" s="16"/>
      <c r="P541" s="16"/>
      <c r="Q541" s="16"/>
      <c r="R541" s="16"/>
      <c r="S541" s="16"/>
      <c r="T541" s="16"/>
      <c r="U541" s="16"/>
      <c r="V541" s="16"/>
      <c r="W541" s="16"/>
      <c r="X541" s="16"/>
      <c r="Y541" s="16"/>
      <c r="Z541" s="16"/>
      <c r="AA541" s="16"/>
      <c r="AB541" s="16"/>
      <c r="AC541" s="16"/>
      <c r="AD541" s="16"/>
      <c r="AE541" s="16"/>
      <c r="AF541" s="16"/>
      <c r="AG541" s="16"/>
      <c r="AH541" s="16"/>
      <c r="AI541" s="16"/>
    </row>
    <row r="542" ht="12.75" customHeight="1" spans="1:35" x14ac:dyDescent="0.25">
      <c r="A542" s="16"/>
      <c r="B542" s="16"/>
      <c r="C542" s="16"/>
      <c r="D542" s="16"/>
      <c r="E542" s="16"/>
      <c r="F542" s="16"/>
      <c r="G542" s="16"/>
      <c r="H542" s="16"/>
      <c r="I542" s="16"/>
      <c r="J542" s="16"/>
      <c r="K542" s="16"/>
      <c r="L542" s="16"/>
      <c r="M542" s="16"/>
      <c r="N542" s="16"/>
      <c r="O542" s="16"/>
      <c r="P542" s="16"/>
      <c r="Q542" s="16"/>
      <c r="R542" s="16"/>
      <c r="S542" s="16"/>
      <c r="T542" s="16"/>
      <c r="U542" s="16"/>
      <c r="V542" s="16"/>
      <c r="W542" s="16"/>
      <c r="X542" s="16"/>
      <c r="Y542" s="16"/>
      <c r="Z542" s="16"/>
      <c r="AA542" s="16"/>
      <c r="AB542" s="16"/>
      <c r="AC542" s="16"/>
      <c r="AD542" s="16"/>
      <c r="AE542" s="16"/>
      <c r="AF542" s="16"/>
      <c r="AG542" s="16"/>
      <c r="AH542" s="16"/>
      <c r="AI542" s="16"/>
    </row>
    <row r="543" ht="12.75" customHeight="1" spans="1:35" x14ac:dyDescent="0.25">
      <c r="A543" s="16"/>
      <c r="B543" s="16"/>
      <c r="C543" s="16"/>
      <c r="D543" s="16"/>
      <c r="E543" s="16"/>
      <c r="F543" s="16"/>
      <c r="G543" s="16"/>
      <c r="H543" s="16"/>
      <c r="I543" s="16"/>
      <c r="J543" s="16"/>
      <c r="K543" s="16"/>
      <c r="L543" s="16"/>
      <c r="M543" s="16"/>
      <c r="N543" s="16"/>
      <c r="O543" s="16"/>
      <c r="P543" s="16"/>
      <c r="Q543" s="16"/>
      <c r="R543" s="16"/>
      <c r="S543" s="16"/>
      <c r="T543" s="16"/>
      <c r="U543" s="16"/>
      <c r="V543" s="16"/>
      <c r="W543" s="16"/>
      <c r="X543" s="16"/>
      <c r="Y543" s="16"/>
      <c r="Z543" s="16"/>
      <c r="AA543" s="16"/>
      <c r="AB543" s="16"/>
      <c r="AC543" s="16"/>
      <c r="AD543" s="16"/>
      <c r="AE543" s="16"/>
      <c r="AF543" s="16"/>
      <c r="AG543" s="16"/>
      <c r="AH543" s="16"/>
      <c r="AI543" s="16"/>
    </row>
    <row r="544" ht="12.75" customHeight="1" spans="1:35" x14ac:dyDescent="0.25">
      <c r="A544" s="16"/>
      <c r="B544" s="16"/>
      <c r="C544" s="16"/>
      <c r="D544" s="16"/>
      <c r="E544" s="16"/>
      <c r="F544" s="16"/>
      <c r="G544" s="16"/>
      <c r="H544" s="16"/>
      <c r="I544" s="16"/>
      <c r="J544" s="16"/>
      <c r="K544" s="16"/>
      <c r="L544" s="16"/>
      <c r="M544" s="16"/>
      <c r="N544" s="16"/>
      <c r="O544" s="16"/>
      <c r="P544" s="16"/>
      <c r="Q544" s="16"/>
      <c r="R544" s="16"/>
      <c r="S544" s="16"/>
      <c r="T544" s="16"/>
      <c r="U544" s="16"/>
      <c r="V544" s="16"/>
      <c r="W544" s="16"/>
      <c r="X544" s="16"/>
      <c r="Y544" s="16"/>
      <c r="Z544" s="16"/>
      <c r="AA544" s="16"/>
      <c r="AB544" s="16"/>
      <c r="AC544" s="16"/>
      <c r="AD544" s="16"/>
      <c r="AE544" s="16"/>
      <c r="AF544" s="16"/>
      <c r="AG544" s="16"/>
      <c r="AH544" s="16"/>
      <c r="AI544" s="16"/>
    </row>
    <row r="545" ht="12.75" customHeight="1" spans="1:35" x14ac:dyDescent="0.25">
      <c r="A545" s="16"/>
      <c r="B545" s="16"/>
      <c r="C545" s="16"/>
      <c r="D545" s="16"/>
      <c r="E545" s="16"/>
      <c r="F545" s="16"/>
      <c r="G545" s="16"/>
      <c r="H545" s="16"/>
      <c r="I545" s="16"/>
      <c r="J545" s="16"/>
      <c r="K545" s="16"/>
      <c r="L545" s="16"/>
      <c r="M545" s="16"/>
      <c r="N545" s="16"/>
      <c r="O545" s="16"/>
      <c r="P545" s="16"/>
      <c r="Q545" s="16"/>
      <c r="R545" s="16"/>
      <c r="S545" s="16"/>
      <c r="T545" s="16"/>
      <c r="U545" s="16"/>
      <c r="V545" s="16"/>
      <c r="W545" s="16"/>
      <c r="X545" s="16"/>
      <c r="Y545" s="16"/>
      <c r="Z545" s="16"/>
      <c r="AA545" s="16"/>
      <c r="AB545" s="16"/>
      <c r="AC545" s="16"/>
      <c r="AD545" s="16"/>
      <c r="AE545" s="16"/>
      <c r="AF545" s="16"/>
      <c r="AG545" s="16"/>
      <c r="AH545" s="16"/>
      <c r="AI545" s="16"/>
    </row>
    <row r="546" ht="12.75" customHeight="1" spans="1:35" x14ac:dyDescent="0.25">
      <c r="A546" s="16"/>
      <c r="B546" s="16"/>
      <c r="C546" s="16"/>
      <c r="D546" s="16"/>
      <c r="E546" s="16"/>
      <c r="F546" s="16"/>
      <c r="G546" s="16"/>
      <c r="H546" s="16"/>
      <c r="I546" s="16"/>
      <c r="J546" s="16"/>
      <c r="K546" s="16"/>
      <c r="L546" s="16"/>
      <c r="M546" s="16"/>
      <c r="N546" s="16"/>
      <c r="O546" s="16"/>
      <c r="P546" s="16"/>
      <c r="Q546" s="16"/>
      <c r="R546" s="16"/>
      <c r="S546" s="16"/>
      <c r="T546" s="16"/>
      <c r="U546" s="16"/>
      <c r="V546" s="16"/>
      <c r="W546" s="16"/>
      <c r="X546" s="16"/>
      <c r="Y546" s="16"/>
      <c r="Z546" s="16"/>
      <c r="AA546" s="16"/>
      <c r="AB546" s="16"/>
      <c r="AC546" s="16"/>
      <c r="AD546" s="16"/>
      <c r="AE546" s="16"/>
      <c r="AF546" s="16"/>
      <c r="AG546" s="16"/>
      <c r="AH546" s="16"/>
      <c r="AI546" s="16"/>
    </row>
    <row r="547" ht="12.75" customHeight="1" spans="1:35" x14ac:dyDescent="0.25">
      <c r="A547" s="16"/>
      <c r="B547" s="16"/>
      <c r="C547" s="16"/>
      <c r="D547" s="16"/>
      <c r="E547" s="16"/>
      <c r="F547" s="16"/>
      <c r="G547" s="16"/>
      <c r="H547" s="16"/>
      <c r="I547" s="16"/>
      <c r="J547" s="16"/>
      <c r="K547" s="16"/>
      <c r="L547" s="16"/>
      <c r="M547" s="16"/>
      <c r="N547" s="16"/>
      <c r="O547" s="16"/>
      <c r="P547" s="16"/>
      <c r="Q547" s="16"/>
      <c r="R547" s="16"/>
      <c r="S547" s="16"/>
      <c r="T547" s="16"/>
      <c r="U547" s="16"/>
      <c r="V547" s="16"/>
      <c r="W547" s="16"/>
      <c r="X547" s="16"/>
      <c r="Y547" s="16"/>
      <c r="Z547" s="16"/>
      <c r="AA547" s="16"/>
      <c r="AB547" s="16"/>
      <c r="AC547" s="16"/>
      <c r="AD547" s="16"/>
      <c r="AE547" s="16"/>
      <c r="AF547" s="16"/>
      <c r="AG547" s="16"/>
      <c r="AH547" s="16"/>
      <c r="AI547" s="16"/>
    </row>
    <row r="548" ht="12.75" customHeight="1" spans="1:35" x14ac:dyDescent="0.25">
      <c r="A548" s="16"/>
      <c r="B548" s="16"/>
      <c r="C548" s="16"/>
      <c r="D548" s="16"/>
      <c r="E548" s="16"/>
      <c r="F548" s="16"/>
      <c r="G548" s="16"/>
      <c r="H548" s="16"/>
      <c r="I548" s="16"/>
      <c r="J548" s="16"/>
      <c r="K548" s="16"/>
      <c r="L548" s="16"/>
      <c r="M548" s="16"/>
      <c r="N548" s="16"/>
      <c r="O548" s="16"/>
      <c r="P548" s="16"/>
      <c r="Q548" s="16"/>
      <c r="R548" s="16"/>
      <c r="S548" s="16"/>
      <c r="T548" s="16"/>
      <c r="U548" s="16"/>
      <c r="V548" s="16"/>
      <c r="W548" s="16"/>
      <c r="X548" s="16"/>
      <c r="Y548" s="16"/>
      <c r="Z548" s="16"/>
      <c r="AA548" s="16"/>
      <c r="AB548" s="16"/>
      <c r="AC548" s="16"/>
      <c r="AD548" s="16"/>
      <c r="AE548" s="16"/>
      <c r="AF548" s="16"/>
      <c r="AG548" s="16"/>
      <c r="AH548" s="16"/>
      <c r="AI548" s="16"/>
    </row>
    <row r="549" ht="12.75" customHeight="1" spans="1:35" x14ac:dyDescent="0.25">
      <c r="A549" s="16"/>
      <c r="B549" s="16"/>
      <c r="C549" s="16"/>
      <c r="D549" s="16"/>
      <c r="E549" s="16"/>
      <c r="F549" s="16"/>
      <c r="G549" s="16"/>
      <c r="H549" s="16"/>
      <c r="I549" s="16"/>
      <c r="J549" s="16"/>
      <c r="K549" s="16"/>
      <c r="L549" s="16"/>
      <c r="M549" s="16"/>
      <c r="N549" s="16"/>
      <c r="O549" s="16"/>
      <c r="P549" s="16"/>
      <c r="Q549" s="16"/>
      <c r="R549" s="16"/>
      <c r="S549" s="16"/>
      <c r="T549" s="16"/>
      <c r="U549" s="16"/>
      <c r="V549" s="16"/>
      <c r="W549" s="16"/>
      <c r="X549" s="16"/>
      <c r="Y549" s="16"/>
      <c r="Z549" s="16"/>
      <c r="AA549" s="16"/>
      <c r="AB549" s="16"/>
      <c r="AC549" s="16"/>
      <c r="AD549" s="16"/>
      <c r="AE549" s="16"/>
      <c r="AF549" s="16"/>
      <c r="AG549" s="16"/>
      <c r="AH549" s="16"/>
      <c r="AI549" s="16"/>
    </row>
    <row r="550" ht="12.75" customHeight="1" spans="1:35" x14ac:dyDescent="0.25">
      <c r="A550" s="16"/>
      <c r="B550" s="16"/>
      <c r="C550" s="16"/>
      <c r="D550" s="16"/>
      <c r="E550" s="16"/>
      <c r="F550" s="16"/>
      <c r="G550" s="16"/>
      <c r="H550" s="16"/>
      <c r="I550" s="16"/>
      <c r="J550" s="16"/>
      <c r="K550" s="16"/>
      <c r="L550" s="16"/>
      <c r="M550" s="16"/>
      <c r="N550" s="16"/>
      <c r="O550" s="16"/>
      <c r="P550" s="16"/>
      <c r="Q550" s="16"/>
      <c r="R550" s="16"/>
      <c r="S550" s="16"/>
      <c r="T550" s="16"/>
      <c r="U550" s="16"/>
      <c r="V550" s="16"/>
      <c r="W550" s="16"/>
      <c r="X550" s="16"/>
      <c r="Y550" s="16"/>
      <c r="Z550" s="16"/>
      <c r="AA550" s="16"/>
      <c r="AB550" s="16"/>
      <c r="AC550" s="16"/>
      <c r="AD550" s="16"/>
      <c r="AE550" s="16"/>
      <c r="AF550" s="16"/>
      <c r="AG550" s="16"/>
      <c r="AH550" s="16"/>
      <c r="AI550" s="16"/>
    </row>
    <row r="551" ht="12.75" customHeight="1" spans="1:35" x14ac:dyDescent="0.25">
      <c r="A551" s="16"/>
      <c r="B551" s="16"/>
      <c r="C551" s="16"/>
      <c r="D551" s="16"/>
      <c r="E551" s="16"/>
      <c r="F551" s="16"/>
      <c r="G551" s="16"/>
      <c r="H551" s="16"/>
      <c r="I551" s="16"/>
      <c r="J551" s="16"/>
      <c r="K551" s="16"/>
      <c r="L551" s="16"/>
      <c r="M551" s="16"/>
      <c r="N551" s="16"/>
      <c r="O551" s="16"/>
      <c r="P551" s="16"/>
      <c r="Q551" s="16"/>
      <c r="R551" s="16"/>
      <c r="S551" s="16"/>
      <c r="T551" s="16"/>
      <c r="U551" s="16"/>
      <c r="V551" s="16"/>
      <c r="W551" s="16"/>
      <c r="X551" s="16"/>
      <c r="Y551" s="16"/>
      <c r="Z551" s="16"/>
      <c r="AA551" s="16"/>
      <c r="AB551" s="16"/>
      <c r="AC551" s="16"/>
      <c r="AD551" s="16"/>
      <c r="AE551" s="16"/>
      <c r="AF551" s="16"/>
      <c r="AG551" s="16"/>
      <c r="AH551" s="16"/>
      <c r="AI551" s="16"/>
    </row>
    <row r="552" ht="12.75" customHeight="1" spans="1:35" x14ac:dyDescent="0.25">
      <c r="A552" s="16"/>
      <c r="B552" s="16"/>
      <c r="C552" s="16"/>
      <c r="D552" s="16"/>
      <c r="E552" s="16"/>
      <c r="F552" s="16"/>
      <c r="G552" s="16"/>
      <c r="H552" s="16"/>
      <c r="I552" s="16"/>
      <c r="J552" s="16"/>
      <c r="K552" s="16"/>
      <c r="L552" s="16"/>
      <c r="M552" s="16"/>
      <c r="N552" s="16"/>
      <c r="O552" s="16"/>
      <c r="P552" s="16"/>
      <c r="Q552" s="16"/>
      <c r="R552" s="16"/>
      <c r="S552" s="16"/>
      <c r="T552" s="16"/>
      <c r="U552" s="16"/>
      <c r="V552" s="16"/>
      <c r="W552" s="16"/>
      <c r="X552" s="16"/>
      <c r="Y552" s="16"/>
      <c r="Z552" s="16"/>
      <c r="AA552" s="16"/>
      <c r="AB552" s="16"/>
      <c r="AC552" s="16"/>
      <c r="AD552" s="16"/>
      <c r="AE552" s="16"/>
      <c r="AF552" s="16"/>
      <c r="AG552" s="16"/>
      <c r="AH552" s="16"/>
      <c r="AI552" s="16"/>
    </row>
    <row r="553" ht="12.75" customHeight="1" spans="1:35" x14ac:dyDescent="0.25">
      <c r="A553" s="16"/>
      <c r="B553" s="16"/>
      <c r="C553" s="16"/>
      <c r="D553" s="16"/>
      <c r="E553" s="16"/>
      <c r="F553" s="16"/>
      <c r="G553" s="16"/>
      <c r="H553" s="16"/>
      <c r="I553" s="16"/>
      <c r="J553" s="16"/>
      <c r="K553" s="16"/>
      <c r="L553" s="16"/>
      <c r="M553" s="16"/>
      <c r="N553" s="16"/>
      <c r="O553" s="16"/>
      <c r="P553" s="16"/>
      <c r="Q553" s="16"/>
      <c r="R553" s="16"/>
      <c r="S553" s="16"/>
      <c r="T553" s="16"/>
      <c r="U553" s="16"/>
      <c r="V553" s="16"/>
      <c r="W553" s="16"/>
      <c r="X553" s="16"/>
      <c r="Y553" s="16"/>
      <c r="Z553" s="16"/>
      <c r="AA553" s="16"/>
      <c r="AB553" s="16"/>
      <c r="AC553" s="16"/>
      <c r="AD553" s="16"/>
      <c r="AE553" s="16"/>
      <c r="AF553" s="16"/>
      <c r="AG553" s="16"/>
      <c r="AH553" s="16"/>
      <c r="AI553" s="16"/>
    </row>
    <row r="554" ht="12.75" customHeight="1" spans="1:35" x14ac:dyDescent="0.25">
      <c r="A554" s="16"/>
      <c r="B554" s="16"/>
      <c r="C554" s="16"/>
      <c r="D554" s="16"/>
      <c r="E554" s="16"/>
      <c r="F554" s="16"/>
      <c r="G554" s="16"/>
      <c r="H554" s="16"/>
      <c r="I554" s="16"/>
      <c r="J554" s="16"/>
      <c r="K554" s="16"/>
      <c r="L554" s="16"/>
      <c r="M554" s="16"/>
      <c r="N554" s="16"/>
      <c r="O554" s="16"/>
      <c r="P554" s="16"/>
      <c r="Q554" s="16"/>
      <c r="R554" s="16"/>
      <c r="S554" s="16"/>
      <c r="T554" s="16"/>
      <c r="U554" s="16"/>
      <c r="V554" s="16"/>
      <c r="W554" s="16"/>
      <c r="X554" s="16"/>
      <c r="Y554" s="16"/>
      <c r="Z554" s="16"/>
      <c r="AA554" s="16"/>
      <c r="AB554" s="16"/>
      <c r="AC554" s="16"/>
      <c r="AD554" s="16"/>
      <c r="AE554" s="16"/>
      <c r="AF554" s="16"/>
      <c r="AG554" s="16"/>
      <c r="AH554" s="16"/>
      <c r="AI554" s="16"/>
    </row>
    <row r="555" ht="12.75" customHeight="1" spans="1:35" x14ac:dyDescent="0.25">
      <c r="A555" s="16"/>
      <c r="B555" s="16"/>
      <c r="C555" s="16"/>
      <c r="D555" s="16"/>
      <c r="E555" s="16"/>
      <c r="F555" s="16"/>
      <c r="G555" s="16"/>
      <c r="H555" s="16"/>
      <c r="I555" s="16"/>
      <c r="J555" s="16"/>
      <c r="K555" s="16"/>
      <c r="L555" s="16"/>
      <c r="M555" s="16"/>
      <c r="N555" s="16"/>
      <c r="O555" s="16"/>
      <c r="P555" s="16"/>
      <c r="Q555" s="16"/>
      <c r="R555" s="16"/>
      <c r="S555" s="16"/>
      <c r="T555" s="16"/>
      <c r="U555" s="16"/>
      <c r="V555" s="16"/>
      <c r="W555" s="16"/>
      <c r="X555" s="16"/>
      <c r="Y555" s="16"/>
      <c r="Z555" s="16"/>
      <c r="AA555" s="16"/>
      <c r="AB555" s="16"/>
      <c r="AC555" s="16"/>
      <c r="AD555" s="16"/>
      <c r="AE555" s="16"/>
      <c r="AF555" s="16"/>
      <c r="AG555" s="16"/>
      <c r="AH555" s="16"/>
      <c r="AI555" s="16"/>
    </row>
    <row r="556" ht="12.75" customHeight="1" spans="1:35" x14ac:dyDescent="0.25">
      <c r="A556" s="16"/>
      <c r="B556" s="16"/>
      <c r="C556" s="16"/>
      <c r="D556" s="16"/>
      <c r="E556" s="16"/>
      <c r="F556" s="16"/>
      <c r="G556" s="16"/>
      <c r="H556" s="16"/>
      <c r="I556" s="16"/>
      <c r="J556" s="16"/>
      <c r="K556" s="16"/>
      <c r="L556" s="16"/>
      <c r="M556" s="16"/>
      <c r="N556" s="16"/>
      <c r="O556" s="16"/>
      <c r="P556" s="16"/>
      <c r="Q556" s="16"/>
      <c r="R556" s="16"/>
      <c r="S556" s="16"/>
      <c r="T556" s="16"/>
      <c r="U556" s="16"/>
      <c r="V556" s="16"/>
      <c r="W556" s="16"/>
      <c r="X556" s="16"/>
      <c r="Y556" s="16"/>
      <c r="Z556" s="16"/>
      <c r="AA556" s="16"/>
      <c r="AB556" s="16"/>
      <c r="AC556" s="16"/>
      <c r="AD556" s="16"/>
      <c r="AE556" s="16"/>
      <c r="AF556" s="16"/>
      <c r="AG556" s="16"/>
      <c r="AH556" s="16"/>
      <c r="AI556" s="16"/>
    </row>
    <row r="557" ht="12.75" customHeight="1" spans="1:35" x14ac:dyDescent="0.25">
      <c r="A557" s="16"/>
      <c r="B557" s="16"/>
      <c r="C557" s="16"/>
      <c r="D557" s="16"/>
      <c r="E557" s="16"/>
      <c r="F557" s="16"/>
      <c r="G557" s="16"/>
      <c r="H557" s="16"/>
      <c r="I557" s="16"/>
      <c r="J557" s="16"/>
      <c r="K557" s="16"/>
      <c r="L557" s="16"/>
      <c r="M557" s="16"/>
      <c r="N557" s="16"/>
      <c r="O557" s="16"/>
      <c r="P557" s="16"/>
      <c r="Q557" s="16"/>
      <c r="R557" s="16"/>
      <c r="S557" s="16"/>
      <c r="T557" s="16"/>
      <c r="U557" s="16"/>
      <c r="V557" s="16"/>
      <c r="W557" s="16"/>
      <c r="X557" s="16"/>
      <c r="Y557" s="16"/>
      <c r="Z557" s="16"/>
      <c r="AA557" s="16"/>
      <c r="AB557" s="16"/>
      <c r="AC557" s="16"/>
      <c r="AD557" s="16"/>
      <c r="AE557" s="16"/>
      <c r="AF557" s="16"/>
      <c r="AG557" s="16"/>
      <c r="AH557" s="16"/>
      <c r="AI557" s="16"/>
    </row>
    <row r="558" ht="12.75" customHeight="1" spans="1:35" x14ac:dyDescent="0.25">
      <c r="A558" s="16"/>
      <c r="B558" s="16"/>
      <c r="C558" s="16"/>
      <c r="D558" s="16"/>
      <c r="E558" s="16"/>
      <c r="F558" s="16"/>
      <c r="G558" s="16"/>
      <c r="H558" s="16"/>
      <c r="I558" s="16"/>
      <c r="J558" s="16"/>
      <c r="K558" s="16"/>
      <c r="L558" s="16"/>
      <c r="M558" s="16"/>
      <c r="N558" s="16"/>
      <c r="O558" s="16"/>
      <c r="P558" s="16"/>
      <c r="Q558" s="16"/>
      <c r="R558" s="16"/>
      <c r="S558" s="16"/>
      <c r="T558" s="16"/>
      <c r="U558" s="16"/>
      <c r="V558" s="16"/>
      <c r="W558" s="16"/>
      <c r="X558" s="16"/>
      <c r="Y558" s="16"/>
      <c r="Z558" s="16"/>
      <c r="AA558" s="16"/>
      <c r="AB558" s="16"/>
      <c r="AC558" s="16"/>
      <c r="AD558" s="16"/>
      <c r="AE558" s="16"/>
      <c r="AF558" s="16"/>
      <c r="AG558" s="16"/>
      <c r="AH558" s="16"/>
      <c r="AI558" s="16"/>
    </row>
    <row r="559" ht="12.75" customHeight="1" spans="1:35" x14ac:dyDescent="0.25">
      <c r="A559" s="16"/>
      <c r="B559" s="16"/>
      <c r="C559" s="16"/>
      <c r="D559" s="16"/>
      <c r="E559" s="16"/>
      <c r="F559" s="16"/>
      <c r="G559" s="16"/>
      <c r="H559" s="16"/>
      <c r="I559" s="16"/>
      <c r="J559" s="16"/>
      <c r="K559" s="16"/>
      <c r="L559" s="16"/>
      <c r="M559" s="16"/>
      <c r="N559" s="16"/>
      <c r="O559" s="16"/>
      <c r="P559" s="16"/>
      <c r="Q559" s="16"/>
      <c r="R559" s="16"/>
      <c r="S559" s="16"/>
      <c r="T559" s="16"/>
      <c r="U559" s="16"/>
      <c r="V559" s="16"/>
      <c r="W559" s="16"/>
      <c r="X559" s="16"/>
      <c r="Y559" s="16"/>
      <c r="Z559" s="16"/>
      <c r="AA559" s="16"/>
      <c r="AB559" s="16"/>
      <c r="AC559" s="16"/>
      <c r="AD559" s="16"/>
      <c r="AE559" s="16"/>
      <c r="AF559" s="16"/>
      <c r="AG559" s="16"/>
      <c r="AH559" s="16"/>
      <c r="AI559" s="16"/>
    </row>
    <row r="560" ht="12.75" customHeight="1" spans="1:35" x14ac:dyDescent="0.25">
      <c r="A560" s="16"/>
      <c r="B560" s="16"/>
      <c r="C560" s="16"/>
      <c r="D560" s="16"/>
      <c r="E560" s="16"/>
      <c r="F560" s="16"/>
      <c r="G560" s="16"/>
      <c r="H560" s="16"/>
      <c r="I560" s="16"/>
      <c r="J560" s="16"/>
      <c r="K560" s="16"/>
      <c r="L560" s="16"/>
      <c r="M560" s="16"/>
      <c r="N560" s="16"/>
      <c r="O560" s="16"/>
      <c r="P560" s="16"/>
      <c r="Q560" s="16"/>
      <c r="R560" s="16"/>
      <c r="S560" s="16"/>
      <c r="T560" s="16"/>
      <c r="U560" s="16"/>
      <c r="V560" s="16"/>
      <c r="W560" s="16"/>
      <c r="X560" s="16"/>
      <c r="Y560" s="16"/>
      <c r="Z560" s="16"/>
      <c r="AA560" s="16"/>
      <c r="AB560" s="16"/>
      <c r="AC560" s="16"/>
      <c r="AD560" s="16"/>
      <c r="AE560" s="16"/>
      <c r="AF560" s="16"/>
      <c r="AG560" s="16"/>
      <c r="AH560" s="16"/>
      <c r="AI560" s="16"/>
    </row>
    <row r="561" ht="12.75" customHeight="1" spans="1:35" x14ac:dyDescent="0.25">
      <c r="A561" s="16"/>
      <c r="B561" s="16"/>
      <c r="C561" s="16"/>
      <c r="D561" s="16"/>
      <c r="E561" s="16"/>
      <c r="F561" s="16"/>
      <c r="G561" s="16"/>
      <c r="H561" s="16"/>
      <c r="I561" s="16"/>
      <c r="J561" s="16"/>
      <c r="K561" s="16"/>
      <c r="L561" s="16"/>
      <c r="M561" s="16"/>
      <c r="N561" s="16"/>
      <c r="O561" s="16"/>
      <c r="P561" s="16"/>
      <c r="Q561" s="16"/>
      <c r="R561" s="16"/>
      <c r="S561" s="16"/>
      <c r="T561" s="16"/>
      <c r="U561" s="16"/>
      <c r="V561" s="16"/>
      <c r="W561" s="16"/>
      <c r="X561" s="16"/>
      <c r="Y561" s="16"/>
      <c r="Z561" s="16"/>
      <c r="AA561" s="16"/>
      <c r="AB561" s="16"/>
      <c r="AC561" s="16"/>
      <c r="AD561" s="16"/>
      <c r="AE561" s="16"/>
      <c r="AF561" s="16"/>
      <c r="AG561" s="16"/>
      <c r="AH561" s="16"/>
      <c r="AI561" s="16"/>
    </row>
    <row r="562" ht="12.75" customHeight="1" spans="1:35" x14ac:dyDescent="0.25">
      <c r="A562" s="16"/>
      <c r="B562" s="16"/>
      <c r="C562" s="16"/>
      <c r="D562" s="16"/>
      <c r="E562" s="16"/>
      <c r="F562" s="16"/>
      <c r="G562" s="16"/>
      <c r="H562" s="16"/>
      <c r="I562" s="16"/>
      <c r="J562" s="16"/>
      <c r="K562" s="16"/>
      <c r="L562" s="16"/>
      <c r="M562" s="16"/>
      <c r="N562" s="16"/>
      <c r="O562" s="16"/>
      <c r="P562" s="16"/>
      <c r="Q562" s="16"/>
      <c r="R562" s="16"/>
      <c r="S562" s="16"/>
      <c r="T562" s="16"/>
      <c r="U562" s="16"/>
      <c r="V562" s="16"/>
      <c r="W562" s="16"/>
      <c r="X562" s="16"/>
      <c r="Y562" s="16"/>
      <c r="Z562" s="16"/>
      <c r="AA562" s="16"/>
      <c r="AB562" s="16"/>
      <c r="AC562" s="16"/>
      <c r="AD562" s="16"/>
      <c r="AE562" s="16"/>
      <c r="AF562" s="16"/>
      <c r="AG562" s="16"/>
      <c r="AH562" s="16"/>
      <c r="AI562" s="16"/>
    </row>
    <row r="563" ht="12.75" customHeight="1" spans="1:35" x14ac:dyDescent="0.25">
      <c r="A563" s="16"/>
      <c r="B563" s="16"/>
      <c r="C563" s="16"/>
      <c r="D563" s="16"/>
      <c r="E563" s="16"/>
      <c r="F563" s="16"/>
      <c r="G563" s="16"/>
      <c r="H563" s="16"/>
      <c r="I563" s="16"/>
      <c r="J563" s="16"/>
      <c r="K563" s="16"/>
      <c r="L563" s="16"/>
      <c r="M563" s="16"/>
      <c r="N563" s="16"/>
      <c r="O563" s="16"/>
      <c r="P563" s="16"/>
      <c r="Q563" s="16"/>
      <c r="R563" s="16"/>
      <c r="S563" s="16"/>
      <c r="T563" s="16"/>
      <c r="U563" s="16"/>
      <c r="V563" s="16"/>
      <c r="W563" s="16"/>
      <c r="X563" s="16"/>
      <c r="Y563" s="16"/>
      <c r="Z563" s="16"/>
      <c r="AA563" s="16"/>
      <c r="AB563" s="16"/>
      <c r="AC563" s="16"/>
      <c r="AD563" s="16"/>
      <c r="AE563" s="16"/>
      <c r="AF563" s="16"/>
      <c r="AG563" s="16"/>
      <c r="AH563" s="16"/>
      <c r="AI563" s="16"/>
    </row>
    <row r="564" ht="12.75" customHeight="1" spans="1:35" x14ac:dyDescent="0.25">
      <c r="A564" s="16"/>
      <c r="B564" s="16"/>
      <c r="C564" s="16"/>
      <c r="D564" s="16"/>
      <c r="E564" s="16"/>
      <c r="F564" s="16"/>
      <c r="G564" s="16"/>
      <c r="H564" s="16"/>
      <c r="I564" s="16"/>
      <c r="J564" s="16"/>
      <c r="K564" s="16"/>
      <c r="L564" s="16"/>
      <c r="M564" s="16"/>
      <c r="N564" s="16"/>
      <c r="O564" s="16"/>
      <c r="P564" s="16"/>
      <c r="Q564" s="16"/>
      <c r="R564" s="16"/>
      <c r="S564" s="16"/>
      <c r="T564" s="16"/>
      <c r="U564" s="16"/>
      <c r="V564" s="16"/>
      <c r="W564" s="16"/>
      <c r="X564" s="16"/>
      <c r="Y564" s="16"/>
      <c r="Z564" s="16"/>
      <c r="AA564" s="16"/>
      <c r="AB564" s="16"/>
      <c r="AC564" s="16"/>
      <c r="AD564" s="16"/>
      <c r="AE564" s="16"/>
      <c r="AF564" s="16"/>
      <c r="AG564" s="16"/>
      <c r="AH564" s="16"/>
      <c r="AI564" s="16"/>
    </row>
    <row r="565" ht="12.75" customHeight="1" spans="1:35" x14ac:dyDescent="0.25">
      <c r="A565" s="16"/>
      <c r="B565" s="16"/>
      <c r="C565" s="16"/>
      <c r="D565" s="16"/>
      <c r="E565" s="16"/>
      <c r="F565" s="16"/>
      <c r="G565" s="16"/>
      <c r="H565" s="16"/>
      <c r="I565" s="16"/>
      <c r="J565" s="16"/>
      <c r="K565" s="16"/>
      <c r="L565" s="16"/>
      <c r="M565" s="16"/>
      <c r="N565" s="16"/>
      <c r="O565" s="16"/>
      <c r="P565" s="16"/>
      <c r="Q565" s="16"/>
      <c r="R565" s="16"/>
      <c r="S565" s="16"/>
      <c r="T565" s="16"/>
      <c r="U565" s="16"/>
      <c r="V565" s="16"/>
      <c r="W565" s="16"/>
      <c r="X565" s="16"/>
      <c r="Y565" s="16"/>
      <c r="Z565" s="16"/>
      <c r="AA565" s="16"/>
      <c r="AB565" s="16"/>
      <c r="AC565" s="16"/>
      <c r="AD565" s="16"/>
      <c r="AE565" s="16"/>
      <c r="AF565" s="16"/>
      <c r="AG565" s="16"/>
      <c r="AH565" s="16"/>
      <c r="AI565" s="16"/>
    </row>
    <row r="566" ht="12.75" customHeight="1" spans="1:35" x14ac:dyDescent="0.25">
      <c r="A566" s="16"/>
      <c r="B566" s="16"/>
      <c r="C566" s="16"/>
      <c r="D566" s="16"/>
      <c r="E566" s="16"/>
      <c r="F566" s="16"/>
      <c r="G566" s="16"/>
      <c r="H566" s="16"/>
      <c r="I566" s="16"/>
      <c r="J566" s="16"/>
      <c r="K566" s="16"/>
      <c r="L566" s="16"/>
      <c r="M566" s="16"/>
      <c r="N566" s="16"/>
      <c r="O566" s="16"/>
      <c r="P566" s="16"/>
      <c r="Q566" s="16"/>
      <c r="R566" s="16"/>
      <c r="S566" s="16"/>
      <c r="T566" s="16"/>
      <c r="U566" s="16"/>
      <c r="V566" s="16"/>
      <c r="W566" s="16"/>
      <c r="X566" s="16"/>
      <c r="Y566" s="16"/>
      <c r="Z566" s="16"/>
      <c r="AA566" s="16"/>
      <c r="AB566" s="16"/>
      <c r="AC566" s="16"/>
      <c r="AD566" s="16"/>
      <c r="AE566" s="16"/>
      <c r="AF566" s="16"/>
      <c r="AG566" s="16"/>
      <c r="AH566" s="16"/>
      <c r="AI566" s="16"/>
    </row>
    <row r="567" ht="12.75" customHeight="1" spans="1:35" x14ac:dyDescent="0.25">
      <c r="A567" s="16"/>
      <c r="B567" s="16"/>
      <c r="C567" s="16"/>
      <c r="D567" s="16"/>
      <c r="E567" s="16"/>
      <c r="F567" s="16"/>
      <c r="G567" s="16"/>
      <c r="H567" s="16"/>
      <c r="I567" s="16"/>
      <c r="J567" s="16"/>
      <c r="K567" s="16"/>
      <c r="L567" s="16"/>
      <c r="M567" s="16"/>
      <c r="N567" s="16"/>
      <c r="O567" s="16"/>
      <c r="P567" s="16"/>
      <c r="Q567" s="16"/>
      <c r="R567" s="16"/>
      <c r="S567" s="16"/>
      <c r="T567" s="16"/>
      <c r="U567" s="16"/>
      <c r="V567" s="16"/>
      <c r="W567" s="16"/>
      <c r="X567" s="16"/>
      <c r="Y567" s="16"/>
      <c r="Z567" s="16"/>
      <c r="AA567" s="16"/>
      <c r="AB567" s="16"/>
      <c r="AC567" s="16"/>
      <c r="AD567" s="16"/>
      <c r="AE567" s="16"/>
      <c r="AF567" s="16"/>
      <c r="AG567" s="16"/>
      <c r="AH567" s="16"/>
      <c r="AI567" s="16"/>
    </row>
    <row r="568" ht="12.75" customHeight="1" spans="1:35" x14ac:dyDescent="0.25">
      <c r="A568" s="16"/>
      <c r="B568" s="16"/>
      <c r="C568" s="16"/>
      <c r="D568" s="16"/>
      <c r="E568" s="16"/>
      <c r="F568" s="16"/>
      <c r="G568" s="16"/>
      <c r="H568" s="16"/>
      <c r="I568" s="16"/>
      <c r="J568" s="16"/>
      <c r="K568" s="16"/>
      <c r="L568" s="16"/>
      <c r="M568" s="16"/>
      <c r="N568" s="16"/>
      <c r="O568" s="16"/>
      <c r="P568" s="16"/>
      <c r="Q568" s="16"/>
      <c r="R568" s="16"/>
      <c r="S568" s="16"/>
      <c r="T568" s="16"/>
      <c r="U568" s="16"/>
      <c r="V568" s="16"/>
      <c r="W568" s="16"/>
      <c r="X568" s="16"/>
      <c r="Y568" s="16"/>
      <c r="Z568" s="16"/>
      <c r="AA568" s="16"/>
      <c r="AB568" s="16"/>
      <c r="AC568" s="16"/>
      <c r="AD568" s="16"/>
      <c r="AE568" s="16"/>
      <c r="AF568" s="16"/>
      <c r="AG568" s="16"/>
      <c r="AH568" s="16"/>
      <c r="AI568" s="16"/>
    </row>
    <row r="569" ht="12.75" customHeight="1" spans="1:35" x14ac:dyDescent="0.25">
      <c r="A569" s="16"/>
      <c r="B569" s="16"/>
      <c r="C569" s="16"/>
      <c r="D569" s="16"/>
      <c r="E569" s="16"/>
      <c r="F569" s="16"/>
      <c r="G569" s="16"/>
      <c r="H569" s="16"/>
      <c r="I569" s="16"/>
      <c r="J569" s="16"/>
      <c r="K569" s="16"/>
      <c r="L569" s="16"/>
      <c r="M569" s="16"/>
      <c r="N569" s="16"/>
      <c r="O569" s="16"/>
      <c r="P569" s="16"/>
      <c r="Q569" s="16"/>
      <c r="R569" s="16"/>
      <c r="S569" s="16"/>
      <c r="T569" s="16"/>
      <c r="U569" s="16"/>
      <c r="V569" s="16"/>
      <c r="W569" s="16"/>
      <c r="X569" s="16"/>
      <c r="Y569" s="16"/>
      <c r="Z569" s="16"/>
      <c r="AA569" s="16"/>
      <c r="AB569" s="16"/>
      <c r="AC569" s="16"/>
      <c r="AD569" s="16"/>
      <c r="AE569" s="16"/>
      <c r="AF569" s="16"/>
      <c r="AG569" s="16"/>
      <c r="AH569" s="16"/>
      <c r="AI569" s="16"/>
    </row>
    <row r="570" ht="12.75" customHeight="1" spans="1:35" x14ac:dyDescent="0.25">
      <c r="A570" s="16"/>
      <c r="B570" s="16"/>
      <c r="C570" s="16"/>
      <c r="D570" s="16"/>
      <c r="E570" s="16"/>
      <c r="F570" s="16"/>
      <c r="G570" s="16"/>
      <c r="H570" s="16"/>
      <c r="I570" s="16"/>
      <c r="J570" s="16"/>
      <c r="K570" s="16"/>
      <c r="L570" s="16"/>
      <c r="M570" s="16"/>
      <c r="N570" s="16"/>
      <c r="O570" s="16"/>
      <c r="P570" s="16"/>
      <c r="Q570" s="16"/>
      <c r="R570" s="16"/>
      <c r="S570" s="16"/>
      <c r="T570" s="16"/>
      <c r="U570" s="16"/>
      <c r="V570" s="16"/>
      <c r="W570" s="16"/>
      <c r="X570" s="16"/>
      <c r="Y570" s="16"/>
      <c r="Z570" s="16"/>
      <c r="AA570" s="16"/>
      <c r="AB570" s="16"/>
      <c r="AC570" s="16"/>
      <c r="AD570" s="16"/>
      <c r="AE570" s="16"/>
      <c r="AF570" s="16"/>
      <c r="AG570" s="16"/>
      <c r="AH570" s="16"/>
      <c r="AI570" s="16"/>
    </row>
    <row r="571" ht="12.75" customHeight="1" spans="1:35" x14ac:dyDescent="0.25">
      <c r="A571" s="16"/>
      <c r="B571" s="16"/>
      <c r="C571" s="16"/>
      <c r="D571" s="16"/>
      <c r="E571" s="16"/>
      <c r="F571" s="16"/>
      <c r="G571" s="16"/>
      <c r="H571" s="16"/>
      <c r="I571" s="16"/>
      <c r="J571" s="16"/>
      <c r="K571" s="16"/>
      <c r="L571" s="16"/>
      <c r="M571" s="16"/>
      <c r="N571" s="16"/>
      <c r="O571" s="16"/>
      <c r="P571" s="16"/>
      <c r="Q571" s="16"/>
      <c r="R571" s="16"/>
      <c r="S571" s="16"/>
      <c r="T571" s="16"/>
      <c r="U571" s="16"/>
      <c r="V571" s="16"/>
      <c r="W571" s="16"/>
      <c r="X571" s="16"/>
      <c r="Y571" s="16"/>
      <c r="Z571" s="16"/>
      <c r="AA571" s="16"/>
      <c r="AB571" s="16"/>
      <c r="AC571" s="16"/>
      <c r="AD571" s="16"/>
      <c r="AE571" s="16"/>
      <c r="AF571" s="16"/>
      <c r="AG571" s="16"/>
      <c r="AH571" s="16"/>
      <c r="AI571" s="16"/>
    </row>
    <row r="572" ht="12.75" customHeight="1" spans="1:35" x14ac:dyDescent="0.25">
      <c r="A572" s="16"/>
      <c r="B572" s="16"/>
      <c r="C572" s="16"/>
      <c r="D572" s="16"/>
      <c r="E572" s="16"/>
      <c r="F572" s="16"/>
      <c r="G572" s="16"/>
      <c r="H572" s="16"/>
      <c r="I572" s="16"/>
      <c r="J572" s="16"/>
      <c r="K572" s="16"/>
      <c r="L572" s="16"/>
      <c r="M572" s="16"/>
      <c r="N572" s="16"/>
      <c r="O572" s="16"/>
      <c r="P572" s="16"/>
      <c r="Q572" s="16"/>
      <c r="R572" s="16"/>
      <c r="S572" s="16"/>
      <c r="T572" s="16"/>
      <c r="U572" s="16"/>
      <c r="V572" s="16"/>
      <c r="W572" s="16"/>
      <c r="X572" s="16"/>
      <c r="Y572" s="16"/>
      <c r="Z572" s="16"/>
      <c r="AA572" s="16"/>
      <c r="AB572" s="16"/>
      <c r="AC572" s="16"/>
      <c r="AD572" s="16"/>
      <c r="AE572" s="16"/>
      <c r="AF572" s="16"/>
      <c r="AG572" s="16"/>
      <c r="AH572" s="16"/>
      <c r="AI572" s="16"/>
    </row>
    <row r="573" ht="12.75" customHeight="1" spans="1:35" x14ac:dyDescent="0.25">
      <c r="A573" s="16"/>
      <c r="B573" s="16"/>
      <c r="C573" s="16"/>
      <c r="D573" s="16"/>
      <c r="E573" s="16"/>
      <c r="F573" s="16"/>
      <c r="G573" s="16"/>
      <c r="H573" s="16"/>
      <c r="I573" s="16"/>
      <c r="J573" s="16"/>
      <c r="K573" s="16"/>
      <c r="L573" s="16"/>
      <c r="M573" s="16"/>
      <c r="N573" s="16"/>
      <c r="O573" s="16"/>
      <c r="P573" s="16"/>
      <c r="Q573" s="16"/>
      <c r="R573" s="16"/>
      <c r="S573" s="16"/>
      <c r="T573" s="16"/>
      <c r="U573" s="16"/>
      <c r="V573" s="16"/>
      <c r="W573" s="16"/>
      <c r="X573" s="16"/>
      <c r="Y573" s="16"/>
      <c r="Z573" s="16"/>
      <c r="AA573" s="16"/>
      <c r="AB573" s="16"/>
      <c r="AC573" s="16"/>
      <c r="AD573" s="16"/>
      <c r="AE573" s="16"/>
      <c r="AF573" s="16"/>
      <c r="AG573" s="16"/>
      <c r="AH573" s="16"/>
      <c r="AI573" s="16"/>
    </row>
    <row r="574" ht="12.75" customHeight="1" spans="1:35" x14ac:dyDescent="0.25">
      <c r="A574" s="16"/>
      <c r="B574" s="16"/>
      <c r="C574" s="16"/>
      <c r="D574" s="16"/>
      <c r="E574" s="16"/>
      <c r="F574" s="16"/>
      <c r="G574" s="16"/>
      <c r="H574" s="16"/>
      <c r="I574" s="16"/>
      <c r="J574" s="16"/>
      <c r="K574" s="16"/>
      <c r="L574" s="16"/>
      <c r="M574" s="16"/>
      <c r="N574" s="16"/>
      <c r="O574" s="16"/>
      <c r="P574" s="16"/>
      <c r="Q574" s="16"/>
      <c r="R574" s="16"/>
      <c r="S574" s="16"/>
      <c r="T574" s="16"/>
      <c r="U574" s="16"/>
      <c r="V574" s="16"/>
      <c r="W574" s="16"/>
      <c r="X574" s="16"/>
      <c r="Y574" s="16"/>
      <c r="Z574" s="16"/>
      <c r="AA574" s="16"/>
      <c r="AB574" s="16"/>
      <c r="AC574" s="16"/>
      <c r="AD574" s="16"/>
      <c r="AE574" s="16"/>
      <c r="AF574" s="16"/>
      <c r="AG574" s="16"/>
      <c r="AH574" s="16"/>
      <c r="AI574" s="16"/>
    </row>
    <row r="575" ht="12.75" customHeight="1" spans="1:35" x14ac:dyDescent="0.25">
      <c r="A575" s="16"/>
      <c r="B575" s="16"/>
      <c r="C575" s="16"/>
      <c r="D575" s="16"/>
      <c r="E575" s="16"/>
      <c r="F575" s="16"/>
      <c r="G575" s="16"/>
      <c r="H575" s="16"/>
      <c r="I575" s="16"/>
      <c r="J575" s="16"/>
      <c r="K575" s="16"/>
      <c r="L575" s="16"/>
      <c r="M575" s="16"/>
      <c r="N575" s="16"/>
      <c r="O575" s="16"/>
      <c r="P575" s="16"/>
      <c r="Q575" s="16"/>
      <c r="R575" s="16"/>
      <c r="S575" s="16"/>
      <c r="T575" s="16"/>
      <c r="U575" s="16"/>
      <c r="V575" s="16"/>
      <c r="W575" s="16"/>
      <c r="X575" s="16"/>
      <c r="Y575" s="16"/>
      <c r="Z575" s="16"/>
      <c r="AA575" s="16"/>
      <c r="AB575" s="16"/>
      <c r="AC575" s="16"/>
      <c r="AD575" s="16"/>
      <c r="AE575" s="16"/>
      <c r="AF575" s="16"/>
      <c r="AG575" s="16"/>
      <c r="AH575" s="16"/>
      <c r="AI575" s="16"/>
    </row>
    <row r="576" ht="12.75" customHeight="1" spans="1:35" x14ac:dyDescent="0.25">
      <c r="A576" s="16"/>
      <c r="B576" s="16"/>
      <c r="C576" s="16"/>
      <c r="D576" s="16"/>
      <c r="E576" s="16"/>
      <c r="F576" s="16"/>
      <c r="G576" s="16"/>
      <c r="H576" s="16"/>
      <c r="I576" s="16"/>
      <c r="J576" s="16"/>
      <c r="K576" s="16"/>
      <c r="L576" s="16"/>
      <c r="M576" s="16"/>
      <c r="N576" s="16"/>
      <c r="O576" s="16"/>
      <c r="P576" s="16"/>
      <c r="Q576" s="16"/>
      <c r="R576" s="16"/>
      <c r="S576" s="16"/>
      <c r="T576" s="16"/>
      <c r="U576" s="16"/>
      <c r="V576" s="16"/>
      <c r="W576" s="16"/>
      <c r="X576" s="16"/>
      <c r="Y576" s="16"/>
      <c r="Z576" s="16"/>
      <c r="AA576" s="16"/>
      <c r="AB576" s="16"/>
      <c r="AC576" s="16"/>
      <c r="AD576" s="16"/>
      <c r="AE576" s="16"/>
      <c r="AF576" s="16"/>
      <c r="AG576" s="16"/>
      <c r="AH576" s="16"/>
      <c r="AI576" s="16"/>
    </row>
    <row r="577" ht="12.75" customHeight="1" spans="1:35" x14ac:dyDescent="0.25">
      <c r="A577" s="16"/>
      <c r="B577" s="16"/>
      <c r="C577" s="16"/>
      <c r="D577" s="16"/>
      <c r="E577" s="16"/>
      <c r="F577" s="16"/>
      <c r="G577" s="16"/>
      <c r="H577" s="16"/>
      <c r="I577" s="16"/>
      <c r="J577" s="16"/>
      <c r="K577" s="16"/>
      <c r="L577" s="16"/>
      <c r="M577" s="16"/>
      <c r="N577" s="16"/>
      <c r="O577" s="16"/>
      <c r="P577" s="16"/>
      <c r="Q577" s="16"/>
      <c r="R577" s="16"/>
      <c r="S577" s="16"/>
      <c r="T577" s="16"/>
      <c r="U577" s="16"/>
      <c r="V577" s="16"/>
      <c r="W577" s="16"/>
      <c r="X577" s="16"/>
      <c r="Y577" s="16"/>
      <c r="Z577" s="16"/>
      <c r="AA577" s="16"/>
      <c r="AB577" s="16"/>
      <c r="AC577" s="16"/>
      <c r="AD577" s="16"/>
      <c r="AE577" s="16"/>
      <c r="AF577" s="16"/>
      <c r="AG577" s="16"/>
      <c r="AH577" s="16"/>
      <c r="AI577" s="16"/>
    </row>
    <row r="578" ht="12.75" customHeight="1" spans="1:35" x14ac:dyDescent="0.25">
      <c r="A578" s="16"/>
      <c r="B578" s="16"/>
      <c r="C578" s="16"/>
      <c r="D578" s="16"/>
      <c r="E578" s="16"/>
      <c r="F578" s="16"/>
      <c r="G578" s="16"/>
      <c r="H578" s="16"/>
      <c r="I578" s="16"/>
      <c r="J578" s="16"/>
      <c r="K578" s="16"/>
      <c r="L578" s="16"/>
      <c r="M578" s="16"/>
      <c r="N578" s="16"/>
      <c r="O578" s="16"/>
      <c r="P578" s="16"/>
      <c r="Q578" s="16"/>
      <c r="R578" s="16"/>
      <c r="S578" s="16"/>
      <c r="T578" s="16"/>
      <c r="U578" s="16"/>
      <c r="V578" s="16"/>
      <c r="W578" s="16"/>
      <c r="X578" s="16"/>
      <c r="Y578" s="16"/>
      <c r="Z578" s="16"/>
      <c r="AA578" s="16"/>
      <c r="AB578" s="16"/>
      <c r="AC578" s="16"/>
      <c r="AD578" s="16"/>
      <c r="AE578" s="16"/>
      <c r="AF578" s="16"/>
      <c r="AG578" s="16"/>
      <c r="AH578" s="16"/>
      <c r="AI578" s="16"/>
    </row>
    <row r="579" ht="12.75" customHeight="1" spans="1:35" x14ac:dyDescent="0.25">
      <c r="A579" s="16"/>
      <c r="B579" s="16"/>
      <c r="C579" s="16"/>
      <c r="D579" s="16"/>
      <c r="E579" s="16"/>
      <c r="F579" s="16"/>
      <c r="G579" s="16"/>
      <c r="H579" s="16"/>
      <c r="I579" s="16"/>
      <c r="J579" s="16"/>
      <c r="K579" s="16"/>
      <c r="L579" s="16"/>
      <c r="M579" s="16"/>
      <c r="N579" s="16"/>
      <c r="O579" s="16"/>
      <c r="P579" s="16"/>
      <c r="Q579" s="16"/>
      <c r="R579" s="16"/>
      <c r="S579" s="16"/>
      <c r="T579" s="16"/>
      <c r="U579" s="16"/>
      <c r="V579" s="16"/>
      <c r="W579" s="16"/>
      <c r="X579" s="16"/>
      <c r="Y579" s="16"/>
      <c r="Z579" s="16"/>
      <c r="AA579" s="16"/>
      <c r="AB579" s="16"/>
      <c r="AC579" s="16"/>
      <c r="AD579" s="16"/>
      <c r="AE579" s="16"/>
      <c r="AF579" s="16"/>
      <c r="AG579" s="16"/>
      <c r="AH579" s="16"/>
      <c r="AI579" s="16"/>
    </row>
    <row r="580" ht="12.75" customHeight="1" spans="1:35" x14ac:dyDescent="0.25">
      <c r="A580" s="16"/>
      <c r="B580" s="16"/>
      <c r="C580" s="16"/>
      <c r="D580" s="16"/>
      <c r="E580" s="16"/>
      <c r="F580" s="16"/>
      <c r="G580" s="16"/>
      <c r="H580" s="16"/>
      <c r="I580" s="16"/>
      <c r="J580" s="16"/>
      <c r="K580" s="16"/>
      <c r="L580" s="16"/>
      <c r="M580" s="16"/>
      <c r="N580" s="16"/>
      <c r="O580" s="16"/>
      <c r="P580" s="16"/>
      <c r="Q580" s="16"/>
      <c r="R580" s="16"/>
      <c r="S580" s="16"/>
      <c r="T580" s="16"/>
      <c r="U580" s="16"/>
      <c r="V580" s="16"/>
      <c r="W580" s="16"/>
      <c r="X580" s="16"/>
      <c r="Y580" s="16"/>
      <c r="Z580" s="16"/>
      <c r="AA580" s="16"/>
      <c r="AB580" s="16"/>
      <c r="AC580" s="16"/>
      <c r="AD580" s="16"/>
      <c r="AE580" s="16"/>
      <c r="AF580" s="16"/>
      <c r="AG580" s="16"/>
      <c r="AH580" s="16"/>
      <c r="AI580" s="16"/>
    </row>
    <row r="581" ht="12.75" customHeight="1" spans="1:35" x14ac:dyDescent="0.25">
      <c r="A581" s="16"/>
      <c r="B581" s="16"/>
      <c r="C581" s="16"/>
      <c r="D581" s="16"/>
      <c r="E581" s="16"/>
      <c r="F581" s="16"/>
      <c r="G581" s="16"/>
      <c r="H581" s="16"/>
      <c r="I581" s="16"/>
      <c r="J581" s="16"/>
      <c r="K581" s="16"/>
      <c r="L581" s="16"/>
      <c r="M581" s="16"/>
      <c r="N581" s="16"/>
      <c r="O581" s="16"/>
      <c r="P581" s="16"/>
      <c r="Q581" s="16"/>
      <c r="R581" s="16"/>
      <c r="S581" s="16"/>
      <c r="T581" s="16"/>
      <c r="U581" s="16"/>
      <c r="V581" s="16"/>
      <c r="W581" s="16"/>
      <c r="X581" s="16"/>
      <c r="Y581" s="16"/>
      <c r="Z581" s="16"/>
      <c r="AA581" s="16"/>
      <c r="AB581" s="16"/>
      <c r="AC581" s="16"/>
      <c r="AD581" s="16"/>
      <c r="AE581" s="16"/>
      <c r="AF581" s="16"/>
      <c r="AG581" s="16"/>
      <c r="AH581" s="16"/>
      <c r="AI581" s="16"/>
    </row>
    <row r="582" ht="12.75" customHeight="1" spans="1:35" x14ac:dyDescent="0.25">
      <c r="A582" s="16"/>
      <c r="B582" s="16"/>
      <c r="C582" s="16"/>
      <c r="D582" s="16"/>
      <c r="E582" s="16"/>
      <c r="F582" s="16"/>
      <c r="G582" s="16"/>
      <c r="H582" s="16"/>
      <c r="I582" s="16"/>
      <c r="J582" s="16"/>
      <c r="K582" s="16"/>
      <c r="L582" s="16"/>
      <c r="M582" s="16"/>
      <c r="N582" s="16"/>
      <c r="O582" s="16"/>
      <c r="P582" s="16"/>
      <c r="Q582" s="16"/>
      <c r="R582" s="16"/>
      <c r="S582" s="16"/>
      <c r="T582" s="16"/>
      <c r="U582" s="16"/>
      <c r="V582" s="16"/>
      <c r="W582" s="16"/>
      <c r="X582" s="16"/>
      <c r="Y582" s="16"/>
      <c r="Z582" s="16"/>
      <c r="AA582" s="16"/>
      <c r="AB582" s="16"/>
      <c r="AC582" s="16"/>
      <c r="AD582" s="16"/>
      <c r="AE582" s="16"/>
      <c r="AF582" s="16"/>
      <c r="AG582" s="16"/>
      <c r="AH582" s="16"/>
      <c r="AI582" s="16"/>
    </row>
    <row r="583" ht="12.75" customHeight="1" spans="1:35" x14ac:dyDescent="0.25">
      <c r="A583" s="16"/>
      <c r="B583" s="16"/>
      <c r="C583" s="16"/>
      <c r="D583" s="16"/>
      <c r="E583" s="16"/>
      <c r="F583" s="16"/>
      <c r="G583" s="16"/>
      <c r="H583" s="16"/>
      <c r="I583" s="16"/>
      <c r="J583" s="16"/>
      <c r="K583" s="16"/>
      <c r="L583" s="16"/>
      <c r="M583" s="16"/>
      <c r="N583" s="16"/>
      <c r="O583" s="16"/>
      <c r="P583" s="16"/>
      <c r="Q583" s="16"/>
      <c r="R583" s="16"/>
      <c r="S583" s="16"/>
      <c r="T583" s="16"/>
      <c r="U583" s="16"/>
      <c r="V583" s="16"/>
      <c r="W583" s="16"/>
      <c r="X583" s="16"/>
      <c r="Y583" s="16"/>
      <c r="Z583" s="16"/>
      <c r="AA583" s="16"/>
      <c r="AB583" s="16"/>
      <c r="AC583" s="16"/>
      <c r="AD583" s="16"/>
      <c r="AE583" s="16"/>
      <c r="AF583" s="16"/>
      <c r="AG583" s="16"/>
      <c r="AH583" s="16"/>
      <c r="AI583" s="16"/>
    </row>
    <row r="584" ht="12.75" customHeight="1" spans="1:35" x14ac:dyDescent="0.25">
      <c r="A584" s="16"/>
      <c r="B584" s="16"/>
      <c r="C584" s="16"/>
      <c r="D584" s="16"/>
      <c r="E584" s="16"/>
      <c r="F584" s="16"/>
      <c r="G584" s="16"/>
      <c r="H584" s="16"/>
      <c r="I584" s="16"/>
      <c r="J584" s="16"/>
      <c r="K584" s="16"/>
      <c r="L584" s="16"/>
      <c r="M584" s="16"/>
      <c r="N584" s="16"/>
      <c r="O584" s="16"/>
      <c r="P584" s="16"/>
      <c r="Q584" s="16"/>
      <c r="R584" s="16"/>
      <c r="S584" s="16"/>
      <c r="T584" s="16"/>
      <c r="U584" s="16"/>
      <c r="V584" s="16"/>
      <c r="W584" s="16"/>
      <c r="X584" s="16"/>
      <c r="Y584" s="16"/>
      <c r="Z584" s="16"/>
      <c r="AA584" s="16"/>
      <c r="AB584" s="16"/>
      <c r="AC584" s="16"/>
      <c r="AD584" s="16"/>
      <c r="AE584" s="16"/>
      <c r="AF584" s="16"/>
      <c r="AG584" s="16"/>
      <c r="AH584" s="16"/>
      <c r="AI584" s="16"/>
    </row>
    <row r="585" ht="12.75" customHeight="1" spans="1:35" x14ac:dyDescent="0.25">
      <c r="A585" s="16"/>
      <c r="B585" s="16"/>
      <c r="C585" s="16"/>
      <c r="D585" s="16"/>
      <c r="E585" s="16"/>
      <c r="F585" s="16"/>
      <c r="G585" s="16"/>
      <c r="H585" s="16"/>
      <c r="I585" s="16"/>
      <c r="J585" s="16"/>
      <c r="K585" s="16"/>
      <c r="L585" s="16"/>
      <c r="M585" s="16"/>
      <c r="N585" s="16"/>
      <c r="O585" s="16"/>
      <c r="P585" s="16"/>
      <c r="Q585" s="16"/>
      <c r="R585" s="16"/>
      <c r="S585" s="16"/>
      <c r="T585" s="16"/>
      <c r="U585" s="16"/>
      <c r="V585" s="16"/>
      <c r="W585" s="16"/>
      <c r="X585" s="16"/>
      <c r="Y585" s="16"/>
      <c r="Z585" s="16"/>
      <c r="AA585" s="16"/>
      <c r="AB585" s="16"/>
      <c r="AC585" s="16"/>
      <c r="AD585" s="16"/>
      <c r="AE585" s="16"/>
      <c r="AF585" s="16"/>
      <c r="AG585" s="16"/>
      <c r="AH585" s="16"/>
      <c r="AI585" s="16"/>
    </row>
    <row r="586" ht="12.75" customHeight="1" spans="1:35" x14ac:dyDescent="0.25">
      <c r="A586" s="16"/>
      <c r="B586" s="16"/>
      <c r="C586" s="16"/>
      <c r="D586" s="16"/>
      <c r="E586" s="16"/>
      <c r="F586" s="16"/>
      <c r="G586" s="16"/>
      <c r="H586" s="16"/>
      <c r="I586" s="16"/>
      <c r="J586" s="16"/>
      <c r="K586" s="16"/>
      <c r="L586" s="16"/>
      <c r="M586" s="16"/>
      <c r="N586" s="16"/>
      <c r="O586" s="16"/>
      <c r="P586" s="16"/>
      <c r="Q586" s="16"/>
      <c r="R586" s="16"/>
      <c r="S586" s="16"/>
      <c r="T586" s="16"/>
      <c r="U586" s="16"/>
      <c r="V586" s="16"/>
      <c r="W586" s="16"/>
      <c r="X586" s="16"/>
      <c r="Y586" s="16"/>
      <c r="Z586" s="16"/>
      <c r="AA586" s="16"/>
      <c r="AB586" s="16"/>
      <c r="AC586" s="16"/>
      <c r="AD586" s="16"/>
      <c r="AE586" s="16"/>
      <c r="AF586" s="16"/>
      <c r="AG586" s="16"/>
      <c r="AH586" s="16"/>
      <c r="AI586" s="16"/>
    </row>
    <row r="587" ht="12.75" customHeight="1" spans="1:35" x14ac:dyDescent="0.25">
      <c r="A587" s="16"/>
      <c r="B587" s="16"/>
      <c r="C587" s="16"/>
      <c r="D587" s="16"/>
      <c r="E587" s="16"/>
      <c r="F587" s="16"/>
      <c r="G587" s="16"/>
      <c r="H587" s="16"/>
      <c r="I587" s="16"/>
      <c r="J587" s="16"/>
      <c r="K587" s="16"/>
      <c r="L587" s="16"/>
      <c r="M587" s="16"/>
      <c r="N587" s="16"/>
      <c r="O587" s="16"/>
      <c r="P587" s="16"/>
      <c r="Q587" s="16"/>
      <c r="R587" s="16"/>
      <c r="S587" s="16"/>
      <c r="T587" s="16"/>
      <c r="U587" s="16"/>
      <c r="V587" s="16"/>
      <c r="W587" s="16"/>
      <c r="X587" s="16"/>
      <c r="Y587" s="16"/>
      <c r="Z587" s="16"/>
      <c r="AA587" s="16"/>
      <c r="AB587" s="16"/>
      <c r="AC587" s="16"/>
      <c r="AD587" s="16"/>
      <c r="AE587" s="16"/>
      <c r="AF587" s="16"/>
      <c r="AG587" s="16"/>
      <c r="AH587" s="16"/>
      <c r="AI587" s="16"/>
    </row>
    <row r="588" ht="12.75" customHeight="1" spans="1:35" x14ac:dyDescent="0.25">
      <c r="A588" s="16"/>
      <c r="B588" s="16"/>
      <c r="C588" s="16"/>
      <c r="D588" s="16"/>
      <c r="E588" s="16"/>
      <c r="F588" s="16"/>
      <c r="G588" s="16"/>
      <c r="H588" s="16"/>
      <c r="I588" s="16"/>
      <c r="J588" s="16"/>
      <c r="K588" s="16"/>
      <c r="L588" s="16"/>
      <c r="M588" s="16"/>
      <c r="N588" s="16"/>
      <c r="O588" s="16"/>
      <c r="P588" s="16"/>
      <c r="Q588" s="16"/>
      <c r="R588" s="16"/>
      <c r="S588" s="16"/>
      <c r="T588" s="16"/>
      <c r="U588" s="16"/>
      <c r="V588" s="16"/>
      <c r="W588" s="16"/>
      <c r="X588" s="16"/>
      <c r="Y588" s="16"/>
      <c r="Z588" s="16"/>
      <c r="AA588" s="16"/>
      <c r="AB588" s="16"/>
      <c r="AC588" s="16"/>
      <c r="AD588" s="16"/>
      <c r="AE588" s="16"/>
      <c r="AF588" s="16"/>
      <c r="AG588" s="16"/>
      <c r="AH588" s="16"/>
      <c r="AI588" s="16"/>
    </row>
    <row r="589" ht="12.75" customHeight="1" spans="1:35" x14ac:dyDescent="0.25">
      <c r="A589" s="16"/>
      <c r="B589" s="16"/>
      <c r="C589" s="16"/>
      <c r="D589" s="16"/>
      <c r="E589" s="16"/>
      <c r="F589" s="16"/>
      <c r="G589" s="16"/>
      <c r="H589" s="16"/>
      <c r="I589" s="16"/>
      <c r="J589" s="16"/>
      <c r="K589" s="16"/>
      <c r="L589" s="16"/>
      <c r="M589" s="16"/>
      <c r="N589" s="16"/>
      <c r="O589" s="16"/>
      <c r="P589" s="16"/>
      <c r="Q589" s="16"/>
      <c r="R589" s="16"/>
      <c r="S589" s="16"/>
      <c r="T589" s="16"/>
      <c r="U589" s="16"/>
      <c r="V589" s="16"/>
      <c r="W589" s="16"/>
      <c r="X589" s="16"/>
      <c r="Y589" s="16"/>
      <c r="Z589" s="16"/>
      <c r="AA589" s="16"/>
      <c r="AB589" s="16"/>
      <c r="AC589" s="16"/>
      <c r="AD589" s="16"/>
      <c r="AE589" s="16"/>
      <c r="AF589" s="16"/>
      <c r="AG589" s="16"/>
      <c r="AH589" s="16"/>
      <c r="AI589" s="16"/>
    </row>
    <row r="590" ht="12.75" customHeight="1" spans="1:35" x14ac:dyDescent="0.25">
      <c r="A590" s="16"/>
      <c r="B590" s="16"/>
      <c r="C590" s="16"/>
      <c r="D590" s="16"/>
      <c r="E590" s="16"/>
      <c r="F590" s="16"/>
      <c r="G590" s="16"/>
      <c r="H590" s="16"/>
      <c r="I590" s="16"/>
      <c r="J590" s="16"/>
      <c r="K590" s="16"/>
      <c r="L590" s="16"/>
      <c r="M590" s="16"/>
      <c r="N590" s="16"/>
      <c r="O590" s="16"/>
      <c r="P590" s="16"/>
      <c r="Q590" s="16"/>
      <c r="R590" s="16"/>
      <c r="S590" s="16"/>
      <c r="T590" s="16"/>
      <c r="U590" s="16"/>
      <c r="V590" s="16"/>
      <c r="W590" s="16"/>
      <c r="X590" s="16"/>
      <c r="Y590" s="16"/>
      <c r="Z590" s="16"/>
      <c r="AA590" s="16"/>
      <c r="AB590" s="16"/>
      <c r="AC590" s="16"/>
      <c r="AD590" s="16"/>
      <c r="AE590" s="16"/>
      <c r="AF590" s="16"/>
      <c r="AG590" s="16"/>
      <c r="AH590" s="16"/>
      <c r="AI590" s="16"/>
    </row>
    <row r="591" ht="12.75" customHeight="1" spans="1:35" x14ac:dyDescent="0.25">
      <c r="A591" s="16"/>
      <c r="B591" s="16"/>
      <c r="C591" s="16"/>
      <c r="D591" s="16"/>
      <c r="E591" s="16"/>
      <c r="F591" s="16"/>
      <c r="G591" s="16"/>
      <c r="H591" s="16"/>
      <c r="I591" s="16"/>
      <c r="J591" s="16"/>
      <c r="K591" s="16"/>
      <c r="L591" s="16"/>
      <c r="M591" s="16"/>
      <c r="N591" s="16"/>
      <c r="O591" s="16"/>
      <c r="P591" s="16"/>
      <c r="Q591" s="16"/>
      <c r="R591" s="16"/>
      <c r="S591" s="16"/>
      <c r="T591" s="16"/>
      <c r="U591" s="16"/>
      <c r="V591" s="16"/>
      <c r="W591" s="16"/>
      <c r="X591" s="16"/>
      <c r="Y591" s="16"/>
      <c r="Z591" s="16"/>
      <c r="AA591" s="16"/>
      <c r="AB591" s="16"/>
      <c r="AC591" s="16"/>
      <c r="AD591" s="16"/>
      <c r="AE591" s="16"/>
      <c r="AF591" s="16"/>
      <c r="AG591" s="16"/>
      <c r="AH591" s="16"/>
      <c r="AI591" s="16"/>
    </row>
    <row r="592" ht="12.75" customHeight="1" spans="1:35" x14ac:dyDescent="0.25">
      <c r="A592" s="16"/>
      <c r="B592" s="16"/>
      <c r="C592" s="16"/>
      <c r="D592" s="16"/>
      <c r="E592" s="16"/>
      <c r="F592" s="16"/>
      <c r="G592" s="16"/>
      <c r="H592" s="16"/>
      <c r="I592" s="16"/>
      <c r="J592" s="16"/>
      <c r="K592" s="16"/>
      <c r="L592" s="16"/>
      <c r="M592" s="16"/>
      <c r="N592" s="16"/>
      <c r="O592" s="16"/>
      <c r="P592" s="16"/>
      <c r="Q592" s="16"/>
      <c r="R592" s="16"/>
      <c r="S592" s="16"/>
      <c r="T592" s="16"/>
      <c r="U592" s="16"/>
      <c r="V592" s="16"/>
      <c r="W592" s="16"/>
      <c r="X592" s="16"/>
      <c r="Y592" s="16"/>
      <c r="Z592" s="16"/>
      <c r="AA592" s="16"/>
      <c r="AB592" s="16"/>
      <c r="AC592" s="16"/>
      <c r="AD592" s="16"/>
      <c r="AE592" s="16"/>
      <c r="AF592" s="16"/>
      <c r="AG592" s="16"/>
      <c r="AH592" s="16"/>
      <c r="AI592" s="16"/>
    </row>
    <row r="593" ht="12.75" customHeight="1" spans="1:35" x14ac:dyDescent="0.25">
      <c r="A593" s="16"/>
      <c r="B593" s="16"/>
      <c r="C593" s="16"/>
      <c r="D593" s="16"/>
      <c r="E593" s="16"/>
      <c r="F593" s="16"/>
      <c r="G593" s="16"/>
      <c r="H593" s="16"/>
      <c r="I593" s="16"/>
      <c r="J593" s="16"/>
      <c r="K593" s="16"/>
      <c r="L593" s="16"/>
      <c r="M593" s="16"/>
      <c r="N593" s="16"/>
      <c r="O593" s="16"/>
      <c r="P593" s="16"/>
      <c r="Q593" s="16"/>
      <c r="R593" s="16"/>
      <c r="S593" s="16"/>
      <c r="T593" s="16"/>
      <c r="U593" s="16"/>
      <c r="V593" s="16"/>
      <c r="W593" s="16"/>
      <c r="X593" s="16"/>
      <c r="Y593" s="16"/>
      <c r="Z593" s="16"/>
      <c r="AA593" s="16"/>
      <c r="AB593" s="16"/>
      <c r="AC593" s="16"/>
      <c r="AD593" s="16"/>
      <c r="AE593" s="16"/>
      <c r="AF593" s="16"/>
      <c r="AG593" s="16"/>
      <c r="AH593" s="16"/>
      <c r="AI593" s="16"/>
    </row>
    <row r="594" ht="12.75" customHeight="1" spans="1:35" x14ac:dyDescent="0.25">
      <c r="A594" s="16"/>
      <c r="B594" s="16"/>
      <c r="C594" s="16"/>
      <c r="D594" s="16"/>
      <c r="E594" s="16"/>
      <c r="F594" s="16"/>
      <c r="G594" s="16"/>
      <c r="H594" s="16"/>
      <c r="I594" s="16"/>
      <c r="J594" s="16"/>
      <c r="K594" s="16"/>
      <c r="L594" s="16"/>
      <c r="M594" s="16"/>
      <c r="N594" s="16"/>
      <c r="O594" s="16"/>
      <c r="P594" s="16"/>
      <c r="Q594" s="16"/>
      <c r="R594" s="16"/>
      <c r="S594" s="16"/>
      <c r="T594" s="16"/>
      <c r="U594" s="16"/>
      <c r="V594" s="16"/>
      <c r="W594" s="16"/>
      <c r="X594" s="16"/>
      <c r="Y594" s="16"/>
      <c r="Z594" s="16"/>
      <c r="AA594" s="16"/>
      <c r="AB594" s="16"/>
      <c r="AC594" s="16"/>
      <c r="AD594" s="16"/>
      <c r="AE594" s="16"/>
      <c r="AF594" s="16"/>
      <c r="AG594" s="16"/>
      <c r="AH594" s="16"/>
      <c r="AI594" s="16"/>
    </row>
    <row r="595" ht="12.75" customHeight="1" spans="1:35" x14ac:dyDescent="0.25">
      <c r="A595" s="16"/>
      <c r="B595" s="16"/>
      <c r="C595" s="16"/>
      <c r="D595" s="16"/>
      <c r="E595" s="16"/>
      <c r="F595" s="16"/>
      <c r="G595" s="16"/>
      <c r="H595" s="16"/>
      <c r="I595" s="16"/>
      <c r="J595" s="16"/>
      <c r="K595" s="16"/>
      <c r="L595" s="16"/>
      <c r="M595" s="16"/>
      <c r="N595" s="16"/>
      <c r="O595" s="16"/>
      <c r="P595" s="16"/>
      <c r="Q595" s="16"/>
      <c r="R595" s="16"/>
      <c r="S595" s="16"/>
      <c r="T595" s="16"/>
      <c r="U595" s="16"/>
      <c r="V595" s="16"/>
      <c r="W595" s="16"/>
      <c r="X595" s="16"/>
      <c r="Y595" s="16"/>
      <c r="Z595" s="16"/>
      <c r="AA595" s="16"/>
      <c r="AB595" s="16"/>
      <c r="AC595" s="16"/>
      <c r="AD595" s="16"/>
      <c r="AE595" s="16"/>
      <c r="AF595" s="16"/>
      <c r="AG595" s="16"/>
      <c r="AH595" s="16"/>
      <c r="AI595" s="16"/>
    </row>
    <row r="596" ht="12.75" customHeight="1" spans="1:35" x14ac:dyDescent="0.25">
      <c r="A596" s="16"/>
      <c r="B596" s="16"/>
      <c r="C596" s="16"/>
      <c r="D596" s="16"/>
      <c r="E596" s="16"/>
      <c r="F596" s="16"/>
      <c r="G596" s="16"/>
      <c r="H596" s="16"/>
      <c r="I596" s="16"/>
      <c r="J596" s="16"/>
      <c r="K596" s="16"/>
      <c r="L596" s="16"/>
      <c r="M596" s="16"/>
      <c r="N596" s="16"/>
      <c r="O596" s="16"/>
      <c r="P596" s="16"/>
      <c r="Q596" s="16"/>
      <c r="R596" s="16"/>
      <c r="S596" s="16"/>
      <c r="T596" s="16"/>
      <c r="U596" s="16"/>
      <c r="V596" s="16"/>
      <c r="W596" s="16"/>
      <c r="X596" s="16"/>
      <c r="Y596" s="16"/>
      <c r="Z596" s="16"/>
      <c r="AA596" s="16"/>
      <c r="AB596" s="16"/>
      <c r="AC596" s="16"/>
      <c r="AD596" s="16"/>
      <c r="AE596" s="16"/>
      <c r="AF596" s="16"/>
      <c r="AG596" s="16"/>
      <c r="AH596" s="16"/>
      <c r="AI596" s="16"/>
    </row>
    <row r="597" ht="12.75" customHeight="1" spans="1:35" x14ac:dyDescent="0.25">
      <c r="A597" s="16"/>
      <c r="B597" s="16"/>
      <c r="C597" s="16"/>
      <c r="D597" s="16"/>
      <c r="E597" s="16"/>
      <c r="F597" s="16"/>
      <c r="G597" s="16"/>
      <c r="H597" s="16"/>
      <c r="I597" s="16"/>
      <c r="J597" s="16"/>
      <c r="K597" s="16"/>
      <c r="L597" s="16"/>
      <c r="M597" s="16"/>
      <c r="N597" s="16"/>
      <c r="O597" s="16"/>
      <c r="P597" s="16"/>
      <c r="Q597" s="16"/>
      <c r="R597" s="16"/>
      <c r="S597" s="16"/>
      <c r="T597" s="16"/>
      <c r="U597" s="16"/>
      <c r="V597" s="16"/>
      <c r="W597" s="16"/>
      <c r="X597" s="16"/>
      <c r="Y597" s="16"/>
      <c r="Z597" s="16"/>
      <c r="AA597" s="16"/>
      <c r="AB597" s="16"/>
      <c r="AC597" s="16"/>
      <c r="AD597" s="16"/>
      <c r="AE597" s="16"/>
      <c r="AF597" s="16"/>
      <c r="AG597" s="16"/>
      <c r="AH597" s="16"/>
      <c r="AI597" s="16"/>
    </row>
    <row r="598" ht="12.75" customHeight="1" spans="1:35" x14ac:dyDescent="0.25">
      <c r="A598" s="16"/>
      <c r="B598" s="16"/>
      <c r="C598" s="16"/>
      <c r="D598" s="16"/>
      <c r="E598" s="16"/>
      <c r="F598" s="16"/>
      <c r="G598" s="16"/>
      <c r="H598" s="16"/>
      <c r="I598" s="16"/>
      <c r="J598" s="16"/>
      <c r="K598" s="16"/>
      <c r="L598" s="16"/>
      <c r="M598" s="16"/>
      <c r="N598" s="16"/>
      <c r="O598" s="16"/>
      <c r="P598" s="16"/>
      <c r="Q598" s="16"/>
      <c r="R598" s="16"/>
      <c r="S598" s="16"/>
      <c r="T598" s="16"/>
      <c r="U598" s="16"/>
      <c r="V598" s="16"/>
      <c r="W598" s="16"/>
      <c r="X598" s="16"/>
      <c r="Y598" s="16"/>
      <c r="Z598" s="16"/>
      <c r="AA598" s="16"/>
      <c r="AB598" s="16"/>
      <c r="AC598" s="16"/>
      <c r="AD598" s="16"/>
      <c r="AE598" s="16"/>
      <c r="AF598" s="16"/>
      <c r="AG598" s="16"/>
      <c r="AH598" s="16"/>
      <c r="AI598" s="16"/>
    </row>
    <row r="599" ht="12.75" customHeight="1" spans="1:35" x14ac:dyDescent="0.25">
      <c r="A599" s="16"/>
      <c r="B599" s="16"/>
      <c r="C599" s="16"/>
      <c r="D599" s="16"/>
      <c r="E599" s="16"/>
      <c r="F599" s="16"/>
      <c r="G599" s="16"/>
      <c r="H599" s="16"/>
      <c r="I599" s="16"/>
      <c r="J599" s="16"/>
      <c r="K599" s="16"/>
      <c r="L599" s="16"/>
      <c r="M599" s="16"/>
      <c r="N599" s="16"/>
      <c r="O599" s="16"/>
      <c r="P599" s="16"/>
      <c r="Q599" s="16"/>
      <c r="R599" s="16"/>
      <c r="S599" s="16"/>
      <c r="T599" s="16"/>
      <c r="U599" s="16"/>
      <c r="V599" s="16"/>
      <c r="W599" s="16"/>
      <c r="X599" s="16"/>
      <c r="Y599" s="16"/>
      <c r="Z599" s="16"/>
      <c r="AA599" s="16"/>
      <c r="AB599" s="16"/>
      <c r="AC599" s="16"/>
      <c r="AD599" s="16"/>
      <c r="AE599" s="16"/>
      <c r="AF599" s="16"/>
      <c r="AG599" s="16"/>
      <c r="AH599" s="16"/>
      <c r="AI599" s="16"/>
    </row>
    <row r="600" ht="12.75" customHeight="1" spans="1:35" x14ac:dyDescent="0.25">
      <c r="A600" s="16"/>
      <c r="B600" s="16"/>
      <c r="C600" s="16"/>
      <c r="D600" s="16"/>
      <c r="E600" s="16"/>
      <c r="F600" s="16"/>
      <c r="G600" s="16"/>
      <c r="H600" s="16"/>
      <c r="I600" s="16"/>
      <c r="J600" s="16"/>
      <c r="K600" s="16"/>
      <c r="L600" s="16"/>
      <c r="M600" s="16"/>
      <c r="N600" s="16"/>
      <c r="O600" s="16"/>
      <c r="P600" s="16"/>
      <c r="Q600" s="16"/>
      <c r="R600" s="16"/>
      <c r="S600" s="16"/>
      <c r="T600" s="16"/>
      <c r="U600" s="16"/>
      <c r="V600" s="16"/>
      <c r="W600" s="16"/>
      <c r="X600" s="16"/>
      <c r="Y600" s="16"/>
      <c r="Z600" s="16"/>
      <c r="AA600" s="16"/>
      <c r="AB600" s="16"/>
      <c r="AC600" s="16"/>
      <c r="AD600" s="16"/>
      <c r="AE600" s="16"/>
      <c r="AF600" s="16"/>
      <c r="AG600" s="16"/>
      <c r="AH600" s="16"/>
      <c r="AI600" s="16"/>
    </row>
    <row r="601" ht="12.75" customHeight="1" spans="1:35" x14ac:dyDescent="0.25">
      <c r="A601" s="16"/>
      <c r="B601" s="16"/>
      <c r="C601" s="16"/>
      <c r="D601" s="16"/>
      <c r="E601" s="16"/>
      <c r="F601" s="16"/>
      <c r="G601" s="16"/>
      <c r="H601" s="16"/>
      <c r="I601" s="16"/>
      <c r="J601" s="16"/>
      <c r="K601" s="16"/>
      <c r="L601" s="16"/>
      <c r="M601" s="16"/>
      <c r="N601" s="16"/>
      <c r="O601" s="16"/>
      <c r="P601" s="16"/>
      <c r="Q601" s="16"/>
      <c r="R601" s="16"/>
      <c r="S601" s="16"/>
      <c r="T601" s="16"/>
      <c r="U601" s="16"/>
      <c r="V601" s="16"/>
      <c r="W601" s="16"/>
      <c r="X601" s="16"/>
      <c r="Y601" s="16"/>
      <c r="Z601" s="16"/>
      <c r="AA601" s="16"/>
      <c r="AB601" s="16"/>
      <c r="AC601" s="16"/>
      <c r="AD601" s="16"/>
      <c r="AE601" s="16"/>
      <c r="AF601" s="16"/>
      <c r="AG601" s="16"/>
      <c r="AH601" s="16"/>
      <c r="AI601" s="16"/>
    </row>
    <row r="602" ht="12.75" customHeight="1" spans="1:35" x14ac:dyDescent="0.25">
      <c r="A602" s="16"/>
      <c r="B602" s="16"/>
      <c r="C602" s="16"/>
      <c r="D602" s="16"/>
      <c r="E602" s="16"/>
      <c r="F602" s="16"/>
      <c r="G602" s="16"/>
      <c r="H602" s="16"/>
      <c r="I602" s="16"/>
      <c r="J602" s="16"/>
      <c r="K602" s="16"/>
      <c r="L602" s="16"/>
      <c r="M602" s="16"/>
      <c r="N602" s="16"/>
      <c r="O602" s="16"/>
      <c r="P602" s="16"/>
      <c r="Q602" s="16"/>
      <c r="R602" s="16"/>
      <c r="S602" s="16"/>
      <c r="T602" s="16"/>
      <c r="U602" s="16"/>
      <c r="V602" s="16"/>
      <c r="W602" s="16"/>
      <c r="X602" s="16"/>
      <c r="Y602" s="16"/>
      <c r="Z602" s="16"/>
      <c r="AA602" s="16"/>
      <c r="AB602" s="16"/>
      <c r="AC602" s="16"/>
      <c r="AD602" s="16"/>
      <c r="AE602" s="16"/>
      <c r="AF602" s="16"/>
      <c r="AG602" s="16"/>
      <c r="AH602" s="16"/>
      <c r="AI602" s="16"/>
    </row>
    <row r="603" ht="12.75" customHeight="1" spans="1:35" x14ac:dyDescent="0.25">
      <c r="A603" s="16"/>
      <c r="B603" s="16"/>
      <c r="C603" s="16"/>
      <c r="D603" s="16"/>
      <c r="E603" s="16"/>
      <c r="F603" s="16"/>
      <c r="G603" s="16"/>
      <c r="H603" s="16"/>
      <c r="I603" s="16"/>
      <c r="J603" s="16"/>
      <c r="K603" s="16"/>
      <c r="L603" s="16"/>
      <c r="M603" s="16"/>
      <c r="N603" s="16"/>
      <c r="O603" s="16"/>
      <c r="P603" s="16"/>
      <c r="Q603" s="16"/>
      <c r="R603" s="16"/>
      <c r="S603" s="16"/>
      <c r="T603" s="16"/>
      <c r="U603" s="16"/>
      <c r="V603" s="16"/>
      <c r="W603" s="16"/>
      <c r="X603" s="16"/>
      <c r="Y603" s="16"/>
      <c r="Z603" s="16"/>
      <c r="AA603" s="16"/>
      <c r="AB603" s="16"/>
      <c r="AC603" s="16"/>
      <c r="AD603" s="16"/>
      <c r="AE603" s="16"/>
      <c r="AF603" s="16"/>
      <c r="AG603" s="16"/>
      <c r="AH603" s="16"/>
      <c r="AI603" s="16"/>
    </row>
    <row r="604" ht="12.75" customHeight="1" spans="1:35" x14ac:dyDescent="0.25">
      <c r="A604" s="16"/>
      <c r="B604" s="16"/>
      <c r="C604" s="16"/>
      <c r="D604" s="16"/>
      <c r="E604" s="16"/>
      <c r="F604" s="16"/>
      <c r="G604" s="16"/>
      <c r="H604" s="16"/>
      <c r="I604" s="16"/>
      <c r="J604" s="16"/>
      <c r="K604" s="16"/>
      <c r="L604" s="16"/>
      <c r="M604" s="16"/>
      <c r="N604" s="16"/>
      <c r="O604" s="16"/>
      <c r="P604" s="16"/>
      <c r="Q604" s="16"/>
      <c r="R604" s="16"/>
      <c r="S604" s="16"/>
      <c r="T604" s="16"/>
      <c r="U604" s="16"/>
      <c r="V604" s="16"/>
      <c r="W604" s="16"/>
      <c r="X604" s="16"/>
      <c r="Y604" s="16"/>
      <c r="Z604" s="16"/>
      <c r="AA604" s="16"/>
      <c r="AB604" s="16"/>
      <c r="AC604" s="16"/>
      <c r="AD604" s="16"/>
      <c r="AE604" s="16"/>
      <c r="AF604" s="16"/>
      <c r="AG604" s="16"/>
      <c r="AH604" s="16"/>
      <c r="AI604" s="16"/>
    </row>
    <row r="605" ht="12.75" customHeight="1" spans="1:35" x14ac:dyDescent="0.25">
      <c r="A605" s="16"/>
      <c r="B605" s="16"/>
      <c r="C605" s="16"/>
      <c r="D605" s="16"/>
      <c r="E605" s="16"/>
      <c r="F605" s="16"/>
      <c r="G605" s="16"/>
      <c r="H605" s="16"/>
      <c r="I605" s="16"/>
      <c r="J605" s="16"/>
      <c r="K605" s="16"/>
      <c r="L605" s="16"/>
      <c r="M605" s="16"/>
      <c r="N605" s="16"/>
      <c r="O605" s="16"/>
      <c r="P605" s="16"/>
      <c r="Q605" s="16"/>
      <c r="R605" s="16"/>
      <c r="S605" s="16"/>
      <c r="T605" s="16"/>
      <c r="U605" s="16"/>
      <c r="V605" s="16"/>
      <c r="W605" s="16"/>
      <c r="X605" s="16"/>
      <c r="Y605" s="16"/>
      <c r="Z605" s="16"/>
      <c r="AA605" s="16"/>
      <c r="AB605" s="16"/>
      <c r="AC605" s="16"/>
      <c r="AD605" s="16"/>
      <c r="AE605" s="16"/>
      <c r="AF605" s="16"/>
      <c r="AG605" s="16"/>
      <c r="AH605" s="16"/>
      <c r="AI605" s="16"/>
    </row>
    <row r="606" ht="12.75" customHeight="1" spans="1:35" x14ac:dyDescent="0.25">
      <c r="A606" s="16"/>
      <c r="B606" s="16"/>
      <c r="C606" s="16"/>
      <c r="D606" s="16"/>
      <c r="E606" s="16"/>
      <c r="F606" s="16"/>
      <c r="G606" s="16"/>
      <c r="H606" s="16"/>
      <c r="I606" s="16"/>
      <c r="J606" s="16"/>
      <c r="K606" s="16"/>
      <c r="L606" s="16"/>
      <c r="M606" s="16"/>
      <c r="N606" s="16"/>
      <c r="O606" s="16"/>
      <c r="P606" s="16"/>
      <c r="Q606" s="16"/>
      <c r="R606" s="16"/>
      <c r="S606" s="16"/>
      <c r="T606" s="16"/>
      <c r="U606" s="16"/>
      <c r="V606" s="16"/>
      <c r="W606" s="16"/>
      <c r="X606" s="16"/>
      <c r="Y606" s="16"/>
      <c r="Z606" s="16"/>
      <c r="AA606" s="16"/>
      <c r="AB606" s="16"/>
      <c r="AC606" s="16"/>
      <c r="AD606" s="16"/>
      <c r="AE606" s="16"/>
      <c r="AF606" s="16"/>
      <c r="AG606" s="16"/>
      <c r="AH606" s="16"/>
      <c r="AI606" s="16"/>
    </row>
    <row r="607" ht="12.75" customHeight="1" spans="1:35" x14ac:dyDescent="0.25">
      <c r="A607" s="16"/>
      <c r="B607" s="16"/>
      <c r="C607" s="16"/>
      <c r="D607" s="16"/>
      <c r="E607" s="16"/>
      <c r="F607" s="16"/>
      <c r="G607" s="16"/>
      <c r="H607" s="16"/>
      <c r="I607" s="16"/>
      <c r="J607" s="16"/>
      <c r="K607" s="16"/>
      <c r="L607" s="16"/>
      <c r="M607" s="16"/>
      <c r="N607" s="16"/>
      <c r="O607" s="16"/>
      <c r="P607" s="16"/>
      <c r="Q607" s="16"/>
      <c r="R607" s="16"/>
      <c r="S607" s="16"/>
      <c r="T607" s="16"/>
      <c r="U607" s="16"/>
      <c r="V607" s="16"/>
      <c r="W607" s="16"/>
      <c r="X607" s="16"/>
      <c r="Y607" s="16"/>
      <c r="Z607" s="16"/>
      <c r="AA607" s="16"/>
      <c r="AB607" s="16"/>
      <c r="AC607" s="16"/>
      <c r="AD607" s="16"/>
      <c r="AE607" s="16"/>
      <c r="AF607" s="16"/>
      <c r="AG607" s="16"/>
      <c r="AH607" s="16"/>
      <c r="AI607" s="16"/>
    </row>
    <row r="608" ht="12.75" customHeight="1" spans="1:35" x14ac:dyDescent="0.25">
      <c r="A608" s="16"/>
      <c r="B608" s="16"/>
      <c r="C608" s="16"/>
      <c r="D608" s="16"/>
      <c r="E608" s="16"/>
      <c r="F608" s="16"/>
      <c r="G608" s="16"/>
      <c r="H608" s="16"/>
      <c r="I608" s="16"/>
      <c r="J608" s="16"/>
      <c r="K608" s="16"/>
      <c r="L608" s="16"/>
      <c r="M608" s="16"/>
      <c r="N608" s="16"/>
      <c r="O608" s="16"/>
      <c r="P608" s="16"/>
      <c r="Q608" s="16"/>
      <c r="R608" s="16"/>
      <c r="S608" s="16"/>
      <c r="T608" s="16"/>
      <c r="U608" s="16"/>
      <c r="V608" s="16"/>
      <c r="W608" s="16"/>
      <c r="X608" s="16"/>
      <c r="Y608" s="16"/>
      <c r="Z608" s="16"/>
      <c r="AA608" s="16"/>
      <c r="AB608" s="16"/>
      <c r="AC608" s="16"/>
      <c r="AD608" s="16"/>
      <c r="AE608" s="16"/>
      <c r="AF608" s="16"/>
      <c r="AG608" s="16"/>
      <c r="AH608" s="16"/>
      <c r="AI608" s="16"/>
    </row>
    <row r="609" ht="12.75" customHeight="1" spans="1:35" x14ac:dyDescent="0.25">
      <c r="A609" s="16"/>
      <c r="B609" s="16"/>
      <c r="C609" s="16"/>
      <c r="D609" s="16"/>
      <c r="E609" s="16"/>
      <c r="F609" s="16"/>
      <c r="G609" s="16"/>
      <c r="H609" s="16"/>
      <c r="I609" s="16"/>
      <c r="J609" s="16"/>
      <c r="K609" s="16"/>
      <c r="L609" s="16"/>
      <c r="M609" s="16"/>
      <c r="N609" s="16"/>
      <c r="O609" s="16"/>
      <c r="P609" s="16"/>
      <c r="Q609" s="16"/>
      <c r="R609" s="16"/>
      <c r="S609" s="16"/>
      <c r="T609" s="16"/>
      <c r="U609" s="16"/>
      <c r="V609" s="16"/>
      <c r="W609" s="16"/>
      <c r="X609" s="16"/>
      <c r="Y609" s="16"/>
      <c r="Z609" s="16"/>
      <c r="AA609" s="16"/>
      <c r="AB609" s="16"/>
      <c r="AC609" s="16"/>
      <c r="AD609" s="16"/>
      <c r="AE609" s="16"/>
      <c r="AF609" s="16"/>
      <c r="AG609" s="16"/>
      <c r="AH609" s="16"/>
      <c r="AI609" s="16"/>
    </row>
    <row r="610" ht="12.75" customHeight="1" spans="1:35" x14ac:dyDescent="0.25">
      <c r="A610" s="16"/>
      <c r="B610" s="16"/>
      <c r="C610" s="16"/>
      <c r="D610" s="16"/>
      <c r="E610" s="16"/>
      <c r="F610" s="16"/>
      <c r="G610" s="16"/>
      <c r="H610" s="16"/>
      <c r="I610" s="16"/>
      <c r="J610" s="16"/>
      <c r="K610" s="16"/>
      <c r="L610" s="16"/>
      <c r="M610" s="16"/>
      <c r="N610" s="16"/>
      <c r="O610" s="16"/>
      <c r="P610" s="16"/>
      <c r="Q610" s="16"/>
      <c r="R610" s="16"/>
      <c r="S610" s="16"/>
      <c r="T610" s="16"/>
      <c r="U610" s="16"/>
      <c r="V610" s="16"/>
      <c r="W610" s="16"/>
      <c r="X610" s="16"/>
      <c r="Y610" s="16"/>
      <c r="Z610" s="16"/>
      <c r="AA610" s="16"/>
      <c r="AB610" s="16"/>
      <c r="AC610" s="16"/>
      <c r="AD610" s="16"/>
      <c r="AE610" s="16"/>
      <c r="AF610" s="16"/>
      <c r="AG610" s="16"/>
      <c r="AH610" s="16"/>
      <c r="AI610" s="16"/>
    </row>
    <row r="611" ht="12.75" customHeight="1" spans="1:35" x14ac:dyDescent="0.25">
      <c r="A611" s="16"/>
      <c r="B611" s="16"/>
      <c r="C611" s="16"/>
      <c r="D611" s="16"/>
      <c r="E611" s="16"/>
      <c r="F611" s="16"/>
      <c r="G611" s="16"/>
      <c r="H611" s="16"/>
      <c r="I611" s="16"/>
      <c r="J611" s="16"/>
      <c r="K611" s="16"/>
      <c r="L611" s="16"/>
      <c r="M611" s="16"/>
      <c r="N611" s="16"/>
      <c r="O611" s="16"/>
      <c r="P611" s="16"/>
      <c r="Q611" s="16"/>
      <c r="R611" s="16"/>
      <c r="S611" s="16"/>
      <c r="T611" s="16"/>
      <c r="U611" s="16"/>
      <c r="V611" s="16"/>
      <c r="W611" s="16"/>
      <c r="X611" s="16"/>
      <c r="Y611" s="16"/>
      <c r="Z611" s="16"/>
      <c r="AA611" s="16"/>
      <c r="AB611" s="16"/>
      <c r="AC611" s="16"/>
      <c r="AD611" s="16"/>
      <c r="AE611" s="16"/>
      <c r="AF611" s="16"/>
      <c r="AG611" s="16"/>
      <c r="AH611" s="16"/>
      <c r="AI611" s="16"/>
    </row>
    <row r="612" ht="12.75" customHeight="1" spans="1:35" x14ac:dyDescent="0.25">
      <c r="A612" s="16"/>
      <c r="B612" s="16"/>
      <c r="C612" s="16"/>
      <c r="D612" s="16"/>
      <c r="E612" s="16"/>
      <c r="F612" s="16"/>
      <c r="G612" s="16"/>
      <c r="H612" s="16"/>
      <c r="I612" s="16"/>
      <c r="J612" s="16"/>
      <c r="K612" s="16"/>
      <c r="L612" s="16"/>
      <c r="M612" s="16"/>
      <c r="N612" s="16"/>
      <c r="O612" s="16"/>
      <c r="P612" s="16"/>
      <c r="Q612" s="16"/>
      <c r="R612" s="16"/>
      <c r="S612" s="16"/>
      <c r="T612" s="16"/>
      <c r="U612" s="16"/>
      <c r="V612" s="16"/>
      <c r="W612" s="16"/>
      <c r="X612" s="16"/>
      <c r="Y612" s="16"/>
      <c r="Z612" s="16"/>
      <c r="AA612" s="16"/>
      <c r="AB612" s="16"/>
      <c r="AC612" s="16"/>
      <c r="AD612" s="16"/>
      <c r="AE612" s="16"/>
      <c r="AF612" s="16"/>
      <c r="AG612" s="16"/>
      <c r="AH612" s="16"/>
      <c r="AI612" s="16"/>
    </row>
    <row r="613" ht="12.75" customHeight="1" spans="1:35" x14ac:dyDescent="0.25">
      <c r="A613" s="16"/>
      <c r="B613" s="16"/>
      <c r="C613" s="16"/>
      <c r="D613" s="16"/>
      <c r="E613" s="16"/>
      <c r="F613" s="16"/>
      <c r="G613" s="16"/>
      <c r="H613" s="16"/>
      <c r="I613" s="16"/>
      <c r="J613" s="16"/>
      <c r="K613" s="16"/>
      <c r="L613" s="16"/>
      <c r="M613" s="16"/>
      <c r="N613" s="16"/>
      <c r="O613" s="16"/>
      <c r="P613" s="16"/>
      <c r="Q613" s="16"/>
      <c r="R613" s="16"/>
      <c r="S613" s="16"/>
      <c r="T613" s="16"/>
      <c r="U613" s="16"/>
      <c r="V613" s="16"/>
      <c r="W613" s="16"/>
      <c r="X613" s="16"/>
      <c r="Y613" s="16"/>
      <c r="Z613" s="16"/>
      <c r="AA613" s="16"/>
      <c r="AB613" s="16"/>
      <c r="AC613" s="16"/>
      <c r="AD613" s="16"/>
      <c r="AE613" s="16"/>
      <c r="AF613" s="16"/>
      <c r="AG613" s="16"/>
      <c r="AH613" s="16"/>
      <c r="AI613" s="16"/>
    </row>
    <row r="614" ht="12.75" customHeight="1" spans="1:35" x14ac:dyDescent="0.25">
      <c r="A614" s="16"/>
      <c r="B614" s="16"/>
      <c r="C614" s="16"/>
      <c r="D614" s="16"/>
      <c r="E614" s="16"/>
      <c r="F614" s="16"/>
      <c r="G614" s="16"/>
      <c r="H614" s="16"/>
      <c r="I614" s="16"/>
      <c r="J614" s="16"/>
      <c r="K614" s="16"/>
      <c r="L614" s="16"/>
      <c r="M614" s="16"/>
      <c r="N614" s="16"/>
      <c r="O614" s="16"/>
      <c r="P614" s="16"/>
      <c r="Q614" s="16"/>
      <c r="R614" s="16"/>
      <c r="S614" s="16"/>
      <c r="T614" s="16"/>
      <c r="U614" s="16"/>
      <c r="V614" s="16"/>
      <c r="W614" s="16"/>
      <c r="X614" s="16"/>
      <c r="Y614" s="16"/>
      <c r="Z614" s="16"/>
      <c r="AA614" s="16"/>
      <c r="AB614" s="16"/>
      <c r="AC614" s="16"/>
      <c r="AD614" s="16"/>
      <c r="AE614" s="16"/>
      <c r="AF614" s="16"/>
      <c r="AG614" s="16"/>
      <c r="AH614" s="16"/>
      <c r="AI614" s="16"/>
    </row>
    <row r="615" ht="12.75" customHeight="1" spans="1:35" x14ac:dyDescent="0.25">
      <c r="A615" s="16"/>
      <c r="B615" s="16"/>
      <c r="C615" s="16"/>
      <c r="D615" s="16"/>
      <c r="E615" s="16"/>
      <c r="F615" s="16"/>
      <c r="G615" s="16"/>
      <c r="H615" s="16"/>
      <c r="I615" s="16"/>
      <c r="J615" s="16"/>
      <c r="K615" s="16"/>
      <c r="L615" s="16"/>
      <c r="M615" s="16"/>
      <c r="N615" s="16"/>
      <c r="O615" s="16"/>
      <c r="P615" s="16"/>
      <c r="Q615" s="16"/>
      <c r="R615" s="16"/>
      <c r="S615" s="16"/>
      <c r="T615" s="16"/>
      <c r="U615" s="16"/>
      <c r="V615" s="16"/>
      <c r="W615" s="16"/>
      <c r="X615" s="16"/>
      <c r="Y615" s="16"/>
      <c r="Z615" s="16"/>
      <c r="AA615" s="16"/>
      <c r="AB615" s="16"/>
      <c r="AC615" s="16"/>
      <c r="AD615" s="16"/>
      <c r="AE615" s="16"/>
      <c r="AF615" s="16"/>
      <c r="AG615" s="16"/>
      <c r="AH615" s="16"/>
      <c r="AI615" s="16"/>
    </row>
    <row r="616" ht="12.75" customHeight="1" spans="1:35" x14ac:dyDescent="0.25">
      <c r="A616" s="16"/>
      <c r="B616" s="16"/>
      <c r="C616" s="16"/>
      <c r="D616" s="16"/>
      <c r="E616" s="16"/>
      <c r="F616" s="16"/>
      <c r="G616" s="16"/>
      <c r="H616" s="16"/>
      <c r="I616" s="16"/>
      <c r="J616" s="16"/>
      <c r="K616" s="16"/>
      <c r="L616" s="16"/>
      <c r="M616" s="16"/>
      <c r="N616" s="16"/>
      <c r="O616" s="16"/>
      <c r="P616" s="16"/>
      <c r="Q616" s="16"/>
      <c r="R616" s="16"/>
      <c r="S616" s="16"/>
      <c r="T616" s="16"/>
      <c r="U616" s="16"/>
      <c r="V616" s="16"/>
      <c r="W616" s="16"/>
      <c r="X616" s="16"/>
      <c r="Y616" s="16"/>
      <c r="Z616" s="16"/>
      <c r="AA616" s="16"/>
      <c r="AB616" s="16"/>
      <c r="AC616" s="16"/>
      <c r="AD616" s="16"/>
      <c r="AE616" s="16"/>
      <c r="AF616" s="16"/>
      <c r="AG616" s="16"/>
      <c r="AH616" s="16"/>
      <c r="AI616" s="16"/>
    </row>
    <row r="617" ht="12.75" customHeight="1" spans="1:35" x14ac:dyDescent="0.25">
      <c r="A617" s="16"/>
      <c r="B617" s="16"/>
      <c r="C617" s="16"/>
      <c r="D617" s="16"/>
      <c r="E617" s="16"/>
      <c r="F617" s="16"/>
      <c r="G617" s="16"/>
      <c r="H617" s="16"/>
      <c r="I617" s="16"/>
      <c r="J617" s="16"/>
      <c r="K617" s="16"/>
      <c r="L617" s="16"/>
      <c r="M617" s="16"/>
      <c r="N617" s="16"/>
      <c r="O617" s="16"/>
      <c r="P617" s="16"/>
      <c r="Q617" s="16"/>
      <c r="R617" s="16"/>
      <c r="S617" s="16"/>
      <c r="T617" s="16"/>
      <c r="U617" s="16"/>
      <c r="V617" s="16"/>
      <c r="W617" s="16"/>
      <c r="X617" s="16"/>
      <c r="Y617" s="16"/>
      <c r="Z617" s="16"/>
      <c r="AA617" s="16"/>
      <c r="AB617" s="16"/>
      <c r="AC617" s="16"/>
      <c r="AD617" s="16"/>
      <c r="AE617" s="16"/>
      <c r="AF617" s="16"/>
      <c r="AG617" s="16"/>
      <c r="AH617" s="16"/>
      <c r="AI617" s="16"/>
    </row>
    <row r="618" ht="12.75" customHeight="1" spans="1:35" x14ac:dyDescent="0.25">
      <c r="A618" s="16"/>
      <c r="B618" s="16"/>
      <c r="C618" s="16"/>
      <c r="D618" s="16"/>
      <c r="E618" s="16"/>
      <c r="F618" s="16"/>
      <c r="G618" s="16"/>
      <c r="H618" s="16"/>
      <c r="I618" s="16"/>
      <c r="J618" s="16"/>
      <c r="K618" s="16"/>
      <c r="L618" s="16"/>
      <c r="M618" s="16"/>
      <c r="N618" s="16"/>
      <c r="O618" s="16"/>
      <c r="P618" s="16"/>
      <c r="Q618" s="16"/>
      <c r="R618" s="16"/>
      <c r="S618" s="16"/>
      <c r="T618" s="16"/>
      <c r="U618" s="16"/>
      <c r="V618" s="16"/>
      <c r="W618" s="16"/>
      <c r="X618" s="16"/>
      <c r="Y618" s="16"/>
      <c r="Z618" s="16"/>
      <c r="AA618" s="16"/>
      <c r="AB618" s="16"/>
      <c r="AC618" s="16"/>
      <c r="AD618" s="16"/>
      <c r="AE618" s="16"/>
      <c r="AF618" s="16"/>
      <c r="AG618" s="16"/>
      <c r="AH618" s="16"/>
      <c r="AI618" s="16"/>
    </row>
    <row r="619" ht="12.75" customHeight="1" spans="1:35" x14ac:dyDescent="0.25">
      <c r="A619" s="16"/>
      <c r="B619" s="16"/>
      <c r="C619" s="16"/>
      <c r="D619" s="16"/>
      <c r="E619" s="16"/>
      <c r="F619" s="16"/>
      <c r="G619" s="16"/>
      <c r="H619" s="16"/>
      <c r="I619" s="16"/>
      <c r="J619" s="16"/>
      <c r="K619" s="16"/>
      <c r="L619" s="16"/>
      <c r="M619" s="16"/>
      <c r="N619" s="16"/>
      <c r="O619" s="16"/>
      <c r="P619" s="16"/>
      <c r="Q619" s="16"/>
      <c r="R619" s="16"/>
      <c r="S619" s="16"/>
      <c r="T619" s="16"/>
      <c r="U619" s="16"/>
      <c r="V619" s="16"/>
      <c r="W619" s="16"/>
      <c r="X619" s="16"/>
      <c r="Y619" s="16"/>
      <c r="Z619" s="16"/>
      <c r="AA619" s="16"/>
      <c r="AB619" s="16"/>
      <c r="AC619" s="16"/>
      <c r="AD619" s="16"/>
      <c r="AE619" s="16"/>
      <c r="AF619" s="16"/>
      <c r="AG619" s="16"/>
      <c r="AH619" s="16"/>
      <c r="AI619" s="16"/>
    </row>
    <row r="620" ht="12.75" customHeight="1" spans="1:35" x14ac:dyDescent="0.25">
      <c r="A620" s="16"/>
      <c r="B620" s="16"/>
      <c r="C620" s="16"/>
      <c r="D620" s="16"/>
      <c r="E620" s="16"/>
      <c r="F620" s="16"/>
      <c r="G620" s="16"/>
      <c r="H620" s="16"/>
      <c r="I620" s="16"/>
      <c r="J620" s="16"/>
      <c r="K620" s="16"/>
      <c r="L620" s="16"/>
      <c r="M620" s="16"/>
      <c r="N620" s="16"/>
      <c r="O620" s="16"/>
      <c r="P620" s="16"/>
      <c r="Q620" s="16"/>
      <c r="R620" s="16"/>
      <c r="S620" s="16"/>
      <c r="T620" s="16"/>
      <c r="U620" s="16"/>
      <c r="V620" s="16"/>
      <c r="W620" s="16"/>
      <c r="X620" s="16"/>
      <c r="Y620" s="16"/>
      <c r="Z620" s="16"/>
      <c r="AA620" s="16"/>
      <c r="AB620" s="16"/>
      <c r="AC620" s="16"/>
      <c r="AD620" s="16"/>
      <c r="AE620" s="16"/>
      <c r="AF620" s="16"/>
      <c r="AG620" s="16"/>
      <c r="AH620" s="16"/>
      <c r="AI620" s="16"/>
    </row>
    <row r="621" ht="12.75" customHeight="1" spans="1:35" x14ac:dyDescent="0.25">
      <c r="A621" s="16"/>
      <c r="B621" s="16"/>
      <c r="C621" s="16"/>
      <c r="D621" s="16"/>
      <c r="E621" s="16"/>
      <c r="F621" s="16"/>
      <c r="G621" s="16"/>
      <c r="H621" s="16"/>
      <c r="I621" s="16"/>
      <c r="J621" s="16"/>
      <c r="K621" s="16"/>
      <c r="L621" s="16"/>
      <c r="M621" s="16"/>
      <c r="N621" s="16"/>
      <c r="O621" s="16"/>
      <c r="P621" s="16"/>
      <c r="Q621" s="16"/>
      <c r="R621" s="16"/>
      <c r="S621" s="16"/>
      <c r="T621" s="16"/>
      <c r="U621" s="16"/>
      <c r="V621" s="16"/>
      <c r="W621" s="16"/>
      <c r="X621" s="16"/>
      <c r="Y621" s="16"/>
      <c r="Z621" s="16"/>
      <c r="AA621" s="16"/>
      <c r="AB621" s="16"/>
      <c r="AC621" s="16"/>
      <c r="AD621" s="16"/>
      <c r="AE621" s="16"/>
      <c r="AF621" s="16"/>
      <c r="AG621" s="16"/>
      <c r="AH621" s="16"/>
      <c r="AI621" s="16"/>
    </row>
    <row r="622" ht="12.75" customHeight="1" spans="1:35" x14ac:dyDescent="0.25">
      <c r="A622" s="16"/>
      <c r="B622" s="16"/>
      <c r="C622" s="16"/>
      <c r="D622" s="16"/>
      <c r="E622" s="16"/>
      <c r="F622" s="16"/>
      <c r="G622" s="16"/>
      <c r="H622" s="16"/>
      <c r="I622" s="16"/>
      <c r="J622" s="16"/>
      <c r="K622" s="16"/>
      <c r="L622" s="16"/>
      <c r="M622" s="16"/>
      <c r="N622" s="16"/>
      <c r="O622" s="16"/>
      <c r="P622" s="16"/>
      <c r="Q622" s="16"/>
      <c r="R622" s="16"/>
      <c r="S622" s="16"/>
      <c r="T622" s="16"/>
      <c r="U622" s="16"/>
      <c r="V622" s="16"/>
      <c r="W622" s="16"/>
      <c r="X622" s="16"/>
      <c r="Y622" s="16"/>
      <c r="Z622" s="16"/>
      <c r="AA622" s="16"/>
      <c r="AB622" s="16"/>
      <c r="AC622" s="16"/>
      <c r="AD622" s="16"/>
      <c r="AE622" s="16"/>
      <c r="AF622" s="16"/>
      <c r="AG622" s="16"/>
      <c r="AH622" s="16"/>
      <c r="AI622" s="16"/>
    </row>
    <row r="623" ht="12.75" customHeight="1" spans="1:35" x14ac:dyDescent="0.25">
      <c r="A623" s="16"/>
      <c r="B623" s="16"/>
      <c r="C623" s="16"/>
      <c r="D623" s="16"/>
      <c r="E623" s="16"/>
      <c r="F623" s="16"/>
      <c r="G623" s="16"/>
      <c r="H623" s="16"/>
      <c r="I623" s="16"/>
      <c r="J623" s="16"/>
      <c r="K623" s="16"/>
      <c r="L623" s="16"/>
      <c r="M623" s="16"/>
      <c r="N623" s="16"/>
      <c r="O623" s="16"/>
      <c r="P623" s="16"/>
      <c r="Q623" s="16"/>
      <c r="R623" s="16"/>
      <c r="S623" s="16"/>
      <c r="T623" s="16"/>
      <c r="U623" s="16"/>
      <c r="V623" s="16"/>
      <c r="W623" s="16"/>
      <c r="X623" s="16"/>
      <c r="Y623" s="16"/>
      <c r="Z623" s="16"/>
      <c r="AA623" s="16"/>
      <c r="AB623" s="16"/>
      <c r="AC623" s="16"/>
      <c r="AD623" s="16"/>
      <c r="AE623" s="16"/>
      <c r="AF623" s="16"/>
      <c r="AG623" s="16"/>
      <c r="AH623" s="16"/>
      <c r="AI623" s="16"/>
    </row>
    <row r="624" ht="12.75" customHeight="1" spans="1:35" x14ac:dyDescent="0.25">
      <c r="A624" s="16"/>
      <c r="B624" s="16"/>
      <c r="C624" s="16"/>
      <c r="D624" s="16"/>
      <c r="E624" s="16"/>
      <c r="F624" s="16"/>
      <c r="G624" s="16"/>
      <c r="H624" s="16"/>
      <c r="I624" s="16"/>
      <c r="J624" s="16"/>
      <c r="K624" s="16"/>
      <c r="L624" s="16"/>
      <c r="M624" s="16"/>
      <c r="N624" s="16"/>
      <c r="O624" s="16"/>
      <c r="P624" s="16"/>
      <c r="Q624" s="16"/>
      <c r="R624" s="16"/>
      <c r="S624" s="16"/>
      <c r="T624" s="16"/>
      <c r="U624" s="16"/>
      <c r="V624" s="16"/>
      <c r="W624" s="16"/>
      <c r="X624" s="16"/>
      <c r="Y624" s="16"/>
      <c r="Z624" s="16"/>
      <c r="AA624" s="16"/>
      <c r="AB624" s="16"/>
      <c r="AC624" s="16"/>
      <c r="AD624" s="16"/>
      <c r="AE624" s="16"/>
      <c r="AF624" s="16"/>
      <c r="AG624" s="16"/>
      <c r="AH624" s="16"/>
      <c r="AI624" s="16"/>
    </row>
    <row r="625" ht="12.75" customHeight="1" spans="1:35" x14ac:dyDescent="0.25">
      <c r="A625" s="16"/>
      <c r="B625" s="16"/>
      <c r="C625" s="16"/>
      <c r="D625" s="16"/>
      <c r="E625" s="16"/>
      <c r="F625" s="16"/>
      <c r="G625" s="16"/>
      <c r="H625" s="16"/>
      <c r="I625" s="16"/>
      <c r="J625" s="16"/>
      <c r="K625" s="16"/>
      <c r="L625" s="16"/>
      <c r="M625" s="16"/>
      <c r="N625" s="16"/>
      <c r="O625" s="16"/>
      <c r="P625" s="16"/>
      <c r="Q625" s="16"/>
      <c r="R625" s="16"/>
      <c r="S625" s="16"/>
      <c r="T625" s="16"/>
      <c r="U625" s="16"/>
      <c r="V625" s="16"/>
      <c r="W625" s="16"/>
      <c r="X625" s="16"/>
      <c r="Y625" s="16"/>
      <c r="Z625" s="16"/>
      <c r="AA625" s="16"/>
      <c r="AB625" s="16"/>
      <c r="AC625" s="16"/>
      <c r="AD625" s="16"/>
      <c r="AE625" s="16"/>
      <c r="AF625" s="16"/>
      <c r="AG625" s="16"/>
      <c r="AH625" s="16"/>
      <c r="AI625" s="16"/>
    </row>
    <row r="626" ht="12.75" customHeight="1" spans="1:35" x14ac:dyDescent="0.25">
      <c r="A626" s="16"/>
      <c r="B626" s="16"/>
      <c r="C626" s="16"/>
      <c r="D626" s="16"/>
      <c r="E626" s="16"/>
      <c r="F626" s="16"/>
      <c r="G626" s="16"/>
      <c r="H626" s="16"/>
      <c r="I626" s="16"/>
      <c r="J626" s="16"/>
      <c r="K626" s="16"/>
      <c r="L626" s="16"/>
      <c r="M626" s="16"/>
      <c r="N626" s="16"/>
      <c r="O626" s="16"/>
      <c r="P626" s="16"/>
      <c r="Q626" s="16"/>
      <c r="R626" s="16"/>
      <c r="S626" s="16"/>
      <c r="T626" s="16"/>
      <c r="U626" s="16"/>
      <c r="V626" s="16"/>
      <c r="W626" s="16"/>
      <c r="X626" s="16"/>
      <c r="Y626" s="16"/>
      <c r="Z626" s="16"/>
      <c r="AA626" s="16"/>
      <c r="AB626" s="16"/>
      <c r="AC626" s="16"/>
      <c r="AD626" s="16"/>
      <c r="AE626" s="16"/>
      <c r="AF626" s="16"/>
      <c r="AG626" s="16"/>
      <c r="AH626" s="16"/>
      <c r="AI626" s="16"/>
    </row>
    <row r="627" ht="12.75" customHeight="1" spans="1:35" x14ac:dyDescent="0.25">
      <c r="A627" s="16"/>
      <c r="B627" s="16"/>
      <c r="C627" s="16"/>
      <c r="D627" s="16"/>
      <c r="E627" s="16"/>
      <c r="F627" s="16"/>
      <c r="G627" s="16"/>
      <c r="H627" s="16"/>
      <c r="I627" s="16"/>
      <c r="J627" s="16"/>
      <c r="K627" s="16"/>
      <c r="L627" s="16"/>
      <c r="M627" s="16"/>
      <c r="N627" s="16"/>
      <c r="O627" s="16"/>
      <c r="P627" s="16"/>
      <c r="Q627" s="16"/>
      <c r="R627" s="16"/>
      <c r="S627" s="16"/>
      <c r="T627" s="16"/>
      <c r="U627" s="16"/>
      <c r="V627" s="16"/>
      <c r="W627" s="16"/>
      <c r="X627" s="16"/>
      <c r="Y627" s="16"/>
      <c r="Z627" s="16"/>
      <c r="AA627" s="16"/>
      <c r="AB627" s="16"/>
      <c r="AC627" s="16"/>
      <c r="AD627" s="16"/>
      <c r="AE627" s="16"/>
      <c r="AF627" s="16"/>
      <c r="AG627" s="16"/>
      <c r="AH627" s="16"/>
      <c r="AI627" s="16"/>
    </row>
    <row r="628" ht="12.75" customHeight="1" spans="1:35" x14ac:dyDescent="0.25">
      <c r="A628" s="16"/>
      <c r="B628" s="16"/>
      <c r="C628" s="16"/>
      <c r="D628" s="16"/>
      <c r="E628" s="16"/>
      <c r="F628" s="16"/>
      <c r="G628" s="16"/>
      <c r="H628" s="16"/>
      <c r="I628" s="16"/>
      <c r="J628" s="16"/>
      <c r="K628" s="16"/>
      <c r="L628" s="16"/>
      <c r="M628" s="16"/>
      <c r="N628" s="16"/>
      <c r="O628" s="16"/>
      <c r="P628" s="16"/>
      <c r="Q628" s="16"/>
      <c r="R628" s="16"/>
      <c r="S628" s="16"/>
      <c r="T628" s="16"/>
      <c r="U628" s="16"/>
      <c r="V628" s="16"/>
      <c r="W628" s="16"/>
      <c r="X628" s="16"/>
      <c r="Y628" s="16"/>
      <c r="Z628" s="16"/>
      <c r="AA628" s="16"/>
      <c r="AB628" s="16"/>
      <c r="AC628" s="16"/>
      <c r="AD628" s="16"/>
      <c r="AE628" s="16"/>
      <c r="AF628" s="16"/>
      <c r="AG628" s="16"/>
      <c r="AH628" s="16"/>
      <c r="AI628" s="16"/>
    </row>
    <row r="629" ht="12.75" customHeight="1" spans="1:35" x14ac:dyDescent="0.25">
      <c r="A629" s="16"/>
      <c r="B629" s="16"/>
      <c r="C629" s="16"/>
      <c r="D629" s="16"/>
      <c r="E629" s="16"/>
      <c r="F629" s="16"/>
      <c r="G629" s="16"/>
      <c r="H629" s="16"/>
      <c r="I629" s="16"/>
      <c r="J629" s="16"/>
      <c r="K629" s="16"/>
      <c r="L629" s="16"/>
      <c r="M629" s="16"/>
      <c r="N629" s="16"/>
      <c r="O629" s="16"/>
      <c r="P629" s="16"/>
      <c r="Q629" s="16"/>
      <c r="R629" s="16"/>
      <c r="S629" s="16"/>
      <c r="T629" s="16"/>
      <c r="U629" s="16"/>
      <c r="V629" s="16"/>
      <c r="W629" s="16"/>
      <c r="X629" s="16"/>
      <c r="Y629" s="16"/>
      <c r="Z629" s="16"/>
      <c r="AA629" s="16"/>
      <c r="AB629" s="16"/>
      <c r="AC629" s="16"/>
      <c r="AD629" s="16"/>
      <c r="AE629" s="16"/>
      <c r="AF629" s="16"/>
      <c r="AG629" s="16"/>
      <c r="AH629" s="16"/>
      <c r="AI629" s="16"/>
    </row>
    <row r="630" ht="12.75" customHeight="1" spans="1:35" x14ac:dyDescent="0.25">
      <c r="A630" s="16"/>
      <c r="B630" s="16"/>
      <c r="C630" s="16"/>
      <c r="D630" s="16"/>
      <c r="E630" s="16"/>
      <c r="F630" s="16"/>
      <c r="G630" s="16"/>
      <c r="H630" s="16"/>
      <c r="I630" s="16"/>
      <c r="J630" s="16"/>
      <c r="K630" s="16"/>
      <c r="L630" s="16"/>
      <c r="M630" s="16"/>
      <c r="N630" s="16"/>
      <c r="O630" s="16"/>
      <c r="P630" s="16"/>
      <c r="Q630" s="16"/>
      <c r="R630" s="16"/>
      <c r="S630" s="16"/>
      <c r="T630" s="16"/>
      <c r="U630" s="16"/>
      <c r="V630" s="16"/>
      <c r="W630" s="16"/>
      <c r="X630" s="16"/>
      <c r="Y630" s="16"/>
      <c r="Z630" s="16"/>
      <c r="AA630" s="16"/>
      <c r="AB630" s="16"/>
      <c r="AC630" s="16"/>
      <c r="AD630" s="16"/>
      <c r="AE630" s="16"/>
      <c r="AF630" s="16"/>
      <c r="AG630" s="16"/>
      <c r="AH630" s="16"/>
      <c r="AI630" s="16"/>
    </row>
    <row r="631" ht="12.75" customHeight="1" spans="1:35" x14ac:dyDescent="0.25">
      <c r="A631" s="16"/>
      <c r="B631" s="16"/>
      <c r="C631" s="16"/>
      <c r="D631" s="16"/>
      <c r="E631" s="16"/>
      <c r="F631" s="16"/>
      <c r="G631" s="16"/>
      <c r="H631" s="16"/>
      <c r="I631" s="16"/>
      <c r="J631" s="16"/>
      <c r="K631" s="16"/>
      <c r="L631" s="16"/>
      <c r="M631" s="16"/>
      <c r="N631" s="16"/>
      <c r="O631" s="16"/>
      <c r="P631" s="16"/>
      <c r="Q631" s="16"/>
      <c r="R631" s="16"/>
      <c r="S631" s="16"/>
      <c r="T631" s="16"/>
      <c r="U631" s="16"/>
      <c r="V631" s="16"/>
      <c r="W631" s="16"/>
      <c r="X631" s="16"/>
      <c r="Y631" s="16"/>
      <c r="Z631" s="16"/>
      <c r="AA631" s="16"/>
      <c r="AB631" s="16"/>
      <c r="AC631" s="16"/>
      <c r="AD631" s="16"/>
      <c r="AE631" s="16"/>
      <c r="AF631" s="16"/>
      <c r="AG631" s="16"/>
      <c r="AH631" s="16"/>
      <c r="AI631" s="16"/>
    </row>
    <row r="632" ht="12.75" customHeight="1" spans="1:35" x14ac:dyDescent="0.25">
      <c r="A632" s="16"/>
      <c r="B632" s="16"/>
      <c r="C632" s="16"/>
      <c r="D632" s="16"/>
      <c r="E632" s="16"/>
      <c r="F632" s="16"/>
      <c r="G632" s="16"/>
      <c r="H632" s="16"/>
      <c r="I632" s="16"/>
      <c r="J632" s="16"/>
      <c r="K632" s="16"/>
      <c r="L632" s="16"/>
      <c r="M632" s="16"/>
      <c r="N632" s="16"/>
      <c r="O632" s="16"/>
      <c r="P632" s="16"/>
      <c r="Q632" s="16"/>
      <c r="R632" s="16"/>
      <c r="S632" s="16"/>
      <c r="T632" s="16"/>
      <c r="U632" s="16"/>
      <c r="V632" s="16"/>
      <c r="W632" s="16"/>
      <c r="X632" s="16"/>
      <c r="Y632" s="16"/>
      <c r="Z632" s="16"/>
      <c r="AA632" s="16"/>
      <c r="AB632" s="16"/>
      <c r="AC632" s="16"/>
      <c r="AD632" s="16"/>
      <c r="AE632" s="16"/>
      <c r="AF632" s="16"/>
      <c r="AG632" s="16"/>
      <c r="AH632" s="16"/>
      <c r="AI632" s="16"/>
    </row>
    <row r="633" ht="12.75" customHeight="1" spans="1:35" x14ac:dyDescent="0.25">
      <c r="A633" s="16"/>
      <c r="B633" s="16"/>
      <c r="C633" s="16"/>
      <c r="D633" s="16"/>
      <c r="E633" s="16"/>
      <c r="F633" s="16"/>
      <c r="G633" s="16"/>
      <c r="H633" s="16"/>
      <c r="I633" s="16"/>
      <c r="J633" s="16"/>
      <c r="K633" s="16"/>
      <c r="L633" s="16"/>
      <c r="M633" s="16"/>
      <c r="N633" s="16"/>
      <c r="O633" s="16"/>
      <c r="P633" s="16"/>
      <c r="Q633" s="16"/>
      <c r="R633" s="16"/>
      <c r="S633" s="16"/>
      <c r="T633" s="16"/>
      <c r="U633" s="16"/>
      <c r="V633" s="16"/>
      <c r="W633" s="16"/>
      <c r="X633" s="16"/>
      <c r="Y633" s="16"/>
      <c r="Z633" s="16"/>
      <c r="AA633" s="16"/>
      <c r="AB633" s="16"/>
      <c r="AC633" s="16"/>
      <c r="AD633" s="16"/>
      <c r="AE633" s="16"/>
      <c r="AF633" s="16"/>
      <c r="AG633" s="16"/>
      <c r="AH633" s="16"/>
      <c r="AI633" s="16"/>
    </row>
    <row r="634" ht="12.75" customHeight="1" spans="1:35" x14ac:dyDescent="0.25">
      <c r="A634" s="16"/>
      <c r="B634" s="16"/>
      <c r="C634" s="16"/>
      <c r="D634" s="16"/>
      <c r="E634" s="16"/>
      <c r="F634" s="16"/>
      <c r="G634" s="16"/>
      <c r="H634" s="16"/>
      <c r="I634" s="16"/>
      <c r="J634" s="16"/>
      <c r="K634" s="16"/>
      <c r="L634" s="16"/>
      <c r="M634" s="16"/>
      <c r="N634" s="16"/>
      <c r="O634" s="16"/>
      <c r="P634" s="16"/>
      <c r="Q634" s="16"/>
      <c r="R634" s="16"/>
      <c r="S634" s="16"/>
      <c r="T634" s="16"/>
      <c r="U634" s="16"/>
      <c r="V634" s="16"/>
      <c r="W634" s="16"/>
      <c r="X634" s="16"/>
      <c r="Y634" s="16"/>
      <c r="Z634" s="16"/>
      <c r="AA634" s="16"/>
      <c r="AB634" s="16"/>
      <c r="AC634" s="16"/>
      <c r="AD634" s="16"/>
      <c r="AE634" s="16"/>
      <c r="AF634" s="16"/>
      <c r="AG634" s="16"/>
      <c r="AH634" s="16"/>
      <c r="AI634" s="16"/>
    </row>
    <row r="635" ht="12.75" customHeight="1" spans="1:35" x14ac:dyDescent="0.25">
      <c r="A635" s="16"/>
      <c r="B635" s="16"/>
      <c r="C635" s="16"/>
      <c r="D635" s="16"/>
      <c r="E635" s="16"/>
      <c r="F635" s="16"/>
      <c r="G635" s="16"/>
      <c r="H635" s="16"/>
      <c r="I635" s="16"/>
      <c r="J635" s="16"/>
      <c r="K635" s="16"/>
      <c r="L635" s="16"/>
      <c r="M635" s="16"/>
      <c r="N635" s="16"/>
      <c r="O635" s="16"/>
      <c r="P635" s="16"/>
      <c r="Q635" s="16"/>
      <c r="R635" s="16"/>
      <c r="S635" s="16"/>
      <c r="T635" s="16"/>
      <c r="U635" s="16"/>
      <c r="V635" s="16"/>
      <c r="W635" s="16"/>
      <c r="X635" s="16"/>
      <c r="Y635" s="16"/>
      <c r="Z635" s="16"/>
      <c r="AA635" s="16"/>
      <c r="AB635" s="16"/>
      <c r="AC635" s="16"/>
      <c r="AD635" s="16"/>
      <c r="AE635" s="16"/>
      <c r="AF635" s="16"/>
      <c r="AG635" s="16"/>
      <c r="AH635" s="16"/>
      <c r="AI635" s="16"/>
    </row>
    <row r="636" ht="12.75" customHeight="1" spans="1:35" x14ac:dyDescent="0.25">
      <c r="A636" s="16"/>
      <c r="B636" s="16"/>
      <c r="C636" s="16"/>
      <c r="D636" s="16"/>
      <c r="E636" s="16"/>
      <c r="F636" s="16"/>
      <c r="G636" s="16"/>
      <c r="H636" s="16"/>
      <c r="I636" s="16"/>
      <c r="J636" s="16"/>
      <c r="K636" s="16"/>
      <c r="L636" s="16"/>
      <c r="M636" s="16"/>
      <c r="N636" s="16"/>
      <c r="O636" s="16"/>
      <c r="P636" s="16"/>
      <c r="Q636" s="16"/>
      <c r="R636" s="16"/>
      <c r="S636" s="16"/>
      <c r="T636" s="16"/>
      <c r="U636" s="16"/>
      <c r="V636" s="16"/>
      <c r="W636" s="16"/>
      <c r="X636" s="16"/>
      <c r="Y636" s="16"/>
      <c r="Z636" s="16"/>
      <c r="AA636" s="16"/>
      <c r="AB636" s="16"/>
      <c r="AC636" s="16"/>
      <c r="AD636" s="16"/>
      <c r="AE636" s="16"/>
      <c r="AF636" s="16"/>
      <c r="AG636" s="16"/>
      <c r="AH636" s="16"/>
      <c r="AI636" s="16"/>
    </row>
    <row r="637" ht="12.75" customHeight="1" spans="1:35" x14ac:dyDescent="0.25">
      <c r="A637" s="16"/>
      <c r="B637" s="16"/>
      <c r="C637" s="16"/>
      <c r="D637" s="16"/>
      <c r="E637" s="16"/>
      <c r="F637" s="16"/>
      <c r="G637" s="16"/>
      <c r="H637" s="16"/>
      <c r="I637" s="16"/>
      <c r="J637" s="16"/>
      <c r="K637" s="16"/>
      <c r="L637" s="16"/>
      <c r="M637" s="16"/>
      <c r="N637" s="16"/>
      <c r="O637" s="16"/>
      <c r="P637" s="16"/>
      <c r="Q637" s="16"/>
      <c r="R637" s="16"/>
      <c r="S637" s="16"/>
      <c r="T637" s="16"/>
      <c r="U637" s="16"/>
      <c r="V637" s="16"/>
      <c r="W637" s="16"/>
      <c r="X637" s="16"/>
      <c r="Y637" s="16"/>
      <c r="Z637" s="16"/>
      <c r="AA637" s="16"/>
      <c r="AB637" s="16"/>
      <c r="AC637" s="16"/>
      <c r="AD637" s="16"/>
      <c r="AE637" s="16"/>
      <c r="AF637" s="16"/>
      <c r="AG637" s="16"/>
      <c r="AH637" s="16"/>
      <c r="AI637" s="16"/>
    </row>
    <row r="638" ht="12.75" customHeight="1" spans="1:35" x14ac:dyDescent="0.25">
      <c r="A638" s="16"/>
      <c r="B638" s="16"/>
      <c r="C638" s="16"/>
      <c r="D638" s="16"/>
      <c r="E638" s="16"/>
      <c r="F638" s="16"/>
      <c r="G638" s="16"/>
      <c r="H638" s="16"/>
      <c r="I638" s="16"/>
      <c r="J638" s="16"/>
      <c r="K638" s="16"/>
      <c r="L638" s="16"/>
      <c r="M638" s="16"/>
      <c r="N638" s="16"/>
      <c r="O638" s="16"/>
      <c r="P638" s="16"/>
      <c r="Q638" s="16"/>
      <c r="R638" s="16"/>
      <c r="S638" s="16"/>
      <c r="T638" s="16"/>
      <c r="U638" s="16"/>
      <c r="V638" s="16"/>
      <c r="W638" s="16"/>
      <c r="X638" s="16"/>
      <c r="Y638" s="16"/>
      <c r="Z638" s="16"/>
      <c r="AA638" s="16"/>
      <c r="AB638" s="16"/>
      <c r="AC638" s="16"/>
      <c r="AD638" s="16"/>
      <c r="AE638" s="16"/>
      <c r="AF638" s="16"/>
      <c r="AG638" s="16"/>
      <c r="AH638" s="16"/>
      <c r="AI638" s="16"/>
    </row>
    <row r="639" ht="12.75" customHeight="1" spans="1:35" x14ac:dyDescent="0.25">
      <c r="A639" s="16"/>
      <c r="B639" s="16"/>
      <c r="C639" s="16"/>
      <c r="D639" s="16"/>
      <c r="E639" s="16"/>
      <c r="F639" s="16"/>
      <c r="G639" s="16"/>
      <c r="H639" s="16"/>
      <c r="I639" s="16"/>
      <c r="J639" s="16"/>
      <c r="K639" s="16"/>
      <c r="L639" s="16"/>
      <c r="M639" s="16"/>
      <c r="N639" s="16"/>
      <c r="O639" s="16"/>
      <c r="P639" s="16"/>
      <c r="Q639" s="16"/>
      <c r="R639" s="16"/>
      <c r="S639" s="16"/>
      <c r="T639" s="16"/>
      <c r="U639" s="16"/>
      <c r="V639" s="16"/>
      <c r="W639" s="16"/>
      <c r="X639" s="16"/>
      <c r="Y639" s="16"/>
      <c r="Z639" s="16"/>
      <c r="AA639" s="16"/>
      <c r="AB639" s="16"/>
      <c r="AC639" s="16"/>
      <c r="AD639" s="16"/>
      <c r="AE639" s="16"/>
      <c r="AF639" s="16"/>
      <c r="AG639" s="16"/>
      <c r="AH639" s="16"/>
      <c r="AI639" s="16"/>
    </row>
    <row r="640" ht="12.75" customHeight="1" spans="1:35" x14ac:dyDescent="0.25">
      <c r="A640" s="16"/>
      <c r="B640" s="16"/>
      <c r="C640" s="16"/>
      <c r="D640" s="16"/>
      <c r="E640" s="16"/>
      <c r="F640" s="16"/>
      <c r="G640" s="16"/>
      <c r="H640" s="16"/>
      <c r="I640" s="16"/>
      <c r="J640" s="16"/>
      <c r="K640" s="16"/>
      <c r="L640" s="16"/>
      <c r="M640" s="16"/>
      <c r="N640" s="16"/>
      <c r="O640" s="16"/>
      <c r="P640" s="16"/>
      <c r="Q640" s="16"/>
      <c r="R640" s="16"/>
      <c r="S640" s="16"/>
      <c r="T640" s="16"/>
      <c r="U640" s="16"/>
      <c r="V640" s="16"/>
      <c r="W640" s="16"/>
      <c r="X640" s="16"/>
      <c r="Y640" s="16"/>
      <c r="Z640" s="16"/>
      <c r="AA640" s="16"/>
      <c r="AB640" s="16"/>
      <c r="AC640" s="16"/>
      <c r="AD640" s="16"/>
      <c r="AE640" s="16"/>
      <c r="AF640" s="16"/>
      <c r="AG640" s="16"/>
      <c r="AH640" s="16"/>
      <c r="AI640" s="16"/>
    </row>
    <row r="641" ht="12.75" customHeight="1" spans="1:35" x14ac:dyDescent="0.25">
      <c r="A641" s="16"/>
      <c r="B641" s="16"/>
      <c r="C641" s="16"/>
      <c r="D641" s="16"/>
      <c r="E641" s="16"/>
      <c r="F641" s="16"/>
      <c r="G641" s="16"/>
      <c r="H641" s="16"/>
      <c r="I641" s="16"/>
      <c r="J641" s="16"/>
      <c r="K641" s="16"/>
      <c r="L641" s="16"/>
      <c r="M641" s="16"/>
      <c r="N641" s="16"/>
      <c r="O641" s="16"/>
      <c r="P641" s="16"/>
      <c r="Q641" s="16"/>
      <c r="R641" s="16"/>
      <c r="S641" s="16"/>
      <c r="T641" s="16"/>
      <c r="U641" s="16"/>
      <c r="V641" s="16"/>
      <c r="W641" s="16"/>
      <c r="X641" s="16"/>
      <c r="Y641" s="16"/>
      <c r="Z641" s="16"/>
      <c r="AA641" s="16"/>
      <c r="AB641" s="16"/>
      <c r="AC641" s="16"/>
      <c r="AD641" s="16"/>
      <c r="AE641" s="16"/>
      <c r="AF641" s="16"/>
      <c r="AG641" s="16"/>
      <c r="AH641" s="16"/>
      <c r="AI641" s="16"/>
    </row>
    <row r="642" ht="12.75" customHeight="1" spans="1:35" x14ac:dyDescent="0.25">
      <c r="A642" s="16"/>
      <c r="B642" s="16"/>
      <c r="C642" s="16"/>
      <c r="D642" s="16"/>
      <c r="E642" s="16"/>
      <c r="F642" s="16"/>
      <c r="G642" s="16"/>
      <c r="H642" s="16"/>
      <c r="I642" s="16"/>
      <c r="J642" s="16"/>
      <c r="K642" s="16"/>
      <c r="L642" s="16"/>
      <c r="M642" s="16"/>
      <c r="N642" s="16"/>
      <c r="O642" s="16"/>
      <c r="P642" s="16"/>
      <c r="Q642" s="16"/>
      <c r="R642" s="16"/>
      <c r="S642" s="16"/>
      <c r="T642" s="16"/>
      <c r="U642" s="16"/>
      <c r="V642" s="16"/>
      <c r="W642" s="16"/>
      <c r="X642" s="16"/>
      <c r="Y642" s="16"/>
      <c r="Z642" s="16"/>
      <c r="AA642" s="16"/>
      <c r="AB642" s="16"/>
      <c r="AC642" s="16"/>
      <c r="AD642" s="16"/>
      <c r="AE642" s="16"/>
      <c r="AF642" s="16"/>
      <c r="AG642" s="16"/>
      <c r="AH642" s="16"/>
      <c r="AI642" s="16"/>
    </row>
    <row r="643" ht="12.75" customHeight="1" spans="1:35" x14ac:dyDescent="0.25">
      <c r="A643" s="16"/>
      <c r="B643" s="16"/>
      <c r="C643" s="16"/>
      <c r="D643" s="16"/>
      <c r="E643" s="16"/>
      <c r="F643" s="16"/>
      <c r="G643" s="16"/>
      <c r="H643" s="16"/>
      <c r="I643" s="16"/>
      <c r="J643" s="16"/>
      <c r="K643" s="16"/>
      <c r="L643" s="16"/>
      <c r="M643" s="16"/>
      <c r="N643" s="16"/>
      <c r="O643" s="16"/>
      <c r="P643" s="16"/>
      <c r="Q643" s="16"/>
      <c r="R643" s="16"/>
      <c r="S643" s="16"/>
      <c r="T643" s="16"/>
      <c r="U643" s="16"/>
      <c r="V643" s="16"/>
      <c r="W643" s="16"/>
      <c r="X643" s="16"/>
      <c r="Y643" s="16"/>
      <c r="Z643" s="16"/>
      <c r="AA643" s="16"/>
      <c r="AB643" s="16"/>
      <c r="AC643" s="16"/>
      <c r="AD643" s="16"/>
      <c r="AE643" s="16"/>
      <c r="AF643" s="16"/>
      <c r="AG643" s="16"/>
      <c r="AH643" s="16"/>
      <c r="AI643" s="16"/>
    </row>
    <row r="644" ht="12.75" customHeight="1" spans="1:35" x14ac:dyDescent="0.25">
      <c r="A644" s="16"/>
      <c r="B644" s="16"/>
      <c r="C644" s="16"/>
      <c r="D644" s="16"/>
      <c r="E644" s="16"/>
      <c r="F644" s="16"/>
      <c r="G644" s="16"/>
      <c r="H644" s="16"/>
      <c r="I644" s="16"/>
      <c r="J644" s="16"/>
      <c r="K644" s="16"/>
      <c r="L644" s="16"/>
      <c r="M644" s="16"/>
      <c r="N644" s="16"/>
      <c r="O644" s="16"/>
      <c r="P644" s="16"/>
      <c r="Q644" s="16"/>
      <c r="R644" s="16"/>
      <c r="S644" s="16"/>
      <c r="T644" s="16"/>
      <c r="U644" s="16"/>
      <c r="V644" s="16"/>
      <c r="W644" s="16"/>
      <c r="X644" s="16"/>
      <c r="Y644" s="16"/>
      <c r="Z644" s="16"/>
      <c r="AA644" s="16"/>
      <c r="AB644" s="16"/>
      <c r="AC644" s="16"/>
      <c r="AD644" s="16"/>
      <c r="AE644" s="16"/>
      <c r="AF644" s="16"/>
      <c r="AG644" s="16"/>
      <c r="AH644" s="16"/>
      <c r="AI644" s="16"/>
    </row>
    <row r="645" ht="12.75" customHeight="1" spans="1:35" x14ac:dyDescent="0.25">
      <c r="A645" s="16"/>
      <c r="B645" s="16"/>
      <c r="C645" s="16"/>
      <c r="D645" s="16"/>
      <c r="E645" s="16"/>
      <c r="F645" s="16"/>
      <c r="G645" s="16"/>
      <c r="H645" s="16"/>
      <c r="I645" s="16"/>
      <c r="J645" s="16"/>
      <c r="K645" s="16"/>
      <c r="L645" s="16"/>
      <c r="M645" s="16"/>
      <c r="N645" s="16"/>
      <c r="O645" s="16"/>
      <c r="P645" s="16"/>
      <c r="Q645" s="16"/>
      <c r="R645" s="16"/>
      <c r="S645" s="16"/>
      <c r="T645" s="16"/>
      <c r="U645" s="16"/>
      <c r="V645" s="16"/>
      <c r="W645" s="16"/>
      <c r="X645" s="16"/>
      <c r="Y645" s="16"/>
      <c r="Z645" s="16"/>
      <c r="AA645" s="16"/>
      <c r="AB645" s="16"/>
      <c r="AC645" s="16"/>
      <c r="AD645" s="16"/>
      <c r="AE645" s="16"/>
      <c r="AF645" s="16"/>
      <c r="AG645" s="16"/>
      <c r="AH645" s="16"/>
      <c r="AI645" s="16"/>
    </row>
    <row r="646" ht="12.75" customHeight="1" spans="1:35" x14ac:dyDescent="0.25">
      <c r="A646" s="16"/>
      <c r="B646" s="16"/>
      <c r="C646" s="16"/>
      <c r="D646" s="16"/>
      <c r="E646" s="16"/>
      <c r="F646" s="16"/>
      <c r="G646" s="16"/>
      <c r="H646" s="16"/>
      <c r="I646" s="16"/>
      <c r="J646" s="16"/>
      <c r="K646" s="16"/>
      <c r="L646" s="16"/>
      <c r="M646" s="16"/>
      <c r="N646" s="16"/>
      <c r="O646" s="16"/>
      <c r="P646" s="16"/>
      <c r="Q646" s="16"/>
      <c r="R646" s="16"/>
      <c r="S646" s="16"/>
      <c r="T646" s="16"/>
      <c r="U646" s="16"/>
      <c r="V646" s="16"/>
      <c r="W646" s="16"/>
      <c r="X646" s="16"/>
      <c r="Y646" s="16"/>
      <c r="Z646" s="16"/>
      <c r="AA646" s="16"/>
      <c r="AB646" s="16"/>
      <c r="AC646" s="16"/>
      <c r="AD646" s="16"/>
      <c r="AE646" s="16"/>
      <c r="AF646" s="16"/>
      <c r="AG646" s="16"/>
      <c r="AH646" s="16"/>
      <c r="AI646" s="16"/>
    </row>
    <row r="647" ht="12.75" customHeight="1" spans="1:35" x14ac:dyDescent="0.25">
      <c r="A647" s="16"/>
      <c r="B647" s="16"/>
      <c r="C647" s="16"/>
      <c r="D647" s="16"/>
      <c r="E647" s="16"/>
      <c r="F647" s="16"/>
      <c r="G647" s="16"/>
      <c r="H647" s="16"/>
      <c r="I647" s="16"/>
      <c r="J647" s="16"/>
      <c r="K647" s="16"/>
      <c r="L647" s="16"/>
      <c r="M647" s="16"/>
      <c r="N647" s="16"/>
      <c r="O647" s="16"/>
      <c r="P647" s="16"/>
      <c r="Q647" s="16"/>
      <c r="R647" s="16"/>
      <c r="S647" s="16"/>
      <c r="T647" s="16"/>
      <c r="U647" s="16"/>
      <c r="V647" s="16"/>
      <c r="W647" s="16"/>
      <c r="X647" s="16"/>
      <c r="Y647" s="16"/>
      <c r="Z647" s="16"/>
      <c r="AA647" s="16"/>
      <c r="AB647" s="16"/>
      <c r="AC647" s="16"/>
      <c r="AD647" s="16"/>
      <c r="AE647" s="16"/>
      <c r="AF647" s="16"/>
      <c r="AG647" s="16"/>
      <c r="AH647" s="16"/>
      <c r="AI647" s="16"/>
    </row>
    <row r="648" ht="12.75" customHeight="1" spans="1:35" x14ac:dyDescent="0.25">
      <c r="A648" s="16"/>
      <c r="B648" s="16"/>
      <c r="C648" s="16"/>
      <c r="D648" s="16"/>
      <c r="E648" s="16"/>
      <c r="F648" s="16"/>
      <c r="G648" s="16"/>
      <c r="H648" s="16"/>
      <c r="I648" s="16"/>
      <c r="J648" s="16"/>
      <c r="K648" s="16"/>
      <c r="L648" s="16"/>
      <c r="M648" s="16"/>
      <c r="N648" s="16"/>
      <c r="O648" s="16"/>
      <c r="P648" s="16"/>
      <c r="Q648" s="16"/>
      <c r="R648" s="16"/>
      <c r="S648" s="16"/>
      <c r="T648" s="16"/>
      <c r="U648" s="16"/>
      <c r="V648" s="16"/>
      <c r="W648" s="16"/>
      <c r="X648" s="16"/>
      <c r="Y648" s="16"/>
      <c r="Z648" s="16"/>
      <c r="AA648" s="16"/>
      <c r="AB648" s="16"/>
      <c r="AC648" s="16"/>
      <c r="AD648" s="16"/>
      <c r="AE648" s="16"/>
      <c r="AF648" s="16"/>
      <c r="AG648" s="16"/>
      <c r="AH648" s="16"/>
      <c r="AI648" s="16"/>
    </row>
    <row r="649" ht="12.75" customHeight="1" spans="1:35" x14ac:dyDescent="0.25">
      <c r="A649" s="16"/>
      <c r="B649" s="16"/>
      <c r="C649" s="16"/>
      <c r="D649" s="16"/>
      <c r="E649" s="16"/>
      <c r="F649" s="16"/>
      <c r="G649" s="16"/>
      <c r="H649" s="16"/>
      <c r="I649" s="16"/>
      <c r="J649" s="16"/>
      <c r="K649" s="16"/>
      <c r="L649" s="16"/>
      <c r="M649" s="16"/>
      <c r="N649" s="16"/>
      <c r="O649" s="16"/>
      <c r="P649" s="16"/>
      <c r="Q649" s="16"/>
      <c r="R649" s="16"/>
      <c r="S649" s="16"/>
      <c r="T649" s="16"/>
      <c r="U649" s="16"/>
      <c r="V649" s="16"/>
      <c r="W649" s="16"/>
      <c r="X649" s="16"/>
      <c r="Y649" s="16"/>
      <c r="Z649" s="16"/>
      <c r="AA649" s="16"/>
      <c r="AB649" s="16"/>
      <c r="AC649" s="16"/>
      <c r="AD649" s="16"/>
      <c r="AE649" s="16"/>
      <c r="AF649" s="16"/>
      <c r="AG649" s="16"/>
      <c r="AH649" s="16"/>
      <c r="AI649" s="16"/>
    </row>
    <row r="650" ht="12.75" customHeight="1" spans="1:35" x14ac:dyDescent="0.25">
      <c r="A650" s="16"/>
      <c r="B650" s="16"/>
      <c r="C650" s="16"/>
      <c r="D650" s="16"/>
      <c r="E650" s="16"/>
      <c r="F650" s="16"/>
      <c r="G650" s="16"/>
      <c r="H650" s="16"/>
      <c r="I650" s="16"/>
      <c r="J650" s="16"/>
      <c r="K650" s="16"/>
      <c r="L650" s="16"/>
      <c r="M650" s="16"/>
      <c r="N650" s="16"/>
      <c r="O650" s="16"/>
      <c r="P650" s="16"/>
      <c r="Q650" s="16"/>
      <c r="R650" s="16"/>
      <c r="S650" s="16"/>
      <c r="T650" s="16"/>
      <c r="U650" s="16"/>
      <c r="V650" s="16"/>
      <c r="W650" s="16"/>
      <c r="X650" s="16"/>
      <c r="Y650" s="16"/>
      <c r="Z650" s="16"/>
      <c r="AA650" s="16"/>
      <c r="AB650" s="16"/>
      <c r="AC650" s="16"/>
      <c r="AD650" s="16"/>
      <c r="AE650" s="16"/>
      <c r="AF650" s="16"/>
      <c r="AG650" s="16"/>
      <c r="AH650" s="16"/>
      <c r="AI650" s="16"/>
    </row>
    <row r="651" ht="12.75" customHeight="1" spans="1:35" x14ac:dyDescent="0.25">
      <c r="A651" s="16"/>
      <c r="B651" s="16"/>
      <c r="C651" s="16"/>
      <c r="D651" s="16"/>
      <c r="E651" s="16"/>
      <c r="F651" s="16"/>
      <c r="G651" s="16"/>
      <c r="H651" s="16"/>
      <c r="I651" s="16"/>
      <c r="J651" s="16"/>
      <c r="K651" s="16"/>
      <c r="L651" s="16"/>
      <c r="M651" s="16"/>
      <c r="N651" s="16"/>
      <c r="O651" s="16"/>
      <c r="P651" s="16"/>
      <c r="Q651" s="16"/>
      <c r="R651" s="16"/>
      <c r="S651" s="16"/>
      <c r="T651" s="16"/>
      <c r="U651" s="16"/>
      <c r="V651" s="16"/>
      <c r="W651" s="16"/>
      <c r="X651" s="16"/>
      <c r="Y651" s="16"/>
      <c r="Z651" s="16"/>
      <c r="AA651" s="16"/>
      <c r="AB651" s="16"/>
      <c r="AC651" s="16"/>
      <c r="AD651" s="16"/>
      <c r="AE651" s="16"/>
      <c r="AF651" s="16"/>
      <c r="AG651" s="16"/>
      <c r="AH651" s="16"/>
      <c r="AI651" s="16"/>
    </row>
    <row r="652" ht="12.75" customHeight="1" spans="1:35" x14ac:dyDescent="0.25">
      <c r="A652" s="16"/>
      <c r="B652" s="16"/>
      <c r="C652" s="16"/>
      <c r="D652" s="16"/>
      <c r="E652" s="16"/>
      <c r="F652" s="16"/>
      <c r="G652" s="16"/>
      <c r="H652" s="16"/>
      <c r="I652" s="16"/>
      <c r="J652" s="16"/>
      <c r="K652" s="16"/>
      <c r="L652" s="16"/>
      <c r="M652" s="16"/>
      <c r="N652" s="16"/>
      <c r="O652" s="16"/>
      <c r="P652" s="16"/>
      <c r="Q652" s="16"/>
      <c r="R652" s="16"/>
      <c r="S652" s="16"/>
      <c r="T652" s="16"/>
      <c r="U652" s="16"/>
      <c r="V652" s="16"/>
      <c r="W652" s="16"/>
      <c r="X652" s="16"/>
      <c r="Y652" s="16"/>
      <c r="Z652" s="16"/>
      <c r="AA652" s="16"/>
      <c r="AB652" s="16"/>
      <c r="AC652" s="16"/>
      <c r="AD652" s="16"/>
      <c r="AE652" s="16"/>
      <c r="AF652" s="16"/>
      <c r="AG652" s="16"/>
      <c r="AH652" s="16"/>
      <c r="AI652" s="16"/>
    </row>
    <row r="653" ht="12.75" customHeight="1" spans="1:35" x14ac:dyDescent="0.25">
      <c r="A653" s="16"/>
      <c r="B653" s="16"/>
      <c r="C653" s="16"/>
      <c r="D653" s="16"/>
      <c r="E653" s="16"/>
      <c r="F653" s="16"/>
      <c r="G653" s="16"/>
      <c r="H653" s="16"/>
      <c r="I653" s="16"/>
      <c r="J653" s="16"/>
      <c r="K653" s="16"/>
      <c r="L653" s="16"/>
      <c r="M653" s="16"/>
      <c r="N653" s="16"/>
      <c r="O653" s="16"/>
      <c r="P653" s="16"/>
      <c r="Q653" s="16"/>
      <c r="R653" s="16"/>
      <c r="S653" s="16"/>
      <c r="T653" s="16"/>
      <c r="U653" s="16"/>
      <c r="V653" s="16"/>
      <c r="W653" s="16"/>
      <c r="X653" s="16"/>
      <c r="Y653" s="16"/>
      <c r="Z653" s="16"/>
      <c r="AA653" s="16"/>
      <c r="AB653" s="16"/>
      <c r="AC653" s="16"/>
      <c r="AD653" s="16"/>
      <c r="AE653" s="16"/>
      <c r="AF653" s="16"/>
      <c r="AG653" s="16"/>
      <c r="AH653" s="16"/>
      <c r="AI653" s="16"/>
    </row>
    <row r="654" ht="12.75" customHeight="1" spans="1:35" x14ac:dyDescent="0.25">
      <c r="A654" s="16"/>
      <c r="B654" s="16"/>
      <c r="C654" s="16"/>
      <c r="D654" s="16"/>
      <c r="E654" s="16"/>
      <c r="F654" s="16"/>
      <c r="G654" s="16"/>
      <c r="H654" s="16"/>
      <c r="I654" s="16"/>
      <c r="J654" s="16"/>
      <c r="K654" s="16"/>
      <c r="L654" s="16"/>
      <c r="M654" s="16"/>
      <c r="N654" s="16"/>
      <c r="O654" s="16"/>
      <c r="P654" s="16"/>
      <c r="Q654" s="16"/>
      <c r="R654" s="16"/>
      <c r="S654" s="16"/>
      <c r="T654" s="16"/>
      <c r="U654" s="16"/>
      <c r="V654" s="16"/>
      <c r="W654" s="16"/>
      <c r="X654" s="16"/>
      <c r="Y654" s="16"/>
      <c r="Z654" s="16"/>
      <c r="AA654" s="16"/>
      <c r="AB654" s="16"/>
      <c r="AC654" s="16"/>
      <c r="AD654" s="16"/>
      <c r="AE654" s="16"/>
      <c r="AF654" s="16"/>
      <c r="AG654" s="16"/>
      <c r="AH654" s="16"/>
      <c r="AI654" s="16"/>
    </row>
    <row r="655" ht="12.75" customHeight="1" spans="1:35" x14ac:dyDescent="0.25">
      <c r="A655" s="16"/>
      <c r="B655" s="16"/>
      <c r="C655" s="16"/>
      <c r="D655" s="16"/>
      <c r="E655" s="16"/>
      <c r="F655" s="16"/>
      <c r="G655" s="16"/>
      <c r="H655" s="16"/>
      <c r="I655" s="16"/>
      <c r="J655" s="16"/>
      <c r="K655" s="16"/>
      <c r="L655" s="16"/>
      <c r="M655" s="16"/>
      <c r="N655" s="16"/>
      <c r="O655" s="16"/>
      <c r="P655" s="16"/>
      <c r="Q655" s="16"/>
      <c r="R655" s="16"/>
      <c r="S655" s="16"/>
      <c r="T655" s="16"/>
      <c r="U655" s="16"/>
      <c r="V655" s="16"/>
      <c r="W655" s="16"/>
      <c r="X655" s="16"/>
      <c r="Y655" s="16"/>
      <c r="Z655" s="16"/>
      <c r="AA655" s="16"/>
      <c r="AB655" s="16"/>
      <c r="AC655" s="16"/>
      <c r="AD655" s="16"/>
      <c r="AE655" s="16"/>
      <c r="AF655" s="16"/>
      <c r="AG655" s="16"/>
      <c r="AH655" s="16"/>
      <c r="AI655" s="16"/>
    </row>
    <row r="656" ht="12.75" customHeight="1" spans="1:35" x14ac:dyDescent="0.25">
      <c r="A656" s="16"/>
      <c r="B656" s="16"/>
      <c r="C656" s="16"/>
      <c r="D656" s="16"/>
      <c r="E656" s="16"/>
      <c r="F656" s="16"/>
      <c r="G656" s="16"/>
      <c r="H656" s="16"/>
      <c r="I656" s="16"/>
      <c r="J656" s="16"/>
      <c r="K656" s="16"/>
      <c r="L656" s="16"/>
      <c r="M656" s="16"/>
      <c r="N656" s="16"/>
      <c r="O656" s="16"/>
      <c r="P656" s="16"/>
      <c r="Q656" s="16"/>
      <c r="R656" s="16"/>
      <c r="S656" s="16"/>
      <c r="T656" s="16"/>
      <c r="U656" s="16"/>
      <c r="V656" s="16"/>
      <c r="W656" s="16"/>
      <c r="X656" s="16"/>
      <c r="Y656" s="16"/>
      <c r="Z656" s="16"/>
      <c r="AA656" s="16"/>
      <c r="AB656" s="16"/>
      <c r="AC656" s="16"/>
      <c r="AD656" s="16"/>
      <c r="AE656" s="16"/>
      <c r="AF656" s="16"/>
      <c r="AG656" s="16"/>
      <c r="AH656" s="16"/>
      <c r="AI656" s="16"/>
    </row>
    <row r="657" ht="12.75" customHeight="1" spans="1:35" x14ac:dyDescent="0.25">
      <c r="A657" s="16"/>
      <c r="B657" s="16"/>
      <c r="C657" s="16"/>
      <c r="D657" s="16"/>
      <c r="E657" s="16"/>
      <c r="F657" s="16"/>
      <c r="G657" s="16"/>
      <c r="H657" s="16"/>
      <c r="I657" s="16"/>
      <c r="J657" s="16"/>
      <c r="K657" s="16"/>
      <c r="L657" s="16"/>
      <c r="M657" s="16"/>
      <c r="N657" s="16"/>
      <c r="O657" s="16"/>
      <c r="P657" s="16"/>
      <c r="Q657" s="16"/>
      <c r="R657" s="16"/>
      <c r="S657" s="16"/>
      <c r="T657" s="16"/>
      <c r="U657" s="16"/>
      <c r="V657" s="16"/>
      <c r="W657" s="16"/>
      <c r="X657" s="16"/>
      <c r="Y657" s="16"/>
      <c r="Z657" s="16"/>
      <c r="AA657" s="16"/>
      <c r="AB657" s="16"/>
      <c r="AC657" s="16"/>
      <c r="AD657" s="16"/>
      <c r="AE657" s="16"/>
      <c r="AF657" s="16"/>
      <c r="AG657" s="16"/>
      <c r="AH657" s="16"/>
      <c r="AI657" s="16"/>
    </row>
    <row r="658" ht="12.75" customHeight="1" spans="1:35" x14ac:dyDescent="0.25">
      <c r="A658" s="16"/>
      <c r="B658" s="16"/>
      <c r="C658" s="16"/>
      <c r="D658" s="16"/>
      <c r="E658" s="16"/>
      <c r="F658" s="16"/>
      <c r="G658" s="16"/>
      <c r="H658" s="16"/>
      <c r="I658" s="16"/>
      <c r="J658" s="16"/>
      <c r="K658" s="16"/>
      <c r="L658" s="16"/>
      <c r="M658" s="16"/>
      <c r="N658" s="16"/>
      <c r="O658" s="16"/>
      <c r="P658" s="16"/>
      <c r="Q658" s="16"/>
      <c r="R658" s="16"/>
      <c r="S658" s="16"/>
      <c r="T658" s="16"/>
      <c r="U658" s="16"/>
      <c r="V658" s="16"/>
      <c r="W658" s="16"/>
      <c r="X658" s="16"/>
      <c r="Y658" s="16"/>
      <c r="Z658" s="16"/>
      <c r="AA658" s="16"/>
      <c r="AB658" s="16"/>
      <c r="AC658" s="16"/>
      <c r="AD658" s="16"/>
      <c r="AE658" s="16"/>
      <c r="AF658" s="16"/>
      <c r="AG658" s="16"/>
      <c r="AH658" s="16"/>
      <c r="AI658" s="16"/>
    </row>
    <row r="659" ht="12.75" customHeight="1" spans="1:35" x14ac:dyDescent="0.25">
      <c r="A659" s="16"/>
      <c r="B659" s="16"/>
      <c r="C659" s="16"/>
      <c r="D659" s="16"/>
      <c r="E659" s="16"/>
      <c r="F659" s="16"/>
      <c r="G659" s="16"/>
      <c r="H659" s="16"/>
      <c r="I659" s="16"/>
      <c r="J659" s="16"/>
      <c r="K659" s="16"/>
      <c r="L659" s="16"/>
      <c r="M659" s="16"/>
      <c r="N659" s="16"/>
      <c r="O659" s="16"/>
      <c r="P659" s="16"/>
      <c r="Q659" s="16"/>
      <c r="R659" s="16"/>
      <c r="S659" s="16"/>
      <c r="T659" s="16"/>
      <c r="U659" s="16"/>
      <c r="V659" s="16"/>
      <c r="W659" s="16"/>
      <c r="X659" s="16"/>
      <c r="Y659" s="16"/>
      <c r="Z659" s="16"/>
      <c r="AA659" s="16"/>
      <c r="AB659" s="16"/>
      <c r="AC659" s="16"/>
      <c r="AD659" s="16"/>
      <c r="AE659" s="16"/>
      <c r="AF659" s="16"/>
      <c r="AG659" s="16"/>
      <c r="AH659" s="16"/>
      <c r="AI659" s="16"/>
    </row>
    <row r="660" ht="12.75" customHeight="1" spans="1:35" x14ac:dyDescent="0.25">
      <c r="A660" s="16"/>
      <c r="B660" s="16"/>
      <c r="C660" s="16"/>
      <c r="D660" s="16"/>
      <c r="E660" s="16"/>
      <c r="F660" s="16"/>
      <c r="G660" s="16"/>
      <c r="H660" s="16"/>
      <c r="I660" s="16"/>
      <c r="J660" s="16"/>
      <c r="K660" s="16"/>
      <c r="L660" s="16"/>
      <c r="M660" s="16"/>
      <c r="N660" s="16"/>
      <c r="O660" s="16"/>
      <c r="P660" s="16"/>
      <c r="Q660" s="16"/>
      <c r="R660" s="16"/>
      <c r="S660" s="16"/>
      <c r="T660" s="16"/>
      <c r="U660" s="16"/>
      <c r="V660" s="16"/>
      <c r="W660" s="16"/>
      <c r="X660" s="16"/>
      <c r="Y660" s="16"/>
      <c r="Z660" s="16"/>
      <c r="AA660" s="16"/>
      <c r="AB660" s="16"/>
      <c r="AC660" s="16"/>
      <c r="AD660" s="16"/>
      <c r="AE660" s="16"/>
      <c r="AF660" s="16"/>
      <c r="AG660" s="16"/>
      <c r="AH660" s="16"/>
      <c r="AI660" s="16"/>
    </row>
    <row r="661" ht="12.75" customHeight="1" spans="1:35" x14ac:dyDescent="0.25">
      <c r="A661" s="16"/>
      <c r="B661" s="16"/>
      <c r="C661" s="16"/>
      <c r="D661" s="16"/>
      <c r="E661" s="16"/>
      <c r="F661" s="16"/>
      <c r="G661" s="16"/>
      <c r="H661" s="16"/>
      <c r="I661" s="16"/>
      <c r="J661" s="16"/>
      <c r="K661" s="16"/>
      <c r="L661" s="16"/>
      <c r="M661" s="16"/>
      <c r="N661" s="16"/>
      <c r="O661" s="16"/>
      <c r="P661" s="16"/>
      <c r="Q661" s="16"/>
      <c r="R661" s="16"/>
      <c r="S661" s="16"/>
      <c r="T661" s="16"/>
      <c r="U661" s="16"/>
      <c r="V661" s="16"/>
      <c r="W661" s="16"/>
      <c r="X661" s="16"/>
      <c r="Y661" s="16"/>
      <c r="Z661" s="16"/>
      <c r="AA661" s="16"/>
      <c r="AB661" s="16"/>
      <c r="AC661" s="16"/>
      <c r="AD661" s="16"/>
      <c r="AE661" s="16"/>
      <c r="AF661" s="16"/>
      <c r="AG661" s="16"/>
      <c r="AH661" s="16"/>
      <c r="AI661" s="16"/>
    </row>
    <row r="662" ht="12.75" customHeight="1" spans="1:35" x14ac:dyDescent="0.25">
      <c r="A662" s="16"/>
      <c r="B662" s="16"/>
      <c r="C662" s="16"/>
      <c r="D662" s="16"/>
      <c r="E662" s="16"/>
      <c r="F662" s="16"/>
      <c r="G662" s="16"/>
      <c r="H662" s="16"/>
      <c r="I662" s="16"/>
      <c r="J662" s="16"/>
      <c r="K662" s="16"/>
      <c r="L662" s="16"/>
      <c r="M662" s="16"/>
      <c r="N662" s="16"/>
      <c r="O662" s="16"/>
      <c r="P662" s="16"/>
      <c r="Q662" s="16"/>
      <c r="R662" s="16"/>
      <c r="S662" s="16"/>
      <c r="T662" s="16"/>
      <c r="U662" s="16"/>
      <c r="V662" s="16"/>
      <c r="W662" s="16"/>
      <c r="X662" s="16"/>
      <c r="Y662" s="16"/>
      <c r="Z662" s="16"/>
      <c r="AA662" s="16"/>
      <c r="AB662" s="16"/>
      <c r="AC662" s="16"/>
      <c r="AD662" s="16"/>
      <c r="AE662" s="16"/>
      <c r="AF662" s="16"/>
      <c r="AG662" s="16"/>
      <c r="AH662" s="16"/>
      <c r="AI662" s="16"/>
    </row>
    <row r="663" ht="12.75" customHeight="1" spans="1:35" x14ac:dyDescent="0.25">
      <c r="A663" s="16"/>
      <c r="B663" s="16"/>
      <c r="C663" s="16"/>
      <c r="D663" s="16"/>
      <c r="E663" s="16"/>
      <c r="F663" s="16"/>
      <c r="G663" s="16"/>
      <c r="H663" s="16"/>
      <c r="I663" s="16"/>
      <c r="J663" s="16"/>
      <c r="K663" s="16"/>
      <c r="L663" s="16"/>
      <c r="M663" s="16"/>
      <c r="N663" s="16"/>
      <c r="O663" s="16"/>
      <c r="P663" s="16"/>
      <c r="Q663" s="16"/>
      <c r="R663" s="16"/>
      <c r="S663" s="16"/>
      <c r="T663" s="16"/>
      <c r="U663" s="16"/>
      <c r="V663" s="16"/>
      <c r="W663" s="16"/>
      <c r="X663" s="16"/>
      <c r="Y663" s="16"/>
      <c r="Z663" s="16"/>
      <c r="AA663" s="16"/>
      <c r="AB663" s="16"/>
      <c r="AC663" s="16"/>
      <c r="AD663" s="16"/>
      <c r="AE663" s="16"/>
      <c r="AF663" s="16"/>
      <c r="AG663" s="16"/>
      <c r="AH663" s="16"/>
      <c r="AI663" s="16"/>
    </row>
    <row r="664" ht="12.75" customHeight="1" spans="1:35" x14ac:dyDescent="0.25">
      <c r="A664" s="16"/>
      <c r="B664" s="16"/>
      <c r="C664" s="16"/>
      <c r="D664" s="16"/>
      <c r="E664" s="16"/>
      <c r="F664" s="16"/>
      <c r="G664" s="16"/>
      <c r="H664" s="16"/>
      <c r="I664" s="16"/>
      <c r="J664" s="16"/>
      <c r="K664" s="16"/>
      <c r="L664" s="16"/>
      <c r="M664" s="16"/>
      <c r="N664" s="16"/>
      <c r="O664" s="16"/>
      <c r="P664" s="16"/>
      <c r="Q664" s="16"/>
      <c r="R664" s="16"/>
      <c r="S664" s="16"/>
      <c r="T664" s="16"/>
      <c r="U664" s="16"/>
      <c r="V664" s="16"/>
      <c r="W664" s="16"/>
      <c r="X664" s="16"/>
      <c r="Y664" s="16"/>
      <c r="Z664" s="16"/>
      <c r="AA664" s="16"/>
      <c r="AB664" s="16"/>
      <c r="AC664" s="16"/>
      <c r="AD664" s="16"/>
      <c r="AE664" s="16"/>
      <c r="AF664" s="16"/>
      <c r="AG664" s="16"/>
      <c r="AH664" s="16"/>
      <c r="AI664" s="16"/>
    </row>
    <row r="665" ht="12.75" customHeight="1" spans="1:35" x14ac:dyDescent="0.25">
      <c r="A665" s="16"/>
      <c r="B665" s="16"/>
      <c r="C665" s="16"/>
      <c r="D665" s="16"/>
      <c r="E665" s="16"/>
      <c r="F665" s="16"/>
      <c r="G665" s="16"/>
      <c r="H665" s="16"/>
      <c r="I665" s="16"/>
      <c r="J665" s="16"/>
      <c r="K665" s="16"/>
      <c r="L665" s="16"/>
      <c r="M665" s="16"/>
      <c r="N665" s="16"/>
      <c r="O665" s="16"/>
      <c r="P665" s="16"/>
      <c r="Q665" s="16"/>
      <c r="R665" s="16"/>
      <c r="S665" s="16"/>
      <c r="T665" s="16"/>
      <c r="U665" s="16"/>
      <c r="V665" s="16"/>
      <c r="W665" s="16"/>
      <c r="X665" s="16"/>
      <c r="Y665" s="16"/>
      <c r="Z665" s="16"/>
      <c r="AA665" s="16"/>
      <c r="AB665" s="16"/>
      <c r="AC665" s="16"/>
      <c r="AD665" s="16"/>
      <c r="AE665" s="16"/>
      <c r="AF665" s="16"/>
      <c r="AG665" s="16"/>
      <c r="AH665" s="16"/>
      <c r="AI665" s="16"/>
    </row>
    <row r="666" ht="12.75" customHeight="1" spans="1:35" x14ac:dyDescent="0.25">
      <c r="A666" s="16"/>
      <c r="B666" s="16"/>
      <c r="C666" s="16"/>
      <c r="D666" s="16"/>
      <c r="E666" s="16"/>
      <c r="F666" s="16"/>
      <c r="G666" s="16"/>
      <c r="H666" s="16"/>
      <c r="I666" s="16"/>
      <c r="J666" s="16"/>
      <c r="K666" s="16"/>
      <c r="L666" s="16"/>
      <c r="M666" s="16"/>
      <c r="N666" s="16"/>
      <c r="O666" s="16"/>
      <c r="P666" s="16"/>
      <c r="Q666" s="16"/>
      <c r="R666" s="16"/>
      <c r="S666" s="16"/>
      <c r="T666" s="16"/>
      <c r="U666" s="16"/>
      <c r="V666" s="16"/>
      <c r="W666" s="16"/>
      <c r="X666" s="16"/>
      <c r="Y666" s="16"/>
      <c r="Z666" s="16"/>
      <c r="AA666" s="16"/>
      <c r="AB666" s="16"/>
      <c r="AC666" s="16"/>
      <c r="AD666" s="16"/>
      <c r="AE666" s="16"/>
      <c r="AF666" s="16"/>
      <c r="AG666" s="16"/>
      <c r="AH666" s="16"/>
      <c r="AI666" s="16"/>
    </row>
    <row r="667" ht="12.75" customHeight="1" spans="1:35" x14ac:dyDescent="0.25">
      <c r="A667" s="16"/>
      <c r="B667" s="16"/>
      <c r="C667" s="16"/>
      <c r="D667" s="16"/>
      <c r="E667" s="16"/>
      <c r="F667" s="16"/>
      <c r="G667" s="16"/>
      <c r="H667" s="16"/>
      <c r="I667" s="16"/>
      <c r="J667" s="16"/>
      <c r="K667" s="16"/>
      <c r="L667" s="16"/>
      <c r="M667" s="16"/>
      <c r="N667" s="16"/>
      <c r="O667" s="16"/>
      <c r="P667" s="16"/>
      <c r="Q667" s="16"/>
      <c r="R667" s="16"/>
      <c r="S667" s="16"/>
      <c r="T667" s="16"/>
      <c r="U667" s="16"/>
      <c r="V667" s="16"/>
      <c r="W667" s="16"/>
      <c r="X667" s="16"/>
      <c r="Y667" s="16"/>
      <c r="Z667" s="16"/>
      <c r="AA667" s="16"/>
      <c r="AB667" s="16"/>
      <c r="AC667" s="16"/>
      <c r="AD667" s="16"/>
      <c r="AE667" s="16"/>
      <c r="AF667" s="16"/>
      <c r="AG667" s="16"/>
      <c r="AH667" s="16"/>
      <c r="AI667" s="16"/>
    </row>
    <row r="668" ht="12.75" customHeight="1" spans="1:35" x14ac:dyDescent="0.25">
      <c r="A668" s="16"/>
      <c r="B668" s="16"/>
      <c r="C668" s="16"/>
      <c r="D668" s="16"/>
      <c r="E668" s="16"/>
      <c r="F668" s="16"/>
      <c r="G668" s="16"/>
      <c r="H668" s="16"/>
      <c r="I668" s="16"/>
      <c r="J668" s="16"/>
      <c r="K668" s="16"/>
      <c r="L668" s="16"/>
      <c r="M668" s="16"/>
      <c r="N668" s="16"/>
      <c r="O668" s="16"/>
      <c r="P668" s="16"/>
      <c r="Q668" s="16"/>
      <c r="R668" s="16"/>
      <c r="S668" s="16"/>
      <c r="T668" s="16"/>
      <c r="U668" s="16"/>
      <c r="V668" s="16"/>
      <c r="W668" s="16"/>
      <c r="X668" s="16"/>
      <c r="Y668" s="16"/>
      <c r="Z668" s="16"/>
      <c r="AA668" s="16"/>
      <c r="AB668" s="16"/>
      <c r="AC668" s="16"/>
      <c r="AD668" s="16"/>
      <c r="AE668" s="16"/>
      <c r="AF668" s="16"/>
      <c r="AG668" s="16"/>
      <c r="AH668" s="16"/>
      <c r="AI668" s="16"/>
    </row>
    <row r="669" ht="12.75" customHeight="1" spans="1:35" x14ac:dyDescent="0.25">
      <c r="A669" s="16"/>
      <c r="B669" s="16"/>
      <c r="C669" s="16"/>
      <c r="D669" s="16"/>
      <c r="E669" s="16"/>
      <c r="F669" s="16"/>
      <c r="G669" s="16"/>
      <c r="H669" s="16"/>
      <c r="I669" s="16"/>
      <c r="J669" s="16"/>
      <c r="K669" s="16"/>
      <c r="L669" s="16"/>
      <c r="M669" s="16"/>
      <c r="N669" s="16"/>
      <c r="O669" s="16"/>
      <c r="P669" s="16"/>
      <c r="Q669" s="16"/>
      <c r="R669" s="16"/>
      <c r="S669" s="16"/>
      <c r="T669" s="16"/>
      <c r="U669" s="16"/>
      <c r="V669" s="16"/>
      <c r="W669" s="16"/>
      <c r="X669" s="16"/>
      <c r="Y669" s="16"/>
      <c r="Z669" s="16"/>
      <c r="AA669" s="16"/>
      <c r="AB669" s="16"/>
      <c r="AC669" s="16"/>
      <c r="AD669" s="16"/>
      <c r="AE669" s="16"/>
      <c r="AF669" s="16"/>
      <c r="AG669" s="16"/>
      <c r="AH669" s="16"/>
      <c r="AI669" s="16"/>
    </row>
    <row r="670" ht="12.75" customHeight="1" spans="1:35" x14ac:dyDescent="0.25">
      <c r="A670" s="16"/>
      <c r="B670" s="16"/>
      <c r="C670" s="16"/>
      <c r="D670" s="16"/>
      <c r="E670" s="16"/>
      <c r="F670" s="16"/>
      <c r="G670" s="16"/>
      <c r="H670" s="16"/>
      <c r="I670" s="16"/>
      <c r="J670" s="16"/>
      <c r="K670" s="16"/>
      <c r="L670" s="16"/>
      <c r="M670" s="16"/>
      <c r="N670" s="16"/>
      <c r="O670" s="16"/>
      <c r="P670" s="16"/>
      <c r="Q670" s="16"/>
      <c r="R670" s="16"/>
      <c r="S670" s="16"/>
      <c r="T670" s="16"/>
      <c r="U670" s="16"/>
      <c r="V670" s="16"/>
      <c r="W670" s="16"/>
      <c r="X670" s="16"/>
      <c r="Y670" s="16"/>
      <c r="Z670" s="16"/>
      <c r="AA670" s="16"/>
      <c r="AB670" s="16"/>
      <c r="AC670" s="16"/>
      <c r="AD670" s="16"/>
      <c r="AE670" s="16"/>
      <c r="AF670" s="16"/>
      <c r="AG670" s="16"/>
      <c r="AH670" s="16"/>
      <c r="AI670" s="16"/>
    </row>
    <row r="671" ht="12.75" customHeight="1" spans="1:35" x14ac:dyDescent="0.25">
      <c r="A671" s="16"/>
      <c r="B671" s="16"/>
      <c r="C671" s="16"/>
      <c r="D671" s="16"/>
      <c r="E671" s="16"/>
      <c r="F671" s="16"/>
      <c r="G671" s="16"/>
      <c r="H671" s="16"/>
      <c r="I671" s="16"/>
      <c r="J671" s="16"/>
      <c r="K671" s="16"/>
      <c r="L671" s="16"/>
      <c r="M671" s="16"/>
      <c r="N671" s="16"/>
      <c r="O671" s="16"/>
      <c r="P671" s="16"/>
      <c r="Q671" s="16"/>
      <c r="R671" s="16"/>
      <c r="S671" s="16"/>
      <c r="T671" s="16"/>
      <c r="U671" s="16"/>
      <c r="V671" s="16"/>
      <c r="W671" s="16"/>
      <c r="X671" s="16"/>
      <c r="Y671" s="16"/>
      <c r="Z671" s="16"/>
      <c r="AA671" s="16"/>
      <c r="AB671" s="16"/>
      <c r="AC671" s="16"/>
      <c r="AD671" s="16"/>
      <c r="AE671" s="16"/>
      <c r="AF671" s="16"/>
      <c r="AG671" s="16"/>
      <c r="AH671" s="16"/>
      <c r="AI671" s="16"/>
    </row>
    <row r="672" ht="12.75" customHeight="1" spans="1:35" x14ac:dyDescent="0.25">
      <c r="A672" s="16"/>
      <c r="B672" s="16"/>
      <c r="C672" s="16"/>
      <c r="D672" s="16"/>
      <c r="E672" s="16"/>
      <c r="F672" s="16"/>
      <c r="G672" s="16"/>
      <c r="H672" s="16"/>
      <c r="I672" s="16"/>
      <c r="J672" s="16"/>
      <c r="K672" s="16"/>
      <c r="L672" s="16"/>
      <c r="M672" s="16"/>
      <c r="N672" s="16"/>
      <c r="O672" s="16"/>
      <c r="P672" s="16"/>
      <c r="Q672" s="16"/>
      <c r="R672" s="16"/>
      <c r="S672" s="16"/>
      <c r="T672" s="16"/>
      <c r="U672" s="16"/>
      <c r="V672" s="16"/>
      <c r="W672" s="16"/>
      <c r="X672" s="16"/>
      <c r="Y672" s="16"/>
      <c r="Z672" s="16"/>
      <c r="AA672" s="16"/>
      <c r="AB672" s="16"/>
      <c r="AC672" s="16"/>
      <c r="AD672" s="16"/>
      <c r="AE672" s="16"/>
      <c r="AF672" s="16"/>
      <c r="AG672" s="16"/>
      <c r="AH672" s="16"/>
      <c r="AI672" s="16"/>
    </row>
    <row r="673" ht="12.75" customHeight="1" spans="1:35" x14ac:dyDescent="0.25">
      <c r="A673" s="16"/>
      <c r="B673" s="16"/>
      <c r="C673" s="16"/>
      <c r="D673" s="16"/>
      <c r="E673" s="16"/>
      <c r="F673" s="16"/>
      <c r="G673" s="16"/>
      <c r="H673" s="16"/>
      <c r="I673" s="16"/>
      <c r="J673" s="16"/>
      <c r="K673" s="16"/>
      <c r="L673" s="16"/>
      <c r="M673" s="16"/>
      <c r="N673" s="16"/>
      <c r="O673" s="16"/>
      <c r="P673" s="16"/>
      <c r="Q673" s="16"/>
      <c r="R673" s="16"/>
      <c r="S673" s="16"/>
      <c r="T673" s="16"/>
      <c r="U673" s="16"/>
      <c r="V673" s="16"/>
      <c r="W673" s="16"/>
      <c r="X673" s="16"/>
      <c r="Y673" s="16"/>
      <c r="Z673" s="16"/>
      <c r="AA673" s="16"/>
      <c r="AB673" s="16"/>
      <c r="AC673" s="16"/>
      <c r="AD673" s="16"/>
      <c r="AE673" s="16"/>
      <c r="AF673" s="16"/>
      <c r="AG673" s="16"/>
      <c r="AH673" s="16"/>
      <c r="AI673" s="16"/>
    </row>
    <row r="674" ht="12.75" customHeight="1" spans="1:35" x14ac:dyDescent="0.25">
      <c r="A674" s="16"/>
      <c r="B674" s="16"/>
      <c r="C674" s="16"/>
      <c r="D674" s="16"/>
      <c r="E674" s="16"/>
      <c r="F674" s="16"/>
      <c r="G674" s="16"/>
      <c r="H674" s="16"/>
      <c r="I674" s="16"/>
      <c r="J674" s="16"/>
      <c r="K674" s="16"/>
      <c r="L674" s="16"/>
      <c r="M674" s="16"/>
      <c r="N674" s="16"/>
      <c r="O674" s="16"/>
      <c r="P674" s="16"/>
      <c r="Q674" s="16"/>
      <c r="R674" s="16"/>
      <c r="S674" s="16"/>
      <c r="T674" s="16"/>
      <c r="U674" s="16"/>
      <c r="V674" s="16"/>
      <c r="W674" s="16"/>
      <c r="X674" s="16"/>
      <c r="Y674" s="16"/>
      <c r="Z674" s="16"/>
      <c r="AA674" s="16"/>
      <c r="AB674" s="16"/>
      <c r="AC674" s="16"/>
      <c r="AD674" s="16"/>
      <c r="AE674" s="16"/>
      <c r="AF674" s="16"/>
      <c r="AG674" s="16"/>
      <c r="AH674" s="16"/>
      <c r="AI674" s="16"/>
    </row>
    <row r="675" ht="12.75" customHeight="1" spans="1:35" x14ac:dyDescent="0.25">
      <c r="A675" s="16"/>
      <c r="B675" s="16"/>
      <c r="C675" s="16"/>
      <c r="D675" s="16"/>
      <c r="E675" s="16"/>
      <c r="F675" s="16"/>
      <c r="G675" s="16"/>
      <c r="H675" s="16"/>
      <c r="I675" s="16"/>
      <c r="J675" s="16"/>
      <c r="K675" s="16"/>
      <c r="L675" s="16"/>
      <c r="M675" s="16"/>
      <c r="N675" s="16"/>
      <c r="O675" s="16"/>
      <c r="P675" s="16"/>
      <c r="Q675" s="16"/>
      <c r="R675" s="16"/>
      <c r="S675" s="16"/>
      <c r="T675" s="16"/>
      <c r="U675" s="16"/>
      <c r="V675" s="16"/>
      <c r="W675" s="16"/>
      <c r="X675" s="16"/>
      <c r="Y675" s="16"/>
      <c r="Z675" s="16"/>
      <c r="AA675" s="16"/>
      <c r="AB675" s="16"/>
      <c r="AC675" s="16"/>
      <c r="AD675" s="16"/>
      <c r="AE675" s="16"/>
      <c r="AF675" s="16"/>
      <c r="AG675" s="16"/>
      <c r="AH675" s="16"/>
      <c r="AI675" s="16"/>
    </row>
    <row r="676" ht="12.75" customHeight="1" spans="1:35" x14ac:dyDescent="0.25">
      <c r="A676" s="16"/>
      <c r="B676" s="16"/>
      <c r="C676" s="16"/>
      <c r="D676" s="16"/>
      <c r="E676" s="16"/>
      <c r="F676" s="16"/>
      <c r="G676" s="16"/>
      <c r="H676" s="16"/>
      <c r="I676" s="16"/>
      <c r="J676" s="16"/>
      <c r="K676" s="16"/>
      <c r="L676" s="16"/>
      <c r="M676" s="16"/>
      <c r="N676" s="16"/>
      <c r="O676" s="16"/>
      <c r="P676" s="16"/>
      <c r="Q676" s="16"/>
      <c r="R676" s="16"/>
      <c r="S676" s="16"/>
      <c r="T676" s="16"/>
      <c r="U676" s="16"/>
      <c r="V676" s="16"/>
      <c r="W676" s="16"/>
      <c r="X676" s="16"/>
      <c r="Y676" s="16"/>
      <c r="Z676" s="16"/>
      <c r="AA676" s="16"/>
      <c r="AB676" s="16"/>
      <c r="AC676" s="16"/>
      <c r="AD676" s="16"/>
      <c r="AE676" s="16"/>
      <c r="AF676" s="16"/>
      <c r="AG676" s="16"/>
      <c r="AH676" s="16"/>
      <c r="AI676" s="16"/>
    </row>
    <row r="677" ht="12.75" customHeight="1" spans="1:35" x14ac:dyDescent="0.25">
      <c r="A677" s="16"/>
      <c r="B677" s="16"/>
      <c r="C677" s="16"/>
      <c r="D677" s="16"/>
      <c r="E677" s="16"/>
      <c r="F677" s="16"/>
      <c r="G677" s="16"/>
      <c r="H677" s="16"/>
      <c r="I677" s="16"/>
      <c r="J677" s="16"/>
      <c r="K677" s="16"/>
      <c r="L677" s="16"/>
      <c r="M677" s="16"/>
      <c r="N677" s="16"/>
      <c r="O677" s="16"/>
      <c r="P677" s="16"/>
      <c r="Q677" s="16"/>
      <c r="R677" s="16"/>
      <c r="S677" s="16"/>
      <c r="T677" s="16"/>
      <c r="U677" s="16"/>
      <c r="V677" s="16"/>
      <c r="W677" s="16"/>
      <c r="X677" s="16"/>
      <c r="Y677" s="16"/>
      <c r="Z677" s="16"/>
      <c r="AA677" s="16"/>
      <c r="AB677" s="16"/>
      <c r="AC677" s="16"/>
      <c r="AD677" s="16"/>
      <c r="AE677" s="16"/>
      <c r="AF677" s="16"/>
      <c r="AG677" s="16"/>
      <c r="AH677" s="16"/>
      <c r="AI677" s="16"/>
    </row>
    <row r="678" ht="12.75" customHeight="1" spans="1:35" x14ac:dyDescent="0.25">
      <c r="A678" s="16"/>
      <c r="B678" s="16"/>
      <c r="C678" s="16"/>
      <c r="D678" s="16"/>
      <c r="E678" s="16"/>
      <c r="F678" s="16"/>
      <c r="G678" s="16"/>
      <c r="H678" s="16"/>
      <c r="I678" s="16"/>
      <c r="J678" s="16"/>
      <c r="K678" s="16"/>
      <c r="L678" s="16"/>
      <c r="M678" s="16"/>
      <c r="N678" s="16"/>
      <c r="O678" s="16"/>
      <c r="P678" s="16"/>
      <c r="Q678" s="16"/>
      <c r="R678" s="16"/>
      <c r="S678" s="16"/>
      <c r="T678" s="16"/>
      <c r="U678" s="16"/>
      <c r="V678" s="16"/>
      <c r="W678" s="16"/>
      <c r="X678" s="16"/>
      <c r="Y678" s="16"/>
      <c r="Z678" s="16"/>
      <c r="AA678" s="16"/>
      <c r="AB678" s="16"/>
      <c r="AC678" s="16"/>
      <c r="AD678" s="16"/>
      <c r="AE678" s="16"/>
      <c r="AF678" s="16"/>
      <c r="AG678" s="16"/>
      <c r="AH678" s="16"/>
      <c r="AI678" s="16"/>
    </row>
    <row r="679" ht="12.75" customHeight="1" spans="1:35" x14ac:dyDescent="0.25">
      <c r="A679" s="16"/>
      <c r="B679" s="16"/>
      <c r="C679" s="16"/>
      <c r="D679" s="16"/>
      <c r="E679" s="16"/>
      <c r="F679" s="16"/>
      <c r="G679" s="16"/>
      <c r="H679" s="16"/>
      <c r="I679" s="16"/>
      <c r="J679" s="16"/>
      <c r="K679" s="16"/>
      <c r="L679" s="16"/>
      <c r="M679" s="16"/>
      <c r="N679" s="16"/>
      <c r="O679" s="16"/>
      <c r="P679" s="16"/>
      <c r="Q679" s="16"/>
      <c r="R679" s="16"/>
      <c r="S679" s="16"/>
      <c r="T679" s="16"/>
      <c r="U679" s="16"/>
      <c r="V679" s="16"/>
      <c r="W679" s="16"/>
      <c r="X679" s="16"/>
      <c r="Y679" s="16"/>
      <c r="Z679" s="16"/>
      <c r="AA679" s="16"/>
      <c r="AB679" s="16"/>
      <c r="AC679" s="16"/>
      <c r="AD679" s="16"/>
      <c r="AE679" s="16"/>
      <c r="AF679" s="16"/>
      <c r="AG679" s="16"/>
      <c r="AH679" s="16"/>
      <c r="AI679" s="16"/>
    </row>
    <row r="680" ht="12.75" customHeight="1" spans="1:35" x14ac:dyDescent="0.25">
      <c r="A680" s="16"/>
      <c r="B680" s="16"/>
      <c r="C680" s="16"/>
      <c r="D680" s="16"/>
      <c r="E680" s="16"/>
      <c r="F680" s="16"/>
      <c r="G680" s="16"/>
      <c r="H680" s="16"/>
      <c r="I680" s="16"/>
      <c r="J680" s="16"/>
      <c r="K680" s="16"/>
      <c r="L680" s="16"/>
      <c r="M680" s="16"/>
      <c r="N680" s="16"/>
      <c r="O680" s="16"/>
      <c r="P680" s="16"/>
      <c r="Q680" s="16"/>
      <c r="R680" s="16"/>
      <c r="S680" s="16"/>
      <c r="T680" s="16"/>
      <c r="U680" s="16"/>
      <c r="V680" s="16"/>
      <c r="W680" s="16"/>
      <c r="X680" s="16"/>
      <c r="Y680" s="16"/>
      <c r="Z680" s="16"/>
      <c r="AA680" s="16"/>
      <c r="AB680" s="16"/>
      <c r="AC680" s="16"/>
      <c r="AD680" s="16"/>
      <c r="AE680" s="16"/>
      <c r="AF680" s="16"/>
      <c r="AG680" s="16"/>
      <c r="AH680" s="16"/>
      <c r="AI680" s="16"/>
    </row>
    <row r="681" ht="12.75" customHeight="1" spans="1:35" x14ac:dyDescent="0.25">
      <c r="A681" s="16"/>
      <c r="B681" s="16"/>
      <c r="C681" s="16"/>
      <c r="D681" s="16"/>
      <c r="E681" s="16"/>
      <c r="F681" s="16"/>
      <c r="G681" s="16"/>
      <c r="H681" s="16"/>
      <c r="I681" s="16"/>
      <c r="J681" s="16"/>
      <c r="K681" s="16"/>
      <c r="L681" s="16"/>
      <c r="M681" s="16"/>
      <c r="N681" s="16"/>
      <c r="O681" s="16"/>
      <c r="P681" s="16"/>
      <c r="Q681" s="16"/>
      <c r="R681" s="16"/>
      <c r="S681" s="16"/>
      <c r="T681" s="16"/>
      <c r="U681" s="16"/>
      <c r="V681" s="16"/>
      <c r="W681" s="16"/>
      <c r="X681" s="16"/>
      <c r="Y681" s="16"/>
      <c r="Z681" s="16"/>
      <c r="AA681" s="16"/>
      <c r="AB681" s="16"/>
      <c r="AC681" s="16"/>
      <c r="AD681" s="16"/>
      <c r="AE681" s="16"/>
      <c r="AF681" s="16"/>
      <c r="AG681" s="16"/>
      <c r="AH681" s="16"/>
      <c r="AI681" s="16"/>
    </row>
    <row r="682" ht="12.75" customHeight="1" spans="1:35" x14ac:dyDescent="0.25">
      <c r="A682" s="16"/>
      <c r="B682" s="16"/>
      <c r="C682" s="16"/>
      <c r="D682" s="16"/>
      <c r="E682" s="16"/>
      <c r="F682" s="16"/>
      <c r="G682" s="16"/>
      <c r="H682" s="16"/>
      <c r="I682" s="16"/>
      <c r="J682" s="16"/>
      <c r="K682" s="16"/>
      <c r="L682" s="16"/>
      <c r="M682" s="16"/>
      <c r="N682" s="16"/>
      <c r="O682" s="16"/>
      <c r="P682" s="16"/>
      <c r="Q682" s="16"/>
      <c r="R682" s="16"/>
      <c r="S682" s="16"/>
      <c r="T682" s="16"/>
      <c r="U682" s="16"/>
      <c r="V682" s="16"/>
      <c r="W682" s="16"/>
      <c r="X682" s="16"/>
      <c r="Y682" s="16"/>
      <c r="Z682" s="16"/>
      <c r="AA682" s="16"/>
      <c r="AB682" s="16"/>
      <c r="AC682" s="16"/>
      <c r="AD682" s="16"/>
      <c r="AE682" s="16"/>
      <c r="AF682" s="16"/>
      <c r="AG682" s="16"/>
      <c r="AH682" s="16"/>
      <c r="AI682" s="16"/>
    </row>
    <row r="683" ht="12.75" customHeight="1" spans="1:35" x14ac:dyDescent="0.25">
      <c r="A683" s="16"/>
      <c r="B683" s="16"/>
      <c r="C683" s="16"/>
      <c r="D683" s="16"/>
      <c r="E683" s="16"/>
      <c r="F683" s="16"/>
      <c r="G683" s="16"/>
      <c r="H683" s="16"/>
      <c r="I683" s="16"/>
      <c r="J683" s="16"/>
      <c r="K683" s="16"/>
      <c r="L683" s="16"/>
      <c r="M683" s="16"/>
      <c r="N683" s="16"/>
      <c r="O683" s="16"/>
      <c r="P683" s="16"/>
      <c r="Q683" s="16"/>
      <c r="R683" s="16"/>
      <c r="S683" s="16"/>
      <c r="T683" s="16"/>
      <c r="U683" s="16"/>
      <c r="V683" s="16"/>
      <c r="W683" s="16"/>
      <c r="X683" s="16"/>
      <c r="Y683" s="16"/>
      <c r="Z683" s="16"/>
      <c r="AA683" s="16"/>
      <c r="AB683" s="16"/>
      <c r="AC683" s="16"/>
      <c r="AD683" s="16"/>
      <c r="AE683" s="16"/>
      <c r="AF683" s="16"/>
      <c r="AG683" s="16"/>
      <c r="AH683" s="16"/>
      <c r="AI683" s="16"/>
    </row>
    <row r="684" ht="12.75" customHeight="1" spans="1:35" x14ac:dyDescent="0.25">
      <c r="A684" s="16"/>
      <c r="B684" s="16"/>
      <c r="C684" s="16"/>
      <c r="D684" s="16"/>
      <c r="E684" s="16"/>
      <c r="F684" s="16"/>
      <c r="G684" s="16"/>
      <c r="H684" s="16"/>
      <c r="I684" s="16"/>
      <c r="J684" s="16"/>
      <c r="K684" s="16"/>
      <c r="L684" s="16"/>
      <c r="M684" s="16"/>
      <c r="N684" s="16"/>
      <c r="O684" s="16"/>
      <c r="P684" s="16"/>
      <c r="Q684" s="16"/>
      <c r="R684" s="16"/>
      <c r="S684" s="16"/>
      <c r="T684" s="16"/>
      <c r="U684" s="16"/>
      <c r="V684" s="16"/>
      <c r="W684" s="16"/>
      <c r="X684" s="16"/>
      <c r="Y684" s="16"/>
      <c r="Z684" s="16"/>
      <c r="AA684" s="16"/>
      <c r="AB684" s="16"/>
      <c r="AC684" s="16"/>
      <c r="AD684" s="16"/>
      <c r="AE684" s="16"/>
      <c r="AF684" s="16"/>
      <c r="AG684" s="16"/>
      <c r="AH684" s="16"/>
      <c r="AI684" s="16"/>
    </row>
    <row r="685" ht="12.75" customHeight="1" spans="1:35" x14ac:dyDescent="0.25">
      <c r="A685" s="16"/>
      <c r="B685" s="16"/>
      <c r="C685" s="16"/>
      <c r="D685" s="16"/>
      <c r="E685" s="16"/>
      <c r="F685" s="16"/>
      <c r="G685" s="16"/>
      <c r="H685" s="16"/>
      <c r="I685" s="16"/>
      <c r="J685" s="16"/>
      <c r="K685" s="16"/>
      <c r="L685" s="16"/>
      <c r="M685" s="16"/>
      <c r="N685" s="16"/>
      <c r="O685" s="16"/>
      <c r="P685" s="16"/>
      <c r="Q685" s="16"/>
      <c r="R685" s="16"/>
      <c r="S685" s="16"/>
      <c r="T685" s="16"/>
      <c r="U685" s="16"/>
      <c r="V685" s="16"/>
      <c r="W685" s="16"/>
      <c r="X685" s="16"/>
      <c r="Y685" s="16"/>
      <c r="Z685" s="16"/>
      <c r="AA685" s="16"/>
      <c r="AB685" s="16"/>
      <c r="AC685" s="16"/>
      <c r="AD685" s="16"/>
      <c r="AE685" s="16"/>
      <c r="AF685" s="16"/>
      <c r="AG685" s="16"/>
      <c r="AH685" s="16"/>
      <c r="AI685" s="16"/>
    </row>
    <row r="686" ht="12.75" customHeight="1" spans="1:35" x14ac:dyDescent="0.25">
      <c r="A686" s="16"/>
      <c r="B686" s="16"/>
      <c r="C686" s="16"/>
      <c r="D686" s="16"/>
      <c r="E686" s="16"/>
      <c r="F686" s="16"/>
      <c r="G686" s="16"/>
      <c r="H686" s="16"/>
      <c r="I686" s="16"/>
      <c r="J686" s="16"/>
      <c r="K686" s="16"/>
      <c r="L686" s="16"/>
      <c r="M686" s="16"/>
      <c r="N686" s="16"/>
      <c r="O686" s="16"/>
      <c r="P686" s="16"/>
      <c r="Q686" s="16"/>
      <c r="R686" s="16"/>
      <c r="S686" s="16"/>
      <c r="T686" s="16"/>
      <c r="U686" s="16"/>
      <c r="V686" s="16"/>
      <c r="W686" s="16"/>
      <c r="X686" s="16"/>
      <c r="Y686" s="16"/>
      <c r="Z686" s="16"/>
      <c r="AA686" s="16"/>
      <c r="AB686" s="16"/>
      <c r="AC686" s="16"/>
      <c r="AD686" s="16"/>
      <c r="AE686" s="16"/>
      <c r="AF686" s="16"/>
      <c r="AG686" s="16"/>
      <c r="AH686" s="16"/>
      <c r="AI686" s="16"/>
    </row>
    <row r="687" ht="12.75" customHeight="1" spans="1:35" x14ac:dyDescent="0.25">
      <c r="A687" s="16"/>
      <c r="B687" s="16"/>
      <c r="C687" s="16"/>
      <c r="D687" s="16"/>
      <c r="E687" s="16"/>
      <c r="F687" s="16"/>
      <c r="G687" s="16"/>
      <c r="H687" s="16"/>
      <c r="I687" s="16"/>
      <c r="J687" s="16"/>
      <c r="K687" s="16"/>
      <c r="L687" s="16"/>
      <c r="M687" s="16"/>
      <c r="N687" s="16"/>
      <c r="O687" s="16"/>
      <c r="P687" s="16"/>
      <c r="Q687" s="16"/>
      <c r="R687" s="16"/>
      <c r="S687" s="16"/>
      <c r="T687" s="16"/>
      <c r="U687" s="16"/>
      <c r="V687" s="16"/>
      <c r="W687" s="16"/>
      <c r="X687" s="16"/>
      <c r="Y687" s="16"/>
      <c r="Z687" s="16"/>
      <c r="AA687" s="16"/>
      <c r="AB687" s="16"/>
      <c r="AC687" s="16"/>
      <c r="AD687" s="16"/>
      <c r="AE687" s="16"/>
      <c r="AF687" s="16"/>
      <c r="AG687" s="16"/>
      <c r="AH687" s="16"/>
      <c r="AI687" s="16"/>
    </row>
    <row r="688" ht="12.75" customHeight="1" spans="1:35" x14ac:dyDescent="0.25">
      <c r="A688" s="16"/>
      <c r="B688" s="16"/>
      <c r="C688" s="16"/>
      <c r="D688" s="16"/>
      <c r="E688" s="16"/>
      <c r="F688" s="16"/>
      <c r="G688" s="16"/>
      <c r="H688" s="16"/>
      <c r="I688" s="16"/>
      <c r="J688" s="16"/>
      <c r="K688" s="16"/>
      <c r="L688" s="16"/>
      <c r="M688" s="16"/>
      <c r="N688" s="16"/>
      <c r="O688" s="16"/>
      <c r="P688" s="16"/>
      <c r="Q688" s="16"/>
      <c r="R688" s="16"/>
      <c r="S688" s="16"/>
      <c r="T688" s="16"/>
      <c r="U688" s="16"/>
      <c r="V688" s="16"/>
      <c r="W688" s="16"/>
      <c r="X688" s="16"/>
      <c r="Y688" s="16"/>
      <c r="Z688" s="16"/>
      <c r="AA688" s="16"/>
      <c r="AB688" s="16"/>
      <c r="AC688" s="16"/>
      <c r="AD688" s="16"/>
      <c r="AE688" s="16"/>
      <c r="AF688" s="16"/>
      <c r="AG688" s="16"/>
      <c r="AH688" s="16"/>
      <c r="AI688" s="16"/>
    </row>
    <row r="689" ht="12.75" customHeight="1" spans="1:35" x14ac:dyDescent="0.25">
      <c r="A689" s="16"/>
      <c r="B689" s="16"/>
      <c r="C689" s="16"/>
      <c r="D689" s="16"/>
      <c r="E689" s="16"/>
      <c r="F689" s="16"/>
      <c r="G689" s="16"/>
      <c r="H689" s="16"/>
      <c r="I689" s="16"/>
      <c r="J689" s="16"/>
      <c r="K689" s="16"/>
      <c r="L689" s="16"/>
      <c r="M689" s="16"/>
      <c r="N689" s="16"/>
      <c r="O689" s="16"/>
      <c r="P689" s="16"/>
      <c r="Q689" s="16"/>
      <c r="R689" s="16"/>
      <c r="S689" s="16"/>
      <c r="T689" s="16"/>
      <c r="U689" s="16"/>
      <c r="V689" s="16"/>
      <c r="W689" s="16"/>
      <c r="X689" s="16"/>
      <c r="Y689" s="16"/>
      <c r="Z689" s="16"/>
      <c r="AA689" s="16"/>
      <c r="AB689" s="16"/>
      <c r="AC689" s="16"/>
      <c r="AD689" s="16"/>
      <c r="AE689" s="16"/>
      <c r="AF689" s="16"/>
      <c r="AG689" s="16"/>
      <c r="AH689" s="16"/>
      <c r="AI689" s="16"/>
    </row>
    <row r="690" ht="12.75" customHeight="1" spans="1:35" x14ac:dyDescent="0.25">
      <c r="A690" s="16"/>
      <c r="B690" s="16"/>
      <c r="C690" s="16"/>
      <c r="D690" s="16"/>
      <c r="E690" s="16"/>
      <c r="F690" s="16"/>
      <c r="G690" s="16"/>
      <c r="H690" s="16"/>
      <c r="I690" s="16"/>
      <c r="J690" s="16"/>
      <c r="K690" s="16"/>
      <c r="L690" s="16"/>
      <c r="M690" s="16"/>
      <c r="N690" s="16"/>
      <c r="O690" s="16"/>
      <c r="P690" s="16"/>
      <c r="Q690" s="16"/>
      <c r="R690" s="16"/>
      <c r="S690" s="16"/>
      <c r="T690" s="16"/>
      <c r="U690" s="16"/>
      <c r="V690" s="16"/>
      <c r="W690" s="16"/>
      <c r="X690" s="16"/>
      <c r="Y690" s="16"/>
      <c r="Z690" s="16"/>
      <c r="AA690" s="16"/>
      <c r="AB690" s="16"/>
      <c r="AC690" s="16"/>
      <c r="AD690" s="16"/>
      <c r="AE690" s="16"/>
      <c r="AF690" s="16"/>
      <c r="AG690" s="16"/>
      <c r="AH690" s="16"/>
      <c r="AI690" s="16"/>
    </row>
    <row r="691" ht="12.75" customHeight="1" spans="1:35" x14ac:dyDescent="0.25">
      <c r="A691" s="16"/>
      <c r="B691" s="16"/>
      <c r="C691" s="16"/>
      <c r="D691" s="16"/>
      <c r="E691" s="16"/>
      <c r="F691" s="16"/>
      <c r="G691" s="16"/>
      <c r="H691" s="16"/>
      <c r="I691" s="16"/>
      <c r="J691" s="16"/>
      <c r="K691" s="16"/>
      <c r="L691" s="16"/>
      <c r="M691" s="16"/>
      <c r="N691" s="16"/>
      <c r="O691" s="16"/>
      <c r="P691" s="16"/>
      <c r="Q691" s="16"/>
      <c r="R691" s="16"/>
      <c r="S691" s="16"/>
      <c r="T691" s="16"/>
      <c r="U691" s="16"/>
      <c r="V691" s="16"/>
      <c r="W691" s="16"/>
      <c r="X691" s="16"/>
      <c r="Y691" s="16"/>
      <c r="Z691" s="16"/>
      <c r="AA691" s="16"/>
      <c r="AB691" s="16"/>
      <c r="AC691" s="16"/>
      <c r="AD691" s="16"/>
      <c r="AE691" s="16"/>
      <c r="AF691" s="16"/>
      <c r="AG691" s="16"/>
      <c r="AH691" s="16"/>
      <c r="AI691" s="16"/>
    </row>
    <row r="692" ht="12.75" customHeight="1" spans="1:35" x14ac:dyDescent="0.25">
      <c r="A692" s="16"/>
      <c r="B692" s="16"/>
      <c r="C692" s="16"/>
      <c r="D692" s="16"/>
      <c r="E692" s="16"/>
      <c r="F692" s="16"/>
      <c r="G692" s="16"/>
      <c r="H692" s="16"/>
      <c r="I692" s="16"/>
      <c r="J692" s="16"/>
      <c r="K692" s="16"/>
      <c r="L692" s="16"/>
      <c r="M692" s="16"/>
      <c r="N692" s="16"/>
      <c r="O692" s="16"/>
      <c r="P692" s="16"/>
      <c r="Q692" s="16"/>
      <c r="R692" s="16"/>
      <c r="S692" s="16"/>
      <c r="T692" s="16"/>
      <c r="U692" s="16"/>
      <c r="V692" s="16"/>
      <c r="W692" s="16"/>
      <c r="X692" s="16"/>
      <c r="Y692" s="16"/>
      <c r="Z692" s="16"/>
      <c r="AA692" s="16"/>
      <c r="AB692" s="16"/>
      <c r="AC692" s="16"/>
      <c r="AD692" s="16"/>
      <c r="AE692" s="16"/>
      <c r="AF692" s="16"/>
      <c r="AG692" s="16"/>
      <c r="AH692" s="16"/>
      <c r="AI692" s="16"/>
    </row>
    <row r="693" ht="12.75" customHeight="1" spans="1:35" x14ac:dyDescent="0.25">
      <c r="A693" s="16"/>
      <c r="B693" s="16"/>
      <c r="C693" s="16"/>
      <c r="D693" s="16"/>
      <c r="E693" s="16"/>
      <c r="F693" s="16"/>
      <c r="G693" s="16"/>
      <c r="H693" s="16"/>
      <c r="I693" s="16"/>
      <c r="J693" s="16"/>
      <c r="K693" s="16"/>
      <c r="L693" s="16"/>
      <c r="M693" s="16"/>
      <c r="N693" s="16"/>
      <c r="O693" s="16"/>
      <c r="P693" s="16"/>
      <c r="Q693" s="16"/>
      <c r="R693" s="16"/>
      <c r="S693" s="16"/>
      <c r="T693" s="16"/>
      <c r="U693" s="16"/>
      <c r="V693" s="16"/>
      <c r="W693" s="16"/>
      <c r="X693" s="16"/>
      <c r="Y693" s="16"/>
      <c r="Z693" s="16"/>
      <c r="AA693" s="16"/>
      <c r="AB693" s="16"/>
      <c r="AC693" s="16"/>
      <c r="AD693" s="16"/>
      <c r="AE693" s="16"/>
      <c r="AF693" s="16"/>
      <c r="AG693" s="16"/>
      <c r="AH693" s="16"/>
      <c r="AI693" s="16"/>
    </row>
    <row r="694" ht="12.75" customHeight="1" spans="1:35" x14ac:dyDescent="0.25">
      <c r="A694" s="16"/>
      <c r="B694" s="16"/>
      <c r="C694" s="16"/>
      <c r="D694" s="16"/>
      <c r="E694" s="16"/>
      <c r="F694" s="16"/>
      <c r="G694" s="16"/>
      <c r="H694" s="16"/>
      <c r="I694" s="16"/>
      <c r="J694" s="16"/>
      <c r="K694" s="16"/>
      <c r="L694" s="16"/>
      <c r="M694" s="16"/>
      <c r="N694" s="16"/>
      <c r="O694" s="16"/>
      <c r="P694" s="16"/>
      <c r="Q694" s="16"/>
      <c r="R694" s="16"/>
      <c r="S694" s="16"/>
      <c r="T694" s="16"/>
      <c r="U694" s="16"/>
      <c r="V694" s="16"/>
      <c r="W694" s="16"/>
      <c r="X694" s="16"/>
      <c r="Y694" s="16"/>
      <c r="Z694" s="16"/>
      <c r="AA694" s="16"/>
      <c r="AB694" s="16"/>
      <c r="AC694" s="16"/>
      <c r="AD694" s="16"/>
      <c r="AE694" s="16"/>
      <c r="AF694" s="16"/>
      <c r="AG694" s="16"/>
      <c r="AH694" s="16"/>
      <c r="AI694" s="16"/>
    </row>
    <row r="695" ht="12.75" customHeight="1" spans="1:35" x14ac:dyDescent="0.25">
      <c r="A695" s="16"/>
      <c r="B695" s="16"/>
      <c r="C695" s="16"/>
      <c r="D695" s="16"/>
      <c r="E695" s="16"/>
      <c r="F695" s="16"/>
      <c r="G695" s="16"/>
      <c r="H695" s="16"/>
      <c r="I695" s="16"/>
      <c r="J695" s="16"/>
      <c r="K695" s="16"/>
      <c r="L695" s="16"/>
      <c r="M695" s="16"/>
      <c r="N695" s="16"/>
      <c r="O695" s="16"/>
      <c r="P695" s="16"/>
      <c r="Q695" s="16"/>
      <c r="R695" s="16"/>
      <c r="S695" s="16"/>
      <c r="T695" s="16"/>
      <c r="U695" s="16"/>
      <c r="V695" s="16"/>
      <c r="W695" s="16"/>
      <c r="X695" s="16"/>
      <c r="Y695" s="16"/>
      <c r="Z695" s="16"/>
      <c r="AA695" s="16"/>
      <c r="AB695" s="16"/>
      <c r="AC695" s="16"/>
      <c r="AD695" s="16"/>
      <c r="AE695" s="16"/>
      <c r="AF695" s="16"/>
      <c r="AG695" s="16"/>
      <c r="AH695" s="16"/>
      <c r="AI695" s="16"/>
    </row>
    <row r="696" ht="12.75" customHeight="1" spans="1:35" x14ac:dyDescent="0.25">
      <c r="A696" s="16"/>
      <c r="B696" s="16"/>
      <c r="C696" s="16"/>
      <c r="D696" s="16"/>
      <c r="E696" s="16"/>
      <c r="F696" s="16"/>
      <c r="G696" s="16"/>
      <c r="H696" s="16"/>
      <c r="I696" s="16"/>
      <c r="J696" s="16"/>
      <c r="K696" s="16"/>
      <c r="L696" s="16"/>
      <c r="M696" s="16"/>
      <c r="N696" s="16"/>
      <c r="O696" s="16"/>
      <c r="P696" s="16"/>
      <c r="Q696" s="16"/>
      <c r="R696" s="16"/>
      <c r="S696" s="16"/>
      <c r="T696" s="16"/>
      <c r="U696" s="16"/>
      <c r="V696" s="16"/>
      <c r="W696" s="16"/>
      <c r="X696" s="16"/>
      <c r="Y696" s="16"/>
      <c r="Z696" s="16"/>
      <c r="AA696" s="16"/>
      <c r="AB696" s="16"/>
      <c r="AC696" s="16"/>
      <c r="AD696" s="16"/>
      <c r="AE696" s="16"/>
      <c r="AF696" s="16"/>
      <c r="AG696" s="16"/>
      <c r="AH696" s="16"/>
      <c r="AI696" s="16"/>
    </row>
    <row r="697" ht="12.75" customHeight="1" spans="1:35" x14ac:dyDescent="0.25">
      <c r="A697" s="16"/>
      <c r="B697" s="16"/>
      <c r="C697" s="16"/>
      <c r="D697" s="16"/>
      <c r="E697" s="16"/>
      <c r="F697" s="16"/>
      <c r="G697" s="16"/>
      <c r="H697" s="16"/>
      <c r="I697" s="16"/>
      <c r="J697" s="16"/>
      <c r="K697" s="16"/>
      <c r="L697" s="16"/>
      <c r="M697" s="16"/>
      <c r="N697" s="16"/>
      <c r="O697" s="16"/>
      <c r="P697" s="16"/>
      <c r="Q697" s="16"/>
      <c r="R697" s="16"/>
      <c r="S697" s="16"/>
      <c r="T697" s="16"/>
      <c r="U697" s="16"/>
      <c r="V697" s="16"/>
      <c r="W697" s="16"/>
      <c r="X697" s="16"/>
      <c r="Y697" s="16"/>
      <c r="Z697" s="16"/>
      <c r="AA697" s="16"/>
      <c r="AB697" s="16"/>
      <c r="AC697" s="16"/>
      <c r="AD697" s="16"/>
      <c r="AE697" s="16"/>
      <c r="AF697" s="16"/>
      <c r="AG697" s="16"/>
      <c r="AH697" s="16"/>
      <c r="AI697" s="16"/>
    </row>
    <row r="698" ht="12.75" customHeight="1" spans="1:35" x14ac:dyDescent="0.25">
      <c r="A698" s="16"/>
      <c r="B698" s="16"/>
      <c r="C698" s="16"/>
      <c r="D698" s="16"/>
      <c r="E698" s="16"/>
      <c r="F698" s="16"/>
      <c r="G698" s="16"/>
      <c r="H698" s="16"/>
      <c r="I698" s="16"/>
      <c r="J698" s="16"/>
      <c r="K698" s="16"/>
      <c r="L698" s="16"/>
      <c r="M698" s="16"/>
      <c r="N698" s="16"/>
      <c r="O698" s="16"/>
      <c r="P698" s="16"/>
      <c r="Q698" s="16"/>
      <c r="R698" s="16"/>
      <c r="S698" s="16"/>
      <c r="T698" s="16"/>
      <c r="U698" s="16"/>
      <c r="V698" s="16"/>
      <c r="W698" s="16"/>
      <c r="X698" s="16"/>
      <c r="Y698" s="16"/>
      <c r="Z698" s="16"/>
      <c r="AA698" s="16"/>
      <c r="AB698" s="16"/>
      <c r="AC698" s="16"/>
      <c r="AD698" s="16"/>
      <c r="AE698" s="16"/>
      <c r="AF698" s="16"/>
      <c r="AG698" s="16"/>
      <c r="AH698" s="16"/>
      <c r="AI698" s="16"/>
    </row>
    <row r="699" ht="12.75" customHeight="1" spans="1:35" x14ac:dyDescent="0.25">
      <c r="A699" s="16"/>
      <c r="B699" s="16"/>
      <c r="C699" s="16"/>
      <c r="D699" s="16"/>
      <c r="E699" s="16"/>
      <c r="F699" s="16"/>
      <c r="G699" s="16"/>
      <c r="H699" s="16"/>
      <c r="I699" s="16"/>
      <c r="J699" s="16"/>
      <c r="K699" s="16"/>
      <c r="L699" s="16"/>
      <c r="M699" s="16"/>
      <c r="N699" s="16"/>
      <c r="O699" s="16"/>
      <c r="P699" s="16"/>
      <c r="Q699" s="16"/>
      <c r="R699" s="16"/>
      <c r="S699" s="16"/>
      <c r="T699" s="16"/>
      <c r="U699" s="16"/>
      <c r="V699" s="16"/>
      <c r="W699" s="16"/>
      <c r="X699" s="16"/>
      <c r="Y699" s="16"/>
      <c r="Z699" s="16"/>
      <c r="AA699" s="16"/>
      <c r="AB699" s="16"/>
      <c r="AC699" s="16"/>
      <c r="AD699" s="16"/>
      <c r="AE699" s="16"/>
      <c r="AF699" s="16"/>
      <c r="AG699" s="16"/>
      <c r="AH699" s="16"/>
      <c r="AI699" s="16"/>
    </row>
    <row r="700" ht="12.75" customHeight="1" spans="1:35" x14ac:dyDescent="0.25">
      <c r="A700" s="16"/>
      <c r="B700" s="16"/>
      <c r="C700" s="16"/>
      <c r="D700" s="16"/>
      <c r="E700" s="16"/>
      <c r="F700" s="16"/>
      <c r="G700" s="16"/>
      <c r="H700" s="16"/>
      <c r="I700" s="16"/>
      <c r="J700" s="16"/>
      <c r="K700" s="16"/>
      <c r="L700" s="16"/>
      <c r="M700" s="16"/>
      <c r="N700" s="16"/>
      <c r="O700" s="16"/>
      <c r="P700" s="16"/>
      <c r="Q700" s="16"/>
      <c r="R700" s="16"/>
      <c r="S700" s="16"/>
      <c r="T700" s="16"/>
      <c r="U700" s="16"/>
      <c r="V700" s="16"/>
      <c r="W700" s="16"/>
      <c r="X700" s="16"/>
      <c r="Y700" s="16"/>
      <c r="Z700" s="16"/>
      <c r="AA700" s="16"/>
      <c r="AB700" s="16"/>
      <c r="AC700" s="16"/>
      <c r="AD700" s="16"/>
      <c r="AE700" s="16"/>
      <c r="AF700" s="16"/>
      <c r="AG700" s="16"/>
      <c r="AH700" s="16"/>
      <c r="AI700" s="16"/>
    </row>
    <row r="701" ht="12.75" customHeight="1" spans="1:35" x14ac:dyDescent="0.25">
      <c r="A701" s="16"/>
      <c r="B701" s="16"/>
      <c r="C701" s="16"/>
      <c r="D701" s="16"/>
      <c r="E701" s="16"/>
      <c r="F701" s="16"/>
      <c r="G701" s="16"/>
      <c r="H701" s="16"/>
      <c r="I701" s="16"/>
      <c r="J701" s="16"/>
      <c r="K701" s="16"/>
      <c r="L701" s="16"/>
      <c r="M701" s="16"/>
      <c r="N701" s="16"/>
      <c r="O701" s="16"/>
      <c r="P701" s="16"/>
      <c r="Q701" s="16"/>
      <c r="R701" s="16"/>
      <c r="S701" s="16"/>
      <c r="T701" s="16"/>
      <c r="U701" s="16"/>
      <c r="V701" s="16"/>
      <c r="W701" s="16"/>
      <c r="X701" s="16"/>
      <c r="Y701" s="16"/>
      <c r="Z701" s="16"/>
      <c r="AA701" s="16"/>
      <c r="AB701" s="16"/>
      <c r="AC701" s="16"/>
      <c r="AD701" s="16"/>
      <c r="AE701" s="16"/>
      <c r="AF701" s="16"/>
      <c r="AG701" s="16"/>
      <c r="AH701" s="16"/>
      <c r="AI701" s="16"/>
    </row>
    <row r="702" ht="12.75" customHeight="1" spans="1:35" x14ac:dyDescent="0.25">
      <c r="A702" s="16"/>
      <c r="B702" s="16"/>
      <c r="C702" s="16"/>
      <c r="D702" s="16"/>
      <c r="E702" s="16"/>
      <c r="F702" s="16"/>
      <c r="G702" s="16"/>
      <c r="H702" s="16"/>
      <c r="I702" s="16"/>
      <c r="J702" s="16"/>
      <c r="K702" s="16"/>
      <c r="L702" s="16"/>
      <c r="M702" s="16"/>
      <c r="N702" s="16"/>
      <c r="O702" s="16"/>
      <c r="P702" s="16"/>
      <c r="Q702" s="16"/>
      <c r="R702" s="16"/>
      <c r="S702" s="16"/>
      <c r="T702" s="16"/>
      <c r="U702" s="16"/>
      <c r="V702" s="16"/>
      <c r="W702" s="16"/>
      <c r="X702" s="16"/>
      <c r="Y702" s="16"/>
      <c r="Z702" s="16"/>
      <c r="AA702" s="16"/>
      <c r="AB702" s="16"/>
      <c r="AC702" s="16"/>
      <c r="AD702" s="16"/>
      <c r="AE702" s="16"/>
      <c r="AF702" s="16"/>
      <c r="AG702" s="16"/>
      <c r="AH702" s="16"/>
      <c r="AI702" s="16"/>
    </row>
    <row r="703" ht="12.75" customHeight="1" spans="1:35" x14ac:dyDescent="0.25">
      <c r="A703" s="16"/>
      <c r="B703" s="16"/>
      <c r="C703" s="16"/>
      <c r="D703" s="16"/>
      <c r="E703" s="16"/>
      <c r="F703" s="16"/>
      <c r="G703" s="16"/>
      <c r="H703" s="16"/>
      <c r="I703" s="16"/>
      <c r="J703" s="16"/>
      <c r="K703" s="16"/>
      <c r="L703" s="16"/>
      <c r="M703" s="16"/>
      <c r="N703" s="16"/>
      <c r="O703" s="16"/>
      <c r="P703" s="16"/>
      <c r="Q703" s="16"/>
      <c r="R703" s="16"/>
      <c r="S703" s="16"/>
      <c r="T703" s="16"/>
      <c r="U703" s="16"/>
      <c r="V703" s="16"/>
      <c r="W703" s="16"/>
      <c r="X703" s="16"/>
      <c r="Y703" s="16"/>
      <c r="Z703" s="16"/>
      <c r="AA703" s="16"/>
      <c r="AB703" s="16"/>
      <c r="AC703" s="16"/>
      <c r="AD703" s="16"/>
      <c r="AE703" s="16"/>
      <c r="AF703" s="16"/>
      <c r="AG703" s="16"/>
      <c r="AH703" s="16"/>
      <c r="AI703" s="16"/>
    </row>
    <row r="704" ht="12.75" customHeight="1" spans="1:35" x14ac:dyDescent="0.25">
      <c r="A704" s="16"/>
      <c r="B704" s="16"/>
      <c r="C704" s="16"/>
      <c r="D704" s="16"/>
      <c r="E704" s="16"/>
      <c r="F704" s="16"/>
      <c r="G704" s="16"/>
      <c r="H704" s="16"/>
      <c r="I704" s="16"/>
      <c r="J704" s="16"/>
      <c r="K704" s="16"/>
      <c r="L704" s="16"/>
      <c r="M704" s="16"/>
      <c r="N704" s="16"/>
      <c r="O704" s="16"/>
      <c r="P704" s="16"/>
      <c r="Q704" s="16"/>
      <c r="R704" s="16"/>
      <c r="S704" s="16"/>
      <c r="T704" s="16"/>
      <c r="U704" s="16"/>
      <c r="V704" s="16"/>
      <c r="W704" s="16"/>
      <c r="X704" s="16"/>
      <c r="Y704" s="16"/>
      <c r="Z704" s="16"/>
      <c r="AA704" s="16"/>
      <c r="AB704" s="16"/>
      <c r="AC704" s="16"/>
      <c r="AD704" s="16"/>
      <c r="AE704" s="16"/>
      <c r="AF704" s="16"/>
      <c r="AG704" s="16"/>
      <c r="AH704" s="16"/>
      <c r="AI704" s="16"/>
    </row>
    <row r="705" ht="12.75" customHeight="1" spans="1:35" x14ac:dyDescent="0.25">
      <c r="A705" s="16"/>
      <c r="B705" s="16"/>
      <c r="C705" s="16"/>
      <c r="D705" s="16"/>
      <c r="E705" s="16"/>
      <c r="F705" s="16"/>
      <c r="G705" s="16"/>
      <c r="H705" s="16"/>
      <c r="I705" s="16"/>
      <c r="J705" s="16"/>
      <c r="K705" s="16"/>
      <c r="L705" s="16"/>
      <c r="M705" s="16"/>
      <c r="N705" s="16"/>
      <c r="O705" s="16"/>
      <c r="P705" s="16"/>
      <c r="Q705" s="16"/>
      <c r="R705" s="16"/>
      <c r="S705" s="16"/>
      <c r="T705" s="16"/>
      <c r="U705" s="16"/>
      <c r="V705" s="16"/>
      <c r="W705" s="16"/>
      <c r="X705" s="16"/>
      <c r="Y705" s="16"/>
      <c r="Z705" s="16"/>
      <c r="AA705" s="16"/>
      <c r="AB705" s="16"/>
      <c r="AC705" s="16"/>
      <c r="AD705" s="16"/>
      <c r="AE705" s="16"/>
      <c r="AF705" s="16"/>
      <c r="AG705" s="16"/>
      <c r="AH705" s="16"/>
      <c r="AI705" s="16"/>
    </row>
    <row r="706" ht="12.75" customHeight="1" spans="1:35" x14ac:dyDescent="0.25">
      <c r="A706" s="16"/>
      <c r="B706" s="16"/>
      <c r="C706" s="16"/>
      <c r="D706" s="16"/>
      <c r="E706" s="16"/>
      <c r="F706" s="16"/>
      <c r="G706" s="16"/>
      <c r="H706" s="16"/>
      <c r="I706" s="16"/>
      <c r="J706" s="16"/>
      <c r="K706" s="16"/>
      <c r="L706" s="16"/>
      <c r="M706" s="16"/>
      <c r="N706" s="16"/>
      <c r="O706" s="16"/>
      <c r="P706" s="16"/>
      <c r="Q706" s="16"/>
      <c r="R706" s="16"/>
      <c r="S706" s="16"/>
      <c r="T706" s="16"/>
      <c r="U706" s="16"/>
      <c r="V706" s="16"/>
      <c r="W706" s="16"/>
      <c r="X706" s="16"/>
      <c r="Y706" s="16"/>
      <c r="Z706" s="16"/>
      <c r="AA706" s="16"/>
      <c r="AB706" s="16"/>
      <c r="AC706" s="16"/>
      <c r="AD706" s="16"/>
      <c r="AE706" s="16"/>
      <c r="AF706" s="16"/>
      <c r="AG706" s="16"/>
      <c r="AH706" s="16"/>
      <c r="AI706" s="16"/>
    </row>
    <row r="707" ht="12.75" customHeight="1" spans="1:35" x14ac:dyDescent="0.25">
      <c r="A707" s="16"/>
      <c r="B707" s="16"/>
      <c r="C707" s="16"/>
      <c r="D707" s="16"/>
      <c r="E707" s="16"/>
      <c r="F707" s="16"/>
      <c r="G707" s="16"/>
      <c r="H707" s="16"/>
      <c r="I707" s="16"/>
      <c r="J707" s="16"/>
      <c r="K707" s="16"/>
      <c r="L707" s="16"/>
      <c r="M707" s="16"/>
      <c r="N707" s="16"/>
      <c r="O707" s="16"/>
      <c r="P707" s="16"/>
      <c r="Q707" s="16"/>
      <c r="R707" s="16"/>
      <c r="S707" s="16"/>
      <c r="T707" s="16"/>
      <c r="U707" s="16"/>
      <c r="V707" s="16"/>
      <c r="W707" s="16"/>
      <c r="X707" s="16"/>
      <c r="Y707" s="16"/>
      <c r="Z707" s="16"/>
      <c r="AA707" s="16"/>
      <c r="AB707" s="16"/>
      <c r="AC707" s="16"/>
      <c r="AD707" s="16"/>
      <c r="AE707" s="16"/>
      <c r="AF707" s="16"/>
      <c r="AG707" s="16"/>
      <c r="AH707" s="16"/>
      <c r="AI707" s="16"/>
    </row>
    <row r="708" ht="12.75" customHeight="1" spans="1:35" x14ac:dyDescent="0.25">
      <c r="A708" s="16"/>
      <c r="B708" s="16"/>
      <c r="C708" s="16"/>
      <c r="D708" s="16"/>
      <c r="E708" s="16"/>
      <c r="F708" s="16"/>
      <c r="G708" s="16"/>
      <c r="H708" s="16"/>
      <c r="I708" s="16"/>
      <c r="J708" s="16"/>
      <c r="K708" s="16"/>
      <c r="L708" s="16"/>
      <c r="M708" s="16"/>
      <c r="N708" s="16"/>
      <c r="O708" s="16"/>
      <c r="P708" s="16"/>
      <c r="Q708" s="16"/>
      <c r="R708" s="16"/>
      <c r="S708" s="16"/>
      <c r="T708" s="16"/>
      <c r="U708" s="16"/>
      <c r="V708" s="16"/>
      <c r="W708" s="16"/>
      <c r="X708" s="16"/>
      <c r="Y708" s="16"/>
      <c r="Z708" s="16"/>
      <c r="AA708" s="16"/>
      <c r="AB708" s="16"/>
      <c r="AC708" s="16"/>
      <c r="AD708" s="16"/>
      <c r="AE708" s="16"/>
      <c r="AF708" s="16"/>
      <c r="AG708" s="16"/>
      <c r="AH708" s="16"/>
      <c r="AI708" s="16"/>
    </row>
    <row r="709" ht="12.75" customHeight="1" spans="1:35" x14ac:dyDescent="0.25">
      <c r="A709" s="16"/>
      <c r="B709" s="16"/>
      <c r="C709" s="16"/>
      <c r="D709" s="16"/>
      <c r="E709" s="16"/>
      <c r="F709" s="16"/>
      <c r="G709" s="16"/>
      <c r="H709" s="16"/>
      <c r="I709" s="16"/>
      <c r="J709" s="16"/>
      <c r="K709" s="16"/>
      <c r="L709" s="16"/>
      <c r="M709" s="16"/>
      <c r="N709" s="16"/>
      <c r="O709" s="16"/>
      <c r="P709" s="16"/>
      <c r="Q709" s="16"/>
      <c r="R709" s="16"/>
      <c r="S709" s="16"/>
      <c r="T709" s="16"/>
      <c r="U709" s="16"/>
      <c r="V709" s="16"/>
      <c r="W709" s="16"/>
      <c r="X709" s="16"/>
      <c r="Y709" s="16"/>
      <c r="Z709" s="16"/>
      <c r="AA709" s="16"/>
      <c r="AB709" s="16"/>
      <c r="AC709" s="16"/>
      <c r="AD709" s="16"/>
      <c r="AE709" s="16"/>
      <c r="AF709" s="16"/>
      <c r="AG709" s="16"/>
      <c r="AH709" s="16"/>
      <c r="AI709" s="16"/>
    </row>
    <row r="710" ht="12.75" customHeight="1" spans="1:35" x14ac:dyDescent="0.25">
      <c r="A710" s="16"/>
      <c r="B710" s="16"/>
      <c r="C710" s="16"/>
      <c r="D710" s="16"/>
      <c r="E710" s="16"/>
      <c r="F710" s="16"/>
      <c r="G710" s="16"/>
      <c r="H710" s="16"/>
      <c r="I710" s="16"/>
      <c r="J710" s="16"/>
      <c r="K710" s="16"/>
      <c r="L710" s="16"/>
      <c r="M710" s="16"/>
      <c r="N710" s="16"/>
      <c r="O710" s="16"/>
      <c r="P710" s="16"/>
      <c r="Q710" s="16"/>
      <c r="R710" s="16"/>
      <c r="S710" s="16"/>
      <c r="T710" s="16"/>
      <c r="U710" s="16"/>
      <c r="V710" s="16"/>
      <c r="W710" s="16"/>
      <c r="X710" s="16"/>
      <c r="Y710" s="16"/>
      <c r="Z710" s="16"/>
      <c r="AA710" s="16"/>
      <c r="AB710" s="16"/>
      <c r="AC710" s="16"/>
      <c r="AD710" s="16"/>
      <c r="AE710" s="16"/>
      <c r="AF710" s="16"/>
      <c r="AG710" s="16"/>
      <c r="AH710" s="16"/>
      <c r="AI710" s="16"/>
    </row>
    <row r="711" ht="12.75" customHeight="1" spans="1:35" x14ac:dyDescent="0.25">
      <c r="A711" s="16"/>
      <c r="B711" s="16"/>
      <c r="C711" s="16"/>
      <c r="D711" s="16"/>
      <c r="E711" s="16"/>
      <c r="F711" s="16"/>
      <c r="G711" s="16"/>
      <c r="H711" s="16"/>
      <c r="I711" s="16"/>
      <c r="J711" s="16"/>
      <c r="K711" s="16"/>
      <c r="L711" s="16"/>
      <c r="M711" s="16"/>
      <c r="N711" s="16"/>
      <c r="O711" s="16"/>
      <c r="P711" s="16"/>
      <c r="Q711" s="16"/>
      <c r="R711" s="16"/>
      <c r="S711" s="16"/>
      <c r="T711" s="16"/>
      <c r="U711" s="16"/>
      <c r="V711" s="16"/>
      <c r="W711" s="16"/>
      <c r="X711" s="16"/>
      <c r="Y711" s="16"/>
      <c r="Z711" s="16"/>
      <c r="AA711" s="16"/>
      <c r="AB711" s="16"/>
      <c r="AC711" s="16"/>
      <c r="AD711" s="16"/>
      <c r="AE711" s="16"/>
      <c r="AF711" s="16"/>
      <c r="AG711" s="16"/>
      <c r="AH711" s="16"/>
      <c r="AI711" s="16"/>
    </row>
    <row r="712" ht="12.75" customHeight="1" spans="1:35" x14ac:dyDescent="0.25">
      <c r="A712" s="16"/>
      <c r="B712" s="16"/>
      <c r="C712" s="16"/>
      <c r="D712" s="16"/>
      <c r="E712" s="16"/>
      <c r="F712" s="16"/>
      <c r="G712" s="16"/>
      <c r="H712" s="16"/>
      <c r="I712" s="16"/>
      <c r="J712" s="16"/>
      <c r="K712" s="16"/>
      <c r="L712" s="16"/>
      <c r="M712" s="16"/>
      <c r="N712" s="16"/>
      <c r="O712" s="16"/>
      <c r="P712" s="16"/>
      <c r="Q712" s="16"/>
      <c r="R712" s="16"/>
      <c r="S712" s="16"/>
      <c r="T712" s="16"/>
      <c r="U712" s="16"/>
      <c r="V712" s="16"/>
      <c r="W712" s="16"/>
      <c r="X712" s="16"/>
      <c r="Y712" s="16"/>
      <c r="Z712" s="16"/>
      <c r="AA712" s="16"/>
      <c r="AB712" s="16"/>
      <c r="AC712" s="16"/>
      <c r="AD712" s="16"/>
      <c r="AE712" s="16"/>
      <c r="AF712" s="16"/>
      <c r="AG712" s="16"/>
      <c r="AH712" s="16"/>
      <c r="AI712" s="16"/>
    </row>
    <row r="713" ht="12.75" customHeight="1" spans="1:35" x14ac:dyDescent="0.25">
      <c r="A713" s="16"/>
      <c r="B713" s="16"/>
      <c r="C713" s="16"/>
      <c r="D713" s="16"/>
      <c r="E713" s="16"/>
      <c r="F713" s="16"/>
      <c r="G713" s="16"/>
      <c r="H713" s="16"/>
      <c r="I713" s="16"/>
      <c r="J713" s="16"/>
      <c r="K713" s="16"/>
      <c r="L713" s="16"/>
      <c r="M713" s="16"/>
      <c r="N713" s="16"/>
      <c r="O713" s="16"/>
      <c r="P713" s="16"/>
      <c r="Q713" s="16"/>
      <c r="R713" s="16"/>
      <c r="S713" s="16"/>
      <c r="T713" s="16"/>
      <c r="U713" s="16"/>
      <c r="V713" s="16"/>
      <c r="W713" s="16"/>
      <c r="X713" s="16"/>
      <c r="Y713" s="16"/>
      <c r="Z713" s="16"/>
      <c r="AA713" s="16"/>
      <c r="AB713" s="16"/>
      <c r="AC713" s="16"/>
      <c r="AD713" s="16"/>
      <c r="AE713" s="16"/>
      <c r="AF713" s="16"/>
      <c r="AG713" s="16"/>
      <c r="AH713" s="16"/>
      <c r="AI713" s="16"/>
    </row>
    <row r="714" ht="12.75" customHeight="1" spans="1:35" x14ac:dyDescent="0.25">
      <c r="A714" s="16"/>
      <c r="B714" s="16"/>
      <c r="C714" s="16"/>
      <c r="D714" s="16"/>
      <c r="E714" s="16"/>
      <c r="F714" s="16"/>
      <c r="G714" s="16"/>
      <c r="H714" s="16"/>
      <c r="I714" s="16"/>
      <c r="J714" s="16"/>
      <c r="K714" s="16"/>
      <c r="L714" s="16"/>
      <c r="M714" s="16"/>
      <c r="N714" s="16"/>
      <c r="O714" s="16"/>
      <c r="P714" s="16"/>
      <c r="Q714" s="16"/>
      <c r="R714" s="16"/>
      <c r="S714" s="16"/>
      <c r="T714" s="16"/>
      <c r="U714" s="16"/>
      <c r="V714" s="16"/>
      <c r="W714" s="16"/>
      <c r="X714" s="16"/>
      <c r="Y714" s="16"/>
      <c r="Z714" s="16"/>
      <c r="AA714" s="16"/>
      <c r="AB714" s="16"/>
      <c r="AC714" s="16"/>
      <c r="AD714" s="16"/>
      <c r="AE714" s="16"/>
      <c r="AF714" s="16"/>
      <c r="AG714" s="16"/>
      <c r="AH714" s="16"/>
      <c r="AI714" s="16"/>
    </row>
    <row r="715" ht="12.75" customHeight="1" spans="1:35" x14ac:dyDescent="0.25">
      <c r="A715" s="16"/>
      <c r="B715" s="16"/>
      <c r="C715" s="16"/>
      <c r="D715" s="16"/>
      <c r="E715" s="16"/>
      <c r="F715" s="16"/>
      <c r="G715" s="16"/>
      <c r="H715" s="16"/>
      <c r="I715" s="16"/>
      <c r="J715" s="16"/>
      <c r="K715" s="16"/>
      <c r="L715" s="16"/>
      <c r="M715" s="16"/>
      <c r="N715" s="16"/>
      <c r="O715" s="16"/>
      <c r="P715" s="16"/>
      <c r="Q715" s="16"/>
      <c r="R715" s="16"/>
      <c r="S715" s="16"/>
      <c r="T715" s="16"/>
      <c r="U715" s="16"/>
      <c r="V715" s="16"/>
      <c r="W715" s="16"/>
      <c r="X715" s="16"/>
      <c r="Y715" s="16"/>
      <c r="Z715" s="16"/>
      <c r="AA715" s="16"/>
      <c r="AB715" s="16"/>
      <c r="AC715" s="16"/>
      <c r="AD715" s="16"/>
      <c r="AE715" s="16"/>
      <c r="AF715" s="16"/>
      <c r="AG715" s="16"/>
      <c r="AH715" s="16"/>
      <c r="AI715" s="16"/>
    </row>
    <row r="716" ht="12.75" customHeight="1" spans="1:35" x14ac:dyDescent="0.25">
      <c r="A716" s="16"/>
      <c r="B716" s="16"/>
      <c r="C716" s="16"/>
      <c r="D716" s="16"/>
      <c r="E716" s="16"/>
      <c r="F716" s="16"/>
      <c r="G716" s="16"/>
      <c r="H716" s="16"/>
      <c r="I716" s="16"/>
      <c r="J716" s="16"/>
      <c r="K716" s="16"/>
      <c r="L716" s="16"/>
      <c r="M716" s="16"/>
      <c r="N716" s="16"/>
      <c r="O716" s="16"/>
      <c r="P716" s="16"/>
      <c r="Q716" s="16"/>
      <c r="R716" s="16"/>
      <c r="S716" s="16"/>
      <c r="T716" s="16"/>
      <c r="U716" s="16"/>
      <c r="V716" s="16"/>
      <c r="W716" s="16"/>
      <c r="X716" s="16"/>
      <c r="Y716" s="16"/>
      <c r="Z716" s="16"/>
      <c r="AA716" s="16"/>
      <c r="AB716" s="16"/>
      <c r="AC716" s="16"/>
      <c r="AD716" s="16"/>
      <c r="AE716" s="16"/>
      <c r="AF716" s="16"/>
      <c r="AG716" s="16"/>
      <c r="AH716" s="16"/>
      <c r="AI716" s="16"/>
    </row>
    <row r="717" ht="12.75" customHeight="1" spans="1:35" x14ac:dyDescent="0.25">
      <c r="A717" s="16"/>
      <c r="B717" s="16"/>
      <c r="C717" s="16"/>
      <c r="D717" s="16"/>
      <c r="E717" s="16"/>
      <c r="F717" s="16"/>
      <c r="G717" s="16"/>
      <c r="H717" s="16"/>
      <c r="I717" s="16"/>
      <c r="J717" s="16"/>
      <c r="K717" s="16"/>
      <c r="L717" s="16"/>
      <c r="M717" s="16"/>
      <c r="N717" s="16"/>
      <c r="O717" s="16"/>
      <c r="P717" s="16"/>
      <c r="Q717" s="16"/>
      <c r="R717" s="16"/>
      <c r="S717" s="16"/>
      <c r="T717" s="16"/>
      <c r="U717" s="16"/>
      <c r="V717" s="16"/>
      <c r="W717" s="16"/>
      <c r="X717" s="16"/>
      <c r="Y717" s="16"/>
      <c r="Z717" s="16"/>
      <c r="AA717" s="16"/>
      <c r="AB717" s="16"/>
      <c r="AC717" s="16"/>
      <c r="AD717" s="16"/>
      <c r="AE717" s="16"/>
      <c r="AF717" s="16"/>
      <c r="AG717" s="16"/>
      <c r="AH717" s="16"/>
      <c r="AI717" s="16"/>
    </row>
    <row r="718" ht="12.75" customHeight="1" spans="1:35" x14ac:dyDescent="0.25">
      <c r="A718" s="16"/>
      <c r="B718" s="16"/>
      <c r="C718" s="16"/>
      <c r="D718" s="16"/>
      <c r="E718" s="16"/>
      <c r="F718" s="16"/>
      <c r="G718" s="16"/>
      <c r="H718" s="16"/>
      <c r="I718" s="16"/>
      <c r="J718" s="16"/>
      <c r="K718" s="16"/>
      <c r="L718" s="16"/>
      <c r="M718" s="16"/>
      <c r="N718" s="16"/>
      <c r="O718" s="16"/>
      <c r="P718" s="16"/>
      <c r="Q718" s="16"/>
      <c r="R718" s="16"/>
      <c r="S718" s="16"/>
      <c r="T718" s="16"/>
      <c r="U718" s="16"/>
      <c r="V718" s="16"/>
      <c r="W718" s="16"/>
      <c r="X718" s="16"/>
      <c r="Y718" s="16"/>
      <c r="Z718" s="16"/>
      <c r="AA718" s="16"/>
      <c r="AB718" s="16"/>
      <c r="AC718" s="16"/>
      <c r="AD718" s="16"/>
      <c r="AE718" s="16"/>
      <c r="AF718" s="16"/>
      <c r="AG718" s="16"/>
      <c r="AH718" s="16"/>
      <c r="AI718" s="16"/>
    </row>
    <row r="719" ht="12.75" customHeight="1" spans="1:35" x14ac:dyDescent="0.25">
      <c r="A719" s="16"/>
      <c r="B719" s="16"/>
      <c r="C719" s="16"/>
      <c r="D719" s="16"/>
      <c r="E719" s="16"/>
      <c r="F719" s="16"/>
      <c r="G719" s="16"/>
      <c r="H719" s="16"/>
      <c r="I719" s="16"/>
      <c r="J719" s="16"/>
      <c r="K719" s="16"/>
      <c r="L719" s="16"/>
      <c r="M719" s="16"/>
      <c r="N719" s="16"/>
      <c r="O719" s="16"/>
      <c r="P719" s="16"/>
      <c r="Q719" s="16"/>
      <c r="R719" s="16"/>
      <c r="S719" s="16"/>
      <c r="T719" s="16"/>
      <c r="U719" s="16"/>
      <c r="V719" s="16"/>
      <c r="W719" s="16"/>
      <c r="X719" s="16"/>
      <c r="Y719" s="16"/>
      <c r="Z719" s="16"/>
      <c r="AA719" s="16"/>
      <c r="AB719" s="16"/>
      <c r="AC719" s="16"/>
      <c r="AD719" s="16"/>
      <c r="AE719" s="16"/>
      <c r="AF719" s="16"/>
      <c r="AG719" s="16"/>
      <c r="AH719" s="16"/>
      <c r="AI719" s="16"/>
    </row>
    <row r="720" ht="12.75" customHeight="1" spans="1:35" x14ac:dyDescent="0.25">
      <c r="A720" s="16"/>
      <c r="B720" s="16"/>
      <c r="C720" s="16"/>
      <c r="D720" s="16"/>
      <c r="E720" s="16"/>
      <c r="F720" s="16"/>
      <c r="G720" s="16"/>
      <c r="H720" s="16"/>
      <c r="I720" s="16"/>
      <c r="J720" s="16"/>
      <c r="K720" s="16"/>
      <c r="L720" s="16"/>
      <c r="M720" s="16"/>
      <c r="N720" s="16"/>
      <c r="O720" s="16"/>
      <c r="P720" s="16"/>
      <c r="Q720" s="16"/>
      <c r="R720" s="16"/>
      <c r="S720" s="16"/>
      <c r="T720" s="16"/>
      <c r="U720" s="16"/>
      <c r="V720" s="16"/>
      <c r="W720" s="16"/>
      <c r="X720" s="16"/>
      <c r="Y720" s="16"/>
      <c r="Z720" s="16"/>
      <c r="AA720" s="16"/>
      <c r="AB720" s="16"/>
      <c r="AC720" s="16"/>
      <c r="AD720" s="16"/>
      <c r="AE720" s="16"/>
      <c r="AF720" s="16"/>
      <c r="AG720" s="16"/>
      <c r="AH720" s="16"/>
      <c r="AI720" s="16"/>
    </row>
    <row r="721" ht="12.75" customHeight="1" spans="1:35" x14ac:dyDescent="0.25">
      <c r="A721" s="16"/>
      <c r="B721" s="16"/>
      <c r="C721" s="16"/>
      <c r="D721" s="16"/>
      <c r="E721" s="16"/>
      <c r="F721" s="16"/>
      <c r="G721" s="16"/>
      <c r="H721" s="16"/>
      <c r="I721" s="16"/>
      <c r="J721" s="16"/>
      <c r="K721" s="16"/>
      <c r="L721" s="16"/>
      <c r="M721" s="16"/>
      <c r="N721" s="16"/>
      <c r="O721" s="16"/>
      <c r="P721" s="16"/>
      <c r="Q721" s="16"/>
      <c r="R721" s="16"/>
      <c r="S721" s="16"/>
      <c r="T721" s="16"/>
      <c r="U721" s="16"/>
      <c r="V721" s="16"/>
      <c r="W721" s="16"/>
      <c r="X721" s="16"/>
      <c r="Y721" s="16"/>
      <c r="Z721" s="16"/>
      <c r="AA721" s="16"/>
      <c r="AB721" s="16"/>
      <c r="AC721" s="16"/>
      <c r="AD721" s="16"/>
      <c r="AE721" s="16"/>
      <c r="AF721" s="16"/>
      <c r="AG721" s="16"/>
      <c r="AH721" s="16"/>
      <c r="AI721" s="16"/>
    </row>
    <row r="722" ht="12.75" customHeight="1" spans="1:35" x14ac:dyDescent="0.25">
      <c r="A722" s="16"/>
      <c r="B722" s="16"/>
      <c r="C722" s="16"/>
      <c r="D722" s="16"/>
      <c r="E722" s="16"/>
      <c r="F722" s="16"/>
      <c r="G722" s="16"/>
      <c r="H722" s="16"/>
      <c r="I722" s="16"/>
      <c r="J722" s="16"/>
      <c r="K722" s="16"/>
      <c r="L722" s="16"/>
      <c r="M722" s="16"/>
      <c r="N722" s="16"/>
      <c r="O722" s="16"/>
      <c r="P722" s="16"/>
      <c r="Q722" s="16"/>
      <c r="R722" s="16"/>
      <c r="S722" s="16"/>
      <c r="T722" s="16"/>
      <c r="U722" s="16"/>
      <c r="V722" s="16"/>
      <c r="W722" s="16"/>
      <c r="X722" s="16"/>
      <c r="Y722" s="16"/>
      <c r="Z722" s="16"/>
      <c r="AA722" s="16"/>
      <c r="AB722" s="16"/>
      <c r="AC722" s="16"/>
      <c r="AD722" s="16"/>
      <c r="AE722" s="16"/>
      <c r="AF722" s="16"/>
      <c r="AG722" s="16"/>
      <c r="AH722" s="16"/>
      <c r="AI722" s="16"/>
    </row>
    <row r="723" ht="12.75" customHeight="1" spans="1:35" x14ac:dyDescent="0.25">
      <c r="A723" s="16"/>
      <c r="B723" s="16"/>
      <c r="C723" s="16"/>
      <c r="D723" s="16"/>
      <c r="E723" s="16"/>
      <c r="F723" s="16"/>
      <c r="G723" s="16"/>
      <c r="H723" s="16"/>
      <c r="I723" s="16"/>
      <c r="J723" s="16"/>
      <c r="K723" s="16"/>
      <c r="L723" s="16"/>
      <c r="M723" s="16"/>
      <c r="N723" s="16"/>
      <c r="O723" s="16"/>
      <c r="P723" s="16"/>
      <c r="Q723" s="16"/>
      <c r="R723" s="16"/>
      <c r="S723" s="16"/>
      <c r="T723" s="16"/>
      <c r="U723" s="16"/>
      <c r="V723" s="16"/>
      <c r="W723" s="16"/>
      <c r="X723" s="16"/>
      <c r="Y723" s="16"/>
      <c r="Z723" s="16"/>
      <c r="AA723" s="16"/>
      <c r="AB723" s="16"/>
      <c r="AC723" s="16"/>
      <c r="AD723" s="16"/>
      <c r="AE723" s="16"/>
      <c r="AF723" s="16"/>
      <c r="AG723" s="16"/>
      <c r="AH723" s="16"/>
      <c r="AI723" s="16"/>
    </row>
    <row r="724" ht="12.75" customHeight="1" spans="1:35" x14ac:dyDescent="0.25">
      <c r="A724" s="16"/>
      <c r="B724" s="16"/>
      <c r="C724" s="16"/>
      <c r="D724" s="16"/>
      <c r="E724" s="16"/>
      <c r="F724" s="16"/>
      <c r="G724" s="16"/>
      <c r="H724" s="16"/>
      <c r="I724" s="16"/>
      <c r="J724" s="16"/>
      <c r="K724" s="16"/>
      <c r="L724" s="16"/>
      <c r="M724" s="16"/>
      <c r="N724" s="16"/>
      <c r="O724" s="16"/>
      <c r="P724" s="16"/>
      <c r="Q724" s="16"/>
      <c r="R724" s="16"/>
      <c r="S724" s="16"/>
      <c r="T724" s="16"/>
      <c r="U724" s="16"/>
      <c r="V724" s="16"/>
      <c r="W724" s="16"/>
      <c r="X724" s="16"/>
      <c r="Y724" s="16"/>
      <c r="Z724" s="16"/>
      <c r="AA724" s="16"/>
      <c r="AB724" s="16"/>
      <c r="AC724" s="16"/>
      <c r="AD724" s="16"/>
      <c r="AE724" s="16"/>
      <c r="AF724" s="16"/>
      <c r="AG724" s="16"/>
      <c r="AH724" s="16"/>
      <c r="AI724" s="16"/>
    </row>
    <row r="725" ht="12.75" customHeight="1" spans="1:35" x14ac:dyDescent="0.25">
      <c r="A725" s="16"/>
      <c r="B725" s="16"/>
      <c r="C725" s="16"/>
      <c r="D725" s="16"/>
      <c r="E725" s="16"/>
      <c r="F725" s="16"/>
      <c r="G725" s="16"/>
      <c r="H725" s="16"/>
      <c r="I725" s="16"/>
      <c r="J725" s="16"/>
      <c r="K725" s="16"/>
      <c r="L725" s="16"/>
      <c r="M725" s="16"/>
      <c r="N725" s="16"/>
      <c r="O725" s="16"/>
      <c r="P725" s="16"/>
      <c r="Q725" s="16"/>
      <c r="R725" s="16"/>
      <c r="S725" s="16"/>
      <c r="T725" s="16"/>
      <c r="U725" s="16"/>
      <c r="V725" s="16"/>
      <c r="W725" s="16"/>
      <c r="X725" s="16"/>
      <c r="Y725" s="16"/>
      <c r="Z725" s="16"/>
      <c r="AA725" s="16"/>
      <c r="AB725" s="16"/>
      <c r="AC725" s="16"/>
      <c r="AD725" s="16"/>
      <c r="AE725" s="16"/>
      <c r="AF725" s="16"/>
      <c r="AG725" s="16"/>
      <c r="AH725" s="16"/>
      <c r="AI725" s="16"/>
    </row>
    <row r="726" ht="12.75" customHeight="1" spans="1:35" x14ac:dyDescent="0.25">
      <c r="A726" s="16"/>
      <c r="B726" s="16"/>
      <c r="C726" s="16"/>
      <c r="D726" s="16"/>
      <c r="E726" s="16"/>
      <c r="F726" s="16"/>
      <c r="G726" s="16"/>
      <c r="H726" s="16"/>
      <c r="I726" s="16"/>
      <c r="J726" s="16"/>
      <c r="K726" s="16"/>
      <c r="L726" s="16"/>
      <c r="M726" s="16"/>
      <c r="N726" s="16"/>
      <c r="O726" s="16"/>
      <c r="P726" s="16"/>
      <c r="Q726" s="16"/>
      <c r="R726" s="16"/>
      <c r="S726" s="16"/>
      <c r="T726" s="16"/>
      <c r="U726" s="16"/>
      <c r="V726" s="16"/>
      <c r="W726" s="16"/>
      <c r="X726" s="16"/>
      <c r="Y726" s="16"/>
      <c r="Z726" s="16"/>
      <c r="AA726" s="16"/>
      <c r="AB726" s="16"/>
      <c r="AC726" s="16"/>
      <c r="AD726" s="16"/>
      <c r="AE726" s="16"/>
      <c r="AF726" s="16"/>
      <c r="AG726" s="16"/>
      <c r="AH726" s="16"/>
      <c r="AI726" s="16"/>
    </row>
    <row r="727" ht="12.75" customHeight="1" spans="1:35" x14ac:dyDescent="0.25">
      <c r="A727" s="16"/>
      <c r="B727" s="16"/>
      <c r="C727" s="16"/>
      <c r="D727" s="16"/>
      <c r="E727" s="16"/>
      <c r="F727" s="16"/>
      <c r="G727" s="16"/>
      <c r="H727" s="16"/>
      <c r="I727" s="16"/>
      <c r="J727" s="16"/>
      <c r="K727" s="16"/>
      <c r="L727" s="16"/>
      <c r="M727" s="16"/>
      <c r="N727" s="16"/>
      <c r="O727" s="16"/>
      <c r="P727" s="16"/>
      <c r="Q727" s="16"/>
      <c r="R727" s="16"/>
      <c r="S727" s="16"/>
      <c r="T727" s="16"/>
      <c r="U727" s="16"/>
      <c r="V727" s="16"/>
      <c r="W727" s="16"/>
      <c r="X727" s="16"/>
      <c r="Y727" s="16"/>
      <c r="Z727" s="16"/>
      <c r="AA727" s="16"/>
      <c r="AB727" s="16"/>
      <c r="AC727" s="16"/>
      <c r="AD727" s="16"/>
      <c r="AE727" s="16"/>
      <c r="AF727" s="16"/>
      <c r="AG727" s="16"/>
      <c r="AH727" s="16"/>
      <c r="AI727" s="16"/>
    </row>
    <row r="728" ht="12.75" customHeight="1" spans="1:35" x14ac:dyDescent="0.25">
      <c r="A728" s="16"/>
      <c r="B728" s="16"/>
      <c r="C728" s="16"/>
      <c r="D728" s="16"/>
      <c r="E728" s="16"/>
      <c r="F728" s="16"/>
      <c r="G728" s="16"/>
      <c r="H728" s="16"/>
      <c r="I728" s="16"/>
      <c r="J728" s="16"/>
      <c r="K728" s="16"/>
      <c r="L728" s="16"/>
      <c r="M728" s="16"/>
      <c r="N728" s="16"/>
      <c r="O728" s="16"/>
      <c r="P728" s="16"/>
      <c r="Q728" s="16"/>
      <c r="R728" s="16"/>
      <c r="S728" s="16"/>
      <c r="T728" s="16"/>
      <c r="U728" s="16"/>
      <c r="V728" s="16"/>
      <c r="W728" s="16"/>
      <c r="X728" s="16"/>
      <c r="Y728" s="16"/>
      <c r="Z728" s="16"/>
      <c r="AA728" s="16"/>
      <c r="AB728" s="16"/>
      <c r="AC728" s="16"/>
      <c r="AD728" s="16"/>
      <c r="AE728" s="16"/>
      <c r="AF728" s="16"/>
      <c r="AG728" s="16"/>
      <c r="AH728" s="16"/>
      <c r="AI728" s="16"/>
    </row>
    <row r="729" ht="12.75" customHeight="1" spans="1:35" x14ac:dyDescent="0.25">
      <c r="A729" s="16"/>
      <c r="B729" s="16"/>
      <c r="C729" s="16"/>
      <c r="D729" s="16"/>
      <c r="E729" s="16"/>
      <c r="F729" s="16"/>
      <c r="G729" s="16"/>
      <c r="H729" s="16"/>
      <c r="I729" s="16"/>
      <c r="J729" s="16"/>
      <c r="K729" s="16"/>
      <c r="L729" s="16"/>
      <c r="M729" s="16"/>
      <c r="N729" s="16"/>
      <c r="O729" s="16"/>
      <c r="P729" s="16"/>
      <c r="Q729" s="16"/>
      <c r="R729" s="16"/>
      <c r="S729" s="16"/>
      <c r="T729" s="16"/>
      <c r="U729" s="16"/>
      <c r="V729" s="16"/>
      <c r="W729" s="16"/>
      <c r="X729" s="16"/>
      <c r="Y729" s="16"/>
      <c r="Z729" s="16"/>
      <c r="AA729" s="16"/>
      <c r="AB729" s="16"/>
      <c r="AC729" s="16"/>
      <c r="AD729" s="16"/>
      <c r="AE729" s="16"/>
      <c r="AF729" s="16"/>
      <c r="AG729" s="16"/>
      <c r="AH729" s="16"/>
      <c r="AI729" s="16"/>
    </row>
    <row r="730" ht="12.75" customHeight="1" spans="1:35" x14ac:dyDescent="0.25">
      <c r="A730" s="16"/>
      <c r="B730" s="16"/>
      <c r="C730" s="16"/>
      <c r="D730" s="16"/>
      <c r="E730" s="16"/>
      <c r="F730" s="16"/>
      <c r="G730" s="16"/>
      <c r="H730" s="16"/>
      <c r="I730" s="16"/>
      <c r="J730" s="16"/>
      <c r="K730" s="16"/>
      <c r="L730" s="16"/>
      <c r="M730" s="16"/>
      <c r="N730" s="16"/>
      <c r="O730" s="16"/>
      <c r="P730" s="16"/>
      <c r="Q730" s="16"/>
      <c r="R730" s="16"/>
      <c r="S730" s="16"/>
      <c r="T730" s="16"/>
      <c r="U730" s="16"/>
      <c r="V730" s="16"/>
      <c r="W730" s="16"/>
      <c r="X730" s="16"/>
      <c r="Y730" s="16"/>
      <c r="Z730" s="16"/>
      <c r="AA730" s="16"/>
      <c r="AB730" s="16"/>
      <c r="AC730" s="16"/>
      <c r="AD730" s="16"/>
      <c r="AE730" s="16"/>
      <c r="AF730" s="16"/>
      <c r="AG730" s="16"/>
      <c r="AH730" s="16"/>
      <c r="AI730" s="16"/>
    </row>
    <row r="731" ht="12.75" customHeight="1" spans="1:35" x14ac:dyDescent="0.25">
      <c r="A731" s="16"/>
      <c r="B731" s="16"/>
      <c r="C731" s="16"/>
      <c r="D731" s="16"/>
      <c r="E731" s="16"/>
      <c r="F731" s="16"/>
      <c r="G731" s="16"/>
      <c r="H731" s="16"/>
      <c r="I731" s="16"/>
      <c r="J731" s="16"/>
      <c r="K731" s="16"/>
      <c r="L731" s="16"/>
      <c r="M731" s="16"/>
      <c r="N731" s="16"/>
      <c r="O731" s="16"/>
      <c r="P731" s="16"/>
      <c r="Q731" s="16"/>
      <c r="R731" s="16"/>
      <c r="S731" s="16"/>
      <c r="T731" s="16"/>
      <c r="U731" s="16"/>
      <c r="V731" s="16"/>
      <c r="W731" s="16"/>
      <c r="X731" s="16"/>
      <c r="Y731" s="16"/>
      <c r="Z731" s="16"/>
      <c r="AA731" s="16"/>
      <c r="AB731" s="16"/>
      <c r="AC731" s="16"/>
      <c r="AD731" s="16"/>
      <c r="AE731" s="16"/>
      <c r="AF731" s="16"/>
      <c r="AG731" s="16"/>
      <c r="AH731" s="16"/>
      <c r="AI731" s="16"/>
    </row>
    <row r="732" ht="12.75" customHeight="1" spans="1:35" x14ac:dyDescent="0.25">
      <c r="A732" s="16"/>
      <c r="B732" s="16"/>
      <c r="C732" s="16"/>
      <c r="D732" s="16"/>
      <c r="E732" s="16"/>
      <c r="F732" s="16"/>
      <c r="G732" s="16"/>
      <c r="H732" s="16"/>
      <c r="I732" s="16"/>
      <c r="J732" s="16"/>
      <c r="K732" s="16"/>
      <c r="L732" s="16"/>
      <c r="M732" s="16"/>
      <c r="N732" s="16"/>
      <c r="O732" s="16"/>
      <c r="P732" s="16"/>
      <c r="Q732" s="16"/>
      <c r="R732" s="16"/>
      <c r="S732" s="16"/>
      <c r="T732" s="16"/>
      <c r="U732" s="16"/>
      <c r="V732" s="16"/>
      <c r="W732" s="16"/>
      <c r="X732" s="16"/>
      <c r="Y732" s="16"/>
      <c r="Z732" s="16"/>
      <c r="AA732" s="16"/>
      <c r="AB732" s="16"/>
      <c r="AC732" s="16"/>
      <c r="AD732" s="16"/>
      <c r="AE732" s="16"/>
      <c r="AF732" s="16"/>
      <c r="AG732" s="16"/>
      <c r="AH732" s="16"/>
      <c r="AI732" s="16"/>
    </row>
    <row r="733" ht="12.75" customHeight="1" spans="1:35" x14ac:dyDescent="0.25">
      <c r="A733" s="16"/>
      <c r="B733" s="16"/>
      <c r="C733" s="16"/>
      <c r="D733" s="16"/>
      <c r="E733" s="16"/>
      <c r="F733" s="16"/>
      <c r="G733" s="16"/>
      <c r="H733" s="16"/>
      <c r="I733" s="16"/>
      <c r="J733" s="16"/>
      <c r="K733" s="16"/>
      <c r="L733" s="16"/>
      <c r="M733" s="16"/>
      <c r="N733" s="16"/>
      <c r="O733" s="16"/>
      <c r="P733" s="16"/>
      <c r="Q733" s="16"/>
      <c r="R733" s="16"/>
      <c r="S733" s="16"/>
      <c r="T733" s="16"/>
      <c r="U733" s="16"/>
      <c r="V733" s="16"/>
      <c r="W733" s="16"/>
      <c r="X733" s="16"/>
      <c r="Y733" s="16"/>
      <c r="Z733" s="16"/>
      <c r="AA733" s="16"/>
      <c r="AB733" s="16"/>
      <c r="AC733" s="16"/>
      <c r="AD733" s="16"/>
      <c r="AE733" s="16"/>
      <c r="AF733" s="16"/>
      <c r="AG733" s="16"/>
      <c r="AH733" s="16"/>
      <c r="AI733" s="16"/>
    </row>
    <row r="734" ht="12.75" customHeight="1" spans="1:35" x14ac:dyDescent="0.25">
      <c r="A734" s="16"/>
      <c r="B734" s="16"/>
      <c r="C734" s="16"/>
      <c r="D734" s="16"/>
      <c r="E734" s="16"/>
      <c r="F734" s="16"/>
      <c r="G734" s="16"/>
      <c r="H734" s="16"/>
      <c r="I734" s="16"/>
      <c r="J734" s="16"/>
      <c r="K734" s="16"/>
      <c r="L734" s="16"/>
      <c r="M734" s="16"/>
      <c r="N734" s="16"/>
      <c r="O734" s="16"/>
      <c r="P734" s="16"/>
      <c r="Q734" s="16"/>
      <c r="R734" s="16"/>
      <c r="S734" s="16"/>
      <c r="T734" s="16"/>
      <c r="U734" s="16"/>
      <c r="V734" s="16"/>
      <c r="W734" s="16"/>
      <c r="X734" s="16"/>
      <c r="Y734" s="16"/>
      <c r="Z734" s="16"/>
      <c r="AA734" s="16"/>
      <c r="AB734" s="16"/>
      <c r="AC734" s="16"/>
      <c r="AD734" s="16"/>
      <c r="AE734" s="16"/>
      <c r="AF734" s="16"/>
      <c r="AG734" s="16"/>
      <c r="AH734" s="16"/>
      <c r="AI734" s="16"/>
    </row>
    <row r="735" ht="12.75" customHeight="1" spans="1:35" x14ac:dyDescent="0.25">
      <c r="A735" s="16"/>
      <c r="B735" s="16"/>
      <c r="C735" s="16"/>
      <c r="D735" s="16"/>
      <c r="E735" s="16"/>
      <c r="F735" s="16"/>
      <c r="G735" s="16"/>
      <c r="H735" s="16"/>
      <c r="I735" s="16"/>
      <c r="J735" s="16"/>
      <c r="K735" s="16"/>
      <c r="L735" s="16"/>
      <c r="M735" s="16"/>
      <c r="N735" s="16"/>
      <c r="O735" s="16"/>
      <c r="P735" s="16"/>
      <c r="Q735" s="16"/>
      <c r="R735" s="16"/>
      <c r="S735" s="16"/>
      <c r="T735" s="16"/>
      <c r="U735" s="16"/>
      <c r="V735" s="16"/>
      <c r="W735" s="16"/>
      <c r="X735" s="16"/>
      <c r="Y735" s="16"/>
      <c r="Z735" s="16"/>
      <c r="AA735" s="16"/>
      <c r="AB735" s="16"/>
      <c r="AC735" s="16"/>
      <c r="AD735" s="16"/>
      <c r="AE735" s="16"/>
      <c r="AF735" s="16"/>
      <c r="AG735" s="16"/>
      <c r="AH735" s="16"/>
      <c r="AI735" s="16"/>
    </row>
    <row r="736" ht="12.75" customHeight="1" spans="1:35" x14ac:dyDescent="0.25">
      <c r="A736" s="16"/>
      <c r="B736" s="16"/>
      <c r="C736" s="16"/>
      <c r="D736" s="16"/>
      <c r="E736" s="16"/>
      <c r="F736" s="16"/>
      <c r="G736" s="16"/>
      <c r="H736" s="16"/>
      <c r="I736" s="16"/>
      <c r="J736" s="16"/>
      <c r="K736" s="16"/>
      <c r="L736" s="16"/>
      <c r="M736" s="16"/>
      <c r="N736" s="16"/>
      <c r="O736" s="16"/>
      <c r="P736" s="16"/>
      <c r="Q736" s="16"/>
      <c r="R736" s="16"/>
      <c r="S736" s="16"/>
      <c r="T736" s="16"/>
      <c r="U736" s="16"/>
      <c r="V736" s="16"/>
      <c r="W736" s="16"/>
      <c r="X736" s="16"/>
      <c r="Y736" s="16"/>
      <c r="Z736" s="16"/>
      <c r="AA736" s="16"/>
      <c r="AB736" s="16"/>
      <c r="AC736" s="16"/>
      <c r="AD736" s="16"/>
      <c r="AE736" s="16"/>
      <c r="AF736" s="16"/>
      <c r="AG736" s="16"/>
      <c r="AH736" s="16"/>
      <c r="AI736" s="16"/>
    </row>
    <row r="737" ht="12.75" customHeight="1" spans="1:35" x14ac:dyDescent="0.25">
      <c r="A737" s="16"/>
      <c r="B737" s="16"/>
      <c r="C737" s="16"/>
      <c r="D737" s="16"/>
      <c r="E737" s="16"/>
      <c r="F737" s="16"/>
      <c r="G737" s="16"/>
      <c r="H737" s="16"/>
      <c r="I737" s="16"/>
      <c r="J737" s="16"/>
      <c r="K737" s="16"/>
      <c r="L737" s="16"/>
      <c r="M737" s="16"/>
      <c r="N737" s="16"/>
      <c r="O737" s="16"/>
      <c r="P737" s="16"/>
      <c r="Q737" s="16"/>
      <c r="R737" s="16"/>
      <c r="S737" s="16"/>
      <c r="T737" s="16"/>
      <c r="U737" s="16"/>
      <c r="V737" s="16"/>
      <c r="W737" s="16"/>
      <c r="X737" s="16"/>
      <c r="Y737" s="16"/>
      <c r="Z737" s="16"/>
      <c r="AA737" s="16"/>
      <c r="AB737" s="16"/>
      <c r="AC737" s="16"/>
      <c r="AD737" s="16"/>
      <c r="AE737" s="16"/>
      <c r="AF737" s="16"/>
      <c r="AG737" s="16"/>
      <c r="AH737" s="16"/>
      <c r="AI737" s="16"/>
    </row>
    <row r="738" ht="12.75" customHeight="1" spans="1:35" x14ac:dyDescent="0.25">
      <c r="A738" s="16"/>
      <c r="B738" s="16"/>
      <c r="C738" s="16"/>
      <c r="D738" s="16"/>
      <c r="E738" s="16"/>
      <c r="F738" s="16"/>
      <c r="G738" s="16"/>
      <c r="H738" s="16"/>
      <c r="I738" s="16"/>
      <c r="J738" s="16"/>
      <c r="K738" s="16"/>
      <c r="L738" s="16"/>
      <c r="M738" s="16"/>
      <c r="N738" s="16"/>
      <c r="O738" s="16"/>
      <c r="P738" s="16"/>
      <c r="Q738" s="16"/>
      <c r="R738" s="16"/>
      <c r="S738" s="16"/>
      <c r="T738" s="16"/>
      <c r="U738" s="16"/>
      <c r="V738" s="16"/>
      <c r="W738" s="16"/>
      <c r="X738" s="16"/>
      <c r="Y738" s="16"/>
      <c r="Z738" s="16"/>
      <c r="AA738" s="16"/>
      <c r="AB738" s="16"/>
      <c r="AC738" s="16"/>
      <c r="AD738" s="16"/>
      <c r="AE738" s="16"/>
      <c r="AF738" s="16"/>
      <c r="AG738" s="16"/>
      <c r="AH738" s="16"/>
      <c r="AI738" s="16"/>
    </row>
    <row r="739" ht="12.75" customHeight="1" spans="1:35" x14ac:dyDescent="0.25">
      <c r="A739" s="16"/>
      <c r="B739" s="16"/>
      <c r="C739" s="16"/>
      <c r="D739" s="16"/>
      <c r="E739" s="16"/>
      <c r="F739" s="16"/>
      <c r="G739" s="16"/>
      <c r="H739" s="16"/>
      <c r="I739" s="16"/>
      <c r="J739" s="16"/>
      <c r="K739" s="16"/>
      <c r="L739" s="16"/>
      <c r="M739" s="16"/>
      <c r="N739" s="16"/>
      <c r="O739" s="16"/>
      <c r="P739" s="16"/>
      <c r="Q739" s="16"/>
      <c r="R739" s="16"/>
      <c r="S739" s="16"/>
      <c r="T739" s="16"/>
      <c r="U739" s="16"/>
      <c r="V739" s="16"/>
      <c r="W739" s="16"/>
      <c r="X739" s="16"/>
      <c r="Y739" s="16"/>
      <c r="Z739" s="16"/>
      <c r="AA739" s="16"/>
      <c r="AB739" s="16"/>
      <c r="AC739" s="16"/>
      <c r="AD739" s="16"/>
      <c r="AE739" s="16"/>
      <c r="AF739" s="16"/>
      <c r="AG739" s="16"/>
      <c r="AH739" s="16"/>
      <c r="AI739" s="16"/>
    </row>
    <row r="740" ht="12.75" customHeight="1" spans="1:35" x14ac:dyDescent="0.25">
      <c r="A740" s="16"/>
      <c r="B740" s="16"/>
      <c r="C740" s="16"/>
      <c r="D740" s="16"/>
      <c r="E740" s="16"/>
      <c r="F740" s="16"/>
      <c r="G740" s="16"/>
      <c r="H740" s="16"/>
      <c r="I740" s="16"/>
      <c r="J740" s="16"/>
      <c r="K740" s="16"/>
      <c r="L740" s="16"/>
      <c r="M740" s="16"/>
      <c r="N740" s="16"/>
      <c r="O740" s="16"/>
      <c r="P740" s="16"/>
      <c r="Q740" s="16"/>
      <c r="R740" s="16"/>
      <c r="S740" s="16"/>
      <c r="T740" s="16"/>
      <c r="U740" s="16"/>
      <c r="V740" s="16"/>
      <c r="W740" s="16"/>
      <c r="X740" s="16"/>
      <c r="Y740" s="16"/>
      <c r="Z740" s="16"/>
      <c r="AA740" s="16"/>
      <c r="AB740" s="16"/>
      <c r="AC740" s="16"/>
      <c r="AD740" s="16"/>
      <c r="AE740" s="16"/>
      <c r="AF740" s="16"/>
      <c r="AG740" s="16"/>
      <c r="AH740" s="16"/>
      <c r="AI740" s="16"/>
    </row>
    <row r="741" ht="12.75" customHeight="1" spans="1:35" x14ac:dyDescent="0.25">
      <c r="A741" s="16"/>
      <c r="B741" s="16"/>
      <c r="C741" s="16"/>
      <c r="D741" s="16"/>
      <c r="E741" s="16"/>
      <c r="F741" s="16"/>
      <c r="G741" s="16"/>
      <c r="H741" s="16"/>
      <c r="I741" s="16"/>
      <c r="J741" s="16"/>
      <c r="K741" s="16"/>
      <c r="L741" s="16"/>
      <c r="M741" s="16"/>
      <c r="N741" s="16"/>
      <c r="O741" s="16"/>
      <c r="P741" s="16"/>
      <c r="Q741" s="16"/>
      <c r="R741" s="16"/>
      <c r="S741" s="16"/>
      <c r="T741" s="16"/>
      <c r="U741" s="16"/>
      <c r="V741" s="16"/>
      <c r="W741" s="16"/>
      <c r="X741" s="16"/>
      <c r="Y741" s="16"/>
      <c r="Z741" s="16"/>
      <c r="AA741" s="16"/>
      <c r="AB741" s="16"/>
      <c r="AC741" s="16"/>
      <c r="AD741" s="16"/>
      <c r="AE741" s="16"/>
      <c r="AF741" s="16"/>
      <c r="AG741" s="16"/>
      <c r="AH741" s="16"/>
      <c r="AI741" s="16"/>
    </row>
    <row r="742" ht="12.75" customHeight="1" spans="1:35" x14ac:dyDescent="0.25">
      <c r="A742" s="16"/>
      <c r="B742" s="16"/>
      <c r="C742" s="16"/>
      <c r="D742" s="16"/>
      <c r="E742" s="16"/>
      <c r="F742" s="16"/>
      <c r="G742" s="16"/>
      <c r="H742" s="16"/>
      <c r="I742" s="16"/>
      <c r="J742" s="16"/>
      <c r="K742" s="16"/>
      <c r="L742" s="16"/>
      <c r="M742" s="16"/>
      <c r="N742" s="16"/>
      <c r="O742" s="16"/>
      <c r="P742" s="16"/>
      <c r="Q742" s="16"/>
      <c r="R742" s="16"/>
      <c r="S742" s="16"/>
      <c r="T742" s="16"/>
      <c r="U742" s="16"/>
      <c r="V742" s="16"/>
      <c r="W742" s="16"/>
      <c r="X742" s="16"/>
      <c r="Y742" s="16"/>
      <c r="Z742" s="16"/>
      <c r="AA742" s="16"/>
      <c r="AB742" s="16"/>
      <c r="AC742" s="16"/>
      <c r="AD742" s="16"/>
      <c r="AE742" s="16"/>
      <c r="AF742" s="16"/>
      <c r="AG742" s="16"/>
      <c r="AH742" s="16"/>
      <c r="AI742" s="16"/>
    </row>
    <row r="743" ht="12.75" customHeight="1" spans="1:35" x14ac:dyDescent="0.25">
      <c r="A743" s="16"/>
      <c r="B743" s="16"/>
      <c r="C743" s="16"/>
      <c r="D743" s="16"/>
      <c r="E743" s="16"/>
      <c r="F743" s="16"/>
      <c r="G743" s="16"/>
      <c r="H743" s="16"/>
      <c r="I743" s="16"/>
      <c r="J743" s="16"/>
      <c r="K743" s="16"/>
      <c r="L743" s="16"/>
      <c r="M743" s="16"/>
      <c r="N743" s="16"/>
      <c r="O743" s="16"/>
      <c r="P743" s="16"/>
      <c r="Q743" s="16"/>
      <c r="R743" s="16"/>
      <c r="S743" s="16"/>
      <c r="T743" s="16"/>
      <c r="U743" s="16"/>
      <c r="V743" s="16"/>
      <c r="W743" s="16"/>
      <c r="X743" s="16"/>
      <c r="Y743" s="16"/>
      <c r="Z743" s="16"/>
      <c r="AA743" s="16"/>
      <c r="AB743" s="16"/>
      <c r="AC743" s="16"/>
      <c r="AD743" s="16"/>
      <c r="AE743" s="16"/>
      <c r="AF743" s="16"/>
      <c r="AG743" s="16"/>
      <c r="AH743" s="16"/>
      <c r="AI743" s="16"/>
    </row>
    <row r="744" ht="12.75" customHeight="1" spans="1:35" x14ac:dyDescent="0.25">
      <c r="A744" s="16"/>
      <c r="B744" s="16"/>
      <c r="C744" s="16"/>
      <c r="D744" s="16"/>
      <c r="E744" s="16"/>
      <c r="F744" s="16"/>
      <c r="G744" s="16"/>
      <c r="H744" s="16"/>
      <c r="I744" s="16"/>
      <c r="J744" s="16"/>
      <c r="K744" s="16"/>
      <c r="L744" s="16"/>
      <c r="M744" s="16"/>
      <c r="N744" s="16"/>
      <c r="O744" s="16"/>
      <c r="P744" s="16"/>
      <c r="Q744" s="16"/>
      <c r="R744" s="16"/>
      <c r="S744" s="16"/>
      <c r="T744" s="16"/>
      <c r="U744" s="16"/>
      <c r="V744" s="16"/>
      <c r="W744" s="16"/>
      <c r="X744" s="16"/>
      <c r="Y744" s="16"/>
      <c r="Z744" s="16"/>
      <c r="AA744" s="16"/>
      <c r="AB744" s="16"/>
      <c r="AC744" s="16"/>
      <c r="AD744" s="16"/>
      <c r="AE744" s="16"/>
      <c r="AF744" s="16"/>
      <c r="AG744" s="16"/>
      <c r="AH744" s="16"/>
      <c r="AI744" s="16"/>
    </row>
    <row r="745" ht="12.75" customHeight="1" spans="1:35" x14ac:dyDescent="0.25">
      <c r="A745" s="16"/>
      <c r="B745" s="16"/>
      <c r="C745" s="16"/>
      <c r="D745" s="16"/>
      <c r="E745" s="16"/>
      <c r="F745" s="16"/>
      <c r="G745" s="16"/>
      <c r="H745" s="16"/>
      <c r="I745" s="16"/>
      <c r="J745" s="16"/>
      <c r="K745" s="16"/>
      <c r="L745" s="16"/>
      <c r="M745" s="16"/>
      <c r="N745" s="16"/>
      <c r="O745" s="16"/>
      <c r="P745" s="16"/>
      <c r="Q745" s="16"/>
      <c r="R745" s="16"/>
      <c r="S745" s="16"/>
      <c r="T745" s="16"/>
      <c r="U745" s="16"/>
      <c r="V745" s="16"/>
      <c r="W745" s="16"/>
      <c r="X745" s="16"/>
      <c r="Y745" s="16"/>
      <c r="Z745" s="16"/>
      <c r="AA745" s="16"/>
      <c r="AB745" s="16"/>
      <c r="AC745" s="16"/>
      <c r="AD745" s="16"/>
      <c r="AE745" s="16"/>
      <c r="AF745" s="16"/>
      <c r="AG745" s="16"/>
      <c r="AH745" s="16"/>
      <c r="AI745" s="16"/>
    </row>
    <row r="746" ht="12.75" customHeight="1" spans="1:35" x14ac:dyDescent="0.25">
      <c r="A746" s="16"/>
      <c r="B746" s="16"/>
      <c r="C746" s="16"/>
      <c r="D746" s="16"/>
      <c r="E746" s="16"/>
      <c r="F746" s="16"/>
      <c r="G746" s="16"/>
      <c r="H746" s="16"/>
      <c r="I746" s="16"/>
      <c r="J746" s="16"/>
      <c r="K746" s="16"/>
      <c r="L746" s="16"/>
      <c r="M746" s="16"/>
      <c r="N746" s="16"/>
      <c r="O746" s="16"/>
      <c r="P746" s="16"/>
      <c r="Q746" s="16"/>
      <c r="R746" s="16"/>
      <c r="S746" s="16"/>
      <c r="T746" s="16"/>
      <c r="U746" s="16"/>
      <c r="V746" s="16"/>
      <c r="W746" s="16"/>
      <c r="X746" s="16"/>
      <c r="Y746" s="16"/>
      <c r="Z746" s="16"/>
      <c r="AA746" s="16"/>
      <c r="AB746" s="16"/>
      <c r="AC746" s="16"/>
      <c r="AD746" s="16"/>
      <c r="AE746" s="16"/>
      <c r="AF746" s="16"/>
      <c r="AG746" s="16"/>
      <c r="AH746" s="16"/>
      <c r="AI746" s="16"/>
    </row>
    <row r="747" ht="12.75" customHeight="1" spans="1:35" x14ac:dyDescent="0.25">
      <c r="A747" s="16"/>
      <c r="B747" s="16"/>
      <c r="C747" s="16"/>
      <c r="D747" s="16"/>
      <c r="E747" s="16"/>
      <c r="F747" s="16"/>
      <c r="G747" s="16"/>
      <c r="H747" s="16"/>
      <c r="I747" s="16"/>
      <c r="J747" s="16"/>
      <c r="K747" s="16"/>
      <c r="L747" s="16"/>
      <c r="M747" s="16"/>
      <c r="N747" s="16"/>
      <c r="O747" s="16"/>
      <c r="P747" s="16"/>
      <c r="Q747" s="16"/>
      <c r="R747" s="16"/>
      <c r="S747" s="16"/>
      <c r="T747" s="16"/>
      <c r="U747" s="16"/>
      <c r="V747" s="16"/>
      <c r="W747" s="16"/>
      <c r="X747" s="16"/>
      <c r="Y747" s="16"/>
      <c r="Z747" s="16"/>
      <c r="AA747" s="16"/>
      <c r="AB747" s="16"/>
      <c r="AC747" s="16"/>
      <c r="AD747" s="16"/>
      <c r="AE747" s="16"/>
      <c r="AF747" s="16"/>
      <c r="AG747" s="16"/>
      <c r="AH747" s="16"/>
      <c r="AI747" s="16"/>
    </row>
    <row r="748" ht="12.75" customHeight="1" spans="1:35" x14ac:dyDescent="0.25">
      <c r="A748" s="16"/>
      <c r="B748" s="16"/>
      <c r="C748" s="16"/>
      <c r="D748" s="16"/>
      <c r="E748" s="16"/>
      <c r="F748" s="16"/>
      <c r="G748" s="16"/>
      <c r="H748" s="16"/>
      <c r="I748" s="16"/>
      <c r="J748" s="16"/>
      <c r="K748" s="16"/>
      <c r="L748" s="16"/>
      <c r="M748" s="16"/>
      <c r="N748" s="16"/>
      <c r="O748" s="16"/>
      <c r="P748" s="16"/>
      <c r="Q748" s="16"/>
      <c r="R748" s="16"/>
      <c r="S748" s="16"/>
      <c r="T748" s="16"/>
      <c r="U748" s="16"/>
      <c r="V748" s="16"/>
      <c r="W748" s="16"/>
      <c r="X748" s="16"/>
      <c r="Y748" s="16"/>
      <c r="Z748" s="16"/>
      <c r="AA748" s="16"/>
      <c r="AB748" s="16"/>
      <c r="AC748" s="16"/>
      <c r="AD748" s="16"/>
      <c r="AE748" s="16"/>
      <c r="AF748" s="16"/>
      <c r="AG748" s="16"/>
      <c r="AH748" s="16"/>
      <c r="AI748" s="16"/>
    </row>
    <row r="749" ht="12.75" customHeight="1" spans="1:35" x14ac:dyDescent="0.25">
      <c r="A749" s="16"/>
      <c r="B749" s="16"/>
      <c r="C749" s="16"/>
      <c r="D749" s="16"/>
      <c r="E749" s="16"/>
      <c r="F749" s="16"/>
      <c r="G749" s="16"/>
      <c r="H749" s="16"/>
      <c r="I749" s="16"/>
      <c r="J749" s="16"/>
      <c r="K749" s="16"/>
      <c r="L749" s="16"/>
      <c r="M749" s="16"/>
      <c r="N749" s="16"/>
      <c r="O749" s="16"/>
      <c r="P749" s="16"/>
      <c r="Q749" s="16"/>
      <c r="R749" s="16"/>
      <c r="S749" s="16"/>
      <c r="T749" s="16"/>
      <c r="U749" s="16"/>
      <c r="V749" s="16"/>
      <c r="W749" s="16"/>
      <c r="X749" s="16"/>
      <c r="Y749" s="16"/>
      <c r="Z749" s="16"/>
      <c r="AA749" s="16"/>
      <c r="AB749" s="16"/>
      <c r="AC749" s="16"/>
      <c r="AD749" s="16"/>
      <c r="AE749" s="16"/>
      <c r="AF749" s="16"/>
      <c r="AG749" s="16"/>
      <c r="AH749" s="16"/>
      <c r="AI749" s="16"/>
    </row>
    <row r="750" ht="12.75" customHeight="1" spans="1:35" x14ac:dyDescent="0.25">
      <c r="A750" s="16"/>
      <c r="B750" s="16"/>
      <c r="C750" s="16"/>
      <c r="D750" s="16"/>
      <c r="E750" s="16"/>
      <c r="F750" s="16"/>
      <c r="G750" s="16"/>
      <c r="H750" s="16"/>
      <c r="I750" s="16"/>
      <c r="J750" s="16"/>
      <c r="K750" s="16"/>
      <c r="L750" s="16"/>
      <c r="M750" s="16"/>
      <c r="N750" s="16"/>
      <c r="O750" s="16"/>
      <c r="P750" s="16"/>
      <c r="Q750" s="16"/>
      <c r="R750" s="16"/>
      <c r="S750" s="16"/>
      <c r="T750" s="16"/>
      <c r="U750" s="16"/>
      <c r="V750" s="16"/>
      <c r="W750" s="16"/>
      <c r="X750" s="16"/>
      <c r="Y750" s="16"/>
      <c r="Z750" s="16"/>
      <c r="AA750" s="16"/>
      <c r="AB750" s="16"/>
      <c r="AC750" s="16"/>
      <c r="AD750" s="16"/>
      <c r="AE750" s="16"/>
      <c r="AF750" s="16"/>
      <c r="AG750" s="16"/>
      <c r="AH750" s="16"/>
      <c r="AI750" s="16"/>
    </row>
    <row r="751" ht="12.75" customHeight="1" spans="1:35" x14ac:dyDescent="0.25">
      <c r="A751" s="16"/>
      <c r="B751" s="16"/>
      <c r="C751" s="16"/>
      <c r="D751" s="16"/>
      <c r="E751" s="16"/>
      <c r="F751" s="16"/>
      <c r="G751" s="16"/>
      <c r="H751" s="16"/>
      <c r="I751" s="16"/>
      <c r="J751" s="16"/>
      <c r="K751" s="16"/>
      <c r="L751" s="16"/>
      <c r="M751" s="16"/>
      <c r="N751" s="16"/>
      <c r="O751" s="16"/>
      <c r="P751" s="16"/>
      <c r="Q751" s="16"/>
      <c r="R751" s="16"/>
      <c r="S751" s="16"/>
      <c r="T751" s="16"/>
      <c r="U751" s="16"/>
      <c r="V751" s="16"/>
      <c r="W751" s="16"/>
      <c r="X751" s="16"/>
      <c r="Y751" s="16"/>
      <c r="Z751" s="16"/>
      <c r="AA751" s="16"/>
      <c r="AB751" s="16"/>
      <c r="AC751" s="16"/>
      <c r="AD751" s="16"/>
      <c r="AE751" s="16"/>
      <c r="AF751" s="16"/>
      <c r="AG751" s="16"/>
      <c r="AH751" s="16"/>
      <c r="AI751" s="16"/>
    </row>
    <row r="752" ht="12.75" customHeight="1" spans="1:35" x14ac:dyDescent="0.25">
      <c r="A752" s="16"/>
      <c r="B752" s="16"/>
      <c r="C752" s="16"/>
      <c r="D752" s="16"/>
      <c r="E752" s="16"/>
      <c r="F752" s="16"/>
      <c r="G752" s="16"/>
      <c r="H752" s="16"/>
      <c r="I752" s="16"/>
      <c r="J752" s="16"/>
      <c r="K752" s="16"/>
      <c r="L752" s="16"/>
      <c r="M752" s="16"/>
      <c r="N752" s="16"/>
      <c r="O752" s="16"/>
      <c r="P752" s="16"/>
      <c r="Q752" s="16"/>
      <c r="R752" s="16"/>
      <c r="S752" s="16"/>
      <c r="T752" s="16"/>
      <c r="U752" s="16"/>
      <c r="V752" s="16"/>
      <c r="W752" s="16"/>
      <c r="X752" s="16"/>
      <c r="Y752" s="16"/>
      <c r="Z752" s="16"/>
      <c r="AA752" s="16"/>
      <c r="AB752" s="16"/>
      <c r="AC752" s="16"/>
      <c r="AD752" s="16"/>
      <c r="AE752" s="16"/>
      <c r="AF752" s="16"/>
      <c r="AG752" s="16"/>
      <c r="AH752" s="16"/>
      <c r="AI752" s="16"/>
    </row>
    <row r="753" ht="12.75" customHeight="1" spans="1:35" x14ac:dyDescent="0.25">
      <c r="A753" s="16"/>
      <c r="B753" s="16"/>
      <c r="C753" s="16"/>
      <c r="D753" s="16"/>
      <c r="E753" s="16"/>
      <c r="F753" s="16"/>
      <c r="G753" s="16"/>
      <c r="H753" s="16"/>
      <c r="I753" s="16"/>
      <c r="J753" s="16"/>
      <c r="K753" s="16"/>
      <c r="L753" s="16"/>
      <c r="M753" s="16"/>
      <c r="N753" s="16"/>
      <c r="O753" s="16"/>
      <c r="P753" s="16"/>
      <c r="Q753" s="16"/>
      <c r="R753" s="16"/>
      <c r="S753" s="16"/>
      <c r="T753" s="16"/>
      <c r="U753" s="16"/>
      <c r="V753" s="16"/>
      <c r="W753" s="16"/>
      <c r="X753" s="16"/>
      <c r="Y753" s="16"/>
      <c r="Z753" s="16"/>
      <c r="AA753" s="16"/>
      <c r="AB753" s="16"/>
      <c r="AC753" s="16"/>
      <c r="AD753" s="16"/>
      <c r="AE753" s="16"/>
      <c r="AF753" s="16"/>
      <c r="AG753" s="16"/>
      <c r="AH753" s="16"/>
      <c r="AI753" s="16"/>
    </row>
    <row r="754" ht="12.75" customHeight="1" spans="1:35" x14ac:dyDescent="0.25">
      <c r="A754" s="16"/>
      <c r="B754" s="16"/>
      <c r="C754" s="16"/>
      <c r="D754" s="16"/>
      <c r="E754" s="16"/>
      <c r="F754" s="16"/>
      <c r="G754" s="16"/>
      <c r="H754" s="16"/>
      <c r="I754" s="16"/>
      <c r="J754" s="16"/>
      <c r="K754" s="16"/>
      <c r="L754" s="16"/>
      <c r="M754" s="16"/>
      <c r="N754" s="16"/>
      <c r="O754" s="16"/>
      <c r="P754" s="16"/>
      <c r="Q754" s="16"/>
      <c r="R754" s="16"/>
      <c r="S754" s="16"/>
      <c r="T754" s="16"/>
      <c r="U754" s="16"/>
      <c r="V754" s="16"/>
      <c r="W754" s="16"/>
      <c r="X754" s="16"/>
      <c r="Y754" s="16"/>
      <c r="Z754" s="16"/>
      <c r="AA754" s="16"/>
      <c r="AB754" s="16"/>
      <c r="AC754" s="16"/>
      <c r="AD754" s="16"/>
      <c r="AE754" s="16"/>
      <c r="AF754" s="16"/>
      <c r="AG754" s="16"/>
      <c r="AH754" s="16"/>
      <c r="AI754" s="16"/>
    </row>
    <row r="755" ht="12.75" customHeight="1" spans="1:35" x14ac:dyDescent="0.25">
      <c r="A755" s="16"/>
      <c r="B755" s="16"/>
      <c r="C755" s="16"/>
      <c r="D755" s="16"/>
      <c r="E755" s="16"/>
      <c r="F755" s="16"/>
      <c r="G755" s="16"/>
      <c r="H755" s="16"/>
      <c r="I755" s="16"/>
      <c r="J755" s="16"/>
      <c r="K755" s="16"/>
      <c r="L755" s="16"/>
      <c r="M755" s="16"/>
      <c r="N755" s="16"/>
      <c r="O755" s="16"/>
      <c r="P755" s="16"/>
      <c r="Q755" s="16"/>
      <c r="R755" s="16"/>
      <c r="S755" s="16"/>
      <c r="T755" s="16"/>
      <c r="U755" s="16"/>
      <c r="V755" s="16"/>
      <c r="W755" s="16"/>
      <c r="X755" s="16"/>
      <c r="Y755" s="16"/>
      <c r="Z755" s="16"/>
      <c r="AA755" s="16"/>
      <c r="AB755" s="16"/>
      <c r="AC755" s="16"/>
      <c r="AD755" s="16"/>
      <c r="AE755" s="16"/>
      <c r="AF755" s="16"/>
      <c r="AG755" s="16"/>
      <c r="AH755" s="16"/>
      <c r="AI755" s="16"/>
    </row>
    <row r="756" ht="12.75" customHeight="1" spans="1:35" x14ac:dyDescent="0.25">
      <c r="A756" s="16"/>
      <c r="B756" s="16"/>
      <c r="C756" s="16"/>
      <c r="D756" s="16"/>
      <c r="E756" s="16"/>
      <c r="F756" s="16"/>
      <c r="G756" s="16"/>
      <c r="H756" s="16"/>
      <c r="I756" s="16"/>
      <c r="J756" s="16"/>
      <c r="K756" s="16"/>
      <c r="L756" s="16"/>
      <c r="M756" s="16"/>
      <c r="N756" s="16"/>
      <c r="O756" s="16"/>
      <c r="P756" s="16"/>
      <c r="Q756" s="16"/>
      <c r="R756" s="16"/>
      <c r="S756" s="16"/>
      <c r="T756" s="16"/>
      <c r="U756" s="16"/>
      <c r="V756" s="16"/>
      <c r="W756" s="16"/>
      <c r="X756" s="16"/>
      <c r="Y756" s="16"/>
      <c r="Z756" s="16"/>
      <c r="AA756" s="16"/>
      <c r="AB756" s="16"/>
      <c r="AC756" s="16"/>
      <c r="AD756" s="16"/>
      <c r="AE756" s="16"/>
      <c r="AF756" s="16"/>
      <c r="AG756" s="16"/>
      <c r="AH756" s="16"/>
      <c r="AI756" s="16"/>
    </row>
    <row r="757" ht="12.75" customHeight="1" spans="1:35" x14ac:dyDescent="0.25">
      <c r="A757" s="16"/>
      <c r="B757" s="16"/>
      <c r="C757" s="16"/>
      <c r="D757" s="16"/>
      <c r="E757" s="16"/>
      <c r="F757" s="16"/>
      <c r="G757" s="16"/>
      <c r="H757" s="16"/>
      <c r="I757" s="16"/>
      <c r="J757" s="16"/>
      <c r="K757" s="16"/>
      <c r="L757" s="16"/>
      <c r="M757" s="16"/>
      <c r="N757" s="16"/>
      <c r="O757" s="16"/>
      <c r="P757" s="16"/>
      <c r="Q757" s="16"/>
      <c r="R757" s="16"/>
      <c r="S757" s="16"/>
      <c r="T757" s="16"/>
      <c r="U757" s="16"/>
      <c r="V757" s="16"/>
      <c r="W757" s="16"/>
      <c r="X757" s="16"/>
      <c r="Y757" s="16"/>
      <c r="Z757" s="16"/>
      <c r="AA757" s="16"/>
      <c r="AB757" s="16"/>
      <c r="AC757" s="16"/>
      <c r="AD757" s="16"/>
      <c r="AE757" s="16"/>
      <c r="AF757" s="16"/>
      <c r="AG757" s="16"/>
      <c r="AH757" s="16"/>
      <c r="AI757" s="16"/>
    </row>
    <row r="758" ht="12.75" customHeight="1" spans="1:35" x14ac:dyDescent="0.25">
      <c r="A758" s="16"/>
      <c r="B758" s="16"/>
      <c r="C758" s="16"/>
      <c r="D758" s="16"/>
      <c r="E758" s="16"/>
      <c r="F758" s="16"/>
      <c r="G758" s="16"/>
      <c r="H758" s="16"/>
      <c r="I758" s="16"/>
      <c r="J758" s="16"/>
      <c r="K758" s="16"/>
      <c r="L758" s="16"/>
      <c r="M758" s="16"/>
      <c r="N758" s="16"/>
      <c r="O758" s="16"/>
      <c r="P758" s="16"/>
      <c r="Q758" s="16"/>
      <c r="R758" s="16"/>
      <c r="S758" s="16"/>
      <c r="T758" s="16"/>
      <c r="U758" s="16"/>
      <c r="V758" s="16"/>
      <c r="W758" s="16"/>
      <c r="X758" s="16"/>
      <c r="Y758" s="16"/>
      <c r="Z758" s="16"/>
      <c r="AA758" s="16"/>
      <c r="AB758" s="16"/>
      <c r="AC758" s="16"/>
      <c r="AD758" s="16"/>
      <c r="AE758" s="16"/>
      <c r="AF758" s="16"/>
      <c r="AG758" s="16"/>
      <c r="AH758" s="16"/>
      <c r="AI758" s="16"/>
    </row>
    <row r="759" ht="12.75" customHeight="1" spans="1:35" x14ac:dyDescent="0.25">
      <c r="A759" s="16"/>
      <c r="B759" s="16"/>
      <c r="C759" s="16"/>
      <c r="D759" s="16"/>
      <c r="E759" s="16"/>
      <c r="F759" s="16"/>
      <c r="G759" s="16"/>
      <c r="H759" s="16"/>
      <c r="I759" s="16"/>
      <c r="J759" s="16"/>
      <c r="K759" s="16"/>
      <c r="L759" s="16"/>
      <c r="M759" s="16"/>
      <c r="N759" s="16"/>
      <c r="O759" s="16"/>
      <c r="P759" s="16"/>
      <c r="Q759" s="16"/>
      <c r="R759" s="16"/>
      <c r="S759" s="16"/>
      <c r="T759" s="16"/>
      <c r="U759" s="16"/>
      <c r="V759" s="16"/>
      <c r="W759" s="16"/>
      <c r="X759" s="16"/>
      <c r="Y759" s="16"/>
      <c r="Z759" s="16"/>
      <c r="AA759" s="16"/>
      <c r="AB759" s="16"/>
      <c r="AC759" s="16"/>
      <c r="AD759" s="16"/>
      <c r="AE759" s="16"/>
      <c r="AF759" s="16"/>
      <c r="AG759" s="16"/>
      <c r="AH759" s="16"/>
      <c r="AI759" s="16"/>
    </row>
    <row r="760" ht="12.75" customHeight="1" spans="1:35" x14ac:dyDescent="0.25">
      <c r="A760" s="16"/>
      <c r="B760" s="16"/>
      <c r="C760" s="16"/>
      <c r="D760" s="16"/>
      <c r="E760" s="16"/>
      <c r="F760" s="16"/>
      <c r="G760" s="16"/>
      <c r="H760" s="16"/>
      <c r="I760" s="16"/>
      <c r="J760" s="16"/>
      <c r="K760" s="16"/>
      <c r="L760" s="16"/>
      <c r="M760" s="16"/>
      <c r="N760" s="16"/>
      <c r="O760" s="16"/>
      <c r="P760" s="16"/>
      <c r="Q760" s="16"/>
      <c r="R760" s="16"/>
      <c r="S760" s="16"/>
      <c r="T760" s="16"/>
      <c r="U760" s="16"/>
      <c r="V760" s="16"/>
      <c r="W760" s="16"/>
      <c r="X760" s="16"/>
      <c r="Y760" s="16"/>
      <c r="Z760" s="16"/>
      <c r="AA760" s="16"/>
      <c r="AB760" s="16"/>
      <c r="AC760" s="16"/>
      <c r="AD760" s="16"/>
      <c r="AE760" s="16"/>
      <c r="AF760" s="16"/>
      <c r="AG760" s="16"/>
      <c r="AH760" s="16"/>
      <c r="AI760" s="16"/>
    </row>
    <row r="761" ht="12.75" customHeight="1" spans="1:35" x14ac:dyDescent="0.25">
      <c r="A761" s="16"/>
      <c r="B761" s="16"/>
      <c r="C761" s="16"/>
      <c r="D761" s="16"/>
      <c r="E761" s="16"/>
      <c r="F761" s="16"/>
      <c r="G761" s="16"/>
      <c r="H761" s="16"/>
      <c r="I761" s="16"/>
      <c r="J761" s="16"/>
      <c r="K761" s="16"/>
      <c r="L761" s="16"/>
      <c r="M761" s="16"/>
      <c r="N761" s="16"/>
      <c r="O761" s="16"/>
      <c r="P761" s="16"/>
      <c r="Q761" s="16"/>
      <c r="R761" s="16"/>
      <c r="S761" s="16"/>
      <c r="T761" s="16"/>
      <c r="U761" s="16"/>
      <c r="V761" s="16"/>
      <c r="W761" s="16"/>
      <c r="X761" s="16"/>
      <c r="Y761" s="16"/>
      <c r="Z761" s="16"/>
      <c r="AA761" s="16"/>
      <c r="AB761" s="16"/>
      <c r="AC761" s="16"/>
      <c r="AD761" s="16"/>
      <c r="AE761" s="16"/>
      <c r="AF761" s="16"/>
      <c r="AG761" s="16"/>
      <c r="AH761" s="16"/>
      <c r="AI761" s="16"/>
    </row>
    <row r="762" ht="12.75" customHeight="1" spans="1:35" x14ac:dyDescent="0.25">
      <c r="A762" s="16"/>
      <c r="B762" s="16"/>
      <c r="C762" s="16"/>
      <c r="D762" s="16"/>
      <c r="E762" s="16"/>
      <c r="F762" s="16"/>
      <c r="G762" s="16"/>
      <c r="H762" s="16"/>
      <c r="I762" s="16"/>
      <c r="J762" s="16"/>
      <c r="K762" s="16"/>
      <c r="L762" s="16"/>
      <c r="M762" s="16"/>
      <c r="N762" s="16"/>
      <c r="O762" s="16"/>
      <c r="P762" s="16"/>
      <c r="Q762" s="16"/>
      <c r="R762" s="16"/>
      <c r="S762" s="16"/>
      <c r="T762" s="16"/>
      <c r="U762" s="16"/>
      <c r="V762" s="16"/>
      <c r="W762" s="16"/>
      <c r="X762" s="16"/>
      <c r="Y762" s="16"/>
      <c r="Z762" s="16"/>
      <c r="AA762" s="16"/>
      <c r="AB762" s="16"/>
      <c r="AC762" s="16"/>
      <c r="AD762" s="16"/>
      <c r="AE762" s="16"/>
      <c r="AF762" s="16"/>
      <c r="AG762" s="16"/>
      <c r="AH762" s="16"/>
      <c r="AI762" s="16"/>
    </row>
    <row r="763" ht="12.75" customHeight="1" spans="1:35" x14ac:dyDescent="0.25">
      <c r="A763" s="16"/>
      <c r="B763" s="16"/>
      <c r="C763" s="16"/>
      <c r="D763" s="16"/>
      <c r="E763" s="16"/>
      <c r="F763" s="16"/>
      <c r="G763" s="16"/>
      <c r="H763" s="16"/>
      <c r="I763" s="16"/>
      <c r="J763" s="16"/>
      <c r="K763" s="16"/>
      <c r="L763" s="16"/>
      <c r="M763" s="16"/>
      <c r="N763" s="16"/>
      <c r="O763" s="16"/>
      <c r="P763" s="16"/>
      <c r="Q763" s="16"/>
      <c r="R763" s="16"/>
      <c r="S763" s="16"/>
      <c r="T763" s="16"/>
      <c r="U763" s="16"/>
      <c r="V763" s="16"/>
      <c r="W763" s="16"/>
      <c r="X763" s="16"/>
      <c r="Y763" s="16"/>
      <c r="Z763" s="16"/>
      <c r="AA763" s="16"/>
      <c r="AB763" s="16"/>
      <c r="AC763" s="16"/>
      <c r="AD763" s="16"/>
      <c r="AE763" s="16"/>
      <c r="AF763" s="16"/>
      <c r="AG763" s="16"/>
      <c r="AH763" s="16"/>
      <c r="AI763" s="16"/>
    </row>
    <row r="764" ht="12.75" customHeight="1" spans="1:35" x14ac:dyDescent="0.25">
      <c r="A764" s="16"/>
      <c r="B764" s="16"/>
      <c r="C764" s="16"/>
      <c r="D764" s="16"/>
      <c r="E764" s="16"/>
      <c r="F764" s="16"/>
      <c r="G764" s="16"/>
      <c r="H764" s="16"/>
      <c r="I764" s="16"/>
      <c r="J764" s="16"/>
      <c r="K764" s="16"/>
      <c r="L764" s="16"/>
      <c r="M764" s="16"/>
      <c r="N764" s="16"/>
      <c r="O764" s="16"/>
      <c r="P764" s="16"/>
      <c r="Q764" s="16"/>
      <c r="R764" s="16"/>
      <c r="S764" s="16"/>
      <c r="T764" s="16"/>
      <c r="U764" s="16"/>
      <c r="V764" s="16"/>
      <c r="W764" s="16"/>
      <c r="X764" s="16"/>
      <c r="Y764" s="16"/>
      <c r="Z764" s="16"/>
      <c r="AA764" s="16"/>
      <c r="AB764" s="16"/>
      <c r="AC764" s="16"/>
      <c r="AD764" s="16"/>
      <c r="AE764" s="16"/>
      <c r="AF764" s="16"/>
      <c r="AG764" s="16"/>
      <c r="AH764" s="16"/>
      <c r="AI764" s="16"/>
    </row>
    <row r="765" ht="12.75" customHeight="1" spans="1:35" x14ac:dyDescent="0.25">
      <c r="A765" s="16"/>
      <c r="B765" s="16"/>
      <c r="C765" s="16"/>
      <c r="D765" s="16"/>
      <c r="E765" s="16"/>
      <c r="F765" s="16"/>
      <c r="G765" s="16"/>
      <c r="H765" s="16"/>
      <c r="I765" s="16"/>
      <c r="J765" s="16"/>
      <c r="K765" s="16"/>
      <c r="L765" s="16"/>
      <c r="M765" s="16"/>
      <c r="N765" s="16"/>
      <c r="O765" s="16"/>
      <c r="P765" s="16"/>
      <c r="Q765" s="16"/>
      <c r="R765" s="16"/>
      <c r="S765" s="16"/>
      <c r="T765" s="16"/>
      <c r="U765" s="16"/>
      <c r="V765" s="16"/>
      <c r="W765" s="16"/>
      <c r="X765" s="16"/>
      <c r="Y765" s="16"/>
      <c r="Z765" s="16"/>
      <c r="AA765" s="16"/>
      <c r="AB765" s="16"/>
      <c r="AC765" s="16"/>
      <c r="AD765" s="16"/>
      <c r="AE765" s="16"/>
      <c r="AF765" s="16"/>
      <c r="AG765" s="16"/>
      <c r="AH765" s="16"/>
      <c r="AI765" s="16"/>
    </row>
    <row r="766" ht="12.75" customHeight="1" spans="1:35" x14ac:dyDescent="0.25">
      <c r="A766" s="16"/>
      <c r="B766" s="16"/>
      <c r="C766" s="16"/>
      <c r="D766" s="16"/>
      <c r="E766" s="16"/>
      <c r="F766" s="16"/>
      <c r="G766" s="16"/>
      <c r="H766" s="16"/>
      <c r="I766" s="16"/>
      <c r="J766" s="16"/>
      <c r="K766" s="16"/>
      <c r="L766" s="16"/>
      <c r="M766" s="16"/>
      <c r="N766" s="16"/>
      <c r="O766" s="16"/>
      <c r="P766" s="16"/>
      <c r="Q766" s="16"/>
      <c r="R766" s="16"/>
      <c r="S766" s="16"/>
      <c r="T766" s="16"/>
      <c r="U766" s="16"/>
      <c r="V766" s="16"/>
      <c r="W766" s="16"/>
      <c r="X766" s="16"/>
      <c r="Y766" s="16"/>
      <c r="Z766" s="16"/>
      <c r="AA766" s="16"/>
      <c r="AB766" s="16"/>
      <c r="AC766" s="16"/>
      <c r="AD766" s="16"/>
      <c r="AE766" s="16"/>
      <c r="AF766" s="16"/>
      <c r="AG766" s="16"/>
      <c r="AH766" s="16"/>
      <c r="AI766" s="16"/>
    </row>
    <row r="767" ht="12.75" customHeight="1" spans="1:35" x14ac:dyDescent="0.25">
      <c r="A767" s="16"/>
      <c r="B767" s="16"/>
      <c r="C767" s="16"/>
      <c r="D767" s="16"/>
      <c r="E767" s="16"/>
      <c r="F767" s="16"/>
      <c r="G767" s="16"/>
      <c r="H767" s="16"/>
      <c r="I767" s="16"/>
      <c r="J767" s="16"/>
      <c r="K767" s="16"/>
      <c r="L767" s="16"/>
      <c r="M767" s="16"/>
      <c r="N767" s="16"/>
      <c r="O767" s="16"/>
      <c r="P767" s="16"/>
      <c r="Q767" s="16"/>
      <c r="R767" s="16"/>
      <c r="S767" s="16"/>
      <c r="T767" s="16"/>
      <c r="U767" s="16"/>
      <c r="V767" s="16"/>
      <c r="W767" s="16"/>
      <c r="X767" s="16"/>
      <c r="Y767" s="16"/>
      <c r="Z767" s="16"/>
      <c r="AA767" s="16"/>
      <c r="AB767" s="16"/>
      <c r="AC767" s="16"/>
      <c r="AD767" s="16"/>
      <c r="AE767" s="16"/>
      <c r="AF767" s="16"/>
      <c r="AG767" s="16"/>
      <c r="AH767" s="16"/>
      <c r="AI767" s="16"/>
    </row>
    <row r="768" ht="12.75" customHeight="1" spans="1:35" x14ac:dyDescent="0.25">
      <c r="A768" s="16"/>
      <c r="B768" s="16"/>
      <c r="C768" s="16"/>
      <c r="D768" s="16"/>
      <c r="E768" s="16"/>
      <c r="F768" s="16"/>
      <c r="G768" s="16"/>
      <c r="H768" s="16"/>
      <c r="I768" s="16"/>
      <c r="J768" s="16"/>
      <c r="K768" s="16"/>
      <c r="L768" s="16"/>
      <c r="M768" s="16"/>
      <c r="N768" s="16"/>
      <c r="O768" s="16"/>
      <c r="P768" s="16"/>
      <c r="Q768" s="16"/>
      <c r="R768" s="16"/>
      <c r="S768" s="16"/>
      <c r="T768" s="16"/>
      <c r="U768" s="16"/>
      <c r="V768" s="16"/>
      <c r="W768" s="16"/>
      <c r="X768" s="16"/>
      <c r="Y768" s="16"/>
      <c r="Z768" s="16"/>
      <c r="AA768" s="16"/>
      <c r="AB768" s="16"/>
      <c r="AC768" s="16"/>
      <c r="AD768" s="16"/>
      <c r="AE768" s="16"/>
      <c r="AF768" s="16"/>
      <c r="AG768" s="16"/>
      <c r="AH768" s="16"/>
      <c r="AI768" s="16"/>
    </row>
    <row r="769" ht="12.75" customHeight="1" spans="1:35" x14ac:dyDescent="0.25">
      <c r="A769" s="16"/>
      <c r="B769" s="16"/>
      <c r="C769" s="16"/>
      <c r="D769" s="16"/>
      <c r="E769" s="16"/>
      <c r="F769" s="16"/>
      <c r="G769" s="16"/>
      <c r="H769" s="16"/>
      <c r="I769" s="16"/>
      <c r="J769" s="16"/>
      <c r="K769" s="16"/>
      <c r="L769" s="16"/>
      <c r="M769" s="16"/>
      <c r="N769" s="16"/>
      <c r="O769" s="16"/>
      <c r="P769" s="16"/>
      <c r="Q769" s="16"/>
      <c r="R769" s="16"/>
      <c r="S769" s="16"/>
      <c r="T769" s="16"/>
      <c r="U769" s="16"/>
      <c r="V769" s="16"/>
      <c r="W769" s="16"/>
      <c r="X769" s="16"/>
      <c r="Y769" s="16"/>
      <c r="Z769" s="16"/>
      <c r="AA769" s="16"/>
      <c r="AB769" s="16"/>
      <c r="AC769" s="16"/>
      <c r="AD769" s="16"/>
      <c r="AE769" s="16"/>
      <c r="AF769" s="16"/>
      <c r="AG769" s="16"/>
      <c r="AH769" s="16"/>
      <c r="AI769" s="16"/>
    </row>
    <row r="770" ht="12.75" customHeight="1" spans="1:35" x14ac:dyDescent="0.25">
      <c r="A770" s="16"/>
      <c r="B770" s="16"/>
      <c r="C770" s="16"/>
      <c r="D770" s="16"/>
      <c r="E770" s="16"/>
      <c r="F770" s="16"/>
      <c r="G770" s="16"/>
      <c r="H770" s="16"/>
      <c r="I770" s="16"/>
      <c r="J770" s="16"/>
      <c r="K770" s="16"/>
      <c r="L770" s="16"/>
      <c r="M770" s="16"/>
      <c r="N770" s="16"/>
      <c r="O770" s="16"/>
      <c r="P770" s="16"/>
      <c r="Q770" s="16"/>
      <c r="R770" s="16"/>
      <c r="S770" s="16"/>
      <c r="T770" s="16"/>
      <c r="U770" s="16"/>
      <c r="V770" s="16"/>
      <c r="W770" s="16"/>
      <c r="X770" s="16"/>
      <c r="Y770" s="16"/>
      <c r="Z770" s="16"/>
      <c r="AA770" s="16"/>
      <c r="AB770" s="16"/>
      <c r="AC770" s="16"/>
      <c r="AD770" s="16"/>
      <c r="AE770" s="16"/>
      <c r="AF770" s="16"/>
      <c r="AG770" s="16"/>
      <c r="AH770" s="16"/>
      <c r="AI770" s="16"/>
    </row>
    <row r="771" ht="12.75" customHeight="1" spans="1:35" x14ac:dyDescent="0.25">
      <c r="A771" s="16"/>
      <c r="B771" s="16"/>
      <c r="C771" s="16"/>
      <c r="D771" s="16"/>
      <c r="E771" s="16"/>
      <c r="F771" s="16"/>
      <c r="G771" s="16"/>
      <c r="H771" s="16"/>
      <c r="I771" s="16"/>
      <c r="J771" s="16"/>
      <c r="K771" s="16"/>
      <c r="L771" s="16"/>
      <c r="M771" s="16"/>
      <c r="N771" s="16"/>
      <c r="O771" s="16"/>
      <c r="P771" s="16"/>
      <c r="Q771" s="16"/>
      <c r="R771" s="16"/>
      <c r="S771" s="16"/>
      <c r="T771" s="16"/>
      <c r="U771" s="16"/>
      <c r="V771" s="16"/>
      <c r="W771" s="16"/>
      <c r="X771" s="16"/>
      <c r="Y771" s="16"/>
      <c r="Z771" s="16"/>
      <c r="AA771" s="16"/>
      <c r="AB771" s="16"/>
      <c r="AC771" s="16"/>
      <c r="AD771" s="16"/>
      <c r="AE771" s="16"/>
      <c r="AF771" s="16"/>
      <c r="AG771" s="16"/>
      <c r="AH771" s="16"/>
      <c r="AI771" s="16"/>
    </row>
    <row r="772" ht="12.75" customHeight="1" spans="1:35" x14ac:dyDescent="0.25">
      <c r="A772" s="16"/>
      <c r="B772" s="16"/>
      <c r="C772" s="16"/>
      <c r="D772" s="16"/>
      <c r="E772" s="16"/>
      <c r="F772" s="16"/>
      <c r="G772" s="16"/>
      <c r="H772" s="16"/>
      <c r="I772" s="16"/>
      <c r="J772" s="16"/>
      <c r="K772" s="16"/>
      <c r="L772" s="16"/>
      <c r="M772" s="16"/>
      <c r="N772" s="16"/>
      <c r="O772" s="16"/>
      <c r="P772" s="16"/>
      <c r="Q772" s="16"/>
      <c r="R772" s="16"/>
      <c r="S772" s="16"/>
      <c r="T772" s="16"/>
      <c r="U772" s="16"/>
      <c r="V772" s="16"/>
      <c r="W772" s="16"/>
      <c r="X772" s="16"/>
      <c r="Y772" s="16"/>
      <c r="Z772" s="16"/>
      <c r="AA772" s="16"/>
      <c r="AB772" s="16"/>
      <c r="AC772" s="16"/>
      <c r="AD772" s="16"/>
      <c r="AE772" s="16"/>
      <c r="AF772" s="16"/>
      <c r="AG772" s="16"/>
      <c r="AH772" s="16"/>
      <c r="AI772" s="16"/>
    </row>
    <row r="773" ht="12.75" customHeight="1" spans="1:35" x14ac:dyDescent="0.25">
      <c r="A773" s="16"/>
      <c r="B773" s="16"/>
      <c r="C773" s="16"/>
      <c r="D773" s="16"/>
      <c r="E773" s="16"/>
      <c r="F773" s="16"/>
      <c r="G773" s="16"/>
      <c r="H773" s="16"/>
      <c r="I773" s="16"/>
      <c r="J773" s="16"/>
      <c r="K773" s="16"/>
      <c r="L773" s="16"/>
      <c r="M773" s="16"/>
      <c r="N773" s="16"/>
      <c r="O773" s="16"/>
      <c r="P773" s="16"/>
      <c r="Q773" s="16"/>
      <c r="R773" s="16"/>
      <c r="S773" s="16"/>
      <c r="T773" s="16"/>
      <c r="U773" s="16"/>
      <c r="V773" s="16"/>
      <c r="W773" s="16"/>
      <c r="X773" s="16"/>
      <c r="Y773" s="16"/>
      <c r="Z773" s="16"/>
      <c r="AA773" s="16"/>
      <c r="AB773" s="16"/>
      <c r="AC773" s="16"/>
      <c r="AD773" s="16"/>
      <c r="AE773" s="16"/>
      <c r="AF773" s="16"/>
      <c r="AG773" s="16"/>
      <c r="AH773" s="16"/>
      <c r="AI773" s="16"/>
    </row>
    <row r="774" ht="12.75" customHeight="1" spans="1:35" x14ac:dyDescent="0.25">
      <c r="A774" s="16"/>
      <c r="B774" s="16"/>
      <c r="C774" s="16"/>
      <c r="D774" s="16"/>
      <c r="E774" s="16"/>
      <c r="F774" s="16"/>
      <c r="G774" s="16"/>
      <c r="H774" s="16"/>
      <c r="I774" s="16"/>
      <c r="J774" s="16"/>
      <c r="K774" s="16"/>
      <c r="L774" s="16"/>
      <c r="M774" s="16"/>
      <c r="N774" s="16"/>
      <c r="O774" s="16"/>
      <c r="P774" s="16"/>
      <c r="Q774" s="16"/>
      <c r="R774" s="16"/>
      <c r="S774" s="16"/>
      <c r="T774" s="16"/>
      <c r="U774" s="16"/>
      <c r="V774" s="16"/>
      <c r="W774" s="16"/>
      <c r="X774" s="16"/>
      <c r="Y774" s="16"/>
      <c r="Z774" s="16"/>
      <c r="AA774" s="16"/>
      <c r="AB774" s="16"/>
      <c r="AC774" s="16"/>
      <c r="AD774" s="16"/>
      <c r="AE774" s="16"/>
      <c r="AF774" s="16"/>
      <c r="AG774" s="16"/>
      <c r="AH774" s="16"/>
      <c r="AI774" s="16"/>
    </row>
    <row r="775" ht="12.75" customHeight="1" spans="1:35" x14ac:dyDescent="0.25">
      <c r="A775" s="16"/>
      <c r="B775" s="16"/>
      <c r="C775" s="16"/>
      <c r="D775" s="16"/>
      <c r="E775" s="16"/>
      <c r="F775" s="16"/>
      <c r="G775" s="16"/>
      <c r="H775" s="16"/>
      <c r="I775" s="16"/>
      <c r="J775" s="16"/>
      <c r="K775" s="16"/>
      <c r="L775" s="16"/>
      <c r="M775" s="16"/>
      <c r="N775" s="16"/>
      <c r="O775" s="16"/>
      <c r="P775" s="16"/>
      <c r="Q775" s="16"/>
      <c r="R775" s="16"/>
      <c r="S775" s="16"/>
      <c r="T775" s="16"/>
      <c r="U775" s="16"/>
      <c r="V775" s="16"/>
      <c r="W775" s="16"/>
      <c r="X775" s="16"/>
      <c r="Y775" s="16"/>
      <c r="Z775" s="16"/>
      <c r="AA775" s="16"/>
      <c r="AB775" s="16"/>
      <c r="AC775" s="16"/>
      <c r="AD775" s="16"/>
      <c r="AE775" s="16"/>
      <c r="AF775" s="16"/>
      <c r="AG775" s="16"/>
      <c r="AH775" s="16"/>
      <c r="AI775" s="16"/>
    </row>
    <row r="776" ht="12.75" customHeight="1" spans="1:35" x14ac:dyDescent="0.25">
      <c r="A776" s="16"/>
      <c r="B776" s="16"/>
      <c r="C776" s="16"/>
      <c r="D776" s="16"/>
      <c r="E776" s="16"/>
      <c r="F776" s="16"/>
      <c r="G776" s="16"/>
      <c r="H776" s="16"/>
      <c r="I776" s="16"/>
      <c r="J776" s="16"/>
      <c r="K776" s="16"/>
      <c r="L776" s="16"/>
      <c r="M776" s="16"/>
      <c r="N776" s="16"/>
      <c r="O776" s="16"/>
      <c r="P776" s="16"/>
      <c r="Q776" s="16"/>
      <c r="R776" s="16"/>
      <c r="S776" s="16"/>
      <c r="T776" s="16"/>
      <c r="U776" s="16"/>
      <c r="V776" s="16"/>
      <c r="W776" s="16"/>
      <c r="X776" s="16"/>
      <c r="Y776" s="16"/>
      <c r="Z776" s="16"/>
      <c r="AA776" s="16"/>
      <c r="AB776" s="16"/>
      <c r="AC776" s="16"/>
      <c r="AD776" s="16"/>
      <c r="AE776" s="16"/>
      <c r="AF776" s="16"/>
      <c r="AG776" s="16"/>
      <c r="AH776" s="16"/>
      <c r="AI776" s="16"/>
    </row>
    <row r="777" ht="12.75" customHeight="1" spans="1:35" x14ac:dyDescent="0.25">
      <c r="A777" s="16"/>
      <c r="B777" s="16"/>
      <c r="C777" s="16"/>
      <c r="D777" s="16"/>
      <c r="E777" s="16"/>
      <c r="F777" s="16"/>
      <c r="G777" s="16"/>
      <c r="H777" s="16"/>
      <c r="I777" s="16"/>
      <c r="J777" s="16"/>
      <c r="K777" s="16"/>
      <c r="L777" s="16"/>
      <c r="M777" s="16"/>
      <c r="N777" s="16"/>
      <c r="O777" s="16"/>
      <c r="P777" s="16"/>
      <c r="Q777" s="16"/>
      <c r="R777" s="16"/>
      <c r="S777" s="16"/>
      <c r="T777" s="16"/>
      <c r="U777" s="16"/>
      <c r="V777" s="16"/>
      <c r="W777" s="16"/>
      <c r="X777" s="16"/>
      <c r="Y777" s="16"/>
      <c r="Z777" s="16"/>
      <c r="AA777" s="16"/>
      <c r="AB777" s="16"/>
      <c r="AC777" s="16"/>
      <c r="AD777" s="16"/>
      <c r="AE777" s="16"/>
      <c r="AF777" s="16"/>
      <c r="AG777" s="16"/>
      <c r="AH777" s="16"/>
      <c r="AI777" s="16"/>
    </row>
    <row r="778" ht="12.75" customHeight="1" spans="1:35" x14ac:dyDescent="0.25">
      <c r="A778" s="16"/>
      <c r="B778" s="16"/>
      <c r="C778" s="16"/>
      <c r="D778" s="16"/>
      <c r="E778" s="16"/>
      <c r="F778" s="16"/>
      <c r="G778" s="16"/>
      <c r="H778" s="16"/>
      <c r="I778" s="16"/>
      <c r="J778" s="16"/>
      <c r="K778" s="16"/>
      <c r="L778" s="16"/>
      <c r="M778" s="16"/>
      <c r="N778" s="16"/>
      <c r="O778" s="16"/>
      <c r="P778" s="16"/>
      <c r="Q778" s="16"/>
      <c r="R778" s="16"/>
      <c r="S778" s="16"/>
      <c r="T778" s="16"/>
      <c r="U778" s="16"/>
      <c r="V778" s="16"/>
      <c r="W778" s="16"/>
      <c r="X778" s="16"/>
      <c r="Y778" s="16"/>
      <c r="Z778" s="16"/>
      <c r="AA778" s="16"/>
      <c r="AB778" s="16"/>
      <c r="AC778" s="16"/>
      <c r="AD778" s="16"/>
      <c r="AE778" s="16"/>
      <c r="AF778" s="16"/>
      <c r="AG778" s="16"/>
      <c r="AH778" s="16"/>
      <c r="AI778" s="16"/>
    </row>
    <row r="779" ht="12.75" customHeight="1" spans="1:35" x14ac:dyDescent="0.25">
      <c r="A779" s="16"/>
      <c r="B779" s="16"/>
      <c r="C779" s="16"/>
      <c r="D779" s="16"/>
      <c r="E779" s="16"/>
      <c r="F779" s="16"/>
      <c r="G779" s="16"/>
      <c r="H779" s="16"/>
      <c r="I779" s="16"/>
      <c r="J779" s="16"/>
      <c r="K779" s="16"/>
      <c r="L779" s="16"/>
      <c r="M779" s="16"/>
      <c r="N779" s="16"/>
      <c r="O779" s="16"/>
      <c r="P779" s="16"/>
      <c r="Q779" s="16"/>
      <c r="R779" s="16"/>
      <c r="S779" s="16"/>
      <c r="T779" s="16"/>
      <c r="U779" s="16"/>
      <c r="V779" s="16"/>
      <c r="W779" s="16"/>
      <c r="X779" s="16"/>
      <c r="Y779" s="16"/>
      <c r="Z779" s="16"/>
      <c r="AA779" s="16"/>
      <c r="AB779" s="16"/>
      <c r="AC779" s="16"/>
      <c r="AD779" s="16"/>
      <c r="AE779" s="16"/>
      <c r="AF779" s="16"/>
      <c r="AG779" s="16"/>
      <c r="AH779" s="16"/>
      <c r="AI779" s="16"/>
    </row>
    <row r="780" ht="12.75" customHeight="1" spans="1:35" x14ac:dyDescent="0.25">
      <c r="A780" s="16"/>
      <c r="B780" s="16"/>
      <c r="C780" s="16"/>
      <c r="D780" s="16"/>
      <c r="E780" s="16"/>
      <c r="F780" s="16"/>
      <c r="G780" s="16"/>
      <c r="H780" s="16"/>
      <c r="I780" s="16"/>
      <c r="J780" s="16"/>
      <c r="K780" s="16"/>
      <c r="L780" s="16"/>
      <c r="M780" s="16"/>
      <c r="N780" s="16"/>
      <c r="O780" s="16"/>
      <c r="P780" s="16"/>
      <c r="Q780" s="16"/>
      <c r="R780" s="16"/>
      <c r="S780" s="16"/>
      <c r="T780" s="16"/>
      <c r="U780" s="16"/>
      <c r="V780" s="16"/>
      <c r="W780" s="16"/>
      <c r="X780" s="16"/>
      <c r="Y780" s="16"/>
      <c r="Z780" s="16"/>
      <c r="AA780" s="16"/>
      <c r="AB780" s="16"/>
      <c r="AC780" s="16"/>
      <c r="AD780" s="16"/>
      <c r="AE780" s="16"/>
      <c r="AF780" s="16"/>
      <c r="AG780" s="16"/>
      <c r="AH780" s="16"/>
      <c r="AI780" s="16"/>
    </row>
    <row r="781" ht="12.75" customHeight="1" spans="1:35" x14ac:dyDescent="0.25">
      <c r="A781" s="16"/>
      <c r="B781" s="16"/>
      <c r="C781" s="16"/>
      <c r="D781" s="16"/>
      <c r="E781" s="16"/>
      <c r="F781" s="16"/>
      <c r="G781" s="16"/>
      <c r="H781" s="16"/>
      <c r="I781" s="16"/>
      <c r="J781" s="16"/>
      <c r="K781" s="16"/>
      <c r="L781" s="16"/>
      <c r="M781" s="16"/>
      <c r="N781" s="16"/>
      <c r="O781" s="16"/>
      <c r="P781" s="16"/>
      <c r="Q781" s="16"/>
      <c r="R781" s="16"/>
      <c r="S781" s="16"/>
      <c r="T781" s="16"/>
      <c r="U781" s="16"/>
      <c r="V781" s="16"/>
      <c r="W781" s="16"/>
      <c r="X781" s="16"/>
      <c r="Y781" s="16"/>
      <c r="Z781" s="16"/>
      <c r="AA781" s="16"/>
      <c r="AB781" s="16"/>
      <c r="AC781" s="16"/>
      <c r="AD781" s="16"/>
      <c r="AE781" s="16"/>
      <c r="AF781" s="16"/>
      <c r="AG781" s="16"/>
      <c r="AH781" s="16"/>
      <c r="AI781" s="16"/>
    </row>
    <row r="782" ht="12.75" customHeight="1" spans="1:35" x14ac:dyDescent="0.25">
      <c r="A782" s="16"/>
      <c r="B782" s="16"/>
      <c r="C782" s="16"/>
      <c r="D782" s="16"/>
      <c r="E782" s="16"/>
      <c r="F782" s="16"/>
      <c r="G782" s="16"/>
      <c r="H782" s="16"/>
      <c r="I782" s="16"/>
      <c r="J782" s="16"/>
      <c r="K782" s="16"/>
      <c r="L782" s="16"/>
      <c r="M782" s="16"/>
      <c r="N782" s="16"/>
      <c r="O782" s="16"/>
      <c r="P782" s="16"/>
      <c r="Q782" s="16"/>
      <c r="R782" s="16"/>
      <c r="S782" s="16"/>
      <c r="T782" s="16"/>
      <c r="U782" s="16"/>
      <c r="V782" s="16"/>
      <c r="W782" s="16"/>
      <c r="X782" s="16"/>
      <c r="Y782" s="16"/>
      <c r="Z782" s="16"/>
      <c r="AA782" s="16"/>
      <c r="AB782" s="16"/>
      <c r="AC782" s="16"/>
      <c r="AD782" s="16"/>
      <c r="AE782" s="16"/>
      <c r="AF782" s="16"/>
      <c r="AG782" s="16"/>
      <c r="AH782" s="16"/>
      <c r="AI782" s="16"/>
    </row>
    <row r="783" ht="12.75" customHeight="1" spans="1:35" x14ac:dyDescent="0.25">
      <c r="A783" s="16"/>
      <c r="B783" s="16"/>
      <c r="C783" s="16"/>
      <c r="D783" s="16"/>
      <c r="E783" s="16"/>
      <c r="F783" s="16"/>
      <c r="G783" s="16"/>
      <c r="H783" s="16"/>
      <c r="I783" s="16"/>
      <c r="J783" s="16"/>
      <c r="K783" s="16"/>
      <c r="L783" s="16"/>
      <c r="M783" s="16"/>
      <c r="N783" s="16"/>
      <c r="O783" s="16"/>
      <c r="P783" s="16"/>
      <c r="Q783" s="16"/>
      <c r="R783" s="16"/>
      <c r="S783" s="16"/>
      <c r="T783" s="16"/>
      <c r="U783" s="16"/>
      <c r="V783" s="16"/>
      <c r="W783" s="16"/>
      <c r="X783" s="16"/>
      <c r="Y783" s="16"/>
      <c r="Z783" s="16"/>
      <c r="AA783" s="16"/>
      <c r="AB783" s="16"/>
      <c r="AC783" s="16"/>
      <c r="AD783" s="16"/>
      <c r="AE783" s="16"/>
      <c r="AF783" s="16"/>
      <c r="AG783" s="16"/>
      <c r="AH783" s="16"/>
      <c r="AI783" s="16"/>
    </row>
    <row r="784" ht="12.75" customHeight="1" spans="1:35" x14ac:dyDescent="0.25">
      <c r="A784" s="16"/>
      <c r="B784" s="16"/>
      <c r="C784" s="16"/>
      <c r="D784" s="16"/>
      <c r="E784" s="16"/>
      <c r="F784" s="16"/>
      <c r="G784" s="16"/>
      <c r="H784" s="16"/>
      <c r="I784" s="16"/>
      <c r="J784" s="16"/>
      <c r="K784" s="16"/>
      <c r="L784" s="16"/>
      <c r="M784" s="16"/>
      <c r="N784" s="16"/>
      <c r="O784" s="16"/>
      <c r="P784" s="16"/>
      <c r="Q784" s="16"/>
      <c r="R784" s="16"/>
      <c r="S784" s="16"/>
      <c r="T784" s="16"/>
      <c r="U784" s="16"/>
      <c r="V784" s="16"/>
      <c r="W784" s="16"/>
      <c r="X784" s="16"/>
      <c r="Y784" s="16"/>
      <c r="Z784" s="16"/>
      <c r="AA784" s="16"/>
      <c r="AB784" s="16"/>
      <c r="AC784" s="16"/>
      <c r="AD784" s="16"/>
      <c r="AE784" s="16"/>
      <c r="AF784" s="16"/>
      <c r="AG784" s="16"/>
      <c r="AH784" s="16"/>
      <c r="AI784" s="16"/>
    </row>
    <row r="785" ht="12.75" customHeight="1" spans="1:35" x14ac:dyDescent="0.25">
      <c r="A785" s="16"/>
      <c r="B785" s="16"/>
      <c r="C785" s="16"/>
      <c r="D785" s="16"/>
      <c r="E785" s="16"/>
      <c r="F785" s="16"/>
      <c r="G785" s="16"/>
      <c r="H785" s="16"/>
      <c r="I785" s="16"/>
      <c r="J785" s="16"/>
      <c r="K785" s="16"/>
      <c r="L785" s="16"/>
      <c r="M785" s="16"/>
      <c r="N785" s="16"/>
      <c r="O785" s="16"/>
      <c r="P785" s="16"/>
      <c r="Q785" s="16"/>
      <c r="R785" s="16"/>
      <c r="S785" s="16"/>
      <c r="T785" s="16"/>
      <c r="U785" s="16"/>
      <c r="V785" s="16"/>
      <c r="W785" s="16"/>
      <c r="X785" s="16"/>
      <c r="Y785" s="16"/>
      <c r="Z785" s="16"/>
      <c r="AA785" s="16"/>
      <c r="AB785" s="16"/>
      <c r="AC785" s="16"/>
      <c r="AD785" s="16"/>
      <c r="AE785" s="16"/>
      <c r="AF785" s="16"/>
      <c r="AG785" s="16"/>
      <c r="AH785" s="16"/>
      <c r="AI785" s="16"/>
    </row>
    <row r="786" ht="12.75" customHeight="1" spans="1:35" x14ac:dyDescent="0.25">
      <c r="A786" s="16"/>
      <c r="B786" s="16"/>
      <c r="C786" s="16"/>
      <c r="D786" s="16"/>
      <c r="E786" s="16"/>
      <c r="F786" s="16"/>
      <c r="G786" s="16"/>
      <c r="H786" s="16"/>
      <c r="I786" s="16"/>
      <c r="J786" s="16"/>
      <c r="K786" s="16"/>
      <c r="L786" s="16"/>
      <c r="M786" s="16"/>
      <c r="N786" s="16"/>
      <c r="O786" s="16"/>
      <c r="P786" s="16"/>
      <c r="Q786" s="16"/>
      <c r="R786" s="16"/>
      <c r="S786" s="16"/>
      <c r="T786" s="16"/>
      <c r="U786" s="16"/>
      <c r="V786" s="16"/>
      <c r="W786" s="16"/>
      <c r="X786" s="16"/>
      <c r="Y786" s="16"/>
      <c r="Z786" s="16"/>
      <c r="AA786" s="16"/>
      <c r="AB786" s="16"/>
      <c r="AC786" s="16"/>
      <c r="AD786" s="16"/>
      <c r="AE786" s="16"/>
      <c r="AF786" s="16"/>
      <c r="AG786" s="16"/>
      <c r="AH786" s="16"/>
      <c r="AI786" s="16"/>
    </row>
    <row r="787" ht="12.75" customHeight="1" spans="1:35" x14ac:dyDescent="0.25">
      <c r="A787" s="16"/>
      <c r="B787" s="16"/>
      <c r="C787" s="16"/>
      <c r="D787" s="16"/>
      <c r="E787" s="16"/>
      <c r="F787" s="16"/>
      <c r="G787" s="16"/>
      <c r="H787" s="16"/>
      <c r="I787" s="16"/>
      <c r="J787" s="16"/>
      <c r="K787" s="16"/>
      <c r="L787" s="16"/>
      <c r="M787" s="16"/>
      <c r="N787" s="16"/>
      <c r="O787" s="16"/>
      <c r="P787" s="16"/>
      <c r="Q787" s="16"/>
      <c r="R787" s="16"/>
      <c r="S787" s="16"/>
      <c r="T787" s="16"/>
      <c r="U787" s="16"/>
      <c r="V787" s="16"/>
      <c r="W787" s="16"/>
      <c r="X787" s="16"/>
      <c r="Y787" s="16"/>
      <c r="Z787" s="16"/>
      <c r="AA787" s="16"/>
      <c r="AB787" s="16"/>
      <c r="AC787" s="16"/>
      <c r="AD787" s="16"/>
      <c r="AE787" s="16"/>
      <c r="AF787" s="16"/>
      <c r="AG787" s="16"/>
      <c r="AH787" s="16"/>
      <c r="AI787" s="16"/>
    </row>
    <row r="788" ht="12.75" customHeight="1" spans="1:35" x14ac:dyDescent="0.25">
      <c r="A788" s="16"/>
      <c r="B788" s="16"/>
      <c r="C788" s="16"/>
      <c r="D788" s="16"/>
      <c r="E788" s="16"/>
      <c r="F788" s="16"/>
      <c r="G788" s="16"/>
      <c r="H788" s="16"/>
      <c r="I788" s="16"/>
      <c r="J788" s="16"/>
      <c r="K788" s="16"/>
      <c r="L788" s="16"/>
      <c r="M788" s="16"/>
      <c r="N788" s="16"/>
      <c r="O788" s="16"/>
      <c r="P788" s="16"/>
      <c r="Q788" s="16"/>
      <c r="R788" s="16"/>
      <c r="S788" s="16"/>
      <c r="T788" s="16"/>
      <c r="U788" s="16"/>
      <c r="V788" s="16"/>
      <c r="W788" s="16"/>
      <c r="X788" s="16"/>
      <c r="Y788" s="16"/>
      <c r="Z788" s="16"/>
      <c r="AA788" s="16"/>
      <c r="AB788" s="16"/>
      <c r="AC788" s="16"/>
      <c r="AD788" s="16"/>
      <c r="AE788" s="16"/>
      <c r="AF788" s="16"/>
      <c r="AG788" s="16"/>
      <c r="AH788" s="16"/>
      <c r="AI788" s="16"/>
    </row>
    <row r="789" ht="12.75" customHeight="1" spans="1:35" x14ac:dyDescent="0.25">
      <c r="A789" s="16"/>
      <c r="B789" s="16"/>
      <c r="C789" s="16"/>
      <c r="D789" s="16"/>
      <c r="E789" s="16"/>
      <c r="F789" s="16"/>
      <c r="G789" s="16"/>
      <c r="H789" s="16"/>
      <c r="I789" s="16"/>
      <c r="J789" s="16"/>
      <c r="K789" s="16"/>
      <c r="L789" s="16"/>
      <c r="M789" s="16"/>
      <c r="N789" s="16"/>
      <c r="O789" s="16"/>
      <c r="P789" s="16"/>
      <c r="Q789" s="16"/>
      <c r="R789" s="16"/>
      <c r="S789" s="16"/>
      <c r="T789" s="16"/>
      <c r="U789" s="16"/>
      <c r="V789" s="16"/>
      <c r="W789" s="16"/>
      <c r="X789" s="16"/>
      <c r="Y789" s="16"/>
      <c r="Z789" s="16"/>
      <c r="AA789" s="16"/>
      <c r="AB789" s="16"/>
      <c r="AC789" s="16"/>
      <c r="AD789" s="16"/>
      <c r="AE789" s="16"/>
      <c r="AF789" s="16"/>
      <c r="AG789" s="16"/>
      <c r="AH789" s="16"/>
      <c r="AI789" s="16"/>
    </row>
    <row r="790" ht="12.75" customHeight="1" spans="1:35" x14ac:dyDescent="0.25">
      <c r="A790" s="16"/>
      <c r="B790" s="16"/>
      <c r="C790" s="16"/>
      <c r="D790" s="16"/>
      <c r="E790" s="16"/>
      <c r="F790" s="16"/>
      <c r="G790" s="16"/>
      <c r="H790" s="16"/>
      <c r="I790" s="16"/>
      <c r="J790" s="16"/>
      <c r="K790" s="16"/>
      <c r="L790" s="16"/>
      <c r="M790" s="16"/>
      <c r="N790" s="16"/>
      <c r="O790" s="16"/>
      <c r="P790" s="16"/>
      <c r="Q790" s="16"/>
      <c r="R790" s="16"/>
      <c r="S790" s="16"/>
      <c r="T790" s="16"/>
      <c r="U790" s="16"/>
      <c r="V790" s="16"/>
      <c r="W790" s="16"/>
      <c r="X790" s="16"/>
      <c r="Y790" s="16"/>
      <c r="Z790" s="16"/>
      <c r="AA790" s="16"/>
      <c r="AB790" s="16"/>
      <c r="AC790" s="16"/>
      <c r="AD790" s="16"/>
      <c r="AE790" s="16"/>
      <c r="AF790" s="16"/>
      <c r="AG790" s="16"/>
      <c r="AH790" s="16"/>
      <c r="AI790" s="16"/>
    </row>
    <row r="791" ht="12.75" customHeight="1" spans="1:35" x14ac:dyDescent="0.25">
      <c r="A791" s="16"/>
      <c r="B791" s="16"/>
      <c r="C791" s="16"/>
      <c r="D791" s="16"/>
      <c r="E791" s="16"/>
      <c r="F791" s="16"/>
      <c r="G791" s="16"/>
      <c r="H791" s="16"/>
      <c r="I791" s="16"/>
      <c r="J791" s="16"/>
      <c r="K791" s="16"/>
      <c r="L791" s="16"/>
      <c r="M791" s="16"/>
      <c r="N791" s="16"/>
      <c r="O791" s="16"/>
      <c r="P791" s="16"/>
      <c r="Q791" s="16"/>
      <c r="R791" s="16"/>
      <c r="S791" s="16"/>
      <c r="T791" s="16"/>
      <c r="U791" s="16"/>
      <c r="V791" s="16"/>
      <c r="W791" s="16"/>
      <c r="X791" s="16"/>
      <c r="Y791" s="16"/>
      <c r="Z791" s="16"/>
      <c r="AA791" s="16"/>
      <c r="AB791" s="16"/>
      <c r="AC791" s="16"/>
      <c r="AD791" s="16"/>
      <c r="AE791" s="16"/>
      <c r="AF791" s="16"/>
      <c r="AG791" s="16"/>
      <c r="AH791" s="16"/>
      <c r="AI791" s="16"/>
    </row>
    <row r="792" ht="12.75" customHeight="1" spans="1:35" x14ac:dyDescent="0.25">
      <c r="A792" s="16"/>
      <c r="B792" s="16"/>
      <c r="C792" s="16"/>
      <c r="D792" s="16"/>
      <c r="E792" s="16"/>
      <c r="F792" s="16"/>
      <c r="G792" s="16"/>
      <c r="H792" s="16"/>
      <c r="I792" s="16"/>
      <c r="J792" s="16"/>
      <c r="K792" s="16"/>
      <c r="L792" s="16"/>
      <c r="M792" s="16"/>
      <c r="N792" s="16"/>
      <c r="O792" s="16"/>
      <c r="P792" s="16"/>
      <c r="Q792" s="16"/>
      <c r="R792" s="16"/>
      <c r="S792" s="16"/>
      <c r="T792" s="16"/>
      <c r="U792" s="16"/>
      <c r="V792" s="16"/>
      <c r="W792" s="16"/>
      <c r="X792" s="16"/>
      <c r="Y792" s="16"/>
      <c r="Z792" s="16"/>
      <c r="AA792" s="16"/>
      <c r="AB792" s="16"/>
      <c r="AC792" s="16"/>
      <c r="AD792" s="16"/>
      <c r="AE792" s="16"/>
      <c r="AF792" s="16"/>
      <c r="AG792" s="16"/>
      <c r="AH792" s="16"/>
      <c r="AI792" s="16"/>
    </row>
    <row r="793" ht="12.75" customHeight="1" spans="1:35" x14ac:dyDescent="0.25">
      <c r="A793" s="16"/>
      <c r="B793" s="16"/>
      <c r="C793" s="16"/>
      <c r="D793" s="16"/>
      <c r="E793" s="16"/>
      <c r="F793" s="16"/>
      <c r="G793" s="16"/>
      <c r="H793" s="16"/>
      <c r="I793" s="16"/>
      <c r="J793" s="16"/>
      <c r="K793" s="16"/>
      <c r="L793" s="16"/>
      <c r="M793" s="16"/>
      <c r="N793" s="16"/>
      <c r="O793" s="16"/>
      <c r="P793" s="16"/>
      <c r="Q793" s="16"/>
      <c r="R793" s="16"/>
      <c r="S793" s="16"/>
      <c r="T793" s="16"/>
      <c r="U793" s="16"/>
      <c r="V793" s="16"/>
      <c r="W793" s="16"/>
      <c r="X793" s="16"/>
      <c r="Y793" s="16"/>
      <c r="Z793" s="16"/>
      <c r="AA793" s="16"/>
      <c r="AB793" s="16"/>
      <c r="AC793" s="16"/>
      <c r="AD793" s="16"/>
      <c r="AE793" s="16"/>
      <c r="AF793" s="16"/>
      <c r="AG793" s="16"/>
      <c r="AH793" s="16"/>
      <c r="AI793" s="16"/>
    </row>
    <row r="794" ht="12.75" customHeight="1" spans="1:35" x14ac:dyDescent="0.25">
      <c r="A794" s="16"/>
      <c r="B794" s="16"/>
      <c r="C794" s="16"/>
      <c r="D794" s="16"/>
      <c r="E794" s="16"/>
      <c r="F794" s="16"/>
      <c r="G794" s="16"/>
      <c r="H794" s="16"/>
      <c r="I794" s="16"/>
      <c r="J794" s="16"/>
      <c r="K794" s="16"/>
      <c r="L794" s="16"/>
      <c r="M794" s="16"/>
      <c r="N794" s="16"/>
      <c r="O794" s="16"/>
      <c r="P794" s="16"/>
      <c r="Q794" s="16"/>
      <c r="R794" s="16"/>
      <c r="S794" s="16"/>
      <c r="T794" s="16"/>
      <c r="U794" s="16"/>
      <c r="V794" s="16"/>
      <c r="W794" s="16"/>
      <c r="X794" s="16"/>
      <c r="Y794" s="16"/>
      <c r="Z794" s="16"/>
      <c r="AA794" s="16"/>
      <c r="AB794" s="16"/>
      <c r="AC794" s="16"/>
      <c r="AD794" s="16"/>
      <c r="AE794" s="16"/>
      <c r="AF794" s="16"/>
      <c r="AG794" s="16"/>
      <c r="AH794" s="16"/>
      <c r="AI794" s="16"/>
    </row>
    <row r="795" ht="12.75" customHeight="1" spans="1:35" x14ac:dyDescent="0.25">
      <c r="A795" s="16"/>
      <c r="B795" s="16"/>
      <c r="C795" s="16"/>
      <c r="D795" s="16"/>
      <c r="E795" s="16"/>
      <c r="F795" s="16"/>
      <c r="G795" s="16"/>
      <c r="H795" s="16"/>
      <c r="I795" s="16"/>
      <c r="J795" s="16"/>
      <c r="K795" s="16"/>
      <c r="L795" s="16"/>
      <c r="M795" s="16"/>
      <c r="N795" s="16"/>
      <c r="O795" s="16"/>
      <c r="P795" s="16"/>
      <c r="Q795" s="16"/>
      <c r="R795" s="16"/>
      <c r="S795" s="16"/>
      <c r="T795" s="16"/>
      <c r="U795" s="16"/>
      <c r="V795" s="16"/>
      <c r="W795" s="16"/>
      <c r="X795" s="16"/>
      <c r="Y795" s="16"/>
      <c r="Z795" s="16"/>
      <c r="AA795" s="16"/>
      <c r="AB795" s="16"/>
      <c r="AC795" s="16"/>
      <c r="AD795" s="16"/>
      <c r="AE795" s="16"/>
      <c r="AF795" s="16"/>
      <c r="AG795" s="16"/>
      <c r="AH795" s="16"/>
      <c r="AI795" s="16"/>
    </row>
    <row r="796" ht="12.75" customHeight="1" spans="1:35" x14ac:dyDescent="0.25">
      <c r="A796" s="16"/>
      <c r="B796" s="16"/>
      <c r="C796" s="16"/>
      <c r="D796" s="16"/>
      <c r="E796" s="16"/>
      <c r="F796" s="16"/>
      <c r="G796" s="16"/>
      <c r="H796" s="16"/>
      <c r="I796" s="16"/>
      <c r="J796" s="16"/>
      <c r="K796" s="16"/>
      <c r="L796" s="16"/>
      <c r="M796" s="16"/>
      <c r="N796" s="16"/>
      <c r="O796" s="16"/>
      <c r="P796" s="16"/>
      <c r="Q796" s="16"/>
      <c r="R796" s="16"/>
      <c r="S796" s="16"/>
      <c r="T796" s="16"/>
      <c r="U796" s="16"/>
      <c r="V796" s="16"/>
      <c r="W796" s="16"/>
      <c r="X796" s="16"/>
      <c r="Y796" s="16"/>
      <c r="Z796" s="16"/>
      <c r="AA796" s="16"/>
      <c r="AB796" s="16"/>
      <c r="AC796" s="16"/>
      <c r="AD796" s="16"/>
      <c r="AE796" s="16"/>
      <c r="AF796" s="16"/>
      <c r="AG796" s="16"/>
      <c r="AH796" s="16"/>
      <c r="AI796" s="16"/>
    </row>
    <row r="797" ht="12.75" customHeight="1" spans="1:35" x14ac:dyDescent="0.25">
      <c r="A797" s="16"/>
      <c r="B797" s="16"/>
      <c r="C797" s="16"/>
      <c r="D797" s="16"/>
      <c r="E797" s="16"/>
      <c r="F797" s="16"/>
      <c r="G797" s="16"/>
      <c r="H797" s="16"/>
      <c r="I797" s="16"/>
      <c r="J797" s="16"/>
      <c r="K797" s="16"/>
      <c r="L797" s="16"/>
      <c r="M797" s="16"/>
      <c r="N797" s="16"/>
      <c r="O797" s="16"/>
      <c r="P797" s="16"/>
      <c r="Q797" s="16"/>
      <c r="R797" s="16"/>
      <c r="S797" s="16"/>
      <c r="T797" s="16"/>
      <c r="U797" s="16"/>
      <c r="V797" s="16"/>
      <c r="W797" s="16"/>
      <c r="X797" s="16"/>
      <c r="Y797" s="16"/>
      <c r="Z797" s="16"/>
      <c r="AA797" s="16"/>
      <c r="AB797" s="16"/>
      <c r="AC797" s="16"/>
      <c r="AD797" s="16"/>
      <c r="AE797" s="16"/>
      <c r="AF797" s="16"/>
      <c r="AG797" s="16"/>
      <c r="AH797" s="16"/>
      <c r="AI797" s="16"/>
    </row>
    <row r="798" ht="12.75" customHeight="1" spans="1:35" x14ac:dyDescent="0.25">
      <c r="A798" s="16"/>
      <c r="B798" s="16"/>
      <c r="C798" s="16"/>
      <c r="D798" s="16"/>
      <c r="E798" s="16"/>
      <c r="F798" s="16"/>
      <c r="G798" s="16"/>
      <c r="H798" s="16"/>
      <c r="I798" s="16"/>
      <c r="J798" s="16"/>
      <c r="K798" s="16"/>
      <c r="L798" s="16"/>
      <c r="M798" s="16"/>
      <c r="N798" s="16"/>
      <c r="O798" s="16"/>
      <c r="P798" s="16"/>
      <c r="Q798" s="16"/>
      <c r="R798" s="16"/>
      <c r="S798" s="16"/>
      <c r="T798" s="16"/>
      <c r="U798" s="16"/>
      <c r="V798" s="16"/>
      <c r="W798" s="16"/>
      <c r="X798" s="16"/>
      <c r="Y798" s="16"/>
      <c r="Z798" s="16"/>
      <c r="AA798" s="16"/>
      <c r="AB798" s="16"/>
      <c r="AC798" s="16"/>
      <c r="AD798" s="16"/>
      <c r="AE798" s="16"/>
      <c r="AF798" s="16"/>
      <c r="AG798" s="16"/>
      <c r="AH798" s="16"/>
      <c r="AI798" s="16"/>
    </row>
    <row r="799" ht="12.75" customHeight="1" spans="1:35" x14ac:dyDescent="0.25">
      <c r="A799" s="16"/>
      <c r="B799" s="16"/>
      <c r="C799" s="16"/>
      <c r="D799" s="16"/>
      <c r="E799" s="16"/>
      <c r="F799" s="16"/>
      <c r="G799" s="16"/>
      <c r="H799" s="16"/>
      <c r="I799" s="16"/>
      <c r="J799" s="16"/>
      <c r="K799" s="16"/>
      <c r="L799" s="16"/>
      <c r="M799" s="16"/>
      <c r="N799" s="16"/>
      <c r="O799" s="16"/>
      <c r="P799" s="16"/>
      <c r="Q799" s="16"/>
      <c r="R799" s="16"/>
      <c r="S799" s="16"/>
      <c r="T799" s="16"/>
      <c r="U799" s="16"/>
      <c r="V799" s="16"/>
      <c r="W799" s="16"/>
      <c r="X799" s="16"/>
      <c r="Y799" s="16"/>
      <c r="Z799" s="16"/>
      <c r="AA799" s="16"/>
      <c r="AB799" s="16"/>
      <c r="AC799" s="16"/>
      <c r="AD799" s="16"/>
      <c r="AE799" s="16"/>
      <c r="AF799" s="16"/>
      <c r="AG799" s="16"/>
      <c r="AH799" s="16"/>
      <c r="AI799" s="16"/>
    </row>
    <row r="800" ht="12.75" customHeight="1" spans="1:35" x14ac:dyDescent="0.25">
      <c r="A800" s="16"/>
      <c r="B800" s="16"/>
      <c r="C800" s="16"/>
      <c r="D800" s="16"/>
      <c r="E800" s="16"/>
      <c r="F800" s="16"/>
      <c r="G800" s="16"/>
      <c r="H800" s="16"/>
      <c r="I800" s="16"/>
      <c r="J800" s="16"/>
      <c r="K800" s="16"/>
      <c r="L800" s="16"/>
      <c r="M800" s="16"/>
      <c r="N800" s="16"/>
      <c r="O800" s="16"/>
      <c r="P800" s="16"/>
      <c r="Q800" s="16"/>
      <c r="R800" s="16"/>
      <c r="S800" s="16"/>
      <c r="T800" s="16"/>
      <c r="U800" s="16"/>
      <c r="V800" s="16"/>
      <c r="W800" s="16"/>
      <c r="X800" s="16"/>
      <c r="Y800" s="16"/>
      <c r="Z800" s="16"/>
      <c r="AA800" s="16"/>
      <c r="AB800" s="16"/>
      <c r="AC800" s="16"/>
      <c r="AD800" s="16"/>
      <c r="AE800" s="16"/>
      <c r="AF800" s="16"/>
      <c r="AG800" s="16"/>
      <c r="AH800" s="16"/>
      <c r="AI800" s="16"/>
    </row>
    <row r="801" ht="12.75" customHeight="1" spans="1:35" x14ac:dyDescent="0.25">
      <c r="A801" s="16"/>
      <c r="B801" s="16"/>
      <c r="C801" s="16"/>
      <c r="D801" s="16"/>
      <c r="E801" s="16"/>
      <c r="F801" s="16"/>
      <c r="G801" s="16"/>
      <c r="H801" s="16"/>
      <c r="I801" s="16"/>
      <c r="J801" s="16"/>
      <c r="K801" s="16"/>
      <c r="L801" s="16"/>
      <c r="M801" s="16"/>
      <c r="N801" s="16"/>
      <c r="O801" s="16"/>
      <c r="P801" s="16"/>
      <c r="Q801" s="16"/>
      <c r="R801" s="16"/>
      <c r="S801" s="16"/>
      <c r="T801" s="16"/>
      <c r="U801" s="16"/>
      <c r="V801" s="16"/>
      <c r="W801" s="16"/>
      <c r="X801" s="16"/>
      <c r="Y801" s="16"/>
      <c r="Z801" s="16"/>
      <c r="AA801" s="16"/>
      <c r="AB801" s="16"/>
      <c r="AC801" s="16"/>
      <c r="AD801" s="16"/>
      <c r="AE801" s="16"/>
      <c r="AF801" s="16"/>
      <c r="AG801" s="16"/>
      <c r="AH801" s="16"/>
      <c r="AI801" s="16"/>
    </row>
    <row r="802" ht="12.75" customHeight="1" spans="1:35" x14ac:dyDescent="0.25">
      <c r="A802" s="16"/>
      <c r="B802" s="16"/>
      <c r="C802" s="16"/>
      <c r="D802" s="16"/>
      <c r="E802" s="16"/>
      <c r="F802" s="16"/>
      <c r="G802" s="16"/>
      <c r="H802" s="16"/>
      <c r="I802" s="16"/>
      <c r="J802" s="16"/>
      <c r="K802" s="16"/>
      <c r="L802" s="16"/>
      <c r="M802" s="16"/>
      <c r="N802" s="16"/>
      <c r="O802" s="16"/>
      <c r="P802" s="16"/>
      <c r="Q802" s="16"/>
      <c r="R802" s="16"/>
      <c r="S802" s="16"/>
      <c r="T802" s="16"/>
      <c r="U802" s="16"/>
      <c r="V802" s="16"/>
      <c r="W802" s="16"/>
      <c r="X802" s="16"/>
      <c r="Y802" s="16"/>
      <c r="Z802" s="16"/>
      <c r="AA802" s="16"/>
      <c r="AB802" s="16"/>
      <c r="AC802" s="16"/>
      <c r="AD802" s="16"/>
      <c r="AE802" s="16"/>
      <c r="AF802" s="16"/>
      <c r="AG802" s="16"/>
      <c r="AH802" s="16"/>
      <c r="AI802" s="16"/>
    </row>
    <row r="803" ht="12.75" customHeight="1" spans="1:35" x14ac:dyDescent="0.25">
      <c r="A803" s="16"/>
      <c r="B803" s="16"/>
      <c r="C803" s="16"/>
      <c r="D803" s="16"/>
      <c r="E803" s="16"/>
      <c r="F803" s="16"/>
      <c r="G803" s="16"/>
      <c r="H803" s="16"/>
      <c r="I803" s="16"/>
      <c r="J803" s="16"/>
      <c r="K803" s="16"/>
      <c r="L803" s="16"/>
      <c r="M803" s="16"/>
      <c r="N803" s="16"/>
      <c r="O803" s="16"/>
      <c r="P803" s="16"/>
      <c r="Q803" s="16"/>
      <c r="R803" s="16"/>
      <c r="S803" s="16"/>
      <c r="T803" s="16"/>
      <c r="U803" s="16"/>
      <c r="V803" s="16"/>
      <c r="W803" s="16"/>
      <c r="X803" s="16"/>
      <c r="Y803" s="16"/>
      <c r="Z803" s="16"/>
      <c r="AA803" s="16"/>
      <c r="AB803" s="16"/>
      <c r="AC803" s="16"/>
      <c r="AD803" s="16"/>
      <c r="AE803" s="16"/>
      <c r="AF803" s="16"/>
      <c r="AG803" s="16"/>
      <c r="AH803" s="16"/>
      <c r="AI803" s="16"/>
    </row>
    <row r="804" ht="12.75" customHeight="1" spans="1:35" x14ac:dyDescent="0.25">
      <c r="A804" s="16"/>
      <c r="B804" s="16"/>
      <c r="C804" s="16"/>
      <c r="D804" s="16"/>
      <c r="E804" s="16"/>
      <c r="F804" s="16"/>
      <c r="G804" s="16"/>
      <c r="H804" s="16"/>
      <c r="I804" s="16"/>
      <c r="J804" s="16"/>
      <c r="K804" s="16"/>
      <c r="L804" s="16"/>
      <c r="M804" s="16"/>
      <c r="N804" s="16"/>
      <c r="O804" s="16"/>
      <c r="P804" s="16"/>
      <c r="Q804" s="16"/>
      <c r="R804" s="16"/>
      <c r="S804" s="16"/>
      <c r="T804" s="16"/>
      <c r="U804" s="16"/>
      <c r="V804" s="16"/>
      <c r="W804" s="16"/>
      <c r="X804" s="16"/>
      <c r="Y804" s="16"/>
      <c r="Z804" s="16"/>
      <c r="AA804" s="16"/>
      <c r="AB804" s="16"/>
      <c r="AC804" s="16"/>
      <c r="AD804" s="16"/>
      <c r="AE804" s="16"/>
      <c r="AF804" s="16"/>
      <c r="AG804" s="16"/>
      <c r="AH804" s="16"/>
      <c r="AI804" s="16"/>
    </row>
    <row r="805" ht="12.75" customHeight="1" spans="1:35" x14ac:dyDescent="0.25">
      <c r="A805" s="16"/>
      <c r="B805" s="16"/>
      <c r="C805" s="16"/>
      <c r="D805" s="16"/>
      <c r="E805" s="16"/>
      <c r="F805" s="16"/>
      <c r="G805" s="16"/>
      <c r="H805" s="16"/>
      <c r="I805" s="16"/>
      <c r="J805" s="16"/>
      <c r="K805" s="16"/>
      <c r="L805" s="16"/>
      <c r="M805" s="16"/>
      <c r="N805" s="16"/>
      <c r="O805" s="16"/>
      <c r="P805" s="16"/>
      <c r="Q805" s="16"/>
      <c r="R805" s="16"/>
      <c r="S805" s="16"/>
      <c r="T805" s="16"/>
      <c r="U805" s="16"/>
      <c r="V805" s="16"/>
      <c r="W805" s="16"/>
      <c r="X805" s="16"/>
      <c r="Y805" s="16"/>
      <c r="Z805" s="16"/>
      <c r="AA805" s="16"/>
      <c r="AB805" s="16"/>
      <c r="AC805" s="16"/>
      <c r="AD805" s="16"/>
      <c r="AE805" s="16"/>
      <c r="AF805" s="16"/>
      <c r="AG805" s="16"/>
      <c r="AH805" s="16"/>
      <c r="AI805" s="16"/>
    </row>
    <row r="806" ht="12.75" customHeight="1" spans="1:35" x14ac:dyDescent="0.25">
      <c r="A806" s="16"/>
      <c r="B806" s="16"/>
      <c r="C806" s="16"/>
      <c r="D806" s="16"/>
      <c r="E806" s="16"/>
      <c r="F806" s="16"/>
      <c r="G806" s="16"/>
      <c r="H806" s="16"/>
      <c r="I806" s="16"/>
      <c r="J806" s="16"/>
      <c r="K806" s="16"/>
      <c r="L806" s="16"/>
      <c r="M806" s="16"/>
      <c r="N806" s="16"/>
      <c r="O806" s="16"/>
      <c r="P806" s="16"/>
      <c r="Q806" s="16"/>
      <c r="R806" s="16"/>
      <c r="S806" s="16"/>
      <c r="T806" s="16"/>
      <c r="U806" s="16"/>
      <c r="V806" s="16"/>
      <c r="W806" s="16"/>
      <c r="X806" s="16"/>
      <c r="Y806" s="16"/>
      <c r="Z806" s="16"/>
      <c r="AA806" s="16"/>
      <c r="AB806" s="16"/>
      <c r="AC806" s="16"/>
      <c r="AD806" s="16"/>
      <c r="AE806" s="16"/>
      <c r="AF806" s="16"/>
      <c r="AG806" s="16"/>
      <c r="AH806" s="16"/>
      <c r="AI806" s="16"/>
    </row>
    <row r="807" ht="12.75" customHeight="1" spans="1:35" x14ac:dyDescent="0.25">
      <c r="A807" s="16"/>
      <c r="B807" s="16"/>
      <c r="C807" s="16"/>
      <c r="D807" s="16"/>
      <c r="E807" s="16"/>
      <c r="F807" s="16"/>
      <c r="G807" s="16"/>
      <c r="H807" s="16"/>
      <c r="I807" s="16"/>
      <c r="J807" s="16"/>
      <c r="K807" s="16"/>
      <c r="L807" s="16"/>
      <c r="M807" s="16"/>
      <c r="N807" s="16"/>
      <c r="O807" s="16"/>
      <c r="P807" s="16"/>
      <c r="Q807" s="16"/>
      <c r="R807" s="16"/>
      <c r="S807" s="16"/>
      <c r="T807" s="16"/>
      <c r="U807" s="16"/>
      <c r="V807" s="16"/>
      <c r="W807" s="16"/>
      <c r="X807" s="16"/>
      <c r="Y807" s="16"/>
      <c r="Z807" s="16"/>
      <c r="AA807" s="16"/>
      <c r="AB807" s="16"/>
      <c r="AC807" s="16"/>
      <c r="AD807" s="16"/>
      <c r="AE807" s="16"/>
      <c r="AF807" s="16"/>
      <c r="AG807" s="16"/>
      <c r="AH807" s="16"/>
      <c r="AI807" s="16"/>
    </row>
    <row r="808" ht="12.75" customHeight="1" spans="1:35" x14ac:dyDescent="0.25">
      <c r="A808" s="16"/>
      <c r="B808" s="16"/>
      <c r="C808" s="16"/>
      <c r="D808" s="16"/>
      <c r="E808" s="16"/>
      <c r="F808" s="16"/>
      <c r="G808" s="16"/>
      <c r="H808" s="16"/>
      <c r="I808" s="16"/>
      <c r="J808" s="16"/>
      <c r="K808" s="16"/>
      <c r="L808" s="16"/>
      <c r="M808" s="16"/>
      <c r="N808" s="16"/>
      <c r="O808" s="16"/>
      <c r="P808" s="16"/>
      <c r="Q808" s="16"/>
      <c r="R808" s="16"/>
      <c r="S808" s="16"/>
      <c r="T808" s="16"/>
      <c r="U808" s="16"/>
      <c r="V808" s="16"/>
      <c r="W808" s="16"/>
      <c r="X808" s="16"/>
      <c r="Y808" s="16"/>
      <c r="Z808" s="16"/>
      <c r="AA808" s="16"/>
      <c r="AB808" s="16"/>
      <c r="AC808" s="16"/>
      <c r="AD808" s="16"/>
      <c r="AE808" s="16"/>
      <c r="AF808" s="16"/>
      <c r="AG808" s="16"/>
      <c r="AH808" s="16"/>
      <c r="AI808" s="16"/>
    </row>
    <row r="809" ht="12.75" customHeight="1" spans="1:35" x14ac:dyDescent="0.25">
      <c r="A809" s="16"/>
      <c r="B809" s="16"/>
      <c r="C809" s="16"/>
      <c r="D809" s="16"/>
      <c r="E809" s="16"/>
      <c r="F809" s="16"/>
      <c r="G809" s="16"/>
      <c r="H809" s="16"/>
      <c r="I809" s="16"/>
      <c r="J809" s="16"/>
      <c r="K809" s="16"/>
      <c r="L809" s="16"/>
      <c r="M809" s="16"/>
      <c r="N809" s="16"/>
      <c r="O809" s="16"/>
      <c r="P809" s="16"/>
      <c r="Q809" s="16"/>
      <c r="R809" s="16"/>
      <c r="S809" s="16"/>
      <c r="T809" s="16"/>
      <c r="U809" s="16"/>
      <c r="V809" s="16"/>
      <c r="W809" s="16"/>
      <c r="X809" s="16"/>
      <c r="Y809" s="16"/>
      <c r="Z809" s="16"/>
      <c r="AA809" s="16"/>
      <c r="AB809" s="16"/>
      <c r="AC809" s="16"/>
      <c r="AD809" s="16"/>
      <c r="AE809" s="16"/>
      <c r="AF809" s="16"/>
      <c r="AG809" s="16"/>
      <c r="AH809" s="16"/>
      <c r="AI809" s="16"/>
    </row>
    <row r="810" ht="12.75" customHeight="1" spans="1:35" x14ac:dyDescent="0.25">
      <c r="A810" s="16"/>
      <c r="B810" s="16"/>
      <c r="C810" s="16"/>
      <c r="D810" s="16"/>
      <c r="E810" s="16"/>
      <c r="F810" s="16"/>
      <c r="G810" s="16"/>
      <c r="H810" s="16"/>
      <c r="I810" s="16"/>
      <c r="J810" s="16"/>
      <c r="K810" s="16"/>
      <c r="L810" s="16"/>
      <c r="M810" s="16"/>
      <c r="N810" s="16"/>
      <c r="O810" s="16"/>
      <c r="P810" s="16"/>
      <c r="Q810" s="16"/>
      <c r="R810" s="16"/>
      <c r="S810" s="16"/>
      <c r="T810" s="16"/>
      <c r="U810" s="16"/>
      <c r="V810" s="16"/>
      <c r="W810" s="16"/>
      <c r="X810" s="16"/>
      <c r="Y810" s="16"/>
      <c r="Z810" s="16"/>
      <c r="AA810" s="16"/>
      <c r="AB810" s="16"/>
      <c r="AC810" s="16"/>
      <c r="AD810" s="16"/>
      <c r="AE810" s="16"/>
      <c r="AF810" s="16"/>
      <c r="AG810" s="16"/>
      <c r="AH810" s="16"/>
      <c r="AI810" s="16"/>
    </row>
    <row r="811" ht="12.75" customHeight="1" spans="1:35" x14ac:dyDescent="0.25">
      <c r="A811" s="16"/>
      <c r="B811" s="16"/>
      <c r="C811" s="16"/>
      <c r="D811" s="16"/>
      <c r="E811" s="16"/>
      <c r="F811" s="16"/>
      <c r="G811" s="16"/>
      <c r="H811" s="16"/>
      <c r="I811" s="16"/>
      <c r="J811" s="16"/>
      <c r="K811" s="16"/>
      <c r="L811" s="16"/>
      <c r="M811" s="16"/>
      <c r="N811" s="16"/>
      <c r="O811" s="16"/>
      <c r="P811" s="16"/>
      <c r="Q811" s="16"/>
      <c r="R811" s="16"/>
      <c r="S811" s="16"/>
      <c r="T811" s="16"/>
      <c r="U811" s="16"/>
      <c r="V811" s="16"/>
      <c r="W811" s="16"/>
      <c r="X811" s="16"/>
      <c r="Y811" s="16"/>
      <c r="Z811" s="16"/>
      <c r="AA811" s="16"/>
      <c r="AB811" s="16"/>
      <c r="AC811" s="16"/>
      <c r="AD811" s="16"/>
      <c r="AE811" s="16"/>
      <c r="AF811" s="16"/>
      <c r="AG811" s="16"/>
      <c r="AH811" s="16"/>
      <c r="AI811" s="16"/>
    </row>
    <row r="812" ht="12.75" customHeight="1" spans="1:35" x14ac:dyDescent="0.25">
      <c r="A812" s="16"/>
      <c r="B812" s="16"/>
      <c r="C812" s="16"/>
      <c r="D812" s="16"/>
      <c r="E812" s="16"/>
      <c r="F812" s="16"/>
      <c r="G812" s="16"/>
      <c r="H812" s="16"/>
      <c r="I812" s="16"/>
      <c r="J812" s="16"/>
      <c r="K812" s="16"/>
      <c r="L812" s="16"/>
      <c r="M812" s="16"/>
      <c r="N812" s="16"/>
      <c r="O812" s="16"/>
      <c r="P812" s="16"/>
      <c r="Q812" s="16"/>
      <c r="R812" s="16"/>
      <c r="S812" s="16"/>
      <c r="T812" s="16"/>
      <c r="U812" s="16"/>
      <c r="V812" s="16"/>
      <c r="W812" s="16"/>
      <c r="X812" s="16"/>
      <c r="Y812" s="16"/>
      <c r="Z812" s="16"/>
      <c r="AA812" s="16"/>
      <c r="AB812" s="16"/>
      <c r="AC812" s="16"/>
      <c r="AD812" s="16"/>
      <c r="AE812" s="16"/>
      <c r="AF812" s="16"/>
      <c r="AG812" s="16"/>
      <c r="AH812" s="16"/>
      <c r="AI812" s="16"/>
    </row>
    <row r="813" ht="12.75" customHeight="1" spans="1:35" x14ac:dyDescent="0.25">
      <c r="A813" s="16"/>
      <c r="B813" s="16"/>
      <c r="C813" s="16"/>
      <c r="D813" s="16"/>
      <c r="E813" s="16"/>
      <c r="F813" s="16"/>
      <c r="G813" s="16"/>
      <c r="H813" s="16"/>
      <c r="I813" s="16"/>
      <c r="J813" s="16"/>
      <c r="K813" s="16"/>
      <c r="L813" s="16"/>
      <c r="M813" s="16"/>
      <c r="N813" s="16"/>
      <c r="O813" s="16"/>
      <c r="P813" s="16"/>
      <c r="Q813" s="16"/>
      <c r="R813" s="16"/>
      <c r="S813" s="16"/>
      <c r="T813" s="16"/>
      <c r="U813" s="16"/>
      <c r="V813" s="16"/>
      <c r="W813" s="16"/>
      <c r="X813" s="16"/>
      <c r="Y813" s="16"/>
      <c r="Z813" s="16"/>
      <c r="AA813" s="16"/>
      <c r="AB813" s="16"/>
      <c r="AC813" s="16"/>
      <c r="AD813" s="16"/>
      <c r="AE813" s="16"/>
      <c r="AF813" s="16"/>
      <c r="AG813" s="16"/>
      <c r="AH813" s="16"/>
      <c r="AI813" s="16"/>
    </row>
    <row r="814" ht="12.75" customHeight="1" spans="1:35" x14ac:dyDescent="0.25">
      <c r="A814" s="16"/>
      <c r="B814" s="16"/>
      <c r="C814" s="16"/>
      <c r="D814" s="16"/>
      <c r="E814" s="16"/>
      <c r="F814" s="16"/>
      <c r="G814" s="16"/>
      <c r="H814" s="16"/>
      <c r="I814" s="16"/>
      <c r="J814" s="16"/>
      <c r="K814" s="16"/>
      <c r="L814" s="16"/>
      <c r="M814" s="16"/>
      <c r="N814" s="16"/>
      <c r="O814" s="16"/>
      <c r="P814" s="16"/>
      <c r="Q814" s="16"/>
      <c r="R814" s="16"/>
      <c r="S814" s="16"/>
      <c r="T814" s="16"/>
      <c r="U814" s="16"/>
      <c r="V814" s="16"/>
      <c r="W814" s="16"/>
      <c r="X814" s="16"/>
      <c r="Y814" s="16"/>
      <c r="Z814" s="16"/>
      <c r="AA814" s="16"/>
      <c r="AB814" s="16"/>
      <c r="AC814" s="16"/>
      <c r="AD814" s="16"/>
      <c r="AE814" s="16"/>
      <c r="AF814" s="16"/>
      <c r="AG814" s="16"/>
      <c r="AH814" s="16"/>
      <c r="AI814" s="16"/>
    </row>
    <row r="815" ht="12.75" customHeight="1" spans="1:35" x14ac:dyDescent="0.25">
      <c r="A815" s="16"/>
      <c r="B815" s="16"/>
      <c r="C815" s="16"/>
      <c r="D815" s="16"/>
      <c r="E815" s="16"/>
      <c r="F815" s="16"/>
      <c r="G815" s="16"/>
      <c r="H815" s="16"/>
      <c r="I815" s="16"/>
      <c r="J815" s="16"/>
      <c r="K815" s="16"/>
      <c r="L815" s="16"/>
      <c r="M815" s="16"/>
      <c r="N815" s="16"/>
      <c r="O815" s="16"/>
      <c r="P815" s="16"/>
      <c r="Q815" s="16"/>
      <c r="R815" s="16"/>
      <c r="S815" s="16"/>
      <c r="T815" s="16"/>
      <c r="U815" s="16"/>
      <c r="V815" s="16"/>
      <c r="W815" s="16"/>
      <c r="X815" s="16"/>
      <c r="Y815" s="16"/>
      <c r="Z815" s="16"/>
      <c r="AA815" s="16"/>
      <c r="AB815" s="16"/>
      <c r="AC815" s="16"/>
      <c r="AD815" s="16"/>
      <c r="AE815" s="16"/>
      <c r="AF815" s="16"/>
      <c r="AG815" s="16"/>
      <c r="AH815" s="16"/>
      <c r="AI815" s="16"/>
    </row>
    <row r="816" ht="12.75" customHeight="1" spans="1:35" x14ac:dyDescent="0.25">
      <c r="A816" s="16"/>
      <c r="B816" s="16"/>
      <c r="C816" s="16"/>
      <c r="D816" s="16"/>
      <c r="E816" s="16"/>
      <c r="F816" s="16"/>
      <c r="G816" s="16"/>
      <c r="H816" s="16"/>
      <c r="I816" s="16"/>
      <c r="J816" s="16"/>
      <c r="K816" s="16"/>
      <c r="L816" s="16"/>
      <c r="M816" s="16"/>
      <c r="N816" s="16"/>
      <c r="O816" s="16"/>
      <c r="P816" s="16"/>
      <c r="Q816" s="16"/>
      <c r="R816" s="16"/>
      <c r="S816" s="16"/>
      <c r="T816" s="16"/>
      <c r="U816" s="16"/>
      <c r="V816" s="16"/>
      <c r="W816" s="16"/>
      <c r="X816" s="16"/>
      <c r="Y816" s="16"/>
      <c r="Z816" s="16"/>
      <c r="AA816" s="16"/>
      <c r="AB816" s="16"/>
      <c r="AC816" s="16"/>
      <c r="AD816" s="16"/>
      <c r="AE816" s="16"/>
      <c r="AF816" s="16"/>
      <c r="AG816" s="16"/>
      <c r="AH816" s="16"/>
      <c r="AI816" s="16"/>
    </row>
    <row r="817" ht="12.75" customHeight="1" spans="1:35" x14ac:dyDescent="0.25">
      <c r="A817" s="16"/>
      <c r="B817" s="16"/>
      <c r="C817" s="16"/>
      <c r="D817" s="16"/>
      <c r="E817" s="16"/>
      <c r="F817" s="16"/>
      <c r="G817" s="16"/>
      <c r="H817" s="16"/>
      <c r="I817" s="16"/>
      <c r="J817" s="16"/>
      <c r="K817" s="16"/>
      <c r="L817" s="16"/>
      <c r="M817" s="16"/>
      <c r="N817" s="16"/>
      <c r="O817" s="16"/>
      <c r="P817" s="16"/>
      <c r="Q817" s="16"/>
      <c r="R817" s="16"/>
      <c r="S817" s="16"/>
      <c r="T817" s="16"/>
      <c r="U817" s="16"/>
      <c r="V817" s="16"/>
      <c r="W817" s="16"/>
      <c r="X817" s="16"/>
      <c r="Y817" s="16"/>
      <c r="Z817" s="16"/>
      <c r="AA817" s="16"/>
      <c r="AB817" s="16"/>
      <c r="AC817" s="16"/>
      <c r="AD817" s="16"/>
      <c r="AE817" s="16"/>
      <c r="AF817" s="16"/>
      <c r="AG817" s="16"/>
      <c r="AH817" s="16"/>
      <c r="AI817" s="16"/>
    </row>
    <row r="818" ht="12.75" customHeight="1" spans="1:35" x14ac:dyDescent="0.25">
      <c r="A818" s="16"/>
      <c r="B818" s="16"/>
      <c r="C818" s="16"/>
      <c r="D818" s="16"/>
      <c r="E818" s="16"/>
      <c r="F818" s="16"/>
      <c r="G818" s="16"/>
      <c r="H818" s="16"/>
      <c r="I818" s="16"/>
      <c r="J818" s="16"/>
      <c r="K818" s="16"/>
      <c r="L818" s="16"/>
      <c r="M818" s="16"/>
      <c r="N818" s="16"/>
      <c r="O818" s="16"/>
      <c r="P818" s="16"/>
      <c r="Q818" s="16"/>
      <c r="R818" s="16"/>
      <c r="S818" s="16"/>
      <c r="T818" s="16"/>
      <c r="U818" s="16"/>
      <c r="V818" s="16"/>
      <c r="W818" s="16"/>
      <c r="X818" s="16"/>
      <c r="Y818" s="16"/>
      <c r="Z818" s="16"/>
      <c r="AA818" s="16"/>
      <c r="AB818" s="16"/>
      <c r="AC818" s="16"/>
      <c r="AD818" s="16"/>
      <c r="AE818" s="16"/>
      <c r="AF818" s="16"/>
      <c r="AG818" s="16"/>
      <c r="AH818" s="16"/>
      <c r="AI818" s="16"/>
    </row>
    <row r="819" ht="12.75" customHeight="1" spans="1:35" x14ac:dyDescent="0.25">
      <c r="A819" s="16"/>
      <c r="B819" s="16"/>
      <c r="C819" s="16"/>
      <c r="D819" s="16"/>
      <c r="E819" s="16"/>
      <c r="F819" s="16"/>
      <c r="G819" s="16"/>
      <c r="H819" s="16"/>
      <c r="I819" s="16"/>
      <c r="J819" s="16"/>
      <c r="K819" s="16"/>
      <c r="L819" s="16"/>
      <c r="M819" s="16"/>
      <c r="N819" s="16"/>
      <c r="O819" s="16"/>
      <c r="P819" s="16"/>
      <c r="Q819" s="16"/>
      <c r="R819" s="16"/>
      <c r="S819" s="16"/>
      <c r="T819" s="16"/>
      <c r="U819" s="16"/>
      <c r="V819" s="16"/>
      <c r="W819" s="16"/>
      <c r="X819" s="16"/>
      <c r="Y819" s="16"/>
      <c r="Z819" s="16"/>
      <c r="AA819" s="16"/>
      <c r="AB819" s="16"/>
      <c r="AC819" s="16"/>
      <c r="AD819" s="16"/>
      <c r="AE819" s="16"/>
      <c r="AF819" s="16"/>
      <c r="AG819" s="16"/>
      <c r="AH819" s="16"/>
      <c r="AI819" s="16"/>
    </row>
    <row r="820" ht="12.75" customHeight="1" spans="1:35" x14ac:dyDescent="0.25">
      <c r="A820" s="16"/>
      <c r="B820" s="16"/>
      <c r="C820" s="16"/>
      <c r="D820" s="16"/>
      <c r="E820" s="16"/>
      <c r="F820" s="16"/>
      <c r="G820" s="16"/>
      <c r="H820" s="16"/>
      <c r="I820" s="16"/>
      <c r="J820" s="16"/>
      <c r="K820" s="16"/>
      <c r="L820" s="16"/>
      <c r="M820" s="16"/>
      <c r="N820" s="16"/>
      <c r="O820" s="16"/>
      <c r="P820" s="16"/>
      <c r="Q820" s="16"/>
      <c r="R820" s="16"/>
      <c r="S820" s="16"/>
      <c r="T820" s="16"/>
      <c r="U820" s="16"/>
      <c r="V820" s="16"/>
      <c r="W820" s="16"/>
      <c r="X820" s="16"/>
      <c r="Y820" s="16"/>
      <c r="Z820" s="16"/>
      <c r="AA820" s="16"/>
      <c r="AB820" s="16"/>
      <c r="AC820" s="16"/>
      <c r="AD820" s="16"/>
      <c r="AE820" s="16"/>
      <c r="AF820" s="16"/>
      <c r="AG820" s="16"/>
      <c r="AH820" s="16"/>
      <c r="AI820" s="16"/>
    </row>
    <row r="821" ht="12.75" customHeight="1" spans="1:35" x14ac:dyDescent="0.25">
      <c r="A821" s="16"/>
      <c r="B821" s="16"/>
      <c r="C821" s="16"/>
      <c r="D821" s="16"/>
      <c r="E821" s="16"/>
      <c r="F821" s="16"/>
      <c r="G821" s="16"/>
      <c r="H821" s="16"/>
      <c r="I821" s="16"/>
      <c r="J821" s="16"/>
      <c r="K821" s="16"/>
      <c r="L821" s="16"/>
      <c r="M821" s="16"/>
      <c r="N821" s="16"/>
      <c r="O821" s="16"/>
      <c r="P821" s="16"/>
      <c r="Q821" s="16"/>
      <c r="R821" s="16"/>
      <c r="S821" s="16"/>
      <c r="T821" s="16"/>
      <c r="U821" s="16"/>
      <c r="V821" s="16"/>
      <c r="W821" s="16"/>
      <c r="X821" s="16"/>
      <c r="Y821" s="16"/>
      <c r="Z821" s="16"/>
      <c r="AA821" s="16"/>
      <c r="AB821" s="16"/>
      <c r="AC821" s="16"/>
      <c r="AD821" s="16"/>
      <c r="AE821" s="16"/>
      <c r="AF821" s="16"/>
      <c r="AG821" s="16"/>
      <c r="AH821" s="16"/>
      <c r="AI821" s="16"/>
    </row>
    <row r="822" ht="12.75" customHeight="1" spans="1:35" x14ac:dyDescent="0.25">
      <c r="A822" s="16"/>
      <c r="B822" s="16"/>
      <c r="C822" s="16"/>
      <c r="D822" s="16"/>
      <c r="E822" s="16"/>
      <c r="F822" s="16"/>
      <c r="G822" s="16"/>
      <c r="H822" s="16"/>
      <c r="I822" s="16"/>
      <c r="J822" s="16"/>
      <c r="K822" s="16"/>
      <c r="L822" s="16"/>
      <c r="M822" s="16"/>
      <c r="N822" s="16"/>
      <c r="O822" s="16"/>
      <c r="P822" s="16"/>
      <c r="Q822" s="16"/>
      <c r="R822" s="16"/>
      <c r="S822" s="16"/>
      <c r="T822" s="16"/>
      <c r="U822" s="16"/>
      <c r="V822" s="16"/>
      <c r="W822" s="16"/>
      <c r="X822" s="16"/>
      <c r="Y822" s="16"/>
      <c r="Z822" s="16"/>
      <c r="AA822" s="16"/>
      <c r="AB822" s="16"/>
      <c r="AC822" s="16"/>
      <c r="AD822" s="16"/>
      <c r="AE822" s="16"/>
      <c r="AF822" s="16"/>
      <c r="AG822" s="16"/>
      <c r="AH822" s="16"/>
      <c r="AI822" s="16"/>
    </row>
    <row r="823" ht="12.75" customHeight="1" spans="1:35" x14ac:dyDescent="0.25">
      <c r="A823" s="16"/>
      <c r="B823" s="16"/>
      <c r="C823" s="16"/>
      <c r="D823" s="16"/>
      <c r="E823" s="16"/>
      <c r="F823" s="16"/>
      <c r="G823" s="16"/>
      <c r="H823" s="16"/>
      <c r="I823" s="16"/>
      <c r="J823" s="16"/>
      <c r="K823" s="16"/>
      <c r="L823" s="16"/>
      <c r="M823" s="16"/>
      <c r="N823" s="16"/>
      <c r="O823" s="16"/>
      <c r="P823" s="16"/>
      <c r="Q823" s="16"/>
      <c r="R823" s="16"/>
      <c r="S823" s="16"/>
      <c r="T823" s="16"/>
      <c r="U823" s="16"/>
      <c r="V823" s="16"/>
      <c r="W823" s="16"/>
      <c r="X823" s="16"/>
      <c r="Y823" s="16"/>
      <c r="Z823" s="16"/>
      <c r="AA823" s="16"/>
      <c r="AB823" s="16"/>
      <c r="AC823" s="16"/>
      <c r="AD823" s="16"/>
      <c r="AE823" s="16"/>
      <c r="AF823" s="16"/>
      <c r="AG823" s="16"/>
      <c r="AH823" s="16"/>
      <c r="AI823" s="16"/>
    </row>
    <row r="824" ht="12.75" customHeight="1" spans="1:35" x14ac:dyDescent="0.25">
      <c r="A824" s="16"/>
      <c r="B824" s="16"/>
      <c r="C824" s="16"/>
      <c r="D824" s="16"/>
      <c r="E824" s="16"/>
      <c r="F824" s="16"/>
      <c r="G824" s="16"/>
      <c r="H824" s="16"/>
      <c r="I824" s="16"/>
      <c r="J824" s="16"/>
      <c r="K824" s="16"/>
      <c r="L824" s="16"/>
      <c r="M824" s="16"/>
      <c r="N824" s="16"/>
      <c r="O824" s="16"/>
      <c r="P824" s="16"/>
      <c r="Q824" s="16"/>
      <c r="R824" s="16"/>
      <c r="S824" s="16"/>
      <c r="T824" s="16"/>
      <c r="U824" s="16"/>
      <c r="V824" s="16"/>
      <c r="W824" s="16"/>
      <c r="X824" s="16"/>
      <c r="Y824" s="16"/>
      <c r="Z824" s="16"/>
      <c r="AA824" s="16"/>
      <c r="AB824" s="16"/>
      <c r="AC824" s="16"/>
      <c r="AD824" s="16"/>
      <c r="AE824" s="16"/>
      <c r="AF824" s="16"/>
      <c r="AG824" s="16"/>
      <c r="AH824" s="16"/>
      <c r="AI824" s="16"/>
    </row>
    <row r="825" ht="12.75" customHeight="1" spans="1:35" x14ac:dyDescent="0.25">
      <c r="A825" s="16"/>
      <c r="B825" s="16"/>
      <c r="C825" s="16"/>
      <c r="D825" s="16"/>
      <c r="E825" s="16"/>
      <c r="F825" s="16"/>
      <c r="G825" s="16"/>
      <c r="H825" s="16"/>
      <c r="I825" s="16"/>
      <c r="J825" s="16"/>
      <c r="K825" s="16"/>
      <c r="L825" s="16"/>
      <c r="M825" s="16"/>
      <c r="N825" s="16"/>
      <c r="O825" s="16"/>
      <c r="P825" s="16"/>
      <c r="Q825" s="16"/>
      <c r="R825" s="16"/>
      <c r="S825" s="16"/>
      <c r="T825" s="16"/>
      <c r="U825" s="16"/>
      <c r="V825" s="16"/>
      <c r="W825" s="16"/>
      <c r="X825" s="16"/>
      <c r="Y825" s="16"/>
      <c r="Z825" s="16"/>
      <c r="AA825" s="16"/>
      <c r="AB825" s="16"/>
      <c r="AC825" s="16"/>
      <c r="AD825" s="16"/>
      <c r="AE825" s="16"/>
      <c r="AF825" s="16"/>
      <c r="AG825" s="16"/>
      <c r="AH825" s="16"/>
      <c r="AI825" s="16"/>
    </row>
    <row r="826" ht="12.75" customHeight="1" spans="1:35" x14ac:dyDescent="0.25">
      <c r="A826" s="16"/>
      <c r="B826" s="16"/>
      <c r="C826" s="16"/>
      <c r="D826" s="16"/>
      <c r="E826" s="16"/>
      <c r="F826" s="16"/>
      <c r="G826" s="16"/>
      <c r="H826" s="16"/>
      <c r="I826" s="16"/>
      <c r="J826" s="16"/>
      <c r="K826" s="16"/>
      <c r="L826" s="16"/>
      <c r="M826" s="16"/>
      <c r="N826" s="16"/>
      <c r="O826" s="16"/>
      <c r="P826" s="16"/>
      <c r="Q826" s="16"/>
      <c r="R826" s="16"/>
      <c r="S826" s="16"/>
      <c r="T826" s="16"/>
      <c r="U826" s="16"/>
      <c r="V826" s="16"/>
      <c r="W826" s="16"/>
      <c r="X826" s="16"/>
      <c r="Y826" s="16"/>
      <c r="Z826" s="16"/>
      <c r="AA826" s="16"/>
      <c r="AB826" s="16"/>
      <c r="AC826" s="16"/>
      <c r="AD826" s="16"/>
      <c r="AE826" s="16"/>
      <c r="AF826" s="16"/>
      <c r="AG826" s="16"/>
      <c r="AH826" s="16"/>
      <c r="AI826" s="16"/>
    </row>
    <row r="827" ht="12.75" customHeight="1" spans="1:35" x14ac:dyDescent="0.25">
      <c r="A827" s="16"/>
      <c r="B827" s="16"/>
      <c r="C827" s="16"/>
      <c r="D827" s="16"/>
      <c r="E827" s="16"/>
      <c r="F827" s="16"/>
      <c r="G827" s="16"/>
      <c r="H827" s="16"/>
      <c r="I827" s="16"/>
      <c r="J827" s="16"/>
      <c r="K827" s="16"/>
      <c r="L827" s="16"/>
      <c r="M827" s="16"/>
      <c r="N827" s="16"/>
      <c r="O827" s="16"/>
      <c r="P827" s="16"/>
      <c r="Q827" s="16"/>
      <c r="R827" s="16"/>
      <c r="S827" s="16"/>
      <c r="T827" s="16"/>
      <c r="U827" s="16"/>
      <c r="V827" s="16"/>
      <c r="W827" s="16"/>
      <c r="X827" s="16"/>
      <c r="Y827" s="16"/>
      <c r="Z827" s="16"/>
      <c r="AA827" s="16"/>
      <c r="AB827" s="16"/>
      <c r="AC827" s="16"/>
      <c r="AD827" s="16"/>
      <c r="AE827" s="16"/>
      <c r="AF827" s="16"/>
      <c r="AG827" s="16"/>
      <c r="AH827" s="16"/>
      <c r="AI827" s="16"/>
    </row>
    <row r="828" ht="12.75" customHeight="1" spans="1:35" x14ac:dyDescent="0.25">
      <c r="A828" s="16"/>
      <c r="B828" s="16"/>
      <c r="C828" s="16"/>
      <c r="D828" s="16"/>
      <c r="E828" s="16"/>
      <c r="F828" s="16"/>
      <c r="G828" s="16"/>
      <c r="H828" s="16"/>
      <c r="I828" s="16"/>
      <c r="J828" s="16"/>
      <c r="K828" s="16"/>
      <c r="L828" s="16"/>
      <c r="M828" s="16"/>
      <c r="N828" s="16"/>
      <c r="O828" s="16"/>
      <c r="P828" s="16"/>
      <c r="Q828" s="16"/>
      <c r="R828" s="16"/>
      <c r="S828" s="16"/>
      <c r="T828" s="16"/>
      <c r="U828" s="16"/>
      <c r="V828" s="16"/>
      <c r="W828" s="16"/>
      <c r="X828" s="16"/>
      <c r="Y828" s="16"/>
      <c r="Z828" s="16"/>
      <c r="AA828" s="16"/>
      <c r="AB828" s="16"/>
      <c r="AC828" s="16"/>
      <c r="AD828" s="16"/>
      <c r="AE828" s="16"/>
      <c r="AF828" s="16"/>
      <c r="AG828" s="16"/>
      <c r="AH828" s="16"/>
      <c r="AI828" s="16"/>
    </row>
    <row r="829" ht="12.75" customHeight="1" spans="1:35" x14ac:dyDescent="0.25">
      <c r="A829" s="16"/>
      <c r="B829" s="16"/>
      <c r="C829" s="16"/>
      <c r="D829" s="16"/>
      <c r="E829" s="16"/>
      <c r="F829" s="16"/>
      <c r="G829" s="16"/>
      <c r="H829" s="16"/>
      <c r="I829" s="16"/>
      <c r="J829" s="16"/>
      <c r="K829" s="16"/>
      <c r="L829" s="16"/>
      <c r="M829" s="16"/>
      <c r="N829" s="16"/>
      <c r="O829" s="16"/>
      <c r="P829" s="16"/>
      <c r="Q829" s="16"/>
      <c r="R829" s="16"/>
      <c r="S829" s="16"/>
      <c r="T829" s="16"/>
      <c r="U829" s="16"/>
      <c r="V829" s="16"/>
      <c r="W829" s="16"/>
      <c r="X829" s="16"/>
      <c r="Y829" s="16"/>
      <c r="Z829" s="16"/>
      <c r="AA829" s="16"/>
      <c r="AB829" s="16"/>
      <c r="AC829" s="16"/>
      <c r="AD829" s="16"/>
      <c r="AE829" s="16"/>
      <c r="AF829" s="16"/>
      <c r="AG829" s="16"/>
      <c r="AH829" s="16"/>
      <c r="AI829" s="16"/>
    </row>
    <row r="830" ht="12.75" customHeight="1" spans="1:35" x14ac:dyDescent="0.25">
      <c r="A830" s="16"/>
      <c r="B830" s="16"/>
      <c r="C830" s="16"/>
      <c r="D830" s="16"/>
      <c r="E830" s="16"/>
      <c r="F830" s="16"/>
      <c r="G830" s="16"/>
      <c r="H830" s="16"/>
      <c r="I830" s="16"/>
      <c r="J830" s="16"/>
      <c r="K830" s="16"/>
      <c r="L830" s="16"/>
      <c r="M830" s="16"/>
      <c r="N830" s="16"/>
      <c r="O830" s="16"/>
      <c r="P830" s="16"/>
      <c r="Q830" s="16"/>
      <c r="R830" s="16"/>
      <c r="S830" s="16"/>
      <c r="T830" s="16"/>
      <c r="U830" s="16"/>
      <c r="V830" s="16"/>
      <c r="W830" s="16"/>
      <c r="X830" s="16"/>
      <c r="Y830" s="16"/>
      <c r="Z830" s="16"/>
      <c r="AA830" s="16"/>
      <c r="AB830" s="16"/>
      <c r="AC830" s="16"/>
      <c r="AD830" s="16"/>
      <c r="AE830" s="16"/>
      <c r="AF830" s="16"/>
      <c r="AG830" s="16"/>
      <c r="AH830" s="16"/>
      <c r="AI830" s="16"/>
    </row>
    <row r="831" ht="12.75" customHeight="1" spans="1:35" x14ac:dyDescent="0.25">
      <c r="A831" s="16"/>
      <c r="B831" s="16"/>
      <c r="C831" s="16"/>
      <c r="D831" s="16"/>
      <c r="E831" s="16"/>
      <c r="F831" s="16"/>
      <c r="G831" s="16"/>
      <c r="H831" s="16"/>
      <c r="I831" s="16"/>
      <c r="J831" s="16"/>
      <c r="K831" s="16"/>
      <c r="L831" s="16"/>
      <c r="M831" s="16"/>
      <c r="N831" s="16"/>
      <c r="O831" s="16"/>
      <c r="P831" s="16"/>
      <c r="Q831" s="16"/>
      <c r="R831" s="16"/>
      <c r="S831" s="16"/>
      <c r="T831" s="16"/>
      <c r="U831" s="16"/>
      <c r="V831" s="16"/>
      <c r="W831" s="16"/>
      <c r="X831" s="16"/>
      <c r="Y831" s="16"/>
      <c r="Z831" s="16"/>
      <c r="AA831" s="16"/>
      <c r="AB831" s="16"/>
      <c r="AC831" s="16"/>
      <c r="AD831" s="16"/>
      <c r="AE831" s="16"/>
      <c r="AF831" s="16"/>
      <c r="AG831" s="16"/>
      <c r="AH831" s="16"/>
      <c r="AI831" s="16"/>
    </row>
    <row r="832" ht="12.75" customHeight="1" spans="1:35" x14ac:dyDescent="0.25">
      <c r="A832" s="16"/>
      <c r="B832" s="16"/>
      <c r="C832" s="16"/>
      <c r="D832" s="16"/>
      <c r="E832" s="16"/>
      <c r="F832" s="16"/>
      <c r="G832" s="16"/>
      <c r="H832" s="16"/>
      <c r="I832" s="16"/>
      <c r="J832" s="16"/>
      <c r="K832" s="16"/>
      <c r="L832" s="16"/>
      <c r="M832" s="16"/>
      <c r="N832" s="16"/>
      <c r="O832" s="16"/>
      <c r="P832" s="16"/>
      <c r="Q832" s="16"/>
      <c r="R832" s="16"/>
      <c r="S832" s="16"/>
      <c r="T832" s="16"/>
      <c r="U832" s="16"/>
      <c r="V832" s="16"/>
      <c r="W832" s="16"/>
      <c r="X832" s="16"/>
      <c r="Y832" s="16"/>
      <c r="Z832" s="16"/>
      <c r="AA832" s="16"/>
      <c r="AB832" s="16"/>
      <c r="AC832" s="16"/>
      <c r="AD832" s="16"/>
      <c r="AE832" s="16"/>
      <c r="AF832" s="16"/>
      <c r="AG832" s="16"/>
      <c r="AH832" s="16"/>
      <c r="AI832" s="16"/>
    </row>
    <row r="833" ht="12.75" customHeight="1" spans="1:35" x14ac:dyDescent="0.25">
      <c r="A833" s="16"/>
      <c r="B833" s="16"/>
      <c r="C833" s="16"/>
      <c r="D833" s="16"/>
      <c r="E833" s="16"/>
      <c r="F833" s="16"/>
      <c r="G833" s="16"/>
      <c r="H833" s="16"/>
      <c r="I833" s="16"/>
      <c r="J833" s="16"/>
      <c r="K833" s="16"/>
      <c r="L833" s="16"/>
      <c r="M833" s="16"/>
      <c r="N833" s="16"/>
      <c r="O833" s="16"/>
      <c r="P833" s="16"/>
      <c r="Q833" s="16"/>
      <c r="R833" s="16"/>
      <c r="S833" s="16"/>
      <c r="T833" s="16"/>
      <c r="U833" s="16"/>
      <c r="V833" s="16"/>
      <c r="W833" s="16"/>
      <c r="X833" s="16"/>
      <c r="Y833" s="16"/>
      <c r="Z833" s="16"/>
      <c r="AA833" s="16"/>
      <c r="AB833" s="16"/>
      <c r="AC833" s="16"/>
      <c r="AD833" s="16"/>
      <c r="AE833" s="16"/>
      <c r="AF833" s="16"/>
      <c r="AG833" s="16"/>
      <c r="AH833" s="16"/>
      <c r="AI833" s="16"/>
    </row>
    <row r="834" ht="12.75" customHeight="1" spans="1:35" x14ac:dyDescent="0.25">
      <c r="A834" s="16"/>
      <c r="B834" s="16"/>
      <c r="C834" s="16"/>
      <c r="D834" s="16"/>
      <c r="E834" s="16"/>
      <c r="F834" s="16"/>
      <c r="G834" s="16"/>
      <c r="H834" s="16"/>
      <c r="I834" s="16"/>
      <c r="J834" s="16"/>
      <c r="K834" s="16"/>
      <c r="L834" s="16"/>
      <c r="M834" s="16"/>
      <c r="N834" s="16"/>
      <c r="O834" s="16"/>
      <c r="P834" s="16"/>
      <c r="Q834" s="16"/>
      <c r="R834" s="16"/>
      <c r="S834" s="16"/>
      <c r="T834" s="16"/>
      <c r="U834" s="16"/>
      <c r="V834" s="16"/>
      <c r="W834" s="16"/>
      <c r="X834" s="16"/>
      <c r="Y834" s="16"/>
      <c r="Z834" s="16"/>
      <c r="AA834" s="16"/>
      <c r="AB834" s="16"/>
      <c r="AC834" s="16"/>
      <c r="AD834" s="16"/>
      <c r="AE834" s="16"/>
      <c r="AF834" s="16"/>
      <c r="AG834" s="16"/>
      <c r="AH834" s="16"/>
      <c r="AI834" s="16"/>
    </row>
    <row r="835" ht="12.75" customHeight="1" spans="1:35" x14ac:dyDescent="0.25">
      <c r="A835" s="16"/>
      <c r="B835" s="16"/>
      <c r="C835" s="16"/>
      <c r="D835" s="16"/>
      <c r="E835" s="16"/>
      <c r="F835" s="16"/>
      <c r="G835" s="16"/>
      <c r="H835" s="16"/>
      <c r="I835" s="16"/>
      <c r="J835" s="16"/>
      <c r="K835" s="16"/>
      <c r="L835" s="16"/>
      <c r="M835" s="16"/>
      <c r="N835" s="16"/>
      <c r="O835" s="16"/>
      <c r="P835" s="16"/>
      <c r="Q835" s="16"/>
      <c r="R835" s="16"/>
      <c r="S835" s="16"/>
      <c r="T835" s="16"/>
      <c r="U835" s="16"/>
      <c r="V835" s="16"/>
      <c r="W835" s="16"/>
      <c r="X835" s="16"/>
      <c r="Y835" s="16"/>
      <c r="Z835" s="16"/>
      <c r="AA835" s="16"/>
      <c r="AB835" s="16"/>
      <c r="AC835" s="16"/>
      <c r="AD835" s="16"/>
      <c r="AE835" s="16"/>
      <c r="AF835" s="16"/>
      <c r="AG835" s="16"/>
      <c r="AH835" s="16"/>
      <c r="AI835" s="16"/>
    </row>
    <row r="836" ht="12.75" customHeight="1" spans="1:35" x14ac:dyDescent="0.25">
      <c r="A836" s="16"/>
      <c r="B836" s="16"/>
      <c r="C836" s="16"/>
      <c r="D836" s="16"/>
      <c r="E836" s="16"/>
      <c r="F836" s="16"/>
      <c r="G836" s="16"/>
      <c r="H836" s="16"/>
      <c r="I836" s="16"/>
      <c r="J836" s="16"/>
      <c r="K836" s="16"/>
      <c r="L836" s="16"/>
      <c r="M836" s="16"/>
      <c r="N836" s="16"/>
      <c r="O836" s="16"/>
      <c r="P836" s="16"/>
      <c r="Q836" s="16"/>
      <c r="R836" s="16"/>
      <c r="S836" s="16"/>
      <c r="T836" s="16"/>
      <c r="U836" s="16"/>
      <c r="V836" s="16"/>
      <c r="W836" s="16"/>
      <c r="X836" s="16"/>
      <c r="Y836" s="16"/>
      <c r="Z836" s="16"/>
      <c r="AA836" s="16"/>
      <c r="AB836" s="16"/>
      <c r="AC836" s="16"/>
      <c r="AD836" s="16"/>
      <c r="AE836" s="16"/>
      <c r="AF836" s="16"/>
      <c r="AG836" s="16"/>
      <c r="AH836" s="16"/>
      <c r="AI836" s="16"/>
    </row>
    <row r="837" ht="12.75" customHeight="1" spans="1:35" x14ac:dyDescent="0.25">
      <c r="A837" s="16"/>
      <c r="B837" s="16"/>
      <c r="C837" s="16"/>
      <c r="D837" s="16"/>
      <c r="E837" s="16"/>
      <c r="F837" s="16"/>
      <c r="G837" s="16"/>
      <c r="H837" s="16"/>
      <c r="I837" s="16"/>
      <c r="J837" s="16"/>
      <c r="K837" s="16"/>
      <c r="L837" s="16"/>
      <c r="M837" s="16"/>
      <c r="N837" s="16"/>
      <c r="O837" s="16"/>
      <c r="P837" s="16"/>
      <c r="Q837" s="16"/>
      <c r="R837" s="16"/>
      <c r="S837" s="16"/>
      <c r="T837" s="16"/>
      <c r="U837" s="16"/>
      <c r="V837" s="16"/>
      <c r="W837" s="16"/>
      <c r="X837" s="16"/>
      <c r="Y837" s="16"/>
      <c r="Z837" s="16"/>
      <c r="AA837" s="16"/>
      <c r="AB837" s="16"/>
      <c r="AC837" s="16"/>
      <c r="AD837" s="16"/>
      <c r="AE837" s="16"/>
      <c r="AF837" s="16"/>
      <c r="AG837" s="16"/>
      <c r="AH837" s="16"/>
      <c r="AI837" s="16"/>
    </row>
    <row r="838" ht="12.75" customHeight="1" spans="1:35" x14ac:dyDescent="0.25">
      <c r="A838" s="16"/>
      <c r="B838" s="16"/>
      <c r="C838" s="16"/>
      <c r="D838" s="16"/>
      <c r="E838" s="16"/>
      <c r="F838" s="16"/>
      <c r="G838" s="16"/>
      <c r="H838" s="16"/>
      <c r="I838" s="16"/>
      <c r="J838" s="16"/>
      <c r="K838" s="16"/>
      <c r="L838" s="16"/>
      <c r="M838" s="16"/>
      <c r="N838" s="16"/>
      <c r="O838" s="16"/>
      <c r="P838" s="16"/>
      <c r="Q838" s="16"/>
      <c r="R838" s="16"/>
      <c r="S838" s="16"/>
      <c r="T838" s="16"/>
      <c r="U838" s="16"/>
      <c r="V838" s="16"/>
      <c r="W838" s="16"/>
      <c r="X838" s="16"/>
      <c r="Y838" s="16"/>
      <c r="Z838" s="16"/>
      <c r="AA838" s="16"/>
      <c r="AB838" s="16"/>
      <c r="AC838" s="16"/>
      <c r="AD838" s="16"/>
      <c r="AE838" s="16"/>
      <c r="AF838" s="16"/>
      <c r="AG838" s="16"/>
      <c r="AH838" s="16"/>
      <c r="AI838" s="16"/>
    </row>
    <row r="839" ht="12.75" customHeight="1" spans="1:35" x14ac:dyDescent="0.25">
      <c r="A839" s="16"/>
      <c r="B839" s="16"/>
      <c r="C839" s="16"/>
      <c r="D839" s="16"/>
      <c r="E839" s="16"/>
      <c r="F839" s="16"/>
      <c r="G839" s="16"/>
      <c r="H839" s="16"/>
      <c r="I839" s="16"/>
      <c r="J839" s="16"/>
      <c r="K839" s="16"/>
      <c r="L839" s="16"/>
      <c r="M839" s="16"/>
      <c r="N839" s="16"/>
      <c r="O839" s="16"/>
      <c r="P839" s="16"/>
      <c r="Q839" s="16"/>
      <c r="R839" s="16"/>
      <c r="S839" s="16"/>
      <c r="T839" s="16"/>
      <c r="U839" s="16"/>
      <c r="V839" s="16"/>
      <c r="W839" s="16"/>
      <c r="X839" s="16"/>
      <c r="Y839" s="16"/>
      <c r="Z839" s="16"/>
      <c r="AA839" s="16"/>
      <c r="AB839" s="16"/>
      <c r="AC839" s="16"/>
      <c r="AD839" s="16"/>
      <c r="AE839" s="16"/>
      <c r="AF839" s="16"/>
      <c r="AG839" s="16"/>
      <c r="AH839" s="16"/>
      <c r="AI839" s="16"/>
    </row>
    <row r="840" ht="12.75" customHeight="1" spans="1:35" x14ac:dyDescent="0.25">
      <c r="A840" s="16"/>
      <c r="B840" s="16"/>
      <c r="C840" s="16"/>
      <c r="D840" s="16"/>
      <c r="E840" s="16"/>
      <c r="F840" s="16"/>
      <c r="G840" s="16"/>
      <c r="H840" s="16"/>
      <c r="I840" s="16"/>
      <c r="J840" s="16"/>
      <c r="K840" s="16"/>
      <c r="L840" s="16"/>
      <c r="M840" s="16"/>
      <c r="N840" s="16"/>
      <c r="O840" s="16"/>
      <c r="P840" s="16"/>
      <c r="Q840" s="16"/>
      <c r="R840" s="16"/>
      <c r="S840" s="16"/>
      <c r="T840" s="16"/>
      <c r="U840" s="16"/>
      <c r="V840" s="16"/>
      <c r="W840" s="16"/>
      <c r="X840" s="16"/>
      <c r="Y840" s="16"/>
      <c r="Z840" s="16"/>
      <c r="AA840" s="16"/>
      <c r="AB840" s="16"/>
      <c r="AC840" s="16"/>
      <c r="AD840" s="16"/>
      <c r="AE840" s="16"/>
      <c r="AF840" s="16"/>
      <c r="AG840" s="16"/>
      <c r="AH840" s="16"/>
      <c r="AI840" s="16"/>
    </row>
    <row r="841" ht="12.75" customHeight="1" spans="1:35" x14ac:dyDescent="0.25">
      <c r="A841" s="16"/>
      <c r="B841" s="16"/>
      <c r="C841" s="16"/>
      <c r="D841" s="16"/>
      <c r="E841" s="16"/>
      <c r="F841" s="16"/>
      <c r="G841" s="16"/>
      <c r="H841" s="16"/>
      <c r="I841" s="16"/>
      <c r="J841" s="16"/>
      <c r="K841" s="16"/>
      <c r="L841" s="16"/>
      <c r="M841" s="16"/>
      <c r="N841" s="16"/>
      <c r="O841" s="16"/>
      <c r="P841" s="16"/>
      <c r="Q841" s="16"/>
      <c r="R841" s="16"/>
      <c r="S841" s="16"/>
      <c r="T841" s="16"/>
      <c r="U841" s="16"/>
      <c r="V841" s="16"/>
      <c r="W841" s="16"/>
      <c r="X841" s="16"/>
      <c r="Y841" s="16"/>
      <c r="Z841" s="16"/>
      <c r="AA841" s="16"/>
      <c r="AB841" s="16"/>
      <c r="AC841" s="16"/>
      <c r="AD841" s="16"/>
      <c r="AE841" s="16"/>
      <c r="AF841" s="16"/>
      <c r="AG841" s="16"/>
      <c r="AH841" s="16"/>
      <c r="AI841" s="16"/>
    </row>
    <row r="842" ht="12.75" customHeight="1" spans="1:35" x14ac:dyDescent="0.25">
      <c r="A842" s="16"/>
      <c r="B842" s="16"/>
      <c r="C842" s="16"/>
      <c r="D842" s="16"/>
      <c r="E842" s="16"/>
      <c r="F842" s="16"/>
      <c r="G842" s="16"/>
      <c r="H842" s="16"/>
      <c r="I842" s="16"/>
      <c r="J842" s="16"/>
      <c r="K842" s="16"/>
      <c r="L842" s="16"/>
      <c r="M842" s="16"/>
      <c r="N842" s="16"/>
      <c r="O842" s="16"/>
      <c r="P842" s="16"/>
      <c r="Q842" s="16"/>
      <c r="R842" s="16"/>
      <c r="S842" s="16"/>
      <c r="T842" s="16"/>
      <c r="U842" s="16"/>
      <c r="V842" s="16"/>
      <c r="W842" s="16"/>
      <c r="X842" s="16"/>
      <c r="Y842" s="16"/>
      <c r="Z842" s="16"/>
      <c r="AA842" s="16"/>
      <c r="AB842" s="16"/>
      <c r="AC842" s="16"/>
      <c r="AD842" s="16"/>
      <c r="AE842" s="16"/>
      <c r="AF842" s="16"/>
      <c r="AG842" s="16"/>
      <c r="AH842" s="16"/>
      <c r="AI842" s="16"/>
    </row>
    <row r="843" ht="12.75" customHeight="1" spans="1:35" x14ac:dyDescent="0.25">
      <c r="A843" s="16"/>
      <c r="B843" s="16"/>
      <c r="C843" s="16"/>
      <c r="D843" s="16"/>
      <c r="E843" s="16"/>
      <c r="F843" s="16"/>
      <c r="G843" s="16"/>
      <c r="H843" s="16"/>
      <c r="I843" s="16"/>
      <c r="J843" s="16"/>
      <c r="K843" s="16"/>
      <c r="L843" s="16"/>
      <c r="M843" s="16"/>
      <c r="N843" s="16"/>
      <c r="O843" s="16"/>
      <c r="P843" s="16"/>
      <c r="Q843" s="16"/>
      <c r="R843" s="16"/>
      <c r="S843" s="16"/>
      <c r="T843" s="16"/>
      <c r="U843" s="16"/>
      <c r="V843" s="16"/>
      <c r="W843" s="16"/>
      <c r="X843" s="16"/>
      <c r="Y843" s="16"/>
      <c r="Z843" s="16"/>
      <c r="AA843" s="16"/>
      <c r="AB843" s="16"/>
      <c r="AC843" s="16"/>
      <c r="AD843" s="16"/>
      <c r="AE843" s="16"/>
      <c r="AF843" s="16"/>
      <c r="AG843" s="16"/>
      <c r="AH843" s="16"/>
      <c r="AI843" s="16"/>
    </row>
    <row r="844" ht="12.75" customHeight="1" spans="1:35" x14ac:dyDescent="0.25">
      <c r="A844" s="16"/>
      <c r="B844" s="16"/>
      <c r="C844" s="16"/>
      <c r="D844" s="16"/>
      <c r="E844" s="16"/>
      <c r="F844" s="16"/>
      <c r="G844" s="16"/>
      <c r="H844" s="16"/>
      <c r="I844" s="16"/>
      <c r="J844" s="16"/>
      <c r="K844" s="16"/>
      <c r="L844" s="16"/>
      <c r="M844" s="16"/>
      <c r="N844" s="16"/>
      <c r="O844" s="16"/>
      <c r="P844" s="16"/>
      <c r="Q844" s="16"/>
      <c r="R844" s="16"/>
      <c r="S844" s="16"/>
      <c r="T844" s="16"/>
      <c r="U844" s="16"/>
      <c r="V844" s="16"/>
      <c r="W844" s="16"/>
      <c r="X844" s="16"/>
      <c r="Y844" s="16"/>
      <c r="Z844" s="16"/>
      <c r="AA844" s="16"/>
      <c r="AB844" s="16"/>
      <c r="AC844" s="16"/>
      <c r="AD844" s="16"/>
      <c r="AE844" s="16"/>
      <c r="AF844" s="16"/>
      <c r="AG844" s="16"/>
      <c r="AH844" s="16"/>
      <c r="AI844" s="16"/>
    </row>
    <row r="845" ht="12.75" customHeight="1" spans="1:35" x14ac:dyDescent="0.25">
      <c r="A845" s="16"/>
      <c r="B845" s="16"/>
      <c r="C845" s="16"/>
      <c r="D845" s="16"/>
      <c r="E845" s="16"/>
      <c r="F845" s="16"/>
      <c r="G845" s="16"/>
      <c r="H845" s="16"/>
      <c r="I845" s="16"/>
      <c r="J845" s="16"/>
      <c r="K845" s="16"/>
      <c r="L845" s="16"/>
      <c r="M845" s="16"/>
      <c r="N845" s="16"/>
      <c r="O845" s="16"/>
      <c r="P845" s="16"/>
      <c r="Q845" s="16"/>
      <c r="R845" s="16"/>
      <c r="S845" s="16"/>
      <c r="T845" s="16"/>
      <c r="U845" s="16"/>
      <c r="V845" s="16"/>
      <c r="W845" s="16"/>
      <c r="X845" s="16"/>
      <c r="Y845" s="16"/>
      <c r="Z845" s="16"/>
      <c r="AA845" s="16"/>
      <c r="AB845" s="16"/>
      <c r="AC845" s="16"/>
      <c r="AD845" s="16"/>
      <c r="AE845" s="16"/>
      <c r="AF845" s="16"/>
      <c r="AG845" s="16"/>
      <c r="AH845" s="16"/>
      <c r="AI845" s="16"/>
    </row>
    <row r="846" ht="12.75" customHeight="1" spans="1:35" x14ac:dyDescent="0.25">
      <c r="A846" s="16"/>
      <c r="B846" s="16"/>
      <c r="C846" s="16"/>
      <c r="D846" s="16"/>
      <c r="E846" s="16"/>
      <c r="F846" s="16"/>
      <c r="G846" s="16"/>
      <c r="H846" s="16"/>
      <c r="I846" s="16"/>
      <c r="J846" s="16"/>
      <c r="K846" s="16"/>
      <c r="L846" s="16"/>
      <c r="M846" s="16"/>
      <c r="N846" s="16"/>
      <c r="O846" s="16"/>
      <c r="P846" s="16"/>
      <c r="Q846" s="16"/>
      <c r="R846" s="16"/>
      <c r="S846" s="16"/>
      <c r="T846" s="16"/>
      <c r="U846" s="16"/>
      <c r="V846" s="16"/>
      <c r="W846" s="16"/>
      <c r="X846" s="16"/>
      <c r="Y846" s="16"/>
      <c r="Z846" s="16"/>
      <c r="AA846" s="16"/>
      <c r="AB846" s="16"/>
      <c r="AC846" s="16"/>
      <c r="AD846" s="16"/>
      <c r="AE846" s="16"/>
      <c r="AF846" s="16"/>
      <c r="AG846" s="16"/>
      <c r="AH846" s="16"/>
      <c r="AI846" s="16"/>
    </row>
    <row r="847" ht="12.75" customHeight="1" spans="1:35" x14ac:dyDescent="0.25">
      <c r="A847" s="16"/>
      <c r="B847" s="16"/>
      <c r="C847" s="16"/>
      <c r="D847" s="16"/>
      <c r="E847" s="16"/>
      <c r="F847" s="16"/>
      <c r="G847" s="16"/>
      <c r="H847" s="16"/>
      <c r="I847" s="16"/>
      <c r="J847" s="16"/>
      <c r="K847" s="16"/>
      <c r="L847" s="16"/>
      <c r="M847" s="16"/>
      <c r="N847" s="16"/>
      <c r="O847" s="16"/>
      <c r="P847" s="16"/>
      <c r="Q847" s="16"/>
      <c r="R847" s="16"/>
      <c r="S847" s="16"/>
      <c r="T847" s="16"/>
      <c r="U847" s="16"/>
      <c r="V847" s="16"/>
      <c r="W847" s="16"/>
      <c r="X847" s="16"/>
      <c r="Y847" s="16"/>
      <c r="Z847" s="16"/>
      <c r="AA847" s="16"/>
      <c r="AB847" s="16"/>
      <c r="AC847" s="16"/>
      <c r="AD847" s="16"/>
      <c r="AE847" s="16"/>
      <c r="AF847" s="16"/>
      <c r="AG847" s="16"/>
      <c r="AH847" s="16"/>
      <c r="AI847" s="16"/>
    </row>
    <row r="848" ht="12.75" customHeight="1" spans="1:35" x14ac:dyDescent="0.25">
      <c r="A848" s="16"/>
      <c r="B848" s="16"/>
      <c r="C848" s="16"/>
      <c r="D848" s="16"/>
      <c r="E848" s="16"/>
      <c r="F848" s="16"/>
      <c r="G848" s="16"/>
      <c r="H848" s="16"/>
      <c r="I848" s="16"/>
      <c r="J848" s="16"/>
      <c r="K848" s="16"/>
      <c r="L848" s="16"/>
      <c r="M848" s="16"/>
      <c r="N848" s="16"/>
      <c r="O848" s="16"/>
      <c r="P848" s="16"/>
      <c r="Q848" s="16"/>
      <c r="R848" s="16"/>
      <c r="S848" s="16"/>
      <c r="T848" s="16"/>
      <c r="U848" s="16"/>
      <c r="V848" s="16"/>
      <c r="W848" s="16"/>
      <c r="X848" s="16"/>
      <c r="Y848" s="16"/>
      <c r="Z848" s="16"/>
      <c r="AA848" s="16"/>
      <c r="AB848" s="16"/>
      <c r="AC848" s="16"/>
      <c r="AD848" s="16"/>
      <c r="AE848" s="16"/>
      <c r="AF848" s="16"/>
      <c r="AG848" s="16"/>
      <c r="AH848" s="16"/>
      <c r="AI848" s="16"/>
    </row>
    <row r="849" ht="12.75" customHeight="1" spans="1:35" x14ac:dyDescent="0.25">
      <c r="A849" s="16"/>
      <c r="B849" s="16"/>
      <c r="C849" s="16"/>
      <c r="D849" s="16"/>
      <c r="E849" s="16"/>
      <c r="F849" s="16"/>
      <c r="G849" s="16"/>
      <c r="H849" s="16"/>
      <c r="I849" s="16"/>
      <c r="J849" s="16"/>
      <c r="K849" s="16"/>
      <c r="L849" s="16"/>
      <c r="M849" s="16"/>
      <c r="N849" s="16"/>
      <c r="O849" s="16"/>
      <c r="P849" s="16"/>
      <c r="Q849" s="16"/>
      <c r="R849" s="16"/>
      <c r="S849" s="16"/>
      <c r="T849" s="16"/>
      <c r="U849" s="16"/>
      <c r="V849" s="16"/>
      <c r="W849" s="16"/>
      <c r="X849" s="16"/>
      <c r="Y849" s="16"/>
      <c r="Z849" s="16"/>
      <c r="AA849" s="16"/>
      <c r="AB849" s="16"/>
      <c r="AC849" s="16"/>
      <c r="AD849" s="16"/>
      <c r="AE849" s="16"/>
      <c r="AF849" s="16"/>
      <c r="AG849" s="16"/>
      <c r="AH849" s="16"/>
      <c r="AI849" s="16"/>
    </row>
    <row r="850" ht="12.75" customHeight="1" spans="1:35" x14ac:dyDescent="0.25">
      <c r="A850" s="16"/>
      <c r="B850" s="16"/>
      <c r="C850" s="16"/>
      <c r="D850" s="16"/>
      <c r="E850" s="16"/>
      <c r="F850" s="16"/>
      <c r="G850" s="16"/>
      <c r="H850" s="16"/>
      <c r="I850" s="16"/>
      <c r="J850" s="16"/>
      <c r="K850" s="16"/>
      <c r="L850" s="16"/>
      <c r="M850" s="16"/>
      <c r="N850" s="16"/>
      <c r="O850" s="16"/>
      <c r="P850" s="16"/>
      <c r="Q850" s="16"/>
      <c r="R850" s="16"/>
      <c r="S850" s="16"/>
      <c r="T850" s="16"/>
      <c r="U850" s="16"/>
      <c r="V850" s="16"/>
      <c r="W850" s="16"/>
      <c r="X850" s="16"/>
      <c r="Y850" s="16"/>
      <c r="Z850" s="16"/>
      <c r="AA850" s="16"/>
      <c r="AB850" s="16"/>
      <c r="AC850" s="16"/>
      <c r="AD850" s="16"/>
      <c r="AE850" s="16"/>
      <c r="AF850" s="16"/>
      <c r="AG850" s="16"/>
      <c r="AH850" s="16"/>
      <c r="AI850" s="16"/>
    </row>
    <row r="851" ht="12.75" customHeight="1" spans="1:35" x14ac:dyDescent="0.25">
      <c r="A851" s="16"/>
      <c r="B851" s="16"/>
      <c r="C851" s="16"/>
      <c r="D851" s="16"/>
      <c r="E851" s="16"/>
      <c r="F851" s="16"/>
      <c r="G851" s="16"/>
      <c r="H851" s="16"/>
      <c r="I851" s="16"/>
      <c r="J851" s="16"/>
      <c r="K851" s="16"/>
      <c r="L851" s="16"/>
      <c r="M851" s="16"/>
      <c r="N851" s="16"/>
      <c r="O851" s="16"/>
      <c r="P851" s="16"/>
      <c r="Q851" s="16"/>
      <c r="R851" s="16"/>
      <c r="S851" s="16"/>
      <c r="T851" s="16"/>
      <c r="U851" s="16"/>
      <c r="V851" s="16"/>
      <c r="W851" s="16"/>
      <c r="X851" s="16"/>
      <c r="Y851" s="16"/>
      <c r="Z851" s="16"/>
      <c r="AA851" s="16"/>
      <c r="AB851" s="16"/>
      <c r="AC851" s="16"/>
      <c r="AD851" s="16"/>
      <c r="AE851" s="16"/>
      <c r="AF851" s="16"/>
      <c r="AG851" s="16"/>
      <c r="AH851" s="16"/>
      <c r="AI851" s="16"/>
    </row>
    <row r="852" ht="12.75" customHeight="1" spans="1:35" x14ac:dyDescent="0.25">
      <c r="A852" s="16"/>
      <c r="B852" s="16"/>
      <c r="C852" s="16"/>
      <c r="D852" s="16"/>
      <c r="E852" s="16"/>
      <c r="F852" s="16"/>
      <c r="G852" s="16"/>
      <c r="H852" s="16"/>
      <c r="I852" s="16"/>
      <c r="J852" s="16"/>
      <c r="K852" s="16"/>
      <c r="L852" s="16"/>
      <c r="M852" s="16"/>
      <c r="N852" s="16"/>
      <c r="O852" s="16"/>
      <c r="P852" s="16"/>
      <c r="Q852" s="16"/>
      <c r="R852" s="16"/>
      <c r="S852" s="16"/>
      <c r="T852" s="16"/>
      <c r="U852" s="16"/>
      <c r="V852" s="16"/>
      <c r="W852" s="16"/>
      <c r="X852" s="16"/>
      <c r="Y852" s="16"/>
      <c r="Z852" s="16"/>
      <c r="AA852" s="16"/>
      <c r="AB852" s="16"/>
      <c r="AC852" s="16"/>
      <c r="AD852" s="16"/>
      <c r="AE852" s="16"/>
      <c r="AF852" s="16"/>
      <c r="AG852" s="16"/>
      <c r="AH852" s="16"/>
      <c r="AI852" s="16"/>
    </row>
    <row r="853" ht="12.75" customHeight="1" spans="1:35" x14ac:dyDescent="0.25">
      <c r="A853" s="16"/>
      <c r="B853" s="16"/>
      <c r="C853" s="16"/>
      <c r="D853" s="16"/>
      <c r="E853" s="16"/>
      <c r="F853" s="16"/>
      <c r="G853" s="16"/>
      <c r="H853" s="16"/>
      <c r="I853" s="16"/>
      <c r="J853" s="16"/>
      <c r="K853" s="16"/>
      <c r="L853" s="16"/>
      <c r="M853" s="16"/>
      <c r="N853" s="16"/>
      <c r="O853" s="16"/>
      <c r="P853" s="16"/>
      <c r="Q853" s="16"/>
      <c r="R853" s="16"/>
      <c r="S853" s="16"/>
      <c r="T853" s="16"/>
      <c r="U853" s="16"/>
      <c r="V853" s="16"/>
      <c r="W853" s="16"/>
      <c r="X853" s="16"/>
      <c r="Y853" s="16"/>
      <c r="Z853" s="16"/>
      <c r="AA853" s="16"/>
      <c r="AB853" s="16"/>
      <c r="AC853" s="16"/>
      <c r="AD853" s="16"/>
      <c r="AE853" s="16"/>
      <c r="AF853" s="16"/>
      <c r="AG853" s="16"/>
      <c r="AH853" s="16"/>
      <c r="AI853" s="16"/>
    </row>
    <row r="854" ht="12.75" customHeight="1" spans="1:35" x14ac:dyDescent="0.25">
      <c r="A854" s="16"/>
      <c r="B854" s="16"/>
      <c r="C854" s="16"/>
      <c r="D854" s="16"/>
      <c r="E854" s="16"/>
      <c r="F854" s="16"/>
      <c r="G854" s="16"/>
      <c r="H854" s="16"/>
      <c r="I854" s="16"/>
      <c r="J854" s="16"/>
      <c r="K854" s="16"/>
      <c r="L854" s="16"/>
      <c r="M854" s="16"/>
      <c r="N854" s="16"/>
      <c r="O854" s="16"/>
      <c r="P854" s="16"/>
      <c r="Q854" s="16"/>
      <c r="R854" s="16"/>
      <c r="S854" s="16"/>
      <c r="T854" s="16"/>
      <c r="U854" s="16"/>
      <c r="V854" s="16"/>
      <c r="W854" s="16"/>
      <c r="X854" s="16"/>
      <c r="Y854" s="16"/>
      <c r="Z854" s="16"/>
      <c r="AA854" s="16"/>
      <c r="AB854" s="16"/>
      <c r="AC854" s="16"/>
      <c r="AD854" s="16"/>
      <c r="AE854" s="16"/>
      <c r="AF854" s="16"/>
      <c r="AG854" s="16"/>
      <c r="AH854" s="16"/>
      <c r="AI854" s="16"/>
    </row>
    <row r="855" ht="12.75" customHeight="1" spans="1:35" x14ac:dyDescent="0.25">
      <c r="A855" s="16"/>
      <c r="B855" s="16"/>
      <c r="C855" s="16"/>
      <c r="D855" s="16"/>
      <c r="E855" s="16"/>
      <c r="F855" s="16"/>
      <c r="G855" s="16"/>
      <c r="H855" s="16"/>
      <c r="I855" s="16"/>
      <c r="J855" s="16"/>
      <c r="K855" s="16"/>
      <c r="L855" s="16"/>
      <c r="M855" s="16"/>
      <c r="N855" s="16"/>
      <c r="O855" s="16"/>
      <c r="P855" s="16"/>
      <c r="Q855" s="16"/>
      <c r="R855" s="16"/>
      <c r="S855" s="16"/>
      <c r="T855" s="16"/>
      <c r="U855" s="16"/>
      <c r="V855" s="16"/>
      <c r="W855" s="16"/>
      <c r="X855" s="16"/>
      <c r="Y855" s="16"/>
      <c r="Z855" s="16"/>
      <c r="AA855" s="16"/>
      <c r="AB855" s="16"/>
      <c r="AC855" s="16"/>
      <c r="AD855" s="16"/>
      <c r="AE855" s="16"/>
      <c r="AF855" s="16"/>
      <c r="AG855" s="16"/>
      <c r="AH855" s="16"/>
      <c r="AI855" s="16"/>
    </row>
    <row r="856" ht="12.75" customHeight="1" spans="1:35" x14ac:dyDescent="0.25">
      <c r="A856" s="16"/>
      <c r="B856" s="16"/>
      <c r="C856" s="16"/>
      <c r="D856" s="16"/>
      <c r="E856" s="16"/>
      <c r="F856" s="16"/>
      <c r="G856" s="16"/>
      <c r="H856" s="16"/>
      <c r="I856" s="16"/>
      <c r="J856" s="16"/>
      <c r="K856" s="16"/>
      <c r="L856" s="16"/>
      <c r="M856" s="16"/>
      <c r="N856" s="16"/>
      <c r="O856" s="16"/>
      <c r="P856" s="16"/>
      <c r="Q856" s="16"/>
      <c r="R856" s="16"/>
      <c r="S856" s="16"/>
      <c r="T856" s="16"/>
      <c r="U856" s="16"/>
      <c r="V856" s="16"/>
      <c r="W856" s="16"/>
      <c r="X856" s="16"/>
      <c r="Y856" s="16"/>
      <c r="Z856" s="16"/>
      <c r="AA856" s="16"/>
      <c r="AB856" s="16"/>
      <c r="AC856" s="16"/>
      <c r="AD856" s="16"/>
      <c r="AE856" s="16"/>
      <c r="AF856" s="16"/>
      <c r="AG856" s="16"/>
      <c r="AH856" s="16"/>
      <c r="AI856" s="16"/>
    </row>
    <row r="857" ht="12.75" customHeight="1" spans="1:35" x14ac:dyDescent="0.25">
      <c r="A857" s="16"/>
      <c r="B857" s="16"/>
      <c r="C857" s="16"/>
      <c r="D857" s="16"/>
      <c r="E857" s="16"/>
      <c r="F857" s="16"/>
      <c r="G857" s="16"/>
      <c r="H857" s="16"/>
      <c r="I857" s="16"/>
      <c r="J857" s="16"/>
      <c r="K857" s="16"/>
      <c r="L857" s="16"/>
      <c r="M857" s="16"/>
      <c r="N857" s="16"/>
      <c r="O857" s="16"/>
      <c r="P857" s="16"/>
      <c r="Q857" s="16"/>
      <c r="R857" s="16"/>
      <c r="S857" s="16"/>
      <c r="T857" s="16"/>
      <c r="U857" s="16"/>
      <c r="V857" s="16"/>
      <c r="W857" s="16"/>
      <c r="X857" s="16"/>
      <c r="Y857" s="16"/>
      <c r="Z857" s="16"/>
      <c r="AA857" s="16"/>
      <c r="AB857" s="16"/>
      <c r="AC857" s="16"/>
      <c r="AD857" s="16"/>
      <c r="AE857" s="16"/>
      <c r="AF857" s="16"/>
      <c r="AG857" s="16"/>
      <c r="AH857" s="16"/>
      <c r="AI857" s="16"/>
    </row>
    <row r="858" ht="12.75" customHeight="1" spans="1:35" x14ac:dyDescent="0.25">
      <c r="A858" s="16"/>
      <c r="B858" s="16"/>
      <c r="C858" s="16"/>
      <c r="D858" s="16"/>
      <c r="E858" s="16"/>
      <c r="F858" s="16"/>
      <c r="G858" s="16"/>
      <c r="H858" s="16"/>
      <c r="I858" s="16"/>
      <c r="J858" s="16"/>
      <c r="K858" s="16"/>
      <c r="L858" s="16"/>
      <c r="M858" s="16"/>
      <c r="N858" s="16"/>
      <c r="O858" s="16"/>
      <c r="P858" s="16"/>
      <c r="Q858" s="16"/>
      <c r="R858" s="16"/>
      <c r="S858" s="16"/>
      <c r="T858" s="16"/>
      <c r="U858" s="16"/>
      <c r="V858" s="16"/>
      <c r="W858" s="16"/>
      <c r="X858" s="16"/>
      <c r="Y858" s="16"/>
      <c r="Z858" s="16"/>
      <c r="AA858" s="16"/>
      <c r="AB858" s="16"/>
      <c r="AC858" s="16"/>
      <c r="AD858" s="16"/>
      <c r="AE858" s="16"/>
      <c r="AF858" s="16"/>
      <c r="AG858" s="16"/>
      <c r="AH858" s="16"/>
      <c r="AI858" s="16"/>
    </row>
    <row r="859" ht="12.75" customHeight="1" spans="1:35" x14ac:dyDescent="0.25">
      <c r="A859" s="16"/>
      <c r="B859" s="16"/>
      <c r="C859" s="16"/>
      <c r="D859" s="16"/>
      <c r="E859" s="16"/>
      <c r="F859" s="16"/>
      <c r="G859" s="16"/>
      <c r="H859" s="16"/>
      <c r="I859" s="16"/>
      <c r="J859" s="16"/>
      <c r="K859" s="16"/>
      <c r="L859" s="16"/>
      <c r="M859" s="16"/>
      <c r="N859" s="16"/>
      <c r="O859" s="16"/>
      <c r="P859" s="16"/>
      <c r="Q859" s="16"/>
      <c r="R859" s="16"/>
      <c r="S859" s="16"/>
      <c r="T859" s="16"/>
      <c r="U859" s="16"/>
      <c r="V859" s="16"/>
      <c r="W859" s="16"/>
      <c r="X859" s="16"/>
      <c r="Y859" s="16"/>
      <c r="Z859" s="16"/>
      <c r="AA859" s="16"/>
      <c r="AB859" s="16"/>
      <c r="AC859" s="16"/>
      <c r="AD859" s="16"/>
      <c r="AE859" s="16"/>
      <c r="AF859" s="16"/>
      <c r="AG859" s="16"/>
      <c r="AH859" s="16"/>
      <c r="AI859" s="16"/>
    </row>
    <row r="860" ht="12.75" customHeight="1" spans="1:35" x14ac:dyDescent="0.25">
      <c r="A860" s="16"/>
      <c r="B860" s="16"/>
      <c r="C860" s="16"/>
      <c r="D860" s="16"/>
      <c r="E860" s="16"/>
      <c r="F860" s="16"/>
      <c r="G860" s="16"/>
      <c r="H860" s="16"/>
      <c r="I860" s="16"/>
      <c r="J860" s="16"/>
      <c r="K860" s="16"/>
      <c r="L860" s="16"/>
      <c r="M860" s="16"/>
      <c r="N860" s="16"/>
      <c r="O860" s="16"/>
      <c r="P860" s="16"/>
      <c r="Q860" s="16"/>
      <c r="R860" s="16"/>
      <c r="S860" s="16"/>
      <c r="T860" s="16"/>
      <c r="U860" s="16"/>
      <c r="V860" s="16"/>
      <c r="W860" s="16"/>
      <c r="X860" s="16"/>
      <c r="Y860" s="16"/>
      <c r="Z860" s="16"/>
      <c r="AA860" s="16"/>
      <c r="AB860" s="16"/>
      <c r="AC860" s="16"/>
      <c r="AD860" s="16"/>
      <c r="AE860" s="16"/>
      <c r="AF860" s="16"/>
      <c r="AG860" s="16"/>
      <c r="AH860" s="16"/>
      <c r="AI860" s="16"/>
    </row>
    <row r="861" ht="12.75" customHeight="1" spans="1:35" x14ac:dyDescent="0.25">
      <c r="A861" s="16"/>
      <c r="B861" s="16"/>
      <c r="C861" s="16"/>
      <c r="D861" s="16"/>
      <c r="E861" s="16"/>
      <c r="F861" s="16"/>
      <c r="G861" s="16"/>
      <c r="H861" s="16"/>
      <c r="I861" s="16"/>
      <c r="J861" s="16"/>
      <c r="K861" s="16"/>
      <c r="L861" s="16"/>
      <c r="M861" s="16"/>
      <c r="N861" s="16"/>
      <c r="O861" s="16"/>
      <c r="P861" s="16"/>
      <c r="Q861" s="16"/>
      <c r="R861" s="16"/>
      <c r="S861" s="16"/>
      <c r="T861" s="16"/>
      <c r="U861" s="16"/>
      <c r="V861" s="16"/>
      <c r="W861" s="16"/>
      <c r="X861" s="16"/>
      <c r="Y861" s="16"/>
      <c r="Z861" s="16"/>
      <c r="AA861" s="16"/>
      <c r="AB861" s="16"/>
      <c r="AC861" s="16"/>
      <c r="AD861" s="16"/>
      <c r="AE861" s="16"/>
      <c r="AF861" s="16"/>
      <c r="AG861" s="16"/>
      <c r="AH861" s="16"/>
      <c r="AI861" s="16"/>
    </row>
    <row r="862" ht="12.75" customHeight="1" spans="1:35" x14ac:dyDescent="0.25">
      <c r="A862" s="16"/>
      <c r="B862" s="16"/>
      <c r="C862" s="16"/>
      <c r="D862" s="16"/>
      <c r="E862" s="16"/>
      <c r="F862" s="16"/>
      <c r="G862" s="16"/>
      <c r="H862" s="16"/>
      <c r="I862" s="16"/>
      <c r="J862" s="16"/>
      <c r="K862" s="16"/>
      <c r="L862" s="16"/>
      <c r="M862" s="16"/>
      <c r="N862" s="16"/>
      <c r="O862" s="16"/>
      <c r="P862" s="16"/>
      <c r="Q862" s="16"/>
      <c r="R862" s="16"/>
      <c r="S862" s="16"/>
      <c r="T862" s="16"/>
      <c r="U862" s="16"/>
      <c r="V862" s="16"/>
      <c r="W862" s="16"/>
      <c r="X862" s="16"/>
      <c r="Y862" s="16"/>
      <c r="Z862" s="16"/>
      <c r="AA862" s="16"/>
      <c r="AB862" s="16"/>
      <c r="AC862" s="16"/>
      <c r="AD862" s="16"/>
      <c r="AE862" s="16"/>
      <c r="AF862" s="16"/>
      <c r="AG862" s="16"/>
      <c r="AH862" s="16"/>
      <c r="AI862" s="16"/>
    </row>
    <row r="863" ht="12.75" customHeight="1" spans="1:35" x14ac:dyDescent="0.25">
      <c r="A863" s="16"/>
      <c r="B863" s="16"/>
      <c r="C863" s="16"/>
      <c r="D863" s="16"/>
      <c r="E863" s="16"/>
      <c r="F863" s="16"/>
      <c r="G863" s="16"/>
      <c r="H863" s="16"/>
      <c r="I863" s="16"/>
      <c r="J863" s="16"/>
      <c r="K863" s="16"/>
      <c r="L863" s="16"/>
      <c r="M863" s="16"/>
      <c r="N863" s="16"/>
      <c r="O863" s="16"/>
      <c r="P863" s="16"/>
      <c r="Q863" s="16"/>
      <c r="R863" s="16"/>
      <c r="S863" s="16"/>
      <c r="T863" s="16"/>
      <c r="U863" s="16"/>
      <c r="V863" s="16"/>
      <c r="W863" s="16"/>
      <c r="X863" s="16"/>
      <c r="Y863" s="16"/>
      <c r="Z863" s="16"/>
      <c r="AA863" s="16"/>
      <c r="AB863" s="16"/>
      <c r="AC863" s="16"/>
      <c r="AD863" s="16"/>
      <c r="AE863" s="16"/>
      <c r="AF863" s="16"/>
      <c r="AG863" s="16"/>
      <c r="AH863" s="16"/>
      <c r="AI863" s="16"/>
    </row>
    <row r="864" ht="12.75" customHeight="1" spans="1:35" x14ac:dyDescent="0.25">
      <c r="A864" s="16"/>
      <c r="B864" s="16"/>
      <c r="C864" s="16"/>
      <c r="D864" s="16"/>
      <c r="E864" s="16"/>
      <c r="F864" s="16"/>
      <c r="G864" s="16"/>
      <c r="H864" s="16"/>
      <c r="I864" s="16"/>
      <c r="J864" s="16"/>
      <c r="K864" s="16"/>
      <c r="L864" s="16"/>
      <c r="M864" s="16"/>
      <c r="N864" s="16"/>
      <c r="O864" s="16"/>
      <c r="P864" s="16"/>
      <c r="Q864" s="16"/>
      <c r="R864" s="16"/>
      <c r="S864" s="16"/>
      <c r="T864" s="16"/>
      <c r="U864" s="16"/>
      <c r="V864" s="16"/>
      <c r="W864" s="16"/>
      <c r="X864" s="16"/>
      <c r="Y864" s="16"/>
      <c r="Z864" s="16"/>
      <c r="AA864" s="16"/>
      <c r="AB864" s="16"/>
      <c r="AC864" s="16"/>
      <c r="AD864" s="16"/>
      <c r="AE864" s="16"/>
      <c r="AF864" s="16"/>
      <c r="AG864" s="16"/>
      <c r="AH864" s="16"/>
      <c r="AI864" s="16"/>
    </row>
    <row r="865" ht="12.75" customHeight="1" spans="1:35" x14ac:dyDescent="0.25">
      <c r="A865" s="16"/>
      <c r="B865" s="16"/>
      <c r="C865" s="16"/>
      <c r="D865" s="16"/>
      <c r="E865" s="16"/>
      <c r="F865" s="16"/>
      <c r="G865" s="16"/>
      <c r="H865" s="16"/>
      <c r="I865" s="16"/>
      <c r="J865" s="16"/>
      <c r="K865" s="16"/>
      <c r="L865" s="16"/>
      <c r="M865" s="16"/>
      <c r="N865" s="16"/>
      <c r="O865" s="16"/>
      <c r="P865" s="16"/>
      <c r="Q865" s="16"/>
      <c r="R865" s="16"/>
      <c r="S865" s="16"/>
      <c r="T865" s="16"/>
      <c r="U865" s="16"/>
      <c r="V865" s="16"/>
      <c r="W865" s="16"/>
      <c r="X865" s="16"/>
      <c r="Y865" s="16"/>
      <c r="Z865" s="16"/>
      <c r="AA865" s="16"/>
      <c r="AB865" s="16"/>
      <c r="AC865" s="16"/>
      <c r="AD865" s="16"/>
      <c r="AE865" s="16"/>
      <c r="AF865" s="16"/>
      <c r="AG865" s="16"/>
      <c r="AH865" s="16"/>
      <c r="AI865" s="16"/>
    </row>
    <row r="866" ht="12.75" customHeight="1" spans="1:35" x14ac:dyDescent="0.25">
      <c r="A866" s="16"/>
      <c r="B866" s="16"/>
      <c r="C866" s="16"/>
      <c r="D866" s="16"/>
      <c r="E866" s="16"/>
      <c r="F866" s="16"/>
      <c r="G866" s="16"/>
      <c r="H866" s="16"/>
      <c r="I866" s="16"/>
      <c r="J866" s="16"/>
      <c r="K866" s="16"/>
      <c r="L866" s="16"/>
      <c r="M866" s="16"/>
      <c r="N866" s="16"/>
      <c r="O866" s="16"/>
      <c r="P866" s="16"/>
      <c r="Q866" s="16"/>
      <c r="R866" s="16"/>
      <c r="S866" s="16"/>
      <c r="T866" s="16"/>
      <c r="U866" s="16"/>
      <c r="V866" s="16"/>
      <c r="W866" s="16"/>
      <c r="X866" s="16"/>
      <c r="Y866" s="16"/>
      <c r="Z866" s="16"/>
      <c r="AA866" s="16"/>
      <c r="AB866" s="16"/>
      <c r="AC866" s="16"/>
      <c r="AD866" s="16"/>
      <c r="AE866" s="16"/>
      <c r="AF866" s="16"/>
      <c r="AG866" s="16"/>
      <c r="AH866" s="16"/>
      <c r="AI866" s="16"/>
    </row>
    <row r="867" ht="12.75" customHeight="1" spans="1:35" x14ac:dyDescent="0.25">
      <c r="A867" s="16"/>
      <c r="B867" s="16"/>
      <c r="C867" s="16"/>
      <c r="D867" s="16"/>
      <c r="E867" s="16"/>
      <c r="F867" s="16"/>
      <c r="G867" s="16"/>
      <c r="H867" s="16"/>
      <c r="I867" s="16"/>
      <c r="J867" s="16"/>
      <c r="K867" s="16"/>
      <c r="L867" s="16"/>
      <c r="M867" s="16"/>
      <c r="N867" s="16"/>
      <c r="O867" s="16"/>
      <c r="P867" s="16"/>
      <c r="Q867" s="16"/>
      <c r="R867" s="16"/>
      <c r="S867" s="16"/>
      <c r="T867" s="16"/>
      <c r="U867" s="16"/>
      <c r="V867" s="16"/>
      <c r="W867" s="16"/>
      <c r="X867" s="16"/>
      <c r="Y867" s="16"/>
      <c r="Z867" s="16"/>
      <c r="AA867" s="16"/>
      <c r="AB867" s="16"/>
      <c r="AC867" s="16"/>
      <c r="AD867" s="16"/>
      <c r="AE867" s="16"/>
      <c r="AF867" s="16"/>
      <c r="AG867" s="16"/>
      <c r="AH867" s="16"/>
      <c r="AI867" s="16"/>
    </row>
    <row r="868" ht="12.75" customHeight="1" spans="1:35" x14ac:dyDescent="0.25">
      <c r="A868" s="16"/>
      <c r="B868" s="16"/>
      <c r="C868" s="16"/>
      <c r="D868" s="16"/>
      <c r="E868" s="16"/>
      <c r="F868" s="16"/>
      <c r="G868" s="16"/>
      <c r="H868" s="16"/>
      <c r="I868" s="16"/>
      <c r="J868" s="16"/>
      <c r="K868" s="16"/>
      <c r="L868" s="16"/>
      <c r="M868" s="16"/>
      <c r="N868" s="16"/>
      <c r="O868" s="16"/>
      <c r="P868" s="16"/>
      <c r="Q868" s="16"/>
      <c r="R868" s="16"/>
      <c r="S868" s="16"/>
      <c r="T868" s="16"/>
      <c r="U868" s="16"/>
      <c r="V868" s="16"/>
      <c r="W868" s="16"/>
      <c r="X868" s="16"/>
      <c r="Y868" s="16"/>
      <c r="Z868" s="16"/>
      <c r="AA868" s="16"/>
      <c r="AB868" s="16"/>
      <c r="AC868" s="16"/>
      <c r="AD868" s="16"/>
      <c r="AE868" s="16"/>
      <c r="AF868" s="16"/>
      <c r="AG868" s="16"/>
      <c r="AH868" s="16"/>
      <c r="AI868" s="16"/>
    </row>
    <row r="869" ht="12.75" customHeight="1" spans="1:35" x14ac:dyDescent="0.25">
      <c r="A869" s="16"/>
      <c r="B869" s="16"/>
      <c r="C869" s="16"/>
      <c r="D869" s="16"/>
      <c r="E869" s="16"/>
      <c r="F869" s="16"/>
      <c r="G869" s="16"/>
      <c r="H869" s="16"/>
      <c r="I869" s="16"/>
      <c r="J869" s="16"/>
      <c r="K869" s="16"/>
      <c r="L869" s="16"/>
      <c r="M869" s="16"/>
      <c r="N869" s="16"/>
      <c r="O869" s="16"/>
      <c r="P869" s="16"/>
      <c r="Q869" s="16"/>
      <c r="R869" s="16"/>
      <c r="S869" s="16"/>
      <c r="T869" s="16"/>
      <c r="U869" s="16"/>
      <c r="V869" s="16"/>
      <c r="W869" s="16"/>
      <c r="X869" s="16"/>
      <c r="Y869" s="16"/>
      <c r="Z869" s="16"/>
      <c r="AA869" s="16"/>
      <c r="AB869" s="16"/>
      <c r="AC869" s="16"/>
      <c r="AD869" s="16"/>
      <c r="AE869" s="16"/>
      <c r="AF869" s="16"/>
      <c r="AG869" s="16"/>
      <c r="AH869" s="16"/>
      <c r="AI869" s="16"/>
    </row>
    <row r="870" ht="12.75" customHeight="1" spans="1:35" x14ac:dyDescent="0.25">
      <c r="A870" s="16"/>
      <c r="B870" s="16"/>
      <c r="C870" s="16"/>
      <c r="D870" s="16"/>
      <c r="E870" s="16"/>
      <c r="F870" s="16"/>
      <c r="G870" s="16"/>
      <c r="H870" s="16"/>
      <c r="I870" s="16"/>
      <c r="J870" s="16"/>
      <c r="K870" s="16"/>
      <c r="L870" s="16"/>
      <c r="M870" s="16"/>
      <c r="N870" s="16"/>
      <c r="O870" s="16"/>
      <c r="P870" s="16"/>
      <c r="Q870" s="16"/>
      <c r="R870" s="16"/>
      <c r="S870" s="16"/>
      <c r="T870" s="16"/>
      <c r="U870" s="16"/>
      <c r="V870" s="16"/>
      <c r="W870" s="16"/>
      <c r="X870" s="16"/>
      <c r="Y870" s="16"/>
      <c r="Z870" s="16"/>
      <c r="AA870" s="16"/>
      <c r="AB870" s="16"/>
      <c r="AC870" s="16"/>
      <c r="AD870" s="16"/>
      <c r="AE870" s="16"/>
      <c r="AF870" s="16"/>
      <c r="AG870" s="16"/>
      <c r="AH870" s="16"/>
      <c r="AI870" s="16"/>
    </row>
    <row r="871" ht="12.75" customHeight="1" spans="1:35" x14ac:dyDescent="0.25">
      <c r="A871" s="16"/>
      <c r="B871" s="16"/>
      <c r="C871" s="16"/>
      <c r="D871" s="16"/>
      <c r="E871" s="16"/>
      <c r="F871" s="16"/>
      <c r="G871" s="16"/>
      <c r="H871" s="16"/>
      <c r="I871" s="16"/>
      <c r="J871" s="16"/>
      <c r="K871" s="16"/>
      <c r="L871" s="16"/>
      <c r="M871" s="16"/>
      <c r="N871" s="16"/>
      <c r="O871" s="16"/>
      <c r="P871" s="16"/>
      <c r="Q871" s="16"/>
      <c r="R871" s="16"/>
      <c r="S871" s="16"/>
      <c r="T871" s="16"/>
      <c r="U871" s="16"/>
      <c r="V871" s="16"/>
      <c r="W871" s="16"/>
      <c r="X871" s="16"/>
      <c r="Y871" s="16"/>
      <c r="Z871" s="16"/>
      <c r="AA871" s="16"/>
      <c r="AB871" s="16"/>
      <c r="AC871" s="16"/>
      <c r="AD871" s="16"/>
      <c r="AE871" s="16"/>
      <c r="AF871" s="16"/>
      <c r="AG871" s="16"/>
      <c r="AH871" s="16"/>
      <c r="AI871" s="16"/>
    </row>
    <row r="872" ht="12.75" customHeight="1" spans="1:35" x14ac:dyDescent="0.25">
      <c r="A872" s="16"/>
      <c r="B872" s="16"/>
      <c r="C872" s="16"/>
      <c r="D872" s="16"/>
      <c r="E872" s="16"/>
      <c r="F872" s="16"/>
      <c r="G872" s="16"/>
      <c r="H872" s="16"/>
      <c r="I872" s="16"/>
      <c r="J872" s="16"/>
      <c r="K872" s="16"/>
      <c r="L872" s="16"/>
      <c r="M872" s="16"/>
      <c r="N872" s="16"/>
      <c r="O872" s="16"/>
      <c r="P872" s="16"/>
      <c r="Q872" s="16"/>
      <c r="R872" s="16"/>
      <c r="S872" s="16"/>
      <c r="T872" s="16"/>
      <c r="U872" s="16"/>
      <c r="V872" s="16"/>
      <c r="W872" s="16"/>
      <c r="X872" s="16"/>
      <c r="Y872" s="16"/>
      <c r="Z872" s="16"/>
      <c r="AA872" s="16"/>
      <c r="AB872" s="16"/>
      <c r="AC872" s="16"/>
      <c r="AD872" s="16"/>
      <c r="AE872" s="16"/>
      <c r="AF872" s="16"/>
      <c r="AG872" s="16"/>
      <c r="AH872" s="16"/>
      <c r="AI872" s="16"/>
    </row>
    <row r="873" ht="12.75" customHeight="1" spans="1:35" x14ac:dyDescent="0.25">
      <c r="A873" s="16"/>
      <c r="B873" s="16"/>
      <c r="C873" s="16"/>
      <c r="D873" s="16"/>
      <c r="E873" s="16"/>
      <c r="F873" s="16"/>
      <c r="G873" s="16"/>
      <c r="H873" s="16"/>
      <c r="I873" s="16"/>
      <c r="J873" s="16"/>
      <c r="K873" s="16"/>
      <c r="L873" s="16"/>
      <c r="M873" s="16"/>
      <c r="N873" s="16"/>
      <c r="O873" s="16"/>
      <c r="P873" s="16"/>
      <c r="Q873" s="16"/>
      <c r="R873" s="16"/>
      <c r="S873" s="16"/>
      <c r="T873" s="16"/>
      <c r="U873" s="16"/>
      <c r="V873" s="16"/>
      <c r="W873" s="16"/>
      <c r="X873" s="16"/>
      <c r="Y873" s="16"/>
      <c r="Z873" s="16"/>
      <c r="AA873" s="16"/>
      <c r="AB873" s="16"/>
      <c r="AC873" s="16"/>
      <c r="AD873" s="16"/>
      <c r="AE873" s="16"/>
      <c r="AF873" s="16"/>
      <c r="AG873" s="16"/>
      <c r="AH873" s="16"/>
      <c r="AI873" s="16"/>
    </row>
    <row r="874" ht="12.75" customHeight="1" spans="1:35" x14ac:dyDescent="0.25">
      <c r="A874" s="16"/>
      <c r="B874" s="16"/>
      <c r="C874" s="16"/>
      <c r="D874" s="16"/>
      <c r="E874" s="16"/>
      <c r="F874" s="16"/>
      <c r="G874" s="16"/>
      <c r="H874" s="16"/>
      <c r="I874" s="16"/>
      <c r="J874" s="16"/>
      <c r="K874" s="16"/>
      <c r="L874" s="16"/>
      <c r="M874" s="16"/>
      <c r="N874" s="16"/>
      <c r="O874" s="16"/>
      <c r="P874" s="16"/>
      <c r="Q874" s="16"/>
      <c r="R874" s="16"/>
      <c r="S874" s="16"/>
      <c r="T874" s="16"/>
      <c r="U874" s="16"/>
      <c r="V874" s="16"/>
      <c r="W874" s="16"/>
      <c r="X874" s="16"/>
      <c r="Y874" s="16"/>
      <c r="Z874" s="16"/>
      <c r="AA874" s="16"/>
      <c r="AB874" s="16"/>
      <c r="AC874" s="16"/>
      <c r="AD874" s="16"/>
      <c r="AE874" s="16"/>
      <c r="AF874" s="16"/>
      <c r="AG874" s="16"/>
      <c r="AH874" s="16"/>
      <c r="AI874" s="16"/>
    </row>
    <row r="875" ht="12.75" customHeight="1" spans="1:35" x14ac:dyDescent="0.25">
      <c r="A875" s="16"/>
      <c r="B875" s="16"/>
      <c r="C875" s="16"/>
      <c r="D875" s="16"/>
      <c r="E875" s="16"/>
      <c r="F875" s="16"/>
      <c r="G875" s="16"/>
      <c r="H875" s="16"/>
      <c r="I875" s="16"/>
      <c r="J875" s="16"/>
      <c r="K875" s="16"/>
      <c r="L875" s="16"/>
      <c r="M875" s="16"/>
      <c r="N875" s="16"/>
      <c r="O875" s="16"/>
      <c r="P875" s="16"/>
      <c r="Q875" s="16"/>
      <c r="R875" s="16"/>
      <c r="S875" s="16"/>
      <c r="T875" s="16"/>
      <c r="U875" s="16"/>
      <c r="V875" s="16"/>
      <c r="W875" s="16"/>
      <c r="X875" s="16"/>
      <c r="Y875" s="16"/>
      <c r="Z875" s="16"/>
      <c r="AA875" s="16"/>
      <c r="AB875" s="16"/>
      <c r="AC875" s="16"/>
      <c r="AD875" s="16"/>
      <c r="AE875" s="16"/>
      <c r="AF875" s="16"/>
      <c r="AG875" s="16"/>
      <c r="AH875" s="16"/>
      <c r="AI875" s="16"/>
    </row>
    <row r="876" ht="12.75" customHeight="1" spans="1:35" x14ac:dyDescent="0.25">
      <c r="A876" s="16"/>
      <c r="B876" s="16"/>
      <c r="C876" s="16"/>
      <c r="D876" s="16"/>
      <c r="E876" s="16"/>
      <c r="F876" s="16"/>
      <c r="G876" s="16"/>
      <c r="H876" s="16"/>
      <c r="I876" s="16"/>
      <c r="J876" s="16"/>
      <c r="K876" s="16"/>
      <c r="L876" s="16"/>
      <c r="M876" s="16"/>
      <c r="N876" s="16"/>
      <c r="O876" s="16"/>
      <c r="P876" s="16"/>
      <c r="Q876" s="16"/>
      <c r="R876" s="16"/>
      <c r="S876" s="16"/>
      <c r="T876" s="16"/>
      <c r="U876" s="16"/>
      <c r="V876" s="16"/>
      <c r="W876" s="16"/>
      <c r="X876" s="16"/>
      <c r="Y876" s="16"/>
      <c r="Z876" s="16"/>
      <c r="AA876" s="16"/>
      <c r="AB876" s="16"/>
      <c r="AC876" s="16"/>
      <c r="AD876" s="16"/>
      <c r="AE876" s="16"/>
      <c r="AF876" s="16"/>
      <c r="AG876" s="16"/>
      <c r="AH876" s="16"/>
      <c r="AI876" s="16"/>
    </row>
    <row r="877" ht="12.75" customHeight="1" spans="1:35" x14ac:dyDescent="0.25">
      <c r="A877" s="16"/>
      <c r="B877" s="16"/>
      <c r="C877" s="16"/>
      <c r="D877" s="16"/>
      <c r="E877" s="16"/>
      <c r="F877" s="16"/>
      <c r="G877" s="16"/>
      <c r="H877" s="16"/>
      <c r="I877" s="16"/>
      <c r="J877" s="16"/>
      <c r="K877" s="16"/>
      <c r="L877" s="16"/>
      <c r="M877" s="16"/>
      <c r="N877" s="16"/>
      <c r="O877" s="16"/>
      <c r="P877" s="16"/>
      <c r="Q877" s="16"/>
      <c r="R877" s="16"/>
      <c r="S877" s="16"/>
      <c r="T877" s="16"/>
      <c r="U877" s="16"/>
      <c r="V877" s="16"/>
      <c r="W877" s="16"/>
      <c r="X877" s="16"/>
      <c r="Y877" s="16"/>
      <c r="Z877" s="16"/>
      <c r="AA877" s="16"/>
      <c r="AB877" s="16"/>
      <c r="AC877" s="16"/>
      <c r="AD877" s="16"/>
      <c r="AE877" s="16"/>
      <c r="AF877" s="16"/>
      <c r="AG877" s="16"/>
      <c r="AH877" s="16"/>
      <c r="AI877" s="16"/>
    </row>
    <row r="878" ht="12.75" customHeight="1" spans="1:35" x14ac:dyDescent="0.25">
      <c r="A878" s="16"/>
      <c r="B878" s="16"/>
      <c r="C878" s="16"/>
      <c r="D878" s="16"/>
      <c r="E878" s="16"/>
      <c r="F878" s="16"/>
      <c r="G878" s="16"/>
      <c r="H878" s="16"/>
      <c r="I878" s="16"/>
      <c r="J878" s="16"/>
      <c r="K878" s="16"/>
      <c r="L878" s="16"/>
      <c r="M878" s="16"/>
      <c r="N878" s="16"/>
      <c r="O878" s="16"/>
      <c r="P878" s="16"/>
      <c r="Q878" s="16"/>
      <c r="R878" s="16"/>
      <c r="S878" s="16"/>
      <c r="T878" s="16"/>
      <c r="U878" s="16"/>
      <c r="V878" s="16"/>
      <c r="W878" s="16"/>
      <c r="X878" s="16"/>
      <c r="Y878" s="16"/>
      <c r="Z878" s="16"/>
      <c r="AA878" s="16"/>
      <c r="AB878" s="16"/>
      <c r="AC878" s="16"/>
      <c r="AD878" s="16"/>
      <c r="AE878" s="16"/>
      <c r="AF878" s="16"/>
      <c r="AG878" s="16"/>
      <c r="AH878" s="16"/>
      <c r="AI878" s="16"/>
    </row>
    <row r="879" ht="12.75" customHeight="1" spans="1:35" x14ac:dyDescent="0.25">
      <c r="A879" s="16"/>
      <c r="B879" s="16"/>
      <c r="C879" s="16"/>
      <c r="D879" s="16"/>
      <c r="E879" s="16"/>
      <c r="F879" s="16"/>
      <c r="G879" s="16"/>
      <c r="H879" s="16"/>
      <c r="I879" s="16"/>
      <c r="J879" s="16"/>
      <c r="K879" s="16"/>
      <c r="L879" s="16"/>
      <c r="M879" s="16"/>
      <c r="N879" s="16"/>
      <c r="O879" s="16"/>
      <c r="P879" s="16"/>
      <c r="Q879" s="16"/>
      <c r="R879" s="16"/>
      <c r="S879" s="16"/>
      <c r="T879" s="16"/>
      <c r="U879" s="16"/>
      <c r="V879" s="16"/>
      <c r="W879" s="16"/>
      <c r="X879" s="16"/>
      <c r="Y879" s="16"/>
      <c r="Z879" s="16"/>
      <c r="AA879" s="16"/>
      <c r="AB879" s="16"/>
      <c r="AC879" s="16"/>
      <c r="AD879" s="16"/>
      <c r="AE879" s="16"/>
      <c r="AF879" s="16"/>
      <c r="AG879" s="16"/>
      <c r="AH879" s="16"/>
      <c r="AI879" s="16"/>
    </row>
    <row r="880" ht="12.75" customHeight="1" spans="1:35" x14ac:dyDescent="0.25">
      <c r="A880" s="16"/>
      <c r="B880" s="16"/>
      <c r="C880" s="16"/>
      <c r="D880" s="16"/>
      <c r="E880" s="16"/>
      <c r="F880" s="16"/>
      <c r="G880" s="16"/>
      <c r="H880" s="16"/>
      <c r="I880" s="16"/>
      <c r="J880" s="16"/>
      <c r="K880" s="16"/>
      <c r="L880" s="16"/>
      <c r="M880" s="16"/>
      <c r="N880" s="16"/>
      <c r="O880" s="16"/>
      <c r="P880" s="16"/>
      <c r="Q880" s="16"/>
      <c r="R880" s="16"/>
      <c r="S880" s="16"/>
      <c r="T880" s="16"/>
      <c r="U880" s="16"/>
      <c r="V880" s="16"/>
      <c r="W880" s="16"/>
      <c r="X880" s="16"/>
      <c r="Y880" s="16"/>
      <c r="Z880" s="16"/>
      <c r="AA880" s="16"/>
      <c r="AB880" s="16"/>
      <c r="AC880" s="16"/>
      <c r="AD880" s="16"/>
      <c r="AE880" s="16"/>
      <c r="AF880" s="16"/>
      <c r="AG880" s="16"/>
      <c r="AH880" s="16"/>
      <c r="AI880" s="16"/>
    </row>
    <row r="881" ht="12.75" customHeight="1" spans="1:35" x14ac:dyDescent="0.25">
      <c r="A881" s="16"/>
      <c r="B881" s="16"/>
      <c r="C881" s="16"/>
      <c r="D881" s="16"/>
      <c r="E881" s="16"/>
      <c r="F881" s="16"/>
      <c r="G881" s="16"/>
      <c r="H881" s="16"/>
      <c r="I881" s="16"/>
      <c r="J881" s="16"/>
      <c r="K881" s="16"/>
      <c r="L881" s="16"/>
      <c r="M881" s="16"/>
      <c r="N881" s="16"/>
      <c r="O881" s="16"/>
      <c r="P881" s="16"/>
      <c r="Q881" s="16"/>
      <c r="R881" s="16"/>
      <c r="S881" s="16"/>
      <c r="T881" s="16"/>
      <c r="U881" s="16"/>
      <c r="V881" s="16"/>
      <c r="W881" s="16"/>
      <c r="X881" s="16"/>
      <c r="Y881" s="16"/>
      <c r="Z881" s="16"/>
      <c r="AA881" s="16"/>
      <c r="AB881" s="16"/>
      <c r="AC881" s="16"/>
      <c r="AD881" s="16"/>
      <c r="AE881" s="16"/>
      <c r="AF881" s="16"/>
      <c r="AG881" s="16"/>
      <c r="AH881" s="16"/>
      <c r="AI881" s="16"/>
    </row>
    <row r="882" ht="12.75" customHeight="1" spans="1:35" x14ac:dyDescent="0.25">
      <c r="A882" s="16"/>
      <c r="B882" s="16"/>
      <c r="C882" s="16"/>
      <c r="D882" s="16"/>
      <c r="E882" s="16"/>
      <c r="F882" s="16"/>
      <c r="G882" s="16"/>
      <c r="H882" s="16"/>
      <c r="I882" s="16"/>
      <c r="J882" s="16"/>
      <c r="K882" s="16"/>
      <c r="L882" s="16"/>
      <c r="M882" s="16"/>
      <c r="N882" s="16"/>
      <c r="O882" s="16"/>
      <c r="P882" s="16"/>
      <c r="Q882" s="16"/>
      <c r="R882" s="16"/>
      <c r="S882" s="16"/>
      <c r="T882" s="16"/>
      <c r="U882" s="16"/>
      <c r="V882" s="16"/>
      <c r="W882" s="16"/>
      <c r="X882" s="16"/>
      <c r="Y882" s="16"/>
      <c r="Z882" s="16"/>
      <c r="AA882" s="16"/>
      <c r="AB882" s="16"/>
      <c r="AC882" s="16"/>
      <c r="AD882" s="16"/>
      <c r="AE882" s="16"/>
      <c r="AF882" s="16"/>
      <c r="AG882" s="16"/>
      <c r="AH882" s="16"/>
      <c r="AI882" s="16"/>
    </row>
    <row r="883" ht="12.75" customHeight="1" spans="1:35" x14ac:dyDescent="0.25">
      <c r="A883" s="16"/>
      <c r="B883" s="16"/>
      <c r="C883" s="16"/>
      <c r="D883" s="16"/>
      <c r="E883" s="16"/>
      <c r="F883" s="16"/>
      <c r="G883" s="16"/>
      <c r="H883" s="16"/>
      <c r="I883" s="16"/>
      <c r="J883" s="16"/>
      <c r="K883" s="16"/>
      <c r="L883" s="16"/>
      <c r="M883" s="16"/>
      <c r="N883" s="16"/>
      <c r="O883" s="16"/>
      <c r="P883" s="16"/>
      <c r="Q883" s="16"/>
      <c r="R883" s="16"/>
      <c r="S883" s="16"/>
      <c r="T883" s="16"/>
      <c r="U883" s="16"/>
      <c r="V883" s="16"/>
      <c r="W883" s="16"/>
      <c r="X883" s="16"/>
      <c r="Y883" s="16"/>
      <c r="Z883" s="16"/>
      <c r="AA883" s="16"/>
      <c r="AB883" s="16"/>
      <c r="AC883" s="16"/>
      <c r="AD883" s="16"/>
      <c r="AE883" s="16"/>
      <c r="AF883" s="16"/>
      <c r="AG883" s="16"/>
      <c r="AH883" s="16"/>
      <c r="AI883" s="16"/>
    </row>
    <row r="884" ht="12.75" customHeight="1" spans="1:35" x14ac:dyDescent="0.25">
      <c r="A884" s="16"/>
      <c r="B884" s="16"/>
      <c r="C884" s="16"/>
      <c r="D884" s="16"/>
      <c r="E884" s="16"/>
      <c r="F884" s="16"/>
      <c r="G884" s="16"/>
      <c r="H884" s="16"/>
      <c r="I884" s="16"/>
      <c r="J884" s="16"/>
      <c r="K884" s="16"/>
      <c r="L884" s="16"/>
      <c r="M884" s="16"/>
      <c r="N884" s="16"/>
      <c r="O884" s="16"/>
      <c r="P884" s="16"/>
      <c r="Q884" s="16"/>
      <c r="R884" s="16"/>
      <c r="S884" s="16"/>
      <c r="T884" s="16"/>
      <c r="U884" s="16"/>
      <c r="V884" s="16"/>
      <c r="W884" s="16"/>
      <c r="X884" s="16"/>
      <c r="Y884" s="16"/>
      <c r="Z884" s="16"/>
      <c r="AA884" s="16"/>
      <c r="AB884" s="16"/>
      <c r="AC884" s="16"/>
      <c r="AD884" s="16"/>
      <c r="AE884" s="16"/>
      <c r="AF884" s="16"/>
      <c r="AG884" s="16"/>
      <c r="AH884" s="16"/>
      <c r="AI884" s="16"/>
    </row>
    <row r="885" ht="12.75" customHeight="1" spans="1:35" x14ac:dyDescent="0.25">
      <c r="A885" s="16"/>
      <c r="B885" s="16"/>
      <c r="C885" s="16"/>
      <c r="D885" s="16"/>
      <c r="E885" s="16"/>
      <c r="F885" s="16"/>
      <c r="G885" s="16"/>
      <c r="H885" s="16"/>
      <c r="I885" s="16"/>
      <c r="J885" s="16"/>
      <c r="K885" s="16"/>
      <c r="L885" s="16"/>
      <c r="M885" s="16"/>
      <c r="N885" s="16"/>
      <c r="O885" s="16"/>
      <c r="P885" s="16"/>
      <c r="Q885" s="16"/>
      <c r="R885" s="16"/>
      <c r="S885" s="16"/>
      <c r="T885" s="16"/>
      <c r="U885" s="16"/>
      <c r="V885" s="16"/>
      <c r="W885" s="16"/>
      <c r="X885" s="16"/>
      <c r="Y885" s="16"/>
      <c r="Z885" s="16"/>
      <c r="AA885" s="16"/>
      <c r="AB885" s="16"/>
      <c r="AC885" s="16"/>
      <c r="AD885" s="16"/>
      <c r="AE885" s="16"/>
      <c r="AF885" s="16"/>
      <c r="AG885" s="16"/>
      <c r="AH885" s="16"/>
      <c r="AI885" s="16"/>
    </row>
    <row r="886" ht="12.75" customHeight="1" spans="1:35" x14ac:dyDescent="0.25">
      <c r="A886" s="16"/>
      <c r="B886" s="16"/>
      <c r="C886" s="16"/>
      <c r="D886" s="16"/>
      <c r="E886" s="16"/>
      <c r="F886" s="16"/>
      <c r="G886" s="16"/>
      <c r="H886" s="16"/>
      <c r="I886" s="16"/>
      <c r="J886" s="16"/>
      <c r="K886" s="16"/>
      <c r="L886" s="16"/>
      <c r="M886" s="16"/>
      <c r="N886" s="16"/>
      <c r="O886" s="16"/>
      <c r="P886" s="16"/>
      <c r="Q886" s="16"/>
      <c r="R886" s="16"/>
      <c r="S886" s="16"/>
      <c r="T886" s="16"/>
      <c r="U886" s="16"/>
      <c r="V886" s="16"/>
      <c r="W886" s="16"/>
      <c r="X886" s="16"/>
      <c r="Y886" s="16"/>
      <c r="Z886" s="16"/>
      <c r="AA886" s="16"/>
      <c r="AB886" s="16"/>
      <c r="AC886" s="16"/>
      <c r="AD886" s="16"/>
      <c r="AE886" s="16"/>
      <c r="AF886" s="16"/>
      <c r="AG886" s="16"/>
      <c r="AH886" s="16"/>
      <c r="AI886" s="16"/>
    </row>
    <row r="887" ht="12.75" customHeight="1" spans="1:35" x14ac:dyDescent="0.25">
      <c r="A887" s="16"/>
      <c r="B887" s="16"/>
      <c r="C887" s="16"/>
      <c r="D887" s="16"/>
      <c r="E887" s="16"/>
      <c r="F887" s="16"/>
      <c r="G887" s="16"/>
      <c r="H887" s="16"/>
      <c r="I887" s="16"/>
      <c r="J887" s="16"/>
      <c r="K887" s="16"/>
      <c r="L887" s="16"/>
      <c r="M887" s="16"/>
      <c r="N887" s="16"/>
      <c r="O887" s="16"/>
      <c r="P887" s="16"/>
      <c r="Q887" s="16"/>
      <c r="R887" s="16"/>
      <c r="S887" s="16"/>
      <c r="T887" s="16"/>
      <c r="U887" s="16"/>
      <c r="V887" s="16"/>
      <c r="W887" s="16"/>
      <c r="X887" s="16"/>
      <c r="Y887" s="16"/>
      <c r="Z887" s="16"/>
      <c r="AA887" s="16"/>
      <c r="AB887" s="16"/>
      <c r="AC887" s="16"/>
      <c r="AD887" s="16"/>
      <c r="AE887" s="16"/>
      <c r="AF887" s="16"/>
      <c r="AG887" s="16"/>
      <c r="AH887" s="16"/>
      <c r="AI887" s="16"/>
    </row>
    <row r="888" ht="12.75" customHeight="1" spans="1:35" x14ac:dyDescent="0.25">
      <c r="A888" s="16"/>
      <c r="B888" s="16"/>
      <c r="C888" s="16"/>
      <c r="D888" s="16"/>
      <c r="E888" s="16"/>
      <c r="F888" s="16"/>
      <c r="G888" s="16"/>
      <c r="H888" s="16"/>
      <c r="I888" s="16"/>
      <c r="J888" s="16"/>
      <c r="K888" s="16"/>
      <c r="L888" s="16"/>
      <c r="M888" s="16"/>
      <c r="N888" s="16"/>
      <c r="O888" s="16"/>
      <c r="P888" s="16"/>
      <c r="Q888" s="16"/>
      <c r="R888" s="16"/>
      <c r="S888" s="16"/>
      <c r="T888" s="16"/>
      <c r="U888" s="16"/>
      <c r="V888" s="16"/>
      <c r="W888" s="16"/>
      <c r="X888" s="16"/>
      <c r="Y888" s="16"/>
      <c r="Z888" s="16"/>
      <c r="AA888" s="16"/>
      <c r="AB888" s="16"/>
      <c r="AC888" s="16"/>
      <c r="AD888" s="16"/>
      <c r="AE888" s="16"/>
      <c r="AF888" s="16"/>
      <c r="AG888" s="16"/>
      <c r="AH888" s="16"/>
      <c r="AI888" s="16"/>
    </row>
    <row r="889" ht="12.75" customHeight="1" spans="1:35" x14ac:dyDescent="0.25">
      <c r="A889" s="16"/>
      <c r="B889" s="16"/>
      <c r="C889" s="16"/>
      <c r="D889" s="16"/>
      <c r="E889" s="16"/>
      <c r="F889" s="16"/>
      <c r="G889" s="16"/>
      <c r="H889" s="16"/>
      <c r="I889" s="16"/>
      <c r="J889" s="16"/>
      <c r="K889" s="16"/>
      <c r="L889" s="16"/>
      <c r="M889" s="16"/>
      <c r="N889" s="16"/>
      <c r="O889" s="16"/>
      <c r="P889" s="16"/>
      <c r="Q889" s="16"/>
      <c r="R889" s="16"/>
      <c r="S889" s="16"/>
      <c r="T889" s="16"/>
      <c r="U889" s="16"/>
      <c r="V889" s="16"/>
      <c r="W889" s="16"/>
      <c r="X889" s="16"/>
      <c r="Y889" s="16"/>
      <c r="Z889" s="16"/>
      <c r="AA889" s="16"/>
      <c r="AB889" s="16"/>
      <c r="AC889" s="16"/>
      <c r="AD889" s="16"/>
      <c r="AE889" s="16"/>
      <c r="AF889" s="16"/>
      <c r="AG889" s="16"/>
      <c r="AH889" s="16"/>
      <c r="AI889" s="16"/>
    </row>
    <row r="890" ht="12.75" customHeight="1" spans="1:35" x14ac:dyDescent="0.25">
      <c r="A890" s="16"/>
      <c r="B890" s="16"/>
      <c r="C890" s="16"/>
      <c r="D890" s="16"/>
      <c r="E890" s="16"/>
      <c r="F890" s="16"/>
      <c r="G890" s="16"/>
      <c r="H890" s="16"/>
      <c r="I890" s="16"/>
      <c r="J890" s="16"/>
      <c r="K890" s="16"/>
      <c r="L890" s="16"/>
      <c r="M890" s="16"/>
      <c r="N890" s="16"/>
      <c r="O890" s="16"/>
      <c r="P890" s="16"/>
      <c r="Q890" s="16"/>
      <c r="R890" s="16"/>
      <c r="S890" s="16"/>
      <c r="T890" s="16"/>
      <c r="U890" s="16"/>
      <c r="V890" s="16"/>
      <c r="W890" s="16"/>
      <c r="X890" s="16"/>
      <c r="Y890" s="16"/>
      <c r="Z890" s="16"/>
      <c r="AA890" s="16"/>
      <c r="AB890" s="16"/>
      <c r="AC890" s="16"/>
      <c r="AD890" s="16"/>
      <c r="AE890" s="16"/>
      <c r="AF890" s="16"/>
      <c r="AG890" s="16"/>
      <c r="AH890" s="16"/>
      <c r="AI890" s="16"/>
    </row>
    <row r="891" ht="12.75" customHeight="1" spans="1:35" x14ac:dyDescent="0.25">
      <c r="A891" s="16"/>
      <c r="B891" s="16"/>
      <c r="C891" s="16"/>
      <c r="D891" s="16"/>
      <c r="E891" s="16"/>
      <c r="F891" s="16"/>
      <c r="G891" s="16"/>
      <c r="H891" s="16"/>
      <c r="I891" s="16"/>
      <c r="J891" s="16"/>
      <c r="K891" s="16"/>
      <c r="L891" s="16"/>
      <c r="M891" s="16"/>
      <c r="N891" s="16"/>
      <c r="O891" s="16"/>
      <c r="P891" s="16"/>
      <c r="Q891" s="16"/>
      <c r="R891" s="16"/>
      <c r="S891" s="16"/>
      <c r="T891" s="16"/>
      <c r="U891" s="16"/>
      <c r="V891" s="16"/>
      <c r="W891" s="16"/>
      <c r="X891" s="16"/>
      <c r="Y891" s="16"/>
      <c r="Z891" s="16"/>
      <c r="AA891" s="16"/>
      <c r="AB891" s="16"/>
      <c r="AC891" s="16"/>
      <c r="AD891" s="16"/>
      <c r="AE891" s="16"/>
      <c r="AF891" s="16"/>
      <c r="AG891" s="16"/>
      <c r="AH891" s="16"/>
      <c r="AI891" s="16"/>
    </row>
    <row r="892" ht="12.75" customHeight="1" spans="1:35" x14ac:dyDescent="0.25">
      <c r="A892" s="16"/>
      <c r="B892" s="16"/>
      <c r="C892" s="16"/>
      <c r="D892" s="16"/>
      <c r="E892" s="16"/>
      <c r="F892" s="16"/>
      <c r="G892" s="16"/>
      <c r="H892" s="16"/>
      <c r="I892" s="16"/>
      <c r="J892" s="16"/>
      <c r="K892" s="16"/>
      <c r="L892" s="16"/>
      <c r="M892" s="16"/>
      <c r="N892" s="16"/>
      <c r="O892" s="16"/>
      <c r="P892" s="16"/>
      <c r="Q892" s="16"/>
      <c r="R892" s="16"/>
      <c r="S892" s="16"/>
      <c r="T892" s="16"/>
      <c r="U892" s="16"/>
      <c r="V892" s="16"/>
      <c r="W892" s="16"/>
      <c r="X892" s="16"/>
      <c r="Y892" s="16"/>
      <c r="Z892" s="16"/>
      <c r="AA892" s="16"/>
      <c r="AB892" s="16"/>
      <c r="AC892" s="16"/>
      <c r="AD892" s="16"/>
      <c r="AE892" s="16"/>
      <c r="AF892" s="16"/>
      <c r="AG892" s="16"/>
      <c r="AH892" s="16"/>
      <c r="AI892" s="16"/>
    </row>
    <row r="893" ht="12.75" customHeight="1" spans="1:35" x14ac:dyDescent="0.25">
      <c r="A893" s="16"/>
      <c r="B893" s="16"/>
      <c r="C893" s="16"/>
      <c r="D893" s="16"/>
      <c r="E893" s="16"/>
      <c r="F893" s="16"/>
      <c r="G893" s="16"/>
      <c r="H893" s="16"/>
      <c r="I893" s="16"/>
      <c r="J893" s="16"/>
      <c r="K893" s="16"/>
      <c r="L893" s="16"/>
      <c r="M893" s="16"/>
      <c r="N893" s="16"/>
      <c r="O893" s="16"/>
      <c r="P893" s="16"/>
      <c r="Q893" s="16"/>
      <c r="R893" s="16"/>
      <c r="S893" s="16"/>
      <c r="T893" s="16"/>
      <c r="U893" s="16"/>
      <c r="V893" s="16"/>
      <c r="W893" s="16"/>
      <c r="X893" s="16"/>
      <c r="Y893" s="16"/>
      <c r="Z893" s="16"/>
      <c r="AA893" s="16"/>
      <c r="AB893" s="16"/>
      <c r="AC893" s="16"/>
      <c r="AD893" s="16"/>
      <c r="AE893" s="16"/>
      <c r="AF893" s="16"/>
      <c r="AG893" s="16"/>
      <c r="AH893" s="16"/>
      <c r="AI893" s="16"/>
    </row>
    <row r="894" ht="12.75" customHeight="1" spans="1:35" x14ac:dyDescent="0.25">
      <c r="A894" s="16"/>
      <c r="B894" s="16"/>
      <c r="C894" s="16"/>
      <c r="D894" s="16"/>
      <c r="E894" s="16"/>
      <c r="F894" s="16"/>
      <c r="G894" s="16"/>
      <c r="H894" s="16"/>
      <c r="I894" s="16"/>
      <c r="J894" s="16"/>
      <c r="K894" s="16"/>
      <c r="L894" s="16"/>
      <c r="M894" s="16"/>
      <c r="N894" s="16"/>
      <c r="O894" s="16"/>
      <c r="P894" s="16"/>
      <c r="Q894" s="16"/>
      <c r="R894" s="16"/>
      <c r="S894" s="16"/>
      <c r="T894" s="16"/>
      <c r="U894" s="16"/>
      <c r="V894" s="16"/>
      <c r="W894" s="16"/>
      <c r="X894" s="16"/>
      <c r="Y894" s="16"/>
      <c r="Z894" s="16"/>
      <c r="AA894" s="16"/>
      <c r="AB894" s="16"/>
      <c r="AC894" s="16"/>
      <c r="AD894" s="16"/>
      <c r="AE894" s="16"/>
      <c r="AF894" s="16"/>
      <c r="AG894" s="16"/>
      <c r="AH894" s="16"/>
      <c r="AI894" s="16"/>
    </row>
    <row r="895" ht="12.75" customHeight="1" spans="1:35" x14ac:dyDescent="0.25">
      <c r="A895" s="16"/>
      <c r="B895" s="16"/>
      <c r="C895" s="16"/>
      <c r="D895" s="16"/>
      <c r="E895" s="16"/>
      <c r="F895" s="16"/>
      <c r="G895" s="16"/>
      <c r="H895" s="16"/>
      <c r="I895" s="16"/>
      <c r="J895" s="16"/>
      <c r="K895" s="16"/>
      <c r="L895" s="16"/>
      <c r="M895" s="16"/>
      <c r="N895" s="16"/>
      <c r="O895" s="16"/>
      <c r="P895" s="16"/>
      <c r="Q895" s="16"/>
      <c r="R895" s="16"/>
      <c r="S895" s="16"/>
      <c r="T895" s="16"/>
      <c r="U895" s="16"/>
      <c r="V895" s="16"/>
      <c r="W895" s="16"/>
      <c r="X895" s="16"/>
      <c r="Y895" s="16"/>
      <c r="Z895" s="16"/>
      <c r="AA895" s="16"/>
      <c r="AB895" s="16"/>
      <c r="AC895" s="16"/>
      <c r="AD895" s="16"/>
      <c r="AE895" s="16"/>
      <c r="AF895" s="16"/>
      <c r="AG895" s="16"/>
      <c r="AH895" s="16"/>
      <c r="AI895" s="16"/>
    </row>
    <row r="896" ht="12.75" customHeight="1" spans="1:35" x14ac:dyDescent="0.25">
      <c r="A896" s="16"/>
      <c r="B896" s="16"/>
      <c r="C896" s="16"/>
      <c r="D896" s="16"/>
      <c r="E896" s="16"/>
      <c r="F896" s="16"/>
      <c r="G896" s="16"/>
      <c r="H896" s="16"/>
      <c r="I896" s="16"/>
      <c r="J896" s="16"/>
      <c r="K896" s="16"/>
      <c r="L896" s="16"/>
      <c r="M896" s="16"/>
      <c r="N896" s="16"/>
      <c r="O896" s="16"/>
      <c r="P896" s="16"/>
      <c r="Q896" s="16"/>
      <c r="R896" s="16"/>
      <c r="S896" s="16"/>
      <c r="T896" s="16"/>
      <c r="U896" s="16"/>
      <c r="V896" s="16"/>
      <c r="W896" s="16"/>
      <c r="X896" s="16"/>
      <c r="Y896" s="16"/>
      <c r="Z896" s="16"/>
      <c r="AA896" s="16"/>
      <c r="AB896" s="16"/>
      <c r="AC896" s="16"/>
      <c r="AD896" s="16"/>
      <c r="AE896" s="16"/>
      <c r="AF896" s="16"/>
      <c r="AG896" s="16"/>
      <c r="AH896" s="16"/>
      <c r="AI896" s="16"/>
    </row>
    <row r="897" ht="12.75" customHeight="1" spans="1:35" x14ac:dyDescent="0.25">
      <c r="A897" s="16"/>
      <c r="B897" s="16"/>
      <c r="C897" s="16"/>
      <c r="D897" s="16"/>
      <c r="E897" s="16"/>
      <c r="F897" s="16"/>
      <c r="G897" s="16"/>
      <c r="H897" s="16"/>
      <c r="I897" s="16"/>
      <c r="J897" s="16"/>
      <c r="K897" s="16"/>
      <c r="L897" s="16"/>
      <c r="M897" s="16"/>
      <c r="N897" s="16"/>
      <c r="O897" s="16"/>
      <c r="P897" s="16"/>
      <c r="Q897" s="16"/>
      <c r="R897" s="16"/>
      <c r="S897" s="16"/>
      <c r="T897" s="16"/>
      <c r="U897" s="16"/>
      <c r="V897" s="16"/>
      <c r="W897" s="16"/>
      <c r="X897" s="16"/>
      <c r="Y897" s="16"/>
      <c r="Z897" s="16"/>
      <c r="AA897" s="16"/>
      <c r="AB897" s="16"/>
      <c r="AC897" s="16"/>
      <c r="AD897" s="16"/>
      <c r="AE897" s="16"/>
      <c r="AF897" s="16"/>
      <c r="AG897" s="16"/>
      <c r="AH897" s="16"/>
      <c r="AI897" s="16"/>
    </row>
    <row r="898" ht="12.75" customHeight="1" spans="1:35" x14ac:dyDescent="0.25">
      <c r="A898" s="16"/>
      <c r="B898" s="16"/>
      <c r="C898" s="16"/>
      <c r="D898" s="16"/>
      <c r="E898" s="16"/>
      <c r="F898" s="16"/>
      <c r="G898" s="16"/>
      <c r="H898" s="16"/>
      <c r="I898" s="16"/>
      <c r="J898" s="16"/>
      <c r="K898" s="16"/>
      <c r="L898" s="16"/>
      <c r="M898" s="16"/>
      <c r="N898" s="16"/>
      <c r="O898" s="16"/>
      <c r="P898" s="16"/>
      <c r="Q898" s="16"/>
      <c r="R898" s="16"/>
      <c r="S898" s="16"/>
      <c r="T898" s="16"/>
      <c r="U898" s="16"/>
      <c r="V898" s="16"/>
      <c r="W898" s="16"/>
      <c r="X898" s="16"/>
      <c r="Y898" s="16"/>
      <c r="Z898" s="16"/>
      <c r="AA898" s="16"/>
      <c r="AB898" s="16"/>
      <c r="AC898" s="16"/>
      <c r="AD898" s="16"/>
      <c r="AE898" s="16"/>
      <c r="AF898" s="16"/>
      <c r="AG898" s="16"/>
      <c r="AH898" s="16"/>
      <c r="AI898" s="16"/>
    </row>
    <row r="899" ht="12.75" customHeight="1" spans="1:35" x14ac:dyDescent="0.25">
      <c r="A899" s="16"/>
      <c r="B899" s="16"/>
      <c r="C899" s="16"/>
      <c r="D899" s="16"/>
      <c r="E899" s="16"/>
      <c r="F899" s="16"/>
      <c r="G899" s="16"/>
      <c r="H899" s="16"/>
      <c r="I899" s="16"/>
      <c r="J899" s="16"/>
      <c r="K899" s="16"/>
      <c r="L899" s="16"/>
      <c r="M899" s="16"/>
      <c r="N899" s="16"/>
      <c r="O899" s="16"/>
      <c r="P899" s="16"/>
      <c r="Q899" s="16"/>
      <c r="R899" s="16"/>
      <c r="S899" s="16"/>
      <c r="T899" s="16"/>
      <c r="U899" s="16"/>
      <c r="V899" s="16"/>
      <c r="W899" s="16"/>
      <c r="X899" s="16"/>
      <c r="Y899" s="16"/>
      <c r="Z899" s="16"/>
      <c r="AA899" s="16"/>
      <c r="AB899" s="16"/>
      <c r="AC899" s="16"/>
      <c r="AD899" s="16"/>
      <c r="AE899" s="16"/>
      <c r="AF899" s="16"/>
      <c r="AG899" s="16"/>
      <c r="AH899" s="16"/>
      <c r="AI899" s="16"/>
    </row>
    <row r="900" ht="12.75" customHeight="1" spans="1:35" x14ac:dyDescent="0.25">
      <c r="A900" s="16"/>
      <c r="B900" s="16"/>
      <c r="C900" s="16"/>
      <c r="D900" s="16"/>
      <c r="E900" s="16"/>
      <c r="F900" s="16"/>
      <c r="G900" s="16"/>
      <c r="H900" s="16"/>
      <c r="I900" s="16"/>
      <c r="J900" s="16"/>
      <c r="K900" s="16"/>
      <c r="L900" s="16"/>
      <c r="M900" s="16"/>
      <c r="N900" s="16"/>
      <c r="O900" s="16"/>
      <c r="P900" s="16"/>
      <c r="Q900" s="16"/>
      <c r="R900" s="16"/>
      <c r="S900" s="16"/>
      <c r="T900" s="16"/>
      <c r="U900" s="16"/>
      <c r="V900" s="16"/>
      <c r="W900" s="16"/>
      <c r="X900" s="16"/>
      <c r="Y900" s="16"/>
      <c r="Z900" s="16"/>
      <c r="AA900" s="16"/>
      <c r="AB900" s="16"/>
      <c r="AC900" s="16"/>
      <c r="AD900" s="16"/>
      <c r="AE900" s="16"/>
      <c r="AF900" s="16"/>
      <c r="AG900" s="16"/>
      <c r="AH900" s="16"/>
      <c r="AI900" s="16"/>
    </row>
    <row r="901" ht="12.75" customHeight="1" spans="1:35" x14ac:dyDescent="0.25">
      <c r="A901" s="16"/>
      <c r="B901" s="16"/>
      <c r="C901" s="16"/>
      <c r="D901" s="16"/>
      <c r="E901" s="16"/>
      <c r="F901" s="16"/>
      <c r="G901" s="16"/>
      <c r="H901" s="16"/>
      <c r="I901" s="16"/>
      <c r="J901" s="16"/>
      <c r="K901" s="16"/>
      <c r="L901" s="16"/>
      <c r="M901" s="16"/>
      <c r="N901" s="16"/>
      <c r="O901" s="16"/>
      <c r="P901" s="16"/>
      <c r="Q901" s="16"/>
      <c r="R901" s="16"/>
      <c r="S901" s="16"/>
      <c r="T901" s="16"/>
      <c r="U901" s="16"/>
      <c r="V901" s="16"/>
      <c r="W901" s="16"/>
      <c r="X901" s="16"/>
      <c r="Y901" s="16"/>
      <c r="Z901" s="16"/>
      <c r="AA901" s="16"/>
      <c r="AB901" s="16"/>
      <c r="AC901" s="16"/>
      <c r="AD901" s="16"/>
      <c r="AE901" s="16"/>
      <c r="AF901" s="16"/>
      <c r="AG901" s="16"/>
      <c r="AH901" s="16"/>
      <c r="AI901" s="16"/>
    </row>
    <row r="902" ht="12.75" customHeight="1" spans="1:35" x14ac:dyDescent="0.25">
      <c r="A902" s="16"/>
      <c r="B902" s="16"/>
      <c r="C902" s="16"/>
      <c r="D902" s="16"/>
      <c r="E902" s="16"/>
      <c r="F902" s="16"/>
      <c r="G902" s="16"/>
      <c r="H902" s="16"/>
      <c r="I902" s="16"/>
      <c r="J902" s="16"/>
      <c r="K902" s="16"/>
      <c r="L902" s="16"/>
      <c r="M902" s="16"/>
      <c r="N902" s="16"/>
      <c r="O902" s="16"/>
      <c r="P902" s="16"/>
      <c r="Q902" s="16"/>
      <c r="R902" s="16"/>
      <c r="S902" s="16"/>
      <c r="T902" s="16"/>
      <c r="U902" s="16"/>
      <c r="V902" s="16"/>
      <c r="W902" s="16"/>
      <c r="X902" s="16"/>
      <c r="Y902" s="16"/>
      <c r="Z902" s="16"/>
      <c r="AA902" s="16"/>
      <c r="AB902" s="16"/>
      <c r="AC902" s="16"/>
      <c r="AD902" s="16"/>
      <c r="AE902" s="16"/>
      <c r="AF902" s="16"/>
      <c r="AG902" s="16"/>
      <c r="AH902" s="16"/>
      <c r="AI902" s="16"/>
    </row>
    <row r="903" ht="12.75" customHeight="1" spans="1:35" x14ac:dyDescent="0.25">
      <c r="A903" s="16"/>
      <c r="B903" s="16"/>
      <c r="C903" s="16"/>
      <c r="D903" s="16"/>
      <c r="E903" s="16"/>
      <c r="F903" s="16"/>
      <c r="G903" s="16"/>
      <c r="H903" s="16"/>
      <c r="I903" s="16"/>
      <c r="J903" s="16"/>
      <c r="K903" s="16"/>
      <c r="L903" s="16"/>
      <c r="M903" s="16"/>
      <c r="N903" s="16"/>
      <c r="O903" s="16"/>
      <c r="P903" s="16"/>
      <c r="Q903" s="16"/>
      <c r="R903" s="16"/>
      <c r="S903" s="16"/>
      <c r="T903" s="16"/>
      <c r="U903" s="16"/>
      <c r="V903" s="16"/>
      <c r="W903" s="16"/>
      <c r="X903" s="16"/>
      <c r="Y903" s="16"/>
      <c r="Z903" s="16"/>
      <c r="AA903" s="16"/>
      <c r="AB903" s="16"/>
      <c r="AC903" s="16"/>
      <c r="AD903" s="16"/>
      <c r="AE903" s="16"/>
      <c r="AF903" s="16"/>
      <c r="AG903" s="16"/>
      <c r="AH903" s="16"/>
      <c r="AI903" s="16"/>
    </row>
    <row r="904" ht="12.75" customHeight="1" spans="1:35" x14ac:dyDescent="0.25">
      <c r="A904" s="16"/>
      <c r="B904" s="16"/>
      <c r="C904" s="16"/>
      <c r="D904" s="16"/>
      <c r="E904" s="16"/>
      <c r="F904" s="16"/>
      <c r="G904" s="16"/>
      <c r="H904" s="16"/>
      <c r="I904" s="16"/>
      <c r="J904" s="16"/>
      <c r="K904" s="16"/>
      <c r="L904" s="16"/>
      <c r="M904" s="16"/>
      <c r="N904" s="16"/>
      <c r="O904" s="16"/>
      <c r="P904" s="16"/>
      <c r="Q904" s="16"/>
      <c r="R904" s="16"/>
      <c r="S904" s="16"/>
      <c r="T904" s="16"/>
      <c r="U904" s="16"/>
      <c r="V904" s="16"/>
      <c r="W904" s="16"/>
      <c r="X904" s="16"/>
      <c r="Y904" s="16"/>
      <c r="Z904" s="16"/>
      <c r="AA904" s="16"/>
      <c r="AB904" s="16"/>
      <c r="AC904" s="16"/>
      <c r="AD904" s="16"/>
      <c r="AE904" s="16"/>
      <c r="AF904" s="16"/>
      <c r="AG904" s="16"/>
      <c r="AH904" s="16"/>
      <c r="AI904" s="16"/>
    </row>
    <row r="905" ht="12.75" customHeight="1" spans="1:35" x14ac:dyDescent="0.25">
      <c r="A905" s="16"/>
      <c r="B905" s="16"/>
      <c r="C905" s="16"/>
      <c r="D905" s="16"/>
      <c r="E905" s="16"/>
      <c r="F905" s="16"/>
      <c r="G905" s="16"/>
      <c r="H905" s="16"/>
      <c r="I905" s="16"/>
      <c r="J905" s="16"/>
      <c r="K905" s="16"/>
      <c r="L905" s="16"/>
      <c r="M905" s="16"/>
      <c r="N905" s="16"/>
      <c r="O905" s="16"/>
      <c r="P905" s="16"/>
      <c r="Q905" s="16"/>
      <c r="R905" s="16"/>
      <c r="S905" s="16"/>
      <c r="T905" s="16"/>
      <c r="U905" s="16"/>
      <c r="V905" s="16"/>
      <c r="W905" s="16"/>
      <c r="X905" s="16"/>
      <c r="Y905" s="16"/>
      <c r="Z905" s="16"/>
      <c r="AA905" s="16"/>
      <c r="AB905" s="16"/>
      <c r="AC905" s="16"/>
      <c r="AD905" s="16"/>
      <c r="AE905" s="16"/>
      <c r="AF905" s="16"/>
      <c r="AG905" s="16"/>
      <c r="AH905" s="16"/>
      <c r="AI905" s="16"/>
    </row>
    <row r="906" ht="12.75" customHeight="1" spans="1:35" x14ac:dyDescent="0.25">
      <c r="A906" s="16"/>
      <c r="B906" s="16"/>
      <c r="C906" s="16"/>
      <c r="D906" s="16"/>
      <c r="E906" s="16"/>
      <c r="F906" s="16"/>
      <c r="G906" s="16"/>
      <c r="H906" s="16"/>
      <c r="I906" s="16"/>
      <c r="J906" s="16"/>
      <c r="K906" s="16"/>
      <c r="L906" s="16"/>
      <c r="M906" s="16"/>
      <c r="N906" s="16"/>
      <c r="O906" s="16"/>
      <c r="P906" s="16"/>
      <c r="Q906" s="16"/>
      <c r="R906" s="16"/>
      <c r="S906" s="16"/>
      <c r="T906" s="16"/>
      <c r="U906" s="16"/>
      <c r="V906" s="16"/>
      <c r="W906" s="16"/>
      <c r="X906" s="16"/>
      <c r="Y906" s="16"/>
      <c r="Z906" s="16"/>
      <c r="AA906" s="16"/>
      <c r="AB906" s="16"/>
      <c r="AC906" s="16"/>
      <c r="AD906" s="16"/>
      <c r="AE906" s="16"/>
      <c r="AF906" s="16"/>
      <c r="AG906" s="16"/>
      <c r="AH906" s="16"/>
      <c r="AI906" s="16"/>
    </row>
    <row r="907" ht="12.75" customHeight="1" spans="1:35" x14ac:dyDescent="0.25">
      <c r="A907" s="16"/>
      <c r="B907" s="16"/>
      <c r="C907" s="16"/>
      <c r="D907" s="16"/>
      <c r="E907" s="16"/>
      <c r="F907" s="16"/>
      <c r="G907" s="16"/>
      <c r="H907" s="16"/>
      <c r="I907" s="16"/>
      <c r="J907" s="16"/>
      <c r="K907" s="16"/>
      <c r="L907" s="16"/>
      <c r="M907" s="16"/>
      <c r="N907" s="16"/>
      <c r="O907" s="16"/>
      <c r="P907" s="16"/>
      <c r="Q907" s="16"/>
      <c r="R907" s="16"/>
      <c r="S907" s="16"/>
      <c r="T907" s="16"/>
      <c r="U907" s="16"/>
      <c r="V907" s="16"/>
      <c r="W907" s="16"/>
      <c r="X907" s="16"/>
      <c r="Y907" s="16"/>
      <c r="Z907" s="16"/>
      <c r="AA907" s="16"/>
      <c r="AB907" s="16"/>
      <c r="AC907" s="16"/>
      <c r="AD907" s="16"/>
      <c r="AE907" s="16"/>
      <c r="AF907" s="16"/>
      <c r="AG907" s="16"/>
      <c r="AH907" s="16"/>
      <c r="AI907" s="16"/>
    </row>
    <row r="908" ht="12.75" customHeight="1" spans="1:35" x14ac:dyDescent="0.25">
      <c r="A908" s="16"/>
      <c r="B908" s="16"/>
      <c r="C908" s="16"/>
      <c r="D908" s="16"/>
      <c r="E908" s="16"/>
      <c r="F908" s="16"/>
      <c r="G908" s="16"/>
      <c r="H908" s="16"/>
      <c r="I908" s="16"/>
      <c r="J908" s="16"/>
      <c r="K908" s="16"/>
      <c r="L908" s="16"/>
      <c r="M908" s="16"/>
      <c r="N908" s="16"/>
      <c r="O908" s="16"/>
      <c r="P908" s="16"/>
      <c r="Q908" s="16"/>
      <c r="R908" s="16"/>
      <c r="S908" s="16"/>
      <c r="T908" s="16"/>
      <c r="U908" s="16"/>
      <c r="V908" s="16"/>
      <c r="W908" s="16"/>
      <c r="X908" s="16"/>
      <c r="Y908" s="16"/>
      <c r="Z908" s="16"/>
      <c r="AA908" s="16"/>
      <c r="AB908" s="16"/>
      <c r="AC908" s="16"/>
      <c r="AD908" s="16"/>
      <c r="AE908" s="16"/>
      <c r="AF908" s="16"/>
      <c r="AG908" s="16"/>
      <c r="AH908" s="16"/>
      <c r="AI908" s="16"/>
    </row>
    <row r="909" ht="12.75" customHeight="1" spans="1:35" x14ac:dyDescent="0.25">
      <c r="A909" s="16"/>
      <c r="B909" s="16"/>
      <c r="C909" s="16"/>
      <c r="D909" s="16"/>
      <c r="E909" s="16"/>
      <c r="F909" s="16"/>
      <c r="G909" s="16"/>
      <c r="H909" s="16"/>
      <c r="I909" s="16"/>
      <c r="J909" s="16"/>
      <c r="K909" s="16"/>
      <c r="L909" s="16"/>
      <c r="M909" s="16"/>
      <c r="N909" s="16"/>
      <c r="O909" s="16"/>
      <c r="P909" s="16"/>
      <c r="Q909" s="16"/>
      <c r="R909" s="16"/>
      <c r="S909" s="16"/>
      <c r="T909" s="16"/>
      <c r="U909" s="16"/>
      <c r="V909" s="16"/>
      <c r="W909" s="16"/>
      <c r="X909" s="16"/>
      <c r="Y909" s="16"/>
      <c r="Z909" s="16"/>
      <c r="AA909" s="16"/>
      <c r="AB909" s="16"/>
      <c r="AC909" s="16"/>
      <c r="AD909" s="16"/>
      <c r="AE909" s="16"/>
      <c r="AF909" s="16"/>
      <c r="AG909" s="16"/>
      <c r="AH909" s="16"/>
      <c r="AI909" s="16"/>
    </row>
    <row r="910" ht="12.75" customHeight="1" spans="1:35" x14ac:dyDescent="0.25">
      <c r="A910" s="16"/>
      <c r="B910" s="16"/>
      <c r="C910" s="16"/>
      <c r="D910" s="16"/>
      <c r="E910" s="16"/>
      <c r="F910" s="16"/>
      <c r="G910" s="16"/>
      <c r="H910" s="16"/>
      <c r="I910" s="16"/>
      <c r="J910" s="16"/>
      <c r="K910" s="16"/>
      <c r="L910" s="16"/>
      <c r="M910" s="16"/>
      <c r="N910" s="16"/>
      <c r="O910" s="16"/>
      <c r="P910" s="16"/>
      <c r="Q910" s="16"/>
      <c r="R910" s="16"/>
      <c r="S910" s="16"/>
      <c r="T910" s="16"/>
      <c r="U910" s="16"/>
      <c r="V910" s="16"/>
      <c r="W910" s="16"/>
      <c r="X910" s="16"/>
      <c r="Y910" s="16"/>
      <c r="Z910" s="16"/>
      <c r="AA910" s="16"/>
      <c r="AB910" s="16"/>
      <c r="AC910" s="16"/>
      <c r="AD910" s="16"/>
      <c r="AE910" s="16"/>
      <c r="AF910" s="16"/>
      <c r="AG910" s="16"/>
      <c r="AH910" s="16"/>
      <c r="AI910" s="16"/>
    </row>
    <row r="911" ht="12.75" customHeight="1" spans="1:35" x14ac:dyDescent="0.25">
      <c r="A911" s="16"/>
      <c r="B911" s="16"/>
      <c r="C911" s="16"/>
      <c r="D911" s="16"/>
      <c r="E911" s="16"/>
      <c r="F911" s="16"/>
      <c r="G911" s="16"/>
      <c r="H911" s="16"/>
      <c r="I911" s="16"/>
      <c r="J911" s="16"/>
      <c r="K911" s="16"/>
      <c r="L911" s="16"/>
      <c r="M911" s="16"/>
      <c r="N911" s="16"/>
      <c r="O911" s="16"/>
      <c r="P911" s="16"/>
      <c r="Q911" s="16"/>
      <c r="R911" s="16"/>
      <c r="S911" s="16"/>
      <c r="T911" s="16"/>
      <c r="U911" s="16"/>
      <c r="V911" s="16"/>
      <c r="W911" s="16"/>
      <c r="X911" s="16"/>
      <c r="Y911" s="16"/>
      <c r="Z911" s="16"/>
      <c r="AA911" s="16"/>
      <c r="AB911" s="16"/>
      <c r="AC911" s="16"/>
      <c r="AD911" s="16"/>
      <c r="AE911" s="16"/>
      <c r="AF911" s="16"/>
      <c r="AG911" s="16"/>
      <c r="AH911" s="16"/>
      <c r="AI911" s="16"/>
    </row>
    <row r="912" ht="12.75" customHeight="1" spans="1:35" x14ac:dyDescent="0.25">
      <c r="A912" s="16"/>
      <c r="B912" s="16"/>
      <c r="C912" s="16"/>
      <c r="D912" s="16"/>
      <c r="E912" s="16"/>
      <c r="F912" s="16"/>
      <c r="G912" s="16"/>
      <c r="H912" s="16"/>
      <c r="I912" s="16"/>
      <c r="J912" s="16"/>
      <c r="K912" s="16"/>
      <c r="L912" s="16"/>
      <c r="M912" s="16"/>
      <c r="N912" s="16"/>
      <c r="O912" s="16"/>
      <c r="P912" s="16"/>
      <c r="Q912" s="16"/>
      <c r="R912" s="16"/>
      <c r="S912" s="16"/>
      <c r="T912" s="16"/>
      <c r="U912" s="16"/>
      <c r="V912" s="16"/>
      <c r="W912" s="16"/>
      <c r="X912" s="16"/>
      <c r="Y912" s="16"/>
      <c r="Z912" s="16"/>
      <c r="AA912" s="16"/>
      <c r="AB912" s="16"/>
      <c r="AC912" s="16"/>
      <c r="AD912" s="16"/>
      <c r="AE912" s="16"/>
      <c r="AF912" s="16"/>
      <c r="AG912" s="16"/>
      <c r="AH912" s="16"/>
      <c r="AI912" s="16"/>
    </row>
    <row r="913" ht="12.75" customHeight="1" spans="1:35" x14ac:dyDescent="0.25">
      <c r="A913" s="16"/>
      <c r="B913" s="16"/>
      <c r="C913" s="16"/>
      <c r="D913" s="16"/>
      <c r="E913" s="16"/>
      <c r="F913" s="16"/>
      <c r="G913" s="16"/>
      <c r="H913" s="16"/>
      <c r="I913" s="16"/>
      <c r="J913" s="16"/>
      <c r="K913" s="16"/>
      <c r="L913" s="16"/>
      <c r="M913" s="16"/>
      <c r="N913" s="16"/>
      <c r="O913" s="16"/>
      <c r="P913" s="16"/>
      <c r="Q913" s="16"/>
      <c r="R913" s="16"/>
      <c r="S913" s="16"/>
      <c r="T913" s="16"/>
      <c r="U913" s="16"/>
      <c r="V913" s="16"/>
      <c r="W913" s="16"/>
      <c r="X913" s="16"/>
      <c r="Y913" s="16"/>
      <c r="Z913" s="16"/>
      <c r="AA913" s="16"/>
      <c r="AB913" s="16"/>
      <c r="AC913" s="16"/>
      <c r="AD913" s="16"/>
      <c r="AE913" s="16"/>
      <c r="AF913" s="16"/>
      <c r="AG913" s="16"/>
      <c r="AH913" s="16"/>
      <c r="AI913" s="16"/>
    </row>
    <row r="914" ht="12.75" customHeight="1" spans="1:35" x14ac:dyDescent="0.25">
      <c r="A914" s="16"/>
      <c r="B914" s="16"/>
      <c r="C914" s="16"/>
      <c r="D914" s="16"/>
      <c r="E914" s="16"/>
      <c r="F914" s="16"/>
      <c r="G914" s="16"/>
      <c r="H914" s="16"/>
      <c r="I914" s="16"/>
      <c r="J914" s="16"/>
      <c r="K914" s="16"/>
      <c r="L914" s="16"/>
      <c r="M914" s="16"/>
      <c r="N914" s="16"/>
      <c r="O914" s="16"/>
      <c r="P914" s="16"/>
      <c r="Q914" s="16"/>
      <c r="R914" s="16"/>
      <c r="S914" s="16"/>
      <c r="T914" s="16"/>
      <c r="U914" s="16"/>
      <c r="V914" s="16"/>
      <c r="W914" s="16"/>
      <c r="X914" s="16"/>
      <c r="Y914" s="16"/>
      <c r="Z914" s="16"/>
      <c r="AA914" s="16"/>
      <c r="AB914" s="16"/>
      <c r="AC914" s="16"/>
      <c r="AD914" s="16"/>
      <c r="AE914" s="16"/>
      <c r="AF914" s="16"/>
      <c r="AG914" s="16"/>
      <c r="AH914" s="16"/>
      <c r="AI914" s="16"/>
    </row>
    <row r="915" ht="12.75" customHeight="1" spans="1:35" x14ac:dyDescent="0.25">
      <c r="A915" s="16"/>
      <c r="B915" s="16"/>
      <c r="C915" s="16"/>
      <c r="D915" s="16"/>
      <c r="E915" s="16"/>
      <c r="F915" s="16"/>
      <c r="G915" s="16"/>
      <c r="H915" s="16"/>
      <c r="I915" s="16"/>
      <c r="J915" s="16"/>
      <c r="K915" s="16"/>
      <c r="L915" s="16"/>
      <c r="M915" s="16"/>
      <c r="N915" s="16"/>
      <c r="O915" s="16"/>
      <c r="P915" s="16"/>
      <c r="Q915" s="16"/>
      <c r="R915" s="16"/>
      <c r="S915" s="16"/>
      <c r="T915" s="16"/>
      <c r="U915" s="16"/>
      <c r="V915" s="16"/>
      <c r="W915" s="16"/>
      <c r="X915" s="16"/>
      <c r="Y915" s="16"/>
      <c r="Z915" s="16"/>
      <c r="AA915" s="16"/>
      <c r="AB915" s="16"/>
      <c r="AC915" s="16"/>
      <c r="AD915" s="16"/>
      <c r="AE915" s="16"/>
      <c r="AF915" s="16"/>
      <c r="AG915" s="16"/>
      <c r="AH915" s="16"/>
      <c r="AI915" s="16"/>
    </row>
    <row r="916" ht="12.75" customHeight="1" spans="1:35" x14ac:dyDescent="0.25">
      <c r="A916" s="16"/>
      <c r="B916" s="16"/>
      <c r="C916" s="16"/>
      <c r="D916" s="16"/>
      <c r="E916" s="16"/>
      <c r="F916" s="16"/>
      <c r="G916" s="16"/>
      <c r="H916" s="16"/>
      <c r="I916" s="16"/>
      <c r="J916" s="16"/>
      <c r="K916" s="16"/>
      <c r="L916" s="16"/>
      <c r="M916" s="16"/>
      <c r="N916" s="16"/>
      <c r="O916" s="16"/>
      <c r="P916" s="16"/>
      <c r="Q916" s="16"/>
      <c r="R916" s="16"/>
      <c r="S916" s="16"/>
      <c r="T916" s="16"/>
      <c r="U916" s="16"/>
      <c r="V916" s="16"/>
      <c r="W916" s="16"/>
      <c r="X916" s="16"/>
      <c r="Y916" s="16"/>
      <c r="Z916" s="16"/>
      <c r="AA916" s="16"/>
      <c r="AB916" s="16"/>
      <c r="AC916" s="16"/>
      <c r="AD916" s="16"/>
      <c r="AE916" s="16"/>
      <c r="AF916" s="16"/>
      <c r="AG916" s="16"/>
      <c r="AH916" s="16"/>
      <c r="AI916" s="16"/>
    </row>
    <row r="917" ht="12.75" customHeight="1" spans="1:35" x14ac:dyDescent="0.25">
      <c r="A917" s="16"/>
      <c r="B917" s="16"/>
      <c r="C917" s="16"/>
      <c r="D917" s="16"/>
      <c r="E917" s="16"/>
      <c r="F917" s="16"/>
      <c r="G917" s="16"/>
      <c r="H917" s="16"/>
      <c r="I917" s="16"/>
      <c r="J917" s="16"/>
      <c r="K917" s="16"/>
      <c r="L917" s="16"/>
      <c r="M917" s="16"/>
      <c r="N917" s="16"/>
      <c r="O917" s="16"/>
      <c r="P917" s="16"/>
      <c r="Q917" s="16"/>
      <c r="R917" s="16"/>
      <c r="S917" s="16"/>
      <c r="T917" s="16"/>
      <c r="U917" s="16"/>
      <c r="V917" s="16"/>
      <c r="W917" s="16"/>
      <c r="X917" s="16"/>
      <c r="Y917" s="16"/>
      <c r="Z917" s="16"/>
      <c r="AA917" s="16"/>
      <c r="AB917" s="16"/>
      <c r="AC917" s="16"/>
      <c r="AD917" s="16"/>
      <c r="AE917" s="16"/>
      <c r="AF917" s="16"/>
      <c r="AG917" s="16"/>
      <c r="AH917" s="16"/>
      <c r="AI917" s="16"/>
    </row>
    <row r="918" ht="12.75" customHeight="1" spans="1:35" x14ac:dyDescent="0.25">
      <c r="A918" s="16"/>
      <c r="B918" s="16"/>
      <c r="C918" s="16"/>
      <c r="D918" s="16"/>
      <c r="E918" s="16"/>
      <c r="F918" s="16"/>
      <c r="G918" s="16"/>
      <c r="H918" s="16"/>
      <c r="I918" s="16"/>
      <c r="J918" s="16"/>
      <c r="K918" s="16"/>
      <c r="L918" s="16"/>
      <c r="M918" s="16"/>
      <c r="N918" s="16"/>
      <c r="O918" s="16"/>
      <c r="P918" s="16"/>
      <c r="Q918" s="16"/>
      <c r="R918" s="16"/>
      <c r="S918" s="16"/>
      <c r="T918" s="16"/>
      <c r="U918" s="16"/>
      <c r="V918" s="16"/>
      <c r="W918" s="16"/>
      <c r="X918" s="16"/>
      <c r="Y918" s="16"/>
      <c r="Z918" s="16"/>
      <c r="AA918" s="16"/>
      <c r="AB918" s="16"/>
      <c r="AC918" s="16"/>
      <c r="AD918" s="16"/>
      <c r="AE918" s="16"/>
      <c r="AF918" s="16"/>
      <c r="AG918" s="16"/>
      <c r="AH918" s="16"/>
      <c r="AI918" s="16"/>
    </row>
    <row r="919" ht="12.75" customHeight="1" spans="1:35" x14ac:dyDescent="0.25">
      <c r="A919" s="16"/>
      <c r="B919" s="16"/>
      <c r="C919" s="16"/>
      <c r="D919" s="16"/>
      <c r="E919" s="16"/>
      <c r="F919" s="16"/>
      <c r="G919" s="16"/>
      <c r="H919" s="16"/>
      <c r="I919" s="16"/>
      <c r="J919" s="16"/>
      <c r="K919" s="16"/>
      <c r="L919" s="16"/>
      <c r="M919" s="16"/>
      <c r="N919" s="16"/>
      <c r="O919" s="16"/>
      <c r="P919" s="16"/>
      <c r="Q919" s="16"/>
      <c r="R919" s="16"/>
      <c r="S919" s="16"/>
      <c r="T919" s="16"/>
      <c r="U919" s="16"/>
      <c r="V919" s="16"/>
      <c r="W919" s="16"/>
      <c r="X919" s="16"/>
      <c r="Y919" s="16"/>
      <c r="Z919" s="16"/>
      <c r="AA919" s="16"/>
      <c r="AB919" s="16"/>
      <c r="AC919" s="16"/>
      <c r="AD919" s="16"/>
      <c r="AE919" s="16"/>
      <c r="AF919" s="16"/>
      <c r="AG919" s="16"/>
      <c r="AH919" s="16"/>
      <c r="AI919" s="16"/>
    </row>
    <row r="920" ht="12.75" customHeight="1" spans="1:35" x14ac:dyDescent="0.25">
      <c r="A920" s="16"/>
      <c r="B920" s="16"/>
      <c r="C920" s="16"/>
      <c r="D920" s="16"/>
      <c r="E920" s="16"/>
      <c r="F920" s="16"/>
      <c r="G920" s="16"/>
      <c r="H920" s="16"/>
      <c r="I920" s="16"/>
      <c r="J920" s="16"/>
      <c r="K920" s="16"/>
      <c r="L920" s="16"/>
      <c r="M920" s="16"/>
      <c r="N920" s="16"/>
      <c r="O920" s="16"/>
      <c r="P920" s="16"/>
      <c r="Q920" s="16"/>
      <c r="R920" s="16"/>
      <c r="S920" s="16"/>
      <c r="T920" s="16"/>
      <c r="U920" s="16"/>
      <c r="V920" s="16"/>
      <c r="W920" s="16"/>
      <c r="X920" s="16"/>
      <c r="Y920" s="16"/>
      <c r="Z920" s="16"/>
      <c r="AA920" s="16"/>
      <c r="AB920" s="16"/>
      <c r="AC920" s="16"/>
      <c r="AD920" s="16"/>
      <c r="AE920" s="16"/>
      <c r="AF920" s="16"/>
      <c r="AG920" s="16"/>
      <c r="AH920" s="16"/>
      <c r="AI920" s="16"/>
    </row>
    <row r="921" ht="12.75" customHeight="1" spans="1:35" x14ac:dyDescent="0.25">
      <c r="A921" s="16"/>
      <c r="B921" s="16"/>
      <c r="C921" s="16"/>
      <c r="D921" s="16"/>
      <c r="E921" s="16"/>
      <c r="F921" s="16"/>
      <c r="G921" s="16"/>
      <c r="H921" s="16"/>
      <c r="I921" s="16"/>
      <c r="J921" s="16"/>
      <c r="K921" s="16"/>
      <c r="L921" s="16"/>
      <c r="M921" s="16"/>
      <c r="N921" s="16"/>
      <c r="O921" s="16"/>
      <c r="P921" s="16"/>
      <c r="Q921" s="16"/>
      <c r="R921" s="16"/>
      <c r="S921" s="16"/>
      <c r="T921" s="16"/>
      <c r="U921" s="16"/>
      <c r="V921" s="16"/>
      <c r="W921" s="16"/>
      <c r="X921" s="16"/>
      <c r="Y921" s="16"/>
      <c r="Z921" s="16"/>
      <c r="AA921" s="16"/>
      <c r="AB921" s="16"/>
      <c r="AC921" s="16"/>
      <c r="AD921" s="16"/>
      <c r="AE921" s="16"/>
      <c r="AF921" s="16"/>
      <c r="AG921" s="16"/>
      <c r="AH921" s="16"/>
      <c r="AI921" s="16"/>
    </row>
    <row r="922" ht="12.75" customHeight="1" spans="1:35" x14ac:dyDescent="0.25">
      <c r="A922" s="16"/>
      <c r="B922" s="16"/>
      <c r="C922" s="16"/>
      <c r="D922" s="16"/>
      <c r="E922" s="16"/>
      <c r="F922" s="16"/>
      <c r="G922" s="16"/>
      <c r="H922" s="16"/>
      <c r="I922" s="16"/>
      <c r="J922" s="16"/>
      <c r="K922" s="16"/>
      <c r="L922" s="16"/>
      <c r="M922" s="16"/>
      <c r="N922" s="16"/>
      <c r="O922" s="16"/>
      <c r="P922" s="16"/>
      <c r="Q922" s="16"/>
      <c r="R922" s="16"/>
      <c r="S922" s="16"/>
      <c r="T922" s="16"/>
      <c r="U922" s="16"/>
      <c r="V922" s="16"/>
      <c r="W922" s="16"/>
      <c r="X922" s="16"/>
      <c r="Y922" s="16"/>
      <c r="Z922" s="16"/>
      <c r="AA922" s="16"/>
      <c r="AB922" s="16"/>
      <c r="AC922" s="16"/>
      <c r="AD922" s="16"/>
      <c r="AE922" s="16"/>
      <c r="AF922" s="16"/>
      <c r="AG922" s="16"/>
      <c r="AH922" s="16"/>
      <c r="AI922" s="16"/>
    </row>
    <row r="923" ht="12.75" customHeight="1" spans="1:35" x14ac:dyDescent="0.25">
      <c r="A923" s="16"/>
      <c r="B923" s="16"/>
      <c r="C923" s="16"/>
      <c r="D923" s="16"/>
      <c r="E923" s="16"/>
      <c r="F923" s="16"/>
      <c r="G923" s="16"/>
      <c r="H923" s="16"/>
      <c r="I923" s="16"/>
      <c r="J923" s="16"/>
      <c r="K923" s="16"/>
      <c r="L923" s="16"/>
      <c r="M923" s="16"/>
      <c r="N923" s="16"/>
      <c r="O923" s="16"/>
      <c r="P923" s="16"/>
      <c r="Q923" s="16"/>
      <c r="R923" s="16"/>
      <c r="S923" s="16"/>
      <c r="T923" s="16"/>
      <c r="U923" s="16"/>
      <c r="V923" s="16"/>
      <c r="W923" s="16"/>
      <c r="X923" s="16"/>
      <c r="Y923" s="16"/>
      <c r="Z923" s="16"/>
      <c r="AA923" s="16"/>
      <c r="AB923" s="16"/>
      <c r="AC923" s="16"/>
      <c r="AD923" s="16"/>
      <c r="AE923" s="16"/>
      <c r="AF923" s="16"/>
      <c r="AG923" s="16"/>
      <c r="AH923" s="16"/>
      <c r="AI923" s="16"/>
    </row>
    <row r="924" ht="12.75" customHeight="1" spans="1:35" x14ac:dyDescent="0.25">
      <c r="A924" s="16"/>
      <c r="B924" s="16"/>
      <c r="C924" s="16"/>
      <c r="D924" s="16"/>
      <c r="E924" s="16"/>
      <c r="F924" s="16"/>
      <c r="G924" s="16"/>
      <c r="H924" s="16"/>
      <c r="I924" s="16"/>
      <c r="J924" s="16"/>
      <c r="K924" s="16"/>
      <c r="L924" s="16"/>
      <c r="M924" s="16"/>
      <c r="N924" s="16"/>
      <c r="O924" s="16"/>
      <c r="P924" s="16"/>
      <c r="Q924" s="16"/>
      <c r="R924" s="16"/>
      <c r="S924" s="16"/>
      <c r="T924" s="16"/>
      <c r="U924" s="16"/>
      <c r="V924" s="16"/>
      <c r="W924" s="16"/>
      <c r="X924" s="16"/>
      <c r="Y924" s="16"/>
      <c r="Z924" s="16"/>
      <c r="AA924" s="16"/>
      <c r="AB924" s="16"/>
      <c r="AC924" s="16"/>
      <c r="AD924" s="16"/>
      <c r="AE924" s="16"/>
      <c r="AF924" s="16"/>
      <c r="AG924" s="16"/>
      <c r="AH924" s="16"/>
      <c r="AI924" s="16"/>
    </row>
    <row r="925" ht="12.75" customHeight="1" spans="1:35" x14ac:dyDescent="0.25">
      <c r="A925" s="16"/>
      <c r="B925" s="16"/>
      <c r="C925" s="16"/>
      <c r="D925" s="16"/>
      <c r="E925" s="16"/>
      <c r="F925" s="16"/>
      <c r="G925" s="16"/>
      <c r="H925" s="16"/>
      <c r="I925" s="16"/>
      <c r="J925" s="16"/>
      <c r="K925" s="16"/>
      <c r="L925" s="16"/>
      <c r="M925" s="16"/>
      <c r="N925" s="16"/>
      <c r="O925" s="16"/>
      <c r="P925" s="16"/>
      <c r="Q925" s="16"/>
      <c r="R925" s="16"/>
      <c r="S925" s="16"/>
      <c r="T925" s="16"/>
      <c r="U925" s="16"/>
      <c r="V925" s="16"/>
      <c r="W925" s="16"/>
      <c r="X925" s="16"/>
      <c r="Y925" s="16"/>
      <c r="Z925" s="16"/>
      <c r="AA925" s="16"/>
      <c r="AB925" s="16"/>
      <c r="AC925" s="16"/>
      <c r="AD925" s="16"/>
      <c r="AE925" s="16"/>
      <c r="AF925" s="16"/>
      <c r="AG925" s="16"/>
      <c r="AH925" s="16"/>
      <c r="AI925" s="16"/>
    </row>
    <row r="926" ht="12.75" customHeight="1" spans="1:35" x14ac:dyDescent="0.25">
      <c r="A926" s="16"/>
      <c r="B926" s="16"/>
      <c r="C926" s="16"/>
      <c r="D926" s="16"/>
      <c r="E926" s="16"/>
      <c r="F926" s="16"/>
      <c r="G926" s="16"/>
      <c r="H926" s="16"/>
      <c r="I926" s="16"/>
      <c r="J926" s="16"/>
      <c r="K926" s="16"/>
      <c r="L926" s="16"/>
      <c r="M926" s="16"/>
      <c r="N926" s="16"/>
      <c r="O926" s="16"/>
      <c r="P926" s="16"/>
      <c r="Q926" s="16"/>
      <c r="R926" s="16"/>
      <c r="S926" s="16"/>
      <c r="T926" s="16"/>
      <c r="U926" s="16"/>
      <c r="V926" s="16"/>
      <c r="W926" s="16"/>
      <c r="X926" s="16"/>
      <c r="Y926" s="16"/>
      <c r="Z926" s="16"/>
      <c r="AA926" s="16"/>
      <c r="AB926" s="16"/>
      <c r="AC926" s="16"/>
      <c r="AD926" s="16"/>
      <c r="AE926" s="16"/>
      <c r="AF926" s="16"/>
      <c r="AG926" s="16"/>
      <c r="AH926" s="16"/>
      <c r="AI926" s="16"/>
    </row>
    <row r="927" ht="12.75" customHeight="1" spans="1:35" x14ac:dyDescent="0.25">
      <c r="A927" s="16"/>
      <c r="B927" s="16"/>
      <c r="C927" s="16"/>
      <c r="D927" s="16"/>
      <c r="E927" s="16"/>
      <c r="F927" s="16"/>
      <c r="G927" s="16"/>
      <c r="H927" s="16"/>
      <c r="I927" s="16"/>
      <c r="J927" s="16"/>
      <c r="K927" s="16"/>
      <c r="L927" s="16"/>
      <c r="M927" s="16"/>
      <c r="N927" s="16"/>
      <c r="O927" s="16"/>
      <c r="P927" s="16"/>
      <c r="Q927" s="16"/>
      <c r="R927" s="16"/>
      <c r="S927" s="16"/>
      <c r="T927" s="16"/>
      <c r="U927" s="16"/>
      <c r="V927" s="16"/>
      <c r="W927" s="16"/>
      <c r="X927" s="16"/>
      <c r="Y927" s="16"/>
      <c r="Z927" s="16"/>
      <c r="AA927" s="16"/>
      <c r="AB927" s="16"/>
      <c r="AC927" s="16"/>
      <c r="AD927" s="16"/>
      <c r="AE927" s="16"/>
      <c r="AF927" s="16"/>
      <c r="AG927" s="16"/>
      <c r="AH927" s="16"/>
      <c r="AI927" s="16"/>
    </row>
    <row r="928" ht="12.75" customHeight="1" spans="1:35" x14ac:dyDescent="0.25">
      <c r="A928" s="16"/>
      <c r="B928" s="16"/>
      <c r="C928" s="16"/>
      <c r="D928" s="16"/>
      <c r="E928" s="16"/>
      <c r="F928" s="16"/>
      <c r="G928" s="16"/>
      <c r="H928" s="16"/>
      <c r="I928" s="16"/>
      <c r="J928" s="16"/>
      <c r="K928" s="16"/>
      <c r="L928" s="16"/>
      <c r="M928" s="16"/>
      <c r="N928" s="16"/>
      <c r="O928" s="16"/>
      <c r="P928" s="16"/>
      <c r="Q928" s="16"/>
      <c r="R928" s="16"/>
      <c r="S928" s="16"/>
      <c r="T928" s="16"/>
      <c r="U928" s="16"/>
      <c r="V928" s="16"/>
      <c r="W928" s="16"/>
      <c r="X928" s="16"/>
      <c r="Y928" s="16"/>
      <c r="Z928" s="16"/>
      <c r="AA928" s="16"/>
      <c r="AB928" s="16"/>
      <c r="AC928" s="16"/>
      <c r="AD928" s="16"/>
      <c r="AE928" s="16"/>
      <c r="AF928" s="16"/>
      <c r="AG928" s="16"/>
      <c r="AH928" s="16"/>
      <c r="AI928" s="16"/>
    </row>
    <row r="929" ht="12.75" customHeight="1" spans="1:35" x14ac:dyDescent="0.25">
      <c r="A929" s="16"/>
      <c r="B929" s="16"/>
      <c r="C929" s="16"/>
      <c r="D929" s="16"/>
      <c r="E929" s="16"/>
      <c r="F929" s="16"/>
      <c r="G929" s="16"/>
      <c r="H929" s="16"/>
      <c r="I929" s="16"/>
      <c r="J929" s="16"/>
      <c r="K929" s="16"/>
      <c r="L929" s="16"/>
      <c r="M929" s="16"/>
      <c r="N929" s="16"/>
      <c r="O929" s="16"/>
      <c r="P929" s="16"/>
      <c r="Q929" s="16"/>
      <c r="R929" s="16"/>
      <c r="S929" s="16"/>
      <c r="T929" s="16"/>
      <c r="U929" s="16"/>
      <c r="V929" s="16"/>
      <c r="W929" s="16"/>
      <c r="X929" s="16"/>
      <c r="Y929" s="16"/>
      <c r="Z929" s="16"/>
      <c r="AA929" s="16"/>
      <c r="AB929" s="16"/>
      <c r="AC929" s="16"/>
      <c r="AD929" s="16"/>
      <c r="AE929" s="16"/>
      <c r="AF929" s="16"/>
      <c r="AG929" s="16"/>
      <c r="AH929" s="16"/>
      <c r="AI929" s="16"/>
    </row>
    <row r="930" ht="12.75" customHeight="1" spans="1:35" x14ac:dyDescent="0.25">
      <c r="A930" s="16"/>
      <c r="B930" s="16"/>
      <c r="C930" s="16"/>
      <c r="D930" s="16"/>
      <c r="E930" s="16"/>
      <c r="F930" s="16"/>
      <c r="G930" s="16"/>
      <c r="H930" s="16"/>
      <c r="I930" s="16"/>
      <c r="J930" s="16"/>
      <c r="K930" s="16"/>
      <c r="L930" s="16"/>
      <c r="M930" s="16"/>
      <c r="N930" s="16"/>
      <c r="O930" s="16"/>
      <c r="P930" s="16"/>
      <c r="Q930" s="16"/>
      <c r="R930" s="16"/>
      <c r="S930" s="16"/>
      <c r="T930" s="16"/>
      <c r="U930" s="16"/>
      <c r="V930" s="16"/>
      <c r="W930" s="16"/>
      <c r="X930" s="16"/>
      <c r="Y930" s="16"/>
      <c r="Z930" s="16"/>
      <c r="AA930" s="16"/>
      <c r="AB930" s="16"/>
      <c r="AC930" s="16"/>
      <c r="AD930" s="16"/>
      <c r="AE930" s="16"/>
      <c r="AF930" s="16"/>
      <c r="AG930" s="16"/>
      <c r="AH930" s="16"/>
      <c r="AI930" s="16"/>
    </row>
    <row r="931" ht="12.75" customHeight="1" spans="1:35" x14ac:dyDescent="0.25">
      <c r="A931" s="16"/>
      <c r="B931" s="16"/>
      <c r="C931" s="16"/>
      <c r="D931" s="16"/>
      <c r="E931" s="16"/>
      <c r="F931" s="16"/>
      <c r="G931" s="16"/>
      <c r="H931" s="16"/>
      <c r="I931" s="16"/>
      <c r="J931" s="16"/>
      <c r="K931" s="16"/>
      <c r="L931" s="16"/>
      <c r="M931" s="16"/>
      <c r="N931" s="16"/>
      <c r="O931" s="16"/>
      <c r="P931" s="16"/>
      <c r="Q931" s="16"/>
      <c r="R931" s="16"/>
      <c r="S931" s="16"/>
      <c r="T931" s="16"/>
      <c r="U931" s="16"/>
      <c r="V931" s="16"/>
      <c r="W931" s="16"/>
      <c r="X931" s="16"/>
      <c r="Y931" s="16"/>
      <c r="Z931" s="16"/>
      <c r="AA931" s="16"/>
      <c r="AB931" s="16"/>
      <c r="AC931" s="16"/>
      <c r="AD931" s="16"/>
      <c r="AE931" s="16"/>
      <c r="AF931" s="16"/>
      <c r="AG931" s="16"/>
      <c r="AH931" s="16"/>
      <c r="AI931" s="16"/>
    </row>
    <row r="932" ht="12.75" customHeight="1" spans="1:35" x14ac:dyDescent="0.25">
      <c r="A932" s="16"/>
      <c r="B932" s="16"/>
      <c r="C932" s="16"/>
      <c r="D932" s="16"/>
      <c r="E932" s="16"/>
      <c r="F932" s="16"/>
      <c r="G932" s="16"/>
      <c r="H932" s="16"/>
      <c r="I932" s="16"/>
      <c r="J932" s="16"/>
      <c r="K932" s="16"/>
      <c r="L932" s="16"/>
      <c r="M932" s="16"/>
      <c r="N932" s="16"/>
      <c r="O932" s="16"/>
      <c r="P932" s="16"/>
      <c r="Q932" s="16"/>
      <c r="R932" s="16"/>
      <c r="S932" s="16"/>
      <c r="T932" s="16"/>
      <c r="U932" s="16"/>
      <c r="V932" s="16"/>
      <c r="W932" s="16"/>
      <c r="X932" s="16"/>
      <c r="Y932" s="16"/>
      <c r="Z932" s="16"/>
      <c r="AA932" s="16"/>
      <c r="AB932" s="16"/>
      <c r="AC932" s="16"/>
      <c r="AD932" s="16"/>
      <c r="AE932" s="16"/>
      <c r="AF932" s="16"/>
      <c r="AG932" s="16"/>
      <c r="AH932" s="16"/>
      <c r="AI932" s="16"/>
    </row>
    <row r="933" ht="12.75" customHeight="1" spans="1:35" x14ac:dyDescent="0.25">
      <c r="A933" s="16"/>
      <c r="B933" s="16"/>
      <c r="C933" s="16"/>
      <c r="D933" s="16"/>
      <c r="E933" s="16"/>
      <c r="F933" s="16"/>
      <c r="G933" s="16"/>
      <c r="H933" s="16"/>
      <c r="I933" s="16"/>
      <c r="J933" s="16"/>
      <c r="K933" s="16"/>
      <c r="L933" s="16"/>
      <c r="M933" s="16"/>
      <c r="N933" s="16"/>
      <c r="O933" s="16"/>
      <c r="P933" s="16"/>
      <c r="Q933" s="16"/>
      <c r="R933" s="16"/>
      <c r="S933" s="16"/>
      <c r="T933" s="16"/>
      <c r="U933" s="16"/>
      <c r="V933" s="16"/>
      <c r="W933" s="16"/>
      <c r="X933" s="16"/>
      <c r="Y933" s="16"/>
      <c r="Z933" s="16"/>
      <c r="AA933" s="16"/>
      <c r="AB933" s="16"/>
      <c r="AC933" s="16"/>
      <c r="AD933" s="16"/>
      <c r="AE933" s="16"/>
      <c r="AF933" s="16"/>
      <c r="AG933" s="16"/>
      <c r="AH933" s="16"/>
      <c r="AI933" s="16"/>
    </row>
    <row r="934" ht="12.75" customHeight="1" spans="1:35" x14ac:dyDescent="0.25">
      <c r="A934" s="16"/>
      <c r="B934" s="16"/>
      <c r="C934" s="16"/>
      <c r="D934" s="16"/>
      <c r="E934" s="16"/>
      <c r="F934" s="16"/>
      <c r="G934" s="16"/>
      <c r="H934" s="16"/>
      <c r="I934" s="16"/>
      <c r="J934" s="16"/>
      <c r="K934" s="16"/>
      <c r="L934" s="16"/>
      <c r="M934" s="16"/>
      <c r="N934" s="16"/>
      <c r="O934" s="16"/>
      <c r="P934" s="16"/>
      <c r="Q934" s="16"/>
      <c r="R934" s="16"/>
      <c r="S934" s="16"/>
      <c r="T934" s="16"/>
      <c r="U934" s="16"/>
      <c r="V934" s="16"/>
      <c r="W934" s="16"/>
      <c r="X934" s="16"/>
      <c r="Y934" s="16"/>
      <c r="Z934" s="16"/>
      <c r="AA934" s="16"/>
      <c r="AB934" s="16"/>
      <c r="AC934" s="16"/>
      <c r="AD934" s="16"/>
      <c r="AE934" s="16"/>
      <c r="AF934" s="16"/>
      <c r="AG934" s="16"/>
      <c r="AH934" s="16"/>
      <c r="AI934" s="16"/>
    </row>
    <row r="935" ht="12.75" customHeight="1" spans="1:35" x14ac:dyDescent="0.25">
      <c r="A935" s="16"/>
      <c r="B935" s="16"/>
      <c r="C935" s="16"/>
      <c r="D935" s="16"/>
      <c r="E935" s="16"/>
      <c r="F935" s="16"/>
      <c r="G935" s="16"/>
      <c r="H935" s="16"/>
      <c r="I935" s="16"/>
      <c r="J935" s="16"/>
      <c r="K935" s="16"/>
      <c r="L935" s="16"/>
      <c r="M935" s="16"/>
      <c r="N935" s="16"/>
      <c r="O935" s="16"/>
      <c r="P935" s="16"/>
      <c r="Q935" s="16"/>
      <c r="R935" s="16"/>
      <c r="S935" s="16"/>
      <c r="T935" s="16"/>
      <c r="U935" s="16"/>
      <c r="V935" s="16"/>
      <c r="W935" s="16"/>
      <c r="X935" s="16"/>
      <c r="Y935" s="16"/>
      <c r="Z935" s="16"/>
      <c r="AA935" s="16"/>
      <c r="AB935" s="16"/>
      <c r="AC935" s="16"/>
      <c r="AD935" s="16"/>
      <c r="AE935" s="16"/>
      <c r="AF935" s="16"/>
      <c r="AG935" s="16"/>
      <c r="AH935" s="16"/>
      <c r="AI935" s="16"/>
    </row>
    <row r="936" ht="12.75" customHeight="1" spans="1:35" x14ac:dyDescent="0.25">
      <c r="A936" s="16"/>
      <c r="B936" s="16"/>
      <c r="C936" s="16"/>
      <c r="D936" s="16"/>
      <c r="E936" s="16"/>
      <c r="F936" s="16"/>
      <c r="G936" s="16"/>
      <c r="H936" s="16"/>
      <c r="I936" s="16"/>
      <c r="J936" s="16"/>
      <c r="K936" s="16"/>
      <c r="L936" s="16"/>
      <c r="M936" s="16"/>
      <c r="N936" s="16"/>
      <c r="O936" s="16"/>
      <c r="P936" s="16"/>
      <c r="Q936" s="16"/>
      <c r="R936" s="16"/>
      <c r="S936" s="16"/>
      <c r="T936" s="16"/>
      <c r="U936" s="16"/>
      <c r="V936" s="16"/>
      <c r="W936" s="16"/>
      <c r="X936" s="16"/>
      <c r="Y936" s="16"/>
      <c r="Z936" s="16"/>
      <c r="AA936" s="16"/>
      <c r="AB936" s="16"/>
      <c r="AC936" s="16"/>
      <c r="AD936" s="16"/>
      <c r="AE936" s="16"/>
      <c r="AF936" s="16"/>
      <c r="AG936" s="16"/>
      <c r="AH936" s="16"/>
      <c r="AI936" s="16"/>
    </row>
    <row r="937" ht="12.75" customHeight="1" spans="1:35" x14ac:dyDescent="0.25">
      <c r="A937" s="16"/>
      <c r="B937" s="16"/>
      <c r="C937" s="16"/>
      <c r="D937" s="16"/>
      <c r="E937" s="16"/>
      <c r="F937" s="16"/>
      <c r="G937" s="16"/>
      <c r="H937" s="16"/>
      <c r="I937" s="16"/>
      <c r="J937" s="16"/>
      <c r="K937" s="16"/>
      <c r="L937" s="16"/>
      <c r="M937" s="16"/>
      <c r="N937" s="16"/>
      <c r="O937" s="16"/>
      <c r="P937" s="16"/>
      <c r="Q937" s="16"/>
      <c r="R937" s="16"/>
      <c r="S937" s="16"/>
      <c r="T937" s="16"/>
      <c r="U937" s="16"/>
      <c r="V937" s="16"/>
      <c r="W937" s="16"/>
      <c r="X937" s="16"/>
      <c r="Y937" s="16"/>
      <c r="Z937" s="16"/>
      <c r="AA937" s="16"/>
      <c r="AB937" s="16"/>
      <c r="AC937" s="16"/>
      <c r="AD937" s="16"/>
      <c r="AE937" s="16"/>
      <c r="AF937" s="16"/>
      <c r="AG937" s="16"/>
      <c r="AH937" s="16"/>
      <c r="AI937" s="16"/>
    </row>
    <row r="938" ht="12.75" customHeight="1" spans="1:35" x14ac:dyDescent="0.25">
      <c r="A938" s="16"/>
      <c r="B938" s="16"/>
      <c r="C938" s="16"/>
      <c r="D938" s="16"/>
      <c r="E938" s="16"/>
      <c r="F938" s="16"/>
      <c r="G938" s="16"/>
      <c r="H938" s="16"/>
      <c r="I938" s="16"/>
      <c r="J938" s="16"/>
      <c r="K938" s="16"/>
      <c r="L938" s="16"/>
      <c r="M938" s="16"/>
      <c r="N938" s="16"/>
      <c r="O938" s="16"/>
      <c r="P938" s="16"/>
      <c r="Q938" s="16"/>
      <c r="R938" s="16"/>
      <c r="S938" s="16"/>
      <c r="T938" s="16"/>
      <c r="U938" s="16"/>
      <c r="V938" s="16"/>
      <c r="W938" s="16"/>
      <c r="X938" s="16"/>
      <c r="Y938" s="16"/>
      <c r="Z938" s="16"/>
      <c r="AA938" s="16"/>
      <c r="AB938" s="16"/>
      <c r="AC938" s="16"/>
      <c r="AD938" s="16"/>
      <c r="AE938" s="16"/>
      <c r="AF938" s="16"/>
      <c r="AG938" s="16"/>
      <c r="AH938" s="16"/>
      <c r="AI938" s="16"/>
    </row>
    <row r="939" ht="12.75" customHeight="1" spans="1:35" x14ac:dyDescent="0.25">
      <c r="A939" s="16"/>
      <c r="B939" s="16"/>
      <c r="C939" s="16"/>
      <c r="D939" s="16"/>
      <c r="E939" s="16"/>
      <c r="F939" s="16"/>
      <c r="G939" s="16"/>
      <c r="H939" s="16"/>
      <c r="I939" s="16"/>
      <c r="J939" s="16"/>
      <c r="K939" s="16"/>
      <c r="L939" s="16"/>
      <c r="M939" s="16"/>
      <c r="N939" s="16"/>
      <c r="O939" s="16"/>
      <c r="P939" s="16"/>
      <c r="Q939" s="16"/>
      <c r="R939" s="16"/>
      <c r="S939" s="16"/>
      <c r="T939" s="16"/>
      <c r="U939" s="16"/>
      <c r="V939" s="16"/>
      <c r="W939" s="16"/>
      <c r="X939" s="16"/>
      <c r="Y939" s="16"/>
      <c r="Z939" s="16"/>
      <c r="AA939" s="16"/>
      <c r="AB939" s="16"/>
      <c r="AC939" s="16"/>
      <c r="AD939" s="16"/>
      <c r="AE939" s="16"/>
      <c r="AF939" s="16"/>
      <c r="AG939" s="16"/>
      <c r="AH939" s="16"/>
      <c r="AI939" s="16"/>
    </row>
    <row r="940" ht="12.75" customHeight="1" spans="1:35" x14ac:dyDescent="0.25">
      <c r="A940" s="16"/>
      <c r="B940" s="16"/>
      <c r="C940" s="16"/>
      <c r="D940" s="16"/>
      <c r="E940" s="16"/>
      <c r="F940" s="16"/>
      <c r="G940" s="16"/>
      <c r="H940" s="16"/>
      <c r="I940" s="16"/>
      <c r="J940" s="16"/>
      <c r="K940" s="16"/>
      <c r="L940" s="16"/>
      <c r="M940" s="16"/>
      <c r="N940" s="16"/>
      <c r="O940" s="16"/>
      <c r="P940" s="16"/>
      <c r="Q940" s="16"/>
      <c r="R940" s="16"/>
      <c r="S940" s="16"/>
      <c r="T940" s="16"/>
      <c r="U940" s="16"/>
      <c r="V940" s="16"/>
      <c r="W940" s="16"/>
      <c r="X940" s="16"/>
      <c r="Y940" s="16"/>
      <c r="Z940" s="16"/>
      <c r="AA940" s="16"/>
      <c r="AB940" s="16"/>
      <c r="AC940" s="16"/>
      <c r="AD940" s="16"/>
      <c r="AE940" s="16"/>
      <c r="AF940" s="16"/>
      <c r="AG940" s="16"/>
      <c r="AH940" s="16"/>
      <c r="AI940" s="16"/>
    </row>
    <row r="941" ht="12.75" customHeight="1" spans="1:35" x14ac:dyDescent="0.25">
      <c r="A941" s="16"/>
      <c r="B941" s="16"/>
      <c r="C941" s="16"/>
      <c r="D941" s="16"/>
      <c r="E941" s="16"/>
      <c r="F941" s="16"/>
      <c r="G941" s="16"/>
      <c r="H941" s="16"/>
      <c r="I941" s="16"/>
      <c r="J941" s="16"/>
      <c r="K941" s="16"/>
      <c r="L941" s="16"/>
      <c r="M941" s="16"/>
      <c r="N941" s="16"/>
      <c r="O941" s="16"/>
      <c r="P941" s="16"/>
      <c r="Q941" s="16"/>
      <c r="R941" s="16"/>
      <c r="S941" s="16"/>
      <c r="T941" s="16"/>
      <c r="U941" s="16"/>
      <c r="V941" s="16"/>
      <c r="W941" s="16"/>
      <c r="X941" s="16"/>
      <c r="Y941" s="16"/>
      <c r="Z941" s="16"/>
      <c r="AA941" s="16"/>
      <c r="AB941" s="16"/>
      <c r="AC941" s="16"/>
      <c r="AD941" s="16"/>
      <c r="AE941" s="16"/>
      <c r="AF941" s="16"/>
      <c r="AG941" s="16"/>
      <c r="AH941" s="16"/>
      <c r="AI941" s="16"/>
    </row>
    <row r="942" ht="12.75" customHeight="1" spans="1:35" x14ac:dyDescent="0.25">
      <c r="A942" s="16"/>
      <c r="B942" s="16"/>
      <c r="C942" s="16"/>
      <c r="D942" s="16"/>
      <c r="E942" s="16"/>
      <c r="F942" s="16"/>
      <c r="G942" s="16"/>
      <c r="H942" s="16"/>
      <c r="I942" s="16"/>
      <c r="J942" s="16"/>
      <c r="K942" s="16"/>
      <c r="L942" s="16"/>
      <c r="M942" s="16"/>
      <c r="N942" s="16"/>
      <c r="O942" s="16"/>
      <c r="P942" s="16"/>
      <c r="Q942" s="16"/>
      <c r="R942" s="16"/>
      <c r="S942" s="16"/>
      <c r="T942" s="16"/>
      <c r="U942" s="16"/>
      <c r="V942" s="16"/>
      <c r="W942" s="16"/>
      <c r="X942" s="16"/>
      <c r="Y942" s="16"/>
      <c r="Z942" s="16"/>
      <c r="AA942" s="16"/>
      <c r="AB942" s="16"/>
      <c r="AC942" s="16"/>
      <c r="AD942" s="16"/>
      <c r="AE942" s="16"/>
      <c r="AF942" s="16"/>
      <c r="AG942" s="16"/>
      <c r="AH942" s="16"/>
      <c r="AI942" s="16"/>
    </row>
    <row r="943" ht="12.75" customHeight="1" spans="1:35" x14ac:dyDescent="0.25">
      <c r="A943" s="16"/>
      <c r="B943" s="16"/>
      <c r="C943" s="16"/>
      <c r="D943" s="16"/>
      <c r="E943" s="16"/>
      <c r="F943" s="16"/>
      <c r="G943" s="16"/>
      <c r="H943" s="16"/>
      <c r="I943" s="16"/>
      <c r="J943" s="16"/>
      <c r="K943" s="16"/>
      <c r="L943" s="16"/>
      <c r="M943" s="16"/>
      <c r="N943" s="16"/>
      <c r="O943" s="16"/>
      <c r="P943" s="16"/>
      <c r="Q943" s="16"/>
      <c r="R943" s="16"/>
      <c r="S943" s="16"/>
      <c r="T943" s="16"/>
      <c r="U943" s="16"/>
      <c r="V943" s="16"/>
      <c r="W943" s="16"/>
      <c r="X943" s="16"/>
      <c r="Y943" s="16"/>
      <c r="Z943" s="16"/>
      <c r="AA943" s="16"/>
      <c r="AB943" s="16"/>
      <c r="AC943" s="16"/>
      <c r="AD943" s="16"/>
      <c r="AE943" s="16"/>
      <c r="AF943" s="16"/>
      <c r="AG943" s="16"/>
      <c r="AH943" s="16"/>
      <c r="AI943" s="16"/>
    </row>
    <row r="944" ht="12.75" customHeight="1" spans="1:35" x14ac:dyDescent="0.25">
      <c r="A944" s="16"/>
      <c r="B944" s="16"/>
      <c r="C944" s="16"/>
      <c r="D944" s="16"/>
      <c r="E944" s="16"/>
      <c r="F944" s="16"/>
      <c r="G944" s="16"/>
      <c r="H944" s="16"/>
      <c r="I944" s="16"/>
      <c r="J944" s="16"/>
      <c r="K944" s="16"/>
      <c r="L944" s="16"/>
      <c r="M944" s="16"/>
      <c r="N944" s="16"/>
      <c r="O944" s="16"/>
      <c r="P944" s="16"/>
      <c r="Q944" s="16"/>
      <c r="R944" s="16"/>
      <c r="S944" s="16"/>
      <c r="T944" s="16"/>
      <c r="U944" s="16"/>
      <c r="V944" s="16"/>
      <c r="W944" s="16"/>
      <c r="X944" s="16"/>
      <c r="Y944" s="16"/>
      <c r="Z944" s="16"/>
      <c r="AA944" s="16"/>
      <c r="AB944" s="16"/>
      <c r="AC944" s="16"/>
      <c r="AD944" s="16"/>
      <c r="AE944" s="16"/>
      <c r="AF944" s="16"/>
      <c r="AG944" s="16"/>
      <c r="AH944" s="16"/>
      <c r="AI944" s="16"/>
    </row>
    <row r="945" ht="12.75" customHeight="1" spans="1:35" x14ac:dyDescent="0.25">
      <c r="A945" s="16"/>
      <c r="B945" s="16"/>
      <c r="C945" s="16"/>
      <c r="D945" s="16"/>
      <c r="E945" s="16"/>
      <c r="F945" s="16"/>
      <c r="G945" s="16"/>
      <c r="H945" s="16"/>
      <c r="I945" s="16"/>
      <c r="J945" s="16"/>
      <c r="K945" s="16"/>
      <c r="L945" s="16"/>
      <c r="M945" s="16"/>
      <c r="N945" s="16"/>
      <c r="O945" s="16"/>
      <c r="P945" s="16"/>
      <c r="Q945" s="16"/>
      <c r="R945" s="16"/>
      <c r="S945" s="16"/>
      <c r="T945" s="16"/>
      <c r="U945" s="16"/>
      <c r="V945" s="16"/>
      <c r="W945" s="16"/>
      <c r="X945" s="16"/>
      <c r="Y945" s="16"/>
      <c r="Z945" s="16"/>
      <c r="AA945" s="16"/>
      <c r="AB945" s="16"/>
      <c r="AC945" s="16"/>
      <c r="AD945" s="16"/>
      <c r="AE945" s="16"/>
      <c r="AF945" s="16"/>
      <c r="AG945" s="16"/>
      <c r="AH945" s="16"/>
      <c r="AI945" s="16"/>
    </row>
    <row r="946" ht="12.75" customHeight="1" spans="1:35" x14ac:dyDescent="0.25">
      <c r="A946" s="16"/>
      <c r="B946" s="16"/>
      <c r="C946" s="16"/>
      <c r="D946" s="16"/>
      <c r="E946" s="16"/>
      <c r="F946" s="16"/>
      <c r="G946" s="16"/>
      <c r="H946" s="16"/>
      <c r="I946" s="16"/>
      <c r="J946" s="16"/>
      <c r="K946" s="16"/>
      <c r="L946" s="16"/>
      <c r="M946" s="16"/>
      <c r="N946" s="16"/>
      <c r="O946" s="16"/>
      <c r="P946" s="16"/>
      <c r="Q946" s="16"/>
      <c r="R946" s="16"/>
      <c r="S946" s="16"/>
      <c r="T946" s="16"/>
      <c r="U946" s="16"/>
      <c r="V946" s="16"/>
      <c r="W946" s="16"/>
      <c r="X946" s="16"/>
      <c r="Y946" s="16"/>
      <c r="Z946" s="16"/>
      <c r="AA946" s="16"/>
      <c r="AB946" s="16"/>
      <c r="AC946" s="16"/>
      <c r="AD946" s="16"/>
      <c r="AE946" s="16"/>
      <c r="AF946" s="16"/>
      <c r="AG946" s="16"/>
      <c r="AH946" s="16"/>
      <c r="AI946" s="16"/>
    </row>
    <row r="947" ht="12.75" customHeight="1" spans="1:35" x14ac:dyDescent="0.25">
      <c r="A947" s="16"/>
      <c r="B947" s="16"/>
      <c r="C947" s="16"/>
      <c r="D947" s="16"/>
      <c r="E947" s="16"/>
      <c r="F947" s="16"/>
      <c r="G947" s="16"/>
      <c r="H947" s="16"/>
      <c r="I947" s="16"/>
      <c r="J947" s="16"/>
      <c r="K947" s="16"/>
      <c r="L947" s="16"/>
      <c r="M947" s="16"/>
      <c r="N947" s="16"/>
      <c r="O947" s="16"/>
      <c r="P947" s="16"/>
      <c r="Q947" s="16"/>
      <c r="R947" s="16"/>
      <c r="S947" s="16"/>
      <c r="T947" s="16"/>
      <c r="U947" s="16"/>
      <c r="V947" s="16"/>
      <c r="W947" s="16"/>
      <c r="X947" s="16"/>
      <c r="Y947" s="16"/>
      <c r="Z947" s="16"/>
      <c r="AA947" s="16"/>
      <c r="AB947" s="16"/>
      <c r="AC947" s="16"/>
      <c r="AD947" s="16"/>
      <c r="AE947" s="16"/>
      <c r="AF947" s="16"/>
      <c r="AG947" s="16"/>
      <c r="AH947" s="16"/>
      <c r="AI947" s="16"/>
    </row>
    <row r="948" ht="12.75" customHeight="1" spans="1:35" x14ac:dyDescent="0.25">
      <c r="A948" s="16"/>
      <c r="B948" s="16"/>
      <c r="C948" s="16"/>
      <c r="D948" s="16"/>
      <c r="E948" s="16"/>
      <c r="F948" s="16"/>
      <c r="G948" s="16"/>
      <c r="H948" s="16"/>
      <c r="I948" s="16"/>
      <c r="J948" s="16"/>
      <c r="K948" s="16"/>
      <c r="L948" s="16"/>
      <c r="M948" s="16"/>
      <c r="N948" s="16"/>
      <c r="O948" s="16"/>
      <c r="P948" s="16"/>
      <c r="Q948" s="16"/>
      <c r="R948" s="16"/>
      <c r="S948" s="16"/>
      <c r="T948" s="16"/>
      <c r="U948" s="16"/>
      <c r="V948" s="16"/>
      <c r="W948" s="16"/>
      <c r="X948" s="16"/>
      <c r="Y948" s="16"/>
      <c r="Z948" s="16"/>
      <c r="AA948" s="16"/>
      <c r="AB948" s="16"/>
      <c r="AC948" s="16"/>
      <c r="AD948" s="16"/>
      <c r="AE948" s="16"/>
      <c r="AF948" s="16"/>
      <c r="AG948" s="16"/>
      <c r="AH948" s="16"/>
      <c r="AI948" s="16"/>
    </row>
    <row r="949" ht="12.75" customHeight="1" spans="1:35" x14ac:dyDescent="0.25">
      <c r="A949" s="16"/>
      <c r="B949" s="16"/>
      <c r="C949" s="16"/>
      <c r="D949" s="16"/>
      <c r="E949" s="16"/>
      <c r="F949" s="16"/>
      <c r="G949" s="16"/>
      <c r="H949" s="16"/>
      <c r="I949" s="16"/>
      <c r="J949" s="16"/>
      <c r="K949" s="16"/>
      <c r="L949" s="16"/>
      <c r="M949" s="16"/>
      <c r="N949" s="16"/>
      <c r="O949" s="16"/>
      <c r="P949" s="16"/>
      <c r="Q949" s="16"/>
      <c r="R949" s="16"/>
      <c r="S949" s="16"/>
      <c r="T949" s="16"/>
      <c r="U949" s="16"/>
      <c r="V949" s="16"/>
      <c r="W949" s="16"/>
      <c r="X949" s="16"/>
      <c r="Y949" s="16"/>
      <c r="Z949" s="16"/>
      <c r="AA949" s="16"/>
      <c r="AB949" s="16"/>
      <c r="AC949" s="16"/>
      <c r="AD949" s="16"/>
      <c r="AE949" s="16"/>
      <c r="AF949" s="16"/>
      <c r="AG949" s="16"/>
      <c r="AH949" s="16"/>
      <c r="AI949" s="16"/>
    </row>
    <row r="950" ht="12.75" customHeight="1" spans="1:35" x14ac:dyDescent="0.25">
      <c r="A950" s="16"/>
      <c r="B950" s="16"/>
      <c r="C950" s="16"/>
      <c r="D950" s="16"/>
      <c r="E950" s="16"/>
      <c r="F950" s="16"/>
      <c r="G950" s="16"/>
      <c r="H950" s="16"/>
      <c r="I950" s="16"/>
      <c r="J950" s="16"/>
      <c r="K950" s="16"/>
      <c r="L950" s="16"/>
      <c r="M950" s="16"/>
      <c r="N950" s="16"/>
      <c r="O950" s="16"/>
      <c r="P950" s="16"/>
      <c r="Q950" s="16"/>
      <c r="R950" s="16"/>
      <c r="S950" s="16"/>
      <c r="T950" s="16"/>
      <c r="U950" s="16"/>
      <c r="V950" s="16"/>
      <c r="W950" s="16"/>
      <c r="X950" s="16"/>
      <c r="Y950" s="16"/>
      <c r="Z950" s="16"/>
      <c r="AA950" s="16"/>
      <c r="AB950" s="16"/>
      <c r="AC950" s="16"/>
      <c r="AD950" s="16"/>
      <c r="AE950" s="16"/>
      <c r="AF950" s="16"/>
      <c r="AG950" s="16"/>
      <c r="AH950" s="16"/>
      <c r="AI950" s="16"/>
    </row>
    <row r="951" ht="12.75" customHeight="1" spans="1:35" x14ac:dyDescent="0.25">
      <c r="A951" s="16"/>
      <c r="B951" s="16"/>
      <c r="C951" s="16"/>
      <c r="D951" s="16"/>
      <c r="E951" s="16"/>
      <c r="F951" s="16"/>
      <c r="G951" s="16"/>
      <c r="H951" s="16"/>
      <c r="I951" s="16"/>
      <c r="J951" s="16"/>
      <c r="K951" s="16"/>
      <c r="L951" s="16"/>
      <c r="M951" s="16"/>
      <c r="N951" s="16"/>
      <c r="O951" s="16"/>
      <c r="P951" s="16"/>
      <c r="Q951" s="16"/>
      <c r="R951" s="16"/>
      <c r="S951" s="16"/>
      <c r="T951" s="16"/>
      <c r="U951" s="16"/>
      <c r="V951" s="16"/>
      <c r="W951" s="16"/>
      <c r="X951" s="16"/>
      <c r="Y951" s="16"/>
      <c r="Z951" s="16"/>
      <c r="AA951" s="16"/>
      <c r="AB951" s="16"/>
      <c r="AC951" s="16"/>
      <c r="AD951" s="16"/>
      <c r="AE951" s="16"/>
      <c r="AF951" s="16"/>
      <c r="AG951" s="16"/>
      <c r="AH951" s="16"/>
      <c r="AI951" s="16"/>
    </row>
    <row r="952" ht="12.75" customHeight="1" spans="1:35" x14ac:dyDescent="0.25">
      <c r="A952" s="16"/>
      <c r="B952" s="16"/>
      <c r="C952" s="16"/>
      <c r="D952" s="16"/>
      <c r="E952" s="16"/>
      <c r="F952" s="16"/>
      <c r="G952" s="16"/>
      <c r="H952" s="16"/>
      <c r="I952" s="16"/>
      <c r="J952" s="16"/>
      <c r="K952" s="16"/>
      <c r="L952" s="16"/>
      <c r="M952" s="16"/>
      <c r="N952" s="16"/>
      <c r="O952" s="16"/>
      <c r="P952" s="16"/>
      <c r="Q952" s="16"/>
      <c r="R952" s="16"/>
      <c r="S952" s="16"/>
      <c r="T952" s="16"/>
      <c r="U952" s="16"/>
      <c r="V952" s="16"/>
      <c r="W952" s="16"/>
      <c r="X952" s="16"/>
      <c r="Y952" s="16"/>
      <c r="Z952" s="16"/>
      <c r="AA952" s="16"/>
      <c r="AB952" s="16"/>
      <c r="AC952" s="16"/>
      <c r="AD952" s="16"/>
      <c r="AE952" s="16"/>
      <c r="AF952" s="16"/>
      <c r="AG952" s="16"/>
      <c r="AH952" s="16"/>
      <c r="AI952" s="16"/>
    </row>
    <row r="953" ht="12.75" customHeight="1" spans="1:35" x14ac:dyDescent="0.25">
      <c r="A953" s="16"/>
      <c r="B953" s="16"/>
      <c r="C953" s="16"/>
      <c r="D953" s="16"/>
      <c r="E953" s="16"/>
      <c r="F953" s="16"/>
      <c r="G953" s="16"/>
      <c r="H953" s="16"/>
      <c r="I953" s="16"/>
      <c r="J953" s="16"/>
      <c r="K953" s="16"/>
      <c r="L953" s="16"/>
      <c r="M953" s="16"/>
      <c r="N953" s="16"/>
      <c r="O953" s="16"/>
      <c r="P953" s="16"/>
      <c r="Q953" s="16"/>
      <c r="R953" s="16"/>
      <c r="S953" s="16"/>
      <c r="T953" s="16"/>
      <c r="U953" s="16"/>
      <c r="V953" s="16"/>
      <c r="W953" s="16"/>
      <c r="X953" s="16"/>
      <c r="Y953" s="16"/>
      <c r="Z953" s="16"/>
      <c r="AA953" s="16"/>
      <c r="AB953" s="16"/>
      <c r="AC953" s="16"/>
      <c r="AD953" s="16"/>
      <c r="AE953" s="16"/>
      <c r="AF953" s="16"/>
      <c r="AG953" s="16"/>
      <c r="AH953" s="16"/>
      <c r="AI953" s="16"/>
    </row>
    <row r="954" ht="12.75" customHeight="1" spans="1:35" x14ac:dyDescent="0.25">
      <c r="A954" s="16"/>
      <c r="B954" s="16"/>
      <c r="C954" s="16"/>
      <c r="D954" s="16"/>
      <c r="E954" s="16"/>
      <c r="F954" s="16"/>
      <c r="G954" s="16"/>
      <c r="H954" s="16"/>
      <c r="I954" s="16"/>
      <c r="J954" s="16"/>
      <c r="K954" s="16"/>
      <c r="L954" s="16"/>
      <c r="M954" s="16"/>
      <c r="N954" s="16"/>
      <c r="O954" s="16"/>
      <c r="P954" s="16"/>
      <c r="Q954" s="16"/>
      <c r="R954" s="16"/>
      <c r="S954" s="16"/>
      <c r="T954" s="16"/>
      <c r="U954" s="16"/>
      <c r="V954" s="16"/>
      <c r="W954" s="16"/>
      <c r="X954" s="16"/>
      <c r="Y954" s="16"/>
      <c r="Z954" s="16"/>
      <c r="AA954" s="16"/>
      <c r="AB954" s="16"/>
      <c r="AC954" s="16"/>
      <c r="AD954" s="16"/>
      <c r="AE954" s="16"/>
      <c r="AF954" s="16"/>
      <c r="AG954" s="16"/>
      <c r="AH954" s="16"/>
      <c r="AI954" s="16"/>
    </row>
    <row r="955" ht="12.75" customHeight="1" spans="1:35" x14ac:dyDescent="0.25">
      <c r="A955" s="16"/>
      <c r="B955" s="16"/>
      <c r="C955" s="16"/>
      <c r="D955" s="16"/>
      <c r="E955" s="16"/>
      <c r="F955" s="16"/>
      <c r="G955" s="16"/>
      <c r="H955" s="16"/>
      <c r="I955" s="16"/>
      <c r="J955" s="16"/>
      <c r="K955" s="16"/>
      <c r="L955" s="16"/>
      <c r="M955" s="16"/>
      <c r="N955" s="16"/>
      <c r="O955" s="16"/>
      <c r="P955" s="16"/>
      <c r="Q955" s="16"/>
      <c r="R955" s="16"/>
      <c r="S955" s="16"/>
      <c r="T955" s="16"/>
      <c r="U955" s="16"/>
      <c r="V955" s="16"/>
      <c r="W955" s="16"/>
      <c r="X955" s="16"/>
      <c r="Y955" s="16"/>
      <c r="Z955" s="16"/>
      <c r="AA955" s="16"/>
      <c r="AB955" s="16"/>
      <c r="AC955" s="16"/>
      <c r="AD955" s="16"/>
      <c r="AE955" s="16"/>
      <c r="AF955" s="16"/>
      <c r="AG955" s="16"/>
      <c r="AH955" s="16"/>
      <c r="AI955" s="16"/>
    </row>
    <row r="956" ht="12.75" customHeight="1" spans="1:35" x14ac:dyDescent="0.25">
      <c r="A956" s="16"/>
      <c r="B956" s="16"/>
      <c r="C956" s="16"/>
      <c r="D956" s="16"/>
      <c r="E956" s="16"/>
      <c r="F956" s="16"/>
      <c r="G956" s="16"/>
      <c r="H956" s="16"/>
      <c r="I956" s="16"/>
      <c r="J956" s="16"/>
      <c r="K956" s="16"/>
      <c r="L956" s="16"/>
      <c r="M956" s="16"/>
      <c r="N956" s="16"/>
      <c r="O956" s="16"/>
      <c r="P956" s="16"/>
      <c r="Q956" s="16"/>
      <c r="R956" s="16"/>
      <c r="S956" s="16"/>
      <c r="T956" s="16"/>
      <c r="U956" s="16"/>
      <c r="V956" s="16"/>
      <c r="W956" s="16"/>
      <c r="X956" s="16"/>
      <c r="Y956" s="16"/>
      <c r="Z956" s="16"/>
      <c r="AA956" s="16"/>
      <c r="AB956" s="16"/>
      <c r="AC956" s="16"/>
      <c r="AD956" s="16"/>
      <c r="AE956" s="16"/>
      <c r="AF956" s="16"/>
      <c r="AG956" s="16"/>
      <c r="AH956" s="16"/>
      <c r="AI956" s="16"/>
    </row>
    <row r="957" ht="12.75" customHeight="1" spans="1:35" x14ac:dyDescent="0.25">
      <c r="A957" s="16"/>
      <c r="B957" s="16"/>
      <c r="C957" s="16"/>
      <c r="D957" s="16"/>
      <c r="E957" s="16"/>
      <c r="F957" s="16"/>
      <c r="G957" s="16"/>
      <c r="H957" s="16"/>
      <c r="I957" s="16"/>
      <c r="J957" s="16"/>
      <c r="K957" s="16"/>
      <c r="L957" s="16"/>
      <c r="M957" s="16"/>
      <c r="N957" s="16"/>
      <c r="O957" s="16"/>
      <c r="P957" s="16"/>
      <c r="Q957" s="16"/>
      <c r="R957" s="16"/>
      <c r="S957" s="16"/>
      <c r="T957" s="16"/>
      <c r="U957" s="16"/>
      <c r="V957" s="16"/>
      <c r="W957" s="16"/>
      <c r="X957" s="16"/>
      <c r="Y957" s="16"/>
      <c r="Z957" s="16"/>
      <c r="AA957" s="16"/>
      <c r="AB957" s="16"/>
      <c r="AC957" s="16"/>
      <c r="AD957" s="16"/>
      <c r="AE957" s="16"/>
      <c r="AF957" s="16"/>
      <c r="AG957" s="16"/>
      <c r="AH957" s="16"/>
      <c r="AI957" s="16"/>
    </row>
    <row r="958" ht="12.75" customHeight="1" spans="1:35" x14ac:dyDescent="0.25">
      <c r="A958" s="16"/>
      <c r="B958" s="16"/>
      <c r="C958" s="16"/>
      <c r="D958" s="16"/>
      <c r="E958" s="16"/>
      <c r="F958" s="16"/>
      <c r="G958" s="16"/>
      <c r="H958" s="16"/>
      <c r="I958" s="16"/>
      <c r="J958" s="16"/>
      <c r="K958" s="16"/>
      <c r="L958" s="16"/>
      <c r="M958" s="16"/>
      <c r="N958" s="16"/>
      <c r="O958" s="16"/>
      <c r="P958" s="16"/>
      <c r="Q958" s="16"/>
      <c r="R958" s="16"/>
      <c r="S958" s="16"/>
      <c r="T958" s="16"/>
      <c r="U958" s="16"/>
      <c r="V958" s="16"/>
      <c r="W958" s="16"/>
      <c r="X958" s="16"/>
      <c r="Y958" s="16"/>
      <c r="Z958" s="16"/>
      <c r="AA958" s="16"/>
      <c r="AB958" s="16"/>
      <c r="AC958" s="16"/>
      <c r="AD958" s="16"/>
      <c r="AE958" s="16"/>
      <c r="AF958" s="16"/>
      <c r="AG958" s="16"/>
      <c r="AH958" s="16"/>
      <c r="AI958" s="16"/>
    </row>
    <row r="959" ht="12.75" customHeight="1" spans="1:35" x14ac:dyDescent="0.25">
      <c r="A959" s="16"/>
      <c r="B959" s="16"/>
      <c r="C959" s="16"/>
      <c r="D959" s="16"/>
      <c r="E959" s="16"/>
      <c r="F959" s="16"/>
      <c r="G959" s="16"/>
      <c r="H959" s="16"/>
      <c r="I959" s="16"/>
      <c r="J959" s="16"/>
      <c r="K959" s="16"/>
      <c r="L959" s="16"/>
      <c r="M959" s="16"/>
      <c r="N959" s="16"/>
      <c r="O959" s="16"/>
      <c r="P959" s="16"/>
      <c r="Q959" s="16"/>
      <c r="R959" s="16"/>
      <c r="S959" s="16"/>
      <c r="T959" s="16"/>
      <c r="U959" s="16"/>
      <c r="V959" s="16"/>
      <c r="W959" s="16"/>
      <c r="X959" s="16"/>
      <c r="Y959" s="16"/>
      <c r="Z959" s="16"/>
      <c r="AA959" s="16"/>
      <c r="AB959" s="16"/>
      <c r="AC959" s="16"/>
      <c r="AD959" s="16"/>
      <c r="AE959" s="16"/>
      <c r="AF959" s="16"/>
      <c r="AG959" s="16"/>
      <c r="AH959" s="16"/>
      <c r="AI959" s="16"/>
    </row>
    <row r="960" ht="12.75" customHeight="1" spans="1:35" x14ac:dyDescent="0.25">
      <c r="A960" s="16"/>
      <c r="B960" s="16"/>
      <c r="C960" s="16"/>
      <c r="D960" s="16"/>
      <c r="E960" s="16"/>
      <c r="F960" s="16"/>
      <c r="G960" s="16"/>
      <c r="H960" s="16"/>
      <c r="I960" s="16"/>
      <c r="J960" s="16"/>
      <c r="K960" s="16"/>
      <c r="L960" s="16"/>
      <c r="M960" s="16"/>
      <c r="N960" s="16"/>
      <c r="O960" s="16"/>
      <c r="P960" s="16"/>
      <c r="Q960" s="16"/>
      <c r="R960" s="16"/>
      <c r="S960" s="16"/>
      <c r="T960" s="16"/>
      <c r="U960" s="16"/>
      <c r="V960" s="16"/>
      <c r="W960" s="16"/>
      <c r="X960" s="16"/>
      <c r="Y960" s="16"/>
      <c r="Z960" s="16"/>
      <c r="AA960" s="16"/>
      <c r="AB960" s="16"/>
      <c r="AC960" s="16"/>
      <c r="AD960" s="16"/>
      <c r="AE960" s="16"/>
      <c r="AF960" s="16"/>
      <c r="AG960" s="16"/>
      <c r="AH960" s="16"/>
      <c r="AI960" s="16"/>
    </row>
    <row r="961" ht="12.75" customHeight="1" spans="1:35" x14ac:dyDescent="0.25">
      <c r="A961" s="16"/>
      <c r="B961" s="16"/>
      <c r="C961" s="16"/>
      <c r="D961" s="16"/>
      <c r="E961" s="16"/>
      <c r="F961" s="16"/>
      <c r="G961" s="16"/>
      <c r="H961" s="16"/>
      <c r="I961" s="16"/>
      <c r="J961" s="16"/>
      <c r="K961" s="16"/>
      <c r="L961" s="16"/>
      <c r="M961" s="16"/>
      <c r="N961" s="16"/>
      <c r="O961" s="16"/>
      <c r="P961" s="16"/>
      <c r="Q961" s="16"/>
      <c r="R961" s="16"/>
      <c r="S961" s="16"/>
      <c r="T961" s="16"/>
      <c r="U961" s="16"/>
      <c r="V961" s="16"/>
      <c r="W961" s="16"/>
      <c r="X961" s="16"/>
      <c r="Y961" s="16"/>
      <c r="Z961" s="16"/>
      <c r="AA961" s="16"/>
      <c r="AB961" s="16"/>
      <c r="AC961" s="16"/>
      <c r="AD961" s="16"/>
      <c r="AE961" s="16"/>
      <c r="AF961" s="16"/>
      <c r="AG961" s="16"/>
      <c r="AH961" s="16"/>
      <c r="AI961" s="16"/>
    </row>
    <row r="962" ht="12.75" customHeight="1" spans="1:35" x14ac:dyDescent="0.25">
      <c r="A962" s="16"/>
      <c r="B962" s="16"/>
      <c r="C962" s="16"/>
      <c r="D962" s="16"/>
      <c r="E962" s="16"/>
      <c r="F962" s="16"/>
      <c r="G962" s="16"/>
      <c r="H962" s="16"/>
      <c r="I962" s="16"/>
      <c r="J962" s="16"/>
      <c r="K962" s="16"/>
      <c r="L962" s="16"/>
      <c r="M962" s="16"/>
      <c r="N962" s="16"/>
      <c r="O962" s="16"/>
      <c r="P962" s="16"/>
      <c r="Q962" s="16"/>
      <c r="R962" s="16"/>
      <c r="S962" s="16"/>
      <c r="T962" s="16"/>
      <c r="U962" s="16"/>
      <c r="V962" s="16"/>
      <c r="W962" s="16"/>
      <c r="X962" s="16"/>
      <c r="Y962" s="16"/>
      <c r="Z962" s="16"/>
      <c r="AA962" s="16"/>
      <c r="AB962" s="16"/>
      <c r="AC962" s="16"/>
      <c r="AD962" s="16"/>
      <c r="AE962" s="16"/>
      <c r="AF962" s="16"/>
      <c r="AG962" s="16"/>
      <c r="AH962" s="16"/>
      <c r="AI962" s="16"/>
    </row>
    <row r="963" ht="12.75" customHeight="1" spans="1:35" x14ac:dyDescent="0.25">
      <c r="A963" s="16"/>
      <c r="B963" s="16"/>
      <c r="C963" s="16"/>
      <c r="D963" s="16"/>
      <c r="E963" s="16"/>
      <c r="F963" s="16"/>
      <c r="G963" s="16"/>
      <c r="H963" s="16"/>
      <c r="I963" s="16"/>
      <c r="J963" s="16"/>
      <c r="K963" s="16"/>
      <c r="L963" s="16"/>
      <c r="M963" s="16"/>
      <c r="N963" s="16"/>
      <c r="O963" s="16"/>
      <c r="P963" s="16"/>
      <c r="Q963" s="16"/>
      <c r="R963" s="16"/>
      <c r="S963" s="16"/>
      <c r="T963" s="16"/>
      <c r="U963" s="16"/>
      <c r="V963" s="16"/>
      <c r="W963" s="16"/>
      <c r="X963" s="16"/>
      <c r="Y963" s="16"/>
      <c r="Z963" s="16"/>
      <c r="AA963" s="16"/>
      <c r="AB963" s="16"/>
      <c r="AC963" s="16"/>
      <c r="AD963" s="16"/>
      <c r="AE963" s="16"/>
      <c r="AF963" s="16"/>
      <c r="AG963" s="16"/>
      <c r="AH963" s="16"/>
      <c r="AI963" s="16"/>
    </row>
    <row r="964" ht="12.75" customHeight="1" spans="1:35" x14ac:dyDescent="0.25">
      <c r="A964" s="16"/>
      <c r="B964" s="16"/>
      <c r="C964" s="16"/>
      <c r="D964" s="16"/>
      <c r="E964" s="16"/>
      <c r="F964" s="16"/>
      <c r="G964" s="16"/>
      <c r="H964" s="16"/>
      <c r="I964" s="16"/>
      <c r="J964" s="16"/>
      <c r="K964" s="16"/>
      <c r="L964" s="16"/>
      <c r="M964" s="16"/>
      <c r="N964" s="16"/>
      <c r="O964" s="16"/>
      <c r="P964" s="16"/>
      <c r="Q964" s="16"/>
      <c r="R964" s="16"/>
      <c r="S964" s="16"/>
      <c r="T964" s="16"/>
      <c r="U964" s="16"/>
      <c r="V964" s="16"/>
      <c r="W964" s="16"/>
      <c r="X964" s="16"/>
      <c r="Y964" s="16"/>
      <c r="Z964" s="16"/>
      <c r="AA964" s="16"/>
      <c r="AB964" s="16"/>
      <c r="AC964" s="16"/>
      <c r="AD964" s="16"/>
      <c r="AE964" s="16"/>
      <c r="AF964" s="16"/>
      <c r="AG964" s="16"/>
      <c r="AH964" s="16"/>
      <c r="AI964" s="16"/>
    </row>
    <row r="965" ht="12.75" customHeight="1" spans="1:35" x14ac:dyDescent="0.25">
      <c r="A965" s="16"/>
      <c r="B965" s="16"/>
      <c r="C965" s="16"/>
      <c r="D965" s="16"/>
      <c r="E965" s="16"/>
      <c r="F965" s="16"/>
      <c r="G965" s="16"/>
      <c r="H965" s="16"/>
      <c r="I965" s="16"/>
      <c r="J965" s="16"/>
      <c r="K965" s="16"/>
      <c r="L965" s="16"/>
      <c r="M965" s="16"/>
      <c r="N965" s="16"/>
      <c r="O965" s="16"/>
      <c r="P965" s="16"/>
      <c r="Q965" s="16"/>
      <c r="R965" s="16"/>
      <c r="S965" s="16"/>
      <c r="T965" s="16"/>
      <c r="U965" s="16"/>
      <c r="V965" s="16"/>
      <c r="W965" s="16"/>
      <c r="X965" s="16"/>
      <c r="Y965" s="16"/>
      <c r="Z965" s="16"/>
      <c r="AA965" s="16"/>
      <c r="AB965" s="16"/>
      <c r="AC965" s="16"/>
      <c r="AD965" s="16"/>
      <c r="AE965" s="16"/>
      <c r="AF965" s="16"/>
      <c r="AG965" s="16"/>
      <c r="AH965" s="16"/>
      <c r="AI965" s="16"/>
    </row>
    <row r="966" ht="12.75" customHeight="1" spans="1:35" x14ac:dyDescent="0.25">
      <c r="A966" s="16"/>
      <c r="B966" s="16"/>
      <c r="C966" s="16"/>
      <c r="D966" s="16"/>
      <c r="E966" s="16"/>
      <c r="F966" s="16"/>
      <c r="G966" s="16"/>
      <c r="H966" s="16"/>
      <c r="I966" s="16"/>
      <c r="J966" s="16"/>
      <c r="K966" s="16"/>
      <c r="L966" s="16"/>
      <c r="M966" s="16"/>
      <c r="N966" s="16"/>
      <c r="O966" s="16"/>
      <c r="P966" s="16"/>
      <c r="Q966" s="16"/>
      <c r="R966" s="16"/>
      <c r="S966" s="16"/>
      <c r="T966" s="16"/>
      <c r="U966" s="16"/>
      <c r="V966" s="16"/>
      <c r="W966" s="16"/>
      <c r="X966" s="16"/>
      <c r="Y966" s="16"/>
      <c r="Z966" s="16"/>
      <c r="AA966" s="16"/>
      <c r="AB966" s="16"/>
      <c r="AC966" s="16"/>
      <c r="AD966" s="16"/>
      <c r="AE966" s="16"/>
      <c r="AF966" s="16"/>
      <c r="AG966" s="16"/>
      <c r="AH966" s="16"/>
      <c r="AI966" s="16"/>
    </row>
    <row r="967" ht="12.75" customHeight="1" spans="1:35" x14ac:dyDescent="0.25">
      <c r="A967" s="16"/>
      <c r="B967" s="16"/>
      <c r="C967" s="16"/>
      <c r="D967" s="16"/>
      <c r="E967" s="16"/>
      <c r="F967" s="16"/>
      <c r="G967" s="16"/>
      <c r="H967" s="16"/>
      <c r="I967" s="16"/>
      <c r="J967" s="16"/>
      <c r="K967" s="16"/>
      <c r="L967" s="16"/>
      <c r="M967" s="16"/>
      <c r="N967" s="16"/>
      <c r="O967" s="16"/>
      <c r="P967" s="16"/>
      <c r="Q967" s="16"/>
      <c r="R967" s="16"/>
      <c r="S967" s="16"/>
      <c r="T967" s="16"/>
      <c r="U967" s="16"/>
      <c r="V967" s="16"/>
      <c r="W967" s="16"/>
      <c r="X967" s="16"/>
      <c r="Y967" s="16"/>
      <c r="Z967" s="16"/>
      <c r="AA967" s="16"/>
      <c r="AB967" s="16"/>
      <c r="AC967" s="16"/>
      <c r="AD967" s="16"/>
      <c r="AE967" s="16"/>
      <c r="AF967" s="16"/>
      <c r="AG967" s="16"/>
      <c r="AH967" s="16"/>
      <c r="AI967" s="16"/>
    </row>
    <row r="968" ht="12.75" customHeight="1" spans="1:35" x14ac:dyDescent="0.25">
      <c r="A968" s="16"/>
      <c r="B968" s="16"/>
      <c r="C968" s="16"/>
      <c r="D968" s="16"/>
      <c r="E968" s="16"/>
      <c r="F968" s="16"/>
      <c r="G968" s="16"/>
      <c r="H968" s="16"/>
      <c r="I968" s="16"/>
      <c r="J968" s="16"/>
      <c r="K968" s="16"/>
      <c r="L968" s="16"/>
      <c r="M968" s="16"/>
      <c r="N968" s="16"/>
      <c r="O968" s="16"/>
      <c r="P968" s="16"/>
      <c r="Q968" s="16"/>
      <c r="R968" s="16"/>
      <c r="S968" s="16"/>
      <c r="T968" s="16"/>
      <c r="U968" s="16"/>
      <c r="V968" s="16"/>
      <c r="W968" s="16"/>
      <c r="X968" s="16"/>
      <c r="Y968" s="16"/>
      <c r="Z968" s="16"/>
      <c r="AA968" s="16"/>
      <c r="AB968" s="16"/>
      <c r="AC968" s="16"/>
      <c r="AD968" s="16"/>
      <c r="AE968" s="16"/>
      <c r="AF968" s="16"/>
      <c r="AG968" s="16"/>
      <c r="AH968" s="16"/>
      <c r="AI968" s="16"/>
    </row>
    <row r="969" ht="12.75" customHeight="1" spans="1:35" x14ac:dyDescent="0.25">
      <c r="A969" s="16"/>
      <c r="B969" s="16"/>
      <c r="C969" s="16"/>
      <c r="D969" s="16"/>
      <c r="E969" s="16"/>
      <c r="F969" s="16"/>
      <c r="G969" s="16"/>
      <c r="H969" s="16"/>
      <c r="I969" s="16"/>
      <c r="J969" s="16"/>
      <c r="K969" s="16"/>
      <c r="L969" s="16"/>
      <c r="M969" s="16"/>
      <c r="N969" s="16"/>
      <c r="O969" s="16"/>
      <c r="P969" s="16"/>
      <c r="Q969" s="16"/>
      <c r="R969" s="16"/>
      <c r="S969" s="16"/>
      <c r="T969" s="16"/>
      <c r="U969" s="16"/>
      <c r="V969" s="16"/>
      <c r="W969" s="16"/>
      <c r="X969" s="16"/>
      <c r="Y969" s="16"/>
      <c r="Z969" s="16"/>
      <c r="AA969" s="16"/>
      <c r="AB969" s="16"/>
      <c r="AC969" s="16"/>
      <c r="AD969" s="16"/>
      <c r="AE969" s="16"/>
      <c r="AF969" s="16"/>
      <c r="AG969" s="16"/>
      <c r="AH969" s="16"/>
      <c r="AI969" s="16"/>
    </row>
    <row r="970" ht="12.75" customHeight="1" spans="1:35" x14ac:dyDescent="0.25">
      <c r="A970" s="16"/>
      <c r="B970" s="16"/>
      <c r="C970" s="16"/>
      <c r="D970" s="16"/>
      <c r="E970" s="16"/>
      <c r="F970" s="16"/>
      <c r="G970" s="16"/>
      <c r="H970" s="16"/>
      <c r="I970" s="16"/>
      <c r="J970" s="16"/>
      <c r="K970" s="16"/>
      <c r="L970" s="16"/>
      <c r="M970" s="16"/>
      <c r="N970" s="16"/>
      <c r="O970" s="16"/>
      <c r="P970" s="16"/>
      <c r="Q970" s="16"/>
      <c r="R970" s="16"/>
      <c r="S970" s="16"/>
      <c r="T970" s="16"/>
      <c r="U970" s="16"/>
      <c r="V970" s="16"/>
      <c r="W970" s="16"/>
      <c r="X970" s="16"/>
      <c r="Y970" s="16"/>
      <c r="Z970" s="16"/>
      <c r="AA970" s="16"/>
      <c r="AB970" s="16"/>
      <c r="AC970" s="16"/>
      <c r="AD970" s="16"/>
      <c r="AE970" s="16"/>
      <c r="AF970" s="16"/>
      <c r="AG970" s="16"/>
      <c r="AH970" s="16"/>
      <c r="AI970" s="16"/>
    </row>
    <row r="971" ht="12.75" customHeight="1" spans="1:35" x14ac:dyDescent="0.25">
      <c r="A971" s="16"/>
      <c r="B971" s="16"/>
      <c r="C971" s="16"/>
      <c r="D971" s="16"/>
      <c r="E971" s="16"/>
      <c r="F971" s="16"/>
      <c r="G971" s="16"/>
      <c r="H971" s="16"/>
      <c r="I971" s="16"/>
      <c r="J971" s="16"/>
      <c r="K971" s="16"/>
      <c r="L971" s="16"/>
      <c r="M971" s="16"/>
      <c r="N971" s="16"/>
      <c r="O971" s="16"/>
      <c r="P971" s="16"/>
      <c r="Q971" s="16"/>
      <c r="R971" s="16"/>
      <c r="S971" s="16"/>
      <c r="T971" s="16"/>
      <c r="U971" s="16"/>
      <c r="V971" s="16"/>
      <c r="W971" s="16"/>
      <c r="X971" s="16"/>
      <c r="Y971" s="16"/>
      <c r="Z971" s="16"/>
      <c r="AA971" s="16"/>
      <c r="AB971" s="16"/>
      <c r="AC971" s="16"/>
      <c r="AD971" s="16"/>
      <c r="AE971" s="16"/>
      <c r="AF971" s="16"/>
      <c r="AG971" s="16"/>
      <c r="AH971" s="16"/>
      <c r="AI971" s="16"/>
    </row>
    <row r="972" ht="12.75" customHeight="1" spans="1:35" x14ac:dyDescent="0.25">
      <c r="A972" s="16"/>
      <c r="B972" s="16"/>
      <c r="C972" s="16"/>
      <c r="D972" s="16"/>
      <c r="E972" s="16"/>
      <c r="F972" s="16"/>
      <c r="G972" s="16"/>
      <c r="H972" s="16"/>
      <c r="I972" s="16"/>
      <c r="J972" s="16"/>
      <c r="K972" s="16"/>
      <c r="L972" s="16"/>
      <c r="M972" s="16"/>
      <c r="N972" s="16"/>
      <c r="O972" s="16"/>
      <c r="P972" s="16"/>
      <c r="Q972" s="16"/>
      <c r="R972" s="16"/>
      <c r="S972" s="16"/>
      <c r="T972" s="16"/>
      <c r="U972" s="16"/>
      <c r="V972" s="16"/>
      <c r="W972" s="16"/>
      <c r="X972" s="16"/>
      <c r="Y972" s="16"/>
      <c r="Z972" s="16"/>
      <c r="AA972" s="16"/>
      <c r="AB972" s="16"/>
      <c r="AC972" s="16"/>
      <c r="AD972" s="16"/>
      <c r="AE972" s="16"/>
      <c r="AF972" s="16"/>
      <c r="AG972" s="16"/>
      <c r="AH972" s="16"/>
      <c r="AI972" s="16"/>
    </row>
    <row r="973" ht="12.75" customHeight="1" spans="1:35" x14ac:dyDescent="0.25">
      <c r="A973" s="16"/>
      <c r="B973" s="16"/>
      <c r="C973" s="16"/>
      <c r="D973" s="16"/>
      <c r="E973" s="16"/>
      <c r="F973" s="16"/>
      <c r="G973" s="16"/>
      <c r="H973" s="16"/>
      <c r="I973" s="16"/>
      <c r="J973" s="16"/>
      <c r="K973" s="16"/>
      <c r="L973" s="16"/>
      <c r="M973" s="16"/>
      <c r="N973" s="16"/>
      <c r="O973" s="16"/>
      <c r="P973" s="16"/>
      <c r="Q973" s="16"/>
      <c r="R973" s="16"/>
      <c r="S973" s="16"/>
      <c r="T973" s="16"/>
      <c r="U973" s="16"/>
      <c r="V973" s="16"/>
      <c r="W973" s="16"/>
      <c r="X973" s="16"/>
      <c r="Y973" s="16"/>
      <c r="Z973" s="16"/>
      <c r="AA973" s="16"/>
      <c r="AB973" s="16"/>
      <c r="AC973" s="16"/>
      <c r="AD973" s="16"/>
      <c r="AE973" s="16"/>
      <c r="AF973" s="16"/>
      <c r="AG973" s="16"/>
      <c r="AH973" s="16"/>
      <c r="AI973" s="16"/>
    </row>
    <row r="974" ht="12.75" customHeight="1" spans="1:35" x14ac:dyDescent="0.25">
      <c r="A974" s="16"/>
      <c r="B974" s="16"/>
      <c r="C974" s="16"/>
      <c r="D974" s="16"/>
      <c r="E974" s="16"/>
      <c r="F974" s="16"/>
      <c r="G974" s="16"/>
      <c r="H974" s="16"/>
      <c r="I974" s="16"/>
      <c r="J974" s="16"/>
      <c r="K974" s="16"/>
      <c r="L974" s="16"/>
      <c r="M974" s="16"/>
      <c r="N974" s="16"/>
      <c r="O974" s="16"/>
      <c r="P974" s="16"/>
      <c r="Q974" s="16"/>
      <c r="R974" s="16"/>
      <c r="S974" s="16"/>
      <c r="T974" s="16"/>
      <c r="U974" s="16"/>
      <c r="V974" s="16"/>
      <c r="W974" s="16"/>
      <c r="X974" s="16"/>
      <c r="Y974" s="16"/>
      <c r="Z974" s="16"/>
      <c r="AA974" s="16"/>
      <c r="AB974" s="16"/>
      <c r="AC974" s="16"/>
      <c r="AD974" s="16"/>
      <c r="AE974" s="16"/>
      <c r="AF974" s="16"/>
      <c r="AG974" s="16"/>
      <c r="AH974" s="16"/>
      <c r="AI974" s="16"/>
    </row>
    <row r="975" ht="12.75" customHeight="1" spans="1:35" x14ac:dyDescent="0.25">
      <c r="A975" s="16"/>
      <c r="B975" s="16"/>
      <c r="C975" s="16"/>
      <c r="D975" s="16"/>
      <c r="E975" s="16"/>
      <c r="F975" s="16"/>
      <c r="G975" s="16"/>
      <c r="H975" s="16"/>
      <c r="I975" s="16"/>
      <c r="J975" s="16"/>
      <c r="K975" s="16"/>
      <c r="L975" s="16"/>
      <c r="M975" s="16"/>
      <c r="N975" s="16"/>
      <c r="O975" s="16"/>
      <c r="P975" s="16"/>
      <c r="Q975" s="16"/>
      <c r="R975" s="16"/>
      <c r="S975" s="16"/>
      <c r="T975" s="16"/>
      <c r="U975" s="16"/>
      <c r="V975" s="16"/>
      <c r="W975" s="16"/>
      <c r="X975" s="16"/>
      <c r="Y975" s="16"/>
      <c r="Z975" s="16"/>
      <c r="AA975" s="16"/>
      <c r="AB975" s="16"/>
      <c r="AC975" s="16"/>
      <c r="AD975" s="16"/>
      <c r="AE975" s="16"/>
      <c r="AF975" s="16"/>
      <c r="AG975" s="16"/>
      <c r="AH975" s="16"/>
      <c r="AI975" s="16"/>
    </row>
    <row r="976" ht="12.75" customHeight="1" spans="1:35" x14ac:dyDescent="0.25">
      <c r="A976" s="16"/>
      <c r="B976" s="16"/>
      <c r="C976" s="16"/>
      <c r="D976" s="16"/>
      <c r="E976" s="16"/>
      <c r="F976" s="16"/>
      <c r="G976" s="16"/>
      <c r="H976" s="16"/>
      <c r="I976" s="16"/>
      <c r="J976" s="16"/>
      <c r="K976" s="16"/>
      <c r="L976" s="16"/>
      <c r="M976" s="16"/>
      <c r="N976" s="16"/>
      <c r="O976" s="16"/>
      <c r="P976" s="16"/>
      <c r="Q976" s="16"/>
      <c r="R976" s="16"/>
      <c r="S976" s="16"/>
      <c r="T976" s="16"/>
      <c r="U976" s="16"/>
      <c r="V976" s="16"/>
      <c r="W976" s="16"/>
      <c r="X976" s="16"/>
      <c r="Y976" s="16"/>
      <c r="Z976" s="16"/>
      <c r="AA976" s="16"/>
      <c r="AB976" s="16"/>
      <c r="AC976" s="16"/>
      <c r="AD976" s="16"/>
      <c r="AE976" s="16"/>
      <c r="AF976" s="16"/>
      <c r="AG976" s="16"/>
      <c r="AH976" s="16"/>
      <c r="AI976" s="16"/>
    </row>
    <row r="977" ht="12.75" customHeight="1" spans="1:35" x14ac:dyDescent="0.25">
      <c r="A977" s="16"/>
      <c r="B977" s="16"/>
      <c r="C977" s="16"/>
      <c r="D977" s="16"/>
      <c r="E977" s="16"/>
      <c r="F977" s="16"/>
      <c r="G977" s="16"/>
      <c r="H977" s="16"/>
      <c r="I977" s="16"/>
      <c r="J977" s="16"/>
      <c r="K977" s="16"/>
      <c r="L977" s="16"/>
      <c r="M977" s="16"/>
      <c r="N977" s="16"/>
      <c r="O977" s="16"/>
      <c r="P977" s="16"/>
      <c r="Q977" s="16"/>
      <c r="R977" s="16"/>
      <c r="S977" s="16"/>
      <c r="T977" s="16"/>
      <c r="U977" s="16"/>
      <c r="V977" s="16"/>
      <c r="W977" s="16"/>
      <c r="X977" s="16"/>
      <c r="Y977" s="16"/>
      <c r="Z977" s="16"/>
      <c r="AA977" s="16"/>
      <c r="AB977" s="16"/>
      <c r="AC977" s="16"/>
      <c r="AD977" s="16"/>
      <c r="AE977" s="16"/>
      <c r="AF977" s="16"/>
      <c r="AG977" s="16"/>
      <c r="AH977" s="16"/>
      <c r="AI977" s="16"/>
    </row>
    <row r="978" ht="12.75" customHeight="1" spans="1:35" x14ac:dyDescent="0.25">
      <c r="A978" s="16"/>
      <c r="B978" s="16"/>
      <c r="C978" s="16"/>
      <c r="D978" s="16"/>
      <c r="E978" s="16"/>
      <c r="F978" s="16"/>
      <c r="G978" s="16"/>
      <c r="H978" s="16"/>
      <c r="I978" s="16"/>
      <c r="J978" s="16"/>
      <c r="K978" s="16"/>
      <c r="L978" s="16"/>
      <c r="M978" s="16"/>
      <c r="N978" s="16"/>
      <c r="O978" s="16"/>
      <c r="P978" s="16"/>
      <c r="Q978" s="16"/>
      <c r="R978" s="16"/>
      <c r="S978" s="16"/>
      <c r="T978" s="16"/>
      <c r="U978" s="16"/>
      <c r="V978" s="16"/>
      <c r="W978" s="16"/>
      <c r="X978" s="16"/>
      <c r="Y978" s="16"/>
      <c r="Z978" s="16"/>
      <c r="AA978" s="16"/>
      <c r="AB978" s="16"/>
      <c r="AC978" s="16"/>
      <c r="AD978" s="16"/>
      <c r="AE978" s="16"/>
      <c r="AF978" s="16"/>
      <c r="AG978" s="16"/>
      <c r="AH978" s="16"/>
      <c r="AI978" s="16"/>
    </row>
    <row r="979" ht="12.75" customHeight="1" spans="1:35" x14ac:dyDescent="0.25">
      <c r="A979" s="16"/>
      <c r="B979" s="16"/>
      <c r="C979" s="16"/>
      <c r="D979" s="16"/>
      <c r="E979" s="16"/>
      <c r="F979" s="16"/>
      <c r="G979" s="16"/>
      <c r="H979" s="16"/>
      <c r="I979" s="16"/>
      <c r="J979" s="16"/>
      <c r="K979" s="16"/>
      <c r="L979" s="16"/>
      <c r="M979" s="16"/>
      <c r="N979" s="16"/>
      <c r="O979" s="16"/>
      <c r="P979" s="16"/>
      <c r="Q979" s="16"/>
      <c r="R979" s="16"/>
      <c r="S979" s="16"/>
      <c r="T979" s="16"/>
      <c r="U979" s="16"/>
      <c r="V979" s="16"/>
      <c r="W979" s="16"/>
      <c r="X979" s="16"/>
      <c r="Y979" s="16"/>
      <c r="Z979" s="16"/>
      <c r="AA979" s="16"/>
      <c r="AB979" s="16"/>
      <c r="AC979" s="16"/>
      <c r="AD979" s="16"/>
      <c r="AE979" s="16"/>
      <c r="AF979" s="16"/>
      <c r="AG979" s="16"/>
      <c r="AH979" s="16"/>
      <c r="AI979" s="16"/>
    </row>
    <row r="980" ht="12.75" customHeight="1" spans="1:35" x14ac:dyDescent="0.25">
      <c r="A980" s="16"/>
      <c r="B980" s="16"/>
      <c r="C980" s="16"/>
      <c r="D980" s="16"/>
      <c r="E980" s="16"/>
      <c r="F980" s="16"/>
      <c r="G980" s="16"/>
      <c r="H980" s="16"/>
      <c r="I980" s="16"/>
      <c r="J980" s="16"/>
      <c r="K980" s="16"/>
      <c r="L980" s="16"/>
      <c r="M980" s="16"/>
      <c r="N980" s="16"/>
      <c r="O980" s="16"/>
      <c r="P980" s="16"/>
      <c r="Q980" s="16"/>
      <c r="R980" s="16"/>
      <c r="S980" s="16"/>
      <c r="T980" s="16"/>
      <c r="U980" s="16"/>
      <c r="V980" s="16"/>
      <c r="W980" s="16"/>
      <c r="X980" s="16"/>
      <c r="Y980" s="16"/>
      <c r="Z980" s="16"/>
      <c r="AA980" s="16"/>
      <c r="AB980" s="16"/>
      <c r="AC980" s="16"/>
      <c r="AD980" s="16"/>
      <c r="AE980" s="16"/>
      <c r="AF980" s="16"/>
      <c r="AG980" s="16"/>
      <c r="AH980" s="16"/>
      <c r="AI980" s="16"/>
    </row>
    <row r="981" ht="12.75" customHeight="1" spans="1:35" x14ac:dyDescent="0.25">
      <c r="A981" s="16"/>
      <c r="B981" s="16"/>
      <c r="C981" s="16"/>
      <c r="D981" s="16"/>
      <c r="E981" s="16"/>
      <c r="F981" s="16"/>
      <c r="G981" s="16"/>
      <c r="H981" s="16"/>
      <c r="I981" s="16"/>
      <c r="J981" s="16"/>
      <c r="K981" s="16"/>
      <c r="L981" s="16"/>
      <c r="M981" s="16"/>
      <c r="N981" s="16"/>
      <c r="O981" s="16"/>
      <c r="P981" s="16"/>
      <c r="Q981" s="16"/>
      <c r="R981" s="16"/>
      <c r="S981" s="16"/>
      <c r="T981" s="16"/>
      <c r="U981" s="16"/>
      <c r="V981" s="16"/>
      <c r="W981" s="16"/>
      <c r="X981" s="16"/>
      <c r="Y981" s="16"/>
      <c r="Z981" s="16"/>
      <c r="AA981" s="16"/>
      <c r="AB981" s="16"/>
      <c r="AC981" s="16"/>
      <c r="AD981" s="16"/>
      <c r="AE981" s="16"/>
      <c r="AF981" s="16"/>
      <c r="AG981" s="16"/>
      <c r="AH981" s="16"/>
      <c r="AI981" s="16"/>
    </row>
    <row r="982" ht="12.75" customHeight="1" spans="1:35" x14ac:dyDescent="0.25">
      <c r="A982" s="16"/>
      <c r="B982" s="16"/>
      <c r="C982" s="16"/>
      <c r="D982" s="16"/>
      <c r="E982" s="16"/>
      <c r="F982" s="16"/>
      <c r="G982" s="16"/>
      <c r="H982" s="16"/>
      <c r="I982" s="16"/>
      <c r="J982" s="16"/>
      <c r="K982" s="16"/>
      <c r="L982" s="16"/>
      <c r="M982" s="16"/>
      <c r="N982" s="16"/>
      <c r="O982" s="16"/>
      <c r="P982" s="16"/>
      <c r="Q982" s="16"/>
      <c r="R982" s="16"/>
      <c r="S982" s="16"/>
      <c r="T982" s="16"/>
      <c r="U982" s="16"/>
      <c r="V982" s="16"/>
      <c r="W982" s="16"/>
      <c r="X982" s="16"/>
      <c r="Y982" s="16"/>
      <c r="Z982" s="16"/>
      <c r="AA982" s="16"/>
      <c r="AB982" s="16"/>
      <c r="AC982" s="16"/>
      <c r="AD982" s="16"/>
      <c r="AE982" s="16"/>
      <c r="AF982" s="16"/>
      <c r="AG982" s="16"/>
      <c r="AH982" s="16"/>
      <c r="AI982" s="16"/>
    </row>
    <row r="983" ht="12.75" customHeight="1" spans="1:35" x14ac:dyDescent="0.25">
      <c r="A983" s="16"/>
      <c r="B983" s="16"/>
      <c r="C983" s="16"/>
      <c r="D983" s="16"/>
      <c r="E983" s="16"/>
      <c r="F983" s="16"/>
      <c r="G983" s="16"/>
      <c r="H983" s="16"/>
      <c r="I983" s="16"/>
      <c r="J983" s="16"/>
      <c r="K983" s="16"/>
      <c r="L983" s="16"/>
      <c r="M983" s="16"/>
      <c r="N983" s="16"/>
      <c r="O983" s="16"/>
      <c r="P983" s="16"/>
      <c r="Q983" s="16"/>
      <c r="R983" s="16"/>
      <c r="S983" s="16"/>
      <c r="T983" s="16"/>
      <c r="U983" s="16"/>
      <c r="V983" s="16"/>
      <c r="W983" s="16"/>
      <c r="X983" s="16"/>
      <c r="Y983" s="16"/>
      <c r="Z983" s="16"/>
      <c r="AA983" s="16"/>
      <c r="AB983" s="16"/>
      <c r="AC983" s="16"/>
      <c r="AD983" s="16"/>
      <c r="AE983" s="16"/>
      <c r="AF983" s="16"/>
      <c r="AG983" s="16"/>
      <c r="AH983" s="16"/>
      <c r="AI983" s="16"/>
    </row>
    <row r="984" ht="12.75" customHeight="1" spans="1:35" x14ac:dyDescent="0.25">
      <c r="A984" s="16"/>
      <c r="B984" s="16"/>
      <c r="C984" s="16"/>
      <c r="D984" s="16"/>
      <c r="E984" s="16"/>
      <c r="F984" s="16"/>
      <c r="G984" s="16"/>
      <c r="H984" s="16"/>
      <c r="I984" s="16"/>
      <c r="J984" s="16"/>
      <c r="K984" s="16"/>
      <c r="L984" s="16"/>
      <c r="M984" s="16"/>
      <c r="N984" s="16"/>
      <c r="O984" s="16"/>
      <c r="P984" s="16"/>
      <c r="Q984" s="16"/>
      <c r="R984" s="16"/>
      <c r="S984" s="16"/>
      <c r="T984" s="16"/>
      <c r="U984" s="16"/>
      <c r="V984" s="16"/>
      <c r="W984" s="16"/>
      <c r="X984" s="16"/>
      <c r="Y984" s="16"/>
      <c r="Z984" s="16"/>
      <c r="AA984" s="16"/>
      <c r="AB984" s="16"/>
      <c r="AC984" s="16"/>
      <c r="AD984" s="16"/>
      <c r="AE984" s="16"/>
      <c r="AF984" s="16"/>
      <c r="AG984" s="16"/>
      <c r="AH984" s="16"/>
      <c r="AI984" s="16"/>
    </row>
    <row r="985" ht="12.75" customHeight="1" spans="1:35" x14ac:dyDescent="0.25">
      <c r="A985" s="16"/>
      <c r="B985" s="16"/>
      <c r="C985" s="16"/>
      <c r="D985" s="16"/>
      <c r="E985" s="16"/>
      <c r="F985" s="16"/>
      <c r="G985" s="16"/>
      <c r="H985" s="16"/>
      <c r="I985" s="16"/>
      <c r="J985" s="16"/>
      <c r="K985" s="16"/>
      <c r="L985" s="16"/>
      <c r="M985" s="16"/>
      <c r="N985" s="16"/>
      <c r="O985" s="16"/>
      <c r="P985" s="16"/>
      <c r="Q985" s="16"/>
      <c r="R985" s="16"/>
      <c r="S985" s="16"/>
      <c r="T985" s="16"/>
      <c r="U985" s="16"/>
      <c r="V985" s="16"/>
      <c r="W985" s="16"/>
      <c r="X985" s="16"/>
      <c r="Y985" s="16"/>
      <c r="Z985" s="16"/>
      <c r="AA985" s="16"/>
      <c r="AB985" s="16"/>
      <c r="AC985" s="16"/>
      <c r="AD985" s="16"/>
      <c r="AE985" s="16"/>
      <c r="AF985" s="16"/>
      <c r="AG985" s="16"/>
      <c r="AH985" s="16"/>
      <c r="AI985" s="16"/>
    </row>
    <row r="986" ht="12.75" customHeight="1" spans="1:35" x14ac:dyDescent="0.25">
      <c r="A986" s="16"/>
      <c r="B986" s="16"/>
      <c r="C986" s="16"/>
      <c r="D986" s="16"/>
      <c r="E986" s="16"/>
      <c r="F986" s="16"/>
      <c r="G986" s="16"/>
      <c r="H986" s="16"/>
      <c r="I986" s="16"/>
      <c r="J986" s="16"/>
      <c r="K986" s="16"/>
      <c r="L986" s="16"/>
      <c r="M986" s="16"/>
      <c r="N986" s="16"/>
      <c r="O986" s="16"/>
      <c r="P986" s="16"/>
      <c r="Q986" s="16"/>
      <c r="R986" s="16"/>
      <c r="S986" s="16"/>
      <c r="T986" s="16"/>
      <c r="U986" s="16"/>
      <c r="V986" s="16"/>
      <c r="W986" s="16"/>
      <c r="X986" s="16"/>
      <c r="Y986" s="16"/>
      <c r="Z986" s="16"/>
      <c r="AA986" s="16"/>
      <c r="AB986" s="16"/>
      <c r="AC986" s="16"/>
      <c r="AD986" s="16"/>
      <c r="AE986" s="16"/>
      <c r="AF986" s="16"/>
      <c r="AG986" s="16"/>
      <c r="AH986" s="16"/>
      <c r="AI986" s="16"/>
    </row>
    <row r="987" ht="12.75" customHeight="1" spans="1:35" x14ac:dyDescent="0.25">
      <c r="A987" s="16"/>
      <c r="B987" s="16"/>
      <c r="C987" s="16"/>
      <c r="D987" s="16"/>
      <c r="E987" s="16"/>
      <c r="F987" s="16"/>
      <c r="G987" s="16"/>
      <c r="H987" s="16"/>
      <c r="I987" s="16"/>
      <c r="J987" s="16"/>
      <c r="K987" s="16"/>
      <c r="L987" s="16"/>
      <c r="M987" s="16"/>
      <c r="N987" s="16"/>
      <c r="O987" s="16"/>
      <c r="P987" s="16"/>
      <c r="Q987" s="16"/>
      <c r="R987" s="16"/>
      <c r="S987" s="16"/>
      <c r="T987" s="16"/>
      <c r="U987" s="16"/>
      <c r="V987" s="16"/>
      <c r="W987" s="16"/>
      <c r="X987" s="16"/>
      <c r="Y987" s="16"/>
      <c r="Z987" s="16"/>
      <c r="AA987" s="16"/>
      <c r="AB987" s="16"/>
      <c r="AC987" s="16"/>
      <c r="AD987" s="16"/>
      <c r="AE987" s="16"/>
      <c r="AF987" s="16"/>
      <c r="AG987" s="16"/>
      <c r="AH987" s="16"/>
      <c r="AI987" s="16"/>
    </row>
    <row r="988" ht="12.75" customHeight="1" spans="1:35" x14ac:dyDescent="0.25">
      <c r="A988" s="16"/>
      <c r="B988" s="16"/>
      <c r="C988" s="16"/>
      <c r="D988" s="16"/>
      <c r="E988" s="16"/>
      <c r="F988" s="16"/>
      <c r="G988" s="16"/>
      <c r="H988" s="16"/>
      <c r="I988" s="16"/>
      <c r="J988" s="16"/>
      <c r="K988" s="16"/>
      <c r="L988" s="16"/>
      <c r="M988" s="16"/>
      <c r="N988" s="16"/>
      <c r="O988" s="16"/>
      <c r="P988" s="16"/>
      <c r="Q988" s="16"/>
      <c r="R988" s="16"/>
      <c r="S988" s="16"/>
      <c r="T988" s="16"/>
      <c r="U988" s="16"/>
      <c r="V988" s="16"/>
      <c r="W988" s="16"/>
      <c r="X988" s="16"/>
      <c r="Y988" s="16"/>
      <c r="Z988" s="16"/>
      <c r="AA988" s="16"/>
      <c r="AB988" s="16"/>
      <c r="AC988" s="16"/>
      <c r="AD988" s="16"/>
      <c r="AE988" s="16"/>
      <c r="AF988" s="16"/>
      <c r="AG988" s="16"/>
      <c r="AH988" s="16"/>
      <c r="AI988" s="16"/>
    </row>
    <row r="989" ht="12.75" customHeight="1" spans="1:35" x14ac:dyDescent="0.25">
      <c r="A989" s="16"/>
      <c r="B989" s="16"/>
      <c r="C989" s="16"/>
      <c r="D989" s="16"/>
      <c r="E989" s="16"/>
      <c r="F989" s="16"/>
      <c r="G989" s="16"/>
      <c r="H989" s="16"/>
      <c r="I989" s="16"/>
      <c r="J989" s="16"/>
      <c r="K989" s="16"/>
      <c r="L989" s="16"/>
      <c r="M989" s="16"/>
      <c r="N989" s="16"/>
      <c r="O989" s="16"/>
      <c r="P989" s="16"/>
      <c r="Q989" s="16"/>
      <c r="R989" s="16"/>
      <c r="S989" s="16"/>
      <c r="T989" s="16"/>
      <c r="U989" s="16"/>
      <c r="V989" s="16"/>
      <c r="W989" s="16"/>
      <c r="X989" s="16"/>
      <c r="Y989" s="16"/>
      <c r="Z989" s="16"/>
      <c r="AA989" s="16"/>
      <c r="AB989" s="16"/>
      <c r="AC989" s="16"/>
      <c r="AD989" s="16"/>
      <c r="AE989" s="16"/>
      <c r="AF989" s="16"/>
      <c r="AG989" s="16"/>
      <c r="AH989" s="16"/>
      <c r="AI989" s="16"/>
    </row>
    <row r="990" ht="12.75" customHeight="1" spans="1:35" x14ac:dyDescent="0.25">
      <c r="A990" s="16"/>
      <c r="B990" s="16"/>
      <c r="C990" s="16"/>
      <c r="D990" s="16"/>
      <c r="E990" s="16"/>
      <c r="F990" s="16"/>
      <c r="G990" s="16"/>
      <c r="H990" s="16"/>
      <c r="I990" s="16"/>
      <c r="J990" s="16"/>
      <c r="K990" s="16"/>
      <c r="L990" s="16"/>
      <c r="M990" s="16"/>
      <c r="N990" s="16"/>
      <c r="O990" s="16"/>
      <c r="P990" s="16"/>
      <c r="Q990" s="16"/>
      <c r="R990" s="16"/>
      <c r="S990" s="16"/>
      <c r="T990" s="16"/>
      <c r="U990" s="16"/>
      <c r="V990" s="16"/>
      <c r="W990" s="16"/>
      <c r="X990" s="16"/>
      <c r="Y990" s="16"/>
      <c r="Z990" s="16"/>
      <c r="AA990" s="16"/>
      <c r="AB990" s="16"/>
      <c r="AC990" s="16"/>
      <c r="AD990" s="16"/>
      <c r="AE990" s="16"/>
      <c r="AF990" s="16"/>
      <c r="AG990" s="16"/>
      <c r="AH990" s="16"/>
      <c r="AI990" s="16"/>
    </row>
    <row r="991" ht="12.75" customHeight="1" spans="1:35" x14ac:dyDescent="0.25">
      <c r="A991" s="16"/>
      <c r="B991" s="16"/>
      <c r="C991" s="16"/>
      <c r="D991" s="16"/>
      <c r="E991" s="16"/>
      <c r="F991" s="16"/>
      <c r="G991" s="16"/>
      <c r="H991" s="16"/>
      <c r="I991" s="16"/>
      <c r="J991" s="16"/>
      <c r="K991" s="16"/>
      <c r="L991" s="16"/>
      <c r="M991" s="16"/>
      <c r="N991" s="16"/>
      <c r="O991" s="16"/>
      <c r="P991" s="16"/>
      <c r="Q991" s="16"/>
      <c r="R991" s="16"/>
      <c r="S991" s="16"/>
      <c r="T991" s="16"/>
      <c r="U991" s="16"/>
      <c r="V991" s="16"/>
      <c r="W991" s="16"/>
      <c r="X991" s="16"/>
      <c r="Y991" s="16"/>
      <c r="Z991" s="16"/>
      <c r="AA991" s="16"/>
      <c r="AB991" s="16"/>
      <c r="AC991" s="16"/>
      <c r="AD991" s="16"/>
      <c r="AE991" s="16"/>
      <c r="AF991" s="16"/>
      <c r="AG991" s="16"/>
      <c r="AH991" s="16"/>
      <c r="AI991" s="16"/>
    </row>
    <row r="992" ht="12.75" customHeight="1" spans="1:35" x14ac:dyDescent="0.25">
      <c r="A992" s="16"/>
      <c r="B992" s="16"/>
      <c r="C992" s="16"/>
      <c r="D992" s="16"/>
      <c r="E992" s="16"/>
      <c r="F992" s="16"/>
      <c r="G992" s="16"/>
      <c r="H992" s="16"/>
      <c r="I992" s="16"/>
      <c r="J992" s="16"/>
      <c r="K992" s="16"/>
      <c r="L992" s="16"/>
      <c r="M992" s="16"/>
      <c r="N992" s="16"/>
      <c r="O992" s="16"/>
      <c r="P992" s="16"/>
      <c r="Q992" s="16"/>
      <c r="R992" s="16"/>
      <c r="S992" s="16"/>
      <c r="T992" s="16"/>
      <c r="U992" s="16"/>
      <c r="V992" s="16"/>
      <c r="W992" s="16"/>
      <c r="X992" s="16"/>
      <c r="Y992" s="16"/>
      <c r="Z992" s="16"/>
      <c r="AA992" s="16"/>
      <c r="AB992" s="16"/>
      <c r="AC992" s="16"/>
      <c r="AD992" s="16"/>
      <c r="AE992" s="16"/>
      <c r="AF992" s="16"/>
      <c r="AG992" s="16"/>
      <c r="AH992" s="16"/>
      <c r="AI992" s="16"/>
    </row>
    <row r="993" ht="12.75" customHeight="1" spans="1:35" x14ac:dyDescent="0.25">
      <c r="A993" s="16"/>
      <c r="B993" s="16"/>
      <c r="C993" s="16"/>
      <c r="D993" s="16"/>
      <c r="E993" s="16"/>
      <c r="F993" s="16"/>
      <c r="G993" s="16"/>
      <c r="H993" s="16"/>
      <c r="I993" s="16"/>
      <c r="J993" s="16"/>
      <c r="K993" s="16"/>
      <c r="L993" s="16"/>
      <c r="M993" s="16"/>
      <c r="N993" s="16"/>
      <c r="O993" s="16"/>
      <c r="P993" s="16"/>
      <c r="Q993" s="16"/>
      <c r="R993" s="16"/>
      <c r="S993" s="16"/>
      <c r="T993" s="16"/>
      <c r="U993" s="16"/>
      <c r="V993" s="16"/>
      <c r="W993" s="16"/>
      <c r="X993" s="16"/>
      <c r="Y993" s="16"/>
      <c r="Z993" s="16"/>
      <c r="AA993" s="16"/>
      <c r="AB993" s="16"/>
      <c r="AC993" s="16"/>
      <c r="AD993" s="16"/>
      <c r="AE993" s="16"/>
      <c r="AF993" s="16"/>
      <c r="AG993" s="16"/>
      <c r="AH993" s="16"/>
      <c r="AI993" s="16"/>
    </row>
    <row r="994" ht="12.75" customHeight="1" spans="1:35" x14ac:dyDescent="0.25">
      <c r="A994" s="16"/>
      <c r="B994" s="16"/>
      <c r="C994" s="16"/>
      <c r="D994" s="16"/>
      <c r="E994" s="16"/>
      <c r="F994" s="16"/>
      <c r="G994" s="16"/>
      <c r="H994" s="16"/>
      <c r="I994" s="16"/>
      <c r="J994" s="16"/>
      <c r="K994" s="16"/>
      <c r="L994" s="16"/>
      <c r="M994" s="16"/>
      <c r="N994" s="16"/>
      <c r="O994" s="16"/>
      <c r="P994" s="16"/>
      <c r="Q994" s="16"/>
      <c r="R994" s="16"/>
      <c r="S994" s="16"/>
      <c r="T994" s="16"/>
      <c r="U994" s="16"/>
      <c r="V994" s="16"/>
      <c r="W994" s="16"/>
      <c r="X994" s="16"/>
      <c r="Y994" s="16"/>
      <c r="Z994" s="16"/>
      <c r="AA994" s="16"/>
      <c r="AB994" s="16"/>
      <c r="AC994" s="16"/>
      <c r="AD994" s="16"/>
      <c r="AE994" s="16"/>
      <c r="AF994" s="16"/>
      <c r="AG994" s="16"/>
      <c r="AH994" s="16"/>
      <c r="AI994" s="16"/>
    </row>
    <row r="995" ht="12.75" customHeight="1" spans="1:35" x14ac:dyDescent="0.25">
      <c r="A995" s="16"/>
      <c r="B995" s="16"/>
      <c r="C995" s="16"/>
      <c r="D995" s="16"/>
      <c r="E995" s="16"/>
      <c r="F995" s="16"/>
      <c r="G995" s="16"/>
      <c r="H995" s="16"/>
      <c r="I995" s="16"/>
      <c r="J995" s="16"/>
      <c r="K995" s="16"/>
      <c r="L995" s="16"/>
      <c r="M995" s="16"/>
      <c r="N995" s="16"/>
      <c r="O995" s="16"/>
      <c r="P995" s="16"/>
      <c r="Q995" s="16"/>
      <c r="R995" s="16"/>
      <c r="S995" s="16"/>
      <c r="T995" s="16"/>
      <c r="U995" s="16"/>
      <c r="V995" s="16"/>
      <c r="W995" s="16"/>
      <c r="X995" s="16"/>
      <c r="Y995" s="16"/>
      <c r="Z995" s="16"/>
      <c r="AA995" s="16"/>
      <c r="AB995" s="16"/>
      <c r="AC995" s="16"/>
      <c r="AD995" s="16"/>
      <c r="AE995" s="16"/>
      <c r="AF995" s="16"/>
      <c r="AG995" s="16"/>
      <c r="AH995" s="16"/>
      <c r="AI995" s="16"/>
    </row>
    <row r="996" ht="12.75" customHeight="1" spans="1:35" x14ac:dyDescent="0.25">
      <c r="A996" s="16"/>
      <c r="B996" s="16"/>
      <c r="C996" s="16"/>
      <c r="D996" s="16"/>
      <c r="E996" s="16"/>
      <c r="F996" s="16"/>
      <c r="G996" s="16"/>
      <c r="H996" s="16"/>
      <c r="I996" s="16"/>
      <c r="J996" s="16"/>
      <c r="K996" s="16"/>
      <c r="L996" s="16"/>
      <c r="M996" s="16"/>
      <c r="N996" s="16"/>
      <c r="O996" s="16"/>
      <c r="P996" s="16"/>
      <c r="Q996" s="16"/>
      <c r="R996" s="16"/>
      <c r="S996" s="16"/>
      <c r="T996" s="16"/>
      <c r="U996" s="16"/>
      <c r="V996" s="16"/>
      <c r="W996" s="16"/>
      <c r="X996" s="16"/>
      <c r="Y996" s="16"/>
      <c r="Z996" s="16"/>
      <c r="AA996" s="16"/>
      <c r="AB996" s="16"/>
      <c r="AC996" s="16"/>
      <c r="AD996" s="16"/>
      <c r="AE996" s="16"/>
      <c r="AF996" s="16"/>
      <c r="AG996" s="16"/>
      <c r="AH996" s="16"/>
      <c r="AI996" s="16"/>
    </row>
    <row r="997" ht="12.75" customHeight="1" spans="1:35" x14ac:dyDescent="0.25">
      <c r="A997" s="16"/>
      <c r="B997" s="16"/>
      <c r="C997" s="16"/>
      <c r="D997" s="16"/>
      <c r="E997" s="16"/>
      <c r="F997" s="16"/>
      <c r="G997" s="16"/>
      <c r="H997" s="16"/>
      <c r="I997" s="16"/>
      <c r="J997" s="16"/>
      <c r="K997" s="16"/>
      <c r="L997" s="16"/>
      <c r="M997" s="16"/>
      <c r="N997" s="16"/>
      <c r="O997" s="16"/>
      <c r="P997" s="16"/>
      <c r="Q997" s="16"/>
      <c r="R997" s="16"/>
      <c r="S997" s="16"/>
      <c r="T997" s="16"/>
      <c r="U997" s="16"/>
      <c r="V997" s="16"/>
      <c r="W997" s="16"/>
      <c r="X997" s="16"/>
      <c r="Y997" s="16"/>
      <c r="Z997" s="16"/>
      <c r="AA997" s="16"/>
      <c r="AB997" s="16"/>
      <c r="AC997" s="16"/>
      <c r="AD997" s="16"/>
      <c r="AE997" s="16"/>
      <c r="AF997" s="16"/>
      <c r="AG997" s="16"/>
      <c r="AH997" s="16"/>
      <c r="AI997" s="16"/>
    </row>
    <row r="998" ht="12.75" customHeight="1" spans="1:35" x14ac:dyDescent="0.25">
      <c r="A998" s="16"/>
      <c r="B998" s="16"/>
      <c r="C998" s="16"/>
      <c r="D998" s="16"/>
      <c r="E998" s="16"/>
      <c r="F998" s="16"/>
      <c r="G998" s="16"/>
      <c r="H998" s="16"/>
      <c r="I998" s="16"/>
      <c r="J998" s="16"/>
      <c r="K998" s="16"/>
      <c r="L998" s="16"/>
      <c r="M998" s="16"/>
      <c r="N998" s="16"/>
      <c r="O998" s="16"/>
      <c r="P998" s="16"/>
      <c r="Q998" s="16"/>
      <c r="R998" s="16"/>
      <c r="S998" s="16"/>
      <c r="T998" s="16"/>
      <c r="U998" s="16"/>
      <c r="V998" s="16"/>
      <c r="W998" s="16"/>
      <c r="X998" s="16"/>
      <c r="Y998" s="16"/>
      <c r="Z998" s="16"/>
      <c r="AA998" s="16"/>
      <c r="AB998" s="16"/>
      <c r="AC998" s="16"/>
      <c r="AD998" s="16"/>
      <c r="AE998" s="16"/>
      <c r="AF998" s="16"/>
      <c r="AG998" s="16"/>
      <c r="AH998" s="16"/>
      <c r="AI998" s="16"/>
    </row>
    <row r="999" ht="12.75" customHeight="1" spans="1:35" x14ac:dyDescent="0.25">
      <c r="A999" s="16"/>
      <c r="B999" s="16"/>
      <c r="C999" s="16"/>
      <c r="D999" s="16"/>
      <c r="E999" s="16"/>
      <c r="F999" s="16"/>
      <c r="G999" s="16"/>
      <c r="H999" s="16"/>
      <c r="I999" s="16"/>
      <c r="J999" s="16"/>
      <c r="K999" s="16"/>
      <c r="L999" s="16"/>
      <c r="M999" s="16"/>
      <c r="N999" s="16"/>
      <c r="O999" s="16"/>
      <c r="P999" s="16"/>
      <c r="Q999" s="16"/>
      <c r="R999" s="16"/>
      <c r="S999" s="16"/>
      <c r="T999" s="16"/>
      <c r="U999" s="16"/>
      <c r="V999" s="16"/>
      <c r="W999" s="16"/>
      <c r="X999" s="16"/>
      <c r="Y999" s="16"/>
      <c r="Z999" s="16"/>
      <c r="AA999" s="16"/>
      <c r="AB999" s="16"/>
      <c r="AC999" s="16"/>
      <c r="AD999" s="16"/>
      <c r="AE999" s="16"/>
      <c r="AF999" s="16"/>
      <c r="AG999" s="16"/>
      <c r="AH999" s="16"/>
      <c r="AI999" s="16"/>
    </row>
    <row r="1000" ht="12.75" customHeight="1" spans="1:35" x14ac:dyDescent="0.25">
      <c r="A1000" s="16"/>
      <c r="B1000" s="16"/>
      <c r="C1000" s="16"/>
      <c r="D1000" s="16"/>
      <c r="E1000" s="16"/>
      <c r="F1000" s="16"/>
      <c r="G1000" s="16"/>
      <c r="H1000" s="16"/>
      <c r="I1000" s="16"/>
      <c r="J1000" s="16"/>
      <c r="K1000" s="16"/>
      <c r="L1000" s="16"/>
      <c r="M1000" s="16"/>
      <c r="N1000" s="16"/>
      <c r="O1000" s="16"/>
      <c r="P1000" s="16"/>
      <c r="Q1000" s="16"/>
      <c r="R1000" s="16"/>
      <c r="S1000" s="16"/>
      <c r="T1000" s="16"/>
      <c r="U1000" s="16"/>
      <c r="V1000" s="16"/>
      <c r="W1000" s="16"/>
      <c r="X1000" s="16"/>
      <c r="Y1000" s="16"/>
      <c r="Z1000" s="16"/>
      <c r="AA1000" s="16"/>
      <c r="AB1000" s="16"/>
      <c r="AC1000" s="16"/>
      <c r="AD1000" s="16"/>
      <c r="AE1000" s="16"/>
      <c r="AF1000" s="16"/>
      <c r="AG1000" s="16"/>
      <c r="AH1000" s="16"/>
      <c r="AI1000" s="16"/>
    </row>
  </sheetData>
  <pageMargins left="0.7" right="0.7" top="0.75" bottom="0.75" header="0" footer="0"/>
  <pageSetup orientation="landscape" horizontalDpi="4294967295" verticalDpi="4294967295" scale="100" fitToWidth="1" fitToHeight="1" firstPageNumber="1" useFirstPageNumber="1" copies="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760000"/>
  </sheetPr>
  <dimension ref="A1:BN1000"/>
  <sheetViews>
    <sheetView workbookViewId="0" showGridLines="0" zoomScale="100" zoomScaleNormal="100">
      <pane ySplit="2" topLeftCell="A3" activePane="bottomLeft" state="frozen"/>
      <selection pane="bottomLeft" activeCell="B4" sqref="B4"/>
    </sheetView>
  </sheetViews>
  <sheetFormatPr defaultRowHeight="15" outlineLevelRow="1" outlineLevelCol="1" x14ac:dyDescent="0" defaultColWidth="14.5"/>
  <cols>
    <col min="1" max="1" width="2.5" hidden="1" outlineLevel="1" collapsed="1" customWidth="1"/>
    <col min="2" max="2" width="22.5" hidden="1" outlineLevel="1" collapsed="1" customWidth="1"/>
    <col min="3" max="3" width="1.6640625" customWidth="1"/>
    <col min="4" max="4" width="22.5" customWidth="1"/>
    <col min="5" max="5" width="21.5" customWidth="1"/>
    <col min="6" max="6" width="10.5" customWidth="1"/>
    <col min="7" max="8" width="12.6640625" customWidth="1"/>
    <col min="9" max="9" width="11.6640625" customWidth="1"/>
    <col min="10" max="23" width="10.5" customWidth="1"/>
    <col min="24" max="24" width="22.5" hidden="1" outlineLevel="1" collapsed="1" customWidth="1"/>
    <col min="25" max="25" width="1.6640625" customWidth="1"/>
    <col min="26" max="26" width="22.5" hidden="1" outlineLevel="1" collapsed="1" customWidth="1"/>
    <col min="27" max="27" width="8.6640625" hidden="1" outlineLevel="1" collapsed="1" customWidth="1"/>
    <col min="28" max="30" width="10.5" hidden="1" outlineLevel="1" collapsed="1" customWidth="1"/>
    <col min="31" max="31" width="11.6640625" hidden="1" outlineLevel="1" collapsed="1" customWidth="1"/>
    <col min="32" max="44" width="10.5" hidden="1" outlineLevel="1" collapsed="1" customWidth="1"/>
    <col min="45" max="45" width="8.6640625" customWidth="1"/>
    <col min="46" max="46" width="22.5" hidden="1" outlineLevel="1" collapsed="1" customWidth="1"/>
    <col min="47" max="47" width="1.6640625" customWidth="1"/>
    <col min="48" max="48" width="22.5" hidden="1" outlineLevel="1" collapsed="1" customWidth="1"/>
    <col min="49" max="49" width="8.6640625" hidden="1" outlineLevel="1" collapsed="1" customWidth="1"/>
    <col min="50" max="52" width="10.5" hidden="1" outlineLevel="1" collapsed="1" customWidth="1"/>
    <col min="53" max="53" width="11.6640625" hidden="1" outlineLevel="1" collapsed="1" customWidth="1"/>
    <col min="54" max="66" width="10.5" hidden="1" outlineLevel="1" collapsed="1" customWidth="1"/>
  </cols>
  <sheetData>
    <row r="1" ht="13.5" customHeight="1" spans="1:66" x14ac:dyDescent="0.25">
      <c r="A1" s="11"/>
      <c r="B1" s="11"/>
      <c r="C1" s="532"/>
      <c r="D1" s="12" t="str">
        <f ca="1">Company_Name&amp;" - Comparable Company Analysis"</f>
        <v>Lowe's Companies, Inc. - Comparable Company Analysis</v>
      </c>
      <c r="E1" s="11"/>
      <c r="F1" s="11"/>
      <c r="G1" s="11"/>
      <c r="H1" s="11"/>
      <c r="I1" s="11"/>
      <c r="J1" s="11"/>
      <c r="K1" s="11"/>
      <c r="L1" s="11"/>
      <c r="M1" s="11"/>
      <c r="N1" s="11"/>
      <c r="O1" s="11"/>
      <c r="P1" s="11"/>
      <c r="Q1" s="11"/>
      <c r="R1" s="11"/>
      <c r="S1" s="11"/>
      <c r="T1" s="11"/>
      <c r="U1" s="11"/>
      <c r="V1" s="11"/>
      <c r="W1" s="11"/>
      <c r="X1" s="11"/>
      <c r="Y1" s="11"/>
      <c r="Z1" s="11"/>
      <c r="AA1" s="11"/>
      <c r="AB1" s="11"/>
      <c r="AC1" s="11"/>
      <c r="AD1" s="11"/>
      <c r="AE1" s="11"/>
      <c r="AF1" s="11"/>
      <c r="AG1" s="11"/>
      <c r="AH1" s="11"/>
      <c r="AI1" s="11"/>
      <c r="AJ1" s="11"/>
      <c r="AK1" s="11"/>
      <c r="AL1" s="11"/>
      <c r="AM1" s="11"/>
      <c r="AN1" s="11"/>
      <c r="AO1" s="11"/>
      <c r="AP1" s="11"/>
      <c r="AQ1" s="11"/>
      <c r="AR1" s="11"/>
      <c r="AS1" s="11"/>
      <c r="AT1" s="11"/>
      <c r="AU1" s="11"/>
      <c r="AV1" s="11"/>
      <c r="AW1" s="11"/>
      <c r="AX1" s="11"/>
      <c r="AY1" s="11"/>
      <c r="AZ1" s="11"/>
      <c r="BA1" s="11"/>
      <c r="BB1" s="11"/>
      <c r="BC1" s="11"/>
      <c r="BD1" s="11"/>
      <c r="BE1" s="11"/>
      <c r="BF1" s="11"/>
      <c r="BG1" s="11"/>
      <c r="BH1" s="11"/>
      <c r="BI1" s="11"/>
      <c r="BJ1" s="11"/>
      <c r="BK1" s="11"/>
      <c r="BL1" s="11"/>
      <c r="BM1" s="11"/>
      <c r="BN1" s="11"/>
    </row>
    <row r="2" ht="13.5" customHeight="1" spans="1:66" x14ac:dyDescent="0.25">
      <c r="A2" s="4"/>
      <c r="B2" s="4"/>
      <c r="C2" s="533"/>
      <c r="D2" s="14" t="str">
        <f ca="1">Cover!C2</f>
        <v>$ in Millions Except Per Share Data</v>
      </c>
      <c r="E2" s="4"/>
      <c r="F2" s="4"/>
      <c r="G2" s="4"/>
      <c r="H2" s="4"/>
      <c r="I2" s="4"/>
      <c r="J2" s="4"/>
      <c r="K2" s="4"/>
      <c r="L2" s="4"/>
      <c r="M2" s="4"/>
      <c r="N2" s="4"/>
      <c r="O2" s="4"/>
      <c r="P2" s="4"/>
      <c r="Q2" s="4"/>
      <c r="R2" s="4"/>
      <c r="S2" s="4"/>
      <c r="T2" s="4"/>
      <c r="U2" s="4"/>
      <c r="V2" s="4"/>
      <c r="W2" s="4"/>
      <c r="X2" s="4"/>
      <c r="Y2" s="4"/>
      <c r="Z2" s="4"/>
      <c r="AA2" s="4"/>
      <c r="AB2" s="4"/>
      <c r="AC2" s="4"/>
      <c r="AD2" s="4"/>
      <c r="AE2" s="4"/>
      <c r="AF2" s="4"/>
      <c r="AG2" s="4"/>
      <c r="AH2" s="4"/>
      <c r="AI2" s="4"/>
      <c r="AJ2" s="4"/>
      <c r="AK2" s="4"/>
      <c r="AL2" s="4"/>
      <c r="AM2" s="4"/>
      <c r="AN2" s="4"/>
      <c r="AO2" s="4"/>
      <c r="AP2" s="4"/>
      <c r="AQ2" s="4"/>
      <c r="AR2" s="4"/>
      <c r="AS2" s="4"/>
      <c r="AT2" s="4"/>
      <c r="AU2" s="4"/>
      <c r="AV2" s="4"/>
      <c r="AW2" s="4"/>
      <c r="AX2" s="4"/>
      <c r="AY2" s="4"/>
      <c r="AZ2" s="4"/>
      <c r="BA2" s="4"/>
      <c r="BB2" s="4"/>
      <c r="BC2" s="4"/>
      <c r="BD2" s="4"/>
      <c r="BE2" s="4"/>
      <c r="BF2" s="4"/>
      <c r="BG2" s="4"/>
      <c r="BH2" s="4"/>
      <c r="BI2" s="4"/>
      <c r="BJ2" s="4"/>
      <c r="BK2" s="4"/>
      <c r="BL2" s="4"/>
      <c r="BM2" s="4"/>
      <c r="BN2" s="4"/>
    </row>
    <row r="3" ht="13.5" customHeight="1" spans="1:66" x14ac:dyDescent="0.25">
      <c r="A3" s="5"/>
      <c r="B3" s="4"/>
      <c r="C3" s="47"/>
      <c r="D3" s="16"/>
      <c r="E3" s="16"/>
      <c r="F3" s="16"/>
      <c r="G3" s="16"/>
      <c r="H3" s="16"/>
      <c r="I3" s="16"/>
      <c r="J3" s="16"/>
      <c r="K3" s="16"/>
      <c r="L3" s="16"/>
      <c r="M3" s="16"/>
      <c r="N3" s="16"/>
      <c r="O3" s="16"/>
      <c r="P3" s="16"/>
      <c r="Q3" s="16"/>
      <c r="R3" s="16"/>
      <c r="S3" s="16"/>
      <c r="T3" s="16"/>
      <c r="U3" s="16"/>
      <c r="V3" s="16"/>
      <c r="W3" s="16"/>
      <c r="X3" s="4"/>
      <c r="Y3" s="47"/>
      <c r="Z3" s="16"/>
      <c r="AA3" s="16"/>
      <c r="AB3" s="16"/>
      <c r="AC3" s="16"/>
      <c r="AD3" s="16"/>
      <c r="AE3" s="16"/>
      <c r="AF3" s="16"/>
      <c r="AG3" s="16"/>
      <c r="AH3" s="16"/>
      <c r="AI3" s="16"/>
      <c r="AJ3" s="16"/>
      <c r="AK3" s="16"/>
      <c r="AL3" s="16"/>
      <c r="AM3" s="16"/>
      <c r="AN3" s="16"/>
      <c r="AO3" s="16"/>
      <c r="AP3" s="16"/>
      <c r="AQ3" s="16"/>
      <c r="AR3" s="16"/>
      <c r="AS3" s="4"/>
      <c r="AT3" s="4"/>
      <c r="AU3" s="4"/>
      <c r="AV3" s="4"/>
      <c r="AW3" s="4"/>
      <c r="AX3" s="4"/>
      <c r="AY3" s="4"/>
      <c r="AZ3" s="4"/>
      <c r="BA3" s="4"/>
      <c r="BB3" s="4"/>
      <c r="BC3" s="4"/>
      <c r="BD3" s="4"/>
      <c r="BE3" s="4"/>
      <c r="BF3" s="4"/>
      <c r="BG3" s="4"/>
      <c r="BH3" s="4"/>
      <c r="BI3" s="4"/>
      <c r="BJ3" s="4"/>
      <c r="BK3" s="4"/>
      <c r="BL3" s="4"/>
      <c r="BM3" s="4"/>
      <c r="BN3" s="4"/>
    </row>
    <row r="4" ht="13.5" customHeight="1" spans="1:66" x14ac:dyDescent="0.25">
      <c r="A4" s="4"/>
      <c r="B4" s="4"/>
      <c r="C4" s="47"/>
      <c r="D4" s="92" t="str">
        <f ca="1">$D$86</f>
        <v>Primary Peer Group</v>
      </c>
      <c r="E4" s="22"/>
      <c r="F4" s="22"/>
      <c r="G4" s="22"/>
      <c r="H4" s="22"/>
      <c r="I4" s="22"/>
      <c r="J4" s="22"/>
      <c r="K4" s="22"/>
      <c r="L4" s="22"/>
      <c r="M4" s="22"/>
      <c r="N4" s="22"/>
      <c r="O4" s="22"/>
      <c r="P4" s="22"/>
      <c r="Q4" s="22"/>
      <c r="R4" s="22"/>
      <c r="S4" s="22"/>
      <c r="T4" s="22"/>
      <c r="U4" s="22"/>
      <c r="V4" s="7"/>
      <c r="W4" s="16"/>
      <c r="X4" s="4"/>
      <c r="Y4" s="47"/>
      <c r="Z4" s="534" t="str">
        <f ca="1">$G$86</f>
        <v>Defense Peer Group</v>
      </c>
      <c r="AA4" s="22"/>
      <c r="AB4" s="22"/>
      <c r="AC4" s="22"/>
      <c r="AD4" s="22"/>
      <c r="AE4" s="22"/>
      <c r="AF4" s="22"/>
      <c r="AG4" s="22"/>
      <c r="AH4" s="22"/>
      <c r="AI4" s="22"/>
      <c r="AJ4" s="22"/>
      <c r="AK4" s="22"/>
      <c r="AL4" s="22"/>
      <c r="AM4" s="22"/>
      <c r="AN4" s="22"/>
      <c r="AO4" s="22"/>
      <c r="AP4" s="22"/>
      <c r="AQ4" s="22"/>
      <c r="AR4" s="7"/>
      <c r="AS4" s="4"/>
      <c r="AT4" s="4"/>
      <c r="AU4" s="47"/>
      <c r="AV4" s="534" t="str">
        <f ca="1">$L$86</f>
        <v>Cap. Goods Peer Group</v>
      </c>
      <c r="AW4" s="22"/>
      <c r="AX4" s="22"/>
      <c r="AY4" s="22"/>
      <c r="AZ4" s="22"/>
      <c r="BA4" s="22"/>
      <c r="BB4" s="22"/>
      <c r="BC4" s="22"/>
      <c r="BD4" s="22"/>
      <c r="BE4" s="22"/>
      <c r="BF4" s="22"/>
      <c r="BG4" s="22"/>
      <c r="BH4" s="22"/>
      <c r="BI4" s="22"/>
      <c r="BJ4" s="22"/>
      <c r="BK4" s="22"/>
      <c r="BL4" s="22"/>
      <c r="BM4" s="22"/>
      <c r="BN4" s="7"/>
    </row>
    <row r="5" ht="4.5" customHeight="1" spans="1:66" x14ac:dyDescent="0.25">
      <c r="A5" s="4"/>
      <c r="B5" s="4"/>
      <c r="C5" s="47"/>
      <c r="D5" s="199"/>
      <c r="E5" s="535"/>
      <c r="F5" s="535"/>
      <c r="G5" s="535"/>
      <c r="H5" s="535"/>
      <c r="I5" s="535"/>
      <c r="J5" s="535"/>
      <c r="K5" s="535"/>
      <c r="L5" s="199"/>
      <c r="M5" s="535"/>
      <c r="N5" s="535"/>
      <c r="O5" s="535"/>
      <c r="P5" s="199"/>
      <c r="Q5" s="535"/>
      <c r="R5" s="535"/>
      <c r="S5" s="535"/>
      <c r="T5" s="199"/>
      <c r="U5" s="535"/>
      <c r="V5" s="535"/>
      <c r="W5" s="16"/>
      <c r="X5" s="4"/>
      <c r="Y5" s="47"/>
      <c r="Z5" s="536"/>
      <c r="AA5" s="537"/>
      <c r="AB5" s="537"/>
      <c r="AC5" s="537"/>
      <c r="AD5" s="537"/>
      <c r="AE5" s="537"/>
      <c r="AF5" s="537"/>
      <c r="AG5" s="537"/>
      <c r="AH5" s="536"/>
      <c r="AI5" s="537"/>
      <c r="AJ5" s="537"/>
      <c r="AK5" s="537"/>
      <c r="AL5" s="536"/>
      <c r="AM5" s="537"/>
      <c r="AN5" s="537"/>
      <c r="AO5" s="537"/>
      <c r="AP5" s="536"/>
      <c r="AQ5" s="537"/>
      <c r="AR5" s="537"/>
      <c r="AS5" s="4"/>
      <c r="AT5" s="4"/>
      <c r="AU5" s="47"/>
      <c r="AV5" s="536"/>
      <c r="AW5" s="537"/>
      <c r="AX5" s="537"/>
      <c r="AY5" s="537"/>
      <c r="AZ5" s="537"/>
      <c r="BA5" s="537"/>
      <c r="BB5" s="537"/>
      <c r="BC5" s="537"/>
      <c r="BD5" s="536"/>
      <c r="BE5" s="537"/>
      <c r="BF5" s="537"/>
      <c r="BG5" s="537"/>
      <c r="BH5" s="536"/>
      <c r="BI5" s="537"/>
      <c r="BJ5" s="537"/>
      <c r="BK5" s="537"/>
      <c r="BL5" s="536"/>
      <c r="BM5" s="537"/>
      <c r="BN5" s="537"/>
    </row>
    <row r="6" ht="13.5" customHeight="1" spans="1:66" x14ac:dyDescent="0.25">
      <c r="A6" s="4"/>
      <c r="B6" s="4"/>
      <c r="C6" s="47"/>
      <c r="D6" s="16"/>
      <c r="E6" s="16"/>
      <c r="F6" s="16"/>
      <c r="G6" s="16"/>
      <c r="H6" s="16"/>
      <c r="I6" s="16"/>
      <c r="J6" s="16"/>
      <c r="K6" s="16"/>
      <c r="L6" s="16"/>
      <c r="M6" s="16"/>
      <c r="N6" s="16"/>
      <c r="O6" s="16"/>
      <c r="P6" s="16"/>
      <c r="Q6" s="538" t="s">
        <v>496</v>
      </c>
      <c r="R6" s="66"/>
      <c r="S6" s="66"/>
      <c r="T6" s="66"/>
      <c r="U6" s="16"/>
      <c r="V6" s="16"/>
      <c r="W6" s="16"/>
      <c r="X6" s="4"/>
      <c r="Y6" s="47"/>
      <c r="Z6" s="16"/>
      <c r="AA6" s="16"/>
      <c r="AB6" s="16"/>
      <c r="AC6" s="16"/>
      <c r="AD6" s="16"/>
      <c r="AE6" s="16"/>
      <c r="AF6" s="16"/>
      <c r="AG6" s="16"/>
      <c r="AH6" s="16"/>
      <c r="AI6" s="16"/>
      <c r="AJ6" s="16"/>
      <c r="AK6" s="16"/>
      <c r="AL6" s="16"/>
      <c r="AM6" s="538" t="s">
        <v>496</v>
      </c>
      <c r="AN6" s="66"/>
      <c r="AO6" s="66"/>
      <c r="AP6" s="66"/>
      <c r="AQ6" s="16"/>
      <c r="AR6" s="16"/>
      <c r="AS6" s="4"/>
      <c r="AT6" s="4"/>
      <c r="AU6" s="47"/>
      <c r="AV6" s="16"/>
      <c r="AW6" s="16"/>
      <c r="AX6" s="16"/>
      <c r="AY6" s="16"/>
      <c r="AZ6" s="16"/>
      <c r="BA6" s="16"/>
      <c r="BB6" s="16"/>
      <c r="BC6" s="16"/>
      <c r="BD6" s="16"/>
      <c r="BE6" s="16"/>
      <c r="BF6" s="16"/>
      <c r="BG6" s="16"/>
      <c r="BH6" s="16"/>
      <c r="BI6" s="538" t="s">
        <v>496</v>
      </c>
      <c r="BJ6" s="66"/>
      <c r="BK6" s="66"/>
      <c r="BL6" s="66"/>
      <c r="BM6" s="16"/>
      <c r="BN6" s="16"/>
    </row>
    <row r="7" ht="13.5" customHeight="1" spans="1:66" x14ac:dyDescent="0.25">
      <c r="A7" s="4"/>
      <c r="B7" s="4"/>
      <c r="C7" s="47"/>
      <c r="D7" s="84"/>
      <c r="E7" s="84"/>
      <c r="F7" s="84"/>
      <c r="G7" s="84" t="s">
        <v>497</v>
      </c>
      <c r="H7" s="84" t="s">
        <v>498</v>
      </c>
      <c r="I7" s="538" t="s">
        <v>499</v>
      </c>
      <c r="J7" s="66"/>
      <c r="K7" s="538" t="s">
        <v>397</v>
      </c>
      <c r="L7" s="66"/>
      <c r="M7" s="538" t="s">
        <v>113</v>
      </c>
      <c r="N7" s="66"/>
      <c r="O7" s="538" t="s">
        <v>500</v>
      </c>
      <c r="P7" s="66"/>
      <c r="Q7" s="538" t="s">
        <v>292</v>
      </c>
      <c r="R7" s="66"/>
      <c r="S7" s="538" t="s">
        <v>499</v>
      </c>
      <c r="T7" s="66"/>
      <c r="U7" s="538" t="s">
        <v>501</v>
      </c>
      <c r="V7" s="66"/>
      <c r="W7" s="16"/>
      <c r="X7" s="4"/>
      <c r="Y7" s="47"/>
      <c r="Z7" s="84"/>
      <c r="AA7" s="84"/>
      <c r="AB7" s="84"/>
      <c r="AC7" s="84" t="s">
        <v>497</v>
      </c>
      <c r="AD7" s="84" t="s">
        <v>498</v>
      </c>
      <c r="AE7" s="538" t="s">
        <v>499</v>
      </c>
      <c r="AF7" s="66"/>
      <c r="AG7" s="538" t="s">
        <v>397</v>
      </c>
      <c r="AH7" s="66"/>
      <c r="AI7" s="538" t="s">
        <v>113</v>
      </c>
      <c r="AJ7" s="66"/>
      <c r="AK7" s="538" t="s">
        <v>500</v>
      </c>
      <c r="AL7" s="66"/>
      <c r="AM7" s="538" t="s">
        <v>292</v>
      </c>
      <c r="AN7" s="66"/>
      <c r="AO7" s="538" t="s">
        <v>499</v>
      </c>
      <c r="AP7" s="66"/>
      <c r="AQ7" s="538" t="s">
        <v>501</v>
      </c>
      <c r="AR7" s="66"/>
      <c r="AS7" s="4"/>
      <c r="AT7" s="4"/>
      <c r="AU7" s="47"/>
      <c r="AV7" s="84"/>
      <c r="AW7" s="84"/>
      <c r="AX7" s="84"/>
      <c r="AY7" s="84" t="s">
        <v>497</v>
      </c>
      <c r="AZ7" s="84" t="s">
        <v>498</v>
      </c>
      <c r="BA7" s="538" t="s">
        <v>499</v>
      </c>
      <c r="BB7" s="66"/>
      <c r="BC7" s="538" t="s">
        <v>397</v>
      </c>
      <c r="BD7" s="66"/>
      <c r="BE7" s="538" t="s">
        <v>113</v>
      </c>
      <c r="BF7" s="66"/>
      <c r="BG7" s="538" t="s">
        <v>500</v>
      </c>
      <c r="BH7" s="66"/>
      <c r="BI7" s="538" t="s">
        <v>292</v>
      </c>
      <c r="BJ7" s="66"/>
      <c r="BK7" s="538" t="s">
        <v>499</v>
      </c>
      <c r="BL7" s="66"/>
      <c r="BM7" s="538" t="s">
        <v>501</v>
      </c>
      <c r="BN7" s="66"/>
    </row>
    <row r="8" ht="13.5" customHeight="1" spans="1:66" x14ac:dyDescent="0.25">
      <c r="A8" s="4"/>
      <c r="B8" s="4"/>
      <c r="C8" s="47"/>
      <c r="D8" s="139"/>
      <c r="E8" s="84"/>
      <c r="F8" s="538" t="s">
        <v>25</v>
      </c>
      <c r="G8" s="538" t="s">
        <v>502</v>
      </c>
      <c r="H8" s="538" t="s">
        <v>66</v>
      </c>
      <c r="I8" s="538" t="s">
        <v>503</v>
      </c>
      <c r="J8" s="539">
        <f ca="1">Next_FYE</f>
        <v>46387</v>
      </c>
      <c r="K8" s="538" t="s">
        <v>503</v>
      </c>
      <c r="L8" s="539">
        <f ca="1">Next_FYE</f>
        <v>46387</v>
      </c>
      <c r="M8" s="538" t="s">
        <v>503</v>
      </c>
      <c r="N8" s="539">
        <f ca="1">Next_FYE</f>
        <v>46387</v>
      </c>
      <c r="O8" s="538" t="s">
        <v>503</v>
      </c>
      <c r="P8" s="539">
        <f ca="1">Next_FYE</f>
        <v>46387</v>
      </c>
      <c r="Q8" s="538" t="s">
        <v>503</v>
      </c>
      <c r="R8" s="539">
        <f ca="1">Next_FYE</f>
        <v>46387</v>
      </c>
      <c r="S8" s="538" t="s">
        <v>503</v>
      </c>
      <c r="T8" s="539">
        <f ca="1">Next_FYE</f>
        <v>46387</v>
      </c>
      <c r="U8" s="538" t="s">
        <v>503</v>
      </c>
      <c r="V8" s="539">
        <f ca="1">Next_FYE</f>
        <v>46387</v>
      </c>
      <c r="W8" s="16"/>
      <c r="X8" s="4"/>
      <c r="Y8" s="47"/>
      <c r="Z8" s="139"/>
      <c r="AA8" s="84"/>
      <c r="AB8" s="538" t="s">
        <v>25</v>
      </c>
      <c r="AC8" s="538" t="s">
        <v>502</v>
      </c>
      <c r="AD8" s="538" t="s">
        <v>66</v>
      </c>
      <c r="AE8" s="538" t="s">
        <v>503</v>
      </c>
      <c r="AF8" s="539">
        <f ca="1">Next_FYE</f>
        <v>46387</v>
      </c>
      <c r="AG8" s="538" t="str">
        <f ca="1">$I$8</f>
        <v>LTM</v>
      </c>
      <c r="AH8" s="539">
        <f ca="1">$J$8</f>
        <v>46387</v>
      </c>
      <c r="AI8" s="538" t="str">
        <f ca="1">$I$8</f>
        <v>LTM</v>
      </c>
      <c r="AJ8" s="539">
        <f ca="1">$J$8</f>
        <v>46387</v>
      </c>
      <c r="AK8" s="538" t="str">
        <f ca="1">$I$8</f>
        <v>LTM</v>
      </c>
      <c r="AL8" s="539">
        <f ca="1">$J$8</f>
        <v>46387</v>
      </c>
      <c r="AM8" s="538" t="str">
        <f ca="1">$I$8</f>
        <v>LTM</v>
      </c>
      <c r="AN8" s="539">
        <f ca="1">$J$8</f>
        <v>46387</v>
      </c>
      <c r="AO8" s="538" t="str">
        <f ca="1">$I$8</f>
        <v>LTM</v>
      </c>
      <c r="AP8" s="539">
        <f ca="1">$J$8</f>
        <v>46387</v>
      </c>
      <c r="AQ8" s="538" t="str">
        <f ca="1">$I$8</f>
        <v>LTM</v>
      </c>
      <c r="AR8" s="539">
        <f ca="1">$J$8</f>
        <v>46387</v>
      </c>
      <c r="AS8" s="4"/>
      <c r="AT8" s="4"/>
      <c r="AU8" s="47"/>
      <c r="AV8" s="139"/>
      <c r="AW8" s="84"/>
      <c r="AX8" s="538" t="s">
        <v>25</v>
      </c>
      <c r="AY8" s="538" t="s">
        <v>502</v>
      </c>
      <c r="AZ8" s="538" t="s">
        <v>66</v>
      </c>
      <c r="BA8" s="538" t="s">
        <v>503</v>
      </c>
      <c r="BB8" s="539">
        <f ca="1">Next_FYE</f>
        <v>46387</v>
      </c>
      <c r="BC8" s="538" t="str">
        <f ca="1">$I$8</f>
        <v>LTM</v>
      </c>
      <c r="BD8" s="539">
        <f ca="1">$J$8</f>
        <v>46387</v>
      </c>
      <c r="BE8" s="538" t="str">
        <f ca="1">$I$8</f>
        <v>LTM</v>
      </c>
      <c r="BF8" s="539">
        <f ca="1">$J$8</f>
        <v>46387</v>
      </c>
      <c r="BG8" s="538" t="str">
        <f ca="1">$I$8</f>
        <v>LTM</v>
      </c>
      <c r="BH8" s="539">
        <f ca="1">$J$8</f>
        <v>46387</v>
      </c>
      <c r="BI8" s="538" t="str">
        <f ca="1">$I$8</f>
        <v>LTM</v>
      </c>
      <c r="BJ8" s="539">
        <f ca="1">$J$8</f>
        <v>46387</v>
      </c>
      <c r="BK8" s="538" t="str">
        <f ca="1">$I$8</f>
        <v>LTM</v>
      </c>
      <c r="BL8" s="539">
        <f ca="1">$J$8</f>
        <v>46387</v>
      </c>
      <c r="BM8" s="538" t="str">
        <f ca="1">$I$8</f>
        <v>LTM</v>
      </c>
      <c r="BN8" s="539">
        <f ca="1">$J$8</f>
        <v>46387</v>
      </c>
    </row>
    <row r="9" ht="4.5" customHeight="1" spans="1:66" x14ac:dyDescent="0.25">
      <c r="A9" s="4"/>
      <c r="B9" s="4"/>
      <c r="C9" s="47"/>
      <c r="D9" s="84"/>
      <c r="E9" s="84"/>
      <c r="F9" s="84"/>
      <c r="G9" s="84"/>
      <c r="H9" s="84"/>
      <c r="I9" s="540"/>
      <c r="J9" s="84"/>
      <c r="K9" s="84"/>
      <c r="L9" s="84"/>
      <c r="M9" s="84"/>
      <c r="N9" s="84"/>
      <c r="O9" s="84"/>
      <c r="P9" s="84"/>
      <c r="Q9" s="84"/>
      <c r="R9" s="84"/>
      <c r="S9" s="84"/>
      <c r="T9" s="84"/>
      <c r="U9" s="84"/>
      <c r="V9" s="84"/>
      <c r="W9" s="16"/>
      <c r="X9" s="4"/>
      <c r="Y9" s="47"/>
      <c r="Z9" s="84"/>
      <c r="AA9" s="84"/>
      <c r="AB9" s="84"/>
      <c r="AC9" s="84"/>
      <c r="AD9" s="84"/>
      <c r="AE9" s="540"/>
      <c r="AF9" s="84"/>
      <c r="AG9" s="84"/>
      <c r="AH9" s="84"/>
      <c r="AI9" s="84"/>
      <c r="AJ9" s="84"/>
      <c r="AK9" s="84"/>
      <c r="AL9" s="84"/>
      <c r="AM9" s="84"/>
      <c r="AN9" s="84"/>
      <c r="AO9" s="84"/>
      <c r="AP9" s="84"/>
      <c r="AQ9" s="84"/>
      <c r="AR9" s="84"/>
      <c r="AS9" s="4"/>
      <c r="AT9" s="4"/>
      <c r="AU9" s="47"/>
      <c r="AV9" s="84"/>
      <c r="AW9" s="84"/>
      <c r="AX9" s="84"/>
      <c r="AY9" s="84"/>
      <c r="AZ9" s="84"/>
      <c r="BA9" s="540"/>
      <c r="BB9" s="84"/>
      <c r="BC9" s="84"/>
      <c r="BD9" s="84"/>
      <c r="BE9" s="84"/>
      <c r="BF9" s="84"/>
      <c r="BG9" s="84"/>
      <c r="BH9" s="84"/>
      <c r="BI9" s="84"/>
      <c r="BJ9" s="84"/>
      <c r="BK9" s="84"/>
      <c r="BL9" s="84"/>
      <c r="BM9" s="84"/>
      <c r="BN9" s="84"/>
    </row>
    <row r="10" ht="13.5" customHeight="1" spans="1:66" x14ac:dyDescent="0.25">
      <c r="A10" s="4"/>
      <c r="B10" s="4"/>
      <c r="C10" s="47"/>
      <c r="D10" s="18">
        <f ca="1">D51</f>
        <v>1e-12</v>
      </c>
      <c r="E10" s="19"/>
      <c r="F10" s="63" t="s">
        <v>504</v>
      </c>
      <c r="G10" s="541">
        <v>142571.89087</v>
      </c>
      <c r="H10" s="541">
        <v>165028.89087</v>
      </c>
      <c r="I10" s="542">
        <v>0.176895</v>
      </c>
      <c r="J10" s="542">
        <v>0.03688944339654232</v>
      </c>
      <c r="K10" s="542">
        <v>0.275987</v>
      </c>
      <c r="L10" s="542">
        <v>0.46253161290322575</v>
      </c>
      <c r="M10" s="542">
        <v>0.14957700000000002</v>
      </c>
      <c r="N10" s="542">
        <v>0.14175874882069214</v>
      </c>
      <c r="O10" s="542">
        <v>0.07409099999999999</v>
      </c>
      <c r="P10" s="542">
        <v>0.08599256295671137</v>
      </c>
      <c r="Q10" s="543">
        <v>10.87254</v>
      </c>
      <c r="R10" s="543">
        <v>12.5309555137087</v>
      </c>
      <c r="S10" s="543">
        <v>1.73035</v>
      </c>
      <c r="T10" s="543">
        <v>1.7763725751510986</v>
      </c>
      <c r="U10" s="543">
        <v>21.30913</v>
      </c>
      <c r="V10" s="544">
        <v>17.846255042276262</v>
      </c>
      <c r="W10" s="16"/>
      <c r="X10" s="4"/>
      <c r="Y10" s="47"/>
      <c r="Z10" s="18" t="str">
        <f ca="1">Z51</f>
        <v>Lowe's Companies, Inc.</v>
      </c>
      <c r="AA10" s="19"/>
      <c r="AB10" s="63" t="s">
        <v>504</v>
      </c>
      <c r="AC10" s="541">
        <v>6040.93556</v>
      </c>
      <c r="AD10" s="541">
        <v>5561.83856</v>
      </c>
      <c r="AE10" s="545">
        <v>0.19067</v>
      </c>
      <c r="AF10" s="545">
        <v>0.03437821578405753</v>
      </c>
      <c r="AG10" s="545">
        <v>0.124316</v>
      </c>
      <c r="AH10" s="545">
        <v>-0.13980789754535738</v>
      </c>
      <c r="AI10" s="545">
        <v>0.28053100000000003</v>
      </c>
      <c r="AJ10" s="545">
        <v>0.29106114754641993</v>
      </c>
      <c r="AK10" s="545">
        <v>0.152468</v>
      </c>
      <c r="AL10" s="545">
        <v>0.20242258666034044</v>
      </c>
      <c r="AM10" s="543">
        <v>0</v>
      </c>
      <c r="AN10" s="543">
        <v>24.372328847561164</v>
      </c>
      <c r="AO10" s="543">
        <v>0</v>
      </c>
      <c r="AP10" s="543">
        <v>7.093838002749867</v>
      </c>
      <c r="AQ10" s="543">
        <v>0</v>
      </c>
      <c r="AR10" s="544">
        <v>38.06344748498806</v>
      </c>
      <c r="AS10" s="4"/>
      <c r="AT10" s="4"/>
      <c r="AU10" s="47"/>
      <c r="AV10" s="18" t="str">
        <f ca="1">Company_Name</f>
        <v>Lowe's Companies, Inc.</v>
      </c>
      <c r="AW10" s="19"/>
      <c r="AX10" s="63" t="s">
        <v>504</v>
      </c>
      <c r="AY10" s="541">
        <v>6040.93556</v>
      </c>
      <c r="AZ10" s="541">
        <v>5561.83856</v>
      </c>
      <c r="BA10" s="545">
        <v>0.19067</v>
      </c>
      <c r="BB10" s="545">
        <v>0.03437821578405753</v>
      </c>
      <c r="BC10" s="545">
        <v>0.124316</v>
      </c>
      <c r="BD10" s="545">
        <v>-0.13980789754535738</v>
      </c>
      <c r="BE10" s="545">
        <v>0.28053100000000003</v>
      </c>
      <c r="BF10" s="545">
        <v>0.29106114754641993</v>
      </c>
      <c r="BG10" s="545">
        <v>0.152468</v>
      </c>
      <c r="BH10" s="545">
        <v>0.20242258666034044</v>
      </c>
      <c r="BI10" s="543">
        <v>0</v>
      </c>
      <c r="BJ10" s="543">
        <v>24.372328847561164</v>
      </c>
      <c r="BK10" s="543">
        <v>0</v>
      </c>
      <c r="BL10" s="543">
        <v>7.093838002749867</v>
      </c>
      <c r="BM10" s="543">
        <v>0</v>
      </c>
      <c r="BN10" s="544">
        <v>38.06344748498806</v>
      </c>
    </row>
    <row r="11" ht="13.5" customHeight="1" spans="1:66" x14ac:dyDescent="0.25">
      <c r="A11" s="4"/>
      <c r="B11" s="4"/>
      <c r="C11" s="47"/>
      <c r="D11" s="16"/>
      <c r="E11" s="16"/>
      <c r="F11" s="84"/>
      <c r="G11" s="546"/>
      <c r="H11" s="84"/>
      <c r="I11" s="547"/>
      <c r="J11" s="547"/>
      <c r="K11" s="547"/>
      <c r="L11" s="547"/>
      <c r="M11" s="547"/>
      <c r="N11" s="547"/>
      <c r="O11" s="547"/>
      <c r="P11" s="547"/>
      <c r="Q11" s="548"/>
      <c r="R11" s="548"/>
      <c r="S11" s="548"/>
      <c r="T11" s="84"/>
      <c r="U11" s="84"/>
      <c r="V11" s="84"/>
      <c r="W11" s="16"/>
      <c r="X11" s="4"/>
      <c r="Y11" s="47"/>
      <c r="Z11" s="16"/>
      <c r="AA11" s="16"/>
      <c r="AB11" s="84"/>
      <c r="AC11" s="546"/>
      <c r="AD11" s="84"/>
      <c r="AE11" s="547"/>
      <c r="AF11" s="547"/>
      <c r="AG11" s="547"/>
      <c r="AH11" s="547"/>
      <c r="AI11" s="547"/>
      <c r="AJ11" s="547"/>
      <c r="AK11" s="547"/>
      <c r="AL11" s="547"/>
      <c r="AM11" s="548"/>
      <c r="AN11" s="548"/>
      <c r="AO11" s="548"/>
      <c r="AP11" s="84"/>
      <c r="AQ11" s="84"/>
      <c r="AR11" s="84"/>
      <c r="AS11" s="4"/>
      <c r="AT11" s="4"/>
      <c r="AU11" s="47"/>
      <c r="AV11" s="16"/>
      <c r="AW11" s="16"/>
      <c r="AX11" s="84"/>
      <c r="AY11" s="546"/>
      <c r="AZ11" s="84"/>
      <c r="BA11" s="547"/>
      <c r="BB11" s="547"/>
      <c r="BC11" s="547"/>
      <c r="BD11" s="547"/>
      <c r="BE11" s="547"/>
      <c r="BF11" s="547"/>
      <c r="BG11" s="547"/>
      <c r="BH11" s="547"/>
      <c r="BI11" s="548"/>
      <c r="BJ11" s="548"/>
      <c r="BK11" s="548"/>
      <c r="BL11" s="84"/>
      <c r="BM11" s="84"/>
      <c r="BN11" s="84"/>
    </row>
    <row r="12" ht="13.5" customHeight="1" spans="1:66" x14ac:dyDescent="0.25">
      <c r="A12" s="4"/>
      <c r="B12" s="4"/>
      <c r="C12" s="47"/>
      <c r="D12" s="16">
        <f ca="1">D53</f>
        <v>1e-12</v>
      </c>
      <c r="E12" s="16"/>
      <c r="F12" s="84" t="s">
        <v>505</v>
      </c>
      <c r="G12" s="549">
        <v>2456382.6676</v>
      </c>
      <c r="H12" s="549">
        <v>2398229.6676</v>
      </c>
      <c r="I12" s="550">
        <v>0.26765</v>
      </c>
      <c r="J12" s="550">
        <v>0.33343252776715304</v>
      </c>
      <c r="K12" s="550">
        <v>0.550936</v>
      </c>
      <c r="L12" s="550">
        <v>0.701201219512195</v>
      </c>
      <c r="M12" s="550">
        <v>0.319554</v>
      </c>
      <c r="N12" s="550">
        <v>0.3266193832484869</v>
      </c>
      <c r="O12" s="550">
        <v>0.250038</v>
      </c>
      <c r="P12" s="550">
        <v>0.25628430467220764</v>
      </c>
      <c r="Q12" s="551">
        <v>20.63488</v>
      </c>
      <c r="R12" s="551">
        <v>20.05911146113163</v>
      </c>
      <c r="S12" s="551">
        <v>6.59397</v>
      </c>
      <c r="T12" s="551">
        <v>6.551694613947467</v>
      </c>
      <c r="U12" s="551">
        <v>27.79788</v>
      </c>
      <c r="V12" s="551">
        <v>26.184054070992126</v>
      </c>
      <c r="W12" s="16"/>
      <c r="X12" s="4"/>
      <c r="Y12" s="47"/>
      <c r="Z12" s="16">
        <f ca="1">Z72</f>
        <v>1e-12</v>
      </c>
      <c r="AA12" s="16"/>
      <c r="AB12" s="84" t="s">
        <v>506</v>
      </c>
      <c r="AC12" s="549">
        <v>128030.64897</v>
      </c>
      <c r="AD12" s="549">
        <v>154660.64897</v>
      </c>
      <c r="AE12" s="547">
        <v>0.284792</v>
      </c>
      <c r="AF12" s="547">
        <v>0.15215755721278734</v>
      </c>
      <c r="AG12" s="547">
        <v>0.43208399999999997</v>
      </c>
      <c r="AH12" s="547">
        <v>-2.5665133721199402</v>
      </c>
      <c r="AI12" s="547">
        <v>0.147101</v>
      </c>
      <c r="AJ12" s="547">
        <v>0.1576670695812238</v>
      </c>
      <c r="AK12" s="547">
        <v>0.035057</v>
      </c>
      <c r="AL12" s="547">
        <v>0.09387145385672055</v>
      </c>
      <c r="AM12" s="551">
        <v>16.46107</v>
      </c>
      <c r="AN12" s="551">
        <v>15.045626948605292</v>
      </c>
      <c r="AO12" s="551">
        <v>2.57577</v>
      </c>
      <c r="AP12" s="551">
        <v>2.372199910998887</v>
      </c>
      <c r="AQ12" s="551">
        <v>63.46893</v>
      </c>
      <c r="AR12" s="551">
        <v>20.919526956583937</v>
      </c>
      <c r="AS12" s="4"/>
      <c r="AT12" s="4"/>
      <c r="AU12" s="47"/>
      <c r="AV12" s="16">
        <f ca="1">AV53</f>
        <v>1e-12</v>
      </c>
      <c r="AW12" s="16"/>
      <c r="AX12" s="84" t="s">
        <v>507</v>
      </c>
      <c r="AY12" s="549">
        <v>112863.39125</v>
      </c>
      <c r="AZ12" s="549">
        <v>126547.39125</v>
      </c>
      <c r="BA12" s="547">
        <v>0.107836</v>
      </c>
      <c r="BB12" s="547">
        <v>0.0940741775416356</v>
      </c>
      <c r="BC12" s="547">
        <v>0.139568</v>
      </c>
      <c r="BD12" s="547">
        <v>0.07120432432432433</v>
      </c>
      <c r="BE12" s="547">
        <v>0.290032</v>
      </c>
      <c r="BF12" s="547">
        <v>0.26891896707285307</v>
      </c>
      <c r="BG12" s="547">
        <v>0.17038</v>
      </c>
      <c r="BH12" s="547">
        <v>0.1651012198285608</v>
      </c>
      <c r="BI12" s="551">
        <v>11.08706</v>
      </c>
      <c r="BJ12" s="551">
        <v>13.364261803244904</v>
      </c>
      <c r="BK12" s="551">
        <v>3.36595</v>
      </c>
      <c r="BL12" s="551">
        <v>3.5939034798198044</v>
      </c>
      <c r="BM12" s="551">
        <v>17.64282</v>
      </c>
      <c r="BN12" s="551">
        <v>19.41404473831319</v>
      </c>
    </row>
    <row r="13" ht="13.5" customHeight="1" spans="1:66" x14ac:dyDescent="0.25">
      <c r="A13" s="4"/>
      <c r="B13" s="4"/>
      <c r="C13" s="47"/>
      <c r="D13" s="16">
        <f ca="1">D54</f>
        <v>1e-12</v>
      </c>
      <c r="E13" s="16"/>
      <c r="F13" s="84" t="s">
        <v>508</v>
      </c>
      <c r="G13" s="549">
        <v>1050609.60441</v>
      </c>
      <c r="H13" s="549">
        <v>999092.60441</v>
      </c>
      <c r="I13" s="550">
        <v>0.394281</v>
      </c>
      <c r="J13" s="550">
        <v>0.38907489955214336</v>
      </c>
      <c r="K13" s="550">
        <v>0.646724</v>
      </c>
      <c r="L13" s="550">
        <v>0.398812685827552</v>
      </c>
      <c r="M13" s="550">
        <v>0.496984</v>
      </c>
      <c r="N13" s="550">
        <v>0.5518203814847791</v>
      </c>
      <c r="O13" s="550">
        <v>0.37176200000000004</v>
      </c>
      <c r="P13" s="550">
        <v>0.33887733067462483</v>
      </c>
      <c r="Q13" s="551">
        <v>16.5281</v>
      </c>
      <c r="R13" s="551">
        <v>15.162146056101314</v>
      </c>
      <c r="S13" s="551">
        <v>8.48518</v>
      </c>
      <c r="T13" s="551">
        <v>8.366781220805764</v>
      </c>
      <c r="U13" s="551">
        <v>24.7761</v>
      </c>
      <c r="V13" s="551">
        <v>25.96279940802037</v>
      </c>
      <c r="W13" s="16"/>
      <c r="X13" s="4"/>
      <c r="Y13" s="47"/>
      <c r="Z13" s="16">
        <f ca="1">Z73</f>
        <v>1e-12</v>
      </c>
      <c r="AA13" s="16"/>
      <c r="AB13" s="84" t="s">
        <v>509</v>
      </c>
      <c r="AC13" s="549">
        <v>129979.18471</v>
      </c>
      <c r="AD13" s="549">
        <v>172393.18471</v>
      </c>
      <c r="AE13" s="547">
        <v>-0.07428799999999999</v>
      </c>
      <c r="AF13" s="547">
        <v>0.2682719844217478</v>
      </c>
      <c r="AG13" s="547">
        <v>0.43208399999999997</v>
      </c>
      <c r="AH13" s="547">
        <v>-0.977609674329502</v>
      </c>
      <c r="AI13" s="547">
        <v>-0.029095</v>
      </c>
      <c r="AJ13" s="547">
        <v>0.07583617298307273</v>
      </c>
      <c r="AK13" s="547">
        <v>-0.14303000000000002</v>
      </c>
      <c r="AL13" s="547">
        <v>-0.005421097632900035</v>
      </c>
      <c r="AM13" s="551" t="s">
        <v>510</v>
      </c>
      <c r="AN13" s="551">
        <v>30.819232691225288</v>
      </c>
      <c r="AO13" s="551">
        <v>2.82676</v>
      </c>
      <c r="AP13" s="551">
        <v>2.3372126615773308</v>
      </c>
      <c r="AQ13" s="551" t="s">
        <v>510</v>
      </c>
      <c r="AR13" s="551" t="s">
        <v>510</v>
      </c>
      <c r="AS13" s="4"/>
      <c r="AT13" s="4"/>
      <c r="AU13" s="47"/>
      <c r="AV13" s="16">
        <f ca="1">AV54</f>
        <v>1e-12</v>
      </c>
      <c r="AW13" s="16"/>
      <c r="AX13" s="84" t="s">
        <v>511</v>
      </c>
      <c r="AY13" s="549">
        <v>116444.01873</v>
      </c>
      <c r="AZ13" s="549">
        <v>165361.01873</v>
      </c>
      <c r="BA13" s="547">
        <v>-0.083477</v>
      </c>
      <c r="BB13" s="547">
        <v>-0.036353036963538865</v>
      </c>
      <c r="BC13" s="547">
        <v>0.139568</v>
      </c>
      <c r="BD13" s="547">
        <v>-0.5777118713986096</v>
      </c>
      <c r="BE13" s="547">
        <v>0.08612500000000001</v>
      </c>
      <c r="BF13" s="547">
        <v>0.10098877292986558</v>
      </c>
      <c r="BG13" s="547">
        <v>-0.03102</v>
      </c>
      <c r="BH13" s="547">
        <v>0.027997383350577984</v>
      </c>
      <c r="BI13" s="551">
        <v>20.84823</v>
      </c>
      <c r="BJ13" s="551">
        <v>21.34152100121854</v>
      </c>
      <c r="BK13" s="551">
        <v>2.07603</v>
      </c>
      <c r="BL13" s="551">
        <v>2.1552540183700164</v>
      </c>
      <c r="BM13" s="551" t="s">
        <v>510</v>
      </c>
      <c r="BN13" s="551">
        <v>54.20820989547334</v>
      </c>
    </row>
    <row r="14" ht="13.5" customHeight="1" spans="1:66" x14ac:dyDescent="0.25">
      <c r="A14" s="4"/>
      <c r="B14" s="4"/>
      <c r="C14" s="47"/>
      <c r="D14" s="16">
        <f ca="1">D55</f>
        <v>1e-12</v>
      </c>
      <c r="E14" s="16"/>
      <c r="F14" s="84" t="s">
        <v>512</v>
      </c>
      <c r="G14" s="549">
        <v>2252363.20485</v>
      </c>
      <c r="H14" s="549">
        <v>2204385.20485</v>
      </c>
      <c r="I14" s="550">
        <v>0.175317</v>
      </c>
      <c r="J14" s="550">
        <v>0.14070950406929716</v>
      </c>
      <c r="K14" s="550">
        <v>0.397569</v>
      </c>
      <c r="L14" s="550">
        <v>0.09440869565217391</v>
      </c>
      <c r="M14" s="550">
        <v>0.48079500000000003</v>
      </c>
      <c r="N14" s="550">
        <v>0.48630889390678655</v>
      </c>
      <c r="O14" s="550">
        <v>0.36451700000000004</v>
      </c>
      <c r="P14" s="550">
        <v>0.3457313702483525</v>
      </c>
      <c r="Q14" s="551">
        <v>25.97822</v>
      </c>
      <c r="R14" s="551">
        <v>23.640872758162192</v>
      </c>
      <c r="S14" s="551">
        <v>12.81895</v>
      </c>
      <c r="T14" s="551">
        <v>11.49676668201294</v>
      </c>
      <c r="U14" s="551">
        <v>36.41118</v>
      </c>
      <c r="V14" s="551">
        <v>33.97722192479532</v>
      </c>
      <c r="W14" s="16"/>
      <c r="X14" s="4"/>
      <c r="Y14" s="47"/>
      <c r="Z14" s="16">
        <f ca="1">Z74</f>
        <v>1e-12</v>
      </c>
      <c r="AA14" s="16"/>
      <c r="AB14" s="84" t="s">
        <v>513</v>
      </c>
      <c r="AC14" s="549">
        <v>8308.71977</v>
      </c>
      <c r="AD14" s="549">
        <v>9819.71977</v>
      </c>
      <c r="AE14" s="547">
        <v>0.07386999999999999</v>
      </c>
      <c r="AF14" s="547">
        <v>0.055577780151693235</v>
      </c>
      <c r="AG14" s="547">
        <v>0.43208399999999997</v>
      </c>
      <c r="AH14" s="547">
        <v>-0.23063185530921815</v>
      </c>
      <c r="AI14" s="547">
        <v>0.12192</v>
      </c>
      <c r="AJ14" s="547">
        <v>0.084324001841222</v>
      </c>
      <c r="AK14" s="547">
        <v>0.078079</v>
      </c>
      <c r="AL14" s="547">
        <v>0</v>
      </c>
      <c r="AM14" s="551">
        <v>7.41228</v>
      </c>
      <c r="AN14" s="551">
        <v>11.785157752018538</v>
      </c>
      <c r="AO14" s="551">
        <v>0.98224</v>
      </c>
      <c r="AP14" s="551">
        <v>0.993771663980303</v>
      </c>
      <c r="AQ14" s="551">
        <v>10.64393</v>
      </c>
      <c r="AR14" s="551">
        <v>20.919526956583937</v>
      </c>
      <c r="AS14" s="4"/>
      <c r="AT14" s="4"/>
      <c r="AU14" s="47"/>
      <c r="AV14" s="16">
        <f ca="1">AV55</f>
        <v>1e-12</v>
      </c>
      <c r="AW14" s="16"/>
      <c r="AX14" s="84" t="s">
        <v>514</v>
      </c>
      <c r="AY14" s="549">
        <v>159578.88611</v>
      </c>
      <c r="AZ14" s="549">
        <v>169888.88611</v>
      </c>
      <c r="BA14" s="547">
        <v>-0.016309</v>
      </c>
      <c r="BB14" s="547">
        <v>0.0742312688053437</v>
      </c>
      <c r="BC14" s="547">
        <v>-0.135737</v>
      </c>
      <c r="BD14" s="547">
        <v>0.2010282738095237</v>
      </c>
      <c r="BE14" s="547">
        <v>0.24559</v>
      </c>
      <c r="BF14" s="547">
        <v>0.2505048482191309</v>
      </c>
      <c r="BG14" s="547">
        <v>0.14647</v>
      </c>
      <c r="BH14" s="547">
        <v>0.16202131881505455</v>
      </c>
      <c r="BI14" s="551">
        <v>18.49203</v>
      </c>
      <c r="BJ14" s="551">
        <v>19.343756300866573</v>
      </c>
      <c r="BK14" s="551">
        <v>4.71245</v>
      </c>
      <c r="BL14" s="551">
        <v>4.845704736136438</v>
      </c>
      <c r="BM14" s="551">
        <v>30.83166</v>
      </c>
      <c r="BN14" s="551">
        <v>28.092814093008723</v>
      </c>
    </row>
    <row r="15" ht="13.5" customHeight="1" spans="1:66" x14ac:dyDescent="0.25">
      <c r="A15" s="4"/>
      <c r="B15" s="4"/>
      <c r="C15" s="47"/>
      <c r="D15" s="16">
        <f ca="1">D56</f>
        <v>1e-12</v>
      </c>
      <c r="E15" s="16"/>
      <c r="F15" s="84" t="s">
        <v>515</v>
      </c>
      <c r="G15" s="549">
        <v>115291.54504</v>
      </c>
      <c r="H15" s="549">
        <v>114730.73004</v>
      </c>
      <c r="I15" s="550">
        <v>0.737091</v>
      </c>
      <c r="J15" s="550">
        <v>0.6779071109930239</v>
      </c>
      <c r="K15" s="550">
        <v>0.397569</v>
      </c>
      <c r="L15" s="550">
        <v>-1.5530767571565032</v>
      </c>
      <c r="M15" s="550">
        <v>-0.195959</v>
      </c>
      <c r="N15" s="550">
        <v>0.1287054648578779</v>
      </c>
      <c r="O15" s="550">
        <v>-0.22488600000000003</v>
      </c>
      <c r="P15" s="550">
        <v>0.12785256005977091</v>
      </c>
      <c r="Q15" s="551" t="s">
        <v>510</v>
      </c>
      <c r="R15" s="551">
        <v>211.94604401245059</v>
      </c>
      <c r="S15" s="551">
        <v>34.64642</v>
      </c>
      <c r="T15" s="551">
        <v>27.278614119410697</v>
      </c>
      <c r="U15" s="551" t="s">
        <v>510</v>
      </c>
      <c r="V15" s="551">
        <v>214.40286086833686</v>
      </c>
      <c r="W15" s="16"/>
      <c r="X15" s="4"/>
      <c r="Y15" s="47"/>
      <c r="Z15" s="16">
        <f ca="1">Z75</f>
        <v>1e-12</v>
      </c>
      <c r="AA15" s="16"/>
      <c r="AB15" s="84" t="s">
        <v>516</v>
      </c>
      <c r="AC15" s="549">
        <v>100241.00058</v>
      </c>
      <c r="AD15" s="549">
        <v>109675.00058</v>
      </c>
      <c r="AE15" s="547">
        <v>0.061888</v>
      </c>
      <c r="AF15" s="547">
        <v>0.04491292042570105</v>
      </c>
      <c r="AG15" s="547">
        <v>0.126793</v>
      </c>
      <c r="AH15" s="547">
        <v>0.10296855591228082</v>
      </c>
      <c r="AI15" s="547">
        <v>0.153081</v>
      </c>
      <c r="AJ15" s="547">
        <v>0.15369527678916067</v>
      </c>
      <c r="AK15" s="547">
        <v>0.10689299999999999</v>
      </c>
      <c r="AL15" s="547">
        <v>0.10917443855909938</v>
      </c>
      <c r="AM15" s="551">
        <v>10.01997</v>
      </c>
      <c r="AN15" s="551">
        <v>10.442453685118846</v>
      </c>
      <c r="AO15" s="551">
        <v>1.59176</v>
      </c>
      <c r="AP15" s="551">
        <v>1.6049558094923317</v>
      </c>
      <c r="AQ15" s="551">
        <v>13.61295</v>
      </c>
      <c r="AR15" s="551">
        <v>13.436305184315913</v>
      </c>
      <c r="AS15" s="4"/>
      <c r="AT15" s="4"/>
      <c r="AU15" s="47"/>
      <c r="AV15" s="16">
        <f ca="1">AV56</f>
        <v>1e-12</v>
      </c>
      <c r="AW15" s="16"/>
      <c r="AX15" s="84" t="s">
        <v>517</v>
      </c>
      <c r="AY15" s="549">
        <v>50450.58055</v>
      </c>
      <c r="AZ15" s="549">
        <v>58814.68055</v>
      </c>
      <c r="BA15" s="547">
        <v>0.107789</v>
      </c>
      <c r="BB15" s="547">
        <v>0.16134879412350056</v>
      </c>
      <c r="BC15" s="547">
        <v>-0.342387</v>
      </c>
      <c r="BD15" s="547">
        <v>0.6838775055679285</v>
      </c>
      <c r="BE15" s="547">
        <v>0.362131</v>
      </c>
      <c r="BF15" s="547">
        <v>0.36653876959791054</v>
      </c>
      <c r="BG15" s="547">
        <v>0.17795100000000003</v>
      </c>
      <c r="BH15" s="547">
        <v>0.25151357300210986</v>
      </c>
      <c r="BI15" s="551">
        <v>25.12855</v>
      </c>
      <c r="BJ15" s="551">
        <v>24.998032555108455</v>
      </c>
      <c r="BK15" s="551">
        <v>9.38733</v>
      </c>
      <c r="BL15" s="551">
        <v>9.162748095117964</v>
      </c>
      <c r="BM15" s="551">
        <v>45.20111</v>
      </c>
      <c r="BN15" s="551">
        <v>31.249620371034457</v>
      </c>
    </row>
    <row r="16" ht="13.5" customHeight="1" spans="1:66" x14ac:dyDescent="0.25">
      <c r="A16" s="4"/>
      <c r="B16" s="4"/>
      <c r="C16" s="47"/>
      <c r="D16" s="16">
        <f ca="1">D57</f>
        <v>1e-12</v>
      </c>
      <c r="E16" s="16"/>
      <c r="F16" s="84" t="s">
        <v>518</v>
      </c>
      <c r="G16" s="549">
        <v>1923806.90552</v>
      </c>
      <c r="H16" s="549">
        <v>1815453.90552</v>
      </c>
      <c r="I16" s="550">
        <v>0.32665700000000003</v>
      </c>
      <c r="J16" s="550">
        <v>0.3749085653629325</v>
      </c>
      <c r="K16" s="550">
        <v>1.026417</v>
      </c>
      <c r="L16" s="550">
        <v>0.7232146680627087</v>
      </c>
      <c r="M16" s="550">
        <v>0.343009</v>
      </c>
      <c r="N16" s="550">
        <v>0.39992131886985705</v>
      </c>
      <c r="O16" s="550">
        <v>0.285696</v>
      </c>
      <c r="P16" s="550">
        <v>0.26983657316281323</v>
      </c>
      <c r="Q16" s="551">
        <v>21.93236</v>
      </c>
      <c r="R16" s="551">
        <v>18.08879918015611</v>
      </c>
      <c r="S16" s="551">
        <v>7.83029</v>
      </c>
      <c r="T16" s="551">
        <v>7.23409642490002</v>
      </c>
      <c r="U16" s="551">
        <v>29.84489</v>
      </c>
      <c r="V16" s="551">
        <v>28.409247682379515</v>
      </c>
      <c r="W16" s="16"/>
      <c r="X16" s="4"/>
      <c r="Y16" s="47"/>
      <c r="Z16" s="16">
        <f ca="1">Z76</f>
        <v>1e-12</v>
      </c>
      <c r="AA16" s="16"/>
      <c r="AB16" s="84" t="s">
        <v>519</v>
      </c>
      <c r="AC16" s="549">
        <v>58414.20514</v>
      </c>
      <c r="AD16" s="549">
        <v>68211.20514</v>
      </c>
      <c r="AE16" s="547">
        <v>0.083659</v>
      </c>
      <c r="AF16" s="547">
        <v>-0.014799398896709226</v>
      </c>
      <c r="AG16" s="547">
        <v>0.940674</v>
      </c>
      <c r="AH16" s="547">
        <v>0.3097719390436151</v>
      </c>
      <c r="AI16" s="547">
        <v>0.148179</v>
      </c>
      <c r="AJ16" s="547">
        <v>0.16978995137012473</v>
      </c>
      <c r="AK16" s="547">
        <v>0.120947</v>
      </c>
      <c r="AL16" s="547">
        <v>0.1101035929189027</v>
      </c>
      <c r="AM16" s="551">
        <v>11.64045</v>
      </c>
      <c r="AN16" s="551">
        <v>11.081104576504847</v>
      </c>
      <c r="AO16" s="551">
        <v>1.86712</v>
      </c>
      <c r="AP16" s="551">
        <v>1.8814602071720246</v>
      </c>
      <c r="AQ16" s="551">
        <v>13.68139</v>
      </c>
      <c r="AR16" s="551">
        <v>14.63377236634007</v>
      </c>
      <c r="AS16" s="4"/>
      <c r="AT16" s="4"/>
      <c r="AU16" s="47"/>
      <c r="AV16" s="16">
        <f ca="1">AV57</f>
        <v>1e-12</v>
      </c>
      <c r="AW16" s="16"/>
      <c r="AX16" s="84" t="s">
        <v>520</v>
      </c>
      <c r="AY16" s="549">
        <v>62631.506</v>
      </c>
      <c r="AZ16" s="549">
        <v>67649.506</v>
      </c>
      <c r="BA16" s="547">
        <v>0.037736</v>
      </c>
      <c r="BB16" s="547">
        <v>0.09444422877569258</v>
      </c>
      <c r="BC16" s="547">
        <v>0.22055499999999997</v>
      </c>
      <c r="BD16" s="547">
        <v>0.25316666666666676</v>
      </c>
      <c r="BE16" s="547">
        <v>0.221998</v>
      </c>
      <c r="BF16" s="547">
        <v>0.22892474020264064</v>
      </c>
      <c r="BG16" s="547">
        <v>0.13201000000000002</v>
      </c>
      <c r="BH16" s="547">
        <v>0.13269769057936825</v>
      </c>
      <c r="BI16" s="551">
        <v>14.77147</v>
      </c>
      <c r="BJ16" s="551">
        <v>16.086327955734895</v>
      </c>
      <c r="BK16" s="551">
        <v>3.48471</v>
      </c>
      <c r="BL16" s="551">
        <v>3.6825584480810862</v>
      </c>
      <c r="BM16" s="551">
        <v>24.43376</v>
      </c>
      <c r="BN16" s="551">
        <v>25.692981780241418</v>
      </c>
    </row>
    <row r="17" ht="13.5" customHeight="1" spans="1:66" x14ac:dyDescent="0.25">
      <c r="A17" s="4"/>
      <c r="B17" s="4"/>
      <c r="C17" s="47"/>
      <c r="D17" s="16"/>
      <c r="E17" s="16"/>
      <c r="F17" s="84"/>
      <c r="G17" s="84"/>
      <c r="H17" s="84"/>
      <c r="I17" s="547"/>
      <c r="J17" s="547"/>
      <c r="K17" s="552"/>
      <c r="L17" s="552"/>
      <c r="M17" s="552"/>
      <c r="N17" s="552"/>
      <c r="O17" s="552"/>
      <c r="P17" s="552"/>
      <c r="Q17" s="84"/>
      <c r="R17" s="84"/>
      <c r="S17" s="84"/>
      <c r="T17" s="84"/>
      <c r="U17" s="84"/>
      <c r="V17" s="84"/>
      <c r="W17" s="16"/>
      <c r="X17" s="4"/>
      <c r="Y17" s="47"/>
      <c r="Z17" s="16"/>
      <c r="AA17" s="16"/>
      <c r="AB17" s="84"/>
      <c r="AC17" s="84"/>
      <c r="AD17" s="84"/>
      <c r="AE17" s="547"/>
      <c r="AF17" s="547"/>
      <c r="AG17" s="552"/>
      <c r="AH17" s="552"/>
      <c r="AI17" s="552"/>
      <c r="AJ17" s="552"/>
      <c r="AK17" s="552"/>
      <c r="AL17" s="552"/>
      <c r="AM17" s="84"/>
      <c r="AN17" s="84"/>
      <c r="AO17" s="84"/>
      <c r="AP17" s="84"/>
      <c r="AQ17" s="84"/>
      <c r="AR17" s="84"/>
      <c r="AS17" s="4"/>
      <c r="AT17" s="4"/>
      <c r="AU17" s="47"/>
      <c r="AV17" s="16"/>
      <c r="AW17" s="16"/>
      <c r="AX17" s="84"/>
      <c r="AY17" s="84"/>
      <c r="AZ17" s="84"/>
      <c r="BA17" s="547"/>
      <c r="BB17" s="547"/>
      <c r="BC17" s="552"/>
      <c r="BD17" s="552"/>
      <c r="BE17" s="552"/>
      <c r="BF17" s="552"/>
      <c r="BG17" s="552"/>
      <c r="BH17" s="552"/>
      <c r="BI17" s="84"/>
      <c r="BJ17" s="84"/>
      <c r="BK17" s="84"/>
      <c r="BL17" s="84"/>
      <c r="BM17" s="84"/>
      <c r="BN17" s="84"/>
    </row>
    <row r="18" ht="13.5" customHeight="1" spans="1:66" x14ac:dyDescent="0.25">
      <c r="A18" s="4"/>
      <c r="B18" s="4"/>
      <c r="C18" s="47"/>
      <c r="D18" s="553" t="s">
        <v>167</v>
      </c>
      <c r="E18" s="554"/>
      <c r="F18" s="555"/>
      <c r="G18" s="556">
        <f t="shared" ref="G18:V18" si="0" ca="1">MAX(G10:G16)</f>
        <v>2456382.6676</v>
      </c>
      <c r="H18" s="556">
        <f ca="1">MAX(H10:H16)</f>
        <v>2398229.6676</v>
      </c>
      <c r="I18" s="557">
        <f ca="1">MAX(I10:I16)</f>
        <v>0.737091</v>
      </c>
      <c r="J18" s="557">
        <f ca="1">MAX(J10:J16)</f>
        <v>0.6779071109930239</v>
      </c>
      <c r="K18" s="557">
        <f ca="1">MAX(K10:K16)</f>
        <v>1.026417</v>
      </c>
      <c r="L18" s="557">
        <f ca="1">MAX(L10:L16)</f>
        <v>0.7232146680627087</v>
      </c>
      <c r="M18" s="557">
        <f ca="1">MAX(M10:M16)</f>
        <v>0.496984</v>
      </c>
      <c r="N18" s="557">
        <f ca="1">MAX(N10:N16)</f>
        <v>0.5518203814847791</v>
      </c>
      <c r="O18" s="557">
        <f ca="1">MAX(O10:O16)</f>
        <v>0.37176200000000004</v>
      </c>
      <c r="P18" s="557">
        <f ca="1">MAX(P10:P16)</f>
        <v>0.3457313702483525</v>
      </c>
      <c r="Q18" s="558">
        <f ca="1">MAX(Q10:Q16)</f>
        <v>25.97822</v>
      </c>
      <c r="R18" s="559">
        <f ca="1">MAX(R10:R16)</f>
        <v>211.94604401245059</v>
      </c>
      <c r="S18" s="559">
        <f ca="1">MAX(S10:S16)</f>
        <v>34.64642</v>
      </c>
      <c r="T18" s="559">
        <f ca="1">MAX(T10:T16)</f>
        <v>27.278614119410697</v>
      </c>
      <c r="U18" s="559">
        <f ca="1">MAX(U10:U16)</f>
        <v>36.41118</v>
      </c>
      <c r="V18" s="560">
        <f ca="1">MAX(V10:V16)</f>
        <v>214.40286086833686</v>
      </c>
      <c r="W18" s="16"/>
      <c r="X18" s="4"/>
      <c r="Y18" s="47"/>
      <c r="Z18" s="553" t="s">
        <v>167</v>
      </c>
      <c r="AA18" s="554"/>
      <c r="AB18" s="555"/>
      <c r="AC18" s="556">
        <f t="shared" ref="AC18:AR18" si="1" ca="1">MAX(AC10:AC16)</f>
        <v>129979.18471</v>
      </c>
      <c r="AD18" s="556">
        <f ca="1">MAX(AD10:AD16)</f>
        <v>172393.18471</v>
      </c>
      <c r="AE18" s="561">
        <f ca="1">MAX(AE10:AE16)</f>
        <v>0.284792</v>
      </c>
      <c r="AF18" s="561">
        <f ca="1">MAX(AF10:AF16)</f>
        <v>0.2682719844217478</v>
      </c>
      <c r="AG18" s="561">
        <f ca="1">MAX(AG10:AG16)</f>
        <v>0.940674</v>
      </c>
      <c r="AH18" s="561">
        <f ca="1">MAX(AH10:AH16)</f>
        <v>0.3097719390436151</v>
      </c>
      <c r="AI18" s="561">
        <f ca="1">MAX(AI10:AI16)</f>
        <v>0.28053100000000003</v>
      </c>
      <c r="AJ18" s="561">
        <f ca="1">MAX(AJ10:AJ16)</f>
        <v>0.29106114754641993</v>
      </c>
      <c r="AK18" s="561">
        <f ca="1">MAX(AK10:AK16)</f>
        <v>0.152468</v>
      </c>
      <c r="AL18" s="561">
        <f ca="1">MAX(AL10:AL16)</f>
        <v>0.20242258666034044</v>
      </c>
      <c r="AM18" s="558">
        <f ca="1">MAX(AM10:AM16)</f>
        <v>16.46107</v>
      </c>
      <c r="AN18" s="559">
        <f ca="1">MAX(AN10:AN16)</f>
        <v>30.819232691225288</v>
      </c>
      <c r="AO18" s="559">
        <f ca="1">MAX(AO10:AO16)</f>
        <v>2.82676</v>
      </c>
      <c r="AP18" s="559">
        <f ca="1">MAX(AP10:AP16)</f>
        <v>7.093838002749867</v>
      </c>
      <c r="AQ18" s="559">
        <f ca="1">MAX(AQ10:AQ16)</f>
        <v>63.46893</v>
      </c>
      <c r="AR18" s="560">
        <f ca="1">MAX(AR10:AR16)</f>
        <v>38.06344748498806</v>
      </c>
      <c r="AS18" s="4"/>
      <c r="AT18" s="4"/>
      <c r="AU18" s="47"/>
      <c r="AV18" s="553" t="s">
        <v>167</v>
      </c>
      <c r="AW18" s="554"/>
      <c r="AX18" s="555"/>
      <c r="AY18" s="556">
        <f t="shared" ref="AY18:BN18" si="2" ca="1">MAX(AY10:AY16)</f>
        <v>159578.88611</v>
      </c>
      <c r="AZ18" s="556">
        <f ca="1">MAX(AZ10:AZ16)</f>
        <v>169888.88611</v>
      </c>
      <c r="BA18" s="561">
        <f ca="1">MAX(BA10:BA16)</f>
        <v>0.19067</v>
      </c>
      <c r="BB18" s="561">
        <f ca="1">MAX(BB10:BB16)</f>
        <v>0.16134879412350056</v>
      </c>
      <c r="BC18" s="561">
        <f ca="1">MAX(BC10:BC16)</f>
        <v>0.22055499999999997</v>
      </c>
      <c r="BD18" s="561">
        <f ca="1">MAX(BD10:BD16)</f>
        <v>0.6838775055679285</v>
      </c>
      <c r="BE18" s="561">
        <f ca="1">MAX(BE10:BE16)</f>
        <v>0.362131</v>
      </c>
      <c r="BF18" s="561">
        <f ca="1">MAX(BF10:BF16)</f>
        <v>0.36653876959791054</v>
      </c>
      <c r="BG18" s="561">
        <f ca="1">MAX(BG10:BG16)</f>
        <v>0.17795100000000003</v>
      </c>
      <c r="BH18" s="561">
        <f ca="1">MAX(BH10:BH16)</f>
        <v>0.25151357300210986</v>
      </c>
      <c r="BI18" s="558">
        <f ca="1">MAX(BI10:BI16)</f>
        <v>25.12855</v>
      </c>
      <c r="BJ18" s="559">
        <f ca="1">MAX(BJ10:BJ16)</f>
        <v>24.998032555108455</v>
      </c>
      <c r="BK18" s="559">
        <f ca="1">MAX(BK10:BK16)</f>
        <v>9.38733</v>
      </c>
      <c r="BL18" s="559">
        <f ca="1">MAX(BL10:BL16)</f>
        <v>9.162748095117964</v>
      </c>
      <c r="BM18" s="559">
        <f ca="1">MAX(BM10:BM16)</f>
        <v>45.20111</v>
      </c>
      <c r="BN18" s="560">
        <f ca="1">MAX(BN10:BN16)</f>
        <v>54.20820989547334</v>
      </c>
    </row>
    <row r="19" ht="13.5" customHeight="1" spans="1:66" x14ac:dyDescent="0.25">
      <c r="A19" s="4"/>
      <c r="B19" s="4"/>
      <c r="C19" s="47"/>
      <c r="D19" s="562" t="s">
        <v>521</v>
      </c>
      <c r="E19" s="441"/>
      <c r="F19" s="563"/>
      <c r="G19" s="564">
        <f t="shared" ref="G19:V19" si="3" ca="1">AVERAGE(G10:G16)</f>
        <v>1323504.3030483332</v>
      </c>
      <c r="H19" s="564">
        <f ca="1">AVERAGE(H10:H16)</f>
        <v>1282820.167215</v>
      </c>
      <c r="I19" s="565">
        <f ca="1">AVERAGE(I10:I16)</f>
        <v>0.3463151666666667</v>
      </c>
      <c r="J19" s="565">
        <f ca="1">AVERAGE(J10:J16)</f>
        <v>0.32548700852351536</v>
      </c>
      <c r="K19" s="565">
        <f ca="1">AVERAGE(K10:K16)</f>
        <v>0.5492003333333333</v>
      </c>
      <c r="L19" s="565">
        <f ca="1">AVERAGE(L10:L16)</f>
        <v>0.13784868746689205</v>
      </c>
      <c r="M19" s="565">
        <f ca="1">AVERAGE(M10:M16)</f>
        <v>0.26566</v>
      </c>
      <c r="N19" s="565">
        <f ca="1">AVERAGE(N10:N16)</f>
        <v>0.3391890318647466</v>
      </c>
      <c r="O19" s="565">
        <f ca="1">AVERAGE(O10:O16)</f>
        <v>0.18686966666666668</v>
      </c>
      <c r="P19" s="565">
        <f ca="1">AVERAGE(P10:P16)</f>
        <v>0.2374291169624134</v>
      </c>
      <c r="Q19" s="566">
        <f ca="1">AVERAGE(Q10:Q16)</f>
        <v>19.18922</v>
      </c>
      <c r="R19" s="567">
        <f ca="1">AVERAGE(R10:R16)</f>
        <v>50.23798816361842</v>
      </c>
      <c r="S19" s="567">
        <f ca="1">AVERAGE(S10:S16)</f>
        <v>12.017526666666667</v>
      </c>
      <c r="T19" s="567">
        <f ca="1">AVERAGE(T10:T16)</f>
        <v>10.450720939371331</v>
      </c>
      <c r="U19" s="567">
        <f ca="1">AVERAGE(U10:U16)</f>
        <v>28.027836</v>
      </c>
      <c r="V19" s="568">
        <f ca="1">AVERAGE(V10:V16)</f>
        <v>57.79707316613341</v>
      </c>
      <c r="W19" s="16"/>
      <c r="X19" s="4"/>
      <c r="Y19" s="47"/>
      <c r="Z19" s="562" t="s">
        <v>521</v>
      </c>
      <c r="AA19" s="441"/>
      <c r="AB19" s="563"/>
      <c r="AC19" s="564">
        <f t="shared" ref="AC19:AR19" si="4" ca="1">AVERAGE(AC10:AC16)</f>
        <v>71835.782455</v>
      </c>
      <c r="AD19" s="564">
        <f ca="1">AVERAGE(AD10:AD16)</f>
        <v>86720.26628833334</v>
      </c>
      <c r="AE19" s="569">
        <f ca="1">AVERAGE(AE10:AE16)</f>
        <v>0.10343183333333333</v>
      </c>
      <c r="AF19" s="569">
        <f ca="1">AVERAGE(AF10:AF16)</f>
        <v>0.09008317651654629</v>
      </c>
      <c r="AG19" s="569">
        <f ca="1">AVERAGE(AG10:AG16)</f>
        <v>0.4146725</v>
      </c>
      <c r="AH19" s="569">
        <f ca="1">AVERAGE(AH10:AH16)</f>
        <v>-0.583637050724687</v>
      </c>
      <c r="AI19" s="569">
        <f ca="1">AVERAGE(AI10:AI16)</f>
        <v>0.13695283333333333</v>
      </c>
      <c r="AJ19" s="569">
        <f ca="1">AVERAGE(AJ10:AJ16)</f>
        <v>0.15539560335187066</v>
      </c>
      <c r="AK19" s="569">
        <f ca="1">AVERAGE(AK10:AK16)</f>
        <v>0.058402333333333334</v>
      </c>
      <c r="AL19" s="569">
        <f ca="1">AVERAGE(AL10:AL16)</f>
        <v>0.08502516239369384</v>
      </c>
      <c r="AM19" s="566">
        <f ca="1">AVERAGE(AM10:AM16)</f>
        <v>9.106754</v>
      </c>
      <c r="AN19" s="567">
        <f ca="1">AVERAGE(AN10:AN16)</f>
        <v>17.257650750172328</v>
      </c>
      <c r="AO19" s="567">
        <f ca="1">AVERAGE(AO10:AO16)</f>
        <v>1.6406083333333334</v>
      </c>
      <c r="AP19" s="567">
        <f ca="1">AVERAGE(AP10:AP16)</f>
        <v>2.713906375995124</v>
      </c>
      <c r="AQ19" s="567">
        <f ca="1">AVERAGE(AQ10:AQ16)</f>
        <v>20.281439999999996</v>
      </c>
      <c r="AR19" s="568">
        <f ca="1">AVERAGE(AR10:AR16)</f>
        <v>21.594515789762383</v>
      </c>
      <c r="AS19" s="4"/>
      <c r="AT19" s="4"/>
      <c r="AU19" s="47"/>
      <c r="AV19" s="562" t="s">
        <v>521</v>
      </c>
      <c r="AW19" s="441"/>
      <c r="AX19" s="563"/>
      <c r="AY19" s="564">
        <f t="shared" ref="AY19:BN19" si="5" ca="1">AVERAGE(AY10:AY16)</f>
        <v>84668.2197</v>
      </c>
      <c r="AZ19" s="564">
        <f ca="1">AVERAGE(AZ10:AZ16)</f>
        <v>98970.55353333335</v>
      </c>
      <c r="BA19" s="569">
        <f ca="1">AVERAGE(BA10:BA16)</f>
        <v>0.05737416666666667</v>
      </c>
      <c r="BB19" s="569">
        <f ca="1">AVERAGE(BB10:BB16)</f>
        <v>0.07035394134444851</v>
      </c>
      <c r="BC19" s="569">
        <f ca="1">AVERAGE(BC10:BC16)</f>
        <v>0.024313833333333337</v>
      </c>
      <c r="BD19" s="569">
        <f ca="1">AVERAGE(BD10:BD16)</f>
        <v>0.08195950023741272</v>
      </c>
      <c r="BE19" s="569">
        <f ca="1">AVERAGE(BE10:BE16)</f>
        <v>0.2477345</v>
      </c>
      <c r="BF19" s="569">
        <f ca="1">AVERAGE(BF10:BF16)</f>
        <v>0.25115620759480345</v>
      </c>
      <c r="BG19" s="569">
        <f ca="1">AVERAGE(BG10:BG16)</f>
        <v>0.12470983333333334</v>
      </c>
      <c r="BH19" s="569">
        <f ca="1">AVERAGE(BH10:BH16)</f>
        <v>0.15695896203933532</v>
      </c>
      <c r="BI19" s="566">
        <f ca="1">AVERAGE(BI10:BI16)</f>
        <v>15.054556666666665</v>
      </c>
      <c r="BJ19" s="567">
        <f ca="1">AVERAGE(BJ10:BJ16)</f>
        <v>19.917704743955753</v>
      </c>
      <c r="BK19" s="567">
        <f ca="1">AVERAGE(BK10:BK16)</f>
        <v>3.837745</v>
      </c>
      <c r="BL19" s="567">
        <f ca="1">AVERAGE(BL10:BL16)</f>
        <v>5.089001130045863</v>
      </c>
      <c r="BM19" s="567">
        <f ca="1">AVERAGE(BM10:BM16)</f>
        <v>23.62187</v>
      </c>
      <c r="BN19" s="568">
        <f ca="1">AVERAGE(BN10:BN16)</f>
        <v>32.78685306050986</v>
      </c>
    </row>
    <row r="20" ht="13.5" customHeight="1" spans="1:66" x14ac:dyDescent="0.25">
      <c r="A20" s="4"/>
      <c r="B20" s="4"/>
      <c r="C20" s="47"/>
      <c r="D20" s="562" t="s">
        <v>522</v>
      </c>
      <c r="E20" s="441"/>
      <c r="F20" s="441"/>
      <c r="G20" s="564">
        <f t="shared" ref="G20:V20" si="6" ca="1">MEDIAN(G10:G16)</f>
        <v>1487208.2549649999</v>
      </c>
      <c r="H20" s="564">
        <f ca="1">MEDIAN(H10:H16)</f>
        <v>1407273.254965</v>
      </c>
      <c r="I20" s="565">
        <f ca="1">MEDIAN(I10:I16)</f>
        <v>0.2971535</v>
      </c>
      <c r="J20" s="565">
        <f ca="1">MEDIAN(J10:J16)</f>
        <v>0.35417054656504277</v>
      </c>
      <c r="K20" s="565">
        <f ca="1">MEDIAN(K10:K16)</f>
        <v>0.47425249999999997</v>
      </c>
      <c r="L20" s="565">
        <f ca="1">MEDIAN(L10:L16)</f>
        <v>0.4306721493653889</v>
      </c>
      <c r="M20" s="565">
        <f ca="1">MEDIAN(M10:M16)</f>
        <v>0.3312815</v>
      </c>
      <c r="N20" s="565">
        <f ca="1">MEDIAN(N10:N16)</f>
        <v>0.36327035105917194</v>
      </c>
      <c r="O20" s="565">
        <f ca="1">MEDIAN(O10:O16)</f>
        <v>0.26786699999999997</v>
      </c>
      <c r="P20" s="565">
        <f ca="1">MEDIAN(P10:P16)</f>
        <v>0.2630604389175104</v>
      </c>
      <c r="Q20" s="566">
        <f ca="1">MEDIAN(Q10:Q16)</f>
        <v>20.63488</v>
      </c>
      <c r="R20" s="567">
        <f ca="1">MEDIAN(R10:R16)</f>
        <v>19.07395532064387</v>
      </c>
      <c r="S20" s="567">
        <f ca="1">MEDIAN(S10:S16)</f>
        <v>8.157734999999999</v>
      </c>
      <c r="T20" s="567">
        <f ca="1">MEDIAN(T10:T16)</f>
        <v>7.800438822852892</v>
      </c>
      <c r="U20" s="567">
        <f ca="1">MEDIAN(U10:U16)</f>
        <v>27.79788</v>
      </c>
      <c r="V20" s="568">
        <f ca="1">MEDIAN(V10:V16)</f>
        <v>27.29665087668582</v>
      </c>
      <c r="W20" s="16"/>
      <c r="X20" s="4"/>
      <c r="Y20" s="47"/>
      <c r="Z20" s="562" t="s">
        <v>522</v>
      </c>
      <c r="AA20" s="441"/>
      <c r="AB20" s="441"/>
      <c r="AC20" s="564">
        <f t="shared" ref="AC20:AR20" si="7" ca="1">MEDIAN(AC10:AC16)</f>
        <v>79327.60286</v>
      </c>
      <c r="AD20" s="564">
        <f ca="1">MEDIAN(AD10:AD16)</f>
        <v>88943.10286000001</v>
      </c>
      <c r="AE20" s="569">
        <f ca="1">MEDIAN(AE10:AE16)</f>
        <v>0.07876449999999999</v>
      </c>
      <c r="AF20" s="569">
        <f ca="1">MEDIAN(AF10:AF16)</f>
        <v>0.050245350288697144</v>
      </c>
      <c r="AG20" s="569">
        <f ca="1">MEDIAN(AG10:AG16)</f>
        <v>0.43208399999999997</v>
      </c>
      <c r="AH20" s="569">
        <f ca="1">MEDIAN(AH10:AH16)</f>
        <v>-0.18521987642728777</v>
      </c>
      <c r="AI20" s="569">
        <f ca="1">MEDIAN(AI10:AI16)</f>
        <v>0.14764</v>
      </c>
      <c r="AJ20" s="569">
        <f ca="1">MEDIAN(AJ10:AJ16)</f>
        <v>0.15568117318519226</v>
      </c>
      <c r="AK20" s="569">
        <f ca="1">MEDIAN(AK10:AK16)</f>
        <v>0.09248599999999998</v>
      </c>
      <c r="AL20" s="569">
        <f ca="1">MEDIAN(AL10:AL16)</f>
        <v>0.10152294620790997</v>
      </c>
      <c r="AM20" s="566">
        <f ca="1">MEDIAN(AM10:AM16)</f>
        <v>10.01997</v>
      </c>
      <c r="AN20" s="567">
        <f ca="1">MEDIAN(AN10:AN16)</f>
        <v>13.415392350311915</v>
      </c>
      <c r="AO20" s="567">
        <f ca="1">MEDIAN(AO10:AO16)</f>
        <v>1.7294399999999999</v>
      </c>
      <c r="AP20" s="567">
        <f ca="1">MEDIAN(AP10:AP16)</f>
        <v>2.1093364343746774</v>
      </c>
      <c r="AQ20" s="567">
        <f ca="1">MEDIAN(AQ10:AQ16)</f>
        <v>13.61295</v>
      </c>
      <c r="AR20" s="568">
        <f ca="1">MEDIAN(AR10:AR16)</f>
        <v>20.919526956583937</v>
      </c>
      <c r="AS20" s="4"/>
      <c r="AT20" s="4"/>
      <c r="AU20" s="47"/>
      <c r="AV20" s="562" t="s">
        <v>522</v>
      </c>
      <c r="AW20" s="441"/>
      <c r="AX20" s="441"/>
      <c r="AY20" s="564">
        <f t="shared" ref="AY20:BN20" si="8" ca="1">MEDIAN(AY10:AY16)</f>
        <v>87747.448625</v>
      </c>
      <c r="AZ20" s="564">
        <f ca="1">MEDIAN(AZ10:AZ16)</f>
        <v>97098.44862499999</v>
      </c>
      <c r="BA20" s="569">
        <f ca="1">MEDIAN(BA10:BA16)</f>
        <v>0.07276250000000001</v>
      </c>
      <c r="BB20" s="569">
        <f ca="1">MEDIAN(BB10:BB16)</f>
        <v>0.08415272317348965</v>
      </c>
      <c r="BC20" s="569">
        <f ca="1">MEDIAN(BC10:BC16)</f>
        <v>0.131942</v>
      </c>
      <c r="BD20" s="569">
        <f ca="1">MEDIAN(BD10:BD16)</f>
        <v>0.13611629906692402</v>
      </c>
      <c r="BE20" s="569">
        <f ca="1">MEDIAN(BE10:BE16)</f>
        <v>0.26306050000000003</v>
      </c>
      <c r="BF20" s="569">
        <f ca="1">MEDIAN(BF10:BF16)</f>
        <v>0.25971190764599195</v>
      </c>
      <c r="BG20" s="569">
        <f ca="1">MEDIAN(BG10:BG16)</f>
        <v>0.149469</v>
      </c>
      <c r="BH20" s="569">
        <f ca="1">MEDIAN(BH10:BH16)</f>
        <v>0.16356126932180767</v>
      </c>
      <c r="BI20" s="566">
        <f ca="1">MEDIAN(BI10:BI16)</f>
        <v>16.63175</v>
      </c>
      <c r="BJ20" s="567">
        <f ca="1">MEDIAN(BJ10:BJ16)</f>
        <v>20.342638651042556</v>
      </c>
      <c r="BK20" s="567">
        <f ca="1">MEDIAN(BK10:BK16)</f>
        <v>3.42533</v>
      </c>
      <c r="BL20" s="567">
        <f ca="1">MEDIAN(BL10:BL16)</f>
        <v>4.264131592108762</v>
      </c>
      <c r="BM20" s="567">
        <f ca="1">MEDIAN(BM10:BM16)</f>
        <v>24.43376</v>
      </c>
      <c r="BN20" s="568">
        <f ca="1">MEDIAN(BN10:BN16)</f>
        <v>29.67121723202159</v>
      </c>
    </row>
    <row r="21" ht="13.5" customHeight="1" spans="1:66" x14ac:dyDescent="0.25">
      <c r="A21" s="4"/>
      <c r="B21" s="4"/>
      <c r="C21" s="47"/>
      <c r="D21" s="570" t="s">
        <v>168</v>
      </c>
      <c r="E21" s="571"/>
      <c r="F21" s="571"/>
      <c r="G21" s="572">
        <f t="shared" ref="G21:V21" si="9" ca="1">MIN(G10:G16)</f>
        <v>115291.54504</v>
      </c>
      <c r="H21" s="572">
        <f ca="1">MIN(H10:H16)</f>
        <v>114730.73004</v>
      </c>
      <c r="I21" s="573">
        <f ca="1">MIN(I10:I16)</f>
        <v>0.175317</v>
      </c>
      <c r="J21" s="573">
        <f ca="1">MIN(J10:J16)</f>
        <v>0.03688944339654232</v>
      </c>
      <c r="K21" s="573">
        <f ca="1">MIN(K10:K16)</f>
        <v>0.275987</v>
      </c>
      <c r="L21" s="573">
        <f ca="1">MIN(L10:L16)</f>
        <v>-1.5530767571565032</v>
      </c>
      <c r="M21" s="573">
        <f ca="1">MIN(M10:M16)</f>
        <v>-0.195959</v>
      </c>
      <c r="N21" s="573">
        <f ca="1">MIN(N10:N16)</f>
        <v>0.1287054648578779</v>
      </c>
      <c r="O21" s="573">
        <f ca="1">MIN(O10:O16)</f>
        <v>-0.22488600000000003</v>
      </c>
      <c r="P21" s="573">
        <f ca="1">MIN(P10:P16)</f>
        <v>0.08599256295671137</v>
      </c>
      <c r="Q21" s="574">
        <f ca="1">MIN(Q10:Q16)</f>
        <v>10.87254</v>
      </c>
      <c r="R21" s="575">
        <f ca="1">MIN(R10:R16)</f>
        <v>12.5309555137087</v>
      </c>
      <c r="S21" s="575">
        <f ca="1">MIN(S10:S16)</f>
        <v>1.73035</v>
      </c>
      <c r="T21" s="575">
        <f ca="1">MIN(T10:T16)</f>
        <v>1.7763725751510986</v>
      </c>
      <c r="U21" s="575">
        <f ca="1">MIN(U10:U16)</f>
        <v>21.30913</v>
      </c>
      <c r="V21" s="576">
        <f ca="1">MIN(V10:V16)</f>
        <v>17.846255042276262</v>
      </c>
      <c r="W21" s="16"/>
      <c r="X21" s="4"/>
      <c r="Y21" s="47"/>
      <c r="Z21" s="570" t="s">
        <v>168</v>
      </c>
      <c r="AA21" s="571"/>
      <c r="AB21" s="571"/>
      <c r="AC21" s="572">
        <f t="shared" ref="AC21:AR21" si="10" ca="1">MIN(AC10:AC16)</f>
        <v>6040.93556</v>
      </c>
      <c r="AD21" s="572">
        <f ca="1">MIN(AD10:AD16)</f>
        <v>5561.83856</v>
      </c>
      <c r="AE21" s="577">
        <f ca="1">MIN(AE10:AE16)</f>
        <v>-0.07428799999999999</v>
      </c>
      <c r="AF21" s="577">
        <f ca="1">MIN(AF10:AF16)</f>
        <v>-0.014799398896709226</v>
      </c>
      <c r="AG21" s="577">
        <f ca="1">MIN(AG10:AG16)</f>
        <v>0.124316</v>
      </c>
      <c r="AH21" s="577">
        <f ca="1">MIN(AH10:AH16)</f>
        <v>-2.5665133721199402</v>
      </c>
      <c r="AI21" s="577">
        <f ca="1">MIN(AI10:AI16)</f>
        <v>-0.029095</v>
      </c>
      <c r="AJ21" s="577">
        <f ca="1">MIN(AJ10:AJ16)</f>
        <v>0.07583617298307273</v>
      </c>
      <c r="AK21" s="577">
        <f ca="1">MIN(AK10:AK16)</f>
        <v>-0.14303000000000002</v>
      </c>
      <c r="AL21" s="577">
        <f ca="1">MIN(AL10:AL16)</f>
        <v>-0.005421097632900035</v>
      </c>
      <c r="AM21" s="574">
        <f ca="1">MIN(AM10:AM16)</f>
      </c>
      <c r="AN21" s="575">
        <f ca="1">MIN(AN10:AN16)</f>
        <v>10.442453685118846</v>
      </c>
      <c r="AO21" s="575">
        <f ca="1">MIN(AO10:AO16)</f>
      </c>
      <c r="AP21" s="575">
        <f ca="1">MIN(AP10:AP16)</f>
        <v>0.993771663980303</v>
      </c>
      <c r="AQ21" s="575">
        <f ca="1">MIN(AQ10:AQ16)</f>
      </c>
      <c r="AR21" s="576">
        <f ca="1">MIN(AR10:AR16)</f>
        <v>13.436305184315913</v>
      </c>
      <c r="AS21" s="4"/>
      <c r="AT21" s="4"/>
      <c r="AU21" s="47"/>
      <c r="AV21" s="570" t="s">
        <v>168</v>
      </c>
      <c r="AW21" s="571"/>
      <c r="AX21" s="571"/>
      <c r="AY21" s="572">
        <f t="shared" ref="AY21:BN21" si="11" ca="1">MIN(AY10:AY16)</f>
        <v>6040.93556</v>
      </c>
      <c r="AZ21" s="572">
        <f ca="1">MIN(AZ10:AZ16)</f>
        <v>5561.83856</v>
      </c>
      <c r="BA21" s="577">
        <f ca="1">MIN(BA10:BA16)</f>
        <v>-0.083477</v>
      </c>
      <c r="BB21" s="577">
        <f ca="1">MIN(BB10:BB16)</f>
        <v>-0.036353036963538865</v>
      </c>
      <c r="BC21" s="577">
        <f ca="1">MIN(BC10:BC16)</f>
        <v>-0.342387</v>
      </c>
      <c r="BD21" s="577">
        <f ca="1">MIN(BD10:BD16)</f>
        <v>-0.5777118713986096</v>
      </c>
      <c r="BE21" s="577">
        <f ca="1">MIN(BE10:BE16)</f>
        <v>0.08612500000000001</v>
      </c>
      <c r="BF21" s="577">
        <f ca="1">MIN(BF10:BF16)</f>
        <v>0.10098877292986558</v>
      </c>
      <c r="BG21" s="577">
        <f ca="1">MIN(BG10:BG16)</f>
        <v>-0.03102</v>
      </c>
      <c r="BH21" s="577">
        <f ca="1">MIN(BH10:BH16)</f>
        <v>0.027997383350577984</v>
      </c>
      <c r="BI21" s="574">
        <f ca="1">MIN(BI10:BI16)</f>
      </c>
      <c r="BJ21" s="575">
        <f ca="1">MIN(BJ10:BJ16)</f>
        <v>13.364261803244904</v>
      </c>
      <c r="BK21" s="575">
        <f ca="1">MIN(BK10:BK16)</f>
      </c>
      <c r="BL21" s="575">
        <f ca="1">MIN(BL10:BL16)</f>
        <v>2.1552540183700164</v>
      </c>
      <c r="BM21" s="575">
        <f ca="1">MIN(BM10:BM16)</f>
      </c>
      <c r="BN21" s="576">
        <f ca="1">MIN(BN10:BN16)</f>
        <v>19.41404473831319</v>
      </c>
    </row>
    <row r="22" ht="13.5" customHeight="1" spans="1:66" x14ac:dyDescent="0.25">
      <c r="A22" s="4"/>
      <c r="B22" s="4"/>
      <c r="C22" s="47"/>
      <c r="D22" s="16"/>
      <c r="E22" s="16"/>
      <c r="F22" s="16"/>
      <c r="G22" s="16"/>
      <c r="H22" s="16"/>
      <c r="I22" s="16"/>
      <c r="J22" s="16"/>
      <c r="K22" s="16"/>
      <c r="L22" s="16"/>
      <c r="M22" s="16"/>
      <c r="N22" s="16"/>
      <c r="O22" s="16"/>
      <c r="P22" s="16"/>
      <c r="Q22" s="16"/>
      <c r="R22" s="16"/>
      <c r="S22" s="16"/>
      <c r="T22" s="16"/>
      <c r="U22" s="16"/>
      <c r="V22" s="16"/>
      <c r="W22" s="16"/>
      <c r="X22" s="4"/>
      <c r="Y22" s="47"/>
      <c r="Z22" s="16"/>
      <c r="AA22" s="16"/>
      <c r="AB22" s="16"/>
      <c r="AC22" s="16"/>
      <c r="AD22" s="16"/>
      <c r="AE22" s="16"/>
      <c r="AF22" s="16"/>
      <c r="AG22" s="16"/>
      <c r="AH22" s="16"/>
      <c r="AI22" s="16"/>
      <c r="AJ22" s="16"/>
      <c r="AK22" s="16"/>
      <c r="AL22" s="16"/>
      <c r="AM22" s="16"/>
      <c r="AN22" s="16"/>
      <c r="AO22" s="16"/>
      <c r="AP22" s="16"/>
      <c r="AQ22" s="16"/>
      <c r="AR22" s="16"/>
      <c r="AS22" s="4"/>
      <c r="AT22" s="4"/>
      <c r="AU22" s="47"/>
      <c r="AV22" s="16"/>
      <c r="AW22" s="16"/>
      <c r="AX22" s="16"/>
      <c r="AY22" s="16"/>
      <c r="AZ22" s="16"/>
      <c r="BA22" s="16"/>
      <c r="BB22" s="16"/>
      <c r="BC22" s="16"/>
      <c r="BD22" s="16"/>
      <c r="BE22" s="16"/>
      <c r="BF22" s="16"/>
      <c r="BG22" s="16"/>
      <c r="BH22" s="16"/>
      <c r="BI22" s="16"/>
      <c r="BJ22" s="16"/>
      <c r="BK22" s="16"/>
      <c r="BL22" s="16"/>
      <c r="BM22" s="16"/>
      <c r="BN22" s="16"/>
    </row>
    <row r="23" ht="13.5" customHeight="1" spans="1:66" x14ac:dyDescent="0.25">
      <c r="A23" s="4"/>
      <c r="B23" s="4"/>
      <c r="C23" s="47" t="s">
        <v>1</v>
      </c>
      <c r="D23" s="538" t="s">
        <v>523</v>
      </c>
      <c r="E23" s="66"/>
      <c r="F23" s="66"/>
      <c r="G23" s="538" t="s">
        <v>524</v>
      </c>
      <c r="H23" s="66"/>
      <c r="I23" s="66"/>
      <c r="J23" s="538" t="s">
        <v>525</v>
      </c>
      <c r="K23" s="66"/>
      <c r="L23" s="66"/>
      <c r="M23" s="538" t="str">
        <f ca="1">TEXT(Last_FYE,"yyyy")&amp;"A"&amp;" Leverage Analysis"</f>
        <v>2025A Leverage Analysis</v>
      </c>
      <c r="N23" s="66"/>
      <c r="O23" s="66"/>
      <c r="P23" s="538" t="str">
        <f ca="1">TEXT(Last_FYE,"yyyy")&amp;"A"&amp;" Coverage Analysis"</f>
        <v>2025A Coverage Analysis</v>
      </c>
      <c r="Q23" s="66"/>
      <c r="R23" s="66"/>
      <c r="S23" s="538" t="s">
        <v>526</v>
      </c>
      <c r="T23" s="66"/>
      <c r="U23" s="538" t="s">
        <v>527</v>
      </c>
      <c r="V23" s="66"/>
      <c r="W23" s="16"/>
      <c r="X23" s="4"/>
      <c r="Y23" s="47" t="s">
        <v>1</v>
      </c>
      <c r="Z23" s="538" t="s">
        <v>523</v>
      </c>
      <c r="AA23" s="66"/>
      <c r="AB23" s="66"/>
      <c r="AC23" s="538" t="s">
        <v>524</v>
      </c>
      <c r="AD23" s="66"/>
      <c r="AE23" s="66"/>
      <c r="AF23" s="538" t="s">
        <v>525</v>
      </c>
      <c r="AG23" s="66"/>
      <c r="AH23" s="66"/>
      <c r="AI23" s="538" t="str">
        <f ca="1">TEXT(Last_FYE,"yyyy")&amp;"A"&amp;" Leverage Analysis"</f>
        <v>2025A Leverage Analysis</v>
      </c>
      <c r="AJ23" s="66"/>
      <c r="AK23" s="66"/>
      <c r="AL23" s="538" t="str">
        <f ca="1">TEXT(Last_FYE,"yyyy")&amp;"A"&amp;" Coverage Analysis"</f>
        <v>2025A Coverage Analysis</v>
      </c>
      <c r="AM23" s="66"/>
      <c r="AN23" s="66"/>
      <c r="AO23" s="538" t="s">
        <v>526</v>
      </c>
      <c r="AP23" s="66"/>
      <c r="AQ23" s="538" t="s">
        <v>527</v>
      </c>
      <c r="AR23" s="66"/>
      <c r="AS23" s="4"/>
      <c r="AT23" s="4"/>
      <c r="AU23" s="47" t="s">
        <v>1</v>
      </c>
      <c r="AV23" s="538" t="s">
        <v>523</v>
      </c>
      <c r="AW23" s="66"/>
      <c r="AX23" s="66"/>
      <c r="AY23" s="538" t="s">
        <v>524</v>
      </c>
      <c r="AZ23" s="66"/>
      <c r="BA23" s="66"/>
      <c r="BB23" s="538" t="s">
        <v>525</v>
      </c>
      <c r="BC23" s="66"/>
      <c r="BD23" s="66"/>
      <c r="BE23" s="538" t="str">
        <f ca="1">TEXT(Last_FYE,"yyyy")&amp;"A"&amp;" Leverage Analysis"</f>
        <v>2025A Leverage Analysis</v>
      </c>
      <c r="BF23" s="66"/>
      <c r="BG23" s="66"/>
      <c r="BH23" s="538" t="str">
        <f ca="1">TEXT(Last_FYE,"yyyy")&amp;"A"&amp;" Coverage Analysis"</f>
        <v>2025A Coverage Analysis</v>
      </c>
      <c r="BI23" s="66"/>
      <c r="BJ23" s="66"/>
      <c r="BK23" s="538" t="s">
        <v>526</v>
      </c>
      <c r="BL23" s="66"/>
      <c r="BM23" s="538" t="s">
        <v>527</v>
      </c>
      <c r="BN23" s="66"/>
    </row>
    <row r="24" ht="13.5" customHeight="1" spans="1:66" x14ac:dyDescent="0.25">
      <c r="A24" s="4"/>
      <c r="B24" s="4"/>
      <c r="C24" s="47"/>
      <c r="D24" s="16"/>
      <c r="E24" s="16"/>
      <c r="F24" s="16"/>
      <c r="G24" s="16"/>
      <c r="H24" s="16"/>
      <c r="I24" s="16"/>
      <c r="J24" s="16"/>
      <c r="K24" s="16"/>
      <c r="L24" s="16"/>
      <c r="M24" s="538" t="s">
        <v>528</v>
      </c>
      <c r="N24" s="66"/>
      <c r="O24" s="66"/>
      <c r="P24" s="16"/>
      <c r="Q24" s="16"/>
      <c r="R24" s="16"/>
      <c r="S24" s="16"/>
      <c r="T24" s="16"/>
      <c r="U24" s="16"/>
      <c r="V24" s="16"/>
      <c r="W24" s="16"/>
      <c r="X24" s="4"/>
      <c r="Y24" s="47"/>
      <c r="Z24" s="16"/>
      <c r="AA24" s="16"/>
      <c r="AB24" s="16"/>
      <c r="AC24" s="16"/>
      <c r="AD24" s="16"/>
      <c r="AE24" s="16"/>
      <c r="AF24" s="16"/>
      <c r="AG24" s="16"/>
      <c r="AH24" s="16"/>
      <c r="AI24" s="538" t="s">
        <v>528</v>
      </c>
      <c r="AJ24" s="66"/>
      <c r="AK24" s="66"/>
      <c r="AL24" s="16"/>
      <c r="AM24" s="16"/>
      <c r="AN24" s="16"/>
      <c r="AO24" s="16"/>
      <c r="AP24" s="16"/>
      <c r="AQ24" s="16"/>
      <c r="AR24" s="16"/>
      <c r="AS24" s="4"/>
      <c r="AT24" s="4"/>
      <c r="AU24" s="47"/>
      <c r="AV24" s="16"/>
      <c r="AW24" s="16"/>
      <c r="AX24" s="16"/>
      <c r="AY24" s="16"/>
      <c r="AZ24" s="16"/>
      <c r="BA24" s="16"/>
      <c r="BB24" s="16"/>
      <c r="BC24" s="16"/>
      <c r="BD24" s="16"/>
      <c r="BE24" s="538" t="s">
        <v>528</v>
      </c>
      <c r="BF24" s="66"/>
      <c r="BG24" s="66"/>
      <c r="BH24" s="16"/>
      <c r="BI24" s="16"/>
      <c r="BJ24" s="16"/>
      <c r="BK24" s="16"/>
      <c r="BL24" s="16"/>
      <c r="BM24" s="16"/>
      <c r="BN24" s="16"/>
    </row>
    <row r="25" ht="13.5" customHeight="1" spans="1:66" x14ac:dyDescent="0.25">
      <c r="A25" s="4"/>
      <c r="B25" s="4"/>
      <c r="C25" s="47"/>
      <c r="D25" s="84"/>
      <c r="E25" s="84"/>
      <c r="F25" s="84"/>
      <c r="G25" s="84"/>
      <c r="H25" s="84"/>
      <c r="I25" s="84" t="s">
        <v>529</v>
      </c>
      <c r="J25" s="84"/>
      <c r="K25" s="84"/>
      <c r="L25" s="84"/>
      <c r="M25" s="84"/>
      <c r="N25" s="84"/>
      <c r="O25" s="84"/>
      <c r="P25" s="84" t="s">
        <v>530</v>
      </c>
      <c r="Q25" s="345" t="s">
        <v>531</v>
      </c>
      <c r="R25" s="84" t="s">
        <v>532</v>
      </c>
      <c r="S25" s="84" t="s">
        <v>533</v>
      </c>
      <c r="T25" s="84" t="s">
        <v>534</v>
      </c>
      <c r="U25" s="84"/>
      <c r="V25" s="84"/>
      <c r="W25" s="16"/>
      <c r="X25" s="4"/>
      <c r="Y25" s="47"/>
      <c r="Z25" s="84"/>
      <c r="AA25" s="84"/>
      <c r="AB25" s="84"/>
      <c r="AC25" s="84"/>
      <c r="AD25" s="84"/>
      <c r="AE25" s="84" t="s">
        <v>529</v>
      </c>
      <c r="AF25" s="84"/>
      <c r="AG25" s="84"/>
      <c r="AH25" s="84"/>
      <c r="AI25" s="84"/>
      <c r="AJ25" s="84"/>
      <c r="AK25" s="84"/>
      <c r="AL25" s="84" t="s">
        <v>530</v>
      </c>
      <c r="AM25" s="345" t="s">
        <v>531</v>
      </c>
      <c r="AN25" s="84" t="s">
        <v>532</v>
      </c>
      <c r="AO25" s="84" t="s">
        <v>533</v>
      </c>
      <c r="AP25" s="84" t="s">
        <v>534</v>
      </c>
      <c r="AQ25" s="84"/>
      <c r="AR25" s="84"/>
      <c r="AS25" s="4"/>
      <c r="AT25" s="4"/>
      <c r="AU25" s="47"/>
      <c r="AV25" s="84"/>
      <c r="AW25" s="84"/>
      <c r="AX25" s="84"/>
      <c r="AY25" s="84"/>
      <c r="AZ25" s="84"/>
      <c r="BA25" s="84" t="s">
        <v>529</v>
      </c>
      <c r="BB25" s="84"/>
      <c r="BC25" s="84"/>
      <c r="BD25" s="84"/>
      <c r="BE25" s="84"/>
      <c r="BF25" s="84"/>
      <c r="BG25" s="84"/>
      <c r="BH25" s="84" t="s">
        <v>530</v>
      </c>
      <c r="BI25" s="345" t="s">
        <v>531</v>
      </c>
      <c r="BJ25" s="84" t="s">
        <v>532</v>
      </c>
      <c r="BK25" s="84" t="s">
        <v>533</v>
      </c>
      <c r="BL25" s="84" t="s">
        <v>534</v>
      </c>
      <c r="BM25" s="84"/>
      <c r="BN25" s="84"/>
    </row>
    <row r="26" ht="13.5" customHeight="1" spans="1:66" x14ac:dyDescent="0.25">
      <c r="A26" s="4"/>
      <c r="B26" s="4"/>
      <c r="C26" s="47"/>
      <c r="D26" s="139"/>
      <c r="E26" s="84"/>
      <c r="F26" s="538" t="s">
        <v>25</v>
      </c>
      <c r="G26" s="538" t="s">
        <v>298</v>
      </c>
      <c r="H26" s="538" t="s">
        <v>535</v>
      </c>
      <c r="I26" s="538" t="s">
        <v>536</v>
      </c>
      <c r="J26" s="538" t="s">
        <v>537</v>
      </c>
      <c r="K26" s="538" t="s">
        <v>538</v>
      </c>
      <c r="L26" s="538" t="s">
        <v>539</v>
      </c>
      <c r="M26" s="538" t="s">
        <v>502</v>
      </c>
      <c r="N26" s="538" t="s">
        <v>292</v>
      </c>
      <c r="O26" s="538" t="s">
        <v>540</v>
      </c>
      <c r="P26" s="538" t="s">
        <v>541</v>
      </c>
      <c r="Q26" s="578" t="s">
        <v>542</v>
      </c>
      <c r="R26" s="538" t="s">
        <v>541</v>
      </c>
      <c r="S26" s="538" t="s">
        <v>543</v>
      </c>
      <c r="T26" s="538" t="s">
        <v>543</v>
      </c>
      <c r="U26" s="538" t="s">
        <v>544</v>
      </c>
      <c r="V26" s="538" t="s">
        <v>545</v>
      </c>
      <c r="W26" s="16"/>
      <c r="X26" s="4"/>
      <c r="Y26" s="47"/>
      <c r="Z26" s="139"/>
      <c r="AA26" s="84"/>
      <c r="AB26" s="538" t="s">
        <v>25</v>
      </c>
      <c r="AC26" s="538" t="s">
        <v>298</v>
      </c>
      <c r="AD26" s="538" t="s">
        <v>535</v>
      </c>
      <c r="AE26" s="538" t="s">
        <v>536</v>
      </c>
      <c r="AF26" s="538" t="s">
        <v>537</v>
      </c>
      <c r="AG26" s="538" t="s">
        <v>538</v>
      </c>
      <c r="AH26" s="538" t="s">
        <v>539</v>
      </c>
      <c r="AI26" s="538" t="s">
        <v>502</v>
      </c>
      <c r="AJ26" s="538" t="s">
        <v>292</v>
      </c>
      <c r="AK26" s="538" t="s">
        <v>540</v>
      </c>
      <c r="AL26" s="538" t="s">
        <v>541</v>
      </c>
      <c r="AM26" s="578" t="s">
        <v>542</v>
      </c>
      <c r="AN26" s="538" t="s">
        <v>541</v>
      </c>
      <c r="AO26" s="538" t="s">
        <v>543</v>
      </c>
      <c r="AP26" s="538" t="s">
        <v>543</v>
      </c>
      <c r="AQ26" s="538" t="s">
        <v>544</v>
      </c>
      <c r="AR26" s="538" t="s">
        <v>545</v>
      </c>
      <c r="AS26" s="4"/>
      <c r="AT26" s="4"/>
      <c r="AU26" s="47"/>
      <c r="AV26" s="139"/>
      <c r="AW26" s="84"/>
      <c r="AX26" s="538" t="s">
        <v>25</v>
      </c>
      <c r="AY26" s="538" t="s">
        <v>298</v>
      </c>
      <c r="AZ26" s="538" t="s">
        <v>535</v>
      </c>
      <c r="BA26" s="538" t="s">
        <v>536</v>
      </c>
      <c r="BB26" s="538" t="s">
        <v>537</v>
      </c>
      <c r="BC26" s="538" t="s">
        <v>538</v>
      </c>
      <c r="BD26" s="538" t="s">
        <v>539</v>
      </c>
      <c r="BE26" s="538" t="s">
        <v>502</v>
      </c>
      <c r="BF26" s="538" t="s">
        <v>292</v>
      </c>
      <c r="BG26" s="538" t="s">
        <v>540</v>
      </c>
      <c r="BH26" s="538" t="s">
        <v>541</v>
      </c>
      <c r="BI26" s="578" t="s">
        <v>542</v>
      </c>
      <c r="BJ26" s="538" t="s">
        <v>541</v>
      </c>
      <c r="BK26" s="538" t="s">
        <v>543</v>
      </c>
      <c r="BL26" s="538" t="s">
        <v>543</v>
      </c>
      <c r="BM26" s="538" t="s">
        <v>544</v>
      </c>
      <c r="BN26" s="538" t="s">
        <v>545</v>
      </c>
    </row>
    <row r="27" ht="4.5" customHeight="1" spans="1:66" x14ac:dyDescent="0.25">
      <c r="A27" s="4"/>
      <c r="B27" s="4"/>
      <c r="C27" s="47"/>
      <c r="D27" s="84"/>
      <c r="E27" s="84"/>
      <c r="F27" s="84"/>
      <c r="G27" s="84"/>
      <c r="H27" s="84"/>
      <c r="I27" s="16"/>
      <c r="J27" s="540"/>
      <c r="K27" s="84"/>
      <c r="L27" s="84"/>
      <c r="M27" s="84"/>
      <c r="N27" s="84"/>
      <c r="O27" s="84"/>
      <c r="P27" s="84"/>
      <c r="Q27" s="84"/>
      <c r="R27" s="84"/>
      <c r="S27" s="84"/>
      <c r="T27" s="84"/>
      <c r="U27" s="84"/>
      <c r="V27" s="84"/>
      <c r="W27" s="16"/>
      <c r="X27" s="4"/>
      <c r="Y27" s="47"/>
      <c r="Z27" s="84"/>
      <c r="AA27" s="84"/>
      <c r="AB27" s="84"/>
      <c r="AC27" s="84"/>
      <c r="AD27" s="84"/>
      <c r="AE27" s="16"/>
      <c r="AF27" s="540"/>
      <c r="AG27" s="84"/>
      <c r="AH27" s="84"/>
      <c r="AI27" s="84"/>
      <c r="AJ27" s="84"/>
      <c r="AK27" s="84"/>
      <c r="AL27" s="84"/>
      <c r="AM27" s="84"/>
      <c r="AN27" s="84"/>
      <c r="AO27" s="84"/>
      <c r="AP27" s="84"/>
      <c r="AQ27" s="84"/>
      <c r="AR27" s="84"/>
      <c r="AS27" s="4"/>
      <c r="AT27" s="4"/>
      <c r="AU27" s="47"/>
      <c r="AV27" s="84"/>
      <c r="AW27" s="84"/>
      <c r="AX27" s="84"/>
      <c r="AY27" s="84"/>
      <c r="AZ27" s="84"/>
      <c r="BA27" s="16"/>
      <c r="BB27" s="540"/>
      <c r="BC27" s="84"/>
      <c r="BD27" s="84"/>
      <c r="BE27" s="84"/>
      <c r="BF27" s="84"/>
      <c r="BG27" s="84"/>
      <c r="BH27" s="84"/>
      <c r="BI27" s="84"/>
      <c r="BJ27" s="84"/>
      <c r="BK27" s="84"/>
      <c r="BL27" s="84"/>
      <c r="BM27" s="84"/>
      <c r="BN27" s="84"/>
    </row>
    <row r="28" ht="13.5" customHeight="1" spans="1:66" x14ac:dyDescent="0.25">
      <c r="A28" s="4"/>
      <c r="B28" s="4"/>
      <c r="C28" s="47"/>
      <c r="D28" s="18" t="str">
        <f ca="1">Company_Name</f>
        <v>Lowe's Companies, Inc.</v>
      </c>
      <c r="E28" s="19"/>
      <c r="F28" s="63" t="s">
        <v>504</v>
      </c>
      <c r="G28" s="542">
        <v>0.246026</v>
      </c>
      <c r="H28" s="579">
        <v>1.32679</v>
      </c>
      <c r="I28" s="542">
        <v>0.015541000000000001</v>
      </c>
      <c r="J28" s="542">
        <v>0.39441918935110964</v>
      </c>
      <c r="K28" s="542">
        <v>3.353264</v>
      </c>
      <c r="L28" s="542">
        <v>0.153199</v>
      </c>
      <c r="M28" s="543">
        <v>0.9480249999999999</v>
      </c>
      <c r="N28" s="543">
        <v>1.9578</v>
      </c>
      <c r="O28" s="543">
        <v>18.240083</v>
      </c>
      <c r="P28" s="543">
        <v>15.35321</v>
      </c>
      <c r="Q28" s="543">
        <v>13.29931</v>
      </c>
      <c r="R28" s="543">
        <v>12.49083</v>
      </c>
      <c r="S28" s="579">
        <v>0.27742</v>
      </c>
      <c r="T28" s="579">
        <v>1.19199</v>
      </c>
      <c r="U28" s="63" t="s">
        <v>546</v>
      </c>
      <c r="V28" s="64" t="s">
        <v>547</v>
      </c>
      <c r="W28" s="16"/>
      <c r="X28" s="4"/>
      <c r="Y28" s="47"/>
      <c r="Z28" s="18" t="str">
        <f ca="1">Company_Name</f>
        <v>Lowe's Companies, Inc.</v>
      </c>
      <c r="AA28" s="19"/>
      <c r="AB28" s="63" t="s">
        <v>504</v>
      </c>
      <c r="AC28" s="545">
        <v>0.246026</v>
      </c>
      <c r="AD28" s="579">
        <v>1.32679</v>
      </c>
      <c r="AE28" s="545">
        <v>0.015541000000000001</v>
      </c>
      <c r="AF28" s="545">
        <v>0.39441918935110964</v>
      </c>
      <c r="AG28" s="545">
        <v>3.353264</v>
      </c>
      <c r="AH28" s="545">
        <v>0.153199</v>
      </c>
      <c r="AI28" s="543">
        <v>94.8025</v>
      </c>
      <c r="AJ28" s="543">
        <v>1.9578</v>
      </c>
      <c r="AK28" s="543">
        <v>1824.0083</v>
      </c>
      <c r="AL28" s="543">
        <v>15.35321</v>
      </c>
      <c r="AM28" s="543">
        <v>13.29931</v>
      </c>
      <c r="AN28" s="543">
        <v>12.49083</v>
      </c>
      <c r="AO28" s="579">
        <v>0.27742</v>
      </c>
      <c r="AP28" s="579">
        <v>1.19199</v>
      </c>
      <c r="AQ28" s="63" t="s">
        <v>546</v>
      </c>
      <c r="AR28" s="64" t="s">
        <v>547</v>
      </c>
      <c r="AS28" s="4"/>
      <c r="AT28" s="4"/>
      <c r="AU28" s="47"/>
      <c r="AV28" s="18" t="str">
        <f ca="1">Company_Name</f>
        <v>Lowe's Companies, Inc.</v>
      </c>
      <c r="AW28" s="19"/>
      <c r="AX28" s="63" t="s">
        <v>504</v>
      </c>
      <c r="AY28" s="545">
        <v>0.246026</v>
      </c>
      <c r="AZ28" s="579">
        <v>1.32679</v>
      </c>
      <c r="BA28" s="545">
        <v>0.015541000000000001</v>
      </c>
      <c r="BB28" s="545">
        <v>0.39441918935110964</v>
      </c>
      <c r="BC28" s="545">
        <v>3.353264</v>
      </c>
      <c r="BD28" s="545">
        <v>0.153199</v>
      </c>
      <c r="BE28" s="543">
        <v>94.8025</v>
      </c>
      <c r="BF28" s="543">
        <v>1.9578</v>
      </c>
      <c r="BG28" s="543">
        <v>1824.0083</v>
      </c>
      <c r="BH28" s="543">
        <v>15.35321</v>
      </c>
      <c r="BI28" s="543">
        <v>13.29931</v>
      </c>
      <c r="BJ28" s="543">
        <v>12.49083</v>
      </c>
      <c r="BK28" s="579">
        <v>0.27742</v>
      </c>
      <c r="BL28" s="579">
        <v>1.19199</v>
      </c>
      <c r="BM28" s="63" t="s">
        <v>546</v>
      </c>
      <c r="BN28" s="64" t="s">
        <v>547</v>
      </c>
    </row>
    <row r="29" ht="13.5" customHeight="1" spans="1:66" x14ac:dyDescent="0.25">
      <c r="A29" s="4"/>
      <c r="B29" s="4"/>
      <c r="C29" s="47"/>
      <c r="D29" s="16"/>
      <c r="E29" s="16"/>
      <c r="F29" s="84"/>
      <c r="G29" s="547"/>
      <c r="H29" s="84"/>
      <c r="I29" s="552"/>
      <c r="J29" s="552"/>
      <c r="K29" s="552"/>
      <c r="L29" s="552"/>
      <c r="M29" s="580"/>
      <c r="N29" s="551"/>
      <c r="O29" s="580"/>
      <c r="P29" s="551"/>
      <c r="Q29" s="548"/>
      <c r="R29" s="548"/>
      <c r="S29" s="84"/>
      <c r="T29" s="84"/>
      <c r="U29" s="84"/>
      <c r="V29" s="84"/>
      <c r="W29" s="16"/>
      <c r="X29" s="4"/>
      <c r="Y29" s="47"/>
      <c r="Z29" s="16"/>
      <c r="AA29" s="16"/>
      <c r="AB29" s="84"/>
      <c r="AC29" s="547"/>
      <c r="AD29" s="84"/>
      <c r="AE29" s="552"/>
      <c r="AF29" s="552"/>
      <c r="AG29" s="552"/>
      <c r="AH29" s="552"/>
      <c r="AI29" s="580"/>
      <c r="AJ29" s="551"/>
      <c r="AK29" s="580"/>
      <c r="AL29" s="551"/>
      <c r="AM29" s="548"/>
      <c r="AN29" s="548"/>
      <c r="AO29" s="84"/>
      <c r="AP29" s="84"/>
      <c r="AQ29" s="84"/>
      <c r="AR29" s="84"/>
      <c r="AS29" s="4"/>
      <c r="AT29" s="4"/>
      <c r="AU29" s="47"/>
      <c r="AV29" s="16"/>
      <c r="AW29" s="16"/>
      <c r="AX29" s="84"/>
      <c r="AY29" s="547"/>
      <c r="AZ29" s="84"/>
      <c r="BA29" s="552"/>
      <c r="BB29" s="552"/>
      <c r="BC29" s="552"/>
      <c r="BD29" s="552"/>
      <c r="BE29" s="580"/>
      <c r="BF29" s="551"/>
      <c r="BG29" s="580"/>
      <c r="BH29" s="551"/>
      <c r="BI29" s="548"/>
      <c r="BJ29" s="548"/>
      <c r="BK29" s="84"/>
      <c r="BL29" s="84"/>
      <c r="BM29" s="84"/>
      <c r="BN29" s="84"/>
    </row>
    <row r="30" ht="13.5" customHeight="1" spans="1:66" x14ac:dyDescent="0.25">
      <c r="A30" s="4"/>
      <c r="B30" s="4"/>
      <c r="C30" s="47"/>
      <c r="D30" s="16">
        <f ca="1">D53</f>
        <v>1e-12</v>
      </c>
      <c r="E30" s="16"/>
      <c r="F30" s="84" t="s">
        <v>505</v>
      </c>
      <c r="G30" s="550">
        <v>0.144281</v>
      </c>
      <c r="H30" s="581">
        <v>1.20277</v>
      </c>
      <c r="I30" s="550">
        <v>0.005920999999999999</v>
      </c>
      <c r="J30" s="550">
        <v>0.5160410896748149</v>
      </c>
      <c r="K30" s="550">
        <v>1.271246</v>
      </c>
      <c r="L30" s="550">
        <v>0.19302399999999997</v>
      </c>
      <c r="M30" s="551">
        <v>0.651742</v>
      </c>
      <c r="N30" s="551">
        <v>1.38725</v>
      </c>
      <c r="O30" s="551">
        <v>1.871439</v>
      </c>
      <c r="P30" s="551">
        <v>30.68013</v>
      </c>
      <c r="Q30" s="551">
        <v>28.13609</v>
      </c>
      <c r="R30" s="551">
        <v>23.07275</v>
      </c>
      <c r="S30" s="581">
        <v>1.21819</v>
      </c>
      <c r="T30" s="581">
        <v>1.3636</v>
      </c>
      <c r="U30" s="84" t="s">
        <v>548</v>
      </c>
      <c r="V30" s="84" t="s">
        <v>547</v>
      </c>
      <c r="W30" s="16"/>
      <c r="X30" s="4"/>
      <c r="Y30" s="47"/>
      <c r="Z30" s="16">
        <f ca="1">Z53</f>
        <v>1e-12</v>
      </c>
      <c r="AA30" s="16"/>
      <c r="AB30" s="84" t="s">
        <v>506</v>
      </c>
      <c r="AC30" s="547">
        <v>0.14074</v>
      </c>
      <c r="AD30" s="581">
        <v>1.0574</v>
      </c>
      <c r="AE30" s="547">
        <v>0.023887000000000002</v>
      </c>
      <c r="AF30" s="547">
        <v>0.21877749021799892</v>
      </c>
      <c r="AG30" s="547">
        <v>0.032482000000000004</v>
      </c>
      <c r="AH30" s="547">
        <v>0.017917000000000002</v>
      </c>
      <c r="AI30" s="551">
        <v>31.4015</v>
      </c>
      <c r="AJ30" s="551">
        <v>4.73816</v>
      </c>
      <c r="AK30" s="551">
        <v>45.7758</v>
      </c>
      <c r="AL30" s="551">
        <v>5.0696</v>
      </c>
      <c r="AM30" s="551">
        <v>3.79474</v>
      </c>
      <c r="AN30" s="551">
        <v>1.76491</v>
      </c>
      <c r="AO30" s="581">
        <v>0.78071</v>
      </c>
      <c r="AP30" s="581">
        <v>1.21</v>
      </c>
      <c r="AQ30" s="84" t="s">
        <v>549</v>
      </c>
      <c r="AR30" s="84" t="s">
        <v>550</v>
      </c>
      <c r="AS30" s="4"/>
      <c r="AT30" s="4"/>
      <c r="AU30" s="47"/>
      <c r="AV30" s="16">
        <f ca="1">AV53</f>
        <v>1e-12</v>
      </c>
      <c r="AW30" s="16"/>
      <c r="AX30" s="84" t="s">
        <v>507</v>
      </c>
      <c r="AY30" s="547">
        <v>0.19654</v>
      </c>
      <c r="AZ30" s="581">
        <v>0.95802</v>
      </c>
      <c r="BA30" s="547">
        <v>0.030351</v>
      </c>
      <c r="BB30" s="547">
        <v>0.22662902487906014</v>
      </c>
      <c r="BC30" s="547">
        <v>0.466124</v>
      </c>
      <c r="BD30" s="547">
        <v>0.10926399999999999</v>
      </c>
      <c r="BE30" s="551">
        <v>60.4629</v>
      </c>
      <c r="BF30" s="551">
        <v>2.09659</v>
      </c>
      <c r="BG30" s="551">
        <v>152.927</v>
      </c>
      <c r="BH30" s="551">
        <v>17.82987</v>
      </c>
      <c r="BI30" s="551">
        <v>14.99244</v>
      </c>
      <c r="BJ30" s="551">
        <v>13.36862</v>
      </c>
      <c r="BK30" s="581">
        <v>1.24245</v>
      </c>
      <c r="BL30" s="581">
        <v>1.885</v>
      </c>
      <c r="BM30" s="84" t="s">
        <v>551</v>
      </c>
      <c r="BN30" s="84" t="s">
        <v>550</v>
      </c>
    </row>
    <row r="31" ht="13.5" customHeight="1" spans="1:66" x14ac:dyDescent="0.25">
      <c r="A31" s="4"/>
      <c r="B31" s="4"/>
      <c r="C31" s="47"/>
      <c r="D31" s="16">
        <f ca="1">D54</f>
        <v>1e-12</v>
      </c>
      <c r="E31" s="16"/>
      <c r="F31" s="84" t="s">
        <v>508</v>
      </c>
      <c r="G31" s="550">
        <v>0.12157899999999999</v>
      </c>
      <c r="H31" s="581">
        <v>1.29172</v>
      </c>
      <c r="I31" s="550">
        <v>0</v>
      </c>
      <c r="J31" s="550">
        <v>0.2907970027636623</v>
      </c>
      <c r="K31" s="550">
        <v>0.313317</v>
      </c>
      <c r="L31" s="550">
        <v>0.179503</v>
      </c>
      <c r="M31" s="551">
        <v>0.08013999999999999</v>
      </c>
      <c r="N31" s="551">
        <v>0.27133</v>
      </c>
      <c r="O31" s="551">
        <v>0.08712199999999999</v>
      </c>
      <c r="P31" s="551">
        <v>0</v>
      </c>
      <c r="Q31" s="551">
        <v>0</v>
      </c>
      <c r="R31" s="551">
        <v>0</v>
      </c>
      <c r="S31" s="581">
        <v>4.89213</v>
      </c>
      <c r="T31" s="581">
        <v>5.05106</v>
      </c>
      <c r="U31" s="84" t="s">
        <v>552</v>
      </c>
      <c r="V31" s="84" t="s">
        <v>547</v>
      </c>
      <c r="W31" s="16"/>
      <c r="X31" s="4"/>
      <c r="Y31" s="47"/>
      <c r="Z31" s="16">
        <f ca="1">Z54</f>
        <v>1e-12</v>
      </c>
      <c r="AA31" s="16"/>
      <c r="AB31" s="84" t="s">
        <v>509</v>
      </c>
      <c r="AC31" s="547">
        <v>0.14074</v>
      </c>
      <c r="AD31" s="581">
        <v>1.62028</v>
      </c>
      <c r="AE31" s="547">
        <v>0</v>
      </c>
      <c r="AF31" s="547">
        <v>0.21877749021799892</v>
      </c>
      <c r="AG31" s="547">
        <v>0.032482000000000004</v>
      </c>
      <c r="AH31" s="547">
        <v>-0.016131</v>
      </c>
      <c r="AI31" s="551">
        <v>138.5723</v>
      </c>
      <c r="AJ31" s="551" t="s">
        <v>510</v>
      </c>
      <c r="AK31" s="551" t="s">
        <v>510</v>
      </c>
      <c r="AL31" s="551" t="s">
        <v>510</v>
      </c>
      <c r="AM31" s="551" t="s">
        <v>510</v>
      </c>
      <c r="AN31" s="551" t="s">
        <v>510</v>
      </c>
      <c r="AO31" s="581">
        <v>0.40835</v>
      </c>
      <c r="AP31" s="581">
        <v>1.3937</v>
      </c>
      <c r="AQ31" s="84" t="s">
        <v>553</v>
      </c>
      <c r="AR31" s="84" t="s">
        <v>550</v>
      </c>
      <c r="AS31" s="4"/>
      <c r="AT31" s="4"/>
      <c r="AU31" s="47"/>
      <c r="AV31" s="16">
        <f ca="1">AV54</f>
        <v>1e-12</v>
      </c>
      <c r="AW31" s="16"/>
      <c r="AX31" s="84" t="s">
        <v>511</v>
      </c>
      <c r="AY31" s="547">
        <v>0.19654</v>
      </c>
      <c r="AZ31" s="581">
        <v>1.07651</v>
      </c>
      <c r="BA31" s="547">
        <v>0.0030159999999999996</v>
      </c>
      <c r="BB31" s="547">
        <v>0.22662902487906014</v>
      </c>
      <c r="BC31" s="547">
        <v>0.002275</v>
      </c>
      <c r="BD31" s="547">
        <v>0.0022489999999999997</v>
      </c>
      <c r="BE31" s="551">
        <v>67.7933</v>
      </c>
      <c r="BF31" s="551">
        <v>11.46958</v>
      </c>
      <c r="BG31" s="551">
        <v>210.4952</v>
      </c>
      <c r="BH31" s="551">
        <v>5.10428</v>
      </c>
      <c r="BI31" s="551">
        <v>2.66467</v>
      </c>
      <c r="BJ31" s="551" t="s">
        <v>510</v>
      </c>
      <c r="BK31" s="581">
        <v>1.21993</v>
      </c>
      <c r="BL31" s="581">
        <v>1.57684</v>
      </c>
      <c r="BM31" s="84" t="s">
        <v>546</v>
      </c>
      <c r="BN31" s="84" t="s">
        <v>554</v>
      </c>
    </row>
    <row r="32" ht="13.5" customHeight="1" spans="1:66" x14ac:dyDescent="0.25">
      <c r="A32" s="4"/>
      <c r="B32" s="4"/>
      <c r="C32" s="47"/>
      <c r="D32" s="16">
        <f ca="1">D55</f>
        <v>1e-12</v>
      </c>
      <c r="E32" s="16"/>
      <c r="F32" s="84" t="s">
        <v>512</v>
      </c>
      <c r="G32" s="550">
        <v>0.138266</v>
      </c>
      <c r="H32" s="581">
        <v>0.77608</v>
      </c>
      <c r="I32" s="550">
        <v>0.007473</v>
      </c>
      <c r="J32" s="550">
        <v>0.2868426045457575</v>
      </c>
      <c r="K32" s="550">
        <v>0.47078600000000004</v>
      </c>
      <c r="L32" s="550">
        <v>0.13760999999999998</v>
      </c>
      <c r="M32" s="551">
        <v>0.36687600000000004</v>
      </c>
      <c r="N32" s="551">
        <v>0.99198</v>
      </c>
      <c r="O32" s="551">
        <v>0.579471</v>
      </c>
      <c r="P32" s="551">
        <v>35.59785</v>
      </c>
      <c r="Q32" s="551">
        <v>26.74721</v>
      </c>
      <c r="R32" s="551">
        <v>30.00687</v>
      </c>
      <c r="S32" s="581">
        <v>1.89832</v>
      </c>
      <c r="T32" s="581">
        <v>2.07999</v>
      </c>
      <c r="U32" s="84" t="s">
        <v>552</v>
      </c>
      <c r="V32" s="84" t="s">
        <v>547</v>
      </c>
      <c r="W32" s="16"/>
      <c r="X32" s="4"/>
      <c r="Y32" s="47"/>
      <c r="Z32" s="16">
        <f ca="1">Z55</f>
        <v>1e-12</v>
      </c>
      <c r="AA32" s="16"/>
      <c r="AB32" s="84" t="s">
        <v>513</v>
      </c>
      <c r="AC32" s="547">
        <v>0.14074</v>
      </c>
      <c r="AD32" s="581">
        <v>1.00423</v>
      </c>
      <c r="AE32" s="547">
        <v>0.022029999999999998</v>
      </c>
      <c r="AF32" s="547">
        <v>0.21877749021799892</v>
      </c>
      <c r="AG32" s="547">
        <v>0.399465</v>
      </c>
      <c r="AH32" s="547">
        <v>0.06958400000000001</v>
      </c>
      <c r="AI32" s="551">
        <v>49.7222</v>
      </c>
      <c r="AJ32" s="551">
        <v>1.52846</v>
      </c>
      <c r="AK32" s="551">
        <v>98.8953</v>
      </c>
      <c r="AL32" s="551">
        <v>10.78947</v>
      </c>
      <c r="AM32" s="551">
        <v>7.69298</v>
      </c>
      <c r="AN32" s="551">
        <v>7.77193</v>
      </c>
      <c r="AO32" s="581">
        <v>0.95642</v>
      </c>
      <c r="AP32" s="581">
        <v>1.09793</v>
      </c>
      <c r="AQ32" s="84" t="s">
        <v>553</v>
      </c>
      <c r="AR32" s="84" t="s">
        <v>550</v>
      </c>
      <c r="AS32" s="4"/>
      <c r="AT32" s="4"/>
      <c r="AU32" s="47"/>
      <c r="AV32" s="16">
        <f ca="1">AV55</f>
        <v>1e-12</v>
      </c>
      <c r="AW32" s="16"/>
      <c r="AX32" s="84" t="s">
        <v>514</v>
      </c>
      <c r="AY32" s="547">
        <v>0.19078499999999998</v>
      </c>
      <c r="AZ32" s="581">
        <v>1.18583</v>
      </c>
      <c r="BA32" s="547">
        <v>0.016094</v>
      </c>
      <c r="BB32" s="547">
        <v>0.20011679501698756</v>
      </c>
      <c r="BC32" s="547">
        <v>0.276365</v>
      </c>
      <c r="BD32" s="547">
        <v>0.070619</v>
      </c>
      <c r="BE32" s="551">
        <v>56.6022</v>
      </c>
      <c r="BF32" s="551">
        <v>2.93637</v>
      </c>
      <c r="BG32" s="551">
        <v>130.4264</v>
      </c>
      <c r="BH32" s="551">
        <v>22.0195</v>
      </c>
      <c r="BI32" s="551">
        <v>19.49582</v>
      </c>
      <c r="BJ32" s="551">
        <v>18.53482</v>
      </c>
      <c r="BK32" s="581">
        <v>1.15815</v>
      </c>
      <c r="BL32" s="581">
        <v>1.46768</v>
      </c>
      <c r="BM32" s="84" t="s">
        <v>555</v>
      </c>
      <c r="BN32" s="84" t="s">
        <v>547</v>
      </c>
    </row>
    <row r="33" ht="13.5" customHeight="1" spans="1:66" x14ac:dyDescent="0.25">
      <c r="A33" s="4"/>
      <c r="B33" s="4"/>
      <c r="C33" s="47"/>
      <c r="D33" s="16">
        <f ca="1">D56</f>
        <v>1e-12</v>
      </c>
      <c r="E33" s="16"/>
      <c r="F33" s="84" t="s">
        <v>515</v>
      </c>
      <c r="G33" s="550">
        <v>0.138266</v>
      </c>
      <c r="H33" s="581">
        <v>1.27315</v>
      </c>
      <c r="I33" s="550">
        <v>0</v>
      </c>
      <c r="J33" s="550">
        <v>0.2868426045457575</v>
      </c>
      <c r="K33" s="550">
        <v>-0.294551</v>
      </c>
      <c r="L33" s="550">
        <v>-0.081478</v>
      </c>
      <c r="M33" s="551">
        <v>0.462335</v>
      </c>
      <c r="N33" s="551" t="s">
        <v>510</v>
      </c>
      <c r="O33" s="551">
        <v>0.859896</v>
      </c>
      <c r="P33" s="551" t="s">
        <v>510</v>
      </c>
      <c r="Q33" s="551" t="s">
        <v>510</v>
      </c>
      <c r="R33" s="551" t="s">
        <v>510</v>
      </c>
      <c r="S33" s="581">
        <v>4.91787</v>
      </c>
      <c r="T33" s="581">
        <v>5.00201</v>
      </c>
      <c r="U33" s="84" t="s">
        <v>552</v>
      </c>
      <c r="V33" s="84" t="s">
        <v>547</v>
      </c>
      <c r="W33" s="16"/>
      <c r="X33" s="4"/>
      <c r="Y33" s="47"/>
      <c r="Z33" s="16">
        <f ca="1">Z56</f>
        <v>1e-12</v>
      </c>
      <c r="AA33" s="16"/>
      <c r="AB33" s="84" t="s">
        <v>516</v>
      </c>
      <c r="AC33" s="547">
        <v>0.16357</v>
      </c>
      <c r="AD33" s="581">
        <v>0.97956</v>
      </c>
      <c r="AE33" s="547">
        <v>0.028730000000000002</v>
      </c>
      <c r="AF33" s="547">
        <v>0.47399097894209075</v>
      </c>
      <c r="AG33" s="547">
        <v>1.395308</v>
      </c>
      <c r="AH33" s="547">
        <v>0.11113300000000001</v>
      </c>
      <c r="AI33" s="551">
        <v>68.7506</v>
      </c>
      <c r="AJ33" s="551">
        <v>1.2993</v>
      </c>
      <c r="AK33" s="551">
        <v>220.0066</v>
      </c>
      <c r="AL33" s="551">
        <v>17.29949</v>
      </c>
      <c r="AM33" s="551">
        <v>14.31134</v>
      </c>
      <c r="AN33" s="551">
        <v>15.0203</v>
      </c>
      <c r="AO33" s="581">
        <v>1.05383</v>
      </c>
      <c r="AP33" s="581">
        <v>1.3908</v>
      </c>
      <c r="AQ33" s="84" t="s">
        <v>549</v>
      </c>
      <c r="AR33" s="84" t="s">
        <v>547</v>
      </c>
      <c r="AS33" s="4"/>
      <c r="AT33" s="4"/>
      <c r="AU33" s="47"/>
      <c r="AV33" s="16">
        <f ca="1">AV56</f>
        <v>1e-12</v>
      </c>
      <c r="AW33" s="16"/>
      <c r="AX33" s="84" t="s">
        <v>517</v>
      </c>
      <c r="AY33" s="547">
        <v>0.214669</v>
      </c>
      <c r="AZ33" s="581">
        <v>1.04534</v>
      </c>
      <c r="BA33" s="547">
        <v>0.004701</v>
      </c>
      <c r="BB33" s="547">
        <v>0.06270278611855058</v>
      </c>
      <c r="BC33" s="547">
        <v>0.101626</v>
      </c>
      <c r="BD33" s="547">
        <v>0.045176</v>
      </c>
      <c r="BE33" s="551">
        <v>48.453</v>
      </c>
      <c r="BF33" s="551">
        <v>4.87567</v>
      </c>
      <c r="BG33" s="551">
        <v>93.9979</v>
      </c>
      <c r="BH33" s="551">
        <v>9.22979</v>
      </c>
      <c r="BI33" s="551">
        <v>9.08725</v>
      </c>
      <c r="BJ33" s="551">
        <v>6.53769</v>
      </c>
      <c r="BK33" s="581">
        <v>0.58702</v>
      </c>
      <c r="BL33" s="581">
        <v>0.71686</v>
      </c>
      <c r="BM33" s="84" t="s">
        <v>546</v>
      </c>
      <c r="BN33" s="84" t="s">
        <v>547</v>
      </c>
    </row>
    <row r="34" ht="13.5" customHeight="1" spans="1:66" x14ac:dyDescent="0.25">
      <c r="A34" s="4"/>
      <c r="B34" s="4"/>
      <c r="C34" s="47"/>
      <c r="D34" s="16">
        <f ca="1">D57</f>
        <v>1e-12</v>
      </c>
      <c r="E34" s="16"/>
      <c r="F34" s="84" t="s">
        <v>518</v>
      </c>
      <c r="G34" s="550">
        <v>0.16249300000000003</v>
      </c>
      <c r="H34" s="581">
        <v>0.99925</v>
      </c>
      <c r="I34" s="550">
        <v>0</v>
      </c>
      <c r="J34" s="550">
        <v>0.2168266854269613</v>
      </c>
      <c r="K34" s="550">
        <v>0.282898</v>
      </c>
      <c r="L34" s="550">
        <v>0.12759399999999999</v>
      </c>
      <c r="M34" s="551">
        <v>0.111302</v>
      </c>
      <c r="N34" s="551">
        <v>0.48231</v>
      </c>
      <c r="O34" s="551">
        <v>0.125242</v>
      </c>
      <c r="P34" s="551">
        <v>428.06667</v>
      </c>
      <c r="Q34" s="551">
        <v>263.02222</v>
      </c>
      <c r="R34" s="551">
        <v>305.36296</v>
      </c>
      <c r="S34" s="581">
        <v>2.95735</v>
      </c>
      <c r="T34" s="581">
        <v>3.06676</v>
      </c>
      <c r="U34" s="84" t="s">
        <v>548</v>
      </c>
      <c r="V34" s="84" t="s">
        <v>547</v>
      </c>
      <c r="W34" s="16"/>
      <c r="X34" s="4"/>
      <c r="Y34" s="47"/>
      <c r="Z34" s="16">
        <f ca="1">Z57</f>
        <v>1e-12</v>
      </c>
      <c r="AA34" s="16"/>
      <c r="AB34" s="84" t="s">
        <v>519</v>
      </c>
      <c r="AC34" s="547">
        <v>0.144581</v>
      </c>
      <c r="AD34" s="581">
        <v>0.83876</v>
      </c>
      <c r="AE34" s="547">
        <v>0.017213</v>
      </c>
      <c r="AF34" s="547">
        <v>0.17260347844787285</v>
      </c>
      <c r="AG34" s="547">
        <v>0.435548</v>
      </c>
      <c r="AH34" s="547">
        <v>0.063013</v>
      </c>
      <c r="AI34" s="551">
        <v>61.0894</v>
      </c>
      <c r="AJ34" s="551">
        <v>2.79754</v>
      </c>
      <c r="AK34" s="551">
        <v>156.9997</v>
      </c>
      <c r="AL34" s="551">
        <v>10.0118</v>
      </c>
      <c r="AM34" s="551">
        <v>7.6172</v>
      </c>
      <c r="AN34" s="551">
        <v>7.13153</v>
      </c>
      <c r="AO34" s="581">
        <v>1.2881</v>
      </c>
      <c r="AP34" s="581">
        <v>1.60167</v>
      </c>
      <c r="AQ34" s="84" t="s">
        <v>546</v>
      </c>
      <c r="AR34" s="84" t="s">
        <v>547</v>
      </c>
      <c r="AS34" s="4"/>
      <c r="AT34" s="4"/>
      <c r="AU34" s="47"/>
      <c r="AV34" s="16">
        <f ca="1">AV57</f>
        <v>1e-12</v>
      </c>
      <c r="AW34" s="16"/>
      <c r="AX34" s="84" t="s">
        <v>520</v>
      </c>
      <c r="AY34" s="547">
        <v>0.147751</v>
      </c>
      <c r="AZ34" s="581">
        <v>1.53469</v>
      </c>
      <c r="BA34" s="547">
        <v>0.01928</v>
      </c>
      <c r="BB34" s="547">
        <v>0.1875555315535677</v>
      </c>
      <c r="BC34" s="547">
        <v>0.276819</v>
      </c>
      <c r="BD34" s="547">
        <v>0.085174</v>
      </c>
      <c r="BE34" s="551">
        <v>48.6629</v>
      </c>
      <c r="BF34" s="551">
        <v>2.10102</v>
      </c>
      <c r="BG34" s="551">
        <v>94.791</v>
      </c>
      <c r="BH34" s="551">
        <v>21.77714</v>
      </c>
      <c r="BI34" s="551">
        <v>18.70286</v>
      </c>
      <c r="BJ34" s="551">
        <v>16.27429</v>
      </c>
      <c r="BK34" s="581">
        <v>1.13656</v>
      </c>
      <c r="BL34" s="581">
        <v>1.52221</v>
      </c>
      <c r="BM34" s="84" t="s">
        <v>555</v>
      </c>
      <c r="BN34" s="84" t="s">
        <v>547</v>
      </c>
    </row>
    <row r="35" ht="13.5" customHeight="1" spans="1:66" x14ac:dyDescent="0.25">
      <c r="A35" s="4"/>
      <c r="B35" s="4"/>
      <c r="C35" s="47"/>
      <c r="D35" s="16"/>
      <c r="E35" s="16"/>
      <c r="F35" s="84"/>
      <c r="G35" s="547"/>
      <c r="H35" s="84"/>
      <c r="I35" s="552"/>
      <c r="J35" s="552"/>
      <c r="K35" s="552"/>
      <c r="L35" s="552"/>
      <c r="M35" s="580"/>
      <c r="N35" s="84"/>
      <c r="O35" s="582"/>
      <c r="P35" s="551"/>
      <c r="Q35" s="551"/>
      <c r="R35" s="551"/>
      <c r="S35" s="84"/>
      <c r="T35" s="84"/>
      <c r="U35" s="84"/>
      <c r="V35" s="84"/>
      <c r="W35" s="16"/>
      <c r="X35" s="4"/>
      <c r="Y35" s="47"/>
      <c r="Z35" s="16"/>
      <c r="AA35" s="16"/>
      <c r="AB35" s="84"/>
      <c r="AC35" s="547"/>
      <c r="AD35" s="84"/>
      <c r="AE35" s="552"/>
      <c r="AF35" s="552"/>
      <c r="AG35" s="552"/>
      <c r="AH35" s="552"/>
      <c r="AI35" s="580"/>
      <c r="AJ35" s="84"/>
      <c r="AK35" s="582"/>
      <c r="AL35" s="551"/>
      <c r="AM35" s="551"/>
      <c r="AN35" s="551"/>
      <c r="AO35" s="84"/>
      <c r="AP35" s="84"/>
      <c r="AQ35" s="84"/>
      <c r="AR35" s="84"/>
      <c r="AS35" s="4"/>
      <c r="AT35" s="4"/>
      <c r="AU35" s="47"/>
      <c r="AV35" s="16"/>
      <c r="AW35" s="16"/>
      <c r="AX35" s="84"/>
      <c r="AY35" s="547"/>
      <c r="AZ35" s="84"/>
      <c r="BA35" s="552"/>
      <c r="BB35" s="552"/>
      <c r="BC35" s="552"/>
      <c r="BD35" s="552"/>
      <c r="BE35" s="580"/>
      <c r="BF35" s="84"/>
      <c r="BG35" s="582"/>
      <c r="BH35" s="551"/>
      <c r="BI35" s="551"/>
      <c r="BJ35" s="551"/>
      <c r="BK35" s="84"/>
      <c r="BL35" s="84"/>
      <c r="BM35" s="84"/>
      <c r="BN35" s="84"/>
    </row>
    <row r="36" ht="13.5" customHeight="1" spans="1:66" x14ac:dyDescent="0.25">
      <c r="A36" s="4"/>
      <c r="B36" s="4"/>
      <c r="C36" s="47"/>
      <c r="D36" s="553" t="str">
        <f t="shared" ref="D36:D39" si="12" ca="1">D18</f>
        <v>High</v>
      </c>
      <c r="E36" s="554"/>
      <c r="F36" s="555"/>
      <c r="G36" s="557">
        <f t="shared" ref="G36:T36" si="13" ca="1">MAX(G28:G34)</f>
        <v>0.246026</v>
      </c>
      <c r="H36" s="583">
        <f ca="1">MAX(H28:H34)</f>
        <v>1.32679</v>
      </c>
      <c r="I36" s="557">
        <f ca="1">MAX(I28:I34)</f>
        <v>0.015541000000000001</v>
      </c>
      <c r="J36" s="557">
        <f ca="1">MAX(J28:J34)</f>
        <v>0.5160410896748149</v>
      </c>
      <c r="K36" s="557">
        <f ca="1">MAX(K28:K34)</f>
        <v>3.353264</v>
      </c>
      <c r="L36" s="557">
        <f ca="1">MAX(L28:L34)</f>
        <v>0.19302399999999997</v>
      </c>
      <c r="M36" s="559">
        <f ca="1">MAX(M28:M34)</f>
        <v>0.9480249999999999</v>
      </c>
      <c r="N36" s="559">
        <f ca="1">MAX(N28:N34)</f>
        <v>1.9578</v>
      </c>
      <c r="O36" s="559">
        <f ca="1">MAX(O28:O34)</f>
        <v>18.240083</v>
      </c>
      <c r="P36" s="559">
        <f ca="1">MAX(P28:P34)</f>
        <v>428.06667</v>
      </c>
      <c r="Q36" s="559">
        <f ca="1">MAX(Q28:Q34)</f>
        <v>263.02222</v>
      </c>
      <c r="R36" s="559">
        <f ca="1">MAX(R28:R34)</f>
        <v>305.36296</v>
      </c>
      <c r="S36" s="583">
        <f ca="1">MAX(S28:S34)</f>
        <v>4.91787</v>
      </c>
      <c r="T36" s="583">
        <f ca="1">MAX(T28:T34)</f>
        <v>5.05106</v>
      </c>
      <c r="U36" s="555"/>
      <c r="V36" s="584"/>
      <c r="W36" s="16"/>
      <c r="X36" s="4"/>
      <c r="Y36" s="47"/>
      <c r="Z36" s="553" t="str">
        <f t="shared" ref="Z36:Z39" si="14" ca="1">Z18</f>
        <v>High</v>
      </c>
      <c r="AA36" s="554"/>
      <c r="AB36" s="555"/>
      <c r="AC36" s="561">
        <f t="shared" ref="AC36:AP36" si="15" ca="1">MAX(AC28:AC34)</f>
        <v>0.246026</v>
      </c>
      <c r="AD36" s="583">
        <f ca="1">MAX(AD28:AD34)</f>
        <v>1.62028</v>
      </c>
      <c r="AE36" s="561">
        <f ca="1">MAX(AE28:AE34)</f>
        <v>0.028730000000000002</v>
      </c>
      <c r="AF36" s="561">
        <f ca="1">MAX(AF28:AF34)</f>
        <v>0.47399097894209075</v>
      </c>
      <c r="AG36" s="561">
        <f ca="1">MAX(AG28:AG34)</f>
        <v>3.353264</v>
      </c>
      <c r="AH36" s="561">
        <f ca="1">MAX(AH28:AH34)</f>
        <v>0.153199</v>
      </c>
      <c r="AI36" s="559">
        <f ca="1">MAX(AI28:AI34)</f>
        <v>138.5723</v>
      </c>
      <c r="AJ36" s="559">
        <f ca="1">MAX(AJ28:AJ34)</f>
        <v>4.73816</v>
      </c>
      <c r="AK36" s="559">
        <f ca="1">MAX(AK28:AK34)</f>
        <v>1824.0083</v>
      </c>
      <c r="AL36" s="559">
        <f ca="1">MAX(AL28:AL34)</f>
        <v>17.29949</v>
      </c>
      <c r="AM36" s="559">
        <f ca="1">MAX(AM28:AM34)</f>
        <v>14.31134</v>
      </c>
      <c r="AN36" s="559">
        <f ca="1">MAX(AN28:AN34)</f>
        <v>15.0203</v>
      </c>
      <c r="AO36" s="583">
        <f ca="1">MAX(AO28:AO34)</f>
        <v>1.2881</v>
      </c>
      <c r="AP36" s="583">
        <f ca="1">MAX(AP28:AP34)</f>
        <v>1.60167</v>
      </c>
      <c r="AQ36" s="555"/>
      <c r="AR36" s="584"/>
      <c r="AS36" s="4"/>
      <c r="AT36" s="4"/>
      <c r="AU36" s="47"/>
      <c r="AV36" s="553" t="str">
        <f t="shared" ref="AV36:AV39" si="16" ca="1">AV18</f>
        <v>High</v>
      </c>
      <c r="AW36" s="554"/>
      <c r="AX36" s="555"/>
      <c r="AY36" s="561">
        <f t="shared" ref="AY36:BL36" si="17" ca="1">MAX(AY28:AY34)</f>
        <v>0.246026</v>
      </c>
      <c r="AZ36" s="583">
        <f ca="1">MAX(AZ28:AZ34)</f>
        <v>1.53469</v>
      </c>
      <c r="BA36" s="561">
        <f ca="1">MAX(BA28:BA34)</f>
        <v>0.030351</v>
      </c>
      <c r="BB36" s="561">
        <f ca="1">MAX(BB28:BB34)</f>
        <v>0.39441918935110964</v>
      </c>
      <c r="BC36" s="561">
        <f ca="1">MAX(BC28:BC34)</f>
        <v>3.353264</v>
      </c>
      <c r="BD36" s="561">
        <f ca="1">MAX(BD28:BD34)</f>
        <v>0.153199</v>
      </c>
      <c r="BE36" s="559">
        <f ca="1">MAX(BE28:BE34)</f>
        <v>94.8025</v>
      </c>
      <c r="BF36" s="559">
        <f ca="1">MAX(BF28:BF34)</f>
        <v>11.46958</v>
      </c>
      <c r="BG36" s="559">
        <f ca="1">MAX(BG28:BG34)</f>
        <v>1824.0083</v>
      </c>
      <c r="BH36" s="559">
        <f ca="1">MAX(BH28:BH34)</f>
        <v>22.0195</v>
      </c>
      <c r="BI36" s="559">
        <f ca="1">MAX(BI28:BI34)</f>
        <v>19.49582</v>
      </c>
      <c r="BJ36" s="559">
        <f ca="1">MAX(BJ28:BJ34)</f>
        <v>18.53482</v>
      </c>
      <c r="BK36" s="583">
        <f ca="1">MAX(BK28:BK34)</f>
        <v>1.24245</v>
      </c>
      <c r="BL36" s="583">
        <f ca="1">MAX(BL28:BL34)</f>
        <v>1.885</v>
      </c>
      <c r="BM36" s="555"/>
      <c r="BN36" s="584"/>
    </row>
    <row r="37" ht="13.5" customHeight="1" spans="1:66" x14ac:dyDescent="0.25">
      <c r="A37" s="4"/>
      <c r="B37" s="4"/>
      <c r="C37" s="47"/>
      <c r="D37" s="562" t="str">
        <f ca="1">D19</f>
        <v>Mean</v>
      </c>
      <c r="E37" s="441"/>
      <c r="F37" s="563"/>
      <c r="G37" s="565">
        <f t="shared" ref="G37:T37" si="18" ca="1">AVERAGE(G28:G34)</f>
        <v>0.15848516666666665</v>
      </c>
      <c r="H37" s="585">
        <f ca="1">AVERAGE(H28:H34)</f>
        <v>1.14496</v>
      </c>
      <c r="I37" s="565">
        <f ca="1">AVERAGE(I28:I34)</f>
        <v>0.0048225</v>
      </c>
      <c r="J37" s="565">
        <f ca="1">AVERAGE(J28:J34)</f>
        <v>0.3319615293846772</v>
      </c>
      <c r="K37" s="565">
        <f ca="1">AVERAGE(K28:K34)</f>
        <v>0.8994933333333334</v>
      </c>
      <c r="L37" s="565">
        <f ca="1">AVERAGE(L28:L34)</f>
        <v>0.118242</v>
      </c>
      <c r="M37" s="567">
        <f ca="1">AVERAGE(M28:M34)</f>
        <v>0.4367366666666666</v>
      </c>
      <c r="N37" s="567">
        <f ca="1">AVERAGE(N28:N34)</f>
        <v>1.018134</v>
      </c>
      <c r="O37" s="567">
        <f ca="1">AVERAGE(O28:O34)</f>
        <v>3.627208833333333</v>
      </c>
      <c r="P37" s="567">
        <f ca="1">AVERAGE(P28:P34)</f>
        <v>101.939572</v>
      </c>
      <c r="Q37" s="567">
        <f ca="1">AVERAGE(Q28:Q34)</f>
        <v>66.240966</v>
      </c>
      <c r="R37" s="567">
        <f ca="1">AVERAGE(R28:R34)</f>
        <v>74.18668199999999</v>
      </c>
      <c r="S37" s="585">
        <f ca="1">AVERAGE(S28:S34)</f>
        <v>2.6935466666666663</v>
      </c>
      <c r="T37" s="585">
        <f ca="1">AVERAGE(T28:T34)</f>
        <v>2.959235</v>
      </c>
      <c r="U37" s="563"/>
      <c r="V37" s="586"/>
      <c r="W37" s="16"/>
      <c r="X37" s="4"/>
      <c r="Y37" s="47"/>
      <c r="Z37" s="562" t="str">
        <f ca="1">Z19</f>
        <v>Mean</v>
      </c>
      <c r="AA37" s="441"/>
      <c r="AB37" s="563"/>
      <c r="AC37" s="569">
        <f t="shared" ref="AC37:AP37" si="19" ca="1">AVERAGE(AC28:AC34)</f>
        <v>0.16273283333333333</v>
      </c>
      <c r="AD37" s="585">
        <f ca="1">AVERAGE(AD28:AD34)</f>
        <v>1.1378366666666666</v>
      </c>
      <c r="AE37" s="569">
        <f ca="1">AVERAGE(AE28:AE34)</f>
        <v>0.017900166666666665</v>
      </c>
      <c r="AF37" s="569">
        <f ca="1">AVERAGE(AF28:AF34)</f>
        <v>0.282891019565845</v>
      </c>
      <c r="AG37" s="569">
        <f ca="1">AVERAGE(AG28:AG34)</f>
        <v>0.9414248333333334</v>
      </c>
      <c r="AH37" s="569">
        <f ca="1">AVERAGE(AH28:AH34)</f>
        <v>0.0664525</v>
      </c>
      <c r="AI37" s="567">
        <f ca="1">AVERAGE(AI28:AI34)</f>
        <v>74.05641666666666</v>
      </c>
      <c r="AJ37" s="567">
        <f ca="1">AVERAGE(AJ28:AJ34)</f>
        <v>2.4642519999999997</v>
      </c>
      <c r="AK37" s="567">
        <f ca="1">AVERAGE(AK28:AK34)</f>
        <v>469.13713999999993</v>
      </c>
      <c r="AL37" s="567">
        <f ca="1">AVERAGE(AL28:AL34)</f>
        <v>11.704714</v>
      </c>
      <c r="AM37" s="567">
        <f ca="1">AVERAGE(AM28:AM34)</f>
        <v>9.343114</v>
      </c>
      <c r="AN37" s="567">
        <f ca="1">AVERAGE(AN28:AN34)</f>
        <v>8.835899999999999</v>
      </c>
      <c r="AO37" s="585">
        <f ca="1">AVERAGE(AO28:AO34)</f>
        <v>0.7941383333333333</v>
      </c>
      <c r="AP37" s="585">
        <f ca="1">AVERAGE(AP28:AP34)</f>
        <v>1.3143483333333335</v>
      </c>
      <c r="AQ37" s="563"/>
      <c r="AR37" s="586"/>
      <c r="AS37" s="4"/>
      <c r="AT37" s="4"/>
      <c r="AU37" s="47"/>
      <c r="AV37" s="562" t="str">
        <f ca="1">AV19</f>
        <v>Mean</v>
      </c>
      <c r="AW37" s="441"/>
      <c r="AX37" s="563"/>
      <c r="AY37" s="569">
        <f t="shared" ref="AY37:BL37" si="20" ca="1">AVERAGE(AY28:AY34)</f>
        <v>0.1987185</v>
      </c>
      <c r="AZ37" s="585">
        <f ca="1">AVERAGE(AZ28:AZ34)</f>
        <v>1.1878633333333333</v>
      </c>
      <c r="BA37" s="569">
        <f ca="1">AVERAGE(BA28:BA34)</f>
        <v>0.014830500000000002</v>
      </c>
      <c r="BB37" s="569">
        <f ca="1">AVERAGE(BB28:BB34)</f>
        <v>0.21634205863305597</v>
      </c>
      <c r="BC37" s="569">
        <f ca="1">AVERAGE(BC28:BC34)</f>
        <v>0.7460788333333334</v>
      </c>
      <c r="BD37" s="569">
        <f ca="1">AVERAGE(BD28:BD34)</f>
        <v>0.0776135</v>
      </c>
      <c r="BE37" s="567">
        <f ca="1">AVERAGE(BE28:BE34)</f>
        <v>62.79613333333332</v>
      </c>
      <c r="BF37" s="567">
        <f ca="1">AVERAGE(BF28:BF34)</f>
        <v>4.239505</v>
      </c>
      <c r="BG37" s="567">
        <f ca="1">AVERAGE(BG28:BG34)</f>
        <v>417.7743</v>
      </c>
      <c r="BH37" s="567">
        <f ca="1">AVERAGE(BH28:BH34)</f>
        <v>15.218965000000003</v>
      </c>
      <c r="BI37" s="567">
        <f ca="1">AVERAGE(BI28:BI34)</f>
        <v>13.040391666666666</v>
      </c>
      <c r="BJ37" s="567">
        <f ca="1">AVERAGE(BJ28:BJ34)</f>
        <v>13.441250000000002</v>
      </c>
      <c r="BK37" s="585">
        <f ca="1">AVERAGE(BK28:BK34)</f>
        <v>0.9369216666666667</v>
      </c>
      <c r="BL37" s="585">
        <f ca="1">AVERAGE(BL28:BL34)</f>
        <v>1.3934300000000002</v>
      </c>
      <c r="BM37" s="563"/>
      <c r="BN37" s="586"/>
    </row>
    <row r="38" ht="13.5" customHeight="1" spans="1:66" x14ac:dyDescent="0.25">
      <c r="A38" s="4"/>
      <c r="B38" s="4"/>
      <c r="C38" s="47"/>
      <c r="D38" s="562" t="str">
        <f ca="1">D20</f>
        <v>Median</v>
      </c>
      <c r="E38" s="441"/>
      <c r="F38" s="441"/>
      <c r="G38" s="565">
        <f t="shared" ref="G38:T38" si="21" ca="1">MEDIAN(G28:G34)</f>
        <v>0.1412735</v>
      </c>
      <c r="H38" s="585">
        <f ca="1">MEDIAN(H28:H34)</f>
        <v>1.23796</v>
      </c>
      <c r="I38" s="565">
        <f ca="1">MEDIAN(I28:I34)</f>
        <v>0.0029604999999999996</v>
      </c>
      <c r="J38" s="565">
        <f ca="1">MEDIAN(J28:J34)</f>
        <v>0.28881980365470994</v>
      </c>
      <c r="K38" s="565">
        <f ca="1">MEDIAN(K28:K34)</f>
        <v>0.3920515</v>
      </c>
      <c r="L38" s="565">
        <f ca="1">MEDIAN(L28:L34)</f>
        <v>0.1454045</v>
      </c>
      <c r="M38" s="567">
        <f ca="1">MEDIAN(M28:M34)</f>
        <v>0.4146055</v>
      </c>
      <c r="N38" s="567">
        <f ca="1">MEDIAN(N28:N34)</f>
        <v>0.99198</v>
      </c>
      <c r="O38" s="567">
        <f ca="1">MEDIAN(O28:O34)</f>
        <v>0.7196834999999999</v>
      </c>
      <c r="P38" s="567">
        <f ca="1">MEDIAN(P28:P34)</f>
        <v>30.68013</v>
      </c>
      <c r="Q38" s="567">
        <f ca="1">MEDIAN(Q28:Q34)</f>
        <v>26.74721</v>
      </c>
      <c r="R38" s="567">
        <f ca="1">MEDIAN(R28:R34)</f>
        <v>23.07275</v>
      </c>
      <c r="S38" s="585">
        <f ca="1">MEDIAN(S28:S34)</f>
        <v>2.427835</v>
      </c>
      <c r="T38" s="585">
        <f ca="1">MEDIAN(T28:T34)</f>
        <v>2.573375</v>
      </c>
      <c r="U38" s="563"/>
      <c r="V38" s="586"/>
      <c r="W38" s="16"/>
      <c r="X38" s="4"/>
      <c r="Y38" s="47"/>
      <c r="Z38" s="562" t="str">
        <f ca="1">Z20</f>
        <v>Median</v>
      </c>
      <c r="AA38" s="441"/>
      <c r="AB38" s="441"/>
      <c r="AC38" s="569">
        <f t="shared" ref="AC38:AP38" si="22" ca="1">MEDIAN(AC28:AC34)</f>
        <v>0.1426605</v>
      </c>
      <c r="AD38" s="585">
        <f ca="1">MEDIAN(AD28:AD34)</f>
        <v>1.030815</v>
      </c>
      <c r="AE38" s="569">
        <f ca="1">MEDIAN(AE28:AE34)</f>
        <v>0.0196215</v>
      </c>
      <c r="AF38" s="569">
        <f ca="1">MEDIAN(AF28:AF34)</f>
        <v>0.21877749021799892</v>
      </c>
      <c r="AG38" s="569">
        <f ca="1">MEDIAN(AG28:AG34)</f>
        <v>0.4175065</v>
      </c>
      <c r="AH38" s="569">
        <f ca="1">MEDIAN(AH28:AH34)</f>
        <v>0.06629850000000001</v>
      </c>
      <c r="AI38" s="567">
        <f ca="1">MEDIAN(AI28:AI34)</f>
        <v>64.92</v>
      </c>
      <c r="AJ38" s="567">
        <f ca="1">MEDIAN(AJ28:AJ34)</f>
        <v>1.9578</v>
      </c>
      <c r="AK38" s="567">
        <f ca="1">MEDIAN(AK28:AK34)</f>
        <v>156.9997</v>
      </c>
      <c r="AL38" s="567">
        <f ca="1">MEDIAN(AL28:AL34)</f>
        <v>10.78947</v>
      </c>
      <c r="AM38" s="567">
        <f ca="1">MEDIAN(AM28:AM34)</f>
        <v>7.69298</v>
      </c>
      <c r="AN38" s="567">
        <f ca="1">MEDIAN(AN28:AN34)</f>
        <v>7.77193</v>
      </c>
      <c r="AO38" s="585">
        <f ca="1">MEDIAN(AO28:AO34)</f>
        <v>0.868565</v>
      </c>
      <c r="AP38" s="585">
        <f ca="1">MEDIAN(AP28:AP34)</f>
        <v>1.3004</v>
      </c>
      <c r="AQ38" s="563"/>
      <c r="AR38" s="586"/>
      <c r="AS38" s="4"/>
      <c r="AT38" s="4"/>
      <c r="AU38" s="47"/>
      <c r="AV38" s="562" t="str">
        <f ca="1">AV20</f>
        <v>Median</v>
      </c>
      <c r="AW38" s="441"/>
      <c r="AX38" s="441"/>
      <c r="AY38" s="569">
        <f t="shared" ref="AY38:BL38" si="23" ca="1">MEDIAN(AY28:AY34)</f>
        <v>0.19654</v>
      </c>
      <c r="AZ38" s="585">
        <f ca="1">MEDIAN(AZ28:AZ34)</f>
        <v>1.13117</v>
      </c>
      <c r="BA38" s="569">
        <f ca="1">MEDIAN(BA28:BA34)</f>
        <v>0.0158175</v>
      </c>
      <c r="BB38" s="569">
        <f ca="1">MEDIAN(BB28:BB34)</f>
        <v>0.21337290994802385</v>
      </c>
      <c r="BC38" s="569">
        <f ca="1">MEDIAN(BC28:BC34)</f>
        <v>0.276592</v>
      </c>
      <c r="BD38" s="569">
        <f ca="1">MEDIAN(BD28:BD34)</f>
        <v>0.07789650000000001</v>
      </c>
      <c r="BE38" s="567">
        <f ca="1">MEDIAN(BE28:BE34)</f>
        <v>58.53255</v>
      </c>
      <c r="BF38" s="567">
        <f ca="1">MEDIAN(BF28:BF34)</f>
        <v>2.518695</v>
      </c>
      <c r="BG38" s="567">
        <f ca="1">MEDIAN(BG28:BG34)</f>
        <v>141.67669999999998</v>
      </c>
      <c r="BH38" s="567">
        <f ca="1">MEDIAN(BH28:BH34)</f>
        <v>16.591540000000002</v>
      </c>
      <c r="BI38" s="567">
        <f ca="1">MEDIAN(BI28:BI34)</f>
        <v>14.145875</v>
      </c>
      <c r="BJ38" s="567">
        <f ca="1">MEDIAN(BJ28:BJ34)</f>
        <v>13.36862</v>
      </c>
      <c r="BK38" s="585">
        <f ca="1">MEDIAN(BK28:BK34)</f>
        <v>1.1473550000000001</v>
      </c>
      <c r="BL38" s="585">
        <f ca="1">MEDIAN(BL28:BL34)</f>
        <v>1.494945</v>
      </c>
      <c r="BM38" s="563"/>
      <c r="BN38" s="586"/>
    </row>
    <row r="39" ht="13.5" customHeight="1" spans="1:66" x14ac:dyDescent="0.25">
      <c r="A39" s="4"/>
      <c r="B39" s="4"/>
      <c r="C39" s="47" t="s">
        <v>1</v>
      </c>
      <c r="D39" s="570" t="str">
        <f ca="1">D21</f>
        <v>Low</v>
      </c>
      <c r="E39" s="571"/>
      <c r="F39" s="571"/>
      <c r="G39" s="573">
        <f t="shared" ref="G39:T39" si="24" ca="1">MIN(G28:G34)</f>
        <v>0.12157899999999999</v>
      </c>
      <c r="H39" s="587">
        <f ca="1">MIN(H28:H34)</f>
        <v>0.77608</v>
      </c>
      <c r="I39" s="573">
        <f ca="1">MIN(I28:I34)</f>
      </c>
      <c r="J39" s="573">
        <f ca="1">MIN(J28:J34)</f>
        <v>0.2168266854269613</v>
      </c>
      <c r="K39" s="573">
        <f ca="1">MIN(K28:K34)</f>
        <v>-0.294551</v>
      </c>
      <c r="L39" s="573">
        <f ca="1">MIN(L28:L34)</f>
        <v>-0.081478</v>
      </c>
      <c r="M39" s="575">
        <f ca="1">MIN(M28:M34)</f>
        <v>0.08013999999999999</v>
      </c>
      <c r="N39" s="575">
        <f ca="1">MIN(N28:N34)</f>
        <v>0.27133</v>
      </c>
      <c r="O39" s="575">
        <f ca="1">MIN(O28:O34)</f>
        <v>0.08712199999999999</v>
      </c>
      <c r="P39" s="575">
        <f ca="1">MIN(P28:P34)</f>
      </c>
      <c r="Q39" s="575">
        <f ca="1">MIN(Q28:Q34)</f>
      </c>
      <c r="R39" s="575">
        <f ca="1">MIN(R28:R34)</f>
      </c>
      <c r="S39" s="587">
        <f ca="1">MIN(S28:S34)</f>
        <v>0.27742</v>
      </c>
      <c r="T39" s="587">
        <f ca="1">MIN(T28:T34)</f>
        <v>1.19199</v>
      </c>
      <c r="U39" s="588"/>
      <c r="V39" s="589"/>
      <c r="W39" s="16"/>
      <c r="X39" s="4"/>
      <c r="Y39" s="47" t="s">
        <v>1</v>
      </c>
      <c r="Z39" s="570" t="str">
        <f ca="1">Z21</f>
        <v>Low</v>
      </c>
      <c r="AA39" s="571"/>
      <c r="AB39" s="571"/>
      <c r="AC39" s="577">
        <f t="shared" ref="AC39:AP39" si="25" ca="1">MIN(AC28:AC34)</f>
        <v>0.14074</v>
      </c>
      <c r="AD39" s="587">
        <f ca="1">MIN(AD28:AD34)</f>
        <v>0.83876</v>
      </c>
      <c r="AE39" s="577">
        <f ca="1">MIN(AE28:AE34)</f>
      </c>
      <c r="AF39" s="577">
        <f ca="1">MIN(AF28:AF34)</f>
        <v>0.17260347844787285</v>
      </c>
      <c r="AG39" s="577">
        <f ca="1">MIN(AG28:AG34)</f>
        <v>0.032482000000000004</v>
      </c>
      <c r="AH39" s="577">
        <f ca="1">MIN(AH28:AH34)</f>
        <v>-0.016131</v>
      </c>
      <c r="AI39" s="575">
        <f ca="1">MIN(AI28:AI34)</f>
        <v>31.4015</v>
      </c>
      <c r="AJ39" s="575">
        <f ca="1">MIN(AJ28:AJ34)</f>
        <v>1.2993</v>
      </c>
      <c r="AK39" s="575">
        <f ca="1">MIN(AK28:AK34)</f>
        <v>45.7758</v>
      </c>
      <c r="AL39" s="575">
        <f ca="1">MIN(AL28:AL34)</f>
        <v>5.0696</v>
      </c>
      <c r="AM39" s="575">
        <f ca="1">MIN(AM28:AM34)</f>
        <v>3.79474</v>
      </c>
      <c r="AN39" s="575">
        <f ca="1">MIN(AN28:AN34)</f>
        <v>1.76491</v>
      </c>
      <c r="AO39" s="587">
        <f ca="1">MIN(AO28:AO34)</f>
        <v>0.27742</v>
      </c>
      <c r="AP39" s="587">
        <f ca="1">MIN(AP28:AP34)</f>
        <v>1.09793</v>
      </c>
      <c r="AQ39" s="588"/>
      <c r="AR39" s="589"/>
      <c r="AS39" s="4"/>
      <c r="AT39" s="4"/>
      <c r="AU39" s="47" t="s">
        <v>1</v>
      </c>
      <c r="AV39" s="570" t="str">
        <f ca="1">AV21</f>
        <v>Low</v>
      </c>
      <c r="AW39" s="571"/>
      <c r="AX39" s="571"/>
      <c r="AY39" s="577">
        <f t="shared" ref="AY39:BL39" si="26" ca="1">MIN(AY28:AY34)</f>
        <v>0.147751</v>
      </c>
      <c r="AZ39" s="587">
        <f ca="1">MIN(AZ28:AZ34)</f>
        <v>0.95802</v>
      </c>
      <c r="BA39" s="577">
        <f ca="1">MIN(BA28:BA34)</f>
        <v>0.0030159999999999996</v>
      </c>
      <c r="BB39" s="577">
        <f ca="1">MIN(BB28:BB34)</f>
        <v>0.06270278611855058</v>
      </c>
      <c r="BC39" s="577">
        <f ca="1">MIN(BC28:BC34)</f>
        <v>0.002275</v>
      </c>
      <c r="BD39" s="577">
        <f ca="1">MIN(BD28:BD34)</f>
        <v>0.0022489999999999997</v>
      </c>
      <c r="BE39" s="575">
        <f ca="1">MIN(BE28:BE34)</f>
        <v>48.453</v>
      </c>
      <c r="BF39" s="575">
        <f ca="1">MIN(BF28:BF34)</f>
        <v>1.9578</v>
      </c>
      <c r="BG39" s="575">
        <f ca="1">MIN(BG28:BG34)</f>
        <v>93.9979</v>
      </c>
      <c r="BH39" s="575">
        <f ca="1">MIN(BH28:BH34)</f>
        <v>5.10428</v>
      </c>
      <c r="BI39" s="575">
        <f ca="1">MIN(BI28:BI34)</f>
        <v>2.66467</v>
      </c>
      <c r="BJ39" s="575">
        <f ca="1">MIN(BJ28:BJ34)</f>
        <v>6.53769</v>
      </c>
      <c r="BK39" s="587">
        <f ca="1">MIN(BK28:BK34)</f>
        <v>0.27742</v>
      </c>
      <c r="BL39" s="587">
        <f ca="1">MIN(BL28:BL34)</f>
        <v>0.71686</v>
      </c>
      <c r="BM39" s="588"/>
      <c r="BN39" s="589"/>
    </row>
    <row r="40" ht="13.5" customHeight="1" spans="1:66" x14ac:dyDescent="0.25">
      <c r="A40" s="4"/>
      <c r="B40" s="4"/>
      <c r="C40" s="47"/>
      <c r="D40" s="16"/>
      <c r="E40" s="16"/>
      <c r="F40" s="16"/>
      <c r="G40" s="16"/>
      <c r="H40" s="16"/>
      <c r="I40" s="16"/>
      <c r="J40" s="16"/>
      <c r="K40" s="16"/>
      <c r="L40" s="16"/>
      <c r="M40" s="16"/>
      <c r="N40" s="16"/>
      <c r="O40" s="16"/>
      <c r="P40" s="16"/>
      <c r="Q40" s="16"/>
      <c r="R40" s="16"/>
      <c r="S40" s="16"/>
      <c r="T40" s="16"/>
      <c r="U40" s="16"/>
      <c r="V40" s="16"/>
      <c r="W40" s="16"/>
      <c r="X40" s="4"/>
      <c r="Y40" s="47"/>
      <c r="Z40" s="16"/>
      <c r="AA40" s="16"/>
      <c r="AB40" s="16"/>
      <c r="AC40" s="16"/>
      <c r="AD40" s="16"/>
      <c r="AE40" s="16"/>
      <c r="AF40" s="16"/>
      <c r="AG40" s="16"/>
      <c r="AH40" s="16"/>
      <c r="AI40" s="16"/>
      <c r="AJ40" s="16"/>
      <c r="AK40" s="16"/>
      <c r="AL40" s="16"/>
      <c r="AM40" s="16"/>
      <c r="AN40" s="16"/>
      <c r="AO40" s="16"/>
      <c r="AP40" s="16"/>
      <c r="AQ40" s="16"/>
      <c r="AR40" s="16"/>
      <c r="AS40" s="4"/>
      <c r="AT40" s="4"/>
      <c r="AU40" s="47"/>
      <c r="AV40" s="16"/>
      <c r="AW40" s="16"/>
      <c r="AX40" s="16"/>
      <c r="AY40" s="16"/>
      <c r="AZ40" s="16"/>
      <c r="BA40" s="16"/>
      <c r="BB40" s="16"/>
      <c r="BC40" s="16"/>
      <c r="BD40" s="16"/>
      <c r="BE40" s="16"/>
      <c r="BF40" s="16"/>
      <c r="BG40" s="16"/>
      <c r="BH40" s="16"/>
      <c r="BI40" s="16"/>
      <c r="BJ40" s="16"/>
      <c r="BK40" s="16"/>
      <c r="BL40" s="16"/>
      <c r="BM40" s="16"/>
      <c r="BN40" s="16"/>
    </row>
    <row r="41" ht="13.5" customHeight="1" spans="1:66" x14ac:dyDescent="0.25">
      <c r="A41" s="4"/>
      <c r="B41" s="4"/>
      <c r="C41" s="47"/>
      <c r="D41" s="16"/>
      <c r="E41" s="16"/>
      <c r="F41" s="16"/>
      <c r="G41" s="16"/>
      <c r="H41" s="16"/>
      <c r="I41" s="16"/>
      <c r="J41" s="16"/>
      <c r="K41" s="16"/>
      <c r="L41" s="16"/>
      <c r="M41" s="16"/>
      <c r="N41" s="16"/>
      <c r="O41" s="16"/>
      <c r="P41" s="16"/>
      <c r="Q41" s="16"/>
      <c r="R41" s="16"/>
      <c r="S41" s="16"/>
      <c r="T41" s="16"/>
      <c r="U41" s="16"/>
      <c r="V41" s="16"/>
      <c r="W41" s="16"/>
      <c r="X41" s="4"/>
      <c r="Y41" s="47"/>
      <c r="Z41" s="16"/>
      <c r="AA41" s="16"/>
      <c r="AB41" s="16"/>
      <c r="AC41" s="16"/>
      <c r="AD41" s="16"/>
      <c r="AE41" s="16"/>
      <c r="AF41" s="16"/>
      <c r="AG41" s="16"/>
      <c r="AH41" s="16"/>
      <c r="AI41" s="16"/>
      <c r="AJ41" s="16"/>
      <c r="AK41" s="16"/>
      <c r="AL41" s="16"/>
      <c r="AM41" s="16"/>
      <c r="AN41" s="16"/>
      <c r="AO41" s="16"/>
      <c r="AP41" s="16"/>
      <c r="AQ41" s="16"/>
      <c r="AR41" s="16"/>
      <c r="AS41" s="4"/>
      <c r="AT41" s="4"/>
      <c r="AU41" s="47"/>
      <c r="AV41" s="16"/>
      <c r="AW41" s="16"/>
      <c r="AX41" s="16"/>
      <c r="AY41" s="16"/>
      <c r="AZ41" s="16"/>
      <c r="BA41" s="16"/>
      <c r="BB41" s="16"/>
      <c r="BC41" s="16"/>
      <c r="BD41" s="16"/>
      <c r="BE41" s="16"/>
      <c r="BF41" s="16"/>
      <c r="BG41" s="16"/>
      <c r="BH41" s="16"/>
      <c r="BI41" s="16"/>
      <c r="BJ41" s="16"/>
      <c r="BK41" s="16"/>
      <c r="BL41" s="16"/>
      <c r="BM41" s="16"/>
      <c r="BN41" s="16"/>
    </row>
    <row r="42" ht="13.5" customHeight="1" spans="1:66" x14ac:dyDescent="0.25">
      <c r="A42" s="4"/>
      <c r="B42" s="4"/>
      <c r="C42" s="47"/>
      <c r="D42" s="590"/>
      <c r="E42" s="590"/>
      <c r="F42" s="590"/>
      <c r="G42" s="591"/>
      <c r="H42" s="592"/>
      <c r="I42" s="591"/>
      <c r="J42" s="591"/>
      <c r="K42" s="591"/>
      <c r="L42" s="591"/>
      <c r="M42" s="591"/>
      <c r="N42" s="593"/>
      <c r="O42" s="591"/>
      <c r="P42" s="593"/>
      <c r="Q42" s="594"/>
      <c r="R42" s="593"/>
      <c r="S42" s="590"/>
      <c r="T42" s="591"/>
      <c r="U42" s="592"/>
      <c r="V42" s="592"/>
      <c r="W42" s="590"/>
      <c r="X42" s="4"/>
      <c r="Y42" s="47"/>
      <c r="Z42" s="590"/>
      <c r="AA42" s="590"/>
      <c r="AB42" s="590"/>
      <c r="AC42" s="591"/>
      <c r="AD42" s="592"/>
      <c r="AE42" s="591"/>
      <c r="AF42" s="591"/>
      <c r="AG42" s="591"/>
      <c r="AH42" s="591"/>
      <c r="AI42" s="591"/>
      <c r="AJ42" s="593"/>
      <c r="AK42" s="591"/>
      <c r="AL42" s="593"/>
      <c r="AM42" s="594"/>
      <c r="AN42" s="593"/>
      <c r="AO42" s="590"/>
      <c r="AP42" s="591"/>
      <c r="AQ42" s="592"/>
      <c r="AR42" s="592"/>
      <c r="AS42" s="4"/>
      <c r="AT42" s="4"/>
      <c r="AU42" s="47"/>
      <c r="AV42" s="590"/>
      <c r="AW42" s="590"/>
      <c r="AX42" s="590"/>
      <c r="AY42" s="591"/>
      <c r="AZ42" s="592"/>
      <c r="BA42" s="591"/>
      <c r="BB42" s="591"/>
      <c r="BC42" s="591"/>
      <c r="BD42" s="591"/>
      <c r="BE42" s="591"/>
      <c r="BF42" s="593"/>
      <c r="BG42" s="591"/>
      <c r="BH42" s="593"/>
      <c r="BI42" s="594"/>
      <c r="BJ42" s="593"/>
      <c r="BK42" s="590"/>
      <c r="BL42" s="591"/>
      <c r="BM42" s="592"/>
      <c r="BN42" s="592"/>
    </row>
    <row r="43" ht="13.5" customHeight="1" spans="1:66" x14ac:dyDescent="0.25" outlineLevel="1" collapsed="1">
      <c r="A43" s="4"/>
      <c r="B43" s="4"/>
      <c r="C43" s="47" t="s">
        <v>556</v>
      </c>
      <c r="D43" s="16"/>
      <c r="E43" s="16"/>
      <c r="F43" s="16"/>
      <c r="G43" s="595"/>
      <c r="H43" s="84"/>
      <c r="I43" s="595"/>
      <c r="J43" s="595"/>
      <c r="K43" s="595"/>
      <c r="L43" s="595"/>
      <c r="M43" s="595"/>
      <c r="N43" s="551"/>
      <c r="O43" s="595"/>
      <c r="P43" s="551"/>
      <c r="Q43" s="548"/>
      <c r="R43" s="551"/>
      <c r="S43" s="16"/>
      <c r="T43" s="595"/>
      <c r="U43" s="84"/>
      <c r="V43" s="84"/>
      <c r="W43" s="16"/>
      <c r="X43" s="4"/>
      <c r="Y43" s="47" t="s">
        <v>556</v>
      </c>
      <c r="Z43" s="16"/>
      <c r="AA43" s="16"/>
      <c r="AB43" s="16"/>
      <c r="AC43" s="595"/>
      <c r="AD43" s="84"/>
      <c r="AE43" s="595"/>
      <c r="AF43" s="595"/>
      <c r="AG43" s="595"/>
      <c r="AH43" s="595"/>
      <c r="AI43" s="595"/>
      <c r="AJ43" s="551"/>
      <c r="AK43" s="595"/>
      <c r="AL43" s="551"/>
      <c r="AM43" s="548"/>
      <c r="AN43" s="551"/>
      <c r="AO43" s="16"/>
      <c r="AP43" s="595"/>
      <c r="AQ43" s="84"/>
      <c r="AR43" s="84"/>
      <c r="AS43" s="4"/>
      <c r="AT43" s="4"/>
      <c r="AU43" s="47" t="s">
        <v>556</v>
      </c>
      <c r="AV43" s="16"/>
      <c r="AW43" s="16"/>
      <c r="AX43" s="16"/>
      <c r="AY43" s="595"/>
      <c r="AZ43" s="84"/>
      <c r="BA43" s="595"/>
      <c r="BB43" s="595"/>
      <c r="BC43" s="595"/>
      <c r="BD43" s="595"/>
      <c r="BE43" s="595"/>
      <c r="BF43" s="551"/>
      <c r="BG43" s="595"/>
      <c r="BH43" s="551"/>
      <c r="BI43" s="548"/>
      <c r="BJ43" s="551"/>
      <c r="BK43" s="16"/>
      <c r="BL43" s="595"/>
      <c r="BM43" s="84"/>
      <c r="BN43" s="84"/>
    </row>
    <row r="44" ht="13.5" customHeight="1" spans="1:66" x14ac:dyDescent="0.25" outlineLevel="1" collapsed="1">
      <c r="A44" s="4"/>
      <c r="B44" s="47"/>
      <c r="C44" s="47"/>
      <c r="D44" s="596" t="s">
        <v>557</v>
      </c>
      <c r="E44" s="597"/>
      <c r="F44" s="16"/>
      <c r="G44" s="595"/>
      <c r="H44" s="84"/>
      <c r="I44" s="595"/>
      <c r="J44" s="595"/>
      <c r="K44" s="595"/>
      <c r="M44" s="595"/>
      <c r="N44" s="551"/>
      <c r="O44" s="595"/>
      <c r="P44" s="551"/>
      <c r="Q44" s="548"/>
      <c r="R44" s="551"/>
      <c r="S44" s="16"/>
      <c r="T44" s="595"/>
      <c r="U44" s="84"/>
      <c r="V44" s="84"/>
      <c r="W44" s="16"/>
      <c r="X44" s="4"/>
      <c r="Y44" s="47"/>
      <c r="AB44" s="16"/>
      <c r="AC44" s="595"/>
      <c r="AD44" s="84"/>
      <c r="AE44" s="595"/>
      <c r="AF44" s="595"/>
      <c r="AG44" s="595"/>
      <c r="AH44" s="595"/>
      <c r="AI44" s="595"/>
      <c r="AJ44" s="551"/>
      <c r="AK44" s="595"/>
      <c r="AL44" s="551"/>
      <c r="AM44" s="548"/>
      <c r="AN44" s="551"/>
      <c r="AO44" s="16"/>
      <c r="AP44" s="595"/>
      <c r="AQ44" s="84"/>
      <c r="AR44" s="84"/>
      <c r="AS44" s="4"/>
      <c r="AT44" s="4"/>
      <c r="AU44" s="47"/>
      <c r="AX44" s="16"/>
      <c r="AY44" s="595"/>
      <c r="AZ44" s="84"/>
      <c r="BA44" s="595"/>
      <c r="BB44" s="595"/>
      <c r="BC44" s="595"/>
      <c r="BD44" s="595"/>
      <c r="BE44" s="595"/>
      <c r="BF44" s="551"/>
      <c r="BG44" s="595"/>
      <c r="BH44" s="551"/>
      <c r="BI44" s="548"/>
      <c r="BJ44" s="551"/>
      <c r="BK44" s="16"/>
      <c r="BL44" s="595"/>
      <c r="BM44" s="84"/>
      <c r="BN44" s="84"/>
    </row>
    <row r="45" ht="13.5" customHeight="1" spans="1:66" x14ac:dyDescent="0.25" outlineLevel="1" collapsed="1">
      <c r="A45" s="4"/>
      <c r="D45" s="598"/>
      <c r="E45" s="598"/>
      <c r="F45" s="47"/>
      <c r="G45" s="199"/>
      <c r="H45" s="199"/>
      <c r="I45" s="199"/>
      <c r="J45" s="199"/>
      <c r="K45" s="199"/>
      <c r="M45" s="199"/>
      <c r="N45" s="199"/>
      <c r="O45" s="199"/>
      <c r="P45" s="199"/>
      <c r="Q45" s="199"/>
      <c r="R45" s="199"/>
      <c r="S45" s="47"/>
      <c r="T45" s="199"/>
      <c r="U45" s="199"/>
      <c r="V45" s="199"/>
      <c r="W45" s="16"/>
      <c r="X45" s="4"/>
      <c r="Y45" s="47"/>
      <c r="Z45" s="598"/>
      <c r="AA45" s="598"/>
      <c r="AB45" s="47"/>
      <c r="AC45" s="199"/>
      <c r="AD45" s="199"/>
      <c r="AE45" s="199"/>
      <c r="AF45" s="199"/>
      <c r="AG45" s="199"/>
      <c r="AH45" s="199"/>
      <c r="AI45" s="199"/>
      <c r="AJ45" s="199"/>
      <c r="AK45" s="199"/>
      <c r="AL45" s="199"/>
      <c r="AM45" s="199"/>
      <c r="AN45" s="199"/>
      <c r="AO45" s="47"/>
      <c r="AP45" s="199"/>
      <c r="AQ45" s="199"/>
      <c r="AR45" s="199"/>
      <c r="AS45" s="4"/>
      <c r="AT45" s="4"/>
      <c r="AU45" s="47"/>
      <c r="AV45" s="598"/>
      <c r="AW45" s="598"/>
      <c r="AX45" s="47"/>
      <c r="AY45" s="199"/>
      <c r="AZ45" s="199"/>
      <c r="BA45" s="199"/>
      <c r="BB45" s="199"/>
      <c r="BC45" s="199"/>
      <c r="BD45" s="199"/>
      <c r="BE45" s="199"/>
      <c r="BF45" s="199"/>
      <c r="BG45" s="199"/>
      <c r="BH45" s="199"/>
      <c r="BI45" s="199"/>
      <c r="BJ45" s="199"/>
      <c r="BK45" s="47"/>
      <c r="BL45" s="199"/>
      <c r="BM45" s="199"/>
      <c r="BN45" s="199"/>
    </row>
    <row r="46" ht="13.5" customHeight="1" spans="1:66" x14ac:dyDescent="0.25" outlineLevel="1" collapsed="1">
      <c r="A46" s="4"/>
      <c r="D46" s="538" t="str">
        <f ca="1">D4</f>
        <v>Primary Peer Group</v>
      </c>
      <c r="E46" s="66"/>
      <c r="F46" s="66"/>
      <c r="G46" s="66"/>
      <c r="H46" s="66"/>
      <c r="I46" s="66"/>
      <c r="J46" s="66"/>
      <c r="K46" s="66"/>
      <c r="L46" s="66"/>
      <c r="M46" s="66"/>
      <c r="N46" s="66"/>
      <c r="O46" s="66"/>
      <c r="P46" s="66"/>
      <c r="Q46" s="66"/>
      <c r="R46" s="66"/>
      <c r="S46" s="66"/>
      <c r="T46" s="66"/>
      <c r="U46" s="66"/>
      <c r="V46" s="66"/>
      <c r="W46" s="16"/>
      <c r="X46" s="4"/>
      <c r="Y46" s="47"/>
      <c r="Z46" s="538" t="str">
        <f ca="1">Z4</f>
        <v>Defense Peer Group</v>
      </c>
      <c r="AA46" s="66"/>
      <c r="AB46" s="66"/>
      <c r="AC46" s="66"/>
      <c r="AD46" s="66"/>
      <c r="AE46" s="66"/>
      <c r="AF46" s="66"/>
      <c r="AG46" s="66"/>
      <c r="AH46" s="66"/>
      <c r="AI46" s="66"/>
      <c r="AJ46" s="66"/>
      <c r="AK46" s="66"/>
      <c r="AL46" s="66"/>
      <c r="AM46" s="66"/>
      <c r="AN46" s="66"/>
      <c r="AO46" s="66"/>
      <c r="AP46" s="66"/>
      <c r="AQ46" s="66"/>
      <c r="AR46" s="66"/>
      <c r="AS46" s="4"/>
      <c r="AT46" s="4"/>
      <c r="AU46" s="47"/>
      <c r="AV46" s="538" t="str">
        <f ca="1">AV4</f>
        <v>Cap. Goods Peer Group</v>
      </c>
      <c r="AW46" s="66"/>
      <c r="AX46" s="66"/>
      <c r="AY46" s="66"/>
      <c r="AZ46" s="66"/>
      <c r="BA46" s="66"/>
      <c r="BB46" s="66"/>
      <c r="BC46" s="66"/>
      <c r="BD46" s="66"/>
      <c r="BE46" s="66"/>
      <c r="BF46" s="66"/>
      <c r="BG46" s="66"/>
      <c r="BH46" s="66"/>
      <c r="BI46" s="66"/>
      <c r="BJ46" s="66"/>
      <c r="BK46" s="66"/>
      <c r="BL46" s="66"/>
      <c r="BM46" s="66"/>
      <c r="BN46" s="66"/>
    </row>
    <row r="47" ht="13.5" customHeight="1" spans="1:66" x14ac:dyDescent="0.25" outlineLevel="1" collapsed="1">
      <c r="A47" s="4"/>
      <c r="D47" s="84"/>
      <c r="E47" s="84"/>
      <c r="F47" s="16"/>
      <c r="G47" s="16"/>
      <c r="H47" s="16"/>
      <c r="I47" s="16"/>
      <c r="J47" s="16"/>
      <c r="K47" s="16"/>
      <c r="L47" s="16"/>
      <c r="M47" s="16"/>
      <c r="N47" s="16"/>
      <c r="O47" s="16"/>
      <c r="P47" s="16"/>
      <c r="Q47" s="538" t="str">
        <f t="shared" ref="Q47:Q48" si="27" ca="1">Q6</f>
        <v>Enterprise Value / </v>
      </c>
      <c r="R47" s="66"/>
      <c r="S47" s="66"/>
      <c r="T47" s="199">
        <f ca="1">T6</f>
        <v>1e-12</v>
      </c>
      <c r="U47" s="16"/>
      <c r="V47" s="16"/>
      <c r="W47" s="16"/>
      <c r="X47" s="4"/>
      <c r="Y47" s="47"/>
      <c r="Z47" s="84"/>
      <c r="AA47" s="84"/>
      <c r="AB47" s="16"/>
      <c r="AC47" s="16"/>
      <c r="AD47" s="16"/>
      <c r="AE47" s="16"/>
      <c r="AF47" s="16"/>
      <c r="AG47" s="16"/>
      <c r="AH47" s="16"/>
      <c r="AI47" s="16"/>
      <c r="AJ47" s="16"/>
      <c r="AK47" s="16"/>
      <c r="AL47" s="16"/>
      <c r="AM47" s="538" t="str">
        <f t="shared" ref="AM47:AM48" si="28" ca="1">AM6</f>
        <v>Enterprise Value / </v>
      </c>
      <c r="AN47" s="66"/>
      <c r="AO47" s="66"/>
      <c r="AP47" s="199">
        <f ca="1">AP6</f>
        <v>1e-12</v>
      </c>
      <c r="AQ47" s="16"/>
      <c r="AR47" s="16"/>
      <c r="AS47" s="4"/>
      <c r="AT47" s="4"/>
      <c r="AU47" s="47"/>
      <c r="AV47" s="84"/>
      <c r="AW47" s="84"/>
      <c r="AX47" s="16"/>
      <c r="AY47" s="16"/>
      <c r="AZ47" s="16"/>
      <c r="BA47" s="16"/>
      <c r="BB47" s="16"/>
      <c r="BC47" s="16"/>
      <c r="BD47" s="16"/>
      <c r="BE47" s="16"/>
      <c r="BF47" s="16"/>
      <c r="BG47" s="16"/>
      <c r="BH47" s="16"/>
      <c r="BI47" s="538" t="str">
        <f t="shared" ref="BI47:BI48" si="29" ca="1">BI6</f>
        <v>Enterprise Value / </v>
      </c>
      <c r="BJ47" s="66"/>
      <c r="BK47" s="66"/>
      <c r="BL47" s="199">
        <f ca="1">BL6</f>
        <v>1e-12</v>
      </c>
      <c r="BM47" s="16"/>
      <c r="BN47" s="16"/>
    </row>
    <row r="48" ht="13.5" customHeight="1" spans="1:66" x14ac:dyDescent="0.25" outlineLevel="1" collapsed="1">
      <c r="A48" s="4"/>
      <c r="D48" s="84"/>
      <c r="E48" s="84"/>
      <c r="F48" s="84"/>
      <c r="G48" s="84" t="str">
        <f t="shared" ref="G48:I48" si="30" ca="1">G7</f>
        <v>Market </v>
      </c>
      <c r="H48" s="84" t="str">
        <f ca="1">H7</f>
        <v>Enterprise</v>
      </c>
      <c r="I48" s="538" t="str">
        <f ca="1">I7</f>
        <v>Sales</v>
      </c>
      <c r="J48" s="66"/>
      <c r="K48" s="538" t="str">
        <f ca="1">K7</f>
        <v>EPS</v>
      </c>
      <c r="L48" s="66"/>
      <c r="M48" s="538" t="str">
        <f ca="1">M7</f>
        <v>EBITDA Margin</v>
      </c>
      <c r="N48" s="66"/>
      <c r="O48" s="538" t="str">
        <f ca="1">O7</f>
        <v>Profit Margin</v>
      </c>
      <c r="P48" s="66"/>
      <c r="Q48" s="538" t="str">
        <f ca="1">Q7</f>
        <v>EBITDA</v>
      </c>
      <c r="R48" s="66"/>
      <c r="S48" s="538" t="str">
        <f ca="1">S7</f>
        <v>Sales</v>
      </c>
      <c r="T48" s="66"/>
      <c r="U48" s="538" t="str">
        <f ca="1">U7</f>
        <v>Price / Earnings</v>
      </c>
      <c r="V48" s="66"/>
      <c r="W48" s="16"/>
      <c r="X48" s="4"/>
      <c r="Y48" s="47"/>
      <c r="Z48" s="84"/>
      <c r="AA48" s="84"/>
      <c r="AB48" s="84"/>
      <c r="AC48" s="84" t="str">
        <f t="shared" ref="AC48:AE48" si="31" ca="1">AC7</f>
        <v>Market </v>
      </c>
      <c r="AD48" s="84" t="str">
        <f ca="1">AD7</f>
        <v>Enterprise</v>
      </c>
      <c r="AE48" s="538" t="str">
        <f ca="1">AE7</f>
        <v>Sales</v>
      </c>
      <c r="AF48" s="66"/>
      <c r="AG48" s="538" t="str">
        <f ca="1">AG7</f>
        <v>EPS</v>
      </c>
      <c r="AH48" s="66"/>
      <c r="AI48" s="538" t="str">
        <f ca="1">AI7</f>
        <v>EBITDA Margin</v>
      </c>
      <c r="AJ48" s="66"/>
      <c r="AK48" s="538" t="str">
        <f ca="1">AK7</f>
        <v>Profit Margin</v>
      </c>
      <c r="AL48" s="66"/>
      <c r="AM48" s="538" t="str">
        <f ca="1">AM7</f>
        <v>EBITDA</v>
      </c>
      <c r="AN48" s="66"/>
      <c r="AO48" s="538" t="str">
        <f ca="1">AO7</f>
        <v>Sales</v>
      </c>
      <c r="AP48" s="66"/>
      <c r="AQ48" s="538" t="str">
        <f ca="1">AQ7</f>
        <v>Price / Earnings</v>
      </c>
      <c r="AR48" s="66"/>
      <c r="AS48" s="4"/>
      <c r="AT48" s="4"/>
      <c r="AU48" s="47"/>
      <c r="AV48" s="84"/>
      <c r="AW48" s="84"/>
      <c r="AX48" s="84"/>
      <c r="AY48" s="84" t="str">
        <f t="shared" ref="AY48:BA48" si="32" ca="1">AY7</f>
        <v>Market </v>
      </c>
      <c r="AZ48" s="84" t="str">
        <f ca="1">AZ7</f>
        <v>Enterprise</v>
      </c>
      <c r="BA48" s="538" t="str">
        <f ca="1">BA7</f>
        <v>Sales</v>
      </c>
      <c r="BB48" s="66"/>
      <c r="BC48" s="538" t="str">
        <f ca="1">BC7</f>
        <v>EPS</v>
      </c>
      <c r="BD48" s="66"/>
      <c r="BE48" s="538" t="str">
        <f ca="1">BE7</f>
        <v>EBITDA Margin</v>
      </c>
      <c r="BF48" s="66"/>
      <c r="BG48" s="538" t="str">
        <f ca="1">BG7</f>
        <v>Profit Margin</v>
      </c>
      <c r="BH48" s="66"/>
      <c r="BI48" s="538" t="str">
        <f ca="1">BI7</f>
        <v>EBITDA</v>
      </c>
      <c r="BJ48" s="66"/>
      <c r="BK48" s="538" t="str">
        <f ca="1">BK7</f>
        <v>Sales</v>
      </c>
      <c r="BL48" s="66"/>
      <c r="BM48" s="538" t="str">
        <f ca="1">BM7</f>
        <v>Price / Earnings</v>
      </c>
      <c r="BN48" s="66"/>
    </row>
    <row r="49" ht="13.5" customHeight="1" spans="1:66" x14ac:dyDescent="0.25" outlineLevel="1" collapsed="1">
      <c r="A49" s="4"/>
      <c r="B49" s="47"/>
      <c r="C49" s="47"/>
      <c r="D49" s="139"/>
      <c r="E49" s="84"/>
      <c r="F49" s="538" t="str">
        <f t="shared" ref="F49:V49" si="33" ca="1">F8</f>
        <v>Ticker</v>
      </c>
      <c r="G49" s="538" t="str">
        <f ca="1">G8</f>
        <v>Cap</v>
      </c>
      <c r="H49" s="538" t="str">
        <f ca="1">H8</f>
        <v>Value</v>
      </c>
      <c r="I49" s="538" t="str">
        <f ca="1">I8</f>
        <v>LTM</v>
      </c>
      <c r="J49" s="539">
        <f ca="1">J8</f>
        <v>46387</v>
      </c>
      <c r="K49" s="538" t="str">
        <f ca="1">K8</f>
        <v>LTM</v>
      </c>
      <c r="L49" s="539">
        <f ca="1">L8</f>
        <v>46387</v>
      </c>
      <c r="M49" s="538" t="str">
        <f ca="1">M8</f>
        <v>LTM</v>
      </c>
      <c r="N49" s="539">
        <f ca="1">N8</f>
        <v>46387</v>
      </c>
      <c r="O49" s="538" t="str">
        <f ca="1">O8</f>
        <v>LTM</v>
      </c>
      <c r="P49" s="539">
        <f ca="1">P8</f>
        <v>46387</v>
      </c>
      <c r="Q49" s="538" t="str">
        <f ca="1">Q8</f>
        <v>LTM</v>
      </c>
      <c r="R49" s="539">
        <f ca="1">R8</f>
        <v>46387</v>
      </c>
      <c r="S49" s="538" t="str">
        <f ca="1">S8</f>
        <v>LTM</v>
      </c>
      <c r="T49" s="539">
        <f ca="1">T8</f>
        <v>46387</v>
      </c>
      <c r="U49" s="538" t="str">
        <f ca="1">U8</f>
        <v>LTM</v>
      </c>
      <c r="V49" s="539">
        <f ca="1">V8</f>
        <v>46387</v>
      </c>
      <c r="W49" s="16"/>
      <c r="X49" s="4"/>
      <c r="Y49" s="47"/>
      <c r="Z49" s="139"/>
      <c r="AA49" s="84"/>
      <c r="AB49" s="538" t="str">
        <f t="shared" ref="AB49:AR49" si="34" ca="1">AB8</f>
        <v>Ticker</v>
      </c>
      <c r="AC49" s="538" t="str">
        <f ca="1">AC8</f>
        <v>Cap</v>
      </c>
      <c r="AD49" s="538" t="str">
        <f ca="1">AD8</f>
        <v>Value</v>
      </c>
      <c r="AE49" s="538" t="str">
        <f ca="1">AE8</f>
        <v>LTM</v>
      </c>
      <c r="AF49" s="539">
        <f ca="1">AF8</f>
        <v>46387</v>
      </c>
      <c r="AG49" s="538" t="str">
        <f ca="1">AG8</f>
        <v>LTM</v>
      </c>
      <c r="AH49" s="539">
        <f ca="1">AH8</f>
        <v>46387</v>
      </c>
      <c r="AI49" s="538" t="str">
        <f ca="1">AI8</f>
        <v>LTM</v>
      </c>
      <c r="AJ49" s="539">
        <f ca="1">AJ8</f>
        <v>46387</v>
      </c>
      <c r="AK49" s="538" t="str">
        <f ca="1">AK8</f>
        <v>LTM</v>
      </c>
      <c r="AL49" s="539">
        <f ca="1">AL8</f>
        <v>46387</v>
      </c>
      <c r="AM49" s="538" t="str">
        <f ca="1">AM8</f>
        <v>LTM</v>
      </c>
      <c r="AN49" s="539">
        <f ca="1">AN8</f>
        <v>46387</v>
      </c>
      <c r="AO49" s="538" t="str">
        <f ca="1">AO8</f>
        <v>LTM</v>
      </c>
      <c r="AP49" s="539">
        <f ca="1">AP8</f>
        <v>46387</v>
      </c>
      <c r="AQ49" s="538" t="str">
        <f ca="1">AQ8</f>
        <v>LTM</v>
      </c>
      <c r="AR49" s="539">
        <f ca="1">AR8</f>
        <v>46387</v>
      </c>
      <c r="AS49" s="4"/>
      <c r="AT49" s="4"/>
      <c r="AU49" s="47"/>
      <c r="AV49" s="139"/>
      <c r="AW49" s="84"/>
      <c r="AX49" s="538" t="str">
        <f t="shared" ref="AX49:BN49" si="35" ca="1">AX8</f>
        <v>Ticker</v>
      </c>
      <c r="AY49" s="538" t="str">
        <f ca="1">AY8</f>
        <v>Cap</v>
      </c>
      <c r="AZ49" s="538" t="str">
        <f ca="1">AZ8</f>
        <v>Value</v>
      </c>
      <c r="BA49" s="538" t="str">
        <f ca="1">BA8</f>
        <v>LTM</v>
      </c>
      <c r="BB49" s="539">
        <f ca="1">BB8</f>
        <v>46387</v>
      </c>
      <c r="BC49" s="538" t="str">
        <f ca="1">BC8</f>
        <v>LTM</v>
      </c>
      <c r="BD49" s="539">
        <f ca="1">BD8</f>
        <v>46387</v>
      </c>
      <c r="BE49" s="538" t="str">
        <f ca="1">BE8</f>
        <v>LTM</v>
      </c>
      <c r="BF49" s="539">
        <f ca="1">BF8</f>
        <v>46387</v>
      </c>
      <c r="BG49" s="538" t="str">
        <f ca="1">BG8</f>
        <v>LTM</v>
      </c>
      <c r="BH49" s="539">
        <f ca="1">BH8</f>
        <v>46387</v>
      </c>
      <c r="BI49" s="538" t="str">
        <f ca="1">BI8</f>
        <v>LTM</v>
      </c>
      <c r="BJ49" s="539">
        <f ca="1">BJ8</f>
        <v>46387</v>
      </c>
      <c r="BK49" s="538" t="str">
        <f ca="1">BK8</f>
        <v>LTM</v>
      </c>
      <c r="BL49" s="539">
        <f ca="1">BL8</f>
        <v>46387</v>
      </c>
      <c r="BM49" s="538" t="str">
        <f ca="1">BM8</f>
        <v>LTM</v>
      </c>
      <c r="BN49" s="539">
        <f ca="1">BN8</f>
        <v>46387</v>
      </c>
    </row>
    <row r="50" ht="4.5" customHeight="1" spans="1:66" x14ac:dyDescent="0.25" outlineLevel="1" collapsed="1">
      <c r="A50" s="4"/>
      <c r="B50" s="47"/>
      <c r="C50" s="47"/>
      <c r="D50" s="84"/>
      <c r="E50" s="84"/>
      <c r="F50" s="84"/>
      <c r="G50" s="84"/>
      <c r="H50" s="84"/>
      <c r="I50" s="540"/>
      <c r="J50" s="84"/>
      <c r="K50" s="84"/>
      <c r="L50" s="84"/>
      <c r="M50" s="84"/>
      <c r="N50" s="84"/>
      <c r="O50" s="84"/>
      <c r="P50" s="84"/>
      <c r="Q50" s="84"/>
      <c r="R50" s="84"/>
      <c r="S50" s="84"/>
      <c r="T50" s="84"/>
      <c r="U50" s="84"/>
      <c r="V50" s="84"/>
      <c r="W50" s="16"/>
      <c r="X50" s="4"/>
      <c r="Y50" s="47"/>
      <c r="Z50" s="84"/>
      <c r="AA50" s="84"/>
      <c r="AB50" s="84"/>
      <c r="AC50" s="84"/>
      <c r="AD50" s="84"/>
      <c r="AE50" s="540"/>
      <c r="AF50" s="84"/>
      <c r="AG50" s="84"/>
      <c r="AH50" s="84"/>
      <c r="AI50" s="84"/>
      <c r="AJ50" s="84"/>
      <c r="AK50" s="84"/>
      <c r="AL50" s="84"/>
      <c r="AM50" s="84"/>
      <c r="AN50" s="84"/>
      <c r="AO50" s="84"/>
      <c r="AP50" s="84"/>
      <c r="AQ50" s="84"/>
      <c r="AR50" s="84"/>
      <c r="AS50" s="4"/>
      <c r="AT50" s="4"/>
      <c r="AU50" s="47"/>
      <c r="AV50" s="84"/>
      <c r="AW50" s="84"/>
      <c r="AX50" s="84"/>
      <c r="AY50" s="84"/>
      <c r="AZ50" s="84"/>
      <c r="BA50" s="540"/>
      <c r="BB50" s="84"/>
      <c r="BC50" s="84"/>
      <c r="BD50" s="84"/>
      <c r="BE50" s="84"/>
      <c r="BF50" s="84"/>
      <c r="BG50" s="84"/>
      <c r="BH50" s="84"/>
      <c r="BI50" s="84"/>
      <c r="BJ50" s="84"/>
      <c r="BK50" s="84"/>
      <c r="BL50" s="84"/>
      <c r="BM50" s="84"/>
      <c r="BN50" s="84"/>
    </row>
    <row r="51" ht="13.5" customHeight="1" spans="1:66" x14ac:dyDescent="0.25" outlineLevel="1" collapsed="1">
      <c r="A51" s="4"/>
      <c r="B51" s="599" t="str">
        <f ca="1">B70</f>
        <v>IQ180871</v>
      </c>
      <c r="C51" s="599"/>
      <c r="D51" s="600">
        <f ca="1">_xll.ciqfunctions.udf.CIQ($B51, "IQ_COMPANY_NAME",Current_Date)</f>
      </c>
      <c r="E51" s="601"/>
      <c r="F51" s="602" t="str">
        <f ca="1">$E$89</f>
        <v>LOW</v>
      </c>
      <c r="G51" s="603">
        <f ca="1">_xll.ciqfunctions.udf.CIQ($B51, "IQ_MARKETCAP",Current_Date)</f>
      </c>
      <c r="H51" s="603">
        <f ca="1">_xll.ciqfunctions.udf.CIQ($B51, "IQ_TEV",Current_Date)</f>
      </c>
      <c r="I51" s="604">
        <f ca="1">_xll.ciqfunctions.udf.CIQ($B51, "IQ_TOTAL_REV_1YR_ANN_GROWTH",IQ_LTM,Current_Date)/100</f>
      </c>
      <c r="J51" s="604">
        <f ca="1">_xll.ciqfunctions.udf.CIQ($B51,"IQ_REVENUE_EST",IQ_FY+1)/(_xll.ciqfunctions.udf.CIQ($B51,"IQ_TOTAL_REV",IQ_FY))-1</f>
      </c>
      <c r="K51" s="604">
        <f ca="1">_xll.ciqfunctions.udf.CIQ($B51, "IQ_EPS_1YR_ANN_GROWTH",IQ_LTM,Current_Date)/100</f>
      </c>
      <c r="L51" s="604">
        <f ca="1">_xll.ciqfunctions.udf.CIQ($B51,"IQ_EPS_EST",IQ_FY+1)/(_xll.ciqfunctions.udf.CIQ($B51,"IQ_DILUT_EPS_INCL",IQ_FY))-1</f>
      </c>
      <c r="M51" s="604">
        <f ca="1">_xll.ciqfunctions.udf.CIQ($B51, "IQ_EBITDA_MARGIN",IQ_LTM)/100</f>
      </c>
      <c r="N51" s="604">
        <f ca="1">_xll.ciqfunctions.udf.CIQ($B51,"IQ_EBITDA_EST",IQ_FY+1)/(_xll.ciqfunctions.udf.CIQ($B51,"IQ_REVENUE_EST",IQ_FY+1))</f>
      </c>
      <c r="O51" s="604">
        <f ca="1">_xll.ciqfunctions.udf.CIQ($B51, "IQ_NI_MARGIN",IQ_LTM)/100</f>
      </c>
      <c r="P51" s="604">
        <f ca="1">_xll.ciqfunctions.udf.CIQ($B51,"IQ_NI_EST",IQ_FY+1)/(_xll.ciqfunctions.udf.CIQ($B51,"IQ_REVENUE_EST",IQ_FY+1))</f>
      </c>
      <c r="Q51" s="605">
        <f ca="1">_xll.ciqfunctions.udf.CIQ($B51, "IQ_TEV_EBITDA",IQ_LTM)</f>
      </c>
      <c r="R51" s="605">
        <f ca="1">_xll.ciqfunctions.udf.CIQ($B51, "IQ_TEV",Current_Date)/_xll.ciqfunctions.udf.CIQ($B51, "IQ_EBITDA_EST",IQ_FY+1)</f>
      </c>
      <c r="S51" s="605">
        <f ca="1">_xll.ciqfunctions.udf.CIQ($B51, "IQ_TEV_TOTAL_REV",IQ_LTM)</f>
      </c>
      <c r="T51" s="605">
        <f ca="1">_xll.ciqfunctions.udf.CIQ($B51, "IQ_TEV",Current_Date)/_xll.ciqfunctions.udf.CIQ($B51, "IQ_REVENUE_EST",IQ_FY+1)</f>
      </c>
      <c r="U51" s="605">
        <f ca="1">_xll.ciqfunctions.udf.CIQ($B51, "IQ_PE_EXCL",IQ_LTM)</f>
      </c>
      <c r="V51" s="605">
        <f ca="1">_xll.ciqfunctions.udf.CIQ($B51, "IQ_MARKETCAP",Current_Date)/_xll.ciqfunctions.udf.CIQ($B51, "IQ_NI_EST",IQ_FY+1)</f>
      </c>
      <c r="W51" s="16"/>
      <c r="X51" s="599" t="str">
        <f ca="1">X70</f>
        <v>IQ180871</v>
      </c>
      <c r="Y51" s="47"/>
      <c r="Z51" s="600" t="str">
        <f ca="1">Company_Name</f>
        <v>Lowe's Companies, Inc.</v>
      </c>
      <c r="AA51" s="601"/>
      <c r="AB51" s="602" t="str">
        <f ca="1">$E$89</f>
        <v>LOW</v>
      </c>
      <c r="AC51" s="603">
        <f ca="1">_xll.ciqfunctions.udf.CIQ($X51, "IQ_MARKETCAP",Current_Date)</f>
      </c>
      <c r="AD51" s="603">
        <f ca="1">_xll.ciqfunctions.udf.CIQ($X51, "IQ_TEV",Current_Date)</f>
      </c>
      <c r="AE51" s="604">
        <f ca="1">_xll.ciqfunctions.udf.CIQ($X51, "IQ_TOTAL_REV_1YR_ANN_GROWTH",IQ_LTM,Current_Date)/100</f>
      </c>
      <c r="AF51" s="604">
        <f ca="1">_xll.ciqfunctions.udf.CIQ($X51,"IQ_REVENUE_EST",IQ_FY+1)/(_xll.ciqfunctions.udf.CIQ($X51,"IQ_TOTAL_REV",IQ_FY))-1</f>
      </c>
      <c r="AG51" s="604">
        <f ca="1">_xll.ciqfunctions.udf.CIQ($X51, "IQ_EPS_1YR_ANN_GROWTH",IQ_LTM,Current_Date)/100</f>
      </c>
      <c r="AH51" s="604">
        <f ca="1">_xll.ciqfunctions.udf.CIQ($X51,"IQ_EPS_EST",IQ_FY+1)/(_xll.ciqfunctions.udf.CIQ($X51,"IQ_DILUT_EPS_INCL",IQ_FY))-1</f>
      </c>
      <c r="AI51" s="604">
        <f ca="1">_xll.ciqfunctions.udf.CIQ($X51, "IQ_EBITDA_MARGIN",IQ_LTM)/100</f>
      </c>
      <c r="AJ51" s="604">
        <f ca="1">_xll.ciqfunctions.udf.CIQ($X51,"IQ_EBITDA_EST",IQ_FY+1)/(_xll.ciqfunctions.udf.CIQ($X51,"IQ_REVENUE_EST",IQ_FY+1))</f>
      </c>
      <c r="AK51" s="604">
        <f ca="1">_xll.ciqfunctions.udf.CIQ($X51, "IQ_NI_MARGIN",IQ_LTM)/100</f>
      </c>
      <c r="AL51" s="604">
        <f ca="1">_xll.ciqfunctions.udf.CIQ($X51,"IQ_NI_EST",IQ_FY+1)/(_xll.ciqfunctions.udf.CIQ($X51,"IQ_REVENUE_EST",IQ_FY+1))</f>
      </c>
      <c r="AM51" s="605">
        <f ca="1">_xll.ciqfunctions.udf.CIQ($X51, "IQ_TEV_EBITDA",IQ_LTM)</f>
      </c>
      <c r="AN51" s="605">
        <f ca="1">_xll.ciqfunctions.udf.CIQ($X51, "IQ_TEV",Current_Date)/_xll.ciqfunctions.udf.CIQ($X51, "IQ_EBITDA_EST",IQ_FY+1)</f>
      </c>
      <c r="AO51" s="605">
        <f ca="1">_xll.ciqfunctions.udf.CIQ($X51, "IQ_TEV_TOTAL_REV",IQ_LTM)</f>
      </c>
      <c r="AP51" s="605">
        <f ca="1">_xll.ciqfunctions.udf.CIQ($X51, "IQ_TEV",Current_Date)/_xll.ciqfunctions.udf.CIQ($X51, "IQ_REVENUE_EST",IQ_FY+1)</f>
      </c>
      <c r="AQ51" s="605">
        <f ca="1">_xll.ciqfunctions.udf.CIQ($X51, "IQ_PE_EXCL",IQ_LTM)</f>
      </c>
      <c r="AR51" s="606">
        <f ca="1">_xll.ciqfunctions.udf.CIQ($X51, "IQ_MARKETCAP",Current_Date)/_xll.ciqfunctions.udf.CIQ($X51, "IQ_NI_EST",IQ_FY+1)</f>
      </c>
      <c r="AS51" s="4"/>
      <c r="AT51" s="599" t="str">
        <f ca="1">AT70</f>
        <v>IQ180871</v>
      </c>
      <c r="AU51" s="47"/>
      <c r="AV51" s="600" t="str">
        <f ca="1">Company_Name</f>
        <v>Lowe's Companies, Inc.</v>
      </c>
      <c r="AW51" s="601"/>
      <c r="AX51" s="602" t="str">
        <f ca="1">Ticker</f>
        <v>LOW</v>
      </c>
      <c r="AY51" s="603">
        <f ca="1">_xll.ciqfunctions.udf.CIQ($AT51, "IQ_MARKETCAP",Current_Date)</f>
      </c>
      <c r="AZ51" s="603">
        <f ca="1">_xll.ciqfunctions.udf.CIQ($AT51, "IQ_TEV",Current_Date)</f>
      </c>
      <c r="BA51" s="604">
        <f ca="1">_xll.ciqfunctions.udf.CIQ($AT51, "IQ_TOTAL_REV_1YR_ANN_GROWTH",IQ_LTM,Current_Date)/100</f>
      </c>
      <c r="BB51" s="604">
        <f ca="1">_xll.ciqfunctions.udf.CIQ($AT51,"IQ_REVENUE_EST",IQ_FY+1)/(_xll.ciqfunctions.udf.CIQ($AT51,"IQ_TOTAL_REV",IQ_FY))-1</f>
      </c>
      <c r="BC51" s="604">
        <f ca="1">_xll.ciqfunctions.udf.CIQ($AT51, "IQ_EPS_1YR_ANN_GROWTH",IQ_LTM,Current_Date)/100</f>
      </c>
      <c r="BD51" s="604">
        <f ca="1">_xll.ciqfunctions.udf.CIQ($AT51,"IQ_EPS_EST",IQ_FY+1)/(_xll.ciqfunctions.udf.CIQ($AT51,"IQ_DILUT_EPS_INCL",IQ_FY))-1</f>
      </c>
      <c r="BE51" s="604">
        <f ca="1">_xll.ciqfunctions.udf.CIQ($AT51, "IQ_EBITDA_MARGIN",IQ_LTM)/100</f>
      </c>
      <c r="BF51" s="604">
        <f ca="1">_xll.ciqfunctions.udf.CIQ($AT51,"IQ_EBITDA_EST",IQ_FY+1)/(_xll.ciqfunctions.udf.CIQ($AT51,"IQ_REVENUE_EST",IQ_FY+1))</f>
      </c>
      <c r="BG51" s="604">
        <f ca="1">_xll.ciqfunctions.udf.CIQ($AT51, "IQ_NI_MARGIN",IQ_LTM)/100</f>
      </c>
      <c r="BH51" s="604">
        <f ca="1">_xll.ciqfunctions.udf.CIQ($AT51,"IQ_NI_EST",IQ_FY+1)/(_xll.ciqfunctions.udf.CIQ($AT51,"IQ_REVENUE_EST",IQ_FY+1))</f>
      </c>
      <c r="BI51" s="605">
        <f ca="1">_xll.ciqfunctions.udf.CIQ($AT51, "IQ_TEV_EBITDA",IQ_LTM)</f>
      </c>
      <c r="BJ51" s="605">
        <f ca="1">_xll.ciqfunctions.udf.CIQ($AT51, "IQ_TEV",Current_Date)/_xll.ciqfunctions.udf.CIQ($AT51, "IQ_EBITDA_EST",IQ_FY+1)</f>
      </c>
      <c r="BK51" s="605">
        <f ca="1">_xll.ciqfunctions.udf.CIQ($AT51, "IQ_TEV_TOTAL_REV",IQ_LTM)</f>
      </c>
      <c r="BL51" s="605">
        <f ca="1">_xll.ciqfunctions.udf.CIQ($AT51, "IQ_TEV",Current_Date)/_xll.ciqfunctions.udf.CIQ($AT51, "IQ_REVENUE_EST",IQ_FY+1)</f>
      </c>
      <c r="BM51" s="605">
        <f ca="1">_xll.ciqfunctions.udf.CIQ($AT51, "IQ_PE_EXCL",IQ_LTM)</f>
      </c>
      <c r="BN51" s="606">
        <f ca="1">_xll.ciqfunctions.udf.CIQ($AT51, "IQ_MARKETCAP",Current_Date)/_xll.ciqfunctions.udf.CIQ($AT51, "IQ_NI_EST",IQ_FY+1)</f>
      </c>
    </row>
    <row r="52" ht="13.5" customHeight="1" spans="1:66" x14ac:dyDescent="0.25" outlineLevel="1" collapsed="1">
      <c r="A52" s="4"/>
      <c r="B52" s="599"/>
      <c r="C52" s="599"/>
      <c r="D52" s="16"/>
      <c r="E52" s="16"/>
      <c r="F52" s="84"/>
      <c r="G52" s="84"/>
      <c r="H52" s="84"/>
      <c r="I52" s="540"/>
      <c r="J52" s="540"/>
      <c r="K52" s="540"/>
      <c r="L52" s="540"/>
      <c r="M52" s="540"/>
      <c r="N52" s="540"/>
      <c r="O52" s="595"/>
      <c r="P52" s="595"/>
      <c r="Q52" s="548"/>
      <c r="R52" s="548"/>
      <c r="S52" s="84"/>
      <c r="T52" s="84"/>
      <c r="U52" s="84"/>
      <c r="V52" s="84"/>
      <c r="W52" s="16"/>
      <c r="X52" s="599"/>
      <c r="Y52" s="47"/>
      <c r="Z52" s="16"/>
      <c r="AA52" s="16"/>
      <c r="AB52" s="84"/>
      <c r="AC52" s="546"/>
      <c r="AD52" s="84"/>
      <c r="AE52" s="540"/>
      <c r="AF52" s="607"/>
      <c r="AG52" s="540"/>
      <c r="AH52" s="540"/>
      <c r="AI52" s="595"/>
      <c r="AJ52" s="595"/>
      <c r="AK52" s="595"/>
      <c r="AL52" s="595"/>
      <c r="AM52" s="548"/>
      <c r="AN52" s="548"/>
      <c r="AO52" s="84"/>
      <c r="AP52" s="84"/>
      <c r="AQ52" s="84"/>
      <c r="AR52" s="84"/>
      <c r="AS52" s="4"/>
      <c r="AT52" s="599"/>
      <c r="AU52" s="47"/>
      <c r="AV52" s="16"/>
      <c r="AW52" s="16"/>
      <c r="AX52" s="84"/>
      <c r="AY52" s="546"/>
      <c r="AZ52" s="84"/>
      <c r="BA52" s="540"/>
      <c r="BB52" s="607"/>
      <c r="BC52" s="540"/>
      <c r="BD52" s="540"/>
      <c r="BE52" s="595"/>
      <c r="BF52" s="595"/>
      <c r="BG52" s="595"/>
      <c r="BH52" s="595"/>
      <c r="BI52" s="548"/>
      <c r="BJ52" s="548"/>
      <c r="BK52" s="84"/>
      <c r="BL52" s="84"/>
      <c r="BM52" s="84"/>
      <c r="BN52" s="84"/>
    </row>
    <row r="53" ht="13.5" customHeight="1" spans="1:66" x14ac:dyDescent="0.25" outlineLevel="1" collapsed="1">
      <c r="A53" s="4"/>
      <c r="B53" s="599" t="str">
        <f t="shared" ref="B53:B57" si="36" ca="1">B72</f>
        <v>IQ278679</v>
      </c>
      <c r="C53" s="599"/>
      <c r="D53" s="16">
        <f ca="1">_xll.ciqfunctions.udf.CIQ($B53, "IQ_COMPANY_NAME",Current_Date)</f>
      </c>
      <c r="E53" s="16"/>
      <c r="F53" s="84" t="str">
        <f t="shared" ref="F53:F57" si="37" ca="1">F72</f>
        <v>HD</v>
      </c>
      <c r="G53" s="549">
        <f ca="1">_xll.ciqfunctions.udf.CIQ($B53, "IQ_MARKETCAP",Current_Date)</f>
      </c>
      <c r="H53" s="549">
        <f ca="1">_xll.ciqfunctions.udf.CIQ($B53, "IQ_TEV",Current_Date)</f>
      </c>
      <c r="I53" s="547">
        <f ca="1">_xll.ciqfunctions.udf.CIQ($B53, "IQ_TOTAL_REV_1YR_ANN_GROWTH",IQ_LTM,Current_Date)/100</f>
      </c>
      <c r="J53" s="547">
        <f ca="1">_xll.ciqfunctions.udf.CIQ($B53,"IQ_REVENUE_EST",IQ_FY+1)/(_xll.ciqfunctions.udf.CIQ($B53,"IQ_TOTAL_REV",IQ_FY))-1</f>
      </c>
      <c r="K53" s="547">
        <f ca="1">_xll.ciqfunctions.udf.CIQ($B53, "IQ_EPS_1YR_ANN_GROWTH",IQ_LTM,Current_Date)/100</f>
      </c>
      <c r="L53" s="547">
        <f ca="1">_xll.ciqfunctions.udf.CIQ($B53,"IQ_EPS_EST",IQ_FY+1)/(_xll.ciqfunctions.udf.CIQ($B53,"IQ_DILUT_EPS_INCL",IQ_FY))-1</f>
      </c>
      <c r="M53" s="547">
        <f ca="1">_xll.ciqfunctions.udf.CIQ($B53, "IQ_EBITDA_MARGIN",IQ_LTM)/100</f>
      </c>
      <c r="N53" s="547">
        <f ca="1">_xll.ciqfunctions.udf.CIQ($B53,"IQ_EBITDA_EST",IQ_FY+1)/(_xll.ciqfunctions.udf.CIQ($B53,"IQ_REVENUE_EST",IQ_FY+1))</f>
      </c>
      <c r="O53" s="547">
        <f ca="1">_xll.ciqfunctions.udf.CIQ($B53, "IQ_NI_MARGIN",IQ_LTM)/100</f>
      </c>
      <c r="P53" s="547">
        <f ca="1">_xll.ciqfunctions.udf.CIQ($B53,"IQ_NI_EST",IQ_FY+1)/(_xll.ciqfunctions.udf.CIQ($B53,"IQ_REVENUE_EST",IQ_FY+1))</f>
      </c>
      <c r="Q53" s="551">
        <f ca="1">_xll.ciqfunctions.udf.CIQ($B53, "IQ_TEV_EBITDA",IQ_LTM)</f>
      </c>
      <c r="R53" s="551">
        <f ca="1">_xll.ciqfunctions.udf.CIQ($B53, "IQ_TEV",Current_Date)/_xll.ciqfunctions.udf.CIQ($B53, "IQ_EBITDA_EST",IQ_FY+1)</f>
      </c>
      <c r="S53" s="551">
        <f ca="1">_xll.ciqfunctions.udf.CIQ($B53, "IQ_TEV_TOTAL_REV",IQ_LTM)</f>
      </c>
      <c r="T53" s="551">
        <f ca="1">_xll.ciqfunctions.udf.CIQ($B53, "IQ_TEV",Current_Date)/_xll.ciqfunctions.udf.CIQ($B53, "IQ_REVENUE_EST",IQ_FY+1)</f>
      </c>
      <c r="U53" s="551">
        <f ca="1">_xll.ciqfunctions.udf.CIQ($B53, "IQ_PE_EXCL",IQ_LTM)</f>
      </c>
      <c r="V53" s="551">
        <f ca="1">_xll.ciqfunctions.udf.CIQ($B53, "IQ_MARKETCAP",Current_Date)/_xll.ciqfunctions.udf.CIQ($B53, "IQ_NI_EST",IQ_FY+1)</f>
      </c>
      <c r="W53" s="16"/>
      <c r="X53" s="599" t="str">
        <f t="shared" ref="X53:X57" si="38" ca="1">X72</f>
        <v>IQ159230</v>
      </c>
      <c r="Y53" s="47"/>
      <c r="Z53" s="16">
        <f ca="1">_xll.ciqfunctions.udf.CIQ($X53, "IQ_COMPANY_NAME",Current_Date)</f>
      </c>
      <c r="AA53" s="16"/>
      <c r="AB53" s="84" t="str">
        <f t="shared" ref="AB53:AB57" si="39" ca="1">AB72</f>
        <v>RTX</v>
      </c>
      <c r="AC53" s="549">
        <f ca="1">_xll.ciqfunctions.udf.CIQ($X53, "IQ_MARKETCAP",Current_Date)</f>
      </c>
      <c r="AD53" s="549">
        <f ca="1">_xll.ciqfunctions.udf.CIQ($X53, "IQ_TEV",Current_Date)</f>
      </c>
      <c r="AE53" s="547">
        <f ca="1">_xll.ciqfunctions.udf.CIQ($X53, "IQ_TOTAL_REV_1YR_ANN_GROWTH",IQ_LTM,Current_Date)/100</f>
      </c>
      <c r="AF53" s="547">
        <f ca="1">_xll.ciqfunctions.udf.CIQ($X53,"IQ_REVENUE_EST",IQ_FY+1)/(_xll.ciqfunctions.udf.CIQ($X53,"IQ_TOTAL_REV",IQ_FY))-1</f>
      </c>
      <c r="AG53" s="547">
        <f ca="1">_xll.ciqfunctions.udf.CIQ($X53, "IQ_EPS_1YR_ANN_GROWTH",IQ_LTM,Current_Date)/100</f>
      </c>
      <c r="AH53" s="547">
        <f ca="1">_xll.ciqfunctions.udf.CIQ($X53,"IQ_EPS_EST",IQ_FY+1)/(_xll.ciqfunctions.udf.CIQ($X53,"IQ_DILUT_EPS_INCL",IQ_FY))-1</f>
      </c>
      <c r="AI53" s="547">
        <f ca="1">_xll.ciqfunctions.udf.CIQ($X53, "IQ_EBITDA_MARGIN",IQ_LTM)/100</f>
      </c>
      <c r="AJ53" s="547">
        <f ca="1">_xll.ciqfunctions.udf.CIQ($X53,"IQ_EBITDA_EST",IQ_FY+1)/(_xll.ciqfunctions.udf.CIQ($X53,"IQ_REVENUE_EST",IQ_FY+1))</f>
      </c>
      <c r="AK53" s="547">
        <f ca="1">_xll.ciqfunctions.udf.CIQ($X53, "IQ_NI_MARGIN",IQ_LTM)/100</f>
      </c>
      <c r="AL53" s="547">
        <f ca="1">_xll.ciqfunctions.udf.CIQ($X53,"IQ_NI_EST",IQ_FY+1)/(_xll.ciqfunctions.udf.CIQ($X53,"IQ_REVENUE_EST",IQ_FY+1))</f>
      </c>
      <c r="AM53" s="551">
        <f ca="1">_xll.ciqfunctions.udf.CIQ($X53, "IQ_TEV_EBITDA",IQ_LTM)</f>
      </c>
      <c r="AN53" s="551">
        <f ca="1">_xll.ciqfunctions.udf.CIQ($X53, "IQ_TEV",Current_Date)/_xll.ciqfunctions.udf.CIQ($X53, "IQ_EBITDA_EST",IQ_FY+1)</f>
      </c>
      <c r="AO53" s="551">
        <f ca="1">_xll.ciqfunctions.udf.CIQ($X53, "IQ_TEV_TOTAL_REV",IQ_LTM)</f>
      </c>
      <c r="AP53" s="551">
        <f ca="1">_xll.ciqfunctions.udf.CIQ($X53, "IQ_TEV",Current_Date)/_xll.ciqfunctions.udf.CIQ($X53, "IQ_REVENUE_EST",IQ_FY+1)</f>
      </c>
      <c r="AQ53" s="551">
        <f ca="1">_xll.ciqfunctions.udf.CIQ($X53, "IQ_PE_EXCL",IQ_LTM)</f>
      </c>
      <c r="AR53" s="551">
        <f ca="1">_xll.ciqfunctions.udf.CIQ($X53, "IQ_MARKETCAP",Current_Date)/_xll.ciqfunctions.udf.CIQ($X53, "IQ_NI_EST",IQ_FY+1)</f>
      </c>
      <c r="AS53" s="4"/>
      <c r="AT53" s="599" t="str">
        <f t="shared" ref="AT53:AT57" si="40" ca="1">AT72</f>
        <v>IQ289194</v>
      </c>
      <c r="AU53" s="47"/>
      <c r="AV53" s="16">
        <f ca="1">_xll.ciqfunctions.udf.CIQ($AT53, "IQ_COMPANY_NAME",Current_Date)</f>
      </c>
      <c r="AW53" s="16"/>
      <c r="AX53" s="84" t="str">
        <f ca="1">N93</f>
        <v>MMM</v>
      </c>
      <c r="AY53" s="549">
        <f ca="1">_xll.ciqfunctions.udf.CIQ($AT53, "IQ_MARKETCAP",Current_Date)</f>
      </c>
      <c r="AZ53" s="549">
        <f ca="1">_xll.ciqfunctions.udf.CIQ($AT53, "IQ_TEV",Current_Date)</f>
      </c>
      <c r="BA53" s="547">
        <f ca="1">_xll.ciqfunctions.udf.CIQ($AT53, "IQ_TOTAL_REV_1YR_ANN_GROWTH",IQ_LTM,Current_Date)/100</f>
      </c>
      <c r="BB53" s="547">
        <f ca="1">_xll.ciqfunctions.udf.CIQ($AT53,"IQ_REVENUE_EST",IQ_FY+1)/(_xll.ciqfunctions.udf.CIQ($AT53,"IQ_TOTAL_REV",IQ_FY))-1</f>
      </c>
      <c r="BC53" s="547">
        <f ca="1">_xll.ciqfunctions.udf.CIQ($AT53, "IQ_EPS_1YR_ANN_GROWTH",IQ_LTM,Current_Date)/100</f>
      </c>
      <c r="BD53" s="547">
        <f ca="1">_xll.ciqfunctions.udf.CIQ($AT53,"IQ_EPS_EST",IQ_FY+1)/(_xll.ciqfunctions.udf.CIQ($AT53,"IQ_DILUT_EPS_INCL",IQ_FY))-1</f>
      </c>
      <c r="BE53" s="547">
        <f ca="1">_xll.ciqfunctions.udf.CIQ($AT53, "IQ_EBITDA_MARGIN",IQ_LTM)/100</f>
      </c>
      <c r="BF53" s="547">
        <f ca="1">_xll.ciqfunctions.udf.CIQ($AT53,"IQ_EBITDA_EST",IQ_FY+1)/(_xll.ciqfunctions.udf.CIQ($AT53,"IQ_REVENUE_EST",IQ_FY+1))</f>
      </c>
      <c r="BG53" s="547">
        <f ca="1">_xll.ciqfunctions.udf.CIQ($AT53, "IQ_NI_MARGIN",IQ_LTM)/100</f>
      </c>
      <c r="BH53" s="547">
        <f ca="1">_xll.ciqfunctions.udf.CIQ($AT53,"IQ_NI_EST",IQ_FY+1)/(_xll.ciqfunctions.udf.CIQ($AT53,"IQ_REVENUE_EST",IQ_FY+1))</f>
      </c>
      <c r="BI53" s="551">
        <f ca="1">_xll.ciqfunctions.udf.CIQ($AT53, "IQ_TEV_EBITDA",IQ_LTM)</f>
      </c>
      <c r="BJ53" s="551">
        <f ca="1">_xll.ciqfunctions.udf.CIQ($AT53, "IQ_TEV",Current_Date)/_xll.ciqfunctions.udf.CIQ($AT53, "IQ_EBITDA_EST",IQ_FY+1)</f>
      </c>
      <c r="BK53" s="551">
        <f ca="1">_xll.ciqfunctions.udf.CIQ($AT53, "IQ_TEV_TOTAL_REV",IQ_LTM)</f>
      </c>
      <c r="BL53" s="551">
        <f ca="1">_xll.ciqfunctions.udf.CIQ($AT53, "IQ_TEV",Current_Date)/_xll.ciqfunctions.udf.CIQ($AT53, "IQ_REVENUE_EST",IQ_FY+1)</f>
      </c>
      <c r="BM53" s="551">
        <f ca="1">_xll.ciqfunctions.udf.CIQ($AT53, "IQ_PE_EXCL",IQ_LTM)</f>
      </c>
      <c r="BN53" s="551">
        <f ca="1">_xll.ciqfunctions.udf.CIQ($AT53, "IQ_MARKETCAP",Current_Date)/_xll.ciqfunctions.udf.CIQ($AT53, "IQ_NI_EST",IQ_FY+1)</f>
      </c>
    </row>
    <row r="54" ht="13.5" customHeight="1" spans="1:66" x14ac:dyDescent="0.25" outlineLevel="1" collapsed="1">
      <c r="A54" s="4"/>
      <c r="B54" s="599" t="str">
        <f ca="1">B73</f>
        <v>IQ20765463</v>
      </c>
      <c r="C54" s="599"/>
      <c r="D54" s="16">
        <f ca="1">_xll.ciqfunctions.udf.CIQ($B54, "IQ_COMPANY_NAME",Current_Date)</f>
      </c>
      <c r="E54" s="16"/>
      <c r="F54" s="84" t="str">
        <f ca="1">F73</f>
        <v>""</v>
      </c>
      <c r="G54" s="549">
        <f ca="1">_xll.ciqfunctions.udf.CIQ($B54, "IQ_MARKETCAP",Current_Date)</f>
      </c>
      <c r="H54" s="549">
        <f ca="1">_xll.ciqfunctions.udf.CIQ($B54, "IQ_TEV",Current_Date)</f>
      </c>
      <c r="I54" s="547">
        <f ca="1">_xll.ciqfunctions.udf.CIQ($B54, "IQ_TOTAL_REV_1YR_ANN_GROWTH",IQ_LTM,Current_Date)/100</f>
      </c>
      <c r="J54" s="547">
        <f ca="1">_xll.ciqfunctions.udf.CIQ($B54,"IQ_REVENUE_EST",IQ_FY+1)/(_xll.ciqfunctions.udf.CIQ($B54,"IQ_TOTAL_REV",IQ_FY))-1</f>
      </c>
      <c r="K54" s="547">
        <f ca="1">_xll.ciqfunctions.udf.CIQ($B54, "IQ_EPS_1YR_ANN_GROWTH",IQ_LTM,Current_Date)/100</f>
      </c>
      <c r="L54" s="547">
        <f ca="1">_xll.ciqfunctions.udf.CIQ($B54,"IQ_EPS_EST",IQ_FY+1)/(_xll.ciqfunctions.udf.CIQ($B54,"IQ_DILUT_EPS_INCL",IQ_FY))-1</f>
      </c>
      <c r="M54" s="547">
        <f ca="1">_xll.ciqfunctions.udf.CIQ($B54, "IQ_EBITDA_MARGIN",IQ_LTM)/100</f>
      </c>
      <c r="N54" s="547">
        <f ca="1">_xll.ciqfunctions.udf.CIQ($B54,"IQ_EBITDA_EST",IQ_FY+1)/(_xll.ciqfunctions.udf.CIQ($B54,"IQ_REVENUE_EST",IQ_FY+1))</f>
      </c>
      <c r="O54" s="547">
        <f ca="1">_xll.ciqfunctions.udf.CIQ($B54, "IQ_NI_MARGIN",IQ_LTM)/100</f>
      </c>
      <c r="P54" s="547">
        <f ca="1">_xll.ciqfunctions.udf.CIQ($B54,"IQ_NI_EST",IQ_FY+1)/(_xll.ciqfunctions.udf.CIQ($B54,"IQ_REVENUE_EST",IQ_FY+1))</f>
      </c>
      <c r="Q54" s="551">
        <f ca="1">_xll.ciqfunctions.udf.CIQ($B54, "IQ_TEV_EBITDA",IQ_LTM)</f>
      </c>
      <c r="R54" s="551">
        <f ca="1">_xll.ciqfunctions.udf.CIQ($B54, "IQ_TEV",Current_Date)/_xll.ciqfunctions.udf.CIQ($B54, "IQ_EBITDA_EST",IQ_FY+1)</f>
      </c>
      <c r="S54" s="551">
        <f ca="1">_xll.ciqfunctions.udf.CIQ($B54, "IQ_TEV_TOTAL_REV",IQ_LTM)</f>
      </c>
      <c r="T54" s="551">
        <f ca="1">_xll.ciqfunctions.udf.CIQ($B54, "IQ_TEV",Current_Date)/_xll.ciqfunctions.udf.CIQ($B54, "IQ_REVENUE_EST",IQ_FY+1)</f>
      </c>
      <c r="U54" s="551">
        <f ca="1">_xll.ciqfunctions.udf.CIQ($B54, "IQ_PE_EXCL",IQ_LTM)</f>
      </c>
      <c r="V54" s="551">
        <f ca="1">_xll.ciqfunctions.udf.CIQ($B54, "IQ_MARKETCAP",Current_Date)/_xll.ciqfunctions.udf.CIQ($B54, "IQ_NI_EST",IQ_FY+1)</f>
      </c>
      <c r="W54" s="16"/>
      <c r="X54" s="599" t="str">
        <f ca="1">X73</f>
        <v>IQ370857</v>
      </c>
      <c r="Y54" s="47"/>
      <c r="Z54" s="16">
        <f ca="1">_xll.ciqfunctions.udf.CIQ($X54, "IQ_COMPANY_NAME",Current_Date)</f>
      </c>
      <c r="AA54" s="16"/>
      <c r="AB54" s="84" t="str">
        <f ca="1">AB73</f>
        <v>BA</v>
      </c>
      <c r="AC54" s="549">
        <f ca="1">_xll.ciqfunctions.udf.CIQ($X54, "IQ_MARKETCAP",Current_Date)</f>
      </c>
      <c r="AD54" s="549">
        <f ca="1">_xll.ciqfunctions.udf.CIQ($X54, "IQ_TEV",Current_Date)</f>
      </c>
      <c r="AE54" s="547">
        <f ca="1">_xll.ciqfunctions.udf.CIQ($X54, "IQ_TOTAL_REV_1YR_ANN_GROWTH",IQ_LTM,Current_Date)/100</f>
      </c>
      <c r="AF54" s="547">
        <f ca="1">_xll.ciqfunctions.udf.CIQ($X54,"IQ_REVENUE_EST",IQ_FY+1)/(_xll.ciqfunctions.udf.CIQ($X54,"IQ_TOTAL_REV",IQ_FY))-1</f>
      </c>
      <c r="AG54" s="547">
        <f ca="1">_xll.ciqfunctions.udf.CIQ($X54, "IQ_EPS_1YR_ANN_GROWTH",IQ_LTM,Current_Date)/100</f>
      </c>
      <c r="AH54" s="547">
        <f ca="1">_xll.ciqfunctions.udf.CIQ($X54,"IQ_EPS_EST",IQ_FY+1)/(_xll.ciqfunctions.udf.CIQ($X54,"IQ_DILUT_EPS_INCL",IQ_FY))-1</f>
      </c>
      <c r="AI54" s="547">
        <f ca="1">_xll.ciqfunctions.udf.CIQ($X54, "IQ_EBITDA_MARGIN",IQ_LTM)/100</f>
      </c>
      <c r="AJ54" s="547">
        <f ca="1">_xll.ciqfunctions.udf.CIQ($X54,"IQ_EBITDA_EST",IQ_FY+1)/(_xll.ciqfunctions.udf.CIQ($X54,"IQ_REVENUE_EST",IQ_FY+1))</f>
      </c>
      <c r="AK54" s="547">
        <f ca="1">_xll.ciqfunctions.udf.CIQ($X54, "IQ_NI_MARGIN",IQ_LTM)/100</f>
      </c>
      <c r="AL54" s="547">
        <f ca="1">_xll.ciqfunctions.udf.CIQ($X54,"IQ_NI_EST",IQ_FY+1)/(_xll.ciqfunctions.udf.CIQ($X54,"IQ_REVENUE_EST",IQ_FY+1))</f>
      </c>
      <c r="AM54" s="551">
        <f ca="1">_xll.ciqfunctions.udf.CIQ($X54, "IQ_TEV_EBITDA",IQ_LTM)</f>
      </c>
      <c r="AN54" s="551">
        <f ca="1">_xll.ciqfunctions.udf.CIQ($X54, "IQ_TEV",Current_Date)/_xll.ciqfunctions.udf.CIQ($X54, "IQ_EBITDA_EST",IQ_FY+1)</f>
      </c>
      <c r="AO54" s="551">
        <f ca="1">_xll.ciqfunctions.udf.CIQ($X54, "IQ_TEV_TOTAL_REV",IQ_LTM)</f>
      </c>
      <c r="AP54" s="551">
        <f ca="1">_xll.ciqfunctions.udf.CIQ($X54, "IQ_TEV",Current_Date)/_xll.ciqfunctions.udf.CIQ($X54, "IQ_REVENUE_EST",IQ_FY+1)</f>
      </c>
      <c r="AQ54" s="551">
        <f ca="1">_xll.ciqfunctions.udf.CIQ($X54, "IQ_PE_EXCL",IQ_LTM)</f>
      </c>
      <c r="AR54" s="551">
        <f ca="1">_xll.ciqfunctions.udf.CIQ($X54, "IQ_MARKETCAP",Current_Date)/_xll.ciqfunctions.udf.CIQ($X54, "IQ_NI_EST",IQ_FY+1)</f>
      </c>
      <c r="AS54" s="4"/>
      <c r="AT54" s="599" t="str">
        <f ca="1">AT73</f>
        <v>IQ177031</v>
      </c>
      <c r="AU54" s="47"/>
      <c r="AV54" s="16">
        <f ca="1">_xll.ciqfunctions.udf.CIQ($AT54, "IQ_COMPANY_NAME",Current_Date)</f>
      </c>
      <c r="AW54" s="16"/>
      <c r="AX54" s="84" t="str">
        <f ca="1">N97</f>
        <v>GE</v>
      </c>
      <c r="AY54" s="549">
        <f ca="1">_xll.ciqfunctions.udf.CIQ($AT54, "IQ_MARKETCAP",Current_Date)</f>
      </c>
      <c r="AZ54" s="549">
        <f ca="1">_xll.ciqfunctions.udf.CIQ($AT54, "IQ_TEV",Current_Date)</f>
      </c>
      <c r="BA54" s="547">
        <f ca="1">_xll.ciqfunctions.udf.CIQ($AT54, "IQ_TOTAL_REV_1YR_ANN_GROWTH",IQ_LTM,Current_Date)/100</f>
      </c>
      <c r="BB54" s="547">
        <f ca="1">_xll.ciqfunctions.udf.CIQ($AT54,"IQ_REVENUE_EST",IQ_FY+1)/(_xll.ciqfunctions.udf.CIQ($AT54,"IQ_TOTAL_REV",IQ_FY))-1</f>
      </c>
      <c r="BC54" s="547">
        <f ca="1">_xll.ciqfunctions.udf.CIQ($AT54, "IQ_EPS_1YR_ANN_GROWTH",IQ_LTM,Current_Date)/100</f>
      </c>
      <c r="BD54" s="547">
        <f ca="1">_xll.ciqfunctions.udf.CIQ($AT54,"IQ_EPS_EST",IQ_FY+1)/(_xll.ciqfunctions.udf.CIQ($AT54,"IQ_DILUT_EPS_INCL",IQ_FY))-1</f>
      </c>
      <c r="BE54" s="547">
        <f ca="1">_xll.ciqfunctions.udf.CIQ($AT54, "IQ_EBITDA_MARGIN",IQ_LTM)/100</f>
      </c>
      <c r="BF54" s="547">
        <f ca="1">_xll.ciqfunctions.udf.CIQ($AT54,"IQ_EBITDA_EST",IQ_FY+1)/(_xll.ciqfunctions.udf.CIQ($AT54,"IQ_REVENUE_EST",IQ_FY+1))</f>
      </c>
      <c r="BG54" s="547">
        <f ca="1">_xll.ciqfunctions.udf.CIQ($AT54, "IQ_NI_MARGIN",IQ_LTM)/100</f>
      </c>
      <c r="BH54" s="547">
        <f ca="1">_xll.ciqfunctions.udf.CIQ($AT54,"IQ_NI_EST",IQ_FY+1)/(_xll.ciqfunctions.udf.CIQ($AT54,"IQ_REVENUE_EST",IQ_FY+1))</f>
      </c>
      <c r="BI54" s="551">
        <f ca="1">_xll.ciqfunctions.udf.CIQ($AT54, "IQ_TEV_EBITDA",IQ_LTM)</f>
      </c>
      <c r="BJ54" s="551">
        <f ca="1">_xll.ciqfunctions.udf.CIQ($AT54, "IQ_TEV",Current_Date)/_xll.ciqfunctions.udf.CIQ($AT54, "IQ_EBITDA_EST",IQ_FY+1)</f>
      </c>
      <c r="BK54" s="551">
        <f ca="1">_xll.ciqfunctions.udf.CIQ($AT54, "IQ_TEV_TOTAL_REV",IQ_LTM)</f>
      </c>
      <c r="BL54" s="551">
        <f ca="1">_xll.ciqfunctions.udf.CIQ($AT54, "IQ_TEV",Current_Date)/_xll.ciqfunctions.udf.CIQ($AT54, "IQ_REVENUE_EST",IQ_FY+1)</f>
      </c>
      <c r="BM54" s="551">
        <f ca="1">_xll.ciqfunctions.udf.CIQ($AT54, "IQ_PE_EXCL",IQ_LTM)</f>
      </c>
      <c r="BN54" s="551">
        <f ca="1">_xll.ciqfunctions.udf.CIQ($AT54, "IQ_MARKETCAP",Current_Date)/_xll.ciqfunctions.udf.CIQ($AT54, "IQ_NI_EST",IQ_FY+1)</f>
      </c>
    </row>
    <row r="55" ht="13.5" customHeight="1" spans="1:66" x14ac:dyDescent="0.25" outlineLevel="1" collapsed="1">
      <c r="A55" s="4"/>
      <c r="B55" s="599" t="str">
        <f ca="1">B74</f>
        <v>IQ21835</v>
      </c>
      <c r="C55" s="599"/>
      <c r="D55" s="16">
        <f ca="1">_xll.ciqfunctions.udf.CIQ($B55, "IQ_COMPANY_NAME",Current_Date)</f>
      </c>
      <c r="E55" s="16"/>
      <c r="F55" s="84" t="str">
        <f ca="1">F74</f>
        <v>""</v>
      </c>
      <c r="G55" s="549">
        <f ca="1">_xll.ciqfunctions.udf.CIQ($B55, "IQ_MARKETCAP",Current_Date)</f>
      </c>
      <c r="H55" s="549">
        <f ca="1">_xll.ciqfunctions.udf.CIQ($B55, "IQ_TEV",Current_Date)</f>
      </c>
      <c r="I55" s="547">
        <f ca="1">_xll.ciqfunctions.udf.CIQ($B55, "IQ_TOTAL_REV_1YR_ANN_GROWTH",IQ_LTM,Current_Date)/100</f>
      </c>
      <c r="J55" s="547">
        <f ca="1">_xll.ciqfunctions.udf.CIQ($B55,"IQ_REVENUE_EST",IQ_FY+1)/(_xll.ciqfunctions.udf.CIQ($B55,"IQ_TOTAL_REV",IQ_FY))-1</f>
      </c>
      <c r="K55" s="547">
        <f ca="1">_xll.ciqfunctions.udf.CIQ($B55, "IQ_EPS_1YR_ANN_GROWTH",IQ_LTM,Current_Date)/100</f>
      </c>
      <c r="L55" s="547">
        <f ca="1">_xll.ciqfunctions.udf.CIQ($B55,"IQ_EPS_EST",IQ_FY+1)/(_xll.ciqfunctions.udf.CIQ($B55,"IQ_DILUT_EPS_INCL",IQ_FY))-1</f>
      </c>
      <c r="M55" s="547">
        <f ca="1">_xll.ciqfunctions.udf.CIQ($B55, "IQ_EBITDA_MARGIN",IQ_LTM)/100</f>
      </c>
      <c r="N55" s="547">
        <f ca="1">_xll.ciqfunctions.udf.CIQ($B55,"IQ_EBITDA_EST",IQ_FY+1)/(_xll.ciqfunctions.udf.CIQ($B55,"IQ_REVENUE_EST",IQ_FY+1))</f>
      </c>
      <c r="O55" s="547">
        <f ca="1">_xll.ciqfunctions.udf.CIQ($B55, "IQ_NI_MARGIN",IQ_LTM)/100</f>
      </c>
      <c r="P55" s="547">
        <f ca="1">_xll.ciqfunctions.udf.CIQ($B55,"IQ_NI_EST",IQ_FY+1)/(_xll.ciqfunctions.udf.CIQ($B55,"IQ_REVENUE_EST",IQ_FY+1))</f>
      </c>
      <c r="Q55" s="551">
        <f ca="1">_xll.ciqfunctions.udf.CIQ($B55, "IQ_TEV_EBITDA",IQ_LTM)</f>
      </c>
      <c r="R55" s="551">
        <f ca="1">_xll.ciqfunctions.udf.CIQ($B55, "IQ_TEV",Current_Date)/_xll.ciqfunctions.udf.CIQ($B55, "IQ_EBITDA_EST",IQ_FY+1)</f>
      </c>
      <c r="S55" s="551">
        <f ca="1">_xll.ciqfunctions.udf.CIQ($B55, "IQ_TEV_TOTAL_REV",IQ_LTM)</f>
      </c>
      <c r="T55" s="551">
        <f ca="1">_xll.ciqfunctions.udf.CIQ($B55, "IQ_TEV",Current_Date)/_xll.ciqfunctions.udf.CIQ($B55, "IQ_REVENUE_EST",IQ_FY+1)</f>
      </c>
      <c r="U55" s="551">
        <f ca="1">_xll.ciqfunctions.udf.CIQ($B55, "IQ_PE_EXCL",IQ_LTM)</f>
      </c>
      <c r="V55" s="551">
        <f ca="1">_xll.ciqfunctions.udf.CIQ($B55, "IQ_MARKETCAP",Current_Date)/_xll.ciqfunctions.udf.CIQ($B55, "IQ_NI_EST",IQ_FY+1)</f>
      </c>
      <c r="W55" s="16"/>
      <c r="X55" s="599" t="str">
        <f ca="1">X74</f>
        <v>IQ363263</v>
      </c>
      <c r="Y55" s="47"/>
      <c r="Z55" s="16">
        <f ca="1">_xll.ciqfunctions.udf.CIQ($X55, "IQ_COMPANY_NAME",Current_Date)</f>
      </c>
      <c r="AA55" s="16"/>
      <c r="AB55" s="84" t="str">
        <f ca="1">AB74</f>
        <v>HII</v>
      </c>
      <c r="AC55" s="549">
        <f ca="1">_xll.ciqfunctions.udf.CIQ($X55, "IQ_MARKETCAP",Current_Date)</f>
      </c>
      <c r="AD55" s="549">
        <f ca="1">_xll.ciqfunctions.udf.CIQ($X55, "IQ_TEV",Current_Date)</f>
      </c>
      <c r="AE55" s="547">
        <f ca="1">_xll.ciqfunctions.udf.CIQ($X55, "IQ_TOTAL_REV_1YR_ANN_GROWTH",IQ_LTM,Current_Date)/100</f>
      </c>
      <c r="AF55" s="547">
        <f ca="1">_xll.ciqfunctions.udf.CIQ($X55,"IQ_REVENUE_EST",IQ_FY+1)/(_xll.ciqfunctions.udf.CIQ($X55,"IQ_TOTAL_REV",IQ_FY))-1</f>
      </c>
      <c r="AG55" s="547">
        <f ca="1">_xll.ciqfunctions.udf.CIQ($X55, "IQ_EPS_1YR_ANN_GROWTH",IQ_LTM,Current_Date)/100</f>
      </c>
      <c r="AH55" s="547">
        <f ca="1">_xll.ciqfunctions.udf.CIQ($X55,"IQ_EPS_EST",IQ_FY+1)/(_xll.ciqfunctions.udf.CIQ($X55,"IQ_DILUT_EPS_INCL",IQ_FY))-1</f>
      </c>
      <c r="AI55" s="547">
        <f ca="1">_xll.ciqfunctions.udf.CIQ($X55, "IQ_EBITDA_MARGIN",IQ_LTM)/100</f>
      </c>
      <c r="AJ55" s="547">
        <f ca="1">_xll.ciqfunctions.udf.CIQ($X55,"IQ_EBITDA_EST",IQ_FY+1)/(_xll.ciqfunctions.udf.CIQ($X55,"IQ_REVENUE_EST",IQ_FY+1))</f>
      </c>
      <c r="AK55" s="547">
        <f ca="1">_xll.ciqfunctions.udf.CIQ($X55, "IQ_NI_MARGIN",IQ_LTM)/100</f>
      </c>
      <c r="AL55" s="547">
        <f ca="1">_xll.ciqfunctions.udf.CIQ($X55,"IQ_NI_EST",IQ_FY+1)/(_xll.ciqfunctions.udf.CIQ($X55,"IQ_REVENUE_EST",IQ_FY+1))</f>
      </c>
      <c r="AM55" s="551">
        <f ca="1">_xll.ciqfunctions.udf.CIQ($X55, "IQ_TEV_EBITDA",IQ_LTM)</f>
      </c>
      <c r="AN55" s="551">
        <f ca="1">_xll.ciqfunctions.udf.CIQ($X55, "IQ_TEV",Current_Date)/_xll.ciqfunctions.udf.CIQ($X55, "IQ_EBITDA_EST",IQ_FY+1)</f>
      </c>
      <c r="AO55" s="551">
        <f ca="1">_xll.ciqfunctions.udf.CIQ($X55, "IQ_TEV_TOTAL_REV",IQ_LTM)</f>
      </c>
      <c r="AP55" s="551">
        <f ca="1">_xll.ciqfunctions.udf.CIQ($X55, "IQ_TEV",Current_Date)/_xll.ciqfunctions.udf.CIQ($X55, "IQ_REVENUE_EST",IQ_FY+1)</f>
      </c>
      <c r="AQ55" s="551">
        <f ca="1">_xll.ciqfunctions.udf.CIQ($X55, "IQ_PE_EXCL",IQ_LTM)</f>
      </c>
      <c r="AR55" s="551">
        <f ca="1">_xll.ciqfunctions.udf.CIQ($X55, "IQ_MARKETCAP",Current_Date)/_xll.ciqfunctions.udf.CIQ($X55, "IQ_NI_EST",IQ_FY+1)</f>
      </c>
      <c r="AS55" s="4"/>
      <c r="AT55" s="599" t="str">
        <f ca="1">AT74</f>
        <v>IQ1340740</v>
      </c>
      <c r="AU55" s="47"/>
      <c r="AV55" s="16">
        <f ca="1">_xll.ciqfunctions.udf.CIQ($AT55, "IQ_COMPANY_NAME",Current_Date)</f>
      </c>
      <c r="AW55" s="16"/>
      <c r="AX55" s="84" t="str">
        <f ca="1">N101</f>
        <v>HON</v>
      </c>
      <c r="AY55" s="549">
        <f ca="1">_xll.ciqfunctions.udf.CIQ($AT55, "IQ_MARKETCAP",Current_Date)</f>
      </c>
      <c r="AZ55" s="549">
        <f ca="1">_xll.ciqfunctions.udf.CIQ($AT55, "IQ_TEV",Current_Date)</f>
      </c>
      <c r="BA55" s="547">
        <f ca="1">_xll.ciqfunctions.udf.CIQ($AT55, "IQ_TOTAL_REV_1YR_ANN_GROWTH",IQ_LTM,Current_Date)/100</f>
      </c>
      <c r="BB55" s="547">
        <f ca="1">_xll.ciqfunctions.udf.CIQ($AT55,"IQ_REVENUE_EST",IQ_FY+1)/(_xll.ciqfunctions.udf.CIQ($AT55,"IQ_TOTAL_REV",IQ_FY))-1</f>
      </c>
      <c r="BC55" s="547">
        <f ca="1">_xll.ciqfunctions.udf.CIQ($AT55, "IQ_EPS_1YR_ANN_GROWTH",IQ_LTM,Current_Date)/100</f>
      </c>
      <c r="BD55" s="547">
        <f ca="1">_xll.ciqfunctions.udf.CIQ($AT55,"IQ_EPS_EST",IQ_FY+1)/(_xll.ciqfunctions.udf.CIQ($AT55,"IQ_DILUT_EPS_INCL",IQ_FY))-1</f>
      </c>
      <c r="BE55" s="547">
        <f ca="1">_xll.ciqfunctions.udf.CIQ($AT55, "IQ_EBITDA_MARGIN",IQ_LTM)/100</f>
      </c>
      <c r="BF55" s="547">
        <f ca="1">_xll.ciqfunctions.udf.CIQ($AT55,"IQ_EBITDA_EST",IQ_FY+1)/(_xll.ciqfunctions.udf.CIQ($AT55,"IQ_REVENUE_EST",IQ_FY+1))</f>
      </c>
      <c r="BG55" s="547">
        <f ca="1">_xll.ciqfunctions.udf.CIQ($AT55, "IQ_NI_MARGIN",IQ_LTM)/100</f>
      </c>
      <c r="BH55" s="547">
        <f ca="1">_xll.ciqfunctions.udf.CIQ($AT55,"IQ_NI_EST",IQ_FY+1)/(_xll.ciqfunctions.udf.CIQ($AT55,"IQ_REVENUE_EST",IQ_FY+1))</f>
      </c>
      <c r="BI55" s="551">
        <f ca="1">_xll.ciqfunctions.udf.CIQ($AT55, "IQ_TEV_EBITDA",IQ_LTM)</f>
      </c>
      <c r="BJ55" s="551">
        <f ca="1">_xll.ciqfunctions.udf.CIQ($AT55, "IQ_TEV",Current_Date)/_xll.ciqfunctions.udf.CIQ($AT55, "IQ_EBITDA_EST",IQ_FY+1)</f>
      </c>
      <c r="BK55" s="551">
        <f ca="1">_xll.ciqfunctions.udf.CIQ($AT55, "IQ_TEV_TOTAL_REV",IQ_LTM)</f>
      </c>
      <c r="BL55" s="551">
        <f ca="1">_xll.ciqfunctions.udf.CIQ($AT55, "IQ_TEV",Current_Date)/_xll.ciqfunctions.udf.CIQ($AT55, "IQ_REVENUE_EST",IQ_FY+1)</f>
      </c>
      <c r="BM55" s="551">
        <f ca="1">_xll.ciqfunctions.udf.CIQ($AT55, "IQ_PE_EXCL",IQ_LTM)</f>
      </c>
      <c r="BN55" s="551">
        <f ca="1">_xll.ciqfunctions.udf.CIQ($AT55, "IQ_MARKETCAP",Current_Date)/_xll.ciqfunctions.udf.CIQ($AT55, "IQ_NI_EST",IQ_FY+1)</f>
      </c>
    </row>
    <row r="56" ht="13.5" customHeight="1" spans="1:66" x14ac:dyDescent="0.25" outlineLevel="1" collapsed="1">
      <c r="A56" s="4"/>
      <c r="B56" s="599" t="str">
        <f ca="1">B75</f>
        <v>IQ224055283</v>
      </c>
      <c r="C56" s="599"/>
      <c r="D56" s="16">
        <f ca="1">_xll.ciqfunctions.udf.CIQ($B56, "IQ_COMPANY_NAME",Current_Date)</f>
      </c>
      <c r="E56" s="16"/>
      <c r="F56" s="84" t="str">
        <f ca="1">F75</f>
        <v>""</v>
      </c>
      <c r="G56" s="549">
        <f ca="1">_xll.ciqfunctions.udf.CIQ($B56, "IQ_MARKETCAP",Current_Date)</f>
      </c>
      <c r="H56" s="549">
        <f ca="1">_xll.ciqfunctions.udf.CIQ($B56, "IQ_TEV",Current_Date)</f>
      </c>
      <c r="I56" s="547">
        <f ca="1">_xll.ciqfunctions.udf.CIQ($B56, "IQ_TOTAL_REV_1YR_ANN_GROWTH",IQ_LTM,Current_Date)/100</f>
      </c>
      <c r="J56" s="547">
        <f ca="1">_xll.ciqfunctions.udf.CIQ($B56,"IQ_REVENUE_EST",IQ_FY+1)/(_xll.ciqfunctions.udf.CIQ($B56,"IQ_TOTAL_REV",IQ_FY))-1</f>
      </c>
      <c r="K56" s="547">
        <f ca="1">_xll.ciqfunctions.udf.CIQ($B56, "IQ_EPS_1YR_ANN_GROWTH",IQ_LTM,Current_Date)/100</f>
      </c>
      <c r="L56" s="547">
        <f ca="1">_xll.ciqfunctions.udf.CIQ($B56,"IQ_EPS_EST",IQ_FY+1)/(_xll.ciqfunctions.udf.CIQ($B56,"IQ_DILUT_EPS_INCL",IQ_FY))-1</f>
      </c>
      <c r="M56" s="547">
        <f ca="1">_xll.ciqfunctions.udf.CIQ($B56, "IQ_EBITDA_MARGIN",IQ_LTM)/100</f>
      </c>
      <c r="N56" s="547">
        <f ca="1">_xll.ciqfunctions.udf.CIQ($B56,"IQ_EBITDA_EST",IQ_FY+1)/(_xll.ciqfunctions.udf.CIQ($B56,"IQ_REVENUE_EST",IQ_FY+1))</f>
      </c>
      <c r="O56" s="547">
        <f ca="1">_xll.ciqfunctions.udf.CIQ($B56, "IQ_NI_MARGIN",IQ_LTM)/100</f>
      </c>
      <c r="P56" s="547">
        <f ca="1">_xll.ciqfunctions.udf.CIQ($B56,"IQ_NI_EST",IQ_FY+1)/(_xll.ciqfunctions.udf.CIQ($B56,"IQ_REVENUE_EST",IQ_FY+1))</f>
      </c>
      <c r="Q56" s="551">
        <f ca="1">_xll.ciqfunctions.udf.CIQ($B56, "IQ_TEV_EBITDA",IQ_LTM)</f>
      </c>
      <c r="R56" s="551">
        <f ca="1">_xll.ciqfunctions.udf.CIQ($B56, "IQ_TEV",Current_Date)/_xll.ciqfunctions.udf.CIQ($B56, "IQ_EBITDA_EST",IQ_FY+1)</f>
      </c>
      <c r="S56" s="551">
        <f ca="1">_xll.ciqfunctions.udf.CIQ($B56, "IQ_TEV_TOTAL_REV",IQ_LTM)</f>
      </c>
      <c r="T56" s="551">
        <f ca="1">_xll.ciqfunctions.udf.CIQ($B56, "IQ_TEV",Current_Date)/_xll.ciqfunctions.udf.CIQ($B56, "IQ_REVENUE_EST",IQ_FY+1)</f>
      </c>
      <c r="U56" s="551">
        <f ca="1">_xll.ciqfunctions.udf.CIQ($B56, "IQ_PE_EXCL",IQ_LTM)</f>
      </c>
      <c r="V56" s="551">
        <f ca="1">_xll.ciqfunctions.udf.CIQ($B56, "IQ_MARKETCAP",Current_Date)/_xll.ciqfunctions.udf.CIQ($B56, "IQ_NI_EST",IQ_FY+1)</f>
      </c>
      <c r="W56" s="16"/>
      <c r="X56" s="599" t="str">
        <f ca="1">X75</f>
        <v>IQ285827</v>
      </c>
      <c r="Y56" s="47"/>
      <c r="Z56" s="16">
        <f ca="1">_xll.ciqfunctions.udf.CIQ($X56, "IQ_COMPANY_NAME",Current_Date)</f>
      </c>
      <c r="AA56" s="16"/>
      <c r="AB56" s="84" t="str">
        <f ca="1">AB75</f>
        <v>LMT</v>
      </c>
      <c r="AC56" s="549">
        <f ca="1">_xll.ciqfunctions.udf.CIQ($X56, "IQ_MARKETCAP",Current_Date)</f>
      </c>
      <c r="AD56" s="549">
        <f ca="1">_xll.ciqfunctions.udf.CIQ($X56, "IQ_TEV",Current_Date)</f>
      </c>
      <c r="AE56" s="547">
        <f ca="1">_xll.ciqfunctions.udf.CIQ($X56, "IQ_TOTAL_REV_1YR_ANN_GROWTH",IQ_LTM,Current_Date)/100</f>
      </c>
      <c r="AF56" s="547">
        <f ca="1">_xll.ciqfunctions.udf.CIQ($X56,"IQ_REVENUE_EST",IQ_FY+1)/(_xll.ciqfunctions.udf.CIQ($X56,"IQ_TOTAL_REV",IQ_FY))-1</f>
      </c>
      <c r="AG56" s="547">
        <f ca="1">_xll.ciqfunctions.udf.CIQ($X56, "IQ_EPS_1YR_ANN_GROWTH",IQ_LTM,Current_Date)/100</f>
      </c>
      <c r="AH56" s="547">
        <f ca="1">_xll.ciqfunctions.udf.CIQ($X56,"IQ_EPS_EST",IQ_FY+1)/(_xll.ciqfunctions.udf.CIQ($X56,"IQ_DILUT_EPS_INCL",IQ_FY))-1</f>
      </c>
      <c r="AI56" s="547">
        <f ca="1">_xll.ciqfunctions.udf.CIQ($X56, "IQ_EBITDA_MARGIN",IQ_LTM)/100</f>
      </c>
      <c r="AJ56" s="547">
        <f ca="1">_xll.ciqfunctions.udf.CIQ($X56,"IQ_EBITDA_EST",IQ_FY+1)/(_xll.ciqfunctions.udf.CIQ($X56,"IQ_REVENUE_EST",IQ_FY+1))</f>
      </c>
      <c r="AK56" s="547">
        <f ca="1">_xll.ciqfunctions.udf.CIQ($X56, "IQ_NI_MARGIN",IQ_LTM)/100</f>
      </c>
      <c r="AL56" s="547">
        <f ca="1">_xll.ciqfunctions.udf.CIQ($X56,"IQ_NI_EST",IQ_FY+1)/(_xll.ciqfunctions.udf.CIQ($X56,"IQ_REVENUE_EST",IQ_FY+1))</f>
      </c>
      <c r="AM56" s="551">
        <f ca="1">_xll.ciqfunctions.udf.CIQ($X56, "IQ_TEV_EBITDA",IQ_LTM)</f>
      </c>
      <c r="AN56" s="551">
        <f ca="1">_xll.ciqfunctions.udf.CIQ($X56, "IQ_TEV",Current_Date)/_xll.ciqfunctions.udf.CIQ($X56, "IQ_EBITDA_EST",IQ_FY+1)</f>
      </c>
      <c r="AO56" s="551">
        <f ca="1">_xll.ciqfunctions.udf.CIQ($X56, "IQ_TEV_TOTAL_REV",IQ_LTM)</f>
      </c>
      <c r="AP56" s="551">
        <f ca="1">_xll.ciqfunctions.udf.CIQ($X56, "IQ_TEV",Current_Date)/_xll.ciqfunctions.udf.CIQ($X56, "IQ_REVENUE_EST",IQ_FY+1)</f>
      </c>
      <c r="AQ56" s="551">
        <f ca="1">_xll.ciqfunctions.udf.CIQ($X56, "IQ_PE_EXCL",IQ_LTM)</f>
      </c>
      <c r="AR56" s="551">
        <f ca="1">_xll.ciqfunctions.udf.CIQ($X56, "IQ_MARKETCAP",Current_Date)/_xll.ciqfunctions.udf.CIQ($X56, "IQ_NI_EST",IQ_FY+1)</f>
      </c>
      <c r="AS56" s="4"/>
      <c r="AT56" s="599" t="str">
        <f ca="1">AT75</f>
        <v>IQ22751</v>
      </c>
      <c r="AU56" s="47"/>
      <c r="AV56" s="16">
        <f ca="1">_xll.ciqfunctions.udf.CIQ($AT56, "IQ_COMPANY_NAME",Current_Date)</f>
      </c>
      <c r="AW56" s="16"/>
      <c r="AX56" s="84" t="str">
        <f ca="1">N105</f>
        <v>ROP</v>
      </c>
      <c r="AY56" s="549">
        <f ca="1">_xll.ciqfunctions.udf.CIQ($AT56, "IQ_MARKETCAP",Current_Date)</f>
      </c>
      <c r="AZ56" s="549">
        <f ca="1">_xll.ciqfunctions.udf.CIQ($AT56, "IQ_TEV",Current_Date)</f>
      </c>
      <c r="BA56" s="547">
        <f ca="1">_xll.ciqfunctions.udf.CIQ($AT56, "IQ_TOTAL_REV_1YR_ANN_GROWTH",IQ_LTM,Current_Date)/100</f>
      </c>
      <c r="BB56" s="547">
        <f ca="1">_xll.ciqfunctions.udf.CIQ($AT56,"IQ_REVENUE_EST",IQ_FY+1)/(_xll.ciqfunctions.udf.CIQ($AT56,"IQ_TOTAL_REV",IQ_FY))-1</f>
      </c>
      <c r="BC56" s="547">
        <f ca="1">_xll.ciqfunctions.udf.CIQ($AT56, "IQ_EPS_1YR_ANN_GROWTH",IQ_LTM,Current_Date)/100</f>
      </c>
      <c r="BD56" s="547">
        <f ca="1">_xll.ciqfunctions.udf.CIQ($AT56,"IQ_EPS_EST",IQ_FY+1)/(_xll.ciqfunctions.udf.CIQ($AT56,"IQ_DILUT_EPS_INCL",IQ_FY))-1</f>
      </c>
      <c r="BE56" s="547">
        <f ca="1">_xll.ciqfunctions.udf.CIQ($AT56, "IQ_EBITDA_MARGIN",IQ_LTM)/100</f>
      </c>
      <c r="BF56" s="547">
        <f ca="1">_xll.ciqfunctions.udf.CIQ($AT56,"IQ_EBITDA_EST",IQ_FY+1)/(_xll.ciqfunctions.udf.CIQ($AT56,"IQ_REVENUE_EST",IQ_FY+1))</f>
      </c>
      <c r="BG56" s="547">
        <f ca="1">_xll.ciqfunctions.udf.CIQ($AT56, "IQ_NI_MARGIN",IQ_LTM)/100</f>
      </c>
      <c r="BH56" s="547">
        <f ca="1">_xll.ciqfunctions.udf.CIQ($AT56,"IQ_NI_EST",IQ_FY+1)/(_xll.ciqfunctions.udf.CIQ($AT56,"IQ_REVENUE_EST",IQ_FY+1))</f>
      </c>
      <c r="BI56" s="551">
        <f ca="1">_xll.ciqfunctions.udf.CIQ($AT56, "IQ_TEV_EBITDA",IQ_LTM)</f>
      </c>
      <c r="BJ56" s="551">
        <f ca="1">_xll.ciqfunctions.udf.CIQ($AT56, "IQ_TEV",Current_Date)/_xll.ciqfunctions.udf.CIQ($AT56, "IQ_EBITDA_EST",IQ_FY+1)</f>
      </c>
      <c r="BK56" s="551">
        <f ca="1">_xll.ciqfunctions.udf.CIQ($AT56, "IQ_TEV_TOTAL_REV",IQ_LTM)</f>
      </c>
      <c r="BL56" s="551">
        <f ca="1">_xll.ciqfunctions.udf.CIQ($AT56, "IQ_TEV",Current_Date)/_xll.ciqfunctions.udf.CIQ($AT56, "IQ_REVENUE_EST",IQ_FY+1)</f>
      </c>
      <c r="BM56" s="551">
        <f ca="1">_xll.ciqfunctions.udf.CIQ($AT56, "IQ_PE_EXCL",IQ_LTM)</f>
      </c>
      <c r="BN56" s="551">
        <f ca="1">_xll.ciqfunctions.udf.CIQ($AT56, "IQ_MARKETCAP",Current_Date)/_xll.ciqfunctions.udf.CIQ($AT56, "IQ_NI_EST",IQ_FY+1)</f>
      </c>
    </row>
    <row r="57" ht="13.5" customHeight="1" spans="1:66" x14ac:dyDescent="0.25" outlineLevel="1" collapsed="1">
      <c r="A57" s="4"/>
      <c r="B57" s="599" t="str">
        <f ca="1">B76</f>
        <v>IQ29096</v>
      </c>
      <c r="C57" s="599"/>
      <c r="D57" s="16">
        <f ca="1">_xll.ciqfunctions.udf.CIQ($B57, "IQ_COMPANY_NAME",Current_Date)</f>
      </c>
      <c r="E57" s="16"/>
      <c r="F57" s="84" t="str">
        <f ca="1">F76</f>
        <v>""</v>
      </c>
      <c r="G57" s="549">
        <f ca="1">_xll.ciqfunctions.udf.CIQ($B57, "IQ_MARKETCAP",Current_Date)</f>
      </c>
      <c r="H57" s="549">
        <f ca="1">_xll.ciqfunctions.udf.CIQ($B57, "IQ_TEV",Current_Date)</f>
      </c>
      <c r="I57" s="547">
        <f ca="1">_xll.ciqfunctions.udf.CIQ($B57, "IQ_TOTAL_REV_1YR_ANN_GROWTH",IQ_LTM,Current_Date)/100</f>
      </c>
      <c r="J57" s="547">
        <f ca="1">_xll.ciqfunctions.udf.CIQ($B57,"IQ_REVENUE_EST",IQ_FY+1)/(_xll.ciqfunctions.udf.CIQ($B57,"IQ_TOTAL_REV",IQ_FY))-1</f>
      </c>
      <c r="K57" s="547">
        <f ca="1">_xll.ciqfunctions.udf.CIQ($B57, "IQ_EPS_1YR_ANN_GROWTH",IQ_LTM,Current_Date)/100</f>
      </c>
      <c r="L57" s="547">
        <f ca="1">_xll.ciqfunctions.udf.CIQ($B57,"IQ_EPS_EST",IQ_FY+1)/(_xll.ciqfunctions.udf.CIQ($B57,"IQ_DILUT_EPS_INCL",IQ_FY))-1</f>
      </c>
      <c r="M57" s="547">
        <f ca="1">_xll.ciqfunctions.udf.CIQ($B57, "IQ_EBITDA_MARGIN",IQ_LTM)/100</f>
      </c>
      <c r="N57" s="547">
        <f ca="1">_xll.ciqfunctions.udf.CIQ($B57,"IQ_EBITDA_EST",IQ_FY+1)/(_xll.ciqfunctions.udf.CIQ($B57,"IQ_REVENUE_EST",IQ_FY+1))</f>
      </c>
      <c r="O57" s="547">
        <f ca="1">_xll.ciqfunctions.udf.CIQ($B57, "IQ_NI_MARGIN",IQ_LTM)/100</f>
      </c>
      <c r="P57" s="547">
        <f ca="1">_xll.ciqfunctions.udf.CIQ($B57,"IQ_NI_EST",IQ_FY+1)/(_xll.ciqfunctions.udf.CIQ($B57,"IQ_REVENUE_EST",IQ_FY+1))</f>
      </c>
      <c r="Q57" s="551">
        <f ca="1">_xll.ciqfunctions.udf.CIQ($B57, "IQ_TEV_EBITDA",IQ_LTM)</f>
      </c>
      <c r="R57" s="551">
        <f ca="1">_xll.ciqfunctions.udf.CIQ($B57, "IQ_TEV",Current_Date)/_xll.ciqfunctions.udf.CIQ($B57, "IQ_EBITDA_EST",IQ_FY+1)</f>
      </c>
      <c r="S57" s="551">
        <f ca="1">_xll.ciqfunctions.udf.CIQ($B57, "IQ_TEV_TOTAL_REV",IQ_LTM)</f>
      </c>
      <c r="T57" s="551">
        <f ca="1">_xll.ciqfunctions.udf.CIQ($B57, "IQ_TEV",Current_Date)/_xll.ciqfunctions.udf.CIQ($B57, "IQ_REVENUE_EST",IQ_FY+1)</f>
      </c>
      <c r="U57" s="551">
        <f ca="1">_xll.ciqfunctions.udf.CIQ($B57, "IQ_PE_EXCL",IQ_LTM)</f>
      </c>
      <c r="V57" s="551">
        <f ca="1">_xll.ciqfunctions.udf.CIQ($B57, "IQ_MARKETCAP",Current_Date)/_xll.ciqfunctions.udf.CIQ($B57, "IQ_NI_EST",IQ_FY+1)</f>
      </c>
      <c r="W57" s="16"/>
      <c r="X57" s="599" t="str">
        <f ca="1">X76</f>
        <v>IQ97199</v>
      </c>
      <c r="Y57" s="47"/>
      <c r="Z57" s="16">
        <f ca="1">_xll.ciqfunctions.udf.CIQ($X57, "IQ_COMPANY_NAME",Current_Date)</f>
      </c>
      <c r="AA57" s="16"/>
      <c r="AB57" s="84" t="str">
        <f ca="1">AB76</f>
        <v>NOC</v>
      </c>
      <c r="AC57" s="549">
        <f ca="1">_xll.ciqfunctions.udf.CIQ($X57, "IQ_MARKETCAP",Current_Date)</f>
      </c>
      <c r="AD57" s="549">
        <f ca="1">_xll.ciqfunctions.udf.CIQ($X57, "IQ_TEV",Current_Date)</f>
      </c>
      <c r="AE57" s="547">
        <f ca="1">_xll.ciqfunctions.udf.CIQ($X57, "IQ_TOTAL_REV_1YR_ANN_GROWTH",IQ_LTM,Current_Date)/100</f>
      </c>
      <c r="AF57" s="547">
        <f ca="1">_xll.ciqfunctions.udf.CIQ($X57,"IQ_REVENUE_EST",IQ_FY+1)/(_xll.ciqfunctions.udf.CIQ($X57,"IQ_TOTAL_REV",IQ_FY))-1</f>
      </c>
      <c r="AG57" s="547">
        <f ca="1">_xll.ciqfunctions.udf.CIQ($X57, "IQ_EPS_1YR_ANN_GROWTH",IQ_LTM,Current_Date)/100</f>
      </c>
      <c r="AH57" s="547">
        <f ca="1">_xll.ciqfunctions.udf.CIQ($X57,"IQ_EPS_EST",IQ_FY+1)/(_xll.ciqfunctions.udf.CIQ($X57,"IQ_DILUT_EPS_INCL",IQ_FY))-1</f>
      </c>
      <c r="AI57" s="547">
        <f ca="1">_xll.ciqfunctions.udf.CIQ($X57, "IQ_EBITDA_MARGIN",IQ_LTM)/100</f>
      </c>
      <c r="AJ57" s="547">
        <f ca="1">_xll.ciqfunctions.udf.CIQ($X57,"IQ_EBITDA_EST",IQ_FY+1)/(_xll.ciqfunctions.udf.CIQ($X57,"IQ_REVENUE_EST",IQ_FY+1))</f>
      </c>
      <c r="AK57" s="547">
        <f ca="1">_xll.ciqfunctions.udf.CIQ($X57, "IQ_NI_MARGIN",IQ_LTM)/100</f>
      </c>
      <c r="AL57" s="547">
        <f ca="1">_xll.ciqfunctions.udf.CIQ($X57,"IQ_NI_EST",IQ_FY+1)/(_xll.ciqfunctions.udf.CIQ($X57,"IQ_REVENUE_EST",IQ_FY+1))</f>
      </c>
      <c r="AM57" s="551">
        <f ca="1">_xll.ciqfunctions.udf.CIQ($X57, "IQ_TEV_EBITDA",IQ_LTM)</f>
      </c>
      <c r="AN57" s="551">
        <f ca="1">_xll.ciqfunctions.udf.CIQ($X57, "IQ_TEV",Current_Date)/_xll.ciqfunctions.udf.CIQ($X57, "IQ_EBITDA_EST",IQ_FY+1)</f>
      </c>
      <c r="AO57" s="551">
        <f ca="1">_xll.ciqfunctions.udf.CIQ($X57, "IQ_TEV_TOTAL_REV",IQ_LTM)</f>
      </c>
      <c r="AP57" s="551">
        <f ca="1">_xll.ciqfunctions.udf.CIQ($X57, "IQ_TEV",Current_Date)/_xll.ciqfunctions.udf.CIQ($X57, "IQ_REVENUE_EST",IQ_FY+1)</f>
      </c>
      <c r="AQ57" s="551">
        <f ca="1">_xll.ciqfunctions.udf.CIQ($X57, "IQ_PE_EXCL",IQ_LTM)</f>
      </c>
      <c r="AR57" s="551">
        <f ca="1">_xll.ciqfunctions.udf.CIQ($X57, "IQ_MARKETCAP",Current_Date)/_xll.ciqfunctions.udf.CIQ($X57, "IQ_NI_EST",IQ_FY+1)</f>
      </c>
      <c r="AS57" s="4"/>
      <c r="AT57" s="599" t="str">
        <f ca="1">AT76</f>
        <v>IQ269231</v>
      </c>
      <c r="AU57" s="47"/>
      <c r="AV57" s="16">
        <f ca="1">_xll.ciqfunctions.udf.CIQ($AT57, "IQ_COMPANY_NAME",Current_Date)</f>
      </c>
      <c r="AW57" s="16"/>
      <c r="AX57" s="84" t="str">
        <f ca="1">N109</f>
        <v>EMR</v>
      </c>
      <c r="AY57" s="549">
        <f ca="1">_xll.ciqfunctions.udf.CIQ($AT57, "IQ_MARKETCAP",Current_Date)</f>
      </c>
      <c r="AZ57" s="549">
        <f ca="1">_xll.ciqfunctions.udf.CIQ($AT57, "IQ_TEV",Current_Date)</f>
      </c>
      <c r="BA57" s="547">
        <f ca="1">_xll.ciqfunctions.udf.CIQ($AT57, "IQ_TOTAL_REV_1YR_ANN_GROWTH",IQ_LTM,Current_Date)/100</f>
      </c>
      <c r="BB57" s="547">
        <f ca="1">_xll.ciqfunctions.udf.CIQ($AT57,"IQ_REVENUE_EST",IQ_FY+1)/(_xll.ciqfunctions.udf.CIQ($AT57,"IQ_TOTAL_REV",IQ_FY))-1</f>
      </c>
      <c r="BC57" s="547">
        <f ca="1">_xll.ciqfunctions.udf.CIQ($AT57, "IQ_EPS_1YR_ANN_GROWTH",IQ_LTM,Current_Date)/100</f>
      </c>
      <c r="BD57" s="547">
        <f ca="1">_xll.ciqfunctions.udf.CIQ($AT57,"IQ_EPS_EST",IQ_FY+1)/(_xll.ciqfunctions.udf.CIQ($AT57,"IQ_DILUT_EPS_INCL",IQ_FY))-1</f>
      </c>
      <c r="BE57" s="547">
        <f ca="1">_xll.ciqfunctions.udf.CIQ($AT57, "IQ_EBITDA_MARGIN",IQ_LTM)/100</f>
      </c>
      <c r="BF57" s="547">
        <f ca="1">_xll.ciqfunctions.udf.CIQ($AT57,"IQ_EBITDA_EST",IQ_FY+1)/(_xll.ciqfunctions.udf.CIQ($AT57,"IQ_REVENUE_EST",IQ_FY+1))</f>
      </c>
      <c r="BG57" s="547">
        <f ca="1">_xll.ciqfunctions.udf.CIQ($AT57, "IQ_NI_MARGIN",IQ_LTM)/100</f>
      </c>
      <c r="BH57" s="547">
        <f ca="1">_xll.ciqfunctions.udf.CIQ($AT57,"IQ_NI_EST",IQ_FY+1)/(_xll.ciqfunctions.udf.CIQ($AT57,"IQ_REVENUE_EST",IQ_FY+1))</f>
      </c>
      <c r="BI57" s="551">
        <f ca="1">_xll.ciqfunctions.udf.CIQ($AT57, "IQ_TEV_EBITDA",IQ_LTM)</f>
      </c>
      <c r="BJ57" s="551">
        <f ca="1">_xll.ciqfunctions.udf.CIQ($AT57, "IQ_TEV",Current_Date)/_xll.ciqfunctions.udf.CIQ($AT57, "IQ_EBITDA_EST",IQ_FY+1)</f>
      </c>
      <c r="BK57" s="551">
        <f ca="1">_xll.ciqfunctions.udf.CIQ($AT57, "IQ_TEV_TOTAL_REV",IQ_LTM)</f>
      </c>
      <c r="BL57" s="551">
        <f ca="1">_xll.ciqfunctions.udf.CIQ($AT57, "IQ_TEV",Current_Date)/_xll.ciqfunctions.udf.CIQ($AT57, "IQ_REVENUE_EST",IQ_FY+1)</f>
      </c>
      <c r="BM57" s="551">
        <f ca="1">_xll.ciqfunctions.udf.CIQ($AT57, "IQ_PE_EXCL",IQ_LTM)</f>
      </c>
      <c r="BN57" s="551">
        <f ca="1">_xll.ciqfunctions.udf.CIQ($AT57, "IQ_MARKETCAP",Current_Date)/_xll.ciqfunctions.udf.CIQ($AT57, "IQ_NI_EST",IQ_FY+1)</f>
      </c>
    </row>
    <row r="58" ht="13.5" customHeight="1" spans="1:66" x14ac:dyDescent="0.25" outlineLevel="1" collapsed="1">
      <c r="A58" s="4"/>
      <c r="B58" s="4"/>
      <c r="C58" s="4"/>
      <c r="D58" s="16"/>
      <c r="E58" s="16"/>
      <c r="F58" s="84"/>
      <c r="G58" s="84"/>
      <c r="H58" s="84"/>
      <c r="I58" s="84"/>
      <c r="J58" s="84"/>
      <c r="K58" s="84"/>
      <c r="L58" s="84"/>
      <c r="M58" s="84"/>
      <c r="N58" s="84"/>
      <c r="O58" s="84"/>
      <c r="P58" s="84"/>
      <c r="Q58" s="84"/>
      <c r="R58" s="84"/>
      <c r="S58" s="210"/>
      <c r="T58" s="84"/>
      <c r="U58" s="84"/>
      <c r="V58" s="84"/>
      <c r="W58" s="16"/>
      <c r="X58" s="4"/>
      <c r="Y58" s="47"/>
      <c r="Z58" s="16"/>
      <c r="AA58" s="16"/>
      <c r="AB58" s="84"/>
      <c r="AC58" s="84"/>
      <c r="AD58" s="84"/>
      <c r="AE58" s="84"/>
      <c r="AF58" s="84"/>
      <c r="AG58" s="84"/>
      <c r="AH58" s="84"/>
      <c r="AI58" s="84"/>
      <c r="AJ58" s="84"/>
      <c r="AK58" s="84"/>
      <c r="AL58" s="84"/>
      <c r="AM58" s="84"/>
      <c r="AN58" s="84"/>
      <c r="AO58" s="210"/>
      <c r="AP58" s="84"/>
      <c r="AQ58" s="84"/>
      <c r="AR58" s="84"/>
      <c r="AS58" s="4"/>
      <c r="AT58" s="4"/>
      <c r="AU58" s="47"/>
      <c r="AV58" s="16"/>
      <c r="AW58" s="16"/>
      <c r="AX58" s="84"/>
      <c r="AY58" s="84"/>
      <c r="AZ58" s="84"/>
      <c r="BA58" s="84"/>
      <c r="BB58" s="84"/>
      <c r="BC58" s="84"/>
      <c r="BD58" s="84"/>
      <c r="BE58" s="84"/>
      <c r="BF58" s="84"/>
      <c r="BG58" s="84"/>
      <c r="BH58" s="84"/>
      <c r="BI58" s="84"/>
      <c r="BJ58" s="84"/>
      <c r="BK58" s="210"/>
      <c r="BL58" s="84"/>
      <c r="BM58" s="84"/>
      <c r="BN58" s="84"/>
    </row>
    <row r="59" ht="13.5" customHeight="1" spans="1:66" x14ac:dyDescent="0.25" outlineLevel="1" collapsed="1">
      <c r="A59" s="4"/>
      <c r="B59" s="4"/>
      <c r="C59" s="4"/>
      <c r="D59" s="608" t="str">
        <f t="shared" ref="D59:D62" si="41" ca="1">D18</f>
        <v>High</v>
      </c>
      <c r="E59" s="609"/>
      <c r="F59" s="610"/>
      <c r="G59" s="611">
        <f ca="1">MAX(G53:G57)</f>
      </c>
      <c r="H59" s="611">
        <f ca="1">MAX(H53:H57)</f>
      </c>
      <c r="I59" s="612">
        <f ca="1">MAX(I53:I57)</f>
      </c>
      <c r="J59" s="612">
        <f ca="1">MAX(J53:J57)</f>
      </c>
      <c r="K59" s="612">
        <f ca="1">MAX(K53:K57)</f>
      </c>
      <c r="L59" s="612">
        <f ca="1">MAX(L53:L57)</f>
      </c>
      <c r="M59" s="612">
        <f ca="1">MAX(M53:M57)</f>
      </c>
      <c r="N59" s="612">
        <f ca="1">MAX(N53:N57)</f>
      </c>
      <c r="O59" s="612">
        <f ca="1">MAX(O53:O57)</f>
      </c>
      <c r="P59" s="612">
        <f ca="1">MAX(P53:P57)</f>
      </c>
      <c r="Q59" s="613">
        <f ca="1">MAX(Q53:Q57)</f>
      </c>
      <c r="R59" s="614">
        <f ca="1">MAX(R53:R57)</f>
      </c>
      <c r="S59" s="614">
        <f ca="1">MAX(S53:S57)</f>
      </c>
      <c r="T59" s="614">
        <f ca="1">MAX(T53:T57)</f>
      </c>
      <c r="U59" s="614">
        <f ca="1">MAX(U53:U57)</f>
      </c>
      <c r="V59" s="615">
        <f ca="1">MAX(V53:V57)</f>
      </c>
      <c r="W59" s="16"/>
      <c r="X59" s="4"/>
      <c r="Y59" s="47"/>
      <c r="Z59" s="608" t="str">
        <f t="shared" ref="Z59:Z62" si="42" ca="1">Z18</f>
        <v>High</v>
      </c>
      <c r="AA59" s="609"/>
      <c r="AB59" s="610"/>
      <c r="AC59" s="611">
        <f ca="1">MAX(AC53:AC57)</f>
      </c>
      <c r="AD59" s="611">
        <f ca="1">MAX(AD53:AD57)</f>
      </c>
      <c r="AE59" s="612">
        <f ca="1">MAX(AE53:AE57)</f>
      </c>
      <c r="AF59" s="612">
        <f ca="1">MAX(AF53:AF57)</f>
      </c>
      <c r="AG59" s="612">
        <f ca="1">MAX(AG53:AG57)</f>
      </c>
      <c r="AH59" s="612">
        <f ca="1">MAX(AH53:AH57)</f>
      </c>
      <c r="AI59" s="612">
        <f ca="1">MAX(AI53:AI57)</f>
      </c>
      <c r="AJ59" s="612">
        <f ca="1">MAX(AJ53:AJ57)</f>
      </c>
      <c r="AK59" s="612">
        <f ca="1">MAX(AK53:AK57)</f>
      </c>
      <c r="AL59" s="612">
        <f ca="1">MAX(AL53:AL57)</f>
      </c>
      <c r="AM59" s="613">
        <f ca="1">MAX(AM53:AM57)</f>
      </c>
      <c r="AN59" s="614">
        <f ca="1">MAX(AN53:AN57)</f>
      </c>
      <c r="AO59" s="614">
        <f ca="1">MAX(AO53:AO57)</f>
      </c>
      <c r="AP59" s="614">
        <f ca="1">MAX(AP53:AP57)</f>
      </c>
      <c r="AQ59" s="614">
        <f ca="1">MAX(AQ53:AQ57)</f>
      </c>
      <c r="AR59" s="615">
        <f ca="1">MAX(AR53:AR57)</f>
      </c>
      <c r="AS59" s="4"/>
      <c r="AT59" s="4"/>
      <c r="AU59" s="47"/>
      <c r="AV59" s="608" t="str">
        <f t="shared" ref="AV59:AV62" si="43" ca="1">AV18</f>
        <v>High</v>
      </c>
      <c r="AW59" s="609"/>
      <c r="AX59" s="610"/>
      <c r="AY59" s="611">
        <f ca="1">MAX(AY53:AY57)</f>
      </c>
      <c r="AZ59" s="611">
        <f ca="1">MAX(AZ53:AZ57)</f>
      </c>
      <c r="BA59" s="612">
        <f ca="1">MAX(BA53:BA57)</f>
      </c>
      <c r="BB59" s="612">
        <f ca="1">MAX(BB53:BB57)</f>
      </c>
      <c r="BC59" s="612">
        <f ca="1">MAX(BC53:BC57)</f>
      </c>
      <c r="BD59" s="612">
        <f ca="1">MAX(BD53:BD57)</f>
      </c>
      <c r="BE59" s="612">
        <f ca="1">MAX(BE53:BE57)</f>
      </c>
      <c r="BF59" s="612">
        <f ca="1">MAX(BF53:BF57)</f>
      </c>
      <c r="BG59" s="612">
        <f ca="1">MAX(BG53:BG57)</f>
      </c>
      <c r="BH59" s="612">
        <f ca="1">MAX(BH53:BH57)</f>
      </c>
      <c r="BI59" s="613">
        <f ca="1">MAX(BI53:BI57)</f>
      </c>
      <c r="BJ59" s="614">
        <f ca="1">MAX(BJ53:BJ57)</f>
      </c>
      <c r="BK59" s="614">
        <f ca="1">MAX(BK53:BK57)</f>
      </c>
      <c r="BL59" s="614">
        <f ca="1">MAX(BL53:BL57)</f>
      </c>
      <c r="BM59" s="614">
        <f ca="1">MAX(BM53:BM57)</f>
      </c>
      <c r="BN59" s="615">
        <f ca="1">MAX(BN53:BN57)</f>
      </c>
    </row>
    <row r="60" ht="13.5" customHeight="1" spans="1:66" x14ac:dyDescent="0.25" outlineLevel="1" collapsed="1">
      <c r="A60" s="4"/>
      <c r="B60" s="4"/>
      <c r="C60" s="4"/>
      <c r="D60" s="616" t="str">
        <f ca="1">D19</f>
        <v>Mean</v>
      </c>
      <c r="E60" s="617"/>
      <c r="F60" s="618"/>
      <c r="G60" s="619">
        <f ca="1">AVERAGE(G53:G57)</f>
      </c>
      <c r="H60" s="619">
        <f ca="1">AVERAGE(H53:H57)</f>
      </c>
      <c r="I60" s="620">
        <f ca="1">AVERAGE(I53:I57)</f>
      </c>
      <c r="J60" s="620">
        <f ca="1">AVERAGE(J53:J57)</f>
      </c>
      <c r="K60" s="620">
        <f ca="1">AVERAGE(K53:K57)</f>
      </c>
      <c r="L60" s="620">
        <f ca="1">AVERAGE(L53:L57)</f>
      </c>
      <c r="M60" s="620">
        <f ca="1">AVERAGE(M53:M57)</f>
      </c>
      <c r="N60" s="620">
        <f ca="1">AVERAGE(N53:N57)</f>
      </c>
      <c r="O60" s="620">
        <f ca="1">AVERAGE(O53:O57)</f>
      </c>
      <c r="P60" s="620">
        <f ca="1">AVERAGE(P53:P57)</f>
      </c>
      <c r="Q60" s="621">
        <f ca="1">AVERAGE(Q53:Q57)</f>
      </c>
      <c r="R60" s="622">
        <f ca="1">AVERAGE(R53:R57)</f>
      </c>
      <c r="S60" s="622">
        <f ca="1">AVERAGE(S53:S57)</f>
      </c>
      <c r="T60" s="622">
        <f ca="1">AVERAGE(T53:T57)</f>
      </c>
      <c r="U60" s="622">
        <f ca="1">AVERAGE(U53:U57)</f>
      </c>
      <c r="V60" s="623">
        <f ca="1">AVERAGE(V53:V57)</f>
      </c>
      <c r="W60" s="16"/>
      <c r="X60" s="4"/>
      <c r="Y60" s="47"/>
      <c r="Z60" s="616" t="str">
        <f ca="1">Z19</f>
        <v>Mean</v>
      </c>
      <c r="AA60" s="617"/>
      <c r="AB60" s="618"/>
      <c r="AC60" s="619">
        <f ca="1">AVERAGE(AC53:AC57)</f>
      </c>
      <c r="AD60" s="619">
        <f ca="1">AVERAGE(AD53:AD57)</f>
      </c>
      <c r="AE60" s="620">
        <f ca="1">AVERAGE(AE53:AE57)</f>
      </c>
      <c r="AF60" s="620">
        <f ca="1">AVERAGE(AF53:AF57)</f>
      </c>
      <c r="AG60" s="620">
        <f ca="1">AVERAGE(AG53:AG57)</f>
      </c>
      <c r="AH60" s="620">
        <f ca="1">AVERAGE(AH53:AH57)</f>
      </c>
      <c r="AI60" s="620">
        <f ca="1">AVERAGE(AI53:AI57)</f>
      </c>
      <c r="AJ60" s="620">
        <f ca="1">AVERAGE(AJ53:AJ57)</f>
      </c>
      <c r="AK60" s="620">
        <f ca="1">AVERAGE(AK53:AK57)</f>
      </c>
      <c r="AL60" s="620">
        <f ca="1">AVERAGE(AL53:AL57)</f>
      </c>
      <c r="AM60" s="621">
        <f ca="1">AVERAGE(AM53:AM57)</f>
      </c>
      <c r="AN60" s="622">
        <f ca="1">AVERAGE(AN53:AN57)</f>
      </c>
      <c r="AO60" s="622">
        <f ca="1">AVERAGE(AO53:AO57)</f>
      </c>
      <c r="AP60" s="622">
        <f ca="1">AVERAGE(AP53:AP57)</f>
      </c>
      <c r="AQ60" s="622">
        <f ca="1">AVERAGE(AQ53:AQ57)</f>
      </c>
      <c r="AR60" s="623">
        <f ca="1">AVERAGE(AR53:AR57)</f>
      </c>
      <c r="AS60" s="4"/>
      <c r="AT60" s="4"/>
      <c r="AU60" s="47"/>
      <c r="AV60" s="616" t="str">
        <f ca="1">AV19</f>
        <v>Mean</v>
      </c>
      <c r="AW60" s="617"/>
      <c r="AX60" s="618"/>
      <c r="AY60" s="619">
        <f ca="1">AVERAGE(AY53:AY57)</f>
      </c>
      <c r="AZ60" s="619">
        <f ca="1">AVERAGE(AZ53:AZ57)</f>
      </c>
      <c r="BA60" s="620">
        <f ca="1">AVERAGE(BA53:BA57)</f>
      </c>
      <c r="BB60" s="620">
        <f ca="1">AVERAGE(BB53:BB57)</f>
      </c>
      <c r="BC60" s="620">
        <f ca="1">AVERAGE(BC53:BC57)</f>
      </c>
      <c r="BD60" s="620">
        <f ca="1">AVERAGE(BD53:BD57)</f>
      </c>
      <c r="BE60" s="620">
        <f ca="1">AVERAGE(BE53:BE57)</f>
      </c>
      <c r="BF60" s="620">
        <f ca="1">AVERAGE(BF53:BF57)</f>
      </c>
      <c r="BG60" s="620">
        <f ca="1">AVERAGE(BG53:BG57)</f>
      </c>
      <c r="BH60" s="620">
        <f ca="1">AVERAGE(BH53:BH57)</f>
      </c>
      <c r="BI60" s="621">
        <f ca="1">AVERAGE(BI53:BI57)</f>
      </c>
      <c r="BJ60" s="622">
        <f ca="1">AVERAGE(BJ53:BJ57)</f>
      </c>
      <c r="BK60" s="622">
        <f ca="1">AVERAGE(BK53:BK57)</f>
      </c>
      <c r="BL60" s="622">
        <f ca="1">AVERAGE(BL53:BL57)</f>
      </c>
      <c r="BM60" s="622">
        <f ca="1">AVERAGE(BM53:BM57)</f>
      </c>
      <c r="BN60" s="623">
        <f ca="1">AVERAGE(BN53:BN57)</f>
      </c>
    </row>
    <row r="61" ht="13.5" customHeight="1" spans="1:66" x14ac:dyDescent="0.25" outlineLevel="1" collapsed="1">
      <c r="A61" s="4"/>
      <c r="B61" s="4"/>
      <c r="C61" s="4"/>
      <c r="D61" s="616" t="str">
        <f ca="1">D20</f>
        <v>Median</v>
      </c>
      <c r="E61" s="617"/>
      <c r="F61" s="617"/>
      <c r="G61" s="619">
        <f ca="1">MEDIAN(G53:G57)</f>
      </c>
      <c r="H61" s="619">
        <f ca="1">MEDIAN(H53:H57)</f>
      </c>
      <c r="I61" s="620">
        <f ca="1">MEDIAN(I53:I57)</f>
      </c>
      <c r="J61" s="620">
        <f ca="1">MEDIAN(J53:J57)</f>
      </c>
      <c r="K61" s="620">
        <f ca="1">MEDIAN(K53:K57)</f>
      </c>
      <c r="L61" s="620">
        <f ca="1">MEDIAN(L53:L57)</f>
      </c>
      <c r="M61" s="620">
        <f ca="1">MEDIAN(M53:M57)</f>
      </c>
      <c r="N61" s="620">
        <f ca="1">MEDIAN(N53:N57)</f>
      </c>
      <c r="O61" s="620">
        <f ca="1">MEDIAN(O53:O57)</f>
      </c>
      <c r="P61" s="620">
        <f ca="1">MEDIAN(P53:P57)</f>
      </c>
      <c r="Q61" s="621">
        <f ca="1">MEDIAN(Q53:Q57)</f>
      </c>
      <c r="R61" s="622">
        <f ca="1">MEDIAN(R53:R57)</f>
      </c>
      <c r="S61" s="622">
        <f ca="1">MEDIAN(S53:S57)</f>
      </c>
      <c r="T61" s="622">
        <f ca="1">MEDIAN(T53:T57)</f>
      </c>
      <c r="U61" s="622">
        <f ca="1">MEDIAN(U53:U57)</f>
      </c>
      <c r="V61" s="623">
        <f ca="1">MEDIAN(V53:V57)</f>
      </c>
      <c r="W61" s="16"/>
      <c r="X61" s="4"/>
      <c r="Y61" s="47"/>
      <c r="Z61" s="616" t="str">
        <f ca="1">Z20</f>
        <v>Median</v>
      </c>
      <c r="AA61" s="617"/>
      <c r="AB61" s="617"/>
      <c r="AC61" s="619">
        <f ca="1">MEDIAN(AC53:AC57)</f>
      </c>
      <c r="AD61" s="619">
        <f ca="1">MEDIAN(AD53:AD57)</f>
      </c>
      <c r="AE61" s="620">
        <f ca="1">MEDIAN(AE53:AE57)</f>
      </c>
      <c r="AF61" s="620">
        <f ca="1">MEDIAN(AF53:AF57)</f>
      </c>
      <c r="AG61" s="620">
        <f ca="1">MEDIAN(AG53:AG57)</f>
      </c>
      <c r="AH61" s="620">
        <f ca="1">MEDIAN(AH53:AH57)</f>
      </c>
      <c r="AI61" s="620">
        <f ca="1">MEDIAN(AI53:AI57)</f>
      </c>
      <c r="AJ61" s="620">
        <f ca="1">MEDIAN(AJ53:AJ57)</f>
      </c>
      <c r="AK61" s="620">
        <f ca="1">MEDIAN(AK53:AK57)</f>
      </c>
      <c r="AL61" s="620">
        <f ca="1">MEDIAN(AL53:AL57)</f>
      </c>
      <c r="AM61" s="621">
        <f ca="1">MEDIAN(AM53:AM57)</f>
      </c>
      <c r="AN61" s="622">
        <f ca="1">MEDIAN(AN53:AN57)</f>
      </c>
      <c r="AO61" s="622">
        <f ca="1">MEDIAN(AO53:AO57)</f>
      </c>
      <c r="AP61" s="622">
        <f ca="1">MEDIAN(AP53:AP57)</f>
      </c>
      <c r="AQ61" s="622">
        <f ca="1">MEDIAN(AQ53:AQ57)</f>
      </c>
      <c r="AR61" s="623">
        <f ca="1">MEDIAN(AR53:AR57)</f>
      </c>
      <c r="AS61" s="4"/>
      <c r="AT61" s="4"/>
      <c r="AU61" s="47"/>
      <c r="AV61" s="616" t="str">
        <f ca="1">AV20</f>
        <v>Median</v>
      </c>
      <c r="AW61" s="617"/>
      <c r="AX61" s="617"/>
      <c r="AY61" s="619">
        <f ca="1">MEDIAN(AY53:AY57)</f>
      </c>
      <c r="AZ61" s="619">
        <f ca="1">MEDIAN(AZ53:AZ57)</f>
      </c>
      <c r="BA61" s="620">
        <f ca="1">MEDIAN(BA53:BA57)</f>
      </c>
      <c r="BB61" s="620">
        <f ca="1">MEDIAN(BB53:BB57)</f>
      </c>
      <c r="BC61" s="620">
        <f ca="1">MEDIAN(BC53:BC57)</f>
      </c>
      <c r="BD61" s="620">
        <f ca="1">MEDIAN(BD53:BD57)</f>
      </c>
      <c r="BE61" s="620">
        <f ca="1">MEDIAN(BE53:BE57)</f>
      </c>
      <c r="BF61" s="620">
        <f ca="1">MEDIAN(BF53:BF57)</f>
      </c>
      <c r="BG61" s="620">
        <f ca="1">MEDIAN(BG53:BG57)</f>
      </c>
      <c r="BH61" s="620">
        <f ca="1">MEDIAN(BH53:BH57)</f>
      </c>
      <c r="BI61" s="621">
        <f ca="1">MEDIAN(BI53:BI57)</f>
      </c>
      <c r="BJ61" s="622">
        <f ca="1">MEDIAN(BJ53:BJ57)</f>
      </c>
      <c r="BK61" s="622">
        <f ca="1">MEDIAN(BK53:BK57)</f>
      </c>
      <c r="BL61" s="622">
        <f ca="1">MEDIAN(BL53:BL57)</f>
      </c>
      <c r="BM61" s="622">
        <f ca="1">MEDIAN(BM53:BM57)</f>
      </c>
      <c r="BN61" s="623">
        <f ca="1">MEDIAN(BN53:BN57)</f>
      </c>
    </row>
    <row r="62" ht="13.5" customHeight="1" spans="1:66" x14ac:dyDescent="0.25" outlineLevel="1" collapsed="1">
      <c r="A62" s="4"/>
      <c r="B62" s="4"/>
      <c r="C62" s="4"/>
      <c r="D62" s="624" t="str">
        <f ca="1">D21</f>
        <v>Low</v>
      </c>
      <c r="E62" s="625"/>
      <c r="F62" s="625"/>
      <c r="G62" s="626">
        <f ca="1">MIN(G53:G57)</f>
      </c>
      <c r="H62" s="626">
        <f ca="1">MIN(H53:H57)</f>
      </c>
      <c r="I62" s="627">
        <f ca="1">MIN(I53:I57)</f>
      </c>
      <c r="J62" s="627">
        <f ca="1">MIN(J53:J57)</f>
      </c>
      <c r="K62" s="627">
        <f ca="1">MIN(K53:K57)</f>
      </c>
      <c r="L62" s="627">
        <f ca="1">MIN(L53:L57)</f>
      </c>
      <c r="M62" s="627">
        <f ca="1">MIN(M53:M57)</f>
      </c>
      <c r="N62" s="627">
        <f ca="1">MIN(N53:N57)</f>
      </c>
      <c r="O62" s="627">
        <f ca="1">MIN(O53:O57)</f>
      </c>
      <c r="P62" s="627">
        <f ca="1">MIN(P53:P57)</f>
      </c>
      <c r="Q62" s="628">
        <f ca="1">MIN(Q53:Q57)</f>
      </c>
      <c r="R62" s="629">
        <f ca="1">MIN(R53:R57)</f>
      </c>
      <c r="S62" s="629">
        <f ca="1">MIN(S53:S57)</f>
      </c>
      <c r="T62" s="629">
        <f ca="1">MIN(T53:T57)</f>
      </c>
      <c r="U62" s="629">
        <f ca="1">MIN(U53:U57)</f>
      </c>
      <c r="V62" s="630">
        <f ca="1">MIN(V53:V57)</f>
      </c>
      <c r="W62" s="16"/>
      <c r="X62" s="4"/>
      <c r="Y62" s="47"/>
      <c r="Z62" s="624" t="str">
        <f ca="1">Z21</f>
        <v>Low</v>
      </c>
      <c r="AA62" s="625"/>
      <c r="AB62" s="625"/>
      <c r="AC62" s="626">
        <f ca="1">MIN(AC53:AC57)</f>
      </c>
      <c r="AD62" s="626">
        <f ca="1">MIN(AD53:AD57)</f>
      </c>
      <c r="AE62" s="627">
        <f ca="1">MIN(AE53:AE57)</f>
      </c>
      <c r="AF62" s="627">
        <f ca="1">MIN(AF53:AF57)</f>
      </c>
      <c r="AG62" s="627">
        <f ca="1">MIN(AG53:AG57)</f>
      </c>
      <c r="AH62" s="627">
        <f ca="1">MIN(AH53:AH57)</f>
      </c>
      <c r="AI62" s="627">
        <f ca="1">MIN(AI53:AI57)</f>
      </c>
      <c r="AJ62" s="627">
        <f ca="1">MIN(AJ53:AJ57)</f>
      </c>
      <c r="AK62" s="627">
        <f ca="1">MIN(AK53:AK57)</f>
      </c>
      <c r="AL62" s="627">
        <f ca="1">MIN(AL53:AL57)</f>
      </c>
      <c r="AM62" s="628">
        <f ca="1">MIN(AM53:AM57)</f>
      </c>
      <c r="AN62" s="629">
        <f ca="1">MIN(AN53:AN57)</f>
      </c>
      <c r="AO62" s="629">
        <f ca="1">MIN(AO53:AO57)</f>
      </c>
      <c r="AP62" s="629">
        <f ca="1">MIN(AP53:AP57)</f>
      </c>
      <c r="AQ62" s="629">
        <f ca="1">MIN(AQ53:AQ57)</f>
      </c>
      <c r="AR62" s="630">
        <f ca="1">MIN(AR53:AR57)</f>
      </c>
      <c r="AS62" s="4"/>
      <c r="AT62" s="4"/>
      <c r="AU62" s="47"/>
      <c r="AV62" s="624" t="str">
        <f ca="1">AV21</f>
        <v>Low</v>
      </c>
      <c r="AW62" s="625"/>
      <c r="AX62" s="625"/>
      <c r="AY62" s="626">
        <f ca="1">MIN(AY53:AY57)</f>
      </c>
      <c r="AZ62" s="626">
        <f ca="1">MIN(AZ53:AZ57)</f>
      </c>
      <c r="BA62" s="627">
        <f ca="1">MIN(BA53:BA57)</f>
      </c>
      <c r="BB62" s="627">
        <f ca="1">MIN(BB53:BB57)</f>
      </c>
      <c r="BC62" s="627">
        <f ca="1">MIN(BC53:BC57)</f>
      </c>
      <c r="BD62" s="627">
        <f ca="1">MIN(BD53:BD57)</f>
      </c>
      <c r="BE62" s="627">
        <f ca="1">MIN(BE53:BE57)</f>
      </c>
      <c r="BF62" s="627">
        <f ca="1">MIN(BF53:BF57)</f>
      </c>
      <c r="BG62" s="627">
        <f ca="1">MIN(BG53:BG57)</f>
      </c>
      <c r="BH62" s="627">
        <f ca="1">MIN(BH53:BH57)</f>
      </c>
      <c r="BI62" s="628">
        <f ca="1">MIN(BI53:BI57)</f>
      </c>
      <c r="BJ62" s="629">
        <f ca="1">MIN(BJ53:BJ57)</f>
      </c>
      <c r="BK62" s="629">
        <f ca="1">MIN(BK53:BK57)</f>
      </c>
      <c r="BL62" s="629">
        <f ca="1">MIN(BL53:BL57)</f>
      </c>
      <c r="BM62" s="629">
        <f ca="1">MIN(BM53:BM57)</f>
      </c>
      <c r="BN62" s="630">
        <f ca="1">MIN(BN53:BN57)</f>
      </c>
    </row>
    <row r="63" ht="13.5" customHeight="1" spans="1:66" x14ac:dyDescent="0.25" outlineLevel="1" collapsed="1">
      <c r="A63" s="4"/>
      <c r="B63" s="47"/>
      <c r="C63" s="47"/>
      <c r="D63" s="16"/>
      <c r="E63" s="16"/>
      <c r="F63" s="16"/>
      <c r="G63" s="16"/>
      <c r="H63" s="16"/>
      <c r="I63" s="16"/>
      <c r="J63" s="16"/>
      <c r="K63" s="16"/>
      <c r="L63" s="16"/>
      <c r="M63" s="16"/>
      <c r="N63" s="16"/>
      <c r="O63" s="16"/>
      <c r="P63" s="16"/>
      <c r="Q63" s="16"/>
      <c r="R63" s="16"/>
      <c r="S63" s="16"/>
      <c r="T63" s="16"/>
      <c r="U63" s="16"/>
      <c r="V63" s="16"/>
      <c r="W63" s="16"/>
      <c r="X63" s="4"/>
      <c r="Y63" s="47"/>
      <c r="Z63" s="16"/>
      <c r="AA63" s="16"/>
      <c r="AB63" s="16"/>
      <c r="AC63" s="16"/>
      <c r="AD63" s="16"/>
      <c r="AE63" s="16"/>
      <c r="AF63" s="16"/>
      <c r="AG63" s="16"/>
      <c r="AH63" s="16"/>
      <c r="AI63" s="16"/>
      <c r="AJ63" s="16"/>
      <c r="AK63" s="16"/>
      <c r="AL63" s="16"/>
      <c r="AM63" s="16"/>
      <c r="AN63" s="16"/>
      <c r="AO63" s="16"/>
      <c r="AP63" s="16"/>
      <c r="AQ63" s="16"/>
      <c r="AR63" s="16"/>
      <c r="AS63" s="4"/>
      <c r="AT63" s="4"/>
      <c r="AU63" s="47"/>
      <c r="AV63" s="16"/>
      <c r="AW63" s="16"/>
      <c r="AX63" s="16"/>
      <c r="AY63" s="16"/>
      <c r="AZ63" s="16"/>
      <c r="BA63" s="16"/>
      <c r="BB63" s="16"/>
      <c r="BC63" s="16"/>
      <c r="BD63" s="16"/>
      <c r="BE63" s="16"/>
      <c r="BF63" s="16"/>
      <c r="BG63" s="16"/>
      <c r="BH63" s="16"/>
      <c r="BI63" s="16"/>
      <c r="BJ63" s="16"/>
      <c r="BK63" s="16"/>
      <c r="BL63" s="16"/>
      <c r="BM63" s="16"/>
      <c r="BN63" s="16"/>
    </row>
    <row r="64" ht="13.5" customHeight="1" spans="1:66" x14ac:dyDescent="0.25" outlineLevel="1" collapsed="1">
      <c r="A64" s="4"/>
      <c r="B64" s="47"/>
      <c r="C64" s="47"/>
      <c r="D64" s="598"/>
      <c r="E64" s="598"/>
      <c r="F64" s="47"/>
      <c r="G64" s="199"/>
      <c r="H64" s="199"/>
      <c r="I64" s="199"/>
      <c r="J64" s="199"/>
      <c r="K64" s="199"/>
      <c r="L64" s="199"/>
      <c r="M64" s="199"/>
      <c r="N64" s="199"/>
      <c r="O64" s="199"/>
      <c r="P64" s="199"/>
      <c r="Q64" s="199"/>
      <c r="R64" s="199"/>
      <c r="S64" s="199"/>
      <c r="T64" s="199"/>
      <c r="U64" s="199"/>
      <c r="V64" s="199"/>
      <c r="W64" s="16"/>
      <c r="X64" s="4"/>
      <c r="Y64" s="47"/>
      <c r="Z64" s="598"/>
      <c r="AA64" s="598"/>
      <c r="AB64" s="47"/>
      <c r="AC64" s="199"/>
      <c r="AD64" s="199"/>
      <c r="AE64" s="199"/>
      <c r="AF64" s="199"/>
      <c r="AG64" s="199"/>
      <c r="AH64" s="199"/>
      <c r="AI64" s="199"/>
      <c r="AJ64" s="199"/>
      <c r="AK64" s="199"/>
      <c r="AL64" s="199"/>
      <c r="AM64" s="199"/>
      <c r="AN64" s="199"/>
      <c r="AO64" s="199"/>
      <c r="AP64" s="199"/>
      <c r="AQ64" s="199"/>
      <c r="AR64" s="199"/>
      <c r="AS64" s="4"/>
      <c r="AT64" s="4"/>
      <c r="AU64" s="47"/>
      <c r="AV64" s="598"/>
      <c r="AW64" s="598"/>
      <c r="AX64" s="47"/>
      <c r="AY64" s="199"/>
      <c r="AZ64" s="199"/>
      <c r="BA64" s="199"/>
      <c r="BB64" s="199"/>
      <c r="BC64" s="199"/>
      <c r="BD64" s="199"/>
      <c r="BE64" s="199"/>
      <c r="BF64" s="199"/>
      <c r="BG64" s="199"/>
      <c r="BH64" s="199"/>
      <c r="BI64" s="199"/>
      <c r="BJ64" s="199"/>
      <c r="BK64" s="199"/>
      <c r="BL64" s="199"/>
      <c r="BM64" s="199"/>
      <c r="BN64" s="199"/>
    </row>
    <row r="65" ht="13.5" customHeight="1" spans="1:66" x14ac:dyDescent="0.25" outlineLevel="1" collapsed="1">
      <c r="A65" s="4"/>
      <c r="B65" s="47"/>
      <c r="C65" s="47"/>
      <c r="D65" s="538" t="str">
        <f ca="1">D23</f>
        <v>Company</v>
      </c>
      <c r="E65" s="66"/>
      <c r="F65" s="66"/>
      <c r="G65" s="538" t="str">
        <f ca="1">G23</f>
        <v>General Statistics</v>
      </c>
      <c r="H65" s="66"/>
      <c r="I65" s="66"/>
      <c r="J65" s="538" t="str">
        <f ca="1">J23</f>
        <v>Returns Analysis</v>
      </c>
      <c r="K65" s="66"/>
      <c r="L65" s="66"/>
      <c r="M65" s="538" t="str">
        <f t="shared" ref="M65:M66" si="44" ca="1">M23</f>
        <v>2025A Leverage Analysis</v>
      </c>
      <c r="N65" s="66"/>
      <c r="O65" s="66"/>
      <c r="P65" s="538" t="str">
        <f ca="1">P23</f>
        <v>2025A Coverage Analysis</v>
      </c>
      <c r="Q65" s="66"/>
      <c r="R65" s="66"/>
      <c r="S65" s="538" t="str">
        <f ca="1">S23</f>
        <v>Liquidity Profile</v>
      </c>
      <c r="T65" s="66"/>
      <c r="U65" s="538" t="str">
        <f ca="1">U23</f>
        <v>Credit Profile</v>
      </c>
      <c r="V65" s="66"/>
      <c r="W65" s="16"/>
      <c r="X65" s="4"/>
      <c r="Y65" s="47"/>
      <c r="Z65" s="538" t="str">
        <f ca="1">Z23</f>
        <v>Company</v>
      </c>
      <c r="AA65" s="66"/>
      <c r="AB65" s="66"/>
      <c r="AC65" s="538" t="str">
        <f ca="1">AC23</f>
        <v>General Statistics</v>
      </c>
      <c r="AD65" s="66"/>
      <c r="AE65" s="66"/>
      <c r="AF65" s="538" t="str">
        <f ca="1">AF23</f>
        <v>Returns Analysis</v>
      </c>
      <c r="AG65" s="66"/>
      <c r="AH65" s="66"/>
      <c r="AI65" s="538" t="str">
        <f t="shared" ref="AI65:AI66" si="45" ca="1">AI23</f>
        <v>2025A Leverage Analysis</v>
      </c>
      <c r="AJ65" s="66"/>
      <c r="AK65" s="66"/>
      <c r="AL65" s="538" t="str">
        <f ca="1">AL23</f>
        <v>2025A Coverage Analysis</v>
      </c>
      <c r="AM65" s="66"/>
      <c r="AN65" s="66"/>
      <c r="AO65" s="538" t="str">
        <f ca="1">AO23</f>
        <v>Liquidity Profile</v>
      </c>
      <c r="AP65" s="66"/>
      <c r="AQ65" s="538" t="str">
        <f ca="1">AQ23</f>
        <v>Credit Profile</v>
      </c>
      <c r="AR65" s="66"/>
      <c r="AS65" s="4"/>
      <c r="AT65" s="4"/>
      <c r="AU65" s="47"/>
      <c r="AV65" s="538" t="str">
        <f ca="1">AV23</f>
        <v>Company</v>
      </c>
      <c r="AW65" s="66"/>
      <c r="AX65" s="66"/>
      <c r="AY65" s="538" t="str">
        <f ca="1">AY23</f>
        <v>General Statistics</v>
      </c>
      <c r="AZ65" s="66"/>
      <c r="BA65" s="66"/>
      <c r="BB65" s="538" t="str">
        <f ca="1">BB23</f>
        <v>Returns Analysis</v>
      </c>
      <c r="BC65" s="66"/>
      <c r="BD65" s="66"/>
      <c r="BE65" s="538" t="str">
        <f t="shared" ref="BE65:BE66" si="46" ca="1">BE23</f>
        <v>2025A Leverage Analysis</v>
      </c>
      <c r="BF65" s="66"/>
      <c r="BG65" s="66"/>
      <c r="BH65" s="538" t="str">
        <f ca="1">BH23</f>
        <v>2025A Coverage Analysis</v>
      </c>
      <c r="BI65" s="66"/>
      <c r="BJ65" s="66"/>
      <c r="BK65" s="538" t="str">
        <f ca="1">BK23</f>
        <v>Liquidity Profile</v>
      </c>
      <c r="BL65" s="66"/>
      <c r="BM65" s="538" t="str">
        <f ca="1">BM23</f>
        <v>Credit Profile</v>
      </c>
      <c r="BN65" s="66"/>
    </row>
    <row r="66" ht="13.5" customHeight="1" spans="1:66" x14ac:dyDescent="0.25" outlineLevel="1" collapsed="1">
      <c r="A66" s="4"/>
      <c r="B66" s="47"/>
      <c r="C66" s="47"/>
      <c r="D66" s="16"/>
      <c r="E66" s="16"/>
      <c r="F66" s="16"/>
      <c r="G66" s="16"/>
      <c r="H66" s="16"/>
      <c r="I66" s="16"/>
      <c r="J66" s="16"/>
      <c r="K66" s="16"/>
      <c r="L66" s="16"/>
      <c r="M66" s="538" t="str">
        <f ca="1">M24</f>
        <v>Total Debt / </v>
      </c>
      <c r="N66" s="66"/>
      <c r="O66" s="66"/>
      <c r="P66" s="16"/>
      <c r="Q66" s="16"/>
      <c r="R66" s="16"/>
      <c r="S66" s="16"/>
      <c r="T66" s="16"/>
      <c r="U66" s="16"/>
      <c r="V66" s="16"/>
      <c r="W66" s="16"/>
      <c r="X66" s="4"/>
      <c r="Y66" s="47"/>
      <c r="Z66" s="16"/>
      <c r="AA66" s="16"/>
      <c r="AB66" s="16"/>
      <c r="AC66" s="16"/>
      <c r="AD66" s="16"/>
      <c r="AE66" s="16"/>
      <c r="AF66" s="16"/>
      <c r="AG66" s="16"/>
      <c r="AH66" s="16"/>
      <c r="AI66" s="538" t="str">
        <f ca="1">AI24</f>
        <v>Total Debt / </v>
      </c>
      <c r="AJ66" s="66"/>
      <c r="AK66" s="66"/>
      <c r="AL66" s="16"/>
      <c r="AM66" s="16"/>
      <c r="AN66" s="16"/>
      <c r="AO66" s="16"/>
      <c r="AP66" s="16"/>
      <c r="AQ66" s="16"/>
      <c r="AR66" s="16"/>
      <c r="AS66" s="4"/>
      <c r="AT66" s="4"/>
      <c r="AU66" s="47"/>
      <c r="AV66" s="16"/>
      <c r="AW66" s="16"/>
      <c r="AX66" s="16"/>
      <c r="AY66" s="16"/>
      <c r="AZ66" s="16"/>
      <c r="BA66" s="16"/>
      <c r="BB66" s="16"/>
      <c r="BC66" s="16"/>
      <c r="BD66" s="16"/>
      <c r="BE66" s="538" t="str">
        <f ca="1">BE24</f>
        <v>Total Debt / </v>
      </c>
      <c r="BF66" s="66"/>
      <c r="BG66" s="66"/>
      <c r="BH66" s="16"/>
      <c r="BI66" s="16"/>
      <c r="BJ66" s="16"/>
      <c r="BK66" s="16"/>
      <c r="BL66" s="16"/>
      <c r="BM66" s="16"/>
      <c r="BN66" s="16"/>
    </row>
    <row r="67" ht="13.5" customHeight="1" spans="1:66" x14ac:dyDescent="0.25" outlineLevel="1" collapsed="1">
      <c r="A67" s="4"/>
      <c r="B67" s="47"/>
      <c r="C67" s="47"/>
      <c r="D67" s="84"/>
      <c r="E67" s="84"/>
      <c r="F67" s="84"/>
      <c r="G67" s="84"/>
      <c r="H67" s="84"/>
      <c r="I67" s="84" t="str">
        <f ca="1">I25</f>
        <v>Dividend</v>
      </c>
      <c r="J67" s="84"/>
      <c r="K67" s="84"/>
      <c r="L67" s="84"/>
      <c r="M67" s="84"/>
      <c r="N67" s="84"/>
      <c r="O67" s="84"/>
      <c r="P67" s="84" t="str">
        <f t="shared" ref="P67:T67" si="47" ca="1">P25</f>
        <v>EBITDA / </v>
      </c>
      <c r="Q67" s="84" t="str">
        <f ca="1">Q25</f>
        <v>(EBITDA -</v>
      </c>
      <c r="R67" s="84" t="str">
        <f ca="1">R25</f>
        <v>EBIT / </v>
      </c>
      <c r="S67" s="84" t="str">
        <f ca="1">S25</f>
        <v>Quick</v>
      </c>
      <c r="T67" s="84" t="str">
        <f ca="1">T25</f>
        <v>Current</v>
      </c>
      <c r="U67" s="84"/>
      <c r="V67" s="84"/>
      <c r="W67" s="16"/>
      <c r="X67" s="4"/>
      <c r="Y67" s="47"/>
      <c r="Z67" s="84"/>
      <c r="AA67" s="84"/>
      <c r="AB67" s="84"/>
      <c r="AC67" s="84"/>
      <c r="AD67" s="84"/>
      <c r="AE67" s="84" t="str">
        <f ca="1">AE25</f>
        <v>Dividend</v>
      </c>
      <c r="AF67" s="84"/>
      <c r="AG67" s="84"/>
      <c r="AH67" s="84"/>
      <c r="AI67" s="84"/>
      <c r="AJ67" s="84"/>
      <c r="AK67" s="84"/>
      <c r="AL67" s="84" t="str">
        <f t="shared" ref="AL67:AP67" si="48" ca="1">AL25</f>
        <v>EBITDA / </v>
      </c>
      <c r="AM67" s="84" t="str">
        <f ca="1">AM25</f>
        <v>(EBITDA -</v>
      </c>
      <c r="AN67" s="84" t="str">
        <f ca="1">AN25</f>
        <v>EBIT / </v>
      </c>
      <c r="AO67" s="84" t="str">
        <f ca="1">AO25</f>
        <v>Quick</v>
      </c>
      <c r="AP67" s="84" t="str">
        <f ca="1">AP25</f>
        <v>Current</v>
      </c>
      <c r="AQ67" s="84"/>
      <c r="AR67" s="84"/>
      <c r="AS67" s="4"/>
      <c r="AT67" s="4"/>
      <c r="AU67" s="47"/>
      <c r="AV67" s="84"/>
      <c r="AW67" s="84"/>
      <c r="AX67" s="84"/>
      <c r="AY67" s="84"/>
      <c r="AZ67" s="84"/>
      <c r="BA67" s="84" t="str">
        <f ca="1">BA25</f>
        <v>Dividend</v>
      </c>
      <c r="BB67" s="84"/>
      <c r="BC67" s="84"/>
      <c r="BD67" s="84"/>
      <c r="BE67" s="84"/>
      <c r="BF67" s="84"/>
      <c r="BG67" s="84"/>
      <c r="BH67" s="84" t="str">
        <f t="shared" ref="BH67:BL67" si="49" ca="1">BH25</f>
        <v>EBITDA / </v>
      </c>
      <c r="BI67" s="84" t="str">
        <f ca="1">BI25</f>
        <v>(EBITDA -</v>
      </c>
      <c r="BJ67" s="84" t="str">
        <f ca="1">BJ25</f>
        <v>EBIT / </v>
      </c>
      <c r="BK67" s="84" t="str">
        <f ca="1">BK25</f>
        <v>Quick</v>
      </c>
      <c r="BL67" s="84" t="str">
        <f ca="1">BL25</f>
        <v>Current</v>
      </c>
      <c r="BM67" s="84"/>
      <c r="BN67" s="84"/>
    </row>
    <row r="68" ht="13.5" customHeight="1" spans="1:66" x14ac:dyDescent="0.25" outlineLevel="1" collapsed="1">
      <c r="A68" s="4"/>
      <c r="B68" s="47"/>
      <c r="C68" s="47"/>
      <c r="D68" s="139"/>
      <c r="E68" s="84"/>
      <c r="F68" s="538" t="str">
        <f t="shared" ref="F68:T68" si="50" ca="1">F26</f>
        <v>Ticker</v>
      </c>
      <c r="G68" s="538" t="str">
        <f ca="1">G26</f>
        <v>Tax Rate</v>
      </c>
      <c r="H68" s="538" t="str">
        <f ca="1">H26</f>
        <v>Beta</v>
      </c>
      <c r="I68" s="538" t="str">
        <f ca="1">I26</f>
        <v>Yield</v>
      </c>
      <c r="J68" s="538" t="str">
        <f ca="1">J26</f>
        <v>ROIC</v>
      </c>
      <c r="K68" s="538" t="str">
        <f ca="1">K26</f>
        <v>ROE </v>
      </c>
      <c r="L68" s="538" t="str">
        <f ca="1">L26</f>
        <v>ROA</v>
      </c>
      <c r="M68" s="538" t="str">
        <f ca="1">M26</f>
        <v>Cap</v>
      </c>
      <c r="N68" s="538" t="str">
        <f ca="1">N26</f>
        <v>EBITDA</v>
      </c>
      <c r="O68" s="538" t="str">
        <f ca="1">O26</f>
        <v>Equity</v>
      </c>
      <c r="P68" s="538" t="str">
        <f ca="1">P26</f>
        <v>Int. Exp.</v>
      </c>
      <c r="Q68" s="538" t="str">
        <f ca="1">Q26</f>
        <v>Capex)/Int.</v>
      </c>
      <c r="R68" s="538" t="str">
        <f ca="1">R26</f>
        <v>Int. Exp.</v>
      </c>
      <c r="S68" s="538" t="str">
        <f ca="1">S26</f>
        <v>Ratio</v>
      </c>
      <c r="T68" s="538" t="str">
        <f ca="1">T26</f>
        <v>Ratio</v>
      </c>
      <c r="U68" s="538" t="s">
        <v>544</v>
      </c>
      <c r="V68" s="538" t="s">
        <v>545</v>
      </c>
      <c r="W68" s="16"/>
      <c r="X68" s="4"/>
      <c r="Y68" s="47"/>
      <c r="Z68" s="139"/>
      <c r="AA68" s="84"/>
      <c r="AB68" s="538" t="str">
        <f t="shared" ref="AB68:AR68" si="51" ca="1">AB26</f>
        <v>Ticker</v>
      </c>
      <c r="AC68" s="538" t="str">
        <f ca="1">AC26</f>
        <v>Tax Rate</v>
      </c>
      <c r="AD68" s="538" t="str">
        <f ca="1">AD26</f>
        <v>Beta</v>
      </c>
      <c r="AE68" s="538" t="str">
        <f ca="1">AE26</f>
        <v>Yield</v>
      </c>
      <c r="AF68" s="538" t="str">
        <f ca="1">AF26</f>
        <v>ROIC</v>
      </c>
      <c r="AG68" s="538" t="str">
        <f ca="1">AG26</f>
        <v>ROE </v>
      </c>
      <c r="AH68" s="538" t="str">
        <f ca="1">AH26</f>
        <v>ROA</v>
      </c>
      <c r="AI68" s="538" t="str">
        <f ca="1">AI26</f>
        <v>Cap</v>
      </c>
      <c r="AJ68" s="538" t="str">
        <f ca="1">AJ26</f>
        <v>EBITDA</v>
      </c>
      <c r="AK68" s="538" t="str">
        <f ca="1">AK26</f>
        <v>Equity</v>
      </c>
      <c r="AL68" s="538" t="str">
        <f ca="1">AL26</f>
        <v>Int. Exp.</v>
      </c>
      <c r="AM68" s="538" t="str">
        <f ca="1">AM26</f>
        <v>Capex)/Int.</v>
      </c>
      <c r="AN68" s="538" t="str">
        <f ca="1">AN26</f>
        <v>Int. Exp.</v>
      </c>
      <c r="AO68" s="538" t="str">
        <f ca="1">AO26</f>
        <v>Ratio</v>
      </c>
      <c r="AP68" s="538" t="str">
        <f ca="1">AP26</f>
        <v>Ratio</v>
      </c>
      <c r="AQ68" s="538" t="str">
        <f ca="1">AQ26</f>
        <v>S&amp;P</v>
      </c>
      <c r="AR68" s="538" t="str">
        <f ca="1">AR26</f>
        <v>Outlook</v>
      </c>
      <c r="AS68" s="4"/>
      <c r="AT68" s="4"/>
      <c r="AU68" s="47"/>
      <c r="AV68" s="139"/>
      <c r="AW68" s="84"/>
      <c r="AX68" s="538" t="str">
        <f t="shared" ref="AX68:BN68" si="52" ca="1">AX26</f>
        <v>Ticker</v>
      </c>
      <c r="AY68" s="538" t="str">
        <f ca="1">AY26</f>
        <v>Tax Rate</v>
      </c>
      <c r="AZ68" s="538" t="str">
        <f ca="1">AZ26</f>
        <v>Beta</v>
      </c>
      <c r="BA68" s="538" t="str">
        <f ca="1">BA26</f>
        <v>Yield</v>
      </c>
      <c r="BB68" s="538" t="str">
        <f ca="1">BB26</f>
        <v>ROIC</v>
      </c>
      <c r="BC68" s="538" t="str">
        <f ca="1">BC26</f>
        <v>ROE </v>
      </c>
      <c r="BD68" s="538" t="str">
        <f ca="1">BD26</f>
        <v>ROA</v>
      </c>
      <c r="BE68" s="538" t="str">
        <f ca="1">BE26</f>
        <v>Cap</v>
      </c>
      <c r="BF68" s="538" t="str">
        <f ca="1">BF26</f>
        <v>EBITDA</v>
      </c>
      <c r="BG68" s="538" t="str">
        <f ca="1">BG26</f>
        <v>Equity</v>
      </c>
      <c r="BH68" s="538" t="str">
        <f ca="1">BH26</f>
        <v>Int. Exp.</v>
      </c>
      <c r="BI68" s="538" t="str">
        <f ca="1">BI26</f>
        <v>Capex)/Int.</v>
      </c>
      <c r="BJ68" s="538" t="str">
        <f ca="1">BJ26</f>
        <v>Int. Exp.</v>
      </c>
      <c r="BK68" s="538" t="str">
        <f ca="1">BK26</f>
        <v>Ratio</v>
      </c>
      <c r="BL68" s="538" t="str">
        <f ca="1">BL26</f>
        <v>Ratio</v>
      </c>
      <c r="BM68" s="538" t="str">
        <f ca="1">BM26</f>
        <v>S&amp;P</v>
      </c>
      <c r="BN68" s="538" t="str">
        <f ca="1">BN26</f>
        <v>Outlook</v>
      </c>
    </row>
    <row r="69" ht="4.5" customHeight="1" spans="1:66" x14ac:dyDescent="0.25" outlineLevel="1" collapsed="1">
      <c r="A69" s="4"/>
      <c r="B69" s="47"/>
      <c r="C69" s="47"/>
      <c r="D69" s="84"/>
      <c r="E69" s="84"/>
      <c r="F69" s="84"/>
      <c r="G69" s="84"/>
      <c r="H69" s="84"/>
      <c r="I69" s="540"/>
      <c r="J69" s="84"/>
      <c r="K69" s="84"/>
      <c r="L69" s="84"/>
      <c r="M69" s="84"/>
      <c r="N69" s="84"/>
      <c r="O69" s="84"/>
      <c r="P69" s="84"/>
      <c r="Q69" s="84"/>
      <c r="R69" s="84"/>
      <c r="S69" s="84"/>
      <c r="T69" s="84"/>
      <c r="U69" s="84"/>
      <c r="V69" s="84"/>
      <c r="W69" s="16"/>
      <c r="X69" s="4"/>
      <c r="Y69" s="47"/>
      <c r="Z69" s="84"/>
      <c r="AA69" s="84"/>
      <c r="AB69" s="84"/>
      <c r="AC69" s="84"/>
      <c r="AD69" s="84"/>
      <c r="AE69" s="540"/>
      <c r="AF69" s="84"/>
      <c r="AG69" s="84"/>
      <c r="AH69" s="84"/>
      <c r="AI69" s="84"/>
      <c r="AJ69" s="84"/>
      <c r="AK69" s="84"/>
      <c r="AL69" s="84"/>
      <c r="AM69" s="84"/>
      <c r="AN69" s="84"/>
      <c r="AO69" s="84"/>
      <c r="AP69" s="84"/>
      <c r="AQ69" s="84"/>
      <c r="AR69" s="84"/>
      <c r="AS69" s="4"/>
      <c r="AT69" s="4"/>
      <c r="AU69" s="47"/>
      <c r="AV69" s="84"/>
      <c r="AW69" s="84"/>
      <c r="AX69" s="84"/>
      <c r="AY69" s="84"/>
      <c r="AZ69" s="84"/>
      <c r="BA69" s="540"/>
      <c r="BB69" s="84"/>
      <c r="BC69" s="84"/>
      <c r="BD69" s="84"/>
      <c r="BE69" s="84"/>
      <c r="BF69" s="84"/>
      <c r="BG69" s="84"/>
      <c r="BH69" s="84"/>
      <c r="BI69" s="84"/>
      <c r="BJ69" s="84"/>
      <c r="BK69" s="84"/>
      <c r="BL69" s="84"/>
      <c r="BM69" s="84"/>
      <c r="BN69" s="84"/>
    </row>
    <row r="70" ht="13.5" customHeight="1" spans="1:66" x14ac:dyDescent="0.25" outlineLevel="1" collapsed="1">
      <c r="A70" s="4"/>
      <c r="B70" s="599" t="str">
        <f ca="1">E90</f>
        <v>IQ180871</v>
      </c>
      <c r="C70" s="599"/>
      <c r="D70" s="600">
        <f ca="1">D51</f>
        <v>1e-12</v>
      </c>
      <c r="E70" s="601"/>
      <c r="F70" s="602" t="str">
        <f ca="1">F51</f>
        <v>LOW</v>
      </c>
      <c r="G70" s="604">
        <f ca="1">_xll.ciqfunctions.udf.CIQ($B70, "IQ_EFFECT_TAX_RATE",IQ_FY)/100</f>
      </c>
      <c r="H70" s="631">
        <f ca="1">_xll.ciqfunctions.udf.CIQ($B70, "IQ_BETA_5YR",Current_Date)</f>
      </c>
      <c r="I70" s="604">
        <f ca="1">_xll.ciqfunctions.udf.CIQ($B70, "IQ_DIVIDEND_YIELD",Current_Date)/100</f>
      </c>
      <c r="J70" s="604">
        <f ca="1">(_xll.ciqfunctions.udf.CIQ($B70,"IQ_OPER_INC",IQ_LTM)*(1-G70))/(((_xll.ciqfunctions.udf.CIQ($B70,"IQ_TOTAL_DEBT",IQ_LTM))+_xll.ciqfunctions.udf.CIQ($B70,"IQ_TOTAL_EQUITY",IQ_LTM))-_xll.ciqfunctions.udf.CIQ($B70,"IQ_CASH_EQUIV",IQ_LTM))</f>
      </c>
      <c r="K70" s="604">
        <f ca="1">_xll.ciqfunctions.udf.CIQ($B70, "IQ_RETURN_EQUITY",IQ_LTM)/100</f>
      </c>
      <c r="L70" s="604">
        <f ca="1">_xll.ciqfunctions.udf.CIQ($B70, "IQ_RETURN_ASSETS",IQ_LTM)/100</f>
      </c>
      <c r="M70" s="605">
        <f ca="1">_xll.ciqfunctions.udf.CIQ($B70, "IQ_TOTAL_DEBT_CAPITAL",IQ_FY)/100</f>
      </c>
      <c r="N70" s="605">
        <f ca="1">_xll.ciqfunctions.udf.CIQ($B70, "IQ_TOTAL_DEBT_EBITDA",IQ_FY)</f>
      </c>
      <c r="O70" s="605">
        <f ca="1">_xll.ciqfunctions.udf.CIQ($B70, "IQ_TOTAL_DEBT_EQUITY",IQ_FY)/100</f>
      </c>
      <c r="P70" s="605">
        <f ca="1">_xll.ciqfunctions.udf.CIQ($B70, "IQ_EBITDA_INT",IQ_FY)</f>
      </c>
      <c r="Q70" s="605">
        <f ca="1">_xll.ciqfunctions.udf.CIQ($B70, "IQ_EBITDA_CAPEX_INT",IQ_FY)</f>
      </c>
      <c r="R70" s="605">
        <f ca="1">_xll.ciqfunctions.udf.CIQ($B70, "IQ_EBIT_INT",IQ_FY)</f>
      </c>
      <c r="S70" s="605">
        <f ca="1">_xll.ciqfunctions.udf.CIQ($B70, "IQ_QUICK_RATIO",IQ_FY)</f>
      </c>
      <c r="T70" s="605">
        <f ca="1">_xll.ciqfunctions.udf.CIQ($B70, "IQ_CURRENT_RATIO",IQ_FY)</f>
      </c>
      <c r="U70" s="602">
        <f ca="1">_xll.ciqfunctions.udf.CIQ($B70, "IQ_SP_LC_LT",Current)</f>
      </c>
      <c r="V70" s="632">
        <f ca="1">_xll.ciqfunctions.udf.CIQ($B70, "IQ_SP_OUTLOOK_WATCH",Current)</f>
      </c>
      <c r="W70" s="16"/>
      <c r="X70" s="599" t="str">
        <f ca="1">I90</f>
        <v>IQ180871</v>
      </c>
      <c r="Y70" s="47"/>
      <c r="Z70" s="600" t="str">
        <f ca="1">Z51</f>
        <v>Lowe's Companies, Inc.</v>
      </c>
      <c r="AA70" s="601"/>
      <c r="AB70" s="602" t="str">
        <f ca="1">AB51</f>
        <v>LOW</v>
      </c>
      <c r="AC70" s="604">
        <f ca="1">_xll.ciqfunctions.udf.CIQ($X70, "IQ_EFFECT_TAX_RATE",IQ_FY)/100</f>
      </c>
      <c r="AD70" s="631">
        <f ca="1">_xll.ciqfunctions.udf.CIQ($X70, "IQ_BETA_5YR",Current_Date)</f>
      </c>
      <c r="AE70" s="604">
        <f ca="1">_xll.ciqfunctions.udf.CIQ($X70, "IQ_DIVIDEND_YIELD",Current_Date)/100</f>
      </c>
      <c r="AF70" s="604">
        <f ca="1">(_xll.ciqfunctions.udf.CIQ($X70,"IQ_OPER_INC",IQ_LTM)*(1-AC70))/(((_xll.ciqfunctions.udf.CIQ($X70,"IQ_TOTAL_DEBT",IQ_LTM))+_xll.ciqfunctions.udf.CIQ($X70,"IQ_TOTAL_EQUITY",IQ_LTM))-_xll.ciqfunctions.udf.CIQ($X70,"IQ_CASH_EQUIV",IQ_LTM))</f>
      </c>
      <c r="AG70" s="604">
        <f ca="1">_xll.ciqfunctions.udf.CIQ($X70, "IQ_RETURN_EQUITY",IQ_LTM)/100</f>
      </c>
      <c r="AH70" s="604">
        <f ca="1">_xll.ciqfunctions.udf.CIQ($X70, "IQ_RETURN_ASSETS",IQ_LTM)/100</f>
      </c>
      <c r="AI70" s="605">
        <f ca="1">_xll.ciqfunctions.udf.CIQ($X70, "IQ_TOTAL_DEBT_CAPITAL",IQ_FY)/100</f>
      </c>
      <c r="AJ70" s="605">
        <f ca="1">_xll.ciqfunctions.udf.CIQ($X70, "IQ_TOTAL_DEBT_EBITDA",IQ_FY)</f>
      </c>
      <c r="AK70" s="605">
        <f ca="1">_xll.ciqfunctions.udf.CIQ($X70, "IQ_TOTAL_DEBT_EQUITY",IQ_FY)/100</f>
      </c>
      <c r="AL70" s="605">
        <f ca="1">_xll.ciqfunctions.udf.CIQ($X70, "IQ_EBITDA_INT",IQ_FY)</f>
      </c>
      <c r="AM70" s="605">
        <f ca="1">_xll.ciqfunctions.udf.CIQ($X70, "IQ_EBITDA_CAPEX_INT",IQ_FY)</f>
      </c>
      <c r="AN70" s="605">
        <f ca="1">_xll.ciqfunctions.udf.CIQ($X70, "IQ_EBIT_INT",IQ_FY)</f>
      </c>
      <c r="AO70" s="631">
        <f ca="1">_xll.ciqfunctions.udf.CIQ($X70, "IQ_QUICK_RATIO",IQ_FY)</f>
      </c>
      <c r="AP70" s="631">
        <f ca="1">_xll.ciqfunctions.udf.CIQ($X70, "IQ_CURRENT_RATIO",IQ_FY)</f>
      </c>
      <c r="AQ70" s="602">
        <f ca="1">_xll.ciqfunctions.udf.CIQ($X70, "IQ_SP_LC_LT",Current)</f>
      </c>
      <c r="AR70" s="632">
        <f ca="1">_xll.ciqfunctions.udf.CIQ($X70, "IQ_SP_OUTLOOK_WATCH",Current)</f>
      </c>
      <c r="AS70" s="4"/>
      <c r="AT70" s="599" t="str">
        <f ca="1">N90</f>
        <v>IQ180871</v>
      </c>
      <c r="AU70" s="47">
        <f t="shared" ref="AU70:AV70" si="53" ca="1">AU51</f>
        <v>1e-12</v>
      </c>
      <c r="AV70" s="600" t="str">
        <f ca="1">AV51</f>
        <v>Lowe's Companies, Inc.</v>
      </c>
      <c r="AW70" s="601"/>
      <c r="AX70" s="602" t="str">
        <f ca="1">AX51</f>
        <v>LOW</v>
      </c>
      <c r="AY70" s="604">
        <f ca="1">_xll.ciqfunctions.udf.CIQ($AT70, "IQ_EFFECT_TAX_RATE",IQ_FY)/100</f>
      </c>
      <c r="AZ70" s="631">
        <f ca="1">_xll.ciqfunctions.udf.CIQ($AT70, "IQ_BETA_5YR",Current_Date)</f>
      </c>
      <c r="BA70" s="604">
        <f ca="1">_xll.ciqfunctions.udf.CIQ($AT70, "IQ_DIVIDEND_YIELD",Current_Date)/100</f>
      </c>
      <c r="BB70" s="604">
        <f ca="1">(_xll.ciqfunctions.udf.CIQ($AT70,"IQ_OPER_INC",IQ_LTM)*(1-AY70))/(((_xll.ciqfunctions.udf.CIQ($AT70,"IQ_TOTAL_DEBT",IQ_LTM))+_xll.ciqfunctions.udf.CIQ($AT70,"IQ_TOTAL_EQUITY",IQ_LTM))-_xll.ciqfunctions.udf.CIQ($AT70,"IQ_CASH_EQUIV",IQ_LTM))</f>
      </c>
      <c r="BC70" s="604">
        <f ca="1">_xll.ciqfunctions.udf.CIQ($AT70, "IQ_RETURN_EQUITY",IQ_LTM)/100</f>
      </c>
      <c r="BD70" s="604">
        <f ca="1">_xll.ciqfunctions.udf.CIQ($AT70, "IQ_RETURN_ASSETS",IQ_LTM)/100</f>
      </c>
      <c r="BE70" s="605">
        <f ca="1">_xll.ciqfunctions.udf.CIQ($AT70, "IQ_TOTAL_DEBT_CAPITAL",IQ_FY)/100</f>
      </c>
      <c r="BF70" s="605">
        <f ca="1">_xll.ciqfunctions.udf.CIQ($AT70, "IQ_TOTAL_DEBT_EBITDA",IQ_FY)</f>
      </c>
      <c r="BG70" s="605">
        <f ca="1">_xll.ciqfunctions.udf.CIQ($AT70, "IQ_TOTAL_DEBT_EQUITY",IQ_FY)/100</f>
      </c>
      <c r="BH70" s="605">
        <f ca="1">_xll.ciqfunctions.udf.CIQ($AT70, "IQ_EBITDA_INT",IQ_FY)</f>
      </c>
      <c r="BI70" s="605">
        <f ca="1">_xll.ciqfunctions.udf.CIQ($AT70, "IQ_EBITDA_CAPEX_INT",IQ_FY)</f>
      </c>
      <c r="BJ70" s="605">
        <f ca="1">_xll.ciqfunctions.udf.CIQ($AT70, "IQ_EBIT_INT",IQ_FY)</f>
      </c>
      <c r="BK70" s="631">
        <f ca="1">_xll.ciqfunctions.udf.CIQ($AT70, "IQ_QUICK_RATIO",IQ_FY)</f>
      </c>
      <c r="BL70" s="631">
        <f ca="1">_xll.ciqfunctions.udf.CIQ($AT70, "IQ_CURRENT_RATIO",IQ_FY)</f>
      </c>
      <c r="BM70" s="602">
        <f ca="1">_xll.ciqfunctions.udf.CIQ($AT70, "IQ_SP_LC_LT",Current)</f>
      </c>
      <c r="BN70" s="632">
        <f ca="1">_xll.ciqfunctions.udf.CIQ($AT70, "IQ_SP_OUTLOOK_WATCH",Current)</f>
      </c>
    </row>
    <row r="71" ht="13.5" customHeight="1" spans="1:66" x14ac:dyDescent="0.25" outlineLevel="1" collapsed="1">
      <c r="A71" s="4"/>
      <c r="B71" s="599"/>
      <c r="C71" s="599"/>
      <c r="D71" s="16"/>
      <c r="E71" s="16"/>
      <c r="F71" s="84"/>
      <c r="G71" s="540"/>
      <c r="H71" s="84"/>
      <c r="I71" s="607"/>
      <c r="J71" s="595"/>
      <c r="K71" s="595"/>
      <c r="L71" s="595"/>
      <c r="M71" s="595"/>
      <c r="N71" s="551"/>
      <c r="O71" s="595"/>
      <c r="P71" s="551"/>
      <c r="Q71" s="548"/>
      <c r="R71" s="548"/>
      <c r="S71" s="595"/>
      <c r="T71" s="595"/>
      <c r="U71" s="42"/>
      <c r="V71" s="42"/>
      <c r="W71" s="16"/>
      <c r="X71" s="599"/>
      <c r="Y71" s="47"/>
      <c r="Z71" s="16"/>
      <c r="AA71" s="16"/>
      <c r="AB71" s="84"/>
      <c r="AC71" s="607"/>
      <c r="AD71" s="84"/>
      <c r="AE71" s="607"/>
      <c r="AF71" s="595"/>
      <c r="AG71" s="595"/>
      <c r="AH71" s="595"/>
      <c r="AI71" s="595"/>
      <c r="AJ71" s="551"/>
      <c r="AK71" s="595"/>
      <c r="AL71" s="551"/>
      <c r="AM71" s="548"/>
      <c r="AN71" s="548"/>
      <c r="AO71" s="84"/>
      <c r="AP71" s="84"/>
      <c r="AQ71" s="42"/>
      <c r="AR71" s="42"/>
      <c r="AS71" s="4"/>
      <c r="AT71" s="599"/>
      <c r="AU71" s="47"/>
      <c r="AV71" s="16"/>
      <c r="AW71" s="16"/>
      <c r="AX71" s="84"/>
      <c r="AY71" s="607"/>
      <c r="AZ71" s="84"/>
      <c r="BA71" s="607"/>
      <c r="BB71" s="595"/>
      <c r="BC71" s="595"/>
      <c r="BD71" s="595"/>
      <c r="BE71" s="595"/>
      <c r="BF71" s="551"/>
      <c r="BG71" s="595"/>
      <c r="BH71" s="551"/>
      <c r="BI71" s="548"/>
      <c r="BJ71" s="548"/>
      <c r="BK71" s="84"/>
      <c r="BL71" s="84"/>
      <c r="BM71" s="42"/>
      <c r="BN71" s="42"/>
    </row>
    <row r="72" ht="13.5" customHeight="1" spans="1:66" x14ac:dyDescent="0.25" outlineLevel="1" collapsed="1">
      <c r="A72" s="4"/>
      <c r="B72" s="599" t="str">
        <f ca="1">E94</f>
        <v>IQ278679</v>
      </c>
      <c r="C72" s="599"/>
      <c r="D72" s="16">
        <f ca="1">D53</f>
        <v>1e-12</v>
      </c>
      <c r="E72" s="16"/>
      <c r="F72" s="84" t="str">
        <f ca="1">E93</f>
        <v>HD</v>
      </c>
      <c r="G72" s="547">
        <f ca="1">_xll.ciqfunctions.udf.CIQ($B72, "IQ_EFFECT_TAX_RATE",IQ_FY)/100</f>
      </c>
      <c r="H72" s="581">
        <f ca="1">_xll.ciqfunctions.udf.CIQ($B72, "IQ_BETA_5YR",Current_Date)</f>
      </c>
      <c r="I72" s="547">
        <f ca="1">_xll.ciqfunctions.udf.CIQ($B72, "IQ_DIVIDEND_YIELD",Current_Date)/100</f>
      </c>
      <c r="J72" s="547">
        <f ca="1">(_xll.ciqfunctions.udf.CIQ($B72,"IQ_OPER_INC",IQ_LTM)*(1-G72))/(((_xll.ciqfunctions.udf.CIQ($B72,"IQ_TOTAL_DEBT",IQ_LTM))+_xll.ciqfunctions.udf.CIQ($B72,"IQ_TOTAL_EQUITY",IQ_LTM))-_xll.ciqfunctions.udf.CIQ($B72,"IQ_CASH_EQUIV",IQ_LTM))</f>
      </c>
      <c r="K72" s="547">
        <f ca="1">_xll.ciqfunctions.udf.CIQ($B72, "IQ_RETURN_EQUITY",IQ_LTM)/100</f>
      </c>
      <c r="L72" s="547">
        <f ca="1">_xll.ciqfunctions.udf.CIQ($B72, "IQ_RETURN_ASSETS",IQ_LTM)/100</f>
      </c>
      <c r="M72" s="551">
        <f ca="1">_xll.ciqfunctions.udf.CIQ($B72, "IQ_TOTAL_DEBT_CAPITAL",IQ_FY)/100</f>
      </c>
      <c r="N72" s="551">
        <f ca="1">_xll.ciqfunctions.udf.CIQ($B72, "IQ_TOTAL_DEBT_EBITDA",IQ_FY)</f>
      </c>
      <c r="O72" s="551">
        <f ca="1">_xll.ciqfunctions.udf.CIQ($B72, "IQ_TOTAL_DEBT_EQUITY",IQ_FY)/100</f>
      </c>
      <c r="P72" s="551">
        <f ca="1">_xll.ciqfunctions.udf.CIQ($B72, "IQ_EBITDA_INT",IQ_FY)</f>
      </c>
      <c r="Q72" s="551">
        <f ca="1">_xll.ciqfunctions.udf.CIQ($B72, "IQ_EBITDA_CAPEX_INT",IQ_FY)</f>
      </c>
      <c r="R72" s="551">
        <f ca="1">_xll.ciqfunctions.udf.CIQ($B72, "IQ_EBIT_INT",IQ_FY)</f>
      </c>
      <c r="S72" s="551">
        <f ca="1">_xll.ciqfunctions.udf.CIQ($B72, "IQ_QUICK_RATIO",IQ_FY)</f>
      </c>
      <c r="T72" s="551">
        <f ca="1">_xll.ciqfunctions.udf.CIQ($B72, "IQ_CURRENT_RATIO",IQ_FY)</f>
      </c>
      <c r="U72" s="84">
        <f ca="1">_xll.ciqfunctions.udf.CIQ($B72, "IQ_SP_LC_LT",Current)</f>
      </c>
      <c r="V72" s="84">
        <f ca="1">_xll.ciqfunctions.udf.CIQ($B72, "IQ_SP_OUTLOOK_WATCH",Current)</f>
      </c>
      <c r="W72" s="16"/>
      <c r="X72" s="599" t="str">
        <f ca="1">I94</f>
        <v>IQ159230</v>
      </c>
      <c r="Y72" s="47"/>
      <c r="Z72" s="16">
        <f ca="1">Z53</f>
        <v>1e-12</v>
      </c>
      <c r="AA72" s="16"/>
      <c r="AB72" s="84" t="str">
        <f ca="1">I93</f>
        <v>RTX</v>
      </c>
      <c r="AC72" s="547">
        <f ca="1">_xll.ciqfunctions.udf.CIQ($X72, "IQ_EFFECT_TAX_RATE",IQ_FY)/100</f>
      </c>
      <c r="AD72" s="581">
        <f ca="1">_xll.ciqfunctions.udf.CIQ($X72, "IQ_BETA_5YR",Current_Date)</f>
      </c>
      <c r="AE72" s="547">
        <f ca="1">_xll.ciqfunctions.udf.CIQ($X72, "IQ_DIVIDEND_YIELD",Current_Date)/100</f>
      </c>
      <c r="AF72" s="547">
        <f ca="1">(_xll.ciqfunctions.udf.CIQ($X72,"IQ_OPER_INC",IQ_LTM)*(1-AC72))/(((_xll.ciqfunctions.udf.CIQ($X72,"IQ_TOTAL_DEBT",IQ_LTM))+_xll.ciqfunctions.udf.CIQ($X72,"IQ_TOTAL_EQUITY",IQ_LTM))-_xll.ciqfunctions.udf.CIQ($X72,"IQ_CASH_EQUIV",IQ_LTM))</f>
      </c>
      <c r="AG72" s="547">
        <f ca="1">_xll.ciqfunctions.udf.CIQ($X72, "IQ_RETURN_EQUITY",IQ_LTM)/100</f>
      </c>
      <c r="AH72" s="547">
        <f ca="1">_xll.ciqfunctions.udf.CIQ($X72, "IQ_RETURN_ASSETS",IQ_LTM)/100</f>
      </c>
      <c r="AI72" s="551">
        <f ca="1">_xll.ciqfunctions.udf.CIQ($X72, "IQ_TOTAL_DEBT_CAPITAL",IQ_FY)/100</f>
      </c>
      <c r="AJ72" s="551">
        <f ca="1">_xll.ciqfunctions.udf.CIQ($X72, "IQ_TOTAL_DEBT_EBITDA",IQ_FY)</f>
      </c>
      <c r="AK72" s="551">
        <f ca="1">_xll.ciqfunctions.udf.CIQ($X72, "IQ_TOTAL_DEBT_EQUITY",IQ_FY)/100</f>
      </c>
      <c r="AL72" s="551">
        <f ca="1">_xll.ciqfunctions.udf.CIQ($X72, "IQ_EBITDA_INT",IQ_FY)</f>
      </c>
      <c r="AM72" s="551">
        <f ca="1">_xll.ciqfunctions.udf.CIQ($X72, "IQ_EBITDA_CAPEX_INT",IQ_FY)</f>
      </c>
      <c r="AN72" s="551">
        <f ca="1">_xll.ciqfunctions.udf.CIQ($X72, "IQ_EBIT_INT",IQ_FY)</f>
      </c>
      <c r="AO72" s="581">
        <f ca="1">_xll.ciqfunctions.udf.CIQ($X72, "IQ_QUICK_RATIO",IQ_FY)</f>
      </c>
      <c r="AP72" s="581">
        <f ca="1">_xll.ciqfunctions.udf.CIQ($X72, "IQ_CURRENT_RATIO",IQ_FY)</f>
      </c>
      <c r="AQ72" s="84">
        <f ca="1">_xll.ciqfunctions.udf.CIQ($X72, "IQ_SP_LC_LT",Current)</f>
      </c>
      <c r="AR72" s="84">
        <f ca="1">_xll.ciqfunctions.udf.CIQ($X72, "IQ_SP_OUTLOOK_WATCH",Current)</f>
      </c>
      <c r="AS72" s="4"/>
      <c r="AT72" s="599" t="str">
        <f ca="1">N94</f>
        <v>IQ289194</v>
      </c>
      <c r="AU72" s="47">
        <f t="shared" ref="AU72:AV72" si="54" ca="1">AU53</f>
        <v>1e-12</v>
      </c>
      <c r="AV72" s="16">
        <f ca="1">AV53</f>
        <v>1e-12</v>
      </c>
      <c r="AW72" s="16"/>
      <c r="AX72" s="84" t="str">
        <f t="shared" ref="AX72:AX76" si="55" ca="1">AX53</f>
        <v>MMM</v>
      </c>
      <c r="AY72" s="547">
        <f ca="1">_xll.ciqfunctions.udf.CIQ($AT72, "IQ_EFFECT_TAX_RATE",IQ_FY)/100</f>
      </c>
      <c r="AZ72" s="581">
        <f ca="1">_xll.ciqfunctions.udf.CIQ($AT72, "IQ_BETA_5YR",Current_Date)</f>
      </c>
      <c r="BA72" s="547">
        <f ca="1">_xll.ciqfunctions.udf.CIQ($AT72, "IQ_DIVIDEND_YIELD",Current_Date)/100</f>
      </c>
      <c r="BB72" s="547">
        <f ca="1">(_xll.ciqfunctions.udf.CIQ($AT72,"IQ_OPER_INC",IQ_LTM)*(1-AY72))/(((_xll.ciqfunctions.udf.CIQ($AT72,"IQ_TOTAL_DEBT",IQ_LTM))+_xll.ciqfunctions.udf.CIQ($AT72,"IQ_TOTAL_EQUITY",IQ_LTM))-_xll.ciqfunctions.udf.CIQ($AT72,"IQ_CASH_EQUIV",IQ_LTM))</f>
      </c>
      <c r="BC72" s="547">
        <f ca="1">_xll.ciqfunctions.udf.CIQ($AT72, "IQ_RETURN_EQUITY",IQ_LTM)/100</f>
      </c>
      <c r="BD72" s="547">
        <f ca="1">_xll.ciqfunctions.udf.CIQ($AT72, "IQ_RETURN_ASSETS",IQ_LTM)/100</f>
      </c>
      <c r="BE72" s="551">
        <f ca="1">_xll.ciqfunctions.udf.CIQ($AT72, "IQ_TOTAL_DEBT_CAPITAL",IQ_FY)/100</f>
      </c>
      <c r="BF72" s="551">
        <f ca="1">_xll.ciqfunctions.udf.CIQ($AT72, "IQ_TOTAL_DEBT_EBITDA",IQ_FY)</f>
      </c>
      <c r="BG72" s="551">
        <f ca="1">_xll.ciqfunctions.udf.CIQ($AT72, "IQ_TOTAL_DEBT_EQUITY",IQ_FY)/100</f>
      </c>
      <c r="BH72" s="551">
        <f ca="1">_xll.ciqfunctions.udf.CIQ($AT72, "IQ_EBITDA_INT",IQ_FY)</f>
      </c>
      <c r="BI72" s="551">
        <f ca="1">_xll.ciqfunctions.udf.CIQ($AT72, "IQ_EBITDA_CAPEX_INT",IQ_FY)</f>
      </c>
      <c r="BJ72" s="551">
        <f ca="1">_xll.ciqfunctions.udf.CIQ($AT72, "IQ_EBIT_INT",IQ_FY)</f>
      </c>
      <c r="BK72" s="581">
        <f ca="1">_xll.ciqfunctions.udf.CIQ($AT72, "IQ_QUICK_RATIO",IQ_FY)</f>
      </c>
      <c r="BL72" s="581">
        <f ca="1">_xll.ciqfunctions.udf.CIQ($AT72, "IQ_CURRENT_RATIO",IQ_FY)</f>
      </c>
      <c r="BM72" s="84">
        <f ca="1">_xll.ciqfunctions.udf.CIQ($AT72, "IQ_SP_LC_LT",Current)</f>
      </c>
      <c r="BN72" s="84">
        <f ca="1">_xll.ciqfunctions.udf.CIQ($AT72, "IQ_SP_OUTLOOK_WATCH",Current)</f>
      </c>
    </row>
    <row r="73" ht="13.5" customHeight="1" spans="1:66" x14ac:dyDescent="0.25" outlineLevel="1" collapsed="1">
      <c r="A73" s="4"/>
      <c r="B73" s="599" t="str">
        <f ca="1">E98</f>
        <v>IQ20765463</v>
      </c>
      <c r="C73" s="599"/>
      <c r="D73" s="16">
        <f ca="1">D54</f>
        <v>1e-12</v>
      </c>
      <c r="E73" s="16"/>
      <c r="F73" s="84" t="str">
        <f ca="1">E97</f>
        <v>""</v>
      </c>
      <c r="G73" s="547">
        <f ca="1">_xll.ciqfunctions.udf.CIQ($B73, "IQ_EFFECT_TAX_RATE",IQ_FY)/100</f>
      </c>
      <c r="H73" s="581">
        <f ca="1">_xll.ciqfunctions.udf.CIQ($B73, "IQ_BETA_5YR",Current_Date)</f>
      </c>
      <c r="I73" s="547">
        <f ca="1">_xll.ciqfunctions.udf.CIQ($B73, "IQ_DIVIDEND_YIELD",Current_Date)/100</f>
      </c>
      <c r="J73" s="547">
        <f ca="1">(_xll.ciqfunctions.udf.CIQ($B73,"IQ_OPER_INC",IQ_LTM)*(1-G73))/(((_xll.ciqfunctions.udf.CIQ($B73,"IQ_TOTAL_DEBT",IQ_LTM))+_xll.ciqfunctions.udf.CIQ($B73,"IQ_TOTAL_EQUITY",IQ_LTM))-_xll.ciqfunctions.udf.CIQ($B73,"IQ_CASH_EQUIV",IQ_LTM))</f>
      </c>
      <c r="K73" s="547">
        <f ca="1">_xll.ciqfunctions.udf.CIQ($B73, "IQ_RETURN_EQUITY",IQ_LTM)/100</f>
      </c>
      <c r="L73" s="547">
        <f ca="1">_xll.ciqfunctions.udf.CIQ($B73, "IQ_RETURN_ASSETS",IQ_LTM)/100</f>
      </c>
      <c r="M73" s="551">
        <f ca="1">_xll.ciqfunctions.udf.CIQ($B73, "IQ_TOTAL_DEBT_CAPITAL",IQ_FY)/100</f>
      </c>
      <c r="N73" s="551">
        <f ca="1">_xll.ciqfunctions.udf.CIQ($B73, "IQ_TOTAL_DEBT_EBITDA",IQ_FY)</f>
      </c>
      <c r="O73" s="551">
        <f ca="1">_xll.ciqfunctions.udf.CIQ($B73, "IQ_TOTAL_DEBT_EQUITY",IQ_FY)/100</f>
      </c>
      <c r="P73" s="551">
        <f ca="1">_xll.ciqfunctions.udf.CIQ($B73, "IQ_EBITDA_INT",IQ_FY)</f>
      </c>
      <c r="Q73" s="551">
        <f ca="1">_xll.ciqfunctions.udf.CIQ($B73, "IQ_EBITDA_CAPEX_INT",IQ_FY)</f>
      </c>
      <c r="R73" s="551">
        <f ca="1">_xll.ciqfunctions.udf.CIQ($B73, "IQ_EBIT_INT",IQ_FY)</f>
      </c>
      <c r="S73" s="551">
        <f ca="1">_xll.ciqfunctions.udf.CIQ($B73, "IQ_QUICK_RATIO",IQ_FY)</f>
      </c>
      <c r="T73" s="551">
        <f ca="1">_xll.ciqfunctions.udf.CIQ($B73, "IQ_CURRENT_RATIO",IQ_FY)</f>
      </c>
      <c r="U73" s="84">
        <f ca="1">_xll.ciqfunctions.udf.CIQ($B73, "IQ_SP_LC_LT",Current)</f>
      </c>
      <c r="V73" s="84">
        <f ca="1">_xll.ciqfunctions.udf.CIQ($B73, "IQ_SP_OUTLOOK_WATCH",Current)</f>
      </c>
      <c r="W73" s="16"/>
      <c r="X73" s="599" t="str">
        <f ca="1">I98</f>
        <v>IQ370857</v>
      </c>
      <c r="Y73" s="47"/>
      <c r="Z73" s="16">
        <f ca="1">Z54</f>
        <v>1e-12</v>
      </c>
      <c r="AA73" s="16"/>
      <c r="AB73" s="84" t="str">
        <f ca="1">I97</f>
        <v>BA</v>
      </c>
      <c r="AC73" s="547">
        <f ca="1">_xll.ciqfunctions.udf.CIQ($X73, "IQ_EFFECT_TAX_RATE",IQ_FY)/100</f>
      </c>
      <c r="AD73" s="581">
        <f ca="1">_xll.ciqfunctions.udf.CIQ($X73, "IQ_BETA_5YR",Current_Date)</f>
      </c>
      <c r="AE73" s="547">
        <f ca="1">_xll.ciqfunctions.udf.CIQ($X73, "IQ_DIVIDEND_YIELD",Current_Date)/100</f>
      </c>
      <c r="AF73" s="547">
        <f ca="1">(_xll.ciqfunctions.udf.CIQ($X73,"IQ_OPER_INC",IQ_LTM)*(1-AC73))/(((_xll.ciqfunctions.udf.CIQ($X73,"IQ_TOTAL_DEBT",IQ_LTM))+_xll.ciqfunctions.udf.CIQ($X73,"IQ_TOTAL_EQUITY",IQ_LTM))-_xll.ciqfunctions.udf.CIQ($X73,"IQ_CASH_EQUIV",IQ_LTM))</f>
      </c>
      <c r="AG73" s="547">
        <f ca="1">_xll.ciqfunctions.udf.CIQ($X73, "IQ_RETURN_EQUITY",IQ_LTM)/100</f>
      </c>
      <c r="AH73" s="547">
        <f ca="1">_xll.ciqfunctions.udf.CIQ($X73, "IQ_RETURN_ASSETS",IQ_LTM)/100</f>
      </c>
      <c r="AI73" s="551">
        <f ca="1">_xll.ciqfunctions.udf.CIQ($X73, "IQ_TOTAL_DEBT_CAPITAL",IQ_FY)/100</f>
      </c>
      <c r="AJ73" s="551">
        <f ca="1">_xll.ciqfunctions.udf.CIQ($X73, "IQ_TOTAL_DEBT_EBITDA",IQ_FY)</f>
      </c>
      <c r="AK73" s="551">
        <f ca="1">_xll.ciqfunctions.udf.CIQ($X73, "IQ_TOTAL_DEBT_EQUITY",IQ_FY)/100</f>
      </c>
      <c r="AL73" s="551">
        <f ca="1">_xll.ciqfunctions.udf.CIQ($X73, "IQ_EBITDA_INT",IQ_FY)</f>
      </c>
      <c r="AM73" s="551">
        <f ca="1">_xll.ciqfunctions.udf.CIQ($X73, "IQ_EBITDA_CAPEX_INT",IQ_FY)</f>
      </c>
      <c r="AN73" s="551">
        <f ca="1">_xll.ciqfunctions.udf.CIQ($X73, "IQ_EBIT_INT",IQ_FY)</f>
      </c>
      <c r="AO73" s="581">
        <f ca="1">_xll.ciqfunctions.udf.CIQ($X73, "IQ_QUICK_RATIO",IQ_FY)</f>
      </c>
      <c r="AP73" s="581">
        <f ca="1">_xll.ciqfunctions.udf.CIQ($X73, "IQ_CURRENT_RATIO",IQ_FY)</f>
      </c>
      <c r="AQ73" s="84">
        <f ca="1">_xll.ciqfunctions.udf.CIQ($X73, "IQ_SP_LC_LT",Current)</f>
      </c>
      <c r="AR73" s="84">
        <f ca="1">_xll.ciqfunctions.udf.CIQ($X73, "IQ_SP_OUTLOOK_WATCH",Current)</f>
      </c>
      <c r="AS73" s="4"/>
      <c r="AT73" s="599" t="str">
        <f ca="1">N98</f>
        <v>IQ177031</v>
      </c>
      <c r="AU73" s="47">
        <f ca="1">AU96</f>
        <v>1e-12</v>
      </c>
      <c r="AV73" s="16">
        <f ca="1">AV54</f>
        <v>1e-12</v>
      </c>
      <c r="AW73" s="16"/>
      <c r="AX73" s="84" t="str">
        <f ca="1">AX54</f>
        <v>GE</v>
      </c>
      <c r="AY73" s="547">
        <f ca="1">_xll.ciqfunctions.udf.CIQ($AT73, "IQ_EFFECT_TAX_RATE",IQ_FY)/100</f>
      </c>
      <c r="AZ73" s="581">
        <f ca="1">_xll.ciqfunctions.udf.CIQ($AT73, "IQ_BETA_5YR",Current_Date)</f>
      </c>
      <c r="BA73" s="547">
        <f ca="1">_xll.ciqfunctions.udf.CIQ($AT73, "IQ_DIVIDEND_YIELD",Current_Date)/100</f>
      </c>
      <c r="BB73" s="547">
        <f ca="1">(_xll.ciqfunctions.udf.CIQ($AT73,"IQ_OPER_INC",IQ_LTM)*(1-AY73))/(((_xll.ciqfunctions.udf.CIQ($AT73,"IQ_TOTAL_DEBT",IQ_LTM))+_xll.ciqfunctions.udf.CIQ($AT73,"IQ_TOTAL_EQUITY",IQ_LTM))-_xll.ciqfunctions.udf.CIQ($AT73,"IQ_CASH_EQUIV",IQ_LTM))</f>
      </c>
      <c r="BC73" s="547">
        <f ca="1">_xll.ciqfunctions.udf.CIQ($AT73, "IQ_RETURN_EQUITY",IQ_LTM)/100</f>
      </c>
      <c r="BD73" s="547">
        <f ca="1">_xll.ciqfunctions.udf.CIQ($AT73, "IQ_RETURN_ASSETS",IQ_LTM)/100</f>
      </c>
      <c r="BE73" s="551">
        <f ca="1">_xll.ciqfunctions.udf.CIQ($AT73, "IQ_TOTAL_DEBT_CAPITAL",IQ_FY)/100</f>
      </c>
      <c r="BF73" s="551">
        <f ca="1">_xll.ciqfunctions.udf.CIQ($AT73, "IQ_TOTAL_DEBT_EBITDA",IQ_FY)</f>
      </c>
      <c r="BG73" s="551">
        <f ca="1">_xll.ciqfunctions.udf.CIQ($AT73, "IQ_TOTAL_DEBT_EQUITY",IQ_FY)/100</f>
      </c>
      <c r="BH73" s="551">
        <f ca="1">_xll.ciqfunctions.udf.CIQ($AT73, "IQ_EBITDA_INT",IQ_FY)</f>
      </c>
      <c r="BI73" s="551">
        <f ca="1">_xll.ciqfunctions.udf.CIQ($AT73, "IQ_EBITDA_CAPEX_INT",IQ_FY)</f>
      </c>
      <c r="BJ73" s="551">
        <f ca="1">_xll.ciqfunctions.udf.CIQ($AT73, "IQ_EBIT_INT",IQ_FY)</f>
      </c>
      <c r="BK73" s="581">
        <f ca="1">_xll.ciqfunctions.udf.CIQ($AT73, "IQ_QUICK_RATIO",IQ_FY)</f>
      </c>
      <c r="BL73" s="581">
        <f ca="1">_xll.ciqfunctions.udf.CIQ($AT73, "IQ_CURRENT_RATIO",IQ_FY)</f>
      </c>
      <c r="BM73" s="84">
        <f ca="1">_xll.ciqfunctions.udf.CIQ($AT73, "IQ_SP_LC_LT",Current)</f>
      </c>
      <c r="BN73" s="84">
        <f ca="1">_xll.ciqfunctions.udf.CIQ($AT73, "IQ_SP_OUTLOOK_WATCH",Current)</f>
      </c>
    </row>
    <row r="74" ht="13.5" customHeight="1" spans="1:66" x14ac:dyDescent="0.25" outlineLevel="1" collapsed="1">
      <c r="A74" s="4"/>
      <c r="B74" s="599" t="str">
        <f ca="1">E102</f>
        <v>IQ21835</v>
      </c>
      <c r="C74" s="599"/>
      <c r="D74" s="16">
        <f ca="1">D55</f>
        <v>1e-12</v>
      </c>
      <c r="E74" s="16"/>
      <c r="F74" s="84" t="str">
        <f ca="1">E101</f>
        <v>""</v>
      </c>
      <c r="G74" s="547">
        <f ca="1">_xll.ciqfunctions.udf.CIQ($B74, "IQ_EFFECT_TAX_RATE",IQ_FY)/100</f>
      </c>
      <c r="H74" s="581">
        <f ca="1">_xll.ciqfunctions.udf.CIQ($B74, "IQ_BETA_5YR",Current_Date)</f>
      </c>
      <c r="I74" s="547">
        <f ca="1">_xll.ciqfunctions.udf.CIQ($B74, "IQ_DIVIDEND_YIELD",Current_Date)/100</f>
      </c>
      <c r="J74" s="547">
        <f ca="1">(_xll.ciqfunctions.udf.CIQ($B74,"IQ_OPER_INC",IQ_LTM)*(1-G74))/(((_xll.ciqfunctions.udf.CIQ($B74,"IQ_TOTAL_DEBT",IQ_LTM))+_xll.ciqfunctions.udf.CIQ($B74,"IQ_TOTAL_EQUITY",IQ_LTM))-_xll.ciqfunctions.udf.CIQ($B74,"IQ_CASH_EQUIV",IQ_LTM))</f>
      </c>
      <c r="K74" s="547">
        <f ca="1">_xll.ciqfunctions.udf.CIQ($B74, "IQ_RETURN_EQUITY",IQ_LTM)/100</f>
      </c>
      <c r="L74" s="547">
        <f ca="1">_xll.ciqfunctions.udf.CIQ($B74, "IQ_RETURN_ASSETS",IQ_LTM)/100</f>
      </c>
      <c r="M74" s="551">
        <f ca="1">_xll.ciqfunctions.udf.CIQ($B74, "IQ_TOTAL_DEBT_CAPITAL",IQ_FY)/100</f>
      </c>
      <c r="N74" s="551">
        <f ca="1">_xll.ciqfunctions.udf.CIQ($B74, "IQ_TOTAL_DEBT_EBITDA",IQ_FY)</f>
      </c>
      <c r="O74" s="551">
        <f ca="1">_xll.ciqfunctions.udf.CIQ($B74, "IQ_TOTAL_DEBT_EQUITY",IQ_FY)/100</f>
      </c>
      <c r="P74" s="551">
        <f ca="1">_xll.ciqfunctions.udf.CIQ($B74, "IQ_EBITDA_INT",IQ_FY)</f>
      </c>
      <c r="Q74" s="551">
        <f ca="1">_xll.ciqfunctions.udf.CIQ($B74, "IQ_EBITDA_CAPEX_INT",IQ_FY)</f>
      </c>
      <c r="R74" s="551">
        <f ca="1">_xll.ciqfunctions.udf.CIQ($B74, "IQ_EBIT_INT",IQ_FY)</f>
      </c>
      <c r="S74" s="551">
        <f ca="1">_xll.ciqfunctions.udf.CIQ($B74, "IQ_QUICK_RATIO",IQ_FY)</f>
      </c>
      <c r="T74" s="551">
        <f ca="1">_xll.ciqfunctions.udf.CIQ($B74, "IQ_CURRENT_RATIO",IQ_FY)</f>
      </c>
      <c r="U74" s="84">
        <f ca="1">_xll.ciqfunctions.udf.CIQ($B74, "IQ_SP_LC_LT",Current)</f>
      </c>
      <c r="V74" s="84">
        <f ca="1">_xll.ciqfunctions.udf.CIQ($B74, "IQ_SP_OUTLOOK_WATCH",Current)</f>
      </c>
      <c r="W74" s="16"/>
      <c r="X74" s="599" t="str">
        <f ca="1">I102</f>
        <v>IQ363263</v>
      </c>
      <c r="Y74" s="47"/>
      <c r="Z74" s="16">
        <f ca="1">Z55</f>
        <v>1e-12</v>
      </c>
      <c r="AA74" s="16"/>
      <c r="AB74" s="84" t="str">
        <f ca="1">I101</f>
        <v>HII</v>
      </c>
      <c r="AC74" s="547">
        <f ca="1">_xll.ciqfunctions.udf.CIQ($X74, "IQ_EFFECT_TAX_RATE",IQ_FY)/100</f>
      </c>
      <c r="AD74" s="581">
        <f ca="1">_xll.ciqfunctions.udf.CIQ($X74, "IQ_BETA_5YR",Current_Date)</f>
      </c>
      <c r="AE74" s="547">
        <f ca="1">_xll.ciqfunctions.udf.CIQ($X74, "IQ_DIVIDEND_YIELD",Current_Date)/100</f>
      </c>
      <c r="AF74" s="547">
        <f ca="1">(_xll.ciqfunctions.udf.CIQ($X74,"IQ_OPER_INC",IQ_LTM)*(1-AC74))/(((_xll.ciqfunctions.udf.CIQ($X74,"IQ_TOTAL_DEBT",IQ_LTM))+_xll.ciqfunctions.udf.CIQ($X74,"IQ_TOTAL_EQUITY",IQ_LTM))-_xll.ciqfunctions.udf.CIQ($X74,"IQ_CASH_EQUIV",IQ_LTM))</f>
      </c>
      <c r="AG74" s="547">
        <f ca="1">_xll.ciqfunctions.udf.CIQ($X74, "IQ_RETURN_EQUITY",IQ_LTM)/100</f>
      </c>
      <c r="AH74" s="547">
        <f ca="1">_xll.ciqfunctions.udf.CIQ($X74, "IQ_RETURN_ASSETS",IQ_LTM)/100</f>
      </c>
      <c r="AI74" s="551">
        <f ca="1">_xll.ciqfunctions.udf.CIQ($X74, "IQ_TOTAL_DEBT_CAPITAL",IQ_FY)/100</f>
      </c>
      <c r="AJ74" s="551">
        <f ca="1">_xll.ciqfunctions.udf.CIQ($X74, "IQ_TOTAL_DEBT_EBITDA",IQ_FY)</f>
      </c>
      <c r="AK74" s="551">
        <f ca="1">_xll.ciqfunctions.udf.CIQ($X74, "IQ_TOTAL_DEBT_EQUITY",IQ_FY)/100</f>
      </c>
      <c r="AL74" s="551">
        <f ca="1">_xll.ciqfunctions.udf.CIQ($X74, "IQ_EBITDA_INT",IQ_FY)</f>
      </c>
      <c r="AM74" s="551">
        <f ca="1">_xll.ciqfunctions.udf.CIQ($X74, "IQ_EBITDA_CAPEX_INT",IQ_FY)</f>
      </c>
      <c r="AN74" s="551">
        <f ca="1">_xll.ciqfunctions.udf.CIQ($X74, "IQ_EBIT_INT",IQ_FY)</f>
      </c>
      <c r="AO74" s="581">
        <f ca="1">_xll.ciqfunctions.udf.CIQ($X74, "IQ_QUICK_RATIO",IQ_FY)</f>
      </c>
      <c r="AP74" s="581">
        <f ca="1">_xll.ciqfunctions.udf.CIQ($X74, "IQ_CURRENT_RATIO",IQ_FY)</f>
      </c>
      <c r="AQ74" s="84">
        <f ca="1">_xll.ciqfunctions.udf.CIQ($X74, "IQ_SP_LC_LT",Current)</f>
      </c>
      <c r="AR74" s="84">
        <f ca="1">_xll.ciqfunctions.udf.CIQ($X74, "IQ_SP_OUTLOOK_WATCH",Current)</f>
      </c>
      <c r="AS74" s="4"/>
      <c r="AT74" s="599" t="str">
        <f ca="1">N102</f>
        <v>IQ1340740</v>
      </c>
      <c r="AU74" s="47">
        <f ca="1">AU100</f>
        <v>1e-12</v>
      </c>
      <c r="AV74" s="16">
        <f ca="1">AV55</f>
        <v>1e-12</v>
      </c>
      <c r="AW74" s="16"/>
      <c r="AX74" s="84" t="str">
        <f ca="1">AX55</f>
        <v>HON</v>
      </c>
      <c r="AY74" s="547">
        <f ca="1">_xll.ciqfunctions.udf.CIQ($AT74, "IQ_EFFECT_TAX_RATE",IQ_FY)/100</f>
      </c>
      <c r="AZ74" s="581">
        <f ca="1">_xll.ciqfunctions.udf.CIQ($AT74, "IQ_BETA_5YR",Current_Date)</f>
      </c>
      <c r="BA74" s="547">
        <f ca="1">_xll.ciqfunctions.udf.CIQ($AT74, "IQ_DIVIDEND_YIELD",Current_Date)/100</f>
      </c>
      <c r="BB74" s="547">
        <f ca="1">(_xll.ciqfunctions.udf.CIQ($AT74,"IQ_OPER_INC",IQ_LTM)*(1-AY74))/(((_xll.ciqfunctions.udf.CIQ($AT74,"IQ_TOTAL_DEBT",IQ_LTM))+_xll.ciqfunctions.udf.CIQ($AT74,"IQ_TOTAL_EQUITY",IQ_LTM))-_xll.ciqfunctions.udf.CIQ($AT74,"IQ_CASH_EQUIV",IQ_LTM))</f>
      </c>
      <c r="BC74" s="547">
        <f ca="1">_xll.ciqfunctions.udf.CIQ($AT74, "IQ_RETURN_EQUITY",IQ_LTM)/100</f>
      </c>
      <c r="BD74" s="547">
        <f ca="1">_xll.ciqfunctions.udf.CIQ($AT74, "IQ_RETURN_ASSETS",IQ_LTM)/100</f>
      </c>
      <c r="BE74" s="551">
        <f ca="1">_xll.ciqfunctions.udf.CIQ($AT74, "IQ_TOTAL_DEBT_CAPITAL",IQ_FY)/100</f>
      </c>
      <c r="BF74" s="551">
        <f ca="1">_xll.ciqfunctions.udf.CIQ($AT74, "IQ_TOTAL_DEBT_EBITDA",IQ_FY)</f>
      </c>
      <c r="BG74" s="551">
        <f ca="1">_xll.ciqfunctions.udf.CIQ($AT74, "IQ_TOTAL_DEBT_EQUITY",IQ_FY)/100</f>
      </c>
      <c r="BH74" s="551">
        <f ca="1">_xll.ciqfunctions.udf.CIQ($AT74, "IQ_EBITDA_INT",IQ_FY)</f>
      </c>
      <c r="BI74" s="551">
        <f ca="1">_xll.ciqfunctions.udf.CIQ($AT74, "IQ_EBITDA_CAPEX_INT",IQ_FY)</f>
      </c>
      <c r="BJ74" s="551">
        <f ca="1">_xll.ciqfunctions.udf.CIQ($AT74, "IQ_EBIT_INT",IQ_FY)</f>
      </c>
      <c r="BK74" s="581">
        <f ca="1">_xll.ciqfunctions.udf.CIQ($AT74, "IQ_QUICK_RATIO",IQ_FY)</f>
      </c>
      <c r="BL74" s="581">
        <f ca="1">_xll.ciqfunctions.udf.CIQ($AT74, "IQ_CURRENT_RATIO",IQ_FY)</f>
      </c>
      <c r="BM74" s="84">
        <f ca="1">_xll.ciqfunctions.udf.CIQ($AT74, "IQ_SP_LC_LT",Current)</f>
      </c>
      <c r="BN74" s="84">
        <f ca="1">_xll.ciqfunctions.udf.CIQ($AT74, "IQ_SP_OUTLOOK_WATCH",Current)</f>
      </c>
    </row>
    <row r="75" ht="13.5" customHeight="1" spans="1:66" x14ac:dyDescent="0.25" outlineLevel="1" collapsed="1">
      <c r="A75" s="4"/>
      <c r="B75" s="599" t="str">
        <f ca="1">E106</f>
        <v>IQ224055283</v>
      </c>
      <c r="C75" s="599"/>
      <c r="D75" s="16">
        <f ca="1">D56</f>
        <v>1e-12</v>
      </c>
      <c r="E75" s="16"/>
      <c r="F75" s="84" t="str">
        <f ca="1">E105</f>
        <v>""</v>
      </c>
      <c r="G75" s="547">
        <f ca="1">_xll.ciqfunctions.udf.CIQ($B75, "IQ_EFFECT_TAX_RATE",IQ_FY)/100</f>
      </c>
      <c r="H75" s="581">
        <f ca="1">_xll.ciqfunctions.udf.CIQ($B75, "IQ_BETA_5YR",Current_Date)</f>
      </c>
      <c r="I75" s="547">
        <f ca="1">_xll.ciqfunctions.udf.CIQ($B75, "IQ_DIVIDEND_YIELD",Current_Date)/100</f>
      </c>
      <c r="J75" s="547">
        <f ca="1">(_xll.ciqfunctions.udf.CIQ($B75,"IQ_OPER_INC",IQ_LTM)*(1-G75))/(((_xll.ciqfunctions.udf.CIQ($B75,"IQ_TOTAL_DEBT",IQ_LTM))+_xll.ciqfunctions.udf.CIQ($B75,"IQ_TOTAL_EQUITY",IQ_LTM))-_xll.ciqfunctions.udf.CIQ($B75,"IQ_CASH_EQUIV",IQ_LTM))</f>
      </c>
      <c r="K75" s="547">
        <f ca="1">_xll.ciqfunctions.udf.CIQ($B75, "IQ_RETURN_EQUITY",IQ_LTM)/100</f>
      </c>
      <c r="L75" s="547">
        <f ca="1">_xll.ciqfunctions.udf.CIQ($B75, "IQ_RETURN_ASSETS",IQ_LTM)/100</f>
      </c>
      <c r="M75" s="551">
        <f ca="1">_xll.ciqfunctions.udf.CIQ($B75, "IQ_TOTAL_DEBT_CAPITAL",IQ_FY)/100</f>
      </c>
      <c r="N75" s="551">
        <f ca="1">_xll.ciqfunctions.udf.CIQ($B75, "IQ_TOTAL_DEBT_EBITDA",IQ_FY)</f>
      </c>
      <c r="O75" s="551">
        <f ca="1">_xll.ciqfunctions.udf.CIQ($B75, "IQ_TOTAL_DEBT_EQUITY",IQ_FY)/100</f>
      </c>
      <c r="P75" s="551">
        <f ca="1">_xll.ciqfunctions.udf.CIQ($B75, "IQ_EBITDA_INT",IQ_FY)</f>
      </c>
      <c r="Q75" s="551">
        <f ca="1">_xll.ciqfunctions.udf.CIQ($B75, "IQ_EBITDA_CAPEX_INT",IQ_FY)</f>
      </c>
      <c r="R75" s="551">
        <f ca="1">_xll.ciqfunctions.udf.CIQ($B75, "IQ_EBIT_INT",IQ_FY)</f>
      </c>
      <c r="S75" s="551">
        <f ca="1">_xll.ciqfunctions.udf.CIQ($B75, "IQ_QUICK_RATIO",IQ_FY)</f>
      </c>
      <c r="T75" s="551">
        <f ca="1">_xll.ciqfunctions.udf.CIQ($B75, "IQ_CURRENT_RATIO",IQ_FY)</f>
      </c>
      <c r="U75" s="84">
        <f ca="1">_xll.ciqfunctions.udf.CIQ($B75, "IQ_SP_LC_LT",Current)</f>
      </c>
      <c r="V75" s="84">
        <f ca="1">_xll.ciqfunctions.udf.CIQ($B75, "IQ_SP_OUTLOOK_WATCH",Current)</f>
      </c>
      <c r="W75" s="16"/>
      <c r="X75" s="599" t="str">
        <f ca="1">I106</f>
        <v>IQ285827</v>
      </c>
      <c r="Y75" s="47"/>
      <c r="Z75" s="16">
        <f ca="1">Z56</f>
        <v>1e-12</v>
      </c>
      <c r="AA75" s="16"/>
      <c r="AB75" s="84" t="str">
        <f ca="1">I105</f>
        <v>LMT</v>
      </c>
      <c r="AC75" s="547">
        <f ca="1">_xll.ciqfunctions.udf.CIQ($X75, "IQ_EFFECT_TAX_RATE",IQ_FY)/100</f>
      </c>
      <c r="AD75" s="581">
        <f ca="1">_xll.ciqfunctions.udf.CIQ($X75, "IQ_BETA_5YR",Current_Date)</f>
      </c>
      <c r="AE75" s="547">
        <f ca="1">_xll.ciqfunctions.udf.CIQ($X75, "IQ_DIVIDEND_YIELD",Current_Date)/100</f>
      </c>
      <c r="AF75" s="547">
        <f ca="1">(_xll.ciqfunctions.udf.CIQ($X75,"IQ_OPER_INC",IQ_LTM)*(1-AC75))/(((_xll.ciqfunctions.udf.CIQ($X75,"IQ_TOTAL_DEBT",IQ_LTM))+_xll.ciqfunctions.udf.CIQ($X75,"IQ_TOTAL_EQUITY",IQ_LTM))-_xll.ciqfunctions.udf.CIQ($X75,"IQ_CASH_EQUIV",IQ_LTM))</f>
      </c>
      <c r="AG75" s="547">
        <f ca="1">_xll.ciqfunctions.udf.CIQ($X75, "IQ_RETURN_EQUITY",IQ_LTM)/100</f>
      </c>
      <c r="AH75" s="547">
        <f ca="1">_xll.ciqfunctions.udf.CIQ($X75, "IQ_RETURN_ASSETS",IQ_LTM)/100</f>
      </c>
      <c r="AI75" s="551">
        <f ca="1">_xll.ciqfunctions.udf.CIQ($X75, "IQ_TOTAL_DEBT_CAPITAL",IQ_FY)/100</f>
      </c>
      <c r="AJ75" s="551">
        <f ca="1">_xll.ciqfunctions.udf.CIQ($X75, "IQ_TOTAL_DEBT_EBITDA",IQ_FY)</f>
      </c>
      <c r="AK75" s="551">
        <f ca="1">_xll.ciqfunctions.udf.CIQ($X75, "IQ_TOTAL_DEBT_EQUITY",IQ_FY)/100</f>
      </c>
      <c r="AL75" s="551">
        <f ca="1">_xll.ciqfunctions.udf.CIQ($X75, "IQ_EBITDA_INT",IQ_FY)</f>
      </c>
      <c r="AM75" s="551">
        <f ca="1">_xll.ciqfunctions.udf.CIQ($X75, "IQ_EBITDA_CAPEX_INT",IQ_FY)</f>
      </c>
      <c r="AN75" s="551">
        <f ca="1">_xll.ciqfunctions.udf.CIQ($X75, "IQ_EBIT_INT",IQ_FY)</f>
      </c>
      <c r="AO75" s="581">
        <f ca="1">_xll.ciqfunctions.udf.CIQ($X75, "IQ_QUICK_RATIO",IQ_FY)</f>
      </c>
      <c r="AP75" s="581">
        <f ca="1">_xll.ciqfunctions.udf.CIQ($X75, "IQ_CURRENT_RATIO",IQ_FY)</f>
      </c>
      <c r="AQ75" s="84">
        <f ca="1">_xll.ciqfunctions.udf.CIQ($X75, "IQ_SP_LC_LT",Current)</f>
      </c>
      <c r="AR75" s="84">
        <f ca="1">_xll.ciqfunctions.udf.CIQ($X75, "IQ_SP_OUTLOOK_WATCH",Current)</f>
      </c>
      <c r="AS75" s="4"/>
      <c r="AT75" s="599" t="str">
        <f ca="1">N106</f>
        <v>IQ22751</v>
      </c>
      <c r="AU75" s="47">
        <f ca="1">AU104</f>
        <v>1e-12</v>
      </c>
      <c r="AV75" s="16">
        <f ca="1">AV56</f>
        <v>1e-12</v>
      </c>
      <c r="AW75" s="16"/>
      <c r="AX75" s="84" t="str">
        <f ca="1">AX56</f>
        <v>ROP</v>
      </c>
      <c r="AY75" s="547">
        <f ca="1">_xll.ciqfunctions.udf.CIQ($AT75, "IQ_EFFECT_TAX_RATE",IQ_FY)/100</f>
      </c>
      <c r="AZ75" s="581">
        <f ca="1">_xll.ciqfunctions.udf.CIQ($AT75, "IQ_BETA_5YR",Current_Date)</f>
      </c>
      <c r="BA75" s="547">
        <f ca="1">_xll.ciqfunctions.udf.CIQ($AT75, "IQ_DIVIDEND_YIELD",Current_Date)/100</f>
      </c>
      <c r="BB75" s="547">
        <f ca="1">(_xll.ciqfunctions.udf.CIQ($AT75,"IQ_OPER_INC",IQ_LTM)*(1-AY75))/(((_xll.ciqfunctions.udf.CIQ($AT75,"IQ_TOTAL_DEBT",IQ_LTM))+_xll.ciqfunctions.udf.CIQ($AT75,"IQ_TOTAL_EQUITY",IQ_LTM))-_xll.ciqfunctions.udf.CIQ($AT75,"IQ_CASH_EQUIV",IQ_LTM))</f>
      </c>
      <c r="BC75" s="547">
        <f ca="1">_xll.ciqfunctions.udf.CIQ($AT75, "IQ_RETURN_EQUITY",IQ_LTM)/100</f>
      </c>
      <c r="BD75" s="547">
        <f ca="1">_xll.ciqfunctions.udf.CIQ($AT75, "IQ_RETURN_ASSETS",IQ_LTM)/100</f>
      </c>
      <c r="BE75" s="551">
        <f ca="1">_xll.ciqfunctions.udf.CIQ($AT75, "IQ_TOTAL_DEBT_CAPITAL",IQ_FY)/100</f>
      </c>
      <c r="BF75" s="551">
        <f ca="1">_xll.ciqfunctions.udf.CIQ($AT75, "IQ_TOTAL_DEBT_EBITDA",IQ_FY)</f>
      </c>
      <c r="BG75" s="551">
        <f ca="1">_xll.ciqfunctions.udf.CIQ($AT75, "IQ_TOTAL_DEBT_EQUITY",IQ_FY)/100</f>
      </c>
      <c r="BH75" s="551">
        <f ca="1">_xll.ciqfunctions.udf.CIQ($AT75, "IQ_EBITDA_INT",IQ_FY)</f>
      </c>
      <c r="BI75" s="551">
        <f ca="1">_xll.ciqfunctions.udf.CIQ($AT75, "IQ_EBITDA_CAPEX_INT",IQ_FY)</f>
      </c>
      <c r="BJ75" s="551">
        <f ca="1">_xll.ciqfunctions.udf.CIQ($AT75, "IQ_EBIT_INT",IQ_FY)</f>
      </c>
      <c r="BK75" s="581">
        <f ca="1">_xll.ciqfunctions.udf.CIQ($AT75, "IQ_QUICK_RATIO",IQ_FY)</f>
      </c>
      <c r="BL75" s="581">
        <f ca="1">_xll.ciqfunctions.udf.CIQ($AT75, "IQ_CURRENT_RATIO",IQ_FY)</f>
      </c>
      <c r="BM75" s="84">
        <f ca="1">_xll.ciqfunctions.udf.CIQ($AT75, "IQ_SP_LC_LT",Current)</f>
      </c>
      <c r="BN75" s="84">
        <f ca="1">_xll.ciqfunctions.udf.CIQ($AT75, "IQ_SP_OUTLOOK_WATCH",Current)</f>
      </c>
    </row>
    <row r="76" ht="13.5" customHeight="1" spans="1:66" x14ac:dyDescent="0.25" outlineLevel="1" collapsed="1">
      <c r="A76" s="4"/>
      <c r="B76" s="599" t="str">
        <f ca="1">E110</f>
        <v>IQ29096</v>
      </c>
      <c r="C76" s="599"/>
      <c r="D76" s="16">
        <f ca="1">D57</f>
        <v>1e-12</v>
      </c>
      <c r="E76" s="16"/>
      <c r="F76" s="84" t="str">
        <f ca="1">E109</f>
        <v>""</v>
      </c>
      <c r="G76" s="547">
        <f ca="1">_xll.ciqfunctions.udf.CIQ($B76, "IQ_EFFECT_TAX_RATE",IQ_FY)/100</f>
      </c>
      <c r="H76" s="581">
        <f ca="1">_xll.ciqfunctions.udf.CIQ($B76, "IQ_BETA_5YR",Current_Date)</f>
      </c>
      <c r="I76" s="547">
        <f ca="1">_xll.ciqfunctions.udf.CIQ($B76, "IQ_DIVIDEND_YIELD",Current_Date)/100</f>
      </c>
      <c r="J76" s="547">
        <f ca="1">(_xll.ciqfunctions.udf.CIQ($B76,"IQ_OPER_INC",IQ_LTM)*(1-G76))/(((_xll.ciqfunctions.udf.CIQ($B76,"IQ_TOTAL_DEBT",IQ_LTM))+_xll.ciqfunctions.udf.CIQ($B76,"IQ_TOTAL_EQUITY",IQ_LTM))-_xll.ciqfunctions.udf.CIQ($B76,"IQ_CASH_EQUIV",IQ_LTM))</f>
      </c>
      <c r="K76" s="547">
        <f ca="1">_xll.ciqfunctions.udf.CIQ($B76, "IQ_RETURN_EQUITY",IQ_LTM)/100</f>
      </c>
      <c r="L76" s="547">
        <f ca="1">_xll.ciqfunctions.udf.CIQ($B76, "IQ_RETURN_ASSETS",IQ_LTM)/100</f>
      </c>
      <c r="M76" s="551">
        <f ca="1">_xll.ciqfunctions.udf.CIQ($B76, "IQ_TOTAL_DEBT_CAPITAL",IQ_FY)/100</f>
      </c>
      <c r="N76" s="551">
        <f ca="1">_xll.ciqfunctions.udf.CIQ($B76, "IQ_TOTAL_DEBT_EBITDA",IQ_FY)</f>
      </c>
      <c r="O76" s="551">
        <f ca="1">_xll.ciqfunctions.udf.CIQ($B76, "IQ_TOTAL_DEBT_EQUITY",IQ_FY)/100</f>
      </c>
      <c r="P76" s="551">
        <f ca="1">_xll.ciqfunctions.udf.CIQ($B76, "IQ_EBITDA_INT",IQ_FY)</f>
      </c>
      <c r="Q76" s="551">
        <f ca="1">_xll.ciqfunctions.udf.CIQ($B76, "IQ_EBITDA_CAPEX_INT",IQ_FY)</f>
      </c>
      <c r="R76" s="551">
        <f ca="1">_xll.ciqfunctions.udf.CIQ($B76, "IQ_EBIT_INT",IQ_FY)</f>
      </c>
      <c r="S76" s="551">
        <f ca="1">_xll.ciqfunctions.udf.CIQ($B76, "IQ_QUICK_RATIO",IQ_FY)</f>
      </c>
      <c r="T76" s="551">
        <f ca="1">_xll.ciqfunctions.udf.CIQ($B76, "IQ_CURRENT_RATIO",IQ_FY)</f>
      </c>
      <c r="U76" s="84">
        <f ca="1">_xll.ciqfunctions.udf.CIQ($B76, "IQ_SP_LC_LT",Current)</f>
      </c>
      <c r="V76" s="84">
        <f ca="1">_xll.ciqfunctions.udf.CIQ($B76, "IQ_SP_OUTLOOK_WATCH",Current)</f>
      </c>
      <c r="W76" s="16"/>
      <c r="X76" s="599" t="str">
        <f ca="1">I110</f>
        <v>IQ97199</v>
      </c>
      <c r="Y76" s="47"/>
      <c r="Z76" s="16">
        <f ca="1">Z57</f>
        <v>1e-12</v>
      </c>
      <c r="AA76" s="16"/>
      <c r="AB76" s="84" t="str">
        <f ca="1">I109</f>
        <v>NOC</v>
      </c>
      <c r="AC76" s="547">
        <f ca="1">_xll.ciqfunctions.udf.CIQ($X76, "IQ_EFFECT_TAX_RATE",IQ_FY)/100</f>
      </c>
      <c r="AD76" s="581">
        <f ca="1">_xll.ciqfunctions.udf.CIQ($X76, "IQ_BETA_5YR",Current_Date)</f>
      </c>
      <c r="AE76" s="547">
        <f ca="1">_xll.ciqfunctions.udf.CIQ($X76, "IQ_DIVIDEND_YIELD",Current_Date)/100</f>
      </c>
      <c r="AF76" s="547">
        <f ca="1">(_xll.ciqfunctions.udf.CIQ($X76,"IQ_OPER_INC",IQ_LTM)*(1-AC76))/(((_xll.ciqfunctions.udf.CIQ($X76,"IQ_TOTAL_DEBT",IQ_LTM))+_xll.ciqfunctions.udf.CIQ($X76,"IQ_TOTAL_EQUITY",IQ_LTM))-_xll.ciqfunctions.udf.CIQ($X76,"IQ_CASH_EQUIV",IQ_LTM))</f>
      </c>
      <c r="AG76" s="547">
        <f ca="1">_xll.ciqfunctions.udf.CIQ($X76, "IQ_RETURN_EQUITY",IQ_LTM)/100</f>
      </c>
      <c r="AH76" s="547">
        <f ca="1">_xll.ciqfunctions.udf.CIQ($X76, "IQ_RETURN_ASSETS",IQ_LTM)/100</f>
      </c>
      <c r="AI76" s="551">
        <f ca="1">_xll.ciqfunctions.udf.CIQ($X76, "IQ_TOTAL_DEBT_CAPITAL",IQ_FY)/100</f>
      </c>
      <c r="AJ76" s="551">
        <f ca="1">_xll.ciqfunctions.udf.CIQ($X76, "IQ_TOTAL_DEBT_EBITDA",IQ_FY)</f>
      </c>
      <c r="AK76" s="551">
        <f ca="1">_xll.ciqfunctions.udf.CIQ($X76, "IQ_TOTAL_DEBT_EQUITY",IQ_FY)/100</f>
      </c>
      <c r="AL76" s="551">
        <f ca="1">_xll.ciqfunctions.udf.CIQ($X76, "IQ_EBITDA_INT",IQ_FY)</f>
      </c>
      <c r="AM76" s="551">
        <f ca="1">_xll.ciqfunctions.udf.CIQ($X76, "IQ_EBITDA_CAPEX_INT",IQ_FY)</f>
      </c>
      <c r="AN76" s="551">
        <f ca="1">_xll.ciqfunctions.udf.CIQ($X76, "IQ_EBIT_INT",IQ_FY)</f>
      </c>
      <c r="AO76" s="581">
        <f ca="1">_xll.ciqfunctions.udf.CIQ($X76, "IQ_QUICK_RATIO",IQ_FY)</f>
      </c>
      <c r="AP76" s="581">
        <f ca="1">_xll.ciqfunctions.udf.CIQ($X76, "IQ_CURRENT_RATIO",IQ_FY)</f>
      </c>
      <c r="AQ76" s="84">
        <f ca="1">_xll.ciqfunctions.udf.CIQ($X76, "IQ_SP_LC_LT",Current)</f>
      </c>
      <c r="AR76" s="84">
        <f ca="1">_xll.ciqfunctions.udf.CIQ($X76, "IQ_SP_OUTLOOK_WATCH",Current)</f>
      </c>
      <c r="AS76" s="4"/>
      <c r="AT76" s="599" t="str">
        <f ca="1">N110</f>
        <v>IQ269231</v>
      </c>
      <c r="AU76" s="47">
        <f ca="1">AU108</f>
        <v>1e-12</v>
      </c>
      <c r="AV76" s="16">
        <f ca="1">AV57</f>
        <v>1e-12</v>
      </c>
      <c r="AW76" s="16"/>
      <c r="AX76" s="84" t="str">
        <f ca="1">AX57</f>
        <v>EMR</v>
      </c>
      <c r="AY76" s="547">
        <f ca="1">_xll.ciqfunctions.udf.CIQ($AT76, "IQ_EFFECT_TAX_RATE",IQ_FY)/100</f>
      </c>
      <c r="AZ76" s="581">
        <f ca="1">_xll.ciqfunctions.udf.CIQ($AT76, "IQ_BETA_5YR",Current_Date)</f>
      </c>
      <c r="BA76" s="547">
        <f ca="1">_xll.ciqfunctions.udf.CIQ($AT76, "IQ_DIVIDEND_YIELD",Current_Date)/100</f>
      </c>
      <c r="BB76" s="547">
        <f ca="1">(_xll.ciqfunctions.udf.CIQ($AT76,"IQ_OPER_INC",IQ_LTM)*(1-AY76))/(((_xll.ciqfunctions.udf.CIQ($AT76,"IQ_TOTAL_DEBT",IQ_LTM))+_xll.ciqfunctions.udf.CIQ($AT76,"IQ_TOTAL_EQUITY",IQ_LTM))-_xll.ciqfunctions.udf.CIQ($AT76,"IQ_CASH_EQUIV",IQ_LTM))</f>
      </c>
      <c r="BC76" s="547">
        <f ca="1">_xll.ciqfunctions.udf.CIQ($AT76, "IQ_RETURN_EQUITY",IQ_LTM)/100</f>
      </c>
      <c r="BD76" s="547">
        <f ca="1">_xll.ciqfunctions.udf.CIQ($AT76, "IQ_RETURN_ASSETS",IQ_LTM)/100</f>
      </c>
      <c r="BE76" s="551">
        <f ca="1">_xll.ciqfunctions.udf.CIQ($AT76, "IQ_TOTAL_DEBT_CAPITAL",IQ_FY)/100</f>
      </c>
      <c r="BF76" s="551">
        <f ca="1">_xll.ciqfunctions.udf.CIQ($AT76, "IQ_TOTAL_DEBT_EBITDA",IQ_FY)</f>
      </c>
      <c r="BG76" s="551">
        <f ca="1">_xll.ciqfunctions.udf.CIQ($AT76, "IQ_TOTAL_DEBT_EQUITY",IQ_FY)/100</f>
      </c>
      <c r="BH76" s="551">
        <f ca="1">_xll.ciqfunctions.udf.CIQ($AT76, "IQ_EBITDA_INT",IQ_FY)</f>
      </c>
      <c r="BI76" s="551">
        <f ca="1">_xll.ciqfunctions.udf.CIQ($AT76, "IQ_EBITDA_CAPEX_INT",IQ_FY)</f>
      </c>
      <c r="BJ76" s="551">
        <f ca="1">_xll.ciqfunctions.udf.CIQ($AT76, "IQ_EBIT_INT",IQ_FY)</f>
      </c>
      <c r="BK76" s="581">
        <f ca="1">_xll.ciqfunctions.udf.CIQ($AT76, "IQ_QUICK_RATIO",IQ_FY)</f>
      </c>
      <c r="BL76" s="581">
        <f ca="1">_xll.ciqfunctions.udf.CIQ($AT76, "IQ_CURRENT_RATIO",IQ_FY)</f>
      </c>
      <c r="BM76" s="84">
        <f ca="1">_xll.ciqfunctions.udf.CIQ($AT76, "IQ_SP_LC_LT",Current)</f>
      </c>
      <c r="BN76" s="84">
        <f ca="1">_xll.ciqfunctions.udf.CIQ($AT76, "IQ_SP_OUTLOOK_WATCH",Current)</f>
      </c>
    </row>
    <row r="77" ht="13.5" customHeight="1" spans="1:66" x14ac:dyDescent="0.25" outlineLevel="1" collapsed="1">
      <c r="A77" s="4"/>
      <c r="B77" s="4"/>
      <c r="C77" s="4"/>
      <c r="D77" s="131"/>
      <c r="E77" s="16"/>
      <c r="F77" s="84"/>
      <c r="G77" s="607"/>
      <c r="H77" s="84"/>
      <c r="I77" s="607"/>
      <c r="J77" s="84"/>
      <c r="K77" s="84"/>
      <c r="L77" s="84"/>
      <c r="M77" s="84"/>
      <c r="N77" s="84"/>
      <c r="O77" s="540"/>
      <c r="P77" s="551"/>
      <c r="Q77" s="551"/>
      <c r="R77" s="551"/>
      <c r="S77" s="210"/>
      <c r="T77" s="84"/>
      <c r="U77" s="633"/>
      <c r="V77" s="633"/>
      <c r="W77" s="16"/>
      <c r="X77" s="4"/>
      <c r="Y77" s="47"/>
      <c r="Z77" s="131"/>
      <c r="AA77" s="16"/>
      <c r="AB77" s="84"/>
      <c r="AC77" s="607"/>
      <c r="AD77" s="84"/>
      <c r="AE77" s="607"/>
      <c r="AF77" s="84"/>
      <c r="AG77" s="84"/>
      <c r="AH77" s="84"/>
      <c r="AI77" s="84"/>
      <c r="AJ77" s="84"/>
      <c r="AK77" s="540"/>
      <c r="AL77" s="551"/>
      <c r="AM77" s="551"/>
      <c r="AN77" s="551"/>
      <c r="AO77" s="210"/>
      <c r="AP77" s="84"/>
      <c r="AQ77" s="633"/>
      <c r="AR77" s="633"/>
      <c r="AS77" s="4"/>
      <c r="AT77" s="4"/>
      <c r="AU77" s="47"/>
      <c r="AV77" s="131"/>
      <c r="AW77" s="16"/>
      <c r="AX77" s="84"/>
      <c r="AY77" s="607"/>
      <c r="AZ77" s="84"/>
      <c r="BA77" s="607"/>
      <c r="BB77" s="84"/>
      <c r="BC77" s="84"/>
      <c r="BD77" s="84"/>
      <c r="BE77" s="84"/>
      <c r="BF77" s="84"/>
      <c r="BG77" s="540"/>
      <c r="BH77" s="551"/>
      <c r="BI77" s="551"/>
      <c r="BJ77" s="551"/>
      <c r="BK77" s="210"/>
      <c r="BL77" s="84"/>
      <c r="BM77" s="633"/>
      <c r="BN77" s="633"/>
    </row>
    <row r="78" ht="13.5" customHeight="1" spans="1:66" x14ac:dyDescent="0.25" outlineLevel="1" collapsed="1">
      <c r="A78" s="4"/>
      <c r="B78" s="47"/>
      <c r="C78" s="47"/>
      <c r="D78" s="608" t="str">
        <f t="shared" ref="D78:D81" si="56" ca="1">D36</f>
        <v>High</v>
      </c>
      <c r="E78" s="609"/>
      <c r="F78" s="610"/>
      <c r="G78" s="611">
        <f ca="1">MAX(G72:G76)</f>
      </c>
      <c r="H78" s="634">
        <f ca="1">MAX(H72:H76)</f>
      </c>
      <c r="I78" s="612">
        <f ca="1">MAX(I72:I76)</f>
      </c>
      <c r="J78" s="612">
        <f ca="1">MAX(J72:J76)</f>
      </c>
      <c r="K78" s="612">
        <f ca="1">MAX(K72:K76)</f>
      </c>
      <c r="L78" s="612">
        <f ca="1">MAX(L72:L76)</f>
      </c>
      <c r="M78" s="613">
        <f ca="1">MAX(M72:M76)</f>
      </c>
      <c r="N78" s="612">
        <f ca="1">MAX(N72:N76)</f>
      </c>
      <c r="O78" s="612">
        <f ca="1">MAX(O72:O76)</f>
      </c>
      <c r="P78" s="613">
        <f ca="1">MAX(P72:P76)</f>
      </c>
      <c r="Q78" s="613">
        <f ca="1">MAX(Q72:Q76)</f>
      </c>
      <c r="R78" s="613">
        <f ca="1">MAX(R72:R76)</f>
      </c>
      <c r="S78" s="613">
        <f ca="1">MAX(S72:S76)</f>
      </c>
      <c r="T78" s="613">
        <f ca="1">MAX(T72:T76)</f>
      </c>
      <c r="U78" s="614"/>
      <c r="V78" s="615"/>
      <c r="W78" s="16"/>
      <c r="X78" s="4"/>
      <c r="Y78" s="47"/>
      <c r="Z78" s="608" t="str">
        <f t="shared" ref="Z78:Z81" si="57" ca="1">Z36</f>
        <v>High</v>
      </c>
      <c r="AA78" s="609"/>
      <c r="AB78" s="610"/>
      <c r="AC78" s="611">
        <f ca="1">MAX(AC72:AC76)</f>
      </c>
      <c r="AD78" s="634">
        <f ca="1">MAX(AD72:AD76)</f>
      </c>
      <c r="AE78" s="612">
        <f ca="1">MAX(AE72:AE76)</f>
      </c>
      <c r="AF78" s="612">
        <f ca="1">MAX(AF72:AF76)</f>
      </c>
      <c r="AG78" s="612">
        <f ca="1">MAX(AG72:AG76)</f>
      </c>
      <c r="AH78" s="612">
        <f ca="1">MAX(AH72:AH76)</f>
      </c>
      <c r="AI78" s="613">
        <f ca="1">MAX(AI72:AI76)</f>
      </c>
      <c r="AJ78" s="612">
        <f ca="1">MAX(AJ72:AJ76)</f>
      </c>
      <c r="AK78" s="614">
        <f ca="1">MAX(AK72:AK76)</f>
      </c>
      <c r="AL78" s="614">
        <f ca="1">MAX(AL72:AL76)</f>
      </c>
      <c r="AM78" s="614">
        <f ca="1">MAX(AM72:AM76)</f>
      </c>
      <c r="AN78" s="614">
        <f ca="1">MAX(AN72:AN76)</f>
      </c>
      <c r="AO78" s="614">
        <f ca="1">MAX(AO72:AO76)</f>
      </c>
      <c r="AP78" s="614">
        <f ca="1">MAX(AP72:AP76)</f>
      </c>
      <c r="AQ78" s="614"/>
      <c r="AR78" s="615"/>
      <c r="AS78" s="4"/>
      <c r="AT78" s="4"/>
      <c r="AU78" s="47"/>
      <c r="AV78" s="608" t="str">
        <f t="shared" ref="AV78:AV81" si="58" ca="1">AV36</f>
        <v>High</v>
      </c>
      <c r="AW78" s="609"/>
      <c r="AX78" s="610"/>
      <c r="AY78" s="611">
        <f ca="1">MAX(AY72:AY76)</f>
      </c>
      <c r="AZ78" s="611">
        <f ca="1">MAX(AZ72:AZ76)</f>
      </c>
      <c r="BA78" s="612">
        <f ca="1">MAX(BA72:BA76)</f>
      </c>
      <c r="BB78" s="612">
        <f ca="1">MAX(BB72:BB76)</f>
      </c>
      <c r="BC78" s="612">
        <f ca="1">MAX(BC72:BC76)</f>
      </c>
      <c r="BD78" s="612">
        <f ca="1">MAX(BD72:BD76)</f>
      </c>
      <c r="BE78" s="612">
        <f ca="1">MAX(BE72:BE76)</f>
      </c>
      <c r="BF78" s="612">
        <f ca="1">MAX(BF72:BF76)</f>
      </c>
      <c r="BG78" s="612">
        <f ca="1">MAX(BG72:BG76)</f>
      </c>
      <c r="BH78" s="612">
        <f ca="1">MAX(BH72:BH76)</f>
      </c>
      <c r="BI78" s="613">
        <f ca="1">MAX(BI72:BI76)</f>
      </c>
      <c r="BJ78" s="614">
        <f ca="1">MAX(BJ72:BJ76)</f>
      </c>
      <c r="BK78" s="614">
        <f ca="1">MAX(BK72:BK76)</f>
      </c>
      <c r="BL78" s="614">
        <f ca="1">MAX(BL72:BL76)</f>
      </c>
      <c r="BM78" s="614"/>
      <c r="BN78" s="615"/>
    </row>
    <row r="79" ht="13.5" customHeight="1" spans="1:66" x14ac:dyDescent="0.25" outlineLevel="1" collapsed="1">
      <c r="A79" s="4"/>
      <c r="B79" s="47"/>
      <c r="C79" s="47"/>
      <c r="D79" s="616" t="str">
        <f ca="1">D37</f>
        <v>Mean</v>
      </c>
      <c r="E79" s="617"/>
      <c r="F79" s="618"/>
      <c r="G79" s="619">
        <f ca="1">AVERAGE(G72:G76)</f>
      </c>
      <c r="H79" s="635">
        <f ca="1">AVERAGE(H72:H76)</f>
      </c>
      <c r="I79" s="620">
        <f ca="1">AVERAGE(I72:I76)</f>
      </c>
      <c r="J79" s="620">
        <f ca="1">AVERAGE(J72:J76)</f>
      </c>
      <c r="K79" s="620">
        <f ca="1">AVERAGE(K72:K76)</f>
      </c>
      <c r="L79" s="620">
        <f ca="1">AVERAGE(L72:L76)</f>
      </c>
      <c r="M79" s="636">
        <f ca="1">AVERAGE(M72:M76)</f>
      </c>
      <c r="N79" s="620">
        <f ca="1">AVERAGE(N72:N76)</f>
      </c>
      <c r="O79" s="620">
        <f ca="1">AVERAGE(O72:O76)</f>
      </c>
      <c r="P79" s="636">
        <f ca="1">AVERAGE(P72:P76)</f>
      </c>
      <c r="Q79" s="636">
        <f ca="1">AVERAGE(Q72:Q76)</f>
      </c>
      <c r="R79" s="636">
        <f ca="1">AVERAGE(R72:R76)</f>
      </c>
      <c r="S79" s="636">
        <f ca="1">AVERAGE(S72:S76)</f>
      </c>
      <c r="T79" s="636">
        <f ca="1">AVERAGE(T72:T76)</f>
      </c>
      <c r="U79" s="622"/>
      <c r="V79" s="623"/>
      <c r="W79" s="16"/>
      <c r="X79" s="4"/>
      <c r="Y79" s="47"/>
      <c r="Z79" s="616" t="str">
        <f ca="1">Z37</f>
        <v>Mean</v>
      </c>
      <c r="AA79" s="617"/>
      <c r="AB79" s="618"/>
      <c r="AC79" s="619">
        <f ca="1">AVERAGE(AC72:AC76)</f>
      </c>
      <c r="AD79" s="635">
        <f ca="1">AVERAGE(AD72:AD76)</f>
      </c>
      <c r="AE79" s="620">
        <f ca="1">AVERAGE(AE72:AE76)</f>
      </c>
      <c r="AF79" s="620">
        <f ca="1">AVERAGE(AF72:AF76)</f>
      </c>
      <c r="AG79" s="620">
        <f ca="1">AVERAGE(AG72:AG76)</f>
      </c>
      <c r="AH79" s="620">
        <f ca="1">AVERAGE(AH72:AH76)</f>
      </c>
      <c r="AI79" s="621">
        <f ca="1">AVERAGE(AI72:AI76)</f>
      </c>
      <c r="AJ79" s="620">
        <f ca="1">AVERAGE(AJ72:AJ76)</f>
      </c>
      <c r="AK79" s="622">
        <f ca="1">AVERAGE(AK72:AK76)</f>
      </c>
      <c r="AL79" s="622">
        <f ca="1">AVERAGE(AL72:AL76)</f>
      </c>
      <c r="AM79" s="622">
        <f ca="1">AVERAGE(AM72:AM76)</f>
      </c>
      <c r="AN79" s="622">
        <f ca="1">AVERAGE(AN72:AN76)</f>
      </c>
      <c r="AO79" s="622">
        <f ca="1">AVERAGE(AO72:AO76)</f>
      </c>
      <c r="AP79" s="622">
        <f ca="1">AVERAGE(AP72:AP76)</f>
      </c>
      <c r="AQ79" s="622"/>
      <c r="AR79" s="623"/>
      <c r="AS79" s="4"/>
      <c r="AT79" s="4"/>
      <c r="AU79" s="47"/>
      <c r="AV79" s="616" t="str">
        <f ca="1">AV37</f>
        <v>Mean</v>
      </c>
      <c r="AW79" s="617"/>
      <c r="AX79" s="618"/>
      <c r="AY79" s="619">
        <f ca="1">AVERAGE(AY72:AY76)</f>
      </c>
      <c r="AZ79" s="619">
        <f ca="1">AVERAGE(AZ72:AZ76)</f>
      </c>
      <c r="BA79" s="620">
        <f ca="1">AVERAGE(BA72:BA76)</f>
      </c>
      <c r="BB79" s="620">
        <f ca="1">AVERAGE(BB72:BB76)</f>
      </c>
      <c r="BC79" s="620">
        <f ca="1">AVERAGE(BC72:BC76)</f>
      </c>
      <c r="BD79" s="620">
        <f ca="1">AVERAGE(BD72:BD76)</f>
      </c>
      <c r="BE79" s="620">
        <f ca="1">AVERAGE(BE72:BE76)</f>
      </c>
      <c r="BF79" s="620">
        <f ca="1">AVERAGE(BF72:BF76)</f>
      </c>
      <c r="BG79" s="620">
        <f ca="1">AVERAGE(BG72:BG76)</f>
      </c>
      <c r="BH79" s="620">
        <f ca="1">AVERAGE(BH72:BH76)</f>
      </c>
      <c r="BI79" s="621">
        <f ca="1">AVERAGE(BI72:BI76)</f>
      </c>
      <c r="BJ79" s="622">
        <f ca="1">AVERAGE(BJ72:BJ76)</f>
      </c>
      <c r="BK79" s="622">
        <f ca="1">AVERAGE(BK72:BK76)</f>
      </c>
      <c r="BL79" s="622">
        <f ca="1">AVERAGE(BL72:BL76)</f>
      </c>
      <c r="BM79" s="622"/>
      <c r="BN79" s="623"/>
    </row>
    <row r="80" ht="13.5" customHeight="1" spans="1:66" x14ac:dyDescent="0.25" outlineLevel="1" collapsed="1">
      <c r="A80" s="4"/>
      <c r="B80" s="47"/>
      <c r="C80" s="47"/>
      <c r="D80" s="616" t="str">
        <f ca="1">D38</f>
        <v>Median</v>
      </c>
      <c r="E80" s="617"/>
      <c r="F80" s="617"/>
      <c r="G80" s="619">
        <f ca="1">MEDIAN(G72:G76)</f>
      </c>
      <c r="H80" s="635">
        <f ca="1">MEDIAN(H72:H76)</f>
      </c>
      <c r="I80" s="620">
        <f ca="1">MEDIAN(I72:I76)</f>
      </c>
      <c r="J80" s="620">
        <f ca="1">MEDIAN(J72:J76)</f>
      </c>
      <c r="K80" s="620">
        <f ca="1">MEDIAN(K72:K76)</f>
      </c>
      <c r="L80" s="620">
        <f ca="1">MEDIAN(L72:L76)</f>
      </c>
      <c r="M80" s="636">
        <f ca="1">MEDIAN(M72:M76)</f>
      </c>
      <c r="N80" s="620">
        <f ca="1">MEDIAN(N72:N76)</f>
      </c>
      <c r="O80" s="620">
        <f ca="1">MEDIAN(O72:O76)</f>
      </c>
      <c r="P80" s="636">
        <f ca="1">MEDIAN(P72:P76)</f>
      </c>
      <c r="Q80" s="636">
        <f ca="1">MEDIAN(Q72:Q76)</f>
      </c>
      <c r="R80" s="636">
        <f ca="1">MEDIAN(R72:R76)</f>
      </c>
      <c r="S80" s="636">
        <f ca="1">MEDIAN(S72:S76)</f>
      </c>
      <c r="T80" s="636">
        <f ca="1">MEDIAN(T72:T76)</f>
      </c>
      <c r="U80" s="622"/>
      <c r="V80" s="623"/>
      <c r="W80" s="16"/>
      <c r="X80" s="4"/>
      <c r="Y80" s="47"/>
      <c r="Z80" s="616" t="str">
        <f ca="1">Z38</f>
        <v>Median</v>
      </c>
      <c r="AA80" s="617"/>
      <c r="AB80" s="617"/>
      <c r="AC80" s="619">
        <f ca="1">MEDIAN(AC72:AC76)</f>
      </c>
      <c r="AD80" s="635">
        <f ca="1">MEDIAN(AD72:AD76)</f>
      </c>
      <c r="AE80" s="620">
        <f ca="1">MEDIAN(AE72:AE76)</f>
      </c>
      <c r="AF80" s="620">
        <f ca="1">MEDIAN(AF72:AF76)</f>
      </c>
      <c r="AG80" s="620">
        <f ca="1">MEDIAN(AG72:AG76)</f>
      </c>
      <c r="AH80" s="620">
        <f ca="1">MEDIAN(AH72:AH76)</f>
      </c>
      <c r="AI80" s="621">
        <f ca="1">MEDIAN(AI72:AI76)</f>
      </c>
      <c r="AJ80" s="620">
        <f ca="1">MEDIAN(AJ72:AJ76)</f>
      </c>
      <c r="AK80" s="622">
        <f ca="1">MEDIAN(AK72:AK76)</f>
      </c>
      <c r="AL80" s="622">
        <f ca="1">MEDIAN(AL72:AL76)</f>
      </c>
      <c r="AM80" s="622">
        <f ca="1">MEDIAN(AM72:AM76)</f>
      </c>
      <c r="AN80" s="622">
        <f ca="1">MEDIAN(AN72:AN76)</f>
      </c>
      <c r="AO80" s="622">
        <f ca="1">MEDIAN(AO72:AO76)</f>
      </c>
      <c r="AP80" s="622">
        <f ca="1">MEDIAN(AP72:AP76)</f>
      </c>
      <c r="AQ80" s="622"/>
      <c r="AR80" s="623"/>
      <c r="AS80" s="4"/>
      <c r="AT80" s="4"/>
      <c r="AU80" s="47"/>
      <c r="AV80" s="616" t="str">
        <f ca="1">AV38</f>
        <v>Median</v>
      </c>
      <c r="AW80" s="617"/>
      <c r="AX80" s="617"/>
      <c r="AY80" s="619">
        <f ca="1">MEDIAN(AY72:AY76)</f>
      </c>
      <c r="AZ80" s="619">
        <f ca="1">MEDIAN(AZ72:AZ76)</f>
      </c>
      <c r="BA80" s="620">
        <f ca="1">MEDIAN(BA72:BA76)</f>
      </c>
      <c r="BB80" s="620">
        <f ca="1">MEDIAN(BB72:BB76)</f>
      </c>
      <c r="BC80" s="620">
        <f ca="1">MEDIAN(BC72:BC76)</f>
      </c>
      <c r="BD80" s="620">
        <f ca="1">MEDIAN(BD72:BD76)</f>
      </c>
      <c r="BE80" s="620">
        <f ca="1">MEDIAN(BE72:BE76)</f>
      </c>
      <c r="BF80" s="620">
        <f ca="1">MEDIAN(BF72:BF76)</f>
      </c>
      <c r="BG80" s="620">
        <f ca="1">MEDIAN(BG72:BG76)</f>
      </c>
      <c r="BH80" s="620">
        <f ca="1">MEDIAN(BH72:BH76)</f>
      </c>
      <c r="BI80" s="621">
        <f ca="1">MEDIAN(BI72:BI76)</f>
      </c>
      <c r="BJ80" s="622">
        <f ca="1">MEDIAN(BJ72:BJ76)</f>
      </c>
      <c r="BK80" s="622">
        <f ca="1">MEDIAN(BK72:BK76)</f>
      </c>
      <c r="BL80" s="622">
        <f ca="1">MEDIAN(BL72:BL76)</f>
      </c>
      <c r="BM80" s="622"/>
      <c r="BN80" s="623"/>
    </row>
    <row r="81" ht="13.5" customHeight="1" spans="1:66" x14ac:dyDescent="0.25" outlineLevel="1" collapsed="1">
      <c r="A81" s="4"/>
      <c r="B81" s="47"/>
      <c r="C81" s="47"/>
      <c r="D81" s="624" t="str">
        <f ca="1">D39</f>
        <v>Low</v>
      </c>
      <c r="E81" s="625"/>
      <c r="F81" s="625"/>
      <c r="G81" s="626">
        <f ca="1">MIN(G72:G76)</f>
      </c>
      <c r="H81" s="637">
        <f ca="1">MIN(H72:H76)</f>
      </c>
      <c r="I81" s="627">
        <f ca="1">MIN(I72:I76)</f>
      </c>
      <c r="J81" s="627">
        <f ca="1">MIN(J72:J76)</f>
      </c>
      <c r="K81" s="627">
        <f ca="1">MIN(K72:K76)</f>
      </c>
      <c r="L81" s="627">
        <f ca="1">MIN(L72:L76)</f>
      </c>
      <c r="M81" s="638">
        <f ca="1">MIN(M72:M76)</f>
      </c>
      <c r="N81" s="627">
        <f ca="1">MIN(N72:N76)</f>
      </c>
      <c r="O81" s="627">
        <f ca="1">MIN(O72:O76)</f>
      </c>
      <c r="P81" s="638">
        <f ca="1">MIN(P72:P76)</f>
      </c>
      <c r="Q81" s="638">
        <f ca="1">MIN(Q72:Q76)</f>
      </c>
      <c r="R81" s="638">
        <f ca="1">MIN(R72:R76)</f>
      </c>
      <c r="S81" s="638">
        <f ca="1">MIN(S72:S76)</f>
      </c>
      <c r="T81" s="638">
        <f ca="1">MIN(T72:T76)</f>
      </c>
      <c r="U81" s="629"/>
      <c r="V81" s="630"/>
      <c r="W81" s="16"/>
      <c r="X81" s="4"/>
      <c r="Y81" s="47"/>
      <c r="Z81" s="624" t="str">
        <f ca="1">Z39</f>
        <v>Low</v>
      </c>
      <c r="AA81" s="625"/>
      <c r="AB81" s="625"/>
      <c r="AC81" s="626">
        <f ca="1">MIN(AC72:AC76)</f>
      </c>
      <c r="AD81" s="637">
        <f ca="1">MIN(AD72:AD76)</f>
      </c>
      <c r="AE81" s="627">
        <f ca="1">MIN(AE72:AE76)</f>
      </c>
      <c r="AF81" s="627">
        <f ca="1">MIN(AF72:AF76)</f>
      </c>
      <c r="AG81" s="627">
        <f ca="1">MIN(AG72:AG76)</f>
      </c>
      <c r="AH81" s="627">
        <f ca="1">MIN(AH72:AH76)</f>
      </c>
      <c r="AI81" s="628">
        <f ca="1">MIN(AI72:AI76)</f>
      </c>
      <c r="AJ81" s="627">
        <f ca="1">MIN(AJ72:AJ76)</f>
      </c>
      <c r="AK81" s="629">
        <f ca="1">MIN(AK72:AK76)</f>
      </c>
      <c r="AL81" s="629">
        <f ca="1">MIN(AL72:AL76)</f>
      </c>
      <c r="AM81" s="629">
        <f ca="1">MIN(AM72:AM76)</f>
      </c>
      <c r="AN81" s="629">
        <f ca="1">MIN(AN72:AN76)</f>
      </c>
      <c r="AO81" s="629">
        <f ca="1">MIN(AO72:AO76)</f>
      </c>
      <c r="AP81" s="629">
        <f ca="1">MIN(AP72:AP76)</f>
      </c>
      <c r="AQ81" s="629"/>
      <c r="AR81" s="630"/>
      <c r="AS81" s="4"/>
      <c r="AT81" s="4"/>
      <c r="AU81" s="47"/>
      <c r="AV81" s="624" t="str">
        <f ca="1">AV39</f>
        <v>Low</v>
      </c>
      <c r="AW81" s="625"/>
      <c r="AX81" s="625"/>
      <c r="AY81" s="626">
        <f ca="1">MIN(AY72:AY76)</f>
      </c>
      <c r="AZ81" s="626">
        <f ca="1">MIN(AZ72:AZ76)</f>
      </c>
      <c r="BA81" s="627">
        <f ca="1">MIN(BA72:BA76)</f>
      </c>
      <c r="BB81" s="627">
        <f ca="1">MIN(BB72:BB76)</f>
      </c>
      <c r="BC81" s="627">
        <f ca="1">MIN(BC72:BC76)</f>
      </c>
      <c r="BD81" s="627">
        <f ca="1">MIN(BD72:BD76)</f>
      </c>
      <c r="BE81" s="627">
        <f ca="1">MIN(BE72:BE76)</f>
      </c>
      <c r="BF81" s="627">
        <f ca="1">MIN(BF72:BF76)</f>
      </c>
      <c r="BG81" s="627">
        <f ca="1">MIN(BG72:BG76)</f>
      </c>
      <c r="BH81" s="627">
        <f ca="1">MIN(BH72:BH76)</f>
      </c>
      <c r="BI81" s="628">
        <f ca="1">MIN(BI72:BI76)</f>
      </c>
      <c r="BJ81" s="629">
        <f ca="1">MIN(BJ72:BJ76)</f>
      </c>
      <c r="BK81" s="629">
        <f ca="1">MIN(BK72:BK76)</f>
      </c>
      <c r="BL81" s="629">
        <f ca="1">MIN(BL72:BL76)</f>
      </c>
      <c r="BM81" s="629"/>
      <c r="BN81" s="630"/>
    </row>
    <row r="82" ht="13.5" customHeight="1" spans="1:66" x14ac:dyDescent="0.25" outlineLevel="1" collapsed="1">
      <c r="A82" s="4"/>
      <c r="B82" s="47"/>
      <c r="C82" s="47"/>
      <c r="D82" s="16"/>
      <c r="E82" s="16"/>
      <c r="F82" s="16"/>
      <c r="G82" s="595"/>
      <c r="H82" s="84"/>
      <c r="I82" s="595"/>
      <c r="J82" s="595"/>
      <c r="K82" s="595"/>
      <c r="L82" s="595"/>
      <c r="M82" s="595"/>
      <c r="N82" s="551"/>
      <c r="O82" s="595"/>
      <c r="P82" s="551"/>
      <c r="Q82" s="548"/>
      <c r="R82" s="551"/>
      <c r="S82" s="16"/>
      <c r="T82" s="595"/>
      <c r="U82" s="84"/>
      <c r="V82" s="84"/>
      <c r="W82" s="16"/>
      <c r="X82" s="4"/>
      <c r="Y82" s="47"/>
      <c r="Z82" s="16"/>
      <c r="AA82" s="16"/>
      <c r="AB82" s="16"/>
      <c r="AC82" s="595"/>
      <c r="AD82" s="84"/>
      <c r="AE82" s="595"/>
      <c r="AF82" s="595"/>
      <c r="AG82" s="595"/>
      <c r="AH82" s="595"/>
      <c r="AI82" s="595"/>
      <c r="AJ82" s="551"/>
      <c r="AK82" s="595"/>
      <c r="AL82" s="551"/>
      <c r="AM82" s="548"/>
      <c r="AN82" s="551"/>
      <c r="AO82" s="16"/>
      <c r="AP82" s="595"/>
      <c r="AQ82" s="84"/>
      <c r="AR82" s="84"/>
      <c r="AS82" s="4"/>
      <c r="AT82" s="4"/>
      <c r="AU82" s="47"/>
      <c r="AV82" s="16"/>
      <c r="AW82" s="16"/>
      <c r="AX82" s="16"/>
      <c r="AY82" s="595"/>
      <c r="AZ82" s="84"/>
      <c r="BA82" s="595"/>
      <c r="BB82" s="595"/>
      <c r="BC82" s="595"/>
      <c r="BD82" s="595"/>
      <c r="BE82" s="595"/>
      <c r="BF82" s="551"/>
      <c r="BG82" s="595"/>
      <c r="BH82" s="551"/>
      <c r="BI82" s="548"/>
      <c r="BJ82" s="551"/>
      <c r="BK82" s="16"/>
      <c r="BL82" s="595"/>
      <c r="BM82" s="84"/>
      <c r="BN82" s="84"/>
    </row>
    <row r="83" ht="13.5" customHeight="1" spans="1:66" x14ac:dyDescent="0.25" outlineLevel="1" collapsed="1">
      <c r="A83" s="4"/>
      <c r="B83" s="47"/>
      <c r="C83" s="47"/>
      <c r="D83" s="16"/>
      <c r="E83" s="16"/>
      <c r="F83" s="16"/>
      <c r="G83" s="16"/>
      <c r="H83" s="16"/>
      <c r="I83" s="16"/>
      <c r="J83" s="16"/>
      <c r="K83" s="16"/>
      <c r="L83" s="16"/>
      <c r="M83" s="16"/>
      <c r="N83" s="16"/>
      <c r="O83" s="16"/>
      <c r="P83" s="16"/>
      <c r="Q83" s="16"/>
      <c r="R83" s="16"/>
      <c r="S83" s="16"/>
      <c r="T83" s="16"/>
      <c r="U83" s="16"/>
      <c r="V83" s="16"/>
      <c r="W83" s="16"/>
      <c r="X83" s="4"/>
      <c r="Y83" s="47"/>
      <c r="Z83" s="16"/>
      <c r="AA83" s="16"/>
      <c r="AB83" s="16"/>
      <c r="AC83" s="16"/>
      <c r="AD83" s="16"/>
      <c r="AE83" s="16"/>
      <c r="AF83" s="16"/>
      <c r="AG83" s="16"/>
      <c r="AH83" s="16"/>
      <c r="AI83" s="16"/>
      <c r="AJ83" s="16"/>
      <c r="AK83" s="16"/>
      <c r="AL83" s="16"/>
      <c r="AM83" s="16"/>
      <c r="AN83" s="16"/>
      <c r="AO83" s="16"/>
      <c r="AP83" s="16"/>
      <c r="AQ83" s="16"/>
      <c r="AR83" s="16"/>
      <c r="AS83" s="4"/>
      <c r="AT83" s="4"/>
      <c r="AU83" s="4"/>
      <c r="AV83" s="4"/>
      <c r="AW83" s="4"/>
      <c r="AX83" s="4"/>
      <c r="AY83" s="4"/>
      <c r="AZ83" s="4"/>
      <c r="BA83" s="4"/>
      <c r="BB83" s="4"/>
      <c r="BC83" s="4"/>
      <c r="BD83" s="4"/>
      <c r="BE83" s="4"/>
      <c r="BF83" s="4"/>
      <c r="BG83" s="4"/>
      <c r="BH83" s="4"/>
      <c r="BI83" s="4"/>
      <c r="BJ83" s="4"/>
      <c r="BK83" s="4"/>
      <c r="BL83" s="4"/>
      <c r="BM83" s="4"/>
      <c r="BN83" s="4"/>
    </row>
    <row r="84" ht="13.5" customHeight="1" spans="1:66" x14ac:dyDescent="0.25" outlineLevel="1" collapsed="1">
      <c r="A84" s="4"/>
      <c r="B84" s="47" t="s">
        <v>1</v>
      </c>
      <c r="C84" s="47"/>
      <c r="D84" s="639" t="s">
        <v>558</v>
      </c>
      <c r="E84" s="639"/>
      <c r="F84" s="639"/>
      <c r="G84" s="639"/>
      <c r="H84" s="639"/>
      <c r="I84" s="639"/>
      <c r="J84" s="639"/>
      <c r="K84" s="639"/>
      <c r="L84" s="639"/>
      <c r="M84" s="639"/>
      <c r="N84" s="639"/>
      <c r="O84" s="639"/>
      <c r="P84" s="639"/>
      <c r="Q84" s="639"/>
      <c r="R84" s="639"/>
      <c r="S84" s="639"/>
      <c r="T84" s="639"/>
      <c r="U84" s="639"/>
      <c r="V84" s="639"/>
      <c r="W84" s="16"/>
      <c r="X84" s="16"/>
      <c r="Y84" s="16"/>
      <c r="Z84" s="4"/>
      <c r="AA84" s="4"/>
      <c r="AB84" s="4"/>
      <c r="AC84" s="4"/>
      <c r="AD84" s="4"/>
      <c r="AE84" s="4"/>
      <c r="AF84" s="4"/>
      <c r="AG84" s="4"/>
      <c r="AH84" s="4"/>
      <c r="AI84" s="4"/>
      <c r="AJ84" s="4"/>
      <c r="AK84" s="4"/>
      <c r="AL84" s="4"/>
      <c r="AM84" s="4"/>
      <c r="AN84" s="4"/>
      <c r="AO84" s="4"/>
      <c r="AP84" s="4"/>
      <c r="AQ84" s="4"/>
      <c r="AR84" s="4"/>
      <c r="AS84" s="4"/>
      <c r="AT84" s="4"/>
      <c r="AU84" s="4"/>
      <c r="AV84" s="4"/>
      <c r="AW84" s="4"/>
      <c r="AX84" s="4"/>
      <c r="AY84" s="4"/>
      <c r="AZ84" s="4"/>
      <c r="BA84" s="4"/>
      <c r="BB84" s="4"/>
      <c r="BC84" s="4"/>
      <c r="BD84" s="4"/>
      <c r="BE84" s="4"/>
      <c r="BF84" s="4"/>
      <c r="BG84" s="4"/>
      <c r="BH84" s="4"/>
      <c r="BI84" s="4"/>
      <c r="BJ84" s="4"/>
      <c r="BK84" s="4"/>
      <c r="BL84" s="4"/>
      <c r="BM84" s="4"/>
      <c r="BN84" s="4"/>
    </row>
    <row r="85" ht="13.5" customHeight="1" spans="1:66" x14ac:dyDescent="0.25" outlineLevel="1" collapsed="1">
      <c r="A85" s="4"/>
      <c r="B85" s="47"/>
      <c r="C85" s="47"/>
      <c r="D85" s="16"/>
      <c r="E85" s="16"/>
      <c r="F85" s="16"/>
      <c r="G85" s="16"/>
      <c r="H85" s="16"/>
      <c r="I85" s="16"/>
      <c r="J85" s="16"/>
      <c r="K85" s="16"/>
      <c r="L85" s="16"/>
      <c r="M85" s="16"/>
      <c r="N85" s="16"/>
      <c r="O85" s="16"/>
      <c r="P85" s="16"/>
      <c r="Q85" s="16"/>
      <c r="R85" s="16"/>
      <c r="S85" s="16"/>
      <c r="T85" s="16"/>
      <c r="U85" s="16"/>
      <c r="V85" s="16"/>
      <c r="W85" s="16"/>
      <c r="X85" s="16"/>
      <c r="Y85" s="16"/>
      <c r="Z85" s="4"/>
      <c r="AA85" s="4"/>
      <c r="AB85" s="4"/>
      <c r="AC85" s="4"/>
      <c r="AD85" s="4"/>
      <c r="AE85" s="4"/>
      <c r="AF85" s="4"/>
      <c r="AG85" s="4"/>
      <c r="AH85" s="4"/>
      <c r="AI85" s="4"/>
      <c r="AJ85" s="4"/>
      <c r="AK85" s="4"/>
      <c r="AL85" s="4"/>
      <c r="AM85" s="4"/>
      <c r="AN85" s="4"/>
      <c r="AO85" s="4"/>
      <c r="AP85" s="4"/>
      <c r="AQ85" s="4"/>
      <c r="AR85" s="4"/>
      <c r="AS85" s="4"/>
      <c r="AT85" s="4"/>
      <c r="AU85" s="4"/>
      <c r="AV85" s="4"/>
      <c r="AW85" s="4"/>
      <c r="AX85" s="4"/>
      <c r="AY85" s="4"/>
      <c r="AZ85" s="4"/>
      <c r="BA85" s="4"/>
      <c r="BB85" s="4"/>
      <c r="BC85" s="4"/>
      <c r="BD85" s="4"/>
      <c r="BE85" s="4"/>
      <c r="BF85" s="4"/>
      <c r="BG85" s="4"/>
      <c r="BH85" s="4"/>
      <c r="BI85" s="4"/>
      <c r="BJ85" s="4"/>
      <c r="BK85" s="4"/>
      <c r="BL85" s="4"/>
      <c r="BM85" s="4"/>
      <c r="BN85" s="4"/>
    </row>
    <row r="86" ht="15" customHeight="1" spans="1:66" x14ac:dyDescent="0.25" outlineLevel="1" collapsed="1">
      <c r="A86" s="4"/>
      <c r="B86" s="47"/>
      <c r="C86" s="47"/>
      <c r="D86" s="18" t="str">
        <f ca="1">S88</f>
        <v>Primary Peer Group</v>
      </c>
      <c r="E86" s="20"/>
      <c r="F86" s="17" t="s">
        <v>1</v>
      </c>
      <c r="G86" s="18" t="str">
        <f ca="1">S89</f>
        <v>Defense Peer Group</v>
      </c>
      <c r="H86" s="19"/>
      <c r="I86" s="19"/>
      <c r="J86" s="20"/>
      <c r="K86" s="16"/>
      <c r="L86" s="18" t="str">
        <f ca="1">S90</f>
        <v>Cap. Goods Peer Group</v>
      </c>
      <c r="M86" s="19"/>
      <c r="N86" s="19"/>
      <c r="O86" s="20"/>
      <c r="P86" s="16"/>
      <c r="Q86" s="18" t="s">
        <v>559</v>
      </c>
      <c r="R86" s="19"/>
      <c r="S86" s="19"/>
      <c r="T86" s="20"/>
      <c r="U86" s="16"/>
      <c r="V86" s="16"/>
      <c r="W86" s="16"/>
      <c r="X86" s="4"/>
      <c r="Y86" s="4"/>
      <c r="Z86" s="4"/>
      <c r="AA86" s="4"/>
      <c r="AB86" s="4"/>
      <c r="AC86" s="4"/>
      <c r="AD86" s="4"/>
      <c r="AE86" s="4"/>
      <c r="AF86" s="4"/>
      <c r="AG86" s="4"/>
      <c r="AH86" s="4"/>
      <c r="AI86" s="4"/>
      <c r="AJ86" s="4"/>
      <c r="AK86" s="4"/>
      <c r="AL86" s="4"/>
      <c r="AM86" s="4"/>
      <c r="AN86" s="4"/>
      <c r="AO86" s="4"/>
      <c r="AP86" s="4"/>
      <c r="AQ86" s="4"/>
      <c r="AR86" s="4"/>
      <c r="AS86" s="4"/>
      <c r="AT86" s="4"/>
      <c r="AU86" s="4"/>
      <c r="AV86" s="4"/>
      <c r="AW86" s="4"/>
      <c r="AX86" s="4"/>
      <c r="AY86" s="4"/>
      <c r="AZ86" s="4"/>
      <c r="BA86" s="4"/>
      <c r="BB86" s="4"/>
      <c r="BC86" s="4"/>
      <c r="BD86" s="4"/>
      <c r="BE86" s="4"/>
      <c r="BF86" s="4"/>
      <c r="BG86" s="4"/>
      <c r="BH86" s="4"/>
      <c r="BI86" s="4"/>
      <c r="BJ86" s="4"/>
      <c r="BK86" s="4"/>
      <c r="BL86" s="4"/>
      <c r="BM86" s="4"/>
      <c r="BN86" s="4"/>
    </row>
    <row r="87" ht="15" customHeight="1" spans="1:66" x14ac:dyDescent="0.25" outlineLevel="1" collapsed="1">
      <c r="A87" s="4"/>
      <c r="B87" s="47"/>
      <c r="C87" s="47"/>
      <c r="D87" s="16"/>
      <c r="E87" s="16"/>
      <c r="F87" s="16"/>
      <c r="G87" s="16"/>
      <c r="H87" s="16"/>
      <c r="I87" s="16"/>
      <c r="J87" s="16"/>
      <c r="K87" s="16"/>
      <c r="L87" s="16"/>
      <c r="M87" s="16"/>
      <c r="N87" s="16"/>
      <c r="O87" s="16"/>
      <c r="P87" s="16"/>
      <c r="Q87" s="16"/>
      <c r="R87" s="16"/>
      <c r="S87" s="16"/>
      <c r="T87" s="132"/>
      <c r="U87" s="16"/>
      <c r="V87" s="16"/>
      <c r="W87" s="16"/>
      <c r="X87" s="16"/>
      <c r="Y87" s="16"/>
      <c r="Z87" s="4"/>
      <c r="AA87" s="4"/>
      <c r="AB87" s="4"/>
      <c r="AC87" s="4"/>
      <c r="AD87" s="4"/>
      <c r="AE87" s="4"/>
      <c r="AF87" s="4"/>
      <c r="AG87" s="4"/>
      <c r="AH87" s="4"/>
      <c r="AI87" s="4"/>
      <c r="AJ87" s="4"/>
      <c r="AK87" s="4"/>
      <c r="AL87" s="4"/>
      <c r="AM87" s="4"/>
      <c r="AN87" s="4"/>
      <c r="AO87" s="4"/>
      <c r="AP87" s="4"/>
      <c r="AQ87" s="4"/>
      <c r="AR87" s="4"/>
      <c r="AS87" s="4"/>
      <c r="AT87" s="4"/>
      <c r="AU87" s="4"/>
      <c r="AV87" s="4"/>
      <c r="AW87" s="4"/>
      <c r="AX87" s="4"/>
      <c r="AY87" s="4"/>
      <c r="AZ87" s="4"/>
      <c r="BA87" s="4"/>
      <c r="BB87" s="4"/>
      <c r="BC87" s="4"/>
      <c r="BD87" s="4"/>
      <c r="BE87" s="4"/>
      <c r="BF87" s="4"/>
      <c r="BG87" s="4"/>
      <c r="BH87" s="4"/>
      <c r="BI87" s="4"/>
      <c r="BJ87" s="4"/>
      <c r="BK87" s="4"/>
      <c r="BL87" s="4"/>
      <c r="BM87" s="4"/>
      <c r="BN87" s="4"/>
    </row>
    <row r="88" ht="15" customHeight="1" spans="1:66" x14ac:dyDescent="0.25" outlineLevel="1" collapsed="1">
      <c r="A88" s="4"/>
      <c r="B88" s="47"/>
      <c r="C88" s="47"/>
      <c r="D88" s="190" t="s">
        <v>560</v>
      </c>
      <c r="E88" s="283" t="str">
        <f ca="1">Company_Name</f>
        <v>Lowe's Companies, Inc.</v>
      </c>
      <c r="F88" s="16"/>
      <c r="G88" s="190" t="s">
        <v>560</v>
      </c>
      <c r="H88" s="132"/>
      <c r="I88" s="132" t="str">
        <f ca="1">Company_Name</f>
        <v>Lowe's Companies, Inc.</v>
      </c>
      <c r="J88" s="283"/>
      <c r="K88" s="16"/>
      <c r="L88" s="190" t="s">
        <v>560</v>
      </c>
      <c r="M88" s="132"/>
      <c r="N88" s="132" t="str">
        <f ca="1">Company_Name</f>
        <v>Lowe's Companies, Inc.</v>
      </c>
      <c r="O88" s="283"/>
      <c r="P88" s="16"/>
      <c r="Q88" s="190" t="s">
        <v>561</v>
      </c>
      <c r="R88" s="132"/>
      <c r="S88" s="640" t="s">
        <v>562</v>
      </c>
      <c r="T88" s="283"/>
      <c r="U88" s="16"/>
      <c r="V88" s="16"/>
      <c r="W88" s="16"/>
      <c r="X88" s="4"/>
      <c r="Y88" s="4"/>
      <c r="Z88" s="4"/>
      <c r="AA88" s="4"/>
      <c r="AB88" s="4"/>
      <c r="AC88" s="4"/>
      <c r="AD88" s="4"/>
      <c r="AE88" s="4"/>
      <c r="AF88" s="4"/>
      <c r="AG88" s="4"/>
      <c r="AH88" s="4"/>
      <c r="AI88" s="4"/>
      <c r="AJ88" s="4"/>
      <c r="AK88" s="4"/>
      <c r="AL88" s="4"/>
      <c r="AM88" s="4"/>
      <c r="AN88" s="4"/>
      <c r="AO88" s="4"/>
      <c r="AP88" s="4"/>
      <c r="AQ88" s="4"/>
      <c r="AR88" s="4"/>
      <c r="AS88" s="4"/>
      <c r="AT88" s="4"/>
      <c r="AU88" s="4"/>
      <c r="AV88" s="4"/>
      <c r="AW88" s="4"/>
      <c r="AX88" s="4"/>
      <c r="AY88" s="4"/>
      <c r="AZ88" s="4"/>
      <c r="BA88" s="4"/>
      <c r="BB88" s="4"/>
      <c r="BC88" s="4"/>
      <c r="BD88" s="4"/>
      <c r="BE88" s="4"/>
      <c r="BF88" s="4"/>
      <c r="BG88" s="4"/>
      <c r="BH88" s="4"/>
      <c r="BI88" s="4"/>
      <c r="BJ88" s="4"/>
      <c r="BK88" s="4"/>
      <c r="BL88" s="4"/>
      <c r="BM88" s="4"/>
      <c r="BN88" s="4"/>
    </row>
    <row r="89" ht="15" customHeight="1" spans="1:66" x14ac:dyDescent="0.25" outlineLevel="1" collapsed="1">
      <c r="A89" s="4"/>
      <c r="B89" s="47"/>
      <c r="C89" s="47"/>
      <c r="D89" s="188" t="s">
        <v>563</v>
      </c>
      <c r="E89" s="189" t="str">
        <f ca="1">Ticker</f>
        <v>LOW</v>
      </c>
      <c r="F89" s="16"/>
      <c r="G89" s="188" t="s">
        <v>563</v>
      </c>
      <c r="H89" s="16"/>
      <c r="I89" s="16" t="str">
        <f ca="1">Ticker</f>
        <v>LOW</v>
      </c>
      <c r="J89" s="189"/>
      <c r="K89" s="16"/>
      <c r="L89" s="188" t="s">
        <v>563</v>
      </c>
      <c r="M89" s="16"/>
      <c r="N89" s="16" t="str">
        <f ca="1">Ticker</f>
        <v>LOW</v>
      </c>
      <c r="O89" s="189"/>
      <c r="P89" s="16"/>
      <c r="Q89" s="188" t="s">
        <v>564</v>
      </c>
      <c r="R89" s="16"/>
      <c r="S89" s="641" t="s">
        <v>565</v>
      </c>
      <c r="T89" s="189"/>
      <c r="U89" s="16"/>
      <c r="V89" s="16"/>
      <c r="W89" s="16"/>
      <c r="X89" s="4"/>
      <c r="Y89" s="4"/>
      <c r="Z89" s="4"/>
      <c r="AA89" s="4"/>
      <c r="AB89" s="4"/>
      <c r="AC89" s="4"/>
      <c r="AD89" s="4"/>
      <c r="AE89" s="4"/>
      <c r="AF89" s="4"/>
      <c r="AG89" s="4"/>
      <c r="AH89" s="4"/>
      <c r="AI89" s="4"/>
      <c r="AJ89" s="4"/>
      <c r="AK89" s="4"/>
      <c r="AL89" s="4"/>
      <c r="AM89" s="4"/>
      <c r="AN89" s="4"/>
      <c r="AO89" s="4"/>
      <c r="AP89" s="4"/>
      <c r="AQ89" s="4"/>
      <c r="AR89" s="4"/>
      <c r="AS89" s="4"/>
      <c r="AT89" s="4"/>
      <c r="AU89" s="4"/>
      <c r="AV89" s="4"/>
      <c r="AW89" s="4"/>
      <c r="AX89" s="4"/>
      <c r="AY89" s="4"/>
      <c r="AZ89" s="4"/>
      <c r="BA89" s="4"/>
      <c r="BB89" s="4"/>
      <c r="BC89" s="4"/>
      <c r="BD89" s="4"/>
      <c r="BE89" s="4"/>
      <c r="BF89" s="4"/>
      <c r="BG89" s="4"/>
      <c r="BH89" s="4"/>
      <c r="BI89" s="4"/>
      <c r="BJ89" s="4"/>
      <c r="BK89" s="4"/>
      <c r="BL89" s="4"/>
      <c r="BM89" s="4"/>
      <c r="BN89" s="4"/>
    </row>
    <row r="90" ht="15" customHeight="1" spans="1:66" x14ac:dyDescent="0.25" outlineLevel="1" collapsed="1">
      <c r="A90" s="4"/>
      <c r="B90" s="47"/>
      <c r="C90" s="47"/>
      <c r="D90" s="192" t="s">
        <v>566</v>
      </c>
      <c r="E90" s="642" t="s">
        <v>567</v>
      </c>
      <c r="F90" s="16"/>
      <c r="G90" s="192" t="s">
        <v>566</v>
      </c>
      <c r="H90" s="131"/>
      <c r="I90" s="131" t="str">
        <f ca="1">$E$90</f>
        <v>IQ180871</v>
      </c>
      <c r="J90" s="643"/>
      <c r="K90" s="16"/>
      <c r="L90" s="192" t="s">
        <v>566</v>
      </c>
      <c r="M90" s="131"/>
      <c r="N90" s="131" t="str">
        <f ca="1">$E$90</f>
        <v>IQ180871</v>
      </c>
      <c r="O90" s="643"/>
      <c r="P90" s="16"/>
      <c r="Q90" s="192" t="s">
        <v>568</v>
      </c>
      <c r="R90" s="131"/>
      <c r="S90" s="644" t="s">
        <v>569</v>
      </c>
      <c r="T90" s="643"/>
      <c r="U90" s="16"/>
      <c r="V90" s="16"/>
      <c r="W90" s="16"/>
      <c r="X90" s="4"/>
      <c r="Y90" s="4"/>
      <c r="Z90" s="4"/>
      <c r="AA90" s="4"/>
      <c r="AB90" s="4"/>
      <c r="AC90" s="4"/>
      <c r="AD90" s="4"/>
      <c r="AE90" s="4"/>
      <c r="AF90" s="4"/>
      <c r="AG90" s="4"/>
      <c r="AH90" s="4"/>
      <c r="AI90" s="4"/>
      <c r="AJ90" s="4"/>
      <c r="AK90" s="4"/>
      <c r="AL90" s="4"/>
      <c r="AM90" s="4"/>
      <c r="AN90" s="4"/>
      <c r="AO90" s="4"/>
      <c r="AP90" s="4"/>
      <c r="AQ90" s="4"/>
      <c r="AR90" s="4"/>
      <c r="AS90" s="4"/>
      <c r="AT90" s="4"/>
      <c r="AU90" s="4"/>
      <c r="AV90" s="4"/>
      <c r="AW90" s="4"/>
      <c r="AX90" s="4"/>
      <c r="AY90" s="4"/>
      <c r="AZ90" s="4"/>
      <c r="BA90" s="4"/>
      <c r="BB90" s="4"/>
      <c r="BC90" s="4"/>
      <c r="BD90" s="4"/>
      <c r="BE90" s="4"/>
      <c r="BF90" s="4"/>
      <c r="BG90" s="4"/>
      <c r="BH90" s="4"/>
      <c r="BI90" s="4"/>
      <c r="BJ90" s="4"/>
      <c r="BK90" s="4"/>
      <c r="BL90" s="4"/>
      <c r="BM90" s="4"/>
      <c r="BN90" s="4"/>
    </row>
    <row r="91" ht="15" customHeight="1" spans="1:66" x14ac:dyDescent="0.25" outlineLevel="1" collapsed="1">
      <c r="A91" s="4"/>
      <c r="B91" s="47"/>
      <c r="C91" s="47"/>
      <c r="F91" s="16"/>
      <c r="K91" s="16"/>
      <c r="P91" s="16"/>
      <c r="Q91" s="16"/>
      <c r="R91" s="16"/>
      <c r="S91" s="16"/>
      <c r="T91" s="16"/>
      <c r="U91" s="16"/>
      <c r="V91" s="16"/>
      <c r="W91" s="16"/>
      <c r="X91" s="4"/>
      <c r="Y91" s="4"/>
      <c r="Z91" s="4"/>
      <c r="AA91" s="4"/>
      <c r="AB91" s="4"/>
      <c r="AC91" s="4"/>
      <c r="AD91" s="4"/>
      <c r="AE91" s="4"/>
      <c r="AF91" s="4"/>
      <c r="AG91" s="4"/>
      <c r="AH91" s="4"/>
      <c r="AI91" s="4"/>
      <c r="AJ91" s="4"/>
      <c r="AK91" s="4"/>
      <c r="AL91" s="4"/>
      <c r="AM91" s="4"/>
      <c r="AN91" s="4"/>
      <c r="AO91" s="4"/>
      <c r="AP91" s="4"/>
      <c r="AQ91" s="4"/>
      <c r="AR91" s="4"/>
      <c r="AS91" s="4"/>
      <c r="AT91" s="4"/>
      <c r="AU91" s="4"/>
      <c r="AV91" s="4"/>
      <c r="AW91" s="4"/>
      <c r="AX91" s="4"/>
      <c r="AY91" s="4"/>
      <c r="AZ91" s="4"/>
      <c r="BA91" s="4"/>
      <c r="BB91" s="4"/>
      <c r="BC91" s="4"/>
      <c r="BD91" s="4"/>
      <c r="BE91" s="4"/>
      <c r="BF91" s="4"/>
      <c r="BG91" s="4"/>
      <c r="BH91" s="4"/>
      <c r="BI91" s="4"/>
      <c r="BJ91" s="4"/>
      <c r="BK91" s="4"/>
      <c r="BL91" s="4"/>
      <c r="BM91" s="4"/>
      <c r="BN91" s="4"/>
    </row>
    <row r="92" ht="15" customHeight="1" spans="1:66" x14ac:dyDescent="0.25" outlineLevel="1" collapsed="1">
      <c r="A92" s="4"/>
      <c r="B92" s="47"/>
      <c r="C92" s="47"/>
      <c r="D92" s="190" t="s">
        <v>570</v>
      </c>
      <c r="E92" s="645" t="s">
        <v>571</v>
      </c>
      <c r="F92" s="16"/>
      <c r="G92" s="190" t="s">
        <v>570</v>
      </c>
      <c r="H92" s="132"/>
      <c r="I92" s="640" t="s">
        <v>572</v>
      </c>
      <c r="J92" s="283"/>
      <c r="K92" s="16"/>
      <c r="L92" s="190" t="s">
        <v>570</v>
      </c>
      <c r="M92" s="132"/>
      <c r="N92" s="640" t="s">
        <v>573</v>
      </c>
      <c r="O92" s="283"/>
      <c r="P92" s="16"/>
      <c r="Q92" s="16"/>
      <c r="R92" s="16"/>
      <c r="S92" s="16"/>
      <c r="T92" s="16"/>
      <c r="U92" s="16"/>
      <c r="V92" s="16"/>
      <c r="W92" s="16"/>
      <c r="X92" s="4"/>
      <c r="Y92" s="4"/>
      <c r="Z92" s="4"/>
      <c r="AA92" s="4"/>
      <c r="AB92" s="4"/>
      <c r="AC92" s="4"/>
      <c r="AD92" s="4"/>
      <c r="AE92" s="4"/>
      <c r="AF92" s="4"/>
      <c r="AG92" s="4"/>
      <c r="AH92" s="4"/>
      <c r="AI92" s="4"/>
      <c r="AJ92" s="4"/>
      <c r="AK92" s="4"/>
      <c r="AL92" s="4"/>
      <c r="AM92" s="4"/>
      <c r="AN92" s="4"/>
      <c r="AO92" s="4"/>
      <c r="AP92" s="4"/>
      <c r="AQ92" s="4"/>
      <c r="AR92" s="4"/>
      <c r="AS92" s="4"/>
      <c r="AT92" s="4"/>
      <c r="AU92" s="4"/>
      <c r="AV92" s="4"/>
      <c r="AW92" s="4"/>
      <c r="AX92" s="4"/>
      <c r="AY92" s="4"/>
      <c r="AZ92" s="4"/>
      <c r="BA92" s="4"/>
      <c r="BB92" s="4"/>
      <c r="BC92" s="4"/>
      <c r="BD92" s="4"/>
      <c r="BE92" s="4"/>
      <c r="BF92" s="4"/>
      <c r="BG92" s="4"/>
      <c r="BH92" s="4"/>
      <c r="BI92" s="4"/>
      <c r="BJ92" s="4"/>
      <c r="BK92" s="4"/>
      <c r="BL92" s="4"/>
      <c r="BM92" s="4"/>
      <c r="BN92" s="4"/>
    </row>
    <row r="93" ht="15" customHeight="1" spans="1:66" x14ac:dyDescent="0.25" outlineLevel="1" collapsed="1">
      <c r="A93" s="4"/>
      <c r="B93" s="47"/>
      <c r="C93" s="47"/>
      <c r="D93" s="188" t="s">
        <v>563</v>
      </c>
      <c r="E93" s="646" t="s">
        <v>574</v>
      </c>
      <c r="F93" s="16"/>
      <c r="G93" s="188" t="s">
        <v>563</v>
      </c>
      <c r="H93" s="16"/>
      <c r="I93" s="641" t="s">
        <v>506</v>
      </c>
      <c r="J93" s="189"/>
      <c r="K93" s="16"/>
      <c r="L93" s="188" t="s">
        <v>563</v>
      </c>
      <c r="M93" s="16"/>
      <c r="N93" s="641" t="s">
        <v>507</v>
      </c>
      <c r="O93" s="189"/>
      <c r="P93" s="16"/>
      <c r="Q93" s="16"/>
      <c r="R93" s="16"/>
      <c r="S93" s="16"/>
      <c r="T93" s="16"/>
      <c r="U93" s="16"/>
      <c r="V93" s="16"/>
      <c r="W93" s="16"/>
      <c r="X93" s="4"/>
      <c r="Y93" s="4"/>
      <c r="Z93" s="4"/>
      <c r="AA93" s="4"/>
      <c r="AB93" s="4"/>
      <c r="AC93" s="4"/>
      <c r="AD93" s="4"/>
      <c r="AE93" s="4"/>
      <c r="AF93" s="4"/>
      <c r="AG93" s="4"/>
      <c r="AH93" s="4"/>
      <c r="AI93" s="4"/>
      <c r="AJ93" s="4"/>
      <c r="AK93" s="4"/>
      <c r="AL93" s="4"/>
      <c r="AM93" s="4"/>
      <c r="AN93" s="4"/>
      <c r="AO93" s="4"/>
      <c r="AP93" s="4"/>
      <c r="AQ93" s="4"/>
      <c r="AR93" s="4"/>
      <c r="AS93" s="4"/>
      <c r="AT93" s="4"/>
      <c r="AU93" s="4"/>
      <c r="AV93" s="4"/>
      <c r="AW93" s="4"/>
      <c r="AX93" s="4"/>
      <c r="AY93" s="4"/>
      <c r="AZ93" s="4"/>
      <c r="BA93" s="4"/>
      <c r="BB93" s="4"/>
      <c r="BC93" s="4"/>
      <c r="BD93" s="4"/>
      <c r="BE93" s="4"/>
      <c r="BF93" s="4"/>
      <c r="BG93" s="4"/>
      <c r="BH93" s="4"/>
      <c r="BI93" s="4"/>
      <c r="BJ93" s="4"/>
      <c r="BK93" s="4"/>
      <c r="BL93" s="4"/>
      <c r="BM93" s="4"/>
      <c r="BN93" s="4"/>
    </row>
    <row r="94" ht="15" customHeight="1" spans="1:66" x14ac:dyDescent="0.25" outlineLevel="1" collapsed="1">
      <c r="A94" s="4"/>
      <c r="B94" s="47"/>
      <c r="C94" s="47"/>
      <c r="D94" s="192" t="s">
        <v>566</v>
      </c>
      <c r="E94" s="642" t="s">
        <v>575</v>
      </c>
      <c r="F94" s="16"/>
      <c r="G94" s="192" t="s">
        <v>566</v>
      </c>
      <c r="H94" s="131"/>
      <c r="I94" s="644" t="s">
        <v>576</v>
      </c>
      <c r="J94" s="643"/>
      <c r="K94" s="16"/>
      <c r="L94" s="192" t="s">
        <v>566</v>
      </c>
      <c r="M94" s="131"/>
      <c r="N94" s="644" t="s">
        <v>577</v>
      </c>
      <c r="O94" s="643"/>
      <c r="P94" s="16"/>
      <c r="Q94" s="16"/>
      <c r="R94" s="16"/>
      <c r="S94" s="16"/>
      <c r="T94" s="16"/>
      <c r="U94" s="16"/>
      <c r="V94" s="16"/>
      <c r="W94" s="16"/>
      <c r="X94" s="4"/>
      <c r="Y94" s="4"/>
      <c r="Z94" s="4"/>
      <c r="AA94" s="4"/>
      <c r="AB94" s="4"/>
      <c r="AC94" s="4"/>
      <c r="AD94" s="4"/>
      <c r="AE94" s="4"/>
      <c r="AF94" s="4"/>
      <c r="AG94" s="4"/>
      <c r="AH94" s="4"/>
      <c r="AI94" s="4"/>
      <c r="AJ94" s="4"/>
      <c r="AK94" s="4"/>
      <c r="AL94" s="4"/>
      <c r="AM94" s="4"/>
      <c r="AN94" s="4"/>
      <c r="AO94" s="4"/>
      <c r="AP94" s="4"/>
      <c r="AQ94" s="4"/>
      <c r="AR94" s="4"/>
      <c r="AS94" s="4"/>
      <c r="AT94" s="4"/>
      <c r="AU94" s="4"/>
      <c r="AV94" s="4"/>
      <c r="AW94" s="4"/>
      <c r="AX94" s="4"/>
      <c r="AY94" s="4"/>
      <c r="AZ94" s="4"/>
      <c r="BA94" s="4"/>
      <c r="BB94" s="4"/>
      <c r="BC94" s="4"/>
      <c r="BD94" s="4"/>
      <c r="BE94" s="4"/>
      <c r="BF94" s="4"/>
      <c r="BG94" s="4"/>
      <c r="BH94" s="4"/>
      <c r="BI94" s="4"/>
      <c r="BJ94" s="4"/>
      <c r="BK94" s="4"/>
      <c r="BL94" s="4"/>
      <c r="BM94" s="4"/>
      <c r="BN94" s="4"/>
    </row>
    <row r="95" ht="15" customHeight="1" spans="1:66" x14ac:dyDescent="0.25" outlineLevel="1" collapsed="1">
      <c r="A95" s="4"/>
      <c r="B95" s="47"/>
      <c r="C95" s="47"/>
      <c r="F95" s="16"/>
      <c r="K95" s="16"/>
      <c r="P95" s="16"/>
      <c r="Q95" s="16"/>
      <c r="R95" s="16"/>
      <c r="S95" s="16"/>
      <c r="T95" s="16"/>
      <c r="U95" s="16"/>
      <c r="V95" s="16"/>
      <c r="W95" s="16"/>
      <c r="X95" s="4"/>
      <c r="Y95" s="4"/>
      <c r="Z95" s="4"/>
      <c r="AA95" s="4"/>
      <c r="AB95" s="4"/>
      <c r="AC95" s="4"/>
      <c r="AD95" s="4"/>
      <c r="AE95" s="4"/>
      <c r="AF95" s="4"/>
      <c r="AG95" s="4"/>
      <c r="AH95" s="4"/>
      <c r="AI95" s="4"/>
      <c r="AJ95" s="4"/>
      <c r="AK95" s="4"/>
      <c r="AL95" s="4"/>
      <c r="AM95" s="4"/>
      <c r="AN95" s="4"/>
      <c r="AO95" s="4"/>
      <c r="AP95" s="4"/>
      <c r="AQ95" s="4"/>
      <c r="AR95" s="4"/>
      <c r="AS95" s="4"/>
      <c r="AT95" s="4"/>
      <c r="AU95" s="4"/>
      <c r="AV95" s="4"/>
      <c r="AW95" s="4"/>
      <c r="AX95" s="4"/>
      <c r="AY95" s="4"/>
      <c r="AZ95" s="4"/>
      <c r="BA95" s="4"/>
      <c r="BB95" s="4"/>
      <c r="BC95" s="4"/>
      <c r="BD95" s="4"/>
      <c r="BE95" s="4"/>
      <c r="BF95" s="4"/>
      <c r="BG95" s="4"/>
      <c r="BH95" s="4"/>
      <c r="BI95" s="4"/>
      <c r="BJ95" s="4"/>
      <c r="BK95" s="4"/>
      <c r="BL95" s="4"/>
      <c r="BM95" s="4"/>
      <c r="BN95" s="4"/>
    </row>
    <row r="96" ht="15" customHeight="1" spans="1:66" x14ac:dyDescent="0.25" outlineLevel="1" collapsed="1">
      <c r="A96" s="4"/>
      <c r="B96" s="47"/>
      <c r="C96" s="47"/>
      <c r="D96" s="190" t="s">
        <v>570</v>
      </c>
      <c r="E96" s="645" t="s">
        <v>578</v>
      </c>
      <c r="F96" s="16"/>
      <c r="G96" s="190" t="s">
        <v>570</v>
      </c>
      <c r="H96" s="132"/>
      <c r="I96" s="640" t="s">
        <v>579</v>
      </c>
      <c r="J96" s="283"/>
      <c r="K96" s="16"/>
      <c r="L96" s="190" t="s">
        <v>570</v>
      </c>
      <c r="M96" s="132"/>
      <c r="N96" s="640" t="s">
        <v>580</v>
      </c>
      <c r="O96" s="283"/>
      <c r="P96" s="16"/>
      <c r="Q96" s="16"/>
      <c r="R96" s="16"/>
      <c r="S96" s="16"/>
      <c r="T96" s="16"/>
      <c r="U96" s="16"/>
      <c r="V96" s="16"/>
      <c r="W96" s="16"/>
      <c r="X96" s="4"/>
      <c r="Y96" s="4"/>
      <c r="Z96" s="4"/>
      <c r="AA96" s="4"/>
      <c r="AB96" s="4"/>
      <c r="AC96" s="4"/>
      <c r="AD96" s="4"/>
      <c r="AE96" s="4"/>
      <c r="AF96" s="4"/>
      <c r="AG96" s="4"/>
      <c r="AH96" s="4"/>
      <c r="AI96" s="4"/>
      <c r="AJ96" s="4"/>
      <c r="AK96" s="4"/>
      <c r="AL96" s="4"/>
      <c r="AM96" s="4"/>
      <c r="AN96" s="4"/>
      <c r="AO96" s="4"/>
      <c r="AP96" s="4"/>
      <c r="AQ96" s="4"/>
      <c r="AR96" s="4"/>
      <c r="AS96" s="4"/>
      <c r="AT96" s="4"/>
      <c r="AU96" s="4"/>
      <c r="AV96" s="4"/>
      <c r="AW96" s="4"/>
      <c r="AX96" s="4"/>
      <c r="AY96" s="4"/>
      <c r="AZ96" s="4"/>
      <c r="BA96" s="4"/>
      <c r="BB96" s="4"/>
      <c r="BC96" s="4"/>
      <c r="BD96" s="4"/>
      <c r="BE96" s="4"/>
      <c r="BF96" s="4"/>
      <c r="BG96" s="4"/>
      <c r="BH96" s="4"/>
      <c r="BI96" s="4"/>
      <c r="BJ96" s="4"/>
      <c r="BK96" s="4"/>
      <c r="BL96" s="4"/>
      <c r="BM96" s="4"/>
      <c r="BN96" s="4"/>
    </row>
    <row r="97" ht="15" customHeight="1" spans="1:66" x14ac:dyDescent="0.25" outlineLevel="1" collapsed="1">
      <c r="A97" s="4"/>
      <c r="B97" s="47"/>
      <c r="C97" s="47"/>
      <c r="D97" s="188" t="s">
        <v>563</v>
      </c>
      <c r="E97" s="646" t="s">
        <v>454</v>
      </c>
      <c r="F97" s="16"/>
      <c r="G97" s="188" t="s">
        <v>563</v>
      </c>
      <c r="H97" s="16"/>
      <c r="I97" s="641" t="s">
        <v>509</v>
      </c>
      <c r="J97" s="189"/>
      <c r="K97" s="16"/>
      <c r="L97" s="188" t="s">
        <v>563</v>
      </c>
      <c r="M97" s="16"/>
      <c r="N97" s="641" t="s">
        <v>511</v>
      </c>
      <c r="O97" s="189"/>
      <c r="P97" s="16"/>
      <c r="Q97" s="16"/>
      <c r="R97" s="16"/>
      <c r="S97" s="16"/>
      <c r="T97" s="16"/>
      <c r="U97" s="16"/>
      <c r="V97" s="16"/>
      <c r="W97" s="16"/>
      <c r="X97" s="4"/>
      <c r="Y97" s="4"/>
      <c r="Z97" s="4"/>
      <c r="AA97" s="4"/>
      <c r="AB97" s="4"/>
      <c r="AC97" s="4"/>
      <c r="AD97" s="4"/>
      <c r="AE97" s="4"/>
      <c r="AF97" s="4"/>
      <c r="AG97" s="4"/>
      <c r="AH97" s="4"/>
      <c r="AI97" s="4"/>
      <c r="AJ97" s="4"/>
      <c r="AK97" s="4"/>
      <c r="AL97" s="4"/>
      <c r="AM97" s="4"/>
      <c r="AN97" s="4"/>
      <c r="AO97" s="4"/>
      <c r="AP97" s="4"/>
      <c r="AQ97" s="4"/>
      <c r="AR97" s="4"/>
      <c r="AS97" s="4"/>
      <c r="AT97" s="4"/>
      <c r="AU97" s="4"/>
      <c r="AV97" s="4"/>
      <c r="AW97" s="4"/>
      <c r="AX97" s="4"/>
      <c r="AY97" s="4"/>
      <c r="AZ97" s="4"/>
      <c r="BA97" s="4"/>
      <c r="BB97" s="4"/>
      <c r="BC97" s="4"/>
      <c r="BD97" s="4"/>
      <c r="BE97" s="4"/>
      <c r="BF97" s="4"/>
      <c r="BG97" s="4"/>
      <c r="BH97" s="4"/>
      <c r="BI97" s="4"/>
      <c r="BJ97" s="4"/>
      <c r="BK97" s="4"/>
      <c r="BL97" s="4"/>
      <c r="BM97" s="4"/>
      <c r="BN97" s="4"/>
    </row>
    <row r="98" ht="15" customHeight="1" spans="1:66" x14ac:dyDescent="0.25" outlineLevel="1" collapsed="1">
      <c r="A98" s="4"/>
      <c r="B98" s="47"/>
      <c r="C98" s="47"/>
      <c r="D98" s="192" t="s">
        <v>566</v>
      </c>
      <c r="E98" s="642" t="s">
        <v>581</v>
      </c>
      <c r="F98" s="16"/>
      <c r="G98" s="192" t="s">
        <v>566</v>
      </c>
      <c r="H98" s="131"/>
      <c r="I98" s="644" t="s">
        <v>582</v>
      </c>
      <c r="J98" s="643"/>
      <c r="K98" s="16"/>
      <c r="L98" s="192" t="s">
        <v>566</v>
      </c>
      <c r="M98" s="131"/>
      <c r="N98" s="644" t="s">
        <v>583</v>
      </c>
      <c r="O98" s="643"/>
      <c r="P98" s="16"/>
      <c r="Q98" s="16"/>
      <c r="R98" s="16"/>
      <c r="S98" s="16"/>
      <c r="T98" s="16"/>
      <c r="U98" s="16"/>
      <c r="V98" s="16"/>
      <c r="W98" s="16"/>
      <c r="X98" s="4"/>
      <c r="Y98" s="4"/>
      <c r="Z98" s="4"/>
      <c r="AA98" s="4"/>
      <c r="AB98" s="4"/>
      <c r="AC98" s="4"/>
      <c r="AD98" s="4"/>
      <c r="AE98" s="4"/>
      <c r="AF98" s="4"/>
      <c r="AG98" s="4"/>
      <c r="AH98" s="4"/>
      <c r="AI98" s="4"/>
      <c r="AJ98" s="4"/>
      <c r="AK98" s="4"/>
      <c r="AL98" s="4"/>
      <c r="AM98" s="4"/>
      <c r="AN98" s="4"/>
      <c r="AO98" s="4"/>
      <c r="AP98" s="4"/>
      <c r="AQ98" s="4"/>
      <c r="AR98" s="4"/>
      <c r="AS98" s="4"/>
      <c r="AT98" s="4"/>
      <c r="AU98" s="4"/>
      <c r="AV98" s="4"/>
      <c r="AW98" s="4"/>
      <c r="AX98" s="4"/>
      <c r="AY98" s="4"/>
      <c r="AZ98" s="4"/>
      <c r="BA98" s="4"/>
      <c r="BB98" s="4"/>
      <c r="BC98" s="4"/>
      <c r="BD98" s="4"/>
      <c r="BE98" s="4"/>
      <c r="BF98" s="4"/>
      <c r="BG98" s="4"/>
      <c r="BH98" s="4"/>
      <c r="BI98" s="4"/>
      <c r="BJ98" s="4"/>
      <c r="BK98" s="4"/>
      <c r="BL98" s="4"/>
      <c r="BM98" s="4"/>
      <c r="BN98" s="4"/>
    </row>
    <row r="99" ht="15" customHeight="1" spans="1:66" x14ac:dyDescent="0.25" outlineLevel="1" collapsed="1">
      <c r="A99" s="4"/>
      <c r="B99" s="47"/>
      <c r="C99" s="47"/>
      <c r="D99" s="4"/>
      <c r="E99" s="4"/>
      <c r="F99" s="16"/>
      <c r="G99" s="4"/>
      <c r="H99" s="4"/>
      <c r="I99" s="4"/>
      <c r="J99" s="4"/>
      <c r="K99" s="16"/>
      <c r="L99" s="4"/>
      <c r="M99" s="4"/>
      <c r="N99" s="4"/>
      <c r="O99" s="4"/>
      <c r="P99" s="16"/>
      <c r="Q99" s="16"/>
      <c r="R99" s="16"/>
      <c r="S99" s="16"/>
      <c r="T99" s="16"/>
      <c r="U99" s="16"/>
      <c r="V99" s="16"/>
      <c r="W99" s="16"/>
      <c r="X99" s="4"/>
      <c r="Y99" s="4"/>
      <c r="Z99" s="4"/>
      <c r="AA99" s="4"/>
      <c r="AB99" s="4"/>
      <c r="AC99" s="4"/>
      <c r="AD99" s="4"/>
      <c r="AE99" s="4"/>
      <c r="AF99" s="4"/>
      <c r="AG99" s="4"/>
      <c r="AH99" s="4"/>
      <c r="AI99" s="4"/>
      <c r="AJ99" s="4"/>
      <c r="AK99" s="4"/>
      <c r="AL99" s="4"/>
      <c r="AM99" s="4"/>
      <c r="AN99" s="4"/>
      <c r="AO99" s="4"/>
      <c r="AP99" s="4"/>
      <c r="AQ99" s="4"/>
      <c r="AR99" s="4"/>
      <c r="AS99" s="4"/>
      <c r="AT99" s="4"/>
      <c r="AU99" s="4"/>
      <c r="AV99" s="4"/>
      <c r="AW99" s="4"/>
      <c r="AX99" s="4"/>
      <c r="AY99" s="4"/>
      <c r="AZ99" s="4"/>
      <c r="BA99" s="4"/>
      <c r="BB99" s="4"/>
      <c r="BC99" s="4"/>
      <c r="BD99" s="4"/>
      <c r="BE99" s="4"/>
      <c r="BF99" s="4"/>
      <c r="BG99" s="4"/>
      <c r="BH99" s="4"/>
      <c r="BI99" s="4"/>
      <c r="BJ99" s="4"/>
      <c r="BK99" s="4"/>
      <c r="BL99" s="4"/>
      <c r="BM99" s="4"/>
      <c r="BN99" s="4"/>
    </row>
    <row r="100" ht="15" customHeight="1" spans="1:66" x14ac:dyDescent="0.25" outlineLevel="1" collapsed="1">
      <c r="A100" s="4"/>
      <c r="B100" s="47"/>
      <c r="C100" s="47"/>
      <c r="D100" s="190" t="s">
        <v>570</v>
      </c>
      <c r="E100" s="645" t="s">
        <v>584</v>
      </c>
      <c r="F100" s="16"/>
      <c r="G100" s="190" t="s">
        <v>570</v>
      </c>
      <c r="H100" s="132"/>
      <c r="I100" s="640" t="s">
        <v>585</v>
      </c>
      <c r="J100" s="283"/>
      <c r="K100" s="16"/>
      <c r="L100" s="190" t="s">
        <v>570</v>
      </c>
      <c r="M100" s="132"/>
      <c r="N100" s="640" t="s">
        <v>586</v>
      </c>
      <c r="O100" s="283"/>
      <c r="P100" s="16"/>
      <c r="Q100" s="16"/>
      <c r="R100" s="16"/>
      <c r="S100" s="16"/>
      <c r="T100" s="16"/>
      <c r="U100" s="16"/>
      <c r="V100" s="16"/>
      <c r="W100" s="16"/>
      <c r="X100" s="4"/>
      <c r="Y100" s="4"/>
      <c r="Z100" s="4"/>
      <c r="AA100" s="4"/>
      <c r="AB100" s="4"/>
      <c r="AC100" s="4"/>
      <c r="AD100" s="4"/>
      <c r="AE100" s="4"/>
      <c r="AF100" s="4"/>
      <c r="AG100" s="4"/>
      <c r="AH100" s="4"/>
      <c r="AI100" s="4"/>
      <c r="AJ100" s="4"/>
      <c r="AK100" s="4"/>
      <c r="AL100" s="4"/>
      <c r="AM100" s="4"/>
      <c r="AN100" s="4"/>
      <c r="AO100" s="4"/>
      <c r="AP100" s="4"/>
      <c r="AQ100" s="4"/>
      <c r="AR100" s="4"/>
      <c r="AS100" s="4"/>
      <c r="AT100" s="4"/>
      <c r="AU100" s="4"/>
      <c r="AV100" s="4"/>
      <c r="AW100" s="4"/>
      <c r="AX100" s="4"/>
      <c r="AY100" s="4"/>
      <c r="AZ100" s="4"/>
      <c r="BA100" s="4"/>
      <c r="BB100" s="4"/>
      <c r="BC100" s="4"/>
      <c r="BD100" s="4"/>
      <c r="BE100" s="4"/>
      <c r="BF100" s="4"/>
      <c r="BG100" s="4"/>
      <c r="BH100" s="4"/>
      <c r="BI100" s="4"/>
      <c r="BJ100" s="4"/>
      <c r="BK100" s="4"/>
      <c r="BL100" s="4"/>
      <c r="BM100" s="4"/>
      <c r="BN100" s="4"/>
    </row>
    <row r="101" ht="15" customHeight="1" spans="1:66" x14ac:dyDescent="0.25" outlineLevel="1" collapsed="1">
      <c r="A101" s="4"/>
      <c r="B101" s="47"/>
      <c r="C101" s="47"/>
      <c r="D101" s="188" t="s">
        <v>563</v>
      </c>
      <c r="E101" s="646" t="s">
        <v>454</v>
      </c>
      <c r="F101" s="16"/>
      <c r="G101" s="188" t="s">
        <v>563</v>
      </c>
      <c r="H101" s="47"/>
      <c r="I101" s="641" t="s">
        <v>513</v>
      </c>
      <c r="J101" s="189"/>
      <c r="K101" s="16"/>
      <c r="L101" s="188" t="s">
        <v>563</v>
      </c>
      <c r="M101" s="47"/>
      <c r="N101" s="641" t="s">
        <v>514</v>
      </c>
      <c r="O101" s="189"/>
      <c r="P101" s="16"/>
      <c r="Q101" s="16"/>
      <c r="R101" s="16"/>
      <c r="S101" s="16"/>
      <c r="T101" s="16"/>
      <c r="U101" s="16"/>
      <c r="V101" s="16"/>
      <c r="W101" s="16"/>
      <c r="X101" s="4"/>
      <c r="Y101" s="4"/>
      <c r="Z101" s="4"/>
      <c r="AA101" s="4"/>
      <c r="AB101" s="4"/>
      <c r="AC101" s="4"/>
      <c r="AD101" s="4"/>
      <c r="AE101" s="4"/>
      <c r="AF101" s="4"/>
      <c r="AG101" s="4"/>
      <c r="AH101" s="4"/>
      <c r="AI101" s="4"/>
      <c r="AJ101" s="4"/>
      <c r="AK101" s="4"/>
      <c r="AL101" s="4"/>
      <c r="AM101" s="4"/>
      <c r="AN101" s="4"/>
      <c r="AO101" s="4"/>
      <c r="AP101" s="4"/>
      <c r="AQ101" s="4"/>
      <c r="AR101" s="4"/>
      <c r="AS101" s="4"/>
      <c r="AT101" s="4"/>
      <c r="AU101" s="4"/>
      <c r="AV101" s="4"/>
      <c r="AW101" s="4"/>
      <c r="AX101" s="4"/>
      <c r="AY101" s="4"/>
      <c r="AZ101" s="4"/>
      <c r="BA101" s="4"/>
      <c r="BB101" s="4"/>
      <c r="BC101" s="4"/>
      <c r="BD101" s="4"/>
      <c r="BE101" s="4"/>
      <c r="BF101" s="4"/>
      <c r="BG101" s="4"/>
      <c r="BH101" s="4"/>
      <c r="BI101" s="4"/>
      <c r="BJ101" s="4"/>
      <c r="BK101" s="4"/>
      <c r="BL101" s="4"/>
      <c r="BM101" s="4"/>
      <c r="BN101" s="4"/>
    </row>
    <row r="102" ht="15" customHeight="1" spans="1:66" x14ac:dyDescent="0.25" outlineLevel="1" collapsed="1">
      <c r="A102" s="4"/>
      <c r="B102" s="47"/>
      <c r="C102" s="47"/>
      <c r="D102" s="192" t="s">
        <v>566</v>
      </c>
      <c r="E102" s="642" t="s">
        <v>587</v>
      </c>
      <c r="F102" s="16"/>
      <c r="G102" s="192" t="s">
        <v>566</v>
      </c>
      <c r="H102" s="131"/>
      <c r="I102" s="644" t="s">
        <v>588</v>
      </c>
      <c r="J102" s="643"/>
      <c r="K102" s="16"/>
      <c r="L102" s="192" t="s">
        <v>566</v>
      </c>
      <c r="M102" s="131"/>
      <c r="N102" s="644" t="s">
        <v>589</v>
      </c>
      <c r="O102" s="643"/>
      <c r="P102" s="16"/>
      <c r="Q102" s="16"/>
      <c r="R102" s="16"/>
      <c r="S102" s="16"/>
      <c r="T102" s="16"/>
      <c r="U102" s="16"/>
      <c r="V102" s="16"/>
      <c r="W102" s="16"/>
      <c r="X102" s="4"/>
      <c r="Y102" s="4"/>
      <c r="Z102" s="4"/>
      <c r="AA102" s="4"/>
      <c r="AB102" s="4"/>
      <c r="AC102" s="4"/>
      <c r="AD102" s="4"/>
      <c r="AE102" s="4"/>
      <c r="AF102" s="4"/>
      <c r="AG102" s="4"/>
      <c r="AH102" s="4"/>
      <c r="AI102" s="4"/>
      <c r="AJ102" s="4"/>
      <c r="AK102" s="4"/>
      <c r="AL102" s="4"/>
      <c r="AM102" s="4"/>
      <c r="AN102" s="4"/>
      <c r="AO102" s="4"/>
      <c r="AP102" s="4"/>
      <c r="AQ102" s="4"/>
      <c r="AR102" s="4"/>
      <c r="AS102" s="4"/>
      <c r="AT102" s="4"/>
      <c r="AU102" s="4"/>
      <c r="AV102" s="4"/>
      <c r="AW102" s="4"/>
      <c r="AX102" s="4"/>
      <c r="AY102" s="4"/>
      <c r="AZ102" s="4"/>
      <c r="BA102" s="4"/>
      <c r="BB102" s="4"/>
      <c r="BC102" s="4"/>
      <c r="BD102" s="4"/>
      <c r="BE102" s="4"/>
      <c r="BF102" s="4"/>
      <c r="BG102" s="4"/>
      <c r="BH102" s="4"/>
      <c r="BI102" s="4"/>
      <c r="BJ102" s="4"/>
      <c r="BK102" s="4"/>
      <c r="BL102" s="4"/>
      <c r="BM102" s="4"/>
      <c r="BN102" s="4"/>
    </row>
    <row r="103" ht="15" customHeight="1" spans="1:66" x14ac:dyDescent="0.25" outlineLevel="1" collapsed="1">
      <c r="A103" s="4"/>
      <c r="B103" s="47"/>
      <c r="C103" s="47"/>
      <c r="D103" s="4"/>
      <c r="E103" s="4"/>
      <c r="F103" s="16"/>
      <c r="G103" s="4"/>
      <c r="H103" s="4"/>
      <c r="I103" s="4"/>
      <c r="J103" s="4"/>
      <c r="K103" s="16"/>
      <c r="L103" s="4"/>
      <c r="M103" s="4"/>
      <c r="N103" s="4"/>
      <c r="O103" s="4"/>
      <c r="P103" s="16"/>
      <c r="Q103" s="16"/>
      <c r="R103" s="16"/>
      <c r="S103" s="16"/>
      <c r="T103" s="16"/>
      <c r="U103" s="16"/>
      <c r="V103" s="16"/>
      <c r="W103" s="16"/>
      <c r="X103" s="4"/>
      <c r="Y103" s="4"/>
      <c r="Z103" s="4"/>
      <c r="AA103" s="4"/>
      <c r="AB103" s="4"/>
      <c r="AC103" s="4"/>
      <c r="AD103" s="4"/>
      <c r="AE103" s="4"/>
      <c r="AF103" s="4"/>
      <c r="AG103" s="4"/>
      <c r="AH103" s="4"/>
      <c r="AI103" s="4"/>
      <c r="AJ103" s="4"/>
      <c r="AK103" s="4"/>
      <c r="AL103" s="4"/>
      <c r="AM103" s="4"/>
      <c r="AN103" s="4"/>
      <c r="AO103" s="4"/>
      <c r="AP103" s="4"/>
      <c r="AQ103" s="4"/>
      <c r="AR103" s="4"/>
      <c r="AS103" s="4"/>
      <c r="AT103" s="4"/>
      <c r="AU103" s="4"/>
      <c r="AV103" s="4"/>
      <c r="AW103" s="4"/>
      <c r="AX103" s="4"/>
      <c r="AY103" s="4"/>
      <c r="AZ103" s="4"/>
      <c r="BA103" s="4"/>
      <c r="BB103" s="4"/>
      <c r="BC103" s="4"/>
      <c r="BD103" s="4"/>
      <c r="BE103" s="4"/>
      <c r="BF103" s="4"/>
      <c r="BG103" s="4"/>
      <c r="BH103" s="4"/>
      <c r="BI103" s="4"/>
      <c r="BJ103" s="4"/>
      <c r="BK103" s="4"/>
      <c r="BL103" s="4"/>
      <c r="BM103" s="4"/>
      <c r="BN103" s="4"/>
    </row>
    <row r="104" ht="15" customHeight="1" spans="1:66" x14ac:dyDescent="0.25" outlineLevel="1" collapsed="1">
      <c r="A104" s="4"/>
      <c r="B104" s="47"/>
      <c r="C104" s="47"/>
      <c r="D104" s="190" t="s">
        <v>570</v>
      </c>
      <c r="E104" s="645" t="s">
        <v>590</v>
      </c>
      <c r="F104" s="16"/>
      <c r="G104" s="190" t="s">
        <v>570</v>
      </c>
      <c r="H104" s="132"/>
      <c r="I104" s="640" t="s">
        <v>591</v>
      </c>
      <c r="J104" s="283"/>
      <c r="K104" s="16"/>
      <c r="L104" s="190" t="s">
        <v>570</v>
      </c>
      <c r="M104" s="132"/>
      <c r="N104" s="640" t="s">
        <v>592</v>
      </c>
      <c r="O104" s="283"/>
      <c r="P104" s="16"/>
      <c r="Q104" s="16"/>
      <c r="R104" s="16"/>
      <c r="S104" s="16"/>
      <c r="T104" s="16"/>
      <c r="U104" s="16"/>
      <c r="V104" s="16"/>
      <c r="W104" s="16"/>
      <c r="X104" s="4"/>
      <c r="Y104" s="4"/>
      <c r="Z104" s="4"/>
      <c r="AA104" s="4"/>
      <c r="AB104" s="4"/>
      <c r="AC104" s="4"/>
      <c r="AD104" s="4"/>
      <c r="AE104" s="4"/>
      <c r="AF104" s="4"/>
      <c r="AG104" s="4"/>
      <c r="AH104" s="4"/>
      <c r="AI104" s="4"/>
      <c r="AJ104" s="4"/>
      <c r="AK104" s="4"/>
      <c r="AL104" s="4"/>
      <c r="AM104" s="4"/>
      <c r="AN104" s="4"/>
      <c r="AO104" s="4"/>
      <c r="AP104" s="4"/>
      <c r="AQ104" s="4"/>
      <c r="AR104" s="4"/>
      <c r="AS104" s="4"/>
      <c r="AT104" s="4"/>
      <c r="AU104" s="4"/>
      <c r="AV104" s="4"/>
      <c r="AW104" s="4"/>
      <c r="AX104" s="4"/>
      <c r="AY104" s="4"/>
      <c r="AZ104" s="4"/>
      <c r="BA104" s="4"/>
      <c r="BB104" s="4"/>
      <c r="BC104" s="4"/>
      <c r="BD104" s="4"/>
      <c r="BE104" s="4"/>
      <c r="BF104" s="4"/>
      <c r="BG104" s="4"/>
      <c r="BH104" s="4"/>
      <c r="BI104" s="4"/>
      <c r="BJ104" s="4"/>
      <c r="BK104" s="4"/>
      <c r="BL104" s="4"/>
      <c r="BM104" s="4"/>
      <c r="BN104" s="4"/>
    </row>
    <row r="105" ht="15" customHeight="1" spans="1:66" x14ac:dyDescent="0.25" outlineLevel="1" collapsed="1">
      <c r="A105" s="4"/>
      <c r="B105" s="47"/>
      <c r="C105" s="47"/>
      <c r="D105" s="188" t="s">
        <v>563</v>
      </c>
      <c r="E105" s="646" t="s">
        <v>454</v>
      </c>
      <c r="F105" s="16"/>
      <c r="G105" s="188" t="s">
        <v>563</v>
      </c>
      <c r="H105" s="16"/>
      <c r="I105" s="641" t="s">
        <v>516</v>
      </c>
      <c r="J105" s="189"/>
      <c r="K105" s="16"/>
      <c r="L105" s="188" t="s">
        <v>563</v>
      </c>
      <c r="M105" s="16"/>
      <c r="N105" s="641" t="s">
        <v>517</v>
      </c>
      <c r="O105" s="189"/>
      <c r="P105" s="16"/>
      <c r="Q105" s="16"/>
      <c r="R105" s="16"/>
      <c r="S105" s="16"/>
      <c r="T105" s="16"/>
      <c r="U105" s="16"/>
      <c r="V105" s="16"/>
      <c r="W105" s="16"/>
      <c r="X105" s="4"/>
      <c r="Y105" s="4"/>
      <c r="Z105" s="4"/>
      <c r="AA105" s="4"/>
      <c r="AB105" s="4"/>
      <c r="AC105" s="4"/>
      <c r="AD105" s="4"/>
      <c r="AE105" s="4"/>
      <c r="AF105" s="4"/>
      <c r="AG105" s="4"/>
      <c r="AH105" s="4"/>
      <c r="AI105" s="4"/>
      <c r="AJ105" s="4"/>
      <c r="AK105" s="4"/>
      <c r="AL105" s="4"/>
      <c r="AM105" s="4"/>
      <c r="AN105" s="4"/>
      <c r="AO105" s="4"/>
      <c r="AP105" s="4"/>
      <c r="AQ105" s="4"/>
      <c r="AR105" s="4"/>
      <c r="AS105" s="4"/>
      <c r="AT105" s="4"/>
      <c r="AU105" s="4"/>
      <c r="AV105" s="4"/>
      <c r="AW105" s="4"/>
      <c r="AX105" s="4"/>
      <c r="AY105" s="4"/>
      <c r="AZ105" s="4"/>
      <c r="BA105" s="4"/>
      <c r="BB105" s="4"/>
      <c r="BC105" s="4"/>
      <c r="BD105" s="4"/>
      <c r="BE105" s="4"/>
      <c r="BF105" s="4"/>
      <c r="BG105" s="4"/>
      <c r="BH105" s="4"/>
      <c r="BI105" s="4"/>
      <c r="BJ105" s="4"/>
      <c r="BK105" s="4"/>
      <c r="BL105" s="4"/>
      <c r="BM105" s="4"/>
      <c r="BN105" s="4"/>
    </row>
    <row r="106" ht="15" customHeight="1" spans="1:66" x14ac:dyDescent="0.25" outlineLevel="1" collapsed="1">
      <c r="A106" s="4"/>
      <c r="B106" s="47"/>
      <c r="C106" s="47"/>
      <c r="D106" s="192" t="s">
        <v>566</v>
      </c>
      <c r="E106" s="642" t="s">
        <v>593</v>
      </c>
      <c r="F106" s="16"/>
      <c r="G106" s="192" t="s">
        <v>566</v>
      </c>
      <c r="H106" s="131"/>
      <c r="I106" s="644" t="s">
        <v>594</v>
      </c>
      <c r="J106" s="643"/>
      <c r="K106" s="16"/>
      <c r="L106" s="192" t="s">
        <v>566</v>
      </c>
      <c r="M106" s="131"/>
      <c r="N106" s="644" t="s">
        <v>595</v>
      </c>
      <c r="O106" s="643"/>
      <c r="P106" s="16"/>
      <c r="Q106" s="16"/>
      <c r="R106" s="16"/>
      <c r="S106" s="16"/>
      <c r="T106" s="16"/>
      <c r="U106" s="16"/>
      <c r="V106" s="16"/>
      <c r="W106" s="16"/>
      <c r="X106" s="4"/>
      <c r="Y106" s="4"/>
      <c r="Z106" s="4"/>
      <c r="AA106" s="4"/>
      <c r="AB106" s="4"/>
      <c r="AC106" s="4"/>
      <c r="AD106" s="4"/>
      <c r="AE106" s="4"/>
      <c r="AF106" s="4"/>
      <c r="AG106" s="4"/>
      <c r="AH106" s="4"/>
      <c r="AI106" s="4"/>
      <c r="AJ106" s="4"/>
      <c r="AK106" s="4"/>
      <c r="AL106" s="4"/>
      <c r="AM106" s="4"/>
      <c r="AN106" s="4"/>
      <c r="AO106" s="4"/>
      <c r="AP106" s="4"/>
      <c r="AQ106" s="4"/>
      <c r="AR106" s="4"/>
      <c r="AS106" s="4"/>
      <c r="AT106" s="4"/>
      <c r="AU106" s="4"/>
      <c r="AV106" s="4"/>
      <c r="AW106" s="4"/>
      <c r="AX106" s="4"/>
      <c r="AY106" s="4"/>
      <c r="AZ106" s="4"/>
      <c r="BA106" s="4"/>
      <c r="BB106" s="4"/>
      <c r="BC106" s="4"/>
      <c r="BD106" s="4"/>
      <c r="BE106" s="4"/>
      <c r="BF106" s="4"/>
      <c r="BG106" s="4"/>
      <c r="BH106" s="4"/>
      <c r="BI106" s="4"/>
      <c r="BJ106" s="4"/>
      <c r="BK106" s="4"/>
      <c r="BL106" s="4"/>
      <c r="BM106" s="4"/>
      <c r="BN106" s="4"/>
    </row>
    <row r="107" ht="15" customHeight="1" spans="1:66" x14ac:dyDescent="0.25" outlineLevel="1" collapsed="1">
      <c r="A107" s="4"/>
      <c r="B107" s="47"/>
      <c r="C107" s="47"/>
      <c r="D107" s="16"/>
      <c r="E107" s="16"/>
      <c r="F107" s="16"/>
      <c r="G107" s="16"/>
      <c r="H107" s="16"/>
      <c r="I107" s="16"/>
      <c r="J107" s="16"/>
      <c r="K107" s="16"/>
      <c r="L107" s="16"/>
      <c r="M107" s="16"/>
      <c r="N107" s="16"/>
      <c r="O107" s="16"/>
      <c r="P107" s="16"/>
      <c r="Q107" s="16"/>
      <c r="R107" s="16"/>
      <c r="S107" s="16"/>
      <c r="T107" s="16"/>
      <c r="U107" s="16"/>
      <c r="V107" s="16"/>
      <c r="W107" s="16"/>
      <c r="X107" s="4"/>
      <c r="Y107" s="4"/>
      <c r="Z107" s="4"/>
      <c r="AA107" s="4"/>
      <c r="AB107" s="4"/>
      <c r="AC107" s="4"/>
      <c r="AD107" s="4"/>
      <c r="AE107" s="4"/>
      <c r="AF107" s="4"/>
      <c r="AG107" s="4"/>
      <c r="AH107" s="4"/>
      <c r="AI107" s="4"/>
      <c r="AJ107" s="4"/>
      <c r="AK107" s="4"/>
      <c r="AL107" s="4"/>
      <c r="AM107" s="4"/>
      <c r="AN107" s="4"/>
      <c r="AO107" s="4"/>
      <c r="AP107" s="4"/>
      <c r="AQ107" s="4"/>
      <c r="AR107" s="4"/>
      <c r="AS107" s="4"/>
      <c r="AT107" s="4"/>
      <c r="AU107" s="4"/>
      <c r="AV107" s="4"/>
      <c r="AW107" s="4"/>
      <c r="AX107" s="4"/>
      <c r="AY107" s="4"/>
      <c r="AZ107" s="4"/>
      <c r="BA107" s="4"/>
      <c r="BB107" s="4"/>
      <c r="BC107" s="4"/>
      <c r="BD107" s="4"/>
      <c r="BE107" s="4"/>
      <c r="BF107" s="4"/>
      <c r="BG107" s="4"/>
      <c r="BH107" s="4"/>
      <c r="BI107" s="4"/>
      <c r="BJ107" s="4"/>
      <c r="BK107" s="4"/>
      <c r="BL107" s="4"/>
      <c r="BM107" s="4"/>
      <c r="BN107" s="4"/>
    </row>
    <row r="108" ht="15" customHeight="1" spans="1:66" x14ac:dyDescent="0.25" outlineLevel="1" collapsed="1">
      <c r="A108" s="4"/>
      <c r="B108" s="47"/>
      <c r="C108" s="47"/>
      <c r="D108" s="190" t="s">
        <v>570</v>
      </c>
      <c r="E108" s="645" t="s">
        <v>596</v>
      </c>
      <c r="F108" s="16"/>
      <c r="G108" s="190" t="s">
        <v>570</v>
      </c>
      <c r="H108" s="132"/>
      <c r="I108" s="640" t="s">
        <v>597</v>
      </c>
      <c r="J108" s="283"/>
      <c r="K108" s="16"/>
      <c r="L108" s="190" t="s">
        <v>570</v>
      </c>
      <c r="M108" s="132"/>
      <c r="N108" s="640" t="s">
        <v>598</v>
      </c>
      <c r="O108" s="283"/>
      <c r="P108" s="16"/>
      <c r="Q108" s="16"/>
      <c r="R108" s="16"/>
      <c r="S108" s="16"/>
      <c r="T108" s="16"/>
      <c r="U108" s="16"/>
      <c r="V108" s="16"/>
      <c r="W108" s="16"/>
      <c r="X108" s="4"/>
      <c r="Y108" s="4"/>
      <c r="Z108" s="4"/>
      <c r="AA108" s="4"/>
      <c r="AB108" s="4"/>
      <c r="AC108" s="4"/>
      <c r="AD108" s="4"/>
      <c r="AE108" s="4"/>
      <c r="AF108" s="4"/>
      <c r="AG108" s="4"/>
      <c r="AH108" s="4"/>
      <c r="AI108" s="4"/>
      <c r="AJ108" s="4"/>
      <c r="AK108" s="4"/>
      <c r="AL108" s="4"/>
      <c r="AM108" s="4"/>
      <c r="AN108" s="4"/>
      <c r="AO108" s="4"/>
      <c r="AP108" s="4"/>
      <c r="AQ108" s="4"/>
      <c r="AR108" s="4"/>
      <c r="AS108" s="4"/>
      <c r="AT108" s="4"/>
      <c r="AU108" s="4"/>
      <c r="AV108" s="4"/>
      <c r="AW108" s="4"/>
      <c r="AX108" s="4"/>
      <c r="AY108" s="4"/>
      <c r="AZ108" s="4"/>
      <c r="BA108" s="4"/>
      <c r="BB108" s="4"/>
      <c r="BC108" s="4"/>
      <c r="BD108" s="4"/>
      <c r="BE108" s="4"/>
      <c r="BF108" s="4"/>
      <c r="BG108" s="4"/>
      <c r="BH108" s="4"/>
      <c r="BI108" s="4"/>
      <c r="BJ108" s="4"/>
      <c r="BK108" s="4"/>
      <c r="BL108" s="4"/>
      <c r="BM108" s="4"/>
      <c r="BN108" s="4"/>
    </row>
    <row r="109" ht="15" customHeight="1" spans="1:66" x14ac:dyDescent="0.25" outlineLevel="1" collapsed="1">
      <c r="A109" s="4"/>
      <c r="B109" s="47"/>
      <c r="C109" s="47"/>
      <c r="D109" s="188" t="s">
        <v>563</v>
      </c>
      <c r="E109" s="646" t="s">
        <v>454</v>
      </c>
      <c r="F109" s="16"/>
      <c r="G109" s="188" t="s">
        <v>563</v>
      </c>
      <c r="H109" s="16"/>
      <c r="I109" s="641" t="s">
        <v>519</v>
      </c>
      <c r="J109" s="189"/>
      <c r="K109" s="16"/>
      <c r="L109" s="188" t="s">
        <v>563</v>
      </c>
      <c r="M109" s="16"/>
      <c r="N109" s="641" t="s">
        <v>520</v>
      </c>
      <c r="O109" s="189"/>
      <c r="P109" s="16"/>
      <c r="Q109" s="16"/>
      <c r="R109" s="16"/>
      <c r="S109" s="16"/>
      <c r="T109" s="16"/>
      <c r="U109" s="16"/>
      <c r="V109" s="16"/>
      <c r="W109" s="16"/>
      <c r="X109" s="4"/>
      <c r="Y109" s="4"/>
      <c r="Z109" s="4"/>
      <c r="AA109" s="4"/>
      <c r="AB109" s="4"/>
      <c r="AC109" s="4"/>
      <c r="AD109" s="4"/>
      <c r="AE109" s="4"/>
      <c r="AF109" s="4"/>
      <c r="AG109" s="4"/>
      <c r="AH109" s="4"/>
      <c r="AI109" s="4"/>
      <c r="AJ109" s="4"/>
      <c r="AK109" s="4"/>
      <c r="AL109" s="4"/>
      <c r="AM109" s="4"/>
      <c r="AN109" s="4"/>
      <c r="AO109" s="4"/>
      <c r="AP109" s="4"/>
      <c r="AQ109" s="4"/>
      <c r="AR109" s="4"/>
      <c r="AS109" s="4"/>
      <c r="AT109" s="4"/>
      <c r="AU109" s="4"/>
      <c r="AV109" s="4"/>
      <c r="AW109" s="4"/>
      <c r="AX109" s="4"/>
      <c r="AY109" s="4"/>
      <c r="AZ109" s="4"/>
      <c r="BA109" s="4"/>
      <c r="BB109" s="4"/>
      <c r="BC109" s="4"/>
      <c r="BD109" s="4"/>
      <c r="BE109" s="4"/>
      <c r="BF109" s="4"/>
      <c r="BG109" s="4"/>
      <c r="BH109" s="4"/>
      <c r="BI109" s="4"/>
      <c r="BJ109" s="4"/>
      <c r="BK109" s="4"/>
      <c r="BL109" s="4"/>
      <c r="BM109" s="4"/>
      <c r="BN109" s="4"/>
    </row>
    <row r="110" ht="15" customHeight="1" spans="1:66" x14ac:dyDescent="0.25" outlineLevel="1" collapsed="1">
      <c r="A110" s="4"/>
      <c r="B110" s="47"/>
      <c r="C110" s="47"/>
      <c r="D110" s="192" t="s">
        <v>566</v>
      </c>
      <c r="E110" s="642" t="s">
        <v>599</v>
      </c>
      <c r="F110" s="16"/>
      <c r="G110" s="192" t="s">
        <v>566</v>
      </c>
      <c r="H110" s="131"/>
      <c r="I110" s="644" t="s">
        <v>600</v>
      </c>
      <c r="J110" s="643"/>
      <c r="K110" s="16"/>
      <c r="L110" s="192" t="s">
        <v>566</v>
      </c>
      <c r="M110" s="131"/>
      <c r="N110" s="644" t="s">
        <v>601</v>
      </c>
      <c r="O110" s="643"/>
      <c r="P110" s="16"/>
      <c r="Q110" s="16"/>
      <c r="R110" s="16"/>
      <c r="S110" s="16"/>
      <c r="T110" s="16"/>
      <c r="U110" s="16"/>
      <c r="V110" s="16"/>
      <c r="W110" s="16"/>
      <c r="X110" s="4"/>
      <c r="Y110" s="4"/>
      <c r="Z110" s="4"/>
      <c r="AA110" s="4"/>
      <c r="AB110" s="4"/>
      <c r="AC110" s="4"/>
      <c r="AD110" s="4"/>
      <c r="AE110" s="4"/>
      <c r="AF110" s="4"/>
      <c r="AG110" s="4"/>
      <c r="AH110" s="4"/>
      <c r="AI110" s="4"/>
      <c r="AJ110" s="4"/>
      <c r="AK110" s="4"/>
      <c r="AL110" s="4"/>
      <c r="AM110" s="4"/>
      <c r="AN110" s="4"/>
      <c r="AO110" s="4"/>
      <c r="AP110" s="4"/>
      <c r="AQ110" s="4"/>
      <c r="AR110" s="4"/>
      <c r="AS110" s="4"/>
      <c r="AT110" s="4"/>
      <c r="AU110" s="4"/>
      <c r="AV110" s="4"/>
      <c r="AW110" s="4"/>
      <c r="AX110" s="4"/>
      <c r="AY110" s="4"/>
      <c r="AZ110" s="4"/>
      <c r="BA110" s="4"/>
      <c r="BB110" s="4"/>
      <c r="BC110" s="4"/>
      <c r="BD110" s="4"/>
      <c r="BE110" s="4"/>
      <c r="BF110" s="4"/>
      <c r="BG110" s="4"/>
      <c r="BH110" s="4"/>
      <c r="BI110" s="4"/>
      <c r="BJ110" s="4"/>
      <c r="BK110" s="4"/>
      <c r="BL110" s="4"/>
      <c r="BM110" s="4"/>
      <c r="BN110" s="4"/>
    </row>
    <row r="111" ht="13.5" customHeight="1" spans="1:66" x14ac:dyDescent="0.25" outlineLevel="1" collapsed="1">
      <c r="A111" s="4"/>
      <c r="B111" s="47"/>
      <c r="C111" s="47"/>
      <c r="D111" s="16"/>
      <c r="E111" s="16"/>
      <c r="F111" s="16"/>
      <c r="G111" s="16"/>
      <c r="H111" s="16"/>
      <c r="I111" s="16"/>
      <c r="J111" s="16"/>
      <c r="K111" s="16"/>
      <c r="L111" s="16"/>
      <c r="M111" s="16"/>
      <c r="N111" s="16"/>
      <c r="O111" s="16"/>
      <c r="P111" s="16"/>
      <c r="Q111" s="16"/>
      <c r="R111" s="16"/>
      <c r="S111" s="16"/>
      <c r="T111" s="16"/>
      <c r="U111" s="16"/>
      <c r="V111" s="16"/>
      <c r="W111" s="16"/>
      <c r="X111" s="16"/>
      <c r="Y111" s="16"/>
      <c r="Z111" s="4"/>
      <c r="AA111" s="4"/>
      <c r="AB111" s="4"/>
      <c r="AC111" s="4"/>
      <c r="AD111" s="4"/>
      <c r="AE111" s="4"/>
      <c r="AF111" s="4"/>
      <c r="AG111" s="4"/>
      <c r="AH111" s="4"/>
      <c r="AI111" s="4"/>
      <c r="AJ111" s="4"/>
      <c r="AK111" s="4"/>
      <c r="AL111" s="4"/>
      <c r="AM111" s="4"/>
      <c r="AN111" s="4"/>
      <c r="AO111" s="4"/>
      <c r="AP111" s="4"/>
      <c r="AQ111" s="4"/>
      <c r="AR111" s="4"/>
      <c r="AS111" s="4"/>
      <c r="AT111" s="4"/>
      <c r="AU111" s="4"/>
      <c r="AV111" s="4"/>
      <c r="AW111" s="4"/>
      <c r="AX111" s="4"/>
      <c r="AY111" s="4"/>
      <c r="AZ111" s="4"/>
      <c r="BA111" s="4"/>
      <c r="BB111" s="4"/>
      <c r="BC111" s="4"/>
      <c r="BD111" s="4"/>
      <c r="BE111" s="4"/>
      <c r="BF111" s="4"/>
      <c r="BG111" s="4"/>
      <c r="BH111" s="4"/>
      <c r="BI111" s="4"/>
      <c r="BJ111" s="4"/>
      <c r="BK111" s="4"/>
      <c r="BL111" s="4"/>
      <c r="BM111" s="4"/>
      <c r="BN111" s="4"/>
    </row>
    <row r="112" ht="13.5" customHeight="1" spans="1:66" x14ac:dyDescent="0.25">
      <c r="A112" s="4"/>
      <c r="B112" s="47"/>
      <c r="C112" s="47"/>
      <c r="D112" s="4"/>
      <c r="E112" s="4"/>
      <c r="F112" s="4"/>
      <c r="G112" s="4"/>
      <c r="H112" s="16"/>
      <c r="I112" s="16"/>
      <c r="J112" s="16"/>
      <c r="K112" s="16"/>
      <c r="L112" s="16"/>
      <c r="M112" s="16"/>
      <c r="N112" s="16"/>
      <c r="O112" s="16"/>
      <c r="P112" s="16"/>
      <c r="Q112" s="16"/>
      <c r="R112" s="16"/>
      <c r="S112" s="16"/>
      <c r="T112" s="16"/>
      <c r="U112" s="16"/>
      <c r="V112" s="16"/>
      <c r="W112" s="16"/>
      <c r="X112" s="16"/>
      <c r="Y112" s="16"/>
      <c r="Z112" s="4"/>
      <c r="AA112" s="4"/>
      <c r="AB112" s="4"/>
      <c r="AC112" s="4"/>
      <c r="AD112" s="4"/>
      <c r="AE112" s="4"/>
      <c r="AF112" s="4"/>
      <c r="AG112" s="4"/>
      <c r="AH112" s="4"/>
      <c r="AI112" s="4"/>
      <c r="AJ112" s="4"/>
      <c r="AK112" s="4"/>
      <c r="AL112" s="4"/>
      <c r="AM112" s="4"/>
      <c r="AN112" s="4"/>
      <c r="AO112" s="4"/>
      <c r="AP112" s="4"/>
      <c r="AQ112" s="4"/>
      <c r="AR112" s="4"/>
      <c r="AS112" s="4"/>
      <c r="AT112" s="4"/>
      <c r="AU112" s="4"/>
      <c r="AV112" s="4"/>
      <c r="AW112" s="4"/>
      <c r="AX112" s="4"/>
      <c r="AY112" s="4"/>
      <c r="AZ112" s="4"/>
      <c r="BA112" s="4"/>
      <c r="BB112" s="4"/>
      <c r="BC112" s="4"/>
      <c r="BD112" s="4"/>
      <c r="BE112" s="4"/>
      <c r="BF112" s="4"/>
      <c r="BG112" s="4"/>
      <c r="BH112" s="4"/>
      <c r="BI112" s="4"/>
      <c r="BJ112" s="4"/>
      <c r="BK112" s="4"/>
      <c r="BL112" s="4"/>
      <c r="BM112" s="4"/>
      <c r="BN112" s="4"/>
    </row>
    <row r="113" ht="13.5" customHeight="1" spans="1:66" x14ac:dyDescent="0.25">
      <c r="A113" s="4"/>
    </row>
    <row r="114" ht="13.5" customHeight="1" spans="1:66" x14ac:dyDescent="0.25">
      <c r="A114" s="4"/>
    </row>
    <row r="115" ht="13.5" customHeight="1" spans="1:66" x14ac:dyDescent="0.25">
      <c r="A115" s="4"/>
    </row>
    <row r="116" ht="13.5" customHeight="1" spans="1:66" x14ac:dyDescent="0.25">
      <c r="A116" s="4"/>
    </row>
    <row r="117" ht="13.5" customHeight="1" spans="1:66" x14ac:dyDescent="0.25">
      <c r="A117" s="4"/>
    </row>
    <row r="118" ht="13.5" customHeight="1" spans="1:66" x14ac:dyDescent="0.25">
      <c r="A118" s="4"/>
      <c r="B118" s="4"/>
      <c r="C118" s="47"/>
      <c r="S118" s="16"/>
      <c r="T118" s="16"/>
      <c r="U118" s="16"/>
      <c r="V118" s="16"/>
      <c r="W118" s="16"/>
      <c r="X118" s="16"/>
      <c r="Y118" s="16"/>
      <c r="Z118" s="4"/>
      <c r="AA118" s="4"/>
      <c r="AB118" s="4"/>
      <c r="AC118" s="4"/>
      <c r="AD118" s="4"/>
      <c r="AE118" s="4"/>
      <c r="AF118" s="4"/>
      <c r="AG118" s="4"/>
      <c r="AH118" s="4"/>
      <c r="AI118" s="4"/>
      <c r="AJ118" s="4"/>
      <c r="AK118" s="4"/>
      <c r="AL118" s="4"/>
      <c r="AM118" s="4"/>
      <c r="AN118" s="4"/>
      <c r="AO118" s="4"/>
      <c r="AP118" s="4"/>
      <c r="AQ118" s="4"/>
      <c r="AR118" s="4"/>
      <c r="AS118" s="4"/>
      <c r="AT118" s="4"/>
      <c r="AU118" s="4"/>
      <c r="AV118" s="4"/>
      <c r="AW118" s="4"/>
      <c r="AX118" s="4"/>
      <c r="AY118" s="4"/>
      <c r="AZ118" s="4"/>
      <c r="BA118" s="4"/>
      <c r="BB118" s="4"/>
      <c r="BC118" s="4"/>
      <c r="BD118" s="4"/>
      <c r="BE118" s="4"/>
      <c r="BF118" s="4"/>
      <c r="BG118" s="4"/>
      <c r="BH118" s="4"/>
      <c r="BI118" s="4"/>
      <c r="BJ118" s="4"/>
      <c r="BK118" s="4"/>
      <c r="BL118" s="4"/>
      <c r="BM118" s="4"/>
      <c r="BN118" s="4"/>
    </row>
    <row r="119" ht="13.5" customHeight="1" spans="1:66" x14ac:dyDescent="0.25">
      <c r="A119" s="4"/>
      <c r="B119" s="4"/>
      <c r="C119" s="47"/>
      <c r="S119" s="16"/>
      <c r="T119" s="16"/>
      <c r="U119" s="16"/>
      <c r="V119" s="16"/>
      <c r="W119" s="16"/>
      <c r="X119" s="16"/>
      <c r="Y119" s="16"/>
      <c r="Z119" s="4"/>
      <c r="AA119" s="4"/>
      <c r="AB119" s="4"/>
      <c r="AC119" s="4"/>
      <c r="AD119" s="4"/>
      <c r="AE119" s="4"/>
      <c r="AF119" s="4"/>
      <c r="AG119" s="4"/>
      <c r="AH119" s="4"/>
      <c r="AI119" s="4"/>
      <c r="AJ119" s="4"/>
      <c r="AK119" s="4"/>
      <c r="AL119" s="4"/>
      <c r="AM119" s="4"/>
      <c r="AN119" s="4"/>
      <c r="AO119" s="4"/>
      <c r="AP119" s="4"/>
      <c r="AQ119" s="4"/>
      <c r="AR119" s="4"/>
      <c r="AS119" s="4"/>
      <c r="AT119" s="4"/>
      <c r="AU119" s="4"/>
      <c r="AV119" s="4"/>
      <c r="AW119" s="4"/>
      <c r="AX119" s="4"/>
      <c r="AY119" s="4"/>
      <c r="AZ119" s="4"/>
      <c r="BA119" s="4"/>
      <c r="BB119" s="4"/>
      <c r="BC119" s="4"/>
      <c r="BD119" s="4"/>
      <c r="BE119" s="4"/>
      <c r="BF119" s="4"/>
      <c r="BG119" s="4"/>
      <c r="BH119" s="4"/>
      <c r="BI119" s="4"/>
      <c r="BJ119" s="4"/>
      <c r="BK119" s="4"/>
      <c r="BL119" s="4"/>
      <c r="BM119" s="4"/>
      <c r="BN119" s="4"/>
    </row>
    <row r="120" ht="13.5" customHeight="1" spans="1:66" x14ac:dyDescent="0.25">
      <c r="A120" s="4"/>
      <c r="B120" s="4"/>
      <c r="C120" s="47"/>
      <c r="S120" s="16"/>
      <c r="T120" s="16"/>
      <c r="U120" s="16"/>
      <c r="V120" s="16"/>
      <c r="W120" s="16"/>
      <c r="X120" s="16"/>
      <c r="Y120" s="16"/>
      <c r="Z120" s="4"/>
      <c r="AA120" s="4"/>
      <c r="AB120" s="4"/>
      <c r="AC120" s="4"/>
      <c r="AD120" s="4"/>
      <c r="AE120" s="4"/>
      <c r="AF120" s="4"/>
      <c r="AG120" s="4"/>
      <c r="AH120" s="4"/>
      <c r="AI120" s="4"/>
      <c r="AJ120" s="4"/>
      <c r="AK120" s="4"/>
      <c r="AL120" s="4"/>
      <c r="AM120" s="4"/>
      <c r="AN120" s="4"/>
      <c r="AO120" s="4"/>
      <c r="AP120" s="4"/>
      <c r="AQ120" s="4"/>
      <c r="AR120" s="4"/>
      <c r="AS120" s="4"/>
      <c r="AT120" s="4"/>
      <c r="AU120" s="4"/>
      <c r="AV120" s="4"/>
      <c r="AW120" s="4"/>
      <c r="AX120" s="4"/>
      <c r="AY120" s="4"/>
      <c r="AZ120" s="4"/>
      <c r="BA120" s="4"/>
      <c r="BB120" s="4"/>
      <c r="BC120" s="4"/>
      <c r="BD120" s="4"/>
      <c r="BE120" s="4"/>
      <c r="BF120" s="4"/>
      <c r="BG120" s="4"/>
      <c r="BH120" s="4"/>
      <c r="BI120" s="4"/>
      <c r="BJ120" s="4"/>
      <c r="BK120" s="4"/>
      <c r="BL120" s="4"/>
      <c r="BM120" s="4"/>
      <c r="BN120" s="4"/>
    </row>
    <row r="121" ht="13.5" customHeight="1" spans="1:66" x14ac:dyDescent="0.25">
      <c r="A121" s="4"/>
      <c r="B121" s="4"/>
      <c r="C121" s="47"/>
      <c r="S121" s="16"/>
      <c r="T121" s="16"/>
      <c r="U121" s="16"/>
      <c r="V121" s="16"/>
      <c r="W121" s="16"/>
      <c r="X121" s="16"/>
      <c r="Y121" s="16"/>
      <c r="Z121" s="4"/>
      <c r="AA121" s="4"/>
      <c r="AB121" s="4"/>
      <c r="AC121" s="4"/>
      <c r="AD121" s="4"/>
      <c r="AE121" s="4"/>
      <c r="AF121" s="4"/>
      <c r="AG121" s="4"/>
      <c r="AH121" s="4"/>
      <c r="AI121" s="4"/>
      <c r="AJ121" s="4"/>
      <c r="AK121" s="4"/>
      <c r="AL121" s="4"/>
      <c r="AM121" s="4"/>
      <c r="AN121" s="4"/>
      <c r="AO121" s="4"/>
      <c r="AP121" s="4"/>
      <c r="AQ121" s="4"/>
      <c r="AR121" s="4"/>
      <c r="AS121" s="4"/>
      <c r="AT121" s="4"/>
      <c r="AU121" s="4"/>
      <c r="AV121" s="4"/>
      <c r="AW121" s="4"/>
      <c r="AX121" s="4"/>
      <c r="AY121" s="4"/>
      <c r="AZ121" s="4"/>
      <c r="BA121" s="4"/>
      <c r="BB121" s="4"/>
      <c r="BC121" s="4"/>
      <c r="BD121" s="4"/>
      <c r="BE121" s="4"/>
      <c r="BF121" s="4"/>
      <c r="BG121" s="4"/>
      <c r="BH121" s="4"/>
      <c r="BI121" s="4"/>
      <c r="BJ121" s="4"/>
      <c r="BK121" s="4"/>
      <c r="BL121" s="4"/>
      <c r="BM121" s="4"/>
      <c r="BN121" s="4"/>
    </row>
    <row r="122" ht="13.5" customHeight="1" spans="1:66" x14ac:dyDescent="0.25">
      <c r="A122" s="4"/>
      <c r="B122" s="4"/>
      <c r="C122" s="47"/>
      <c r="S122" s="16"/>
      <c r="T122" s="16"/>
      <c r="U122" s="16"/>
      <c r="V122" s="16"/>
      <c r="W122" s="16"/>
      <c r="X122" s="16"/>
      <c r="Y122" s="16"/>
      <c r="Z122" s="4"/>
      <c r="AA122" s="4"/>
      <c r="AB122" s="4"/>
      <c r="AC122" s="4"/>
      <c r="AD122" s="4"/>
      <c r="AE122" s="4"/>
      <c r="AF122" s="4"/>
      <c r="AG122" s="4"/>
      <c r="AH122" s="4"/>
      <c r="AI122" s="4"/>
      <c r="AJ122" s="4"/>
      <c r="AK122" s="4"/>
      <c r="AL122" s="4"/>
      <c r="AM122" s="4"/>
      <c r="AN122" s="4"/>
      <c r="AO122" s="4"/>
      <c r="AP122" s="4"/>
      <c r="AQ122" s="4"/>
      <c r="AR122" s="4"/>
      <c r="AS122" s="4"/>
      <c r="AT122" s="4"/>
      <c r="AU122" s="4"/>
      <c r="AV122" s="4"/>
      <c r="AW122" s="4"/>
      <c r="AX122" s="4"/>
      <c r="AY122" s="4"/>
      <c r="AZ122" s="4"/>
      <c r="BA122" s="4"/>
      <c r="BB122" s="4"/>
      <c r="BC122" s="4"/>
      <c r="BD122" s="4"/>
      <c r="BE122" s="4"/>
      <c r="BF122" s="4"/>
      <c r="BG122" s="4"/>
      <c r="BH122" s="4"/>
      <c r="BI122" s="4"/>
      <c r="BJ122" s="4"/>
      <c r="BK122" s="4"/>
      <c r="BL122" s="4"/>
      <c r="BM122" s="4"/>
      <c r="BN122" s="4"/>
    </row>
    <row r="123" ht="13.5" customHeight="1" spans="1:66" x14ac:dyDescent="0.25">
      <c r="A123" s="4"/>
      <c r="B123" s="4"/>
      <c r="C123" s="47"/>
      <c r="S123" s="16"/>
      <c r="T123" s="16"/>
      <c r="U123" s="16"/>
      <c r="V123" s="16"/>
      <c r="W123" s="16"/>
      <c r="X123" s="16"/>
      <c r="Y123" s="16"/>
      <c r="Z123" s="4"/>
      <c r="AA123" s="4"/>
      <c r="AB123" s="4"/>
      <c r="AC123" s="4"/>
      <c r="AD123" s="4"/>
      <c r="AE123" s="4"/>
      <c r="AF123" s="4"/>
      <c r="AG123" s="4"/>
      <c r="AH123" s="4"/>
      <c r="AI123" s="4"/>
      <c r="AJ123" s="4"/>
      <c r="AK123" s="4"/>
      <c r="AL123" s="4"/>
      <c r="AM123" s="4"/>
      <c r="AN123" s="4"/>
      <c r="AO123" s="4"/>
      <c r="AP123" s="4"/>
      <c r="AQ123" s="4"/>
      <c r="AR123" s="4"/>
      <c r="AS123" s="4"/>
      <c r="AT123" s="4"/>
      <c r="AU123" s="4"/>
      <c r="AV123" s="4"/>
      <c r="AW123" s="4"/>
      <c r="AX123" s="4"/>
      <c r="AY123" s="4"/>
      <c r="AZ123" s="4"/>
      <c r="BA123" s="4"/>
      <c r="BB123" s="4"/>
      <c r="BC123" s="4"/>
      <c r="BD123" s="4"/>
      <c r="BE123" s="4"/>
      <c r="BF123" s="4"/>
      <c r="BG123" s="4"/>
      <c r="BH123" s="4"/>
      <c r="BI123" s="4"/>
      <c r="BJ123" s="4"/>
      <c r="BK123" s="4"/>
      <c r="BL123" s="4"/>
      <c r="BM123" s="4"/>
      <c r="BN123" s="4"/>
    </row>
    <row r="124" ht="13.5" customHeight="1" spans="1:66" x14ac:dyDescent="0.25">
      <c r="A124" s="4"/>
      <c r="B124" s="4"/>
      <c r="C124" s="47"/>
      <c r="S124" s="16"/>
      <c r="T124" s="16"/>
      <c r="U124" s="16"/>
      <c r="V124" s="16"/>
      <c r="W124" s="16"/>
      <c r="X124" s="16"/>
      <c r="Y124" s="16"/>
      <c r="Z124" s="4"/>
      <c r="AA124" s="4"/>
      <c r="AB124" s="4"/>
      <c r="AC124" s="4"/>
      <c r="AD124" s="4"/>
      <c r="AE124" s="4"/>
      <c r="AF124" s="4"/>
      <c r="AG124" s="4"/>
      <c r="AH124" s="4"/>
      <c r="AI124" s="4"/>
      <c r="AJ124" s="4"/>
      <c r="AK124" s="4"/>
      <c r="AL124" s="4"/>
      <c r="AM124" s="4"/>
      <c r="AN124" s="4"/>
      <c r="AO124" s="4"/>
      <c r="AP124" s="4"/>
      <c r="AQ124" s="4"/>
      <c r="AR124" s="4"/>
      <c r="AS124" s="4"/>
      <c r="AT124" s="4"/>
      <c r="AU124" s="4"/>
      <c r="AV124" s="4"/>
      <c r="AW124" s="4"/>
      <c r="AX124" s="4"/>
      <c r="AY124" s="4"/>
      <c r="AZ124" s="4"/>
      <c r="BA124" s="4"/>
      <c r="BB124" s="4"/>
      <c r="BC124" s="4"/>
      <c r="BD124" s="4"/>
      <c r="BE124" s="4"/>
      <c r="BF124" s="4"/>
      <c r="BG124" s="4"/>
      <c r="BH124" s="4"/>
      <c r="BI124" s="4"/>
      <c r="BJ124" s="4"/>
      <c r="BK124" s="4"/>
      <c r="BL124" s="4"/>
      <c r="BM124" s="4"/>
      <c r="BN124" s="4"/>
    </row>
    <row r="125" ht="13.5" customHeight="1" spans="1:66" x14ac:dyDescent="0.25">
      <c r="A125" s="4"/>
      <c r="B125" s="4"/>
      <c r="C125" s="47"/>
      <c r="S125" s="16"/>
      <c r="T125" s="16"/>
      <c r="U125" s="16"/>
      <c r="V125" s="16"/>
      <c r="W125" s="16"/>
      <c r="X125" s="16"/>
      <c r="Y125" s="16"/>
      <c r="Z125" s="4"/>
      <c r="AA125" s="4"/>
      <c r="AB125" s="4"/>
      <c r="AC125" s="4"/>
      <c r="AD125" s="4"/>
      <c r="AE125" s="4"/>
      <c r="AF125" s="4"/>
      <c r="AG125" s="4"/>
      <c r="AH125" s="4"/>
      <c r="AI125" s="4"/>
      <c r="AJ125" s="4"/>
      <c r="AK125" s="4"/>
      <c r="AL125" s="4"/>
      <c r="AM125" s="4"/>
      <c r="AN125" s="4"/>
      <c r="AO125" s="4"/>
      <c r="AP125" s="4"/>
      <c r="AQ125" s="4"/>
      <c r="AR125" s="4"/>
      <c r="AS125" s="4"/>
      <c r="AT125" s="4"/>
      <c r="AU125" s="4"/>
      <c r="AV125" s="4"/>
      <c r="AW125" s="4"/>
      <c r="AX125" s="4"/>
      <c r="AY125" s="4"/>
      <c r="AZ125" s="4"/>
      <c r="BA125" s="4"/>
      <c r="BB125" s="4"/>
      <c r="BC125" s="4"/>
      <c r="BD125" s="4"/>
      <c r="BE125" s="4"/>
      <c r="BF125" s="4"/>
      <c r="BG125" s="4"/>
      <c r="BH125" s="4"/>
      <c r="BI125" s="4"/>
      <c r="BJ125" s="4"/>
      <c r="BK125" s="4"/>
      <c r="BL125" s="4"/>
      <c r="BM125" s="4"/>
      <c r="BN125" s="4"/>
    </row>
    <row r="126" ht="13.5" customHeight="1" spans="1:66" x14ac:dyDescent="0.25">
      <c r="A126" s="4"/>
      <c r="B126" s="4"/>
      <c r="C126" s="533"/>
      <c r="S126" s="4"/>
      <c r="T126" s="4"/>
      <c r="U126" s="4"/>
      <c r="V126" s="4"/>
      <c r="W126" s="4"/>
      <c r="X126" s="4"/>
      <c r="Y126" s="4"/>
      <c r="Z126" s="4"/>
      <c r="AA126" s="4"/>
      <c r="AB126" s="4"/>
      <c r="AC126" s="4"/>
      <c r="AD126" s="4"/>
      <c r="AE126" s="4"/>
      <c r="AF126" s="4"/>
      <c r="AG126" s="4"/>
      <c r="AH126" s="4"/>
      <c r="AI126" s="4"/>
      <c r="AJ126" s="4"/>
      <c r="AK126" s="4"/>
      <c r="AL126" s="4"/>
      <c r="AM126" s="4"/>
      <c r="AN126" s="4"/>
      <c r="AO126" s="4"/>
      <c r="AP126" s="4"/>
      <c r="AQ126" s="4"/>
      <c r="AR126" s="4"/>
      <c r="AS126" s="4"/>
      <c r="AT126" s="4"/>
      <c r="AU126" s="4"/>
      <c r="AV126" s="4"/>
      <c r="AW126" s="4"/>
      <c r="AX126" s="4"/>
      <c r="AY126" s="4"/>
      <c r="AZ126" s="4"/>
      <c r="BA126" s="4"/>
      <c r="BB126" s="4"/>
      <c r="BC126" s="4"/>
      <c r="BD126" s="4"/>
      <c r="BE126" s="4"/>
      <c r="BF126" s="4"/>
      <c r="BG126" s="4"/>
      <c r="BH126" s="4"/>
      <c r="BI126" s="4"/>
      <c r="BJ126" s="4"/>
      <c r="BK126" s="4"/>
      <c r="BL126" s="4"/>
      <c r="BM126" s="4"/>
      <c r="BN126" s="4"/>
    </row>
    <row r="127" ht="13.5" customHeight="1" spans="1:66" x14ac:dyDescent="0.25">
      <c r="A127" s="4"/>
      <c r="B127" s="4"/>
      <c r="C127" s="533"/>
      <c r="S127" s="4"/>
      <c r="T127" s="4"/>
      <c r="U127" s="4"/>
      <c r="V127" s="4"/>
      <c r="W127" s="4"/>
      <c r="X127" s="4"/>
      <c r="Y127" s="4"/>
      <c r="Z127" s="4"/>
      <c r="AA127" s="4"/>
      <c r="AB127" s="4"/>
      <c r="AC127" s="4"/>
      <c r="AD127" s="4"/>
      <c r="AE127" s="4"/>
      <c r="AF127" s="4"/>
      <c r="AG127" s="4"/>
      <c r="AH127" s="4"/>
      <c r="AI127" s="4"/>
      <c r="AJ127" s="4"/>
      <c r="AK127" s="4"/>
      <c r="AL127" s="4"/>
      <c r="AM127" s="4"/>
      <c r="AN127" s="4"/>
      <c r="AO127" s="4"/>
      <c r="AP127" s="4"/>
      <c r="AQ127" s="4"/>
      <c r="AR127" s="4"/>
      <c r="AS127" s="4"/>
      <c r="AT127" s="4"/>
      <c r="AU127" s="4"/>
      <c r="AV127" s="4"/>
      <c r="AW127" s="4"/>
      <c r="AX127" s="4"/>
      <c r="AY127" s="4"/>
      <c r="AZ127" s="4"/>
      <c r="BA127" s="4"/>
      <c r="BB127" s="4"/>
      <c r="BC127" s="4"/>
      <c r="BD127" s="4"/>
      <c r="BE127" s="4"/>
      <c r="BF127" s="4"/>
      <c r="BG127" s="4"/>
      <c r="BH127" s="4"/>
      <c r="BI127" s="4"/>
      <c r="BJ127" s="4"/>
      <c r="BK127" s="4"/>
      <c r="BL127" s="4"/>
      <c r="BM127" s="4"/>
      <c r="BN127" s="4"/>
    </row>
    <row r="128" ht="13.5" customHeight="1" spans="1:66" x14ac:dyDescent="0.25">
      <c r="A128" s="4"/>
      <c r="B128" s="4"/>
      <c r="C128" s="533"/>
      <c r="D128" s="4"/>
      <c r="E128" s="4"/>
      <c r="F128" s="4"/>
      <c r="G128" s="4"/>
      <c r="H128" s="4"/>
      <c r="I128" s="4"/>
      <c r="J128" s="4"/>
      <c r="K128" s="4"/>
      <c r="L128" s="4"/>
      <c r="M128" s="4"/>
      <c r="N128" s="4"/>
      <c r="O128" s="4"/>
      <c r="P128" s="4"/>
      <c r="Q128" s="4"/>
      <c r="R128" s="4"/>
      <c r="S128" s="4"/>
      <c r="T128" s="4"/>
      <c r="U128" s="4"/>
      <c r="V128" s="4"/>
      <c r="W128" s="4"/>
      <c r="X128" s="4"/>
      <c r="Y128" s="4"/>
      <c r="Z128" s="4"/>
      <c r="AA128" s="4"/>
      <c r="AB128" s="4"/>
      <c r="AC128" s="4"/>
      <c r="AD128" s="4"/>
      <c r="AE128" s="4"/>
      <c r="AF128" s="4"/>
      <c r="AG128" s="4"/>
      <c r="AH128" s="4"/>
      <c r="AI128" s="4"/>
      <c r="AJ128" s="4"/>
      <c r="AK128" s="4"/>
      <c r="AL128" s="4"/>
      <c r="AM128" s="4"/>
      <c r="AN128" s="4"/>
      <c r="AO128" s="4"/>
      <c r="AP128" s="4"/>
      <c r="AQ128" s="4"/>
      <c r="AR128" s="4"/>
      <c r="AS128" s="4"/>
      <c r="AT128" s="4"/>
      <c r="AU128" s="4"/>
      <c r="AV128" s="4"/>
      <c r="AW128" s="4"/>
      <c r="AX128" s="4"/>
      <c r="AY128" s="4"/>
      <c r="AZ128" s="4"/>
      <c r="BA128" s="4"/>
      <c r="BB128" s="4"/>
      <c r="BC128" s="4"/>
      <c r="BD128" s="4"/>
      <c r="BE128" s="4"/>
      <c r="BF128" s="4"/>
      <c r="BG128" s="4"/>
      <c r="BH128" s="4"/>
      <c r="BI128" s="4"/>
      <c r="BJ128" s="4"/>
      <c r="BK128" s="4"/>
      <c r="BL128" s="4"/>
      <c r="BM128" s="4"/>
      <c r="BN128" s="4"/>
    </row>
    <row r="129" ht="13.5" customHeight="1" spans="1:66" x14ac:dyDescent="0.25">
      <c r="A129" s="4"/>
      <c r="B129" s="4"/>
      <c r="C129" s="533"/>
      <c r="D129" s="4"/>
      <c r="E129" s="4"/>
      <c r="F129" s="4"/>
      <c r="G129" s="4"/>
      <c r="H129" s="4"/>
      <c r="I129" s="4"/>
      <c r="J129" s="4"/>
      <c r="K129" s="4"/>
      <c r="L129" s="4"/>
      <c r="M129" s="4"/>
      <c r="N129" s="4"/>
      <c r="O129" s="4"/>
      <c r="P129" s="4"/>
      <c r="Q129" s="4"/>
      <c r="R129" s="4"/>
      <c r="S129" s="4"/>
      <c r="T129" s="4"/>
      <c r="U129" s="4"/>
      <c r="V129" s="4"/>
      <c r="W129" s="4"/>
      <c r="X129" s="4"/>
      <c r="Y129" s="4"/>
      <c r="Z129" s="4"/>
      <c r="AA129" s="4"/>
      <c r="AB129" s="4"/>
      <c r="AC129" s="4"/>
      <c r="AD129" s="4"/>
      <c r="AE129" s="4"/>
      <c r="AF129" s="4"/>
      <c r="AG129" s="4"/>
      <c r="AH129" s="4"/>
      <c r="AI129" s="4"/>
      <c r="AJ129" s="4"/>
      <c r="AK129" s="4"/>
      <c r="AL129" s="4"/>
      <c r="AM129" s="4"/>
      <c r="AN129" s="4"/>
      <c r="AO129" s="4"/>
      <c r="AP129" s="4"/>
      <c r="AQ129" s="4"/>
      <c r="AR129" s="4"/>
      <c r="AS129" s="4"/>
      <c r="AT129" s="4"/>
      <c r="AU129" s="4"/>
      <c r="AV129" s="4"/>
      <c r="AW129" s="4"/>
      <c r="AX129" s="4"/>
      <c r="AY129" s="4"/>
      <c r="AZ129" s="4"/>
      <c r="BA129" s="4"/>
      <c r="BB129" s="4"/>
      <c r="BC129" s="4"/>
      <c r="BD129" s="4"/>
      <c r="BE129" s="4"/>
      <c r="BF129" s="4"/>
      <c r="BG129" s="4"/>
      <c r="BH129" s="4"/>
      <c r="BI129" s="4"/>
      <c r="BJ129" s="4"/>
      <c r="BK129" s="4"/>
      <c r="BL129" s="4"/>
      <c r="BM129" s="4"/>
      <c r="BN129" s="4"/>
    </row>
    <row r="130" ht="13.5" customHeight="1" spans="1:66" x14ac:dyDescent="0.25">
      <c r="A130" s="4"/>
      <c r="B130" s="4"/>
      <c r="C130" s="533"/>
      <c r="D130" s="4"/>
      <c r="E130" s="4"/>
      <c r="F130" s="4"/>
      <c r="G130" s="4"/>
      <c r="H130" s="4"/>
      <c r="I130" s="4"/>
      <c r="J130" s="4"/>
      <c r="K130" s="4"/>
      <c r="L130" s="4"/>
      <c r="M130" s="4"/>
      <c r="N130" s="4"/>
      <c r="O130" s="4"/>
      <c r="P130" s="4"/>
      <c r="Q130" s="4"/>
      <c r="R130" s="4"/>
      <c r="S130" s="4"/>
      <c r="T130" s="4"/>
      <c r="U130" s="4"/>
      <c r="V130" s="4"/>
      <c r="W130" s="4"/>
      <c r="X130" s="4"/>
      <c r="Y130" s="4"/>
      <c r="Z130" s="4"/>
      <c r="AA130" s="4"/>
      <c r="AB130" s="4"/>
      <c r="AC130" s="4"/>
      <c r="AD130" s="4"/>
      <c r="AE130" s="4"/>
      <c r="AF130" s="4"/>
      <c r="AG130" s="4"/>
      <c r="AH130" s="4"/>
      <c r="AI130" s="4"/>
      <c r="AJ130" s="4"/>
      <c r="AK130" s="4"/>
      <c r="AL130" s="4"/>
      <c r="AM130" s="4"/>
      <c r="AN130" s="4"/>
      <c r="AO130" s="4"/>
      <c r="AP130" s="4"/>
      <c r="AQ130" s="4"/>
      <c r="AR130" s="4"/>
      <c r="AS130" s="4"/>
      <c r="AT130" s="4"/>
      <c r="AU130" s="4"/>
      <c r="AV130" s="4"/>
      <c r="AW130" s="4"/>
      <c r="AX130" s="4"/>
      <c r="AY130" s="4"/>
      <c r="AZ130" s="4"/>
      <c r="BA130" s="4"/>
      <c r="BB130" s="4"/>
      <c r="BC130" s="4"/>
      <c r="BD130" s="4"/>
      <c r="BE130" s="4"/>
      <c r="BF130" s="4"/>
      <c r="BG130" s="4"/>
      <c r="BH130" s="4"/>
      <c r="BI130" s="4"/>
      <c r="BJ130" s="4"/>
      <c r="BK130" s="4"/>
      <c r="BL130" s="4"/>
      <c r="BM130" s="4"/>
      <c r="BN130" s="4"/>
    </row>
    <row r="131" ht="13.5" customHeight="1" spans="1:66" x14ac:dyDescent="0.25">
      <c r="A131" s="4"/>
      <c r="B131" s="4"/>
      <c r="C131" s="533"/>
      <c r="D131" s="4"/>
      <c r="E131" s="4"/>
      <c r="F131" s="4"/>
      <c r="G131" s="4"/>
      <c r="H131" s="4"/>
      <c r="I131" s="4"/>
      <c r="J131" s="4"/>
      <c r="K131" s="4"/>
      <c r="L131" s="4"/>
      <c r="M131" s="4"/>
      <c r="N131" s="4"/>
      <c r="O131" s="4"/>
      <c r="P131" s="4"/>
      <c r="Q131" s="4"/>
      <c r="R131" s="4"/>
      <c r="S131" s="4"/>
      <c r="T131" s="4"/>
      <c r="U131" s="4"/>
      <c r="V131" s="4"/>
      <c r="W131" s="4"/>
      <c r="X131" s="4"/>
      <c r="Y131" s="4"/>
      <c r="Z131" s="4"/>
      <c r="AA131" s="4"/>
      <c r="AB131" s="4"/>
      <c r="AC131" s="4"/>
      <c r="AD131" s="4"/>
      <c r="AE131" s="4"/>
      <c r="AF131" s="4"/>
      <c r="AG131" s="4"/>
      <c r="AH131" s="4"/>
      <c r="AI131" s="4"/>
      <c r="AJ131" s="4"/>
      <c r="AK131" s="4"/>
      <c r="AL131" s="4"/>
      <c r="AM131" s="4"/>
      <c r="AN131" s="4"/>
      <c r="AO131" s="4"/>
      <c r="AP131" s="4"/>
      <c r="AQ131" s="4"/>
      <c r="AR131" s="4"/>
      <c r="AS131" s="4"/>
      <c r="AT131" s="4"/>
      <c r="AU131" s="4"/>
      <c r="AV131" s="4"/>
      <c r="AW131" s="4"/>
      <c r="AX131" s="4"/>
      <c r="AY131" s="4"/>
      <c r="AZ131" s="4"/>
      <c r="BA131" s="4"/>
      <c r="BB131" s="4"/>
      <c r="BC131" s="4"/>
      <c r="BD131" s="4"/>
      <c r="BE131" s="4"/>
      <c r="BF131" s="4"/>
      <c r="BG131" s="4"/>
      <c r="BH131" s="4"/>
      <c r="BI131" s="4"/>
      <c r="BJ131" s="4"/>
      <c r="BK131" s="4"/>
      <c r="BL131" s="4"/>
      <c r="BM131" s="4"/>
      <c r="BN131" s="4"/>
    </row>
    <row r="132" ht="13.5" customHeight="1" spans="1:66" x14ac:dyDescent="0.25">
      <c r="A132" s="4"/>
      <c r="B132" s="4"/>
      <c r="C132" s="533"/>
      <c r="D132" s="4"/>
      <c r="E132" s="4"/>
      <c r="F132" s="4"/>
      <c r="G132" s="4"/>
      <c r="H132" s="4"/>
      <c r="I132" s="4"/>
      <c r="J132" s="4"/>
      <c r="K132" s="4"/>
      <c r="L132" s="4"/>
      <c r="M132" s="4"/>
      <c r="N132" s="4"/>
      <c r="O132" s="4"/>
      <c r="P132" s="4"/>
      <c r="Q132" s="4"/>
      <c r="R132" s="4"/>
      <c r="S132" s="4"/>
      <c r="T132" s="4"/>
      <c r="U132" s="4"/>
      <c r="V132" s="4"/>
      <c r="W132" s="4"/>
      <c r="X132" s="4"/>
      <c r="Y132" s="4"/>
      <c r="Z132" s="4"/>
      <c r="AA132" s="4"/>
      <c r="AB132" s="4"/>
      <c r="AC132" s="4"/>
      <c r="AD132" s="4"/>
      <c r="AE132" s="4"/>
      <c r="AF132" s="4"/>
      <c r="AG132" s="4"/>
      <c r="AH132" s="4"/>
      <c r="AI132" s="4"/>
      <c r="AJ132" s="4"/>
      <c r="AK132" s="4"/>
      <c r="AL132" s="4"/>
      <c r="AM132" s="4"/>
      <c r="AN132" s="4"/>
      <c r="AO132" s="4"/>
      <c r="AP132" s="4"/>
      <c r="AQ132" s="4"/>
      <c r="AR132" s="4"/>
      <c r="AS132" s="4"/>
      <c r="AT132" s="4"/>
      <c r="AU132" s="4"/>
      <c r="AV132" s="4"/>
      <c r="AW132" s="4"/>
      <c r="AX132" s="4"/>
      <c r="AY132" s="4"/>
      <c r="AZ132" s="4"/>
      <c r="BA132" s="4"/>
      <c r="BB132" s="4"/>
      <c r="BC132" s="4"/>
      <c r="BD132" s="4"/>
      <c r="BE132" s="4"/>
      <c r="BF132" s="4"/>
      <c r="BG132" s="4"/>
      <c r="BH132" s="4"/>
      <c r="BI132" s="4"/>
      <c r="BJ132" s="4"/>
      <c r="BK132" s="4"/>
      <c r="BL132" s="4"/>
      <c r="BM132" s="4"/>
      <c r="BN132" s="4"/>
    </row>
    <row r="133" ht="13.5" customHeight="1" spans="1:66" x14ac:dyDescent="0.25">
      <c r="A133" s="4"/>
      <c r="B133" s="4"/>
      <c r="C133" s="533"/>
      <c r="D133" s="4"/>
      <c r="E133" s="4"/>
      <c r="F133" s="4"/>
      <c r="G133" s="4"/>
      <c r="H133" s="4"/>
      <c r="I133" s="4"/>
      <c r="J133" s="4"/>
      <c r="K133" s="4"/>
      <c r="L133" s="4"/>
      <c r="M133" s="4"/>
      <c r="N133" s="4"/>
      <c r="O133" s="4"/>
      <c r="P133" s="4"/>
      <c r="Q133" s="4"/>
      <c r="R133" s="4"/>
      <c r="S133" s="4"/>
      <c r="T133" s="4"/>
      <c r="U133" s="4"/>
      <c r="V133" s="4"/>
      <c r="W133" s="4"/>
      <c r="X133" s="4"/>
      <c r="Y133" s="4"/>
      <c r="Z133" s="4"/>
      <c r="AA133" s="4"/>
      <c r="AB133" s="4"/>
      <c r="AC133" s="4"/>
      <c r="AD133" s="4"/>
      <c r="AE133" s="4"/>
      <c r="AF133" s="4"/>
      <c r="AG133" s="4"/>
      <c r="AH133" s="4"/>
      <c r="AI133" s="4"/>
      <c r="AJ133" s="4"/>
      <c r="AK133" s="4"/>
      <c r="AL133" s="4"/>
      <c r="AM133" s="4"/>
      <c r="AN133" s="4"/>
      <c r="AO133" s="4"/>
      <c r="AP133" s="4"/>
      <c r="AQ133" s="4"/>
      <c r="AR133" s="4"/>
      <c r="AS133" s="4"/>
      <c r="AT133" s="4"/>
      <c r="AU133" s="4"/>
      <c r="AV133" s="4"/>
      <c r="AW133" s="4"/>
      <c r="AX133" s="4"/>
      <c r="AY133" s="4"/>
      <c r="AZ133" s="4"/>
      <c r="BA133" s="4"/>
      <c r="BB133" s="4"/>
      <c r="BC133" s="4"/>
      <c r="BD133" s="4"/>
      <c r="BE133" s="4"/>
      <c r="BF133" s="4"/>
      <c r="BG133" s="4"/>
      <c r="BH133" s="4"/>
      <c r="BI133" s="4"/>
      <c r="BJ133" s="4"/>
      <c r="BK133" s="4"/>
      <c r="BL133" s="4"/>
      <c r="BM133" s="4"/>
      <c r="BN133" s="4"/>
    </row>
    <row r="134" ht="13.5" customHeight="1" spans="1:66" x14ac:dyDescent="0.25">
      <c r="A134" s="4"/>
      <c r="B134" s="4"/>
      <c r="C134" s="533"/>
      <c r="D134" s="4"/>
      <c r="E134" s="4"/>
      <c r="F134" s="4"/>
      <c r="G134" s="4"/>
      <c r="H134" s="4"/>
      <c r="I134" s="4"/>
      <c r="J134" s="4"/>
      <c r="K134" s="4"/>
      <c r="L134" s="4"/>
      <c r="M134" s="4"/>
      <c r="N134" s="4"/>
      <c r="O134" s="4"/>
      <c r="P134" s="4"/>
      <c r="Q134" s="4"/>
      <c r="R134" s="4"/>
      <c r="S134" s="4"/>
      <c r="T134" s="4"/>
      <c r="U134" s="4"/>
      <c r="V134" s="4"/>
      <c r="W134" s="4"/>
      <c r="X134" s="4"/>
      <c r="Y134" s="4"/>
      <c r="Z134" s="4"/>
      <c r="AA134" s="4"/>
      <c r="AB134" s="4"/>
      <c r="AC134" s="4"/>
      <c r="AD134" s="4"/>
      <c r="AE134" s="4"/>
      <c r="AF134" s="4"/>
      <c r="AG134" s="4"/>
      <c r="AH134" s="4"/>
      <c r="AI134" s="4"/>
      <c r="AJ134" s="4"/>
      <c r="AK134" s="4"/>
      <c r="AL134" s="4"/>
      <c r="AM134" s="4"/>
      <c r="AN134" s="4"/>
      <c r="AO134" s="4"/>
      <c r="AP134" s="4"/>
      <c r="AQ134" s="4"/>
      <c r="AR134" s="4"/>
      <c r="AS134" s="4"/>
      <c r="AT134" s="4"/>
      <c r="AU134" s="4"/>
      <c r="AV134" s="4"/>
      <c r="AW134" s="4"/>
      <c r="AX134" s="4"/>
      <c r="AY134" s="4"/>
      <c r="AZ134" s="4"/>
      <c r="BA134" s="4"/>
      <c r="BB134" s="4"/>
      <c r="BC134" s="4"/>
      <c r="BD134" s="4"/>
      <c r="BE134" s="4"/>
      <c r="BF134" s="4"/>
      <c r="BG134" s="4"/>
      <c r="BH134" s="4"/>
      <c r="BI134" s="4"/>
      <c r="BJ134" s="4"/>
      <c r="BK134" s="4"/>
      <c r="BL134" s="4"/>
      <c r="BM134" s="4"/>
      <c r="BN134" s="4"/>
    </row>
    <row r="135" ht="13.5" customHeight="1" spans="1:66" x14ac:dyDescent="0.25">
      <c r="A135" s="4"/>
      <c r="B135" s="4"/>
      <c r="C135" s="533"/>
      <c r="D135" s="4"/>
      <c r="E135" s="4"/>
      <c r="F135" s="4"/>
      <c r="G135" s="4"/>
      <c r="H135" s="4"/>
      <c r="I135" s="4"/>
      <c r="J135" s="4"/>
      <c r="K135" s="4"/>
      <c r="L135" s="4"/>
      <c r="M135" s="4"/>
      <c r="N135" s="4"/>
      <c r="O135" s="4"/>
      <c r="P135" s="4"/>
      <c r="Q135" s="4"/>
      <c r="R135" s="4"/>
      <c r="S135" s="4"/>
      <c r="T135" s="4"/>
      <c r="U135" s="4"/>
      <c r="V135" s="4"/>
      <c r="W135" s="4"/>
      <c r="X135" s="4"/>
      <c r="Y135" s="4"/>
      <c r="Z135" s="4"/>
      <c r="AA135" s="4"/>
      <c r="AB135" s="4"/>
      <c r="AC135" s="4"/>
      <c r="AD135" s="4"/>
      <c r="AE135" s="4"/>
      <c r="AF135" s="4"/>
      <c r="AG135" s="4"/>
      <c r="AH135" s="4"/>
      <c r="AI135" s="4"/>
      <c r="AJ135" s="4"/>
      <c r="AK135" s="4"/>
      <c r="AL135" s="4"/>
      <c r="AM135" s="4"/>
      <c r="AN135" s="4"/>
      <c r="AO135" s="4"/>
      <c r="AP135" s="4"/>
      <c r="AQ135" s="4"/>
      <c r="AR135" s="4"/>
      <c r="AS135" s="4"/>
      <c r="AT135" s="4"/>
      <c r="AU135" s="4"/>
      <c r="AV135" s="4"/>
      <c r="AW135" s="4"/>
      <c r="AX135" s="4"/>
      <c r="AY135" s="4"/>
      <c r="AZ135" s="4"/>
      <c r="BA135" s="4"/>
      <c r="BB135" s="4"/>
      <c r="BC135" s="4"/>
      <c r="BD135" s="4"/>
      <c r="BE135" s="4"/>
      <c r="BF135" s="4"/>
      <c r="BG135" s="4"/>
      <c r="BH135" s="4"/>
      <c r="BI135" s="4"/>
      <c r="BJ135" s="4"/>
      <c r="BK135" s="4"/>
      <c r="BL135" s="4"/>
      <c r="BM135" s="4"/>
      <c r="BN135" s="4"/>
    </row>
    <row r="136" ht="13.5" customHeight="1" spans="1:66" x14ac:dyDescent="0.25">
      <c r="A136" s="4"/>
      <c r="B136" s="4"/>
      <c r="C136" s="533"/>
      <c r="D136" s="4"/>
      <c r="E136" s="4"/>
      <c r="F136" s="4"/>
      <c r="G136" s="4"/>
      <c r="H136" s="4"/>
      <c r="I136" s="4"/>
      <c r="J136" s="4"/>
      <c r="K136" s="4"/>
      <c r="L136" s="4"/>
      <c r="M136" s="4"/>
      <c r="N136" s="4"/>
      <c r="O136" s="4"/>
      <c r="P136" s="4"/>
      <c r="Q136" s="4"/>
      <c r="R136" s="4"/>
      <c r="S136" s="4"/>
      <c r="T136" s="4"/>
      <c r="U136" s="4"/>
      <c r="V136" s="4"/>
      <c r="W136" s="4"/>
      <c r="X136" s="4"/>
      <c r="Y136" s="4"/>
      <c r="Z136" s="4"/>
      <c r="AA136" s="4"/>
      <c r="AB136" s="4"/>
      <c r="AC136" s="4"/>
      <c r="AD136" s="4"/>
      <c r="AE136" s="4"/>
      <c r="AF136" s="4"/>
      <c r="AG136" s="4"/>
      <c r="AH136" s="4"/>
      <c r="AI136" s="4"/>
      <c r="AJ136" s="4"/>
      <c r="AK136" s="4"/>
      <c r="AL136" s="4"/>
      <c r="AM136" s="4"/>
      <c r="AN136" s="4"/>
      <c r="AO136" s="4"/>
      <c r="AP136" s="4"/>
      <c r="AQ136" s="4"/>
      <c r="AR136" s="4"/>
      <c r="AS136" s="4"/>
      <c r="AT136" s="4"/>
      <c r="AU136" s="4"/>
      <c r="AV136" s="4"/>
      <c r="AW136" s="4"/>
      <c r="AX136" s="4"/>
      <c r="AY136" s="4"/>
      <c r="AZ136" s="4"/>
      <c r="BA136" s="4"/>
      <c r="BB136" s="4"/>
      <c r="BC136" s="4"/>
      <c r="BD136" s="4"/>
      <c r="BE136" s="4"/>
      <c r="BF136" s="4"/>
      <c r="BG136" s="4"/>
      <c r="BH136" s="4"/>
      <c r="BI136" s="4"/>
      <c r="BJ136" s="4"/>
      <c r="BK136" s="4"/>
      <c r="BL136" s="4"/>
      <c r="BM136" s="4"/>
      <c r="BN136" s="4"/>
    </row>
    <row r="137" ht="13.5" customHeight="1" spans="1:66" x14ac:dyDescent="0.25">
      <c r="A137" s="4"/>
      <c r="B137" s="4"/>
      <c r="C137" s="533"/>
      <c r="D137" s="4"/>
      <c r="E137" s="4"/>
      <c r="F137" s="4"/>
      <c r="G137" s="4"/>
      <c r="H137" s="4"/>
      <c r="I137" s="4"/>
      <c r="J137" s="4"/>
      <c r="K137" s="4"/>
      <c r="L137" s="4"/>
      <c r="M137" s="4"/>
      <c r="N137" s="4"/>
      <c r="O137" s="4"/>
      <c r="P137" s="4"/>
      <c r="Q137" s="4"/>
      <c r="R137" s="4"/>
      <c r="S137" s="4"/>
      <c r="T137" s="4"/>
      <c r="U137" s="4"/>
      <c r="V137" s="4"/>
      <c r="W137" s="4"/>
      <c r="X137" s="4"/>
      <c r="Y137" s="4"/>
      <c r="Z137" s="4"/>
      <c r="AA137" s="4"/>
      <c r="AB137" s="4"/>
      <c r="AC137" s="4"/>
      <c r="AD137" s="4"/>
      <c r="AE137" s="4"/>
      <c r="AF137" s="4"/>
      <c r="AG137" s="4"/>
      <c r="AH137" s="4"/>
      <c r="AI137" s="4"/>
      <c r="AJ137" s="4"/>
      <c r="AK137" s="4"/>
      <c r="AL137" s="4"/>
      <c r="AM137" s="4"/>
      <c r="AN137" s="4"/>
      <c r="AO137" s="4"/>
      <c r="AP137" s="4"/>
      <c r="AQ137" s="4"/>
      <c r="AR137" s="4"/>
      <c r="AS137" s="4"/>
      <c r="AT137" s="4"/>
      <c r="AU137" s="4"/>
      <c r="AV137" s="4"/>
      <c r="AW137" s="4"/>
      <c r="AX137" s="4"/>
      <c r="AY137" s="4"/>
      <c r="AZ137" s="4"/>
      <c r="BA137" s="4"/>
      <c r="BB137" s="4"/>
      <c r="BC137" s="4"/>
      <c r="BD137" s="4"/>
      <c r="BE137" s="4"/>
      <c r="BF137" s="4"/>
      <c r="BG137" s="4"/>
      <c r="BH137" s="4"/>
      <c r="BI137" s="4"/>
      <c r="BJ137" s="4"/>
      <c r="BK137" s="4"/>
      <c r="BL137" s="4"/>
      <c r="BM137" s="4"/>
      <c r="BN137" s="4"/>
    </row>
    <row r="138" ht="13.5" customHeight="1" spans="1:66" x14ac:dyDescent="0.25">
      <c r="A138" s="4"/>
      <c r="B138" s="4"/>
      <c r="C138" s="533"/>
      <c r="D138" s="4"/>
      <c r="E138" s="4"/>
      <c r="F138" s="4"/>
      <c r="G138" s="4"/>
      <c r="H138" s="4"/>
      <c r="I138" s="4"/>
      <c r="J138" s="4"/>
      <c r="K138" s="4"/>
      <c r="L138" s="4"/>
      <c r="M138" s="4"/>
      <c r="N138" s="4"/>
      <c r="O138" s="4"/>
      <c r="P138" s="4"/>
      <c r="Q138" s="4"/>
      <c r="R138" s="4"/>
      <c r="S138" s="4"/>
      <c r="T138" s="4"/>
      <c r="U138" s="4"/>
      <c r="V138" s="4"/>
      <c r="W138" s="4"/>
      <c r="X138" s="4"/>
      <c r="Y138" s="4"/>
      <c r="Z138" s="4"/>
      <c r="AA138" s="4"/>
      <c r="AB138" s="4"/>
      <c r="AC138" s="4"/>
      <c r="AD138" s="4"/>
      <c r="AE138" s="4"/>
      <c r="AF138" s="4"/>
      <c r="AG138" s="4"/>
      <c r="AH138" s="4"/>
      <c r="AI138" s="4"/>
      <c r="AJ138" s="4"/>
      <c r="AK138" s="4"/>
      <c r="AL138" s="4"/>
      <c r="AM138" s="4"/>
      <c r="AN138" s="4"/>
      <c r="AO138" s="4"/>
      <c r="AP138" s="4"/>
      <c r="AQ138" s="4"/>
      <c r="AR138" s="4"/>
      <c r="AS138" s="4"/>
      <c r="AT138" s="4"/>
      <c r="AU138" s="4"/>
      <c r="AV138" s="4"/>
      <c r="AW138" s="4"/>
      <c r="AX138" s="4"/>
      <c r="AY138" s="4"/>
      <c r="AZ138" s="4"/>
      <c r="BA138" s="4"/>
      <c r="BB138" s="4"/>
      <c r="BC138" s="4"/>
      <c r="BD138" s="4"/>
      <c r="BE138" s="4"/>
      <c r="BF138" s="4"/>
      <c r="BG138" s="4"/>
      <c r="BH138" s="4"/>
      <c r="BI138" s="4"/>
      <c r="BJ138" s="4"/>
      <c r="BK138" s="4"/>
      <c r="BL138" s="4"/>
      <c r="BM138" s="4"/>
      <c r="BN138" s="4"/>
    </row>
    <row r="139" ht="13.5" customHeight="1" spans="1:66" x14ac:dyDescent="0.25">
      <c r="A139" s="4"/>
      <c r="B139" s="4"/>
      <c r="C139" s="533"/>
      <c r="D139" s="4"/>
      <c r="E139" s="4"/>
      <c r="F139" s="4"/>
      <c r="G139" s="4"/>
      <c r="H139" s="4"/>
      <c r="I139" s="4"/>
      <c r="J139" s="4"/>
      <c r="K139" s="4"/>
      <c r="L139" s="4"/>
      <c r="M139" s="4"/>
      <c r="N139" s="4"/>
      <c r="O139" s="4"/>
      <c r="P139" s="4"/>
      <c r="Q139" s="4"/>
      <c r="R139" s="4"/>
      <c r="S139" s="4"/>
      <c r="T139" s="4"/>
      <c r="U139" s="4"/>
      <c r="V139" s="4"/>
      <c r="W139" s="4"/>
      <c r="X139" s="4"/>
      <c r="Y139" s="4"/>
      <c r="Z139" s="4"/>
      <c r="AA139" s="4"/>
      <c r="AB139" s="4"/>
      <c r="AC139" s="4"/>
      <c r="AD139" s="4"/>
      <c r="AE139" s="4"/>
      <c r="AF139" s="4"/>
      <c r="AG139" s="4"/>
      <c r="AH139" s="4"/>
      <c r="AI139" s="4"/>
      <c r="AJ139" s="4"/>
      <c r="AK139" s="4"/>
      <c r="AL139" s="4"/>
      <c r="AM139" s="4"/>
      <c r="AN139" s="4"/>
      <c r="AO139" s="4"/>
      <c r="AP139" s="4"/>
      <c r="AQ139" s="4"/>
      <c r="AR139" s="4"/>
      <c r="AS139" s="4"/>
      <c r="AT139" s="4"/>
      <c r="AU139" s="4"/>
      <c r="AV139" s="4"/>
      <c r="AW139" s="4"/>
      <c r="AX139" s="4"/>
      <c r="AY139" s="4"/>
      <c r="AZ139" s="4"/>
      <c r="BA139" s="4"/>
      <c r="BB139" s="4"/>
      <c r="BC139" s="4"/>
      <c r="BD139" s="4"/>
      <c r="BE139" s="4"/>
      <c r="BF139" s="4"/>
      <c r="BG139" s="4"/>
      <c r="BH139" s="4"/>
      <c r="BI139" s="4"/>
      <c r="BJ139" s="4"/>
      <c r="BK139" s="4"/>
      <c r="BL139" s="4"/>
      <c r="BM139" s="4"/>
      <c r="BN139" s="4"/>
    </row>
    <row r="140" ht="13.5" customHeight="1" spans="1:66" x14ac:dyDescent="0.25">
      <c r="A140" s="4"/>
      <c r="B140" s="4"/>
      <c r="C140" s="533"/>
      <c r="D140" s="4"/>
      <c r="E140" s="4"/>
      <c r="F140" s="4"/>
      <c r="G140" s="4"/>
      <c r="H140" s="4"/>
      <c r="I140" s="4"/>
      <c r="J140" s="4"/>
      <c r="K140" s="4"/>
      <c r="L140" s="4"/>
      <c r="M140" s="4"/>
      <c r="N140" s="4"/>
      <c r="O140" s="4"/>
      <c r="P140" s="4"/>
      <c r="Q140" s="4"/>
      <c r="R140" s="4"/>
      <c r="S140" s="4"/>
      <c r="T140" s="4"/>
      <c r="U140" s="4"/>
      <c r="V140" s="4"/>
      <c r="W140" s="4"/>
      <c r="X140" s="4"/>
      <c r="Y140" s="4"/>
      <c r="Z140" s="4"/>
      <c r="AA140" s="4"/>
      <c r="AB140" s="4"/>
      <c r="AC140" s="4"/>
      <c r="AD140" s="4"/>
      <c r="AE140" s="4"/>
      <c r="AF140" s="4"/>
      <c r="AG140" s="4"/>
      <c r="AH140" s="4"/>
      <c r="AI140" s="4"/>
      <c r="AJ140" s="4"/>
      <c r="AK140" s="4"/>
      <c r="AL140" s="4"/>
      <c r="AM140" s="4"/>
      <c r="AN140" s="4"/>
      <c r="AO140" s="4"/>
      <c r="AP140" s="4"/>
      <c r="AQ140" s="4"/>
      <c r="AR140" s="4"/>
      <c r="AS140" s="4"/>
      <c r="AT140" s="4"/>
      <c r="AU140" s="4"/>
      <c r="AV140" s="4"/>
      <c r="AW140" s="4"/>
      <c r="AX140" s="4"/>
      <c r="AY140" s="4"/>
      <c r="AZ140" s="4"/>
      <c r="BA140" s="4"/>
      <c r="BB140" s="4"/>
      <c r="BC140" s="4"/>
      <c r="BD140" s="4"/>
      <c r="BE140" s="4"/>
      <c r="BF140" s="4"/>
      <c r="BG140" s="4"/>
      <c r="BH140" s="4"/>
      <c r="BI140" s="4"/>
      <c r="BJ140" s="4"/>
      <c r="BK140" s="4"/>
      <c r="BL140" s="4"/>
      <c r="BM140" s="4"/>
      <c r="BN140" s="4"/>
    </row>
    <row r="141" ht="13.5" customHeight="1" spans="1:66" x14ac:dyDescent="0.25">
      <c r="A141" s="4"/>
      <c r="B141" s="4"/>
      <c r="C141" s="533"/>
      <c r="D141" s="4"/>
      <c r="E141" s="4"/>
      <c r="F141" s="4"/>
      <c r="G141" s="4"/>
      <c r="H141" s="4"/>
      <c r="I141" s="4"/>
      <c r="J141" s="4"/>
      <c r="K141" s="4"/>
      <c r="L141" s="4"/>
      <c r="M141" s="4"/>
      <c r="N141" s="4"/>
      <c r="O141" s="4"/>
      <c r="P141" s="4"/>
      <c r="Q141" s="4"/>
      <c r="R141" s="4"/>
      <c r="S141" s="4"/>
      <c r="T141" s="4"/>
      <c r="U141" s="4"/>
      <c r="V141" s="4"/>
      <c r="W141" s="4"/>
      <c r="X141" s="4"/>
      <c r="Y141" s="4"/>
      <c r="Z141" s="4"/>
      <c r="AA141" s="4"/>
      <c r="AB141" s="4"/>
      <c r="AC141" s="4"/>
      <c r="AD141" s="4"/>
      <c r="AE141" s="4"/>
      <c r="AF141" s="4"/>
      <c r="AG141" s="4"/>
      <c r="AH141" s="4"/>
      <c r="AI141" s="4"/>
      <c r="AJ141" s="4"/>
      <c r="AK141" s="4"/>
      <c r="AL141" s="4"/>
      <c r="AM141" s="4"/>
      <c r="AN141" s="4"/>
      <c r="AO141" s="4"/>
      <c r="AP141" s="4"/>
      <c r="AQ141" s="4"/>
      <c r="AR141" s="4"/>
      <c r="AS141" s="4"/>
      <c r="AT141" s="4"/>
      <c r="AU141" s="4"/>
      <c r="AV141" s="4"/>
      <c r="AW141" s="4"/>
      <c r="AX141" s="4"/>
      <c r="AY141" s="4"/>
      <c r="AZ141" s="4"/>
      <c r="BA141" s="4"/>
      <c r="BB141" s="4"/>
      <c r="BC141" s="4"/>
      <c r="BD141" s="4"/>
      <c r="BE141" s="4"/>
      <c r="BF141" s="4"/>
      <c r="BG141" s="4"/>
      <c r="BH141" s="4"/>
      <c r="BI141" s="4"/>
      <c r="BJ141" s="4"/>
      <c r="BK141" s="4"/>
      <c r="BL141" s="4"/>
      <c r="BM141" s="4"/>
      <c r="BN141" s="4"/>
    </row>
    <row r="142" ht="13.5" customHeight="1" spans="1:66" x14ac:dyDescent="0.25">
      <c r="A142" s="4"/>
      <c r="B142" s="4"/>
      <c r="C142" s="533"/>
      <c r="D142" s="4"/>
      <c r="E142" s="4"/>
      <c r="F142" s="4"/>
      <c r="G142" s="4"/>
      <c r="H142" s="4"/>
      <c r="I142" s="4"/>
      <c r="J142" s="4"/>
      <c r="K142" s="4"/>
      <c r="L142" s="4"/>
      <c r="M142" s="4"/>
      <c r="N142" s="4"/>
      <c r="O142" s="4"/>
      <c r="P142" s="4"/>
      <c r="Q142" s="4"/>
      <c r="R142" s="4"/>
      <c r="S142" s="4"/>
      <c r="T142" s="4"/>
      <c r="U142" s="4"/>
      <c r="V142" s="4"/>
      <c r="W142" s="4"/>
      <c r="X142" s="4"/>
      <c r="Y142" s="4"/>
      <c r="Z142" s="4"/>
      <c r="AA142" s="4"/>
      <c r="AB142" s="4"/>
      <c r="AC142" s="4"/>
      <c r="AD142" s="4"/>
      <c r="AE142" s="4"/>
      <c r="AF142" s="4"/>
      <c r="AG142" s="4"/>
      <c r="AH142" s="4"/>
      <c r="AI142" s="4"/>
      <c r="AJ142" s="4"/>
      <c r="AK142" s="4"/>
      <c r="AL142" s="4"/>
      <c r="AM142" s="4"/>
      <c r="AN142" s="4"/>
      <c r="AO142" s="4"/>
      <c r="AP142" s="4"/>
      <c r="AQ142" s="4"/>
      <c r="AR142" s="4"/>
      <c r="AS142" s="4"/>
      <c r="AT142" s="4"/>
      <c r="AU142" s="4"/>
      <c r="AV142" s="4"/>
      <c r="AW142" s="4"/>
      <c r="AX142" s="4"/>
      <c r="AY142" s="4"/>
      <c r="AZ142" s="4"/>
      <c r="BA142" s="4"/>
      <c r="BB142" s="4"/>
      <c r="BC142" s="4"/>
      <c r="BD142" s="4"/>
      <c r="BE142" s="4"/>
      <c r="BF142" s="4"/>
      <c r="BG142" s="4"/>
      <c r="BH142" s="4"/>
      <c r="BI142" s="4"/>
      <c r="BJ142" s="4"/>
      <c r="BK142" s="4"/>
      <c r="BL142" s="4"/>
      <c r="BM142" s="4"/>
      <c r="BN142" s="4"/>
    </row>
    <row r="143" ht="13.5" customHeight="1" spans="1:66" x14ac:dyDescent="0.25">
      <c r="A143" s="4"/>
      <c r="B143" s="4"/>
      <c r="C143" s="533"/>
      <c r="D143" s="4"/>
      <c r="E143" s="4"/>
      <c r="F143" s="4"/>
      <c r="G143" s="4"/>
      <c r="H143" s="4"/>
      <c r="I143" s="4"/>
      <c r="J143" s="4"/>
      <c r="K143" s="4"/>
      <c r="L143" s="4"/>
      <c r="M143" s="4"/>
      <c r="N143" s="4"/>
      <c r="O143" s="4"/>
      <c r="P143" s="4"/>
      <c r="Q143" s="4"/>
      <c r="R143" s="4"/>
      <c r="S143" s="4"/>
      <c r="T143" s="4"/>
      <c r="U143" s="4"/>
      <c r="V143" s="4"/>
      <c r="W143" s="4"/>
      <c r="X143" s="4"/>
      <c r="Y143" s="4"/>
      <c r="Z143" s="4"/>
      <c r="AA143" s="4"/>
      <c r="AB143" s="4"/>
      <c r="AC143" s="4"/>
      <c r="AD143" s="4"/>
      <c r="AE143" s="4"/>
      <c r="AF143" s="4"/>
      <c r="AG143" s="4"/>
      <c r="AH143" s="4"/>
      <c r="AI143" s="4"/>
      <c r="AJ143" s="4"/>
      <c r="AK143" s="4"/>
      <c r="AL143" s="4"/>
      <c r="AM143" s="4"/>
      <c r="AN143" s="4"/>
      <c r="AO143" s="4"/>
      <c r="AP143" s="4"/>
      <c r="AQ143" s="4"/>
      <c r="AR143" s="4"/>
      <c r="AS143" s="4"/>
      <c r="AT143" s="4"/>
      <c r="AU143" s="4"/>
      <c r="AV143" s="4"/>
      <c r="AW143" s="4"/>
      <c r="AX143" s="4"/>
      <c r="AY143" s="4"/>
      <c r="AZ143" s="4"/>
      <c r="BA143" s="4"/>
      <c r="BB143" s="4"/>
      <c r="BC143" s="4"/>
      <c r="BD143" s="4"/>
      <c r="BE143" s="4"/>
      <c r="BF143" s="4"/>
      <c r="BG143" s="4"/>
      <c r="BH143" s="4"/>
      <c r="BI143" s="4"/>
      <c r="BJ143" s="4"/>
      <c r="BK143" s="4"/>
      <c r="BL143" s="4"/>
      <c r="BM143" s="4"/>
      <c r="BN143" s="4"/>
    </row>
    <row r="144" ht="13.5" customHeight="1" spans="1:66" x14ac:dyDescent="0.25">
      <c r="A144" s="4"/>
      <c r="B144" s="4"/>
      <c r="C144" s="533"/>
      <c r="D144" s="4"/>
      <c r="E144" s="4"/>
      <c r="F144" s="4"/>
      <c r="G144" s="4"/>
      <c r="H144" s="4"/>
      <c r="I144" s="4"/>
      <c r="J144" s="4"/>
      <c r="K144" s="4"/>
      <c r="L144" s="4"/>
      <c r="M144" s="4"/>
      <c r="N144" s="4"/>
      <c r="O144" s="4"/>
      <c r="P144" s="4"/>
      <c r="Q144" s="4"/>
      <c r="R144" s="4"/>
      <c r="S144" s="4"/>
      <c r="T144" s="4"/>
      <c r="U144" s="4"/>
      <c r="V144" s="4"/>
      <c r="W144" s="4"/>
      <c r="X144" s="4"/>
      <c r="Y144" s="4"/>
      <c r="Z144" s="4"/>
      <c r="AA144" s="4"/>
      <c r="AB144" s="4"/>
      <c r="AC144" s="4"/>
      <c r="AD144" s="4"/>
      <c r="AE144" s="4"/>
      <c r="AF144" s="4"/>
      <c r="AG144" s="4"/>
      <c r="AH144" s="4"/>
      <c r="AI144" s="4"/>
      <c r="AJ144" s="4"/>
      <c r="AK144" s="4"/>
      <c r="AL144" s="4"/>
      <c r="AM144" s="4"/>
      <c r="AN144" s="4"/>
      <c r="AO144" s="4"/>
      <c r="AP144" s="4"/>
      <c r="AQ144" s="4"/>
      <c r="AR144" s="4"/>
      <c r="AS144" s="4"/>
      <c r="AT144" s="4"/>
      <c r="AU144" s="4"/>
      <c r="AV144" s="4"/>
      <c r="AW144" s="4"/>
      <c r="AX144" s="4"/>
      <c r="AY144" s="4"/>
      <c r="AZ144" s="4"/>
      <c r="BA144" s="4"/>
      <c r="BB144" s="4"/>
      <c r="BC144" s="4"/>
      <c r="BD144" s="4"/>
      <c r="BE144" s="4"/>
      <c r="BF144" s="4"/>
      <c r="BG144" s="4"/>
      <c r="BH144" s="4"/>
      <c r="BI144" s="4"/>
      <c r="BJ144" s="4"/>
      <c r="BK144" s="4"/>
      <c r="BL144" s="4"/>
      <c r="BM144" s="4"/>
      <c r="BN144" s="4"/>
    </row>
    <row r="145" ht="13.5" customHeight="1" spans="1:66" x14ac:dyDescent="0.25">
      <c r="A145" s="4"/>
      <c r="B145" s="4"/>
      <c r="C145" s="533"/>
      <c r="D145" s="4"/>
      <c r="E145" s="4"/>
      <c r="F145" s="4"/>
      <c r="G145" s="4"/>
      <c r="H145" s="4"/>
      <c r="I145" s="4"/>
      <c r="J145" s="4"/>
      <c r="K145" s="4"/>
      <c r="L145" s="4"/>
      <c r="M145" s="4"/>
      <c r="N145" s="4"/>
      <c r="O145" s="4"/>
      <c r="P145" s="4"/>
      <c r="Q145" s="4"/>
      <c r="R145" s="4"/>
      <c r="S145" s="4"/>
      <c r="T145" s="4"/>
      <c r="U145" s="4"/>
      <c r="V145" s="4"/>
      <c r="W145" s="4"/>
      <c r="X145" s="4"/>
      <c r="Y145" s="4"/>
      <c r="Z145" s="4"/>
      <c r="AA145" s="4"/>
      <c r="AB145" s="4"/>
      <c r="AC145" s="4"/>
      <c r="AD145" s="4"/>
      <c r="AE145" s="4"/>
      <c r="AF145" s="4"/>
      <c r="AG145" s="4"/>
      <c r="AH145" s="4"/>
      <c r="AI145" s="4"/>
      <c r="AJ145" s="4"/>
      <c r="AK145" s="4"/>
      <c r="AL145" s="4"/>
      <c r="AM145" s="4"/>
      <c r="AN145" s="4"/>
      <c r="AO145" s="4"/>
      <c r="AP145" s="4"/>
      <c r="AQ145" s="4"/>
      <c r="AR145" s="4"/>
      <c r="AS145" s="4"/>
      <c r="AT145" s="4"/>
      <c r="AU145" s="4"/>
      <c r="AV145" s="4"/>
      <c r="AW145" s="4"/>
      <c r="AX145" s="4"/>
      <c r="AY145" s="4"/>
      <c r="AZ145" s="4"/>
      <c r="BA145" s="4"/>
      <c r="BB145" s="4"/>
      <c r="BC145" s="4"/>
      <c r="BD145" s="4"/>
      <c r="BE145" s="4"/>
      <c r="BF145" s="4"/>
      <c r="BG145" s="4"/>
      <c r="BH145" s="4"/>
      <c r="BI145" s="4"/>
      <c r="BJ145" s="4"/>
      <c r="BK145" s="4"/>
      <c r="BL145" s="4"/>
      <c r="BM145" s="4"/>
      <c r="BN145" s="4"/>
    </row>
    <row r="146" ht="13.5" customHeight="1" spans="1:66" x14ac:dyDescent="0.25">
      <c r="A146" s="4"/>
      <c r="B146" s="4"/>
      <c r="C146" s="533"/>
      <c r="D146" s="4"/>
      <c r="E146" s="4"/>
      <c r="F146" s="4"/>
      <c r="G146" s="4"/>
      <c r="H146" s="4"/>
      <c r="I146" s="4"/>
      <c r="J146" s="4"/>
      <c r="K146" s="4"/>
      <c r="L146" s="4"/>
      <c r="M146" s="4"/>
      <c r="N146" s="4"/>
      <c r="O146" s="4"/>
      <c r="P146" s="4"/>
      <c r="Q146" s="4"/>
      <c r="R146" s="4"/>
      <c r="S146" s="4"/>
      <c r="T146" s="4"/>
      <c r="U146" s="4"/>
      <c r="V146" s="4"/>
      <c r="W146" s="4"/>
      <c r="X146" s="4"/>
      <c r="Y146" s="4"/>
      <c r="Z146" s="4"/>
      <c r="AA146" s="4"/>
      <c r="AB146" s="4"/>
      <c r="AC146" s="4"/>
      <c r="AD146" s="4"/>
      <c r="AE146" s="4"/>
      <c r="AF146" s="4"/>
      <c r="AG146" s="4"/>
      <c r="AH146" s="4"/>
      <c r="AI146" s="4"/>
      <c r="AJ146" s="4"/>
      <c r="AK146" s="4"/>
      <c r="AL146" s="4"/>
      <c r="AM146" s="4"/>
      <c r="AN146" s="4"/>
      <c r="AO146" s="4"/>
      <c r="AP146" s="4"/>
      <c r="AQ146" s="4"/>
      <c r="AR146" s="4"/>
      <c r="AS146" s="4"/>
      <c r="AT146" s="4"/>
      <c r="AU146" s="4"/>
      <c r="AV146" s="4"/>
      <c r="AW146" s="4"/>
      <c r="AX146" s="4"/>
      <c r="AY146" s="4"/>
      <c r="AZ146" s="4"/>
      <c r="BA146" s="4"/>
      <c r="BB146" s="4"/>
      <c r="BC146" s="4"/>
      <c r="BD146" s="4"/>
      <c r="BE146" s="4"/>
      <c r="BF146" s="4"/>
      <c r="BG146" s="4"/>
      <c r="BH146" s="4"/>
      <c r="BI146" s="4"/>
      <c r="BJ146" s="4"/>
      <c r="BK146" s="4"/>
      <c r="BL146" s="4"/>
      <c r="BM146" s="4"/>
      <c r="BN146" s="4"/>
    </row>
    <row r="147" ht="13.5" customHeight="1" spans="1:66" x14ac:dyDescent="0.25">
      <c r="A147" s="4"/>
      <c r="B147" s="4"/>
      <c r="C147" s="533"/>
      <c r="D147" s="4"/>
      <c r="E147" s="4"/>
      <c r="F147" s="4"/>
      <c r="G147" s="4"/>
      <c r="H147" s="4"/>
      <c r="I147" s="4"/>
      <c r="J147" s="4"/>
      <c r="K147" s="4"/>
      <c r="L147" s="4"/>
      <c r="M147" s="4"/>
      <c r="N147" s="4"/>
      <c r="O147" s="4"/>
      <c r="P147" s="4"/>
      <c r="Q147" s="4"/>
      <c r="R147" s="4"/>
      <c r="S147" s="4"/>
      <c r="T147" s="4"/>
      <c r="U147" s="4"/>
      <c r="V147" s="4"/>
      <c r="W147" s="4"/>
      <c r="X147" s="4"/>
      <c r="Y147" s="4"/>
      <c r="Z147" s="4"/>
      <c r="AA147" s="4"/>
      <c r="AB147" s="4"/>
      <c r="AC147" s="4"/>
      <c r="AD147" s="4"/>
      <c r="AE147" s="4"/>
      <c r="AF147" s="4"/>
      <c r="AG147" s="4"/>
      <c r="AH147" s="4"/>
      <c r="AI147" s="4"/>
      <c r="AJ147" s="4"/>
      <c r="AK147" s="4"/>
      <c r="AL147" s="4"/>
      <c r="AM147" s="4"/>
      <c r="AN147" s="4"/>
      <c r="AO147" s="4"/>
      <c r="AP147" s="4"/>
      <c r="AQ147" s="4"/>
      <c r="AR147" s="4"/>
      <c r="AS147" s="4"/>
      <c r="AT147" s="4"/>
      <c r="AU147" s="4"/>
      <c r="AV147" s="4"/>
      <c r="AW147" s="4"/>
      <c r="AX147" s="4"/>
      <c r="AY147" s="4"/>
      <c r="AZ147" s="4"/>
      <c r="BA147" s="4"/>
      <c r="BB147" s="4"/>
      <c r="BC147" s="4"/>
      <c r="BD147" s="4"/>
      <c r="BE147" s="4"/>
      <c r="BF147" s="4"/>
      <c r="BG147" s="4"/>
      <c r="BH147" s="4"/>
      <c r="BI147" s="4"/>
      <c r="BJ147" s="4"/>
      <c r="BK147" s="4"/>
      <c r="BL147" s="4"/>
      <c r="BM147" s="4"/>
      <c r="BN147" s="4"/>
    </row>
    <row r="148" ht="13.5" customHeight="1" spans="1:66" x14ac:dyDescent="0.25">
      <c r="A148" s="4"/>
      <c r="B148" s="4"/>
      <c r="C148" s="533"/>
      <c r="D148" s="4"/>
      <c r="E148" s="4"/>
      <c r="F148" s="4"/>
      <c r="G148" s="4"/>
      <c r="H148" s="4"/>
      <c r="I148" s="4"/>
      <c r="J148" s="4"/>
      <c r="K148" s="4"/>
      <c r="L148" s="4"/>
      <c r="M148" s="4"/>
      <c r="N148" s="4"/>
      <c r="O148" s="4"/>
      <c r="P148" s="4"/>
      <c r="Q148" s="4"/>
      <c r="R148" s="4"/>
      <c r="S148" s="4"/>
      <c r="T148" s="4"/>
      <c r="U148" s="4"/>
      <c r="V148" s="4"/>
      <c r="W148" s="4"/>
      <c r="X148" s="4"/>
      <c r="Y148" s="4"/>
      <c r="Z148" s="4"/>
      <c r="AA148" s="4"/>
      <c r="AB148" s="4"/>
      <c r="AC148" s="4"/>
      <c r="AD148" s="4"/>
      <c r="AE148" s="4"/>
      <c r="AF148" s="4"/>
      <c r="AG148" s="4"/>
      <c r="AH148" s="4"/>
      <c r="AI148" s="4"/>
      <c r="AJ148" s="4"/>
      <c r="AK148" s="4"/>
      <c r="AL148" s="4"/>
      <c r="AM148" s="4"/>
      <c r="AN148" s="4"/>
      <c r="AO148" s="4"/>
      <c r="AP148" s="4"/>
      <c r="AQ148" s="4"/>
      <c r="AR148" s="4"/>
      <c r="AS148" s="4"/>
      <c r="AT148" s="4"/>
      <c r="AU148" s="4"/>
      <c r="AV148" s="4"/>
      <c r="AW148" s="4"/>
      <c r="AX148" s="4"/>
      <c r="AY148" s="4"/>
      <c r="AZ148" s="4"/>
      <c r="BA148" s="4"/>
      <c r="BB148" s="4"/>
      <c r="BC148" s="4"/>
      <c r="BD148" s="4"/>
      <c r="BE148" s="4"/>
      <c r="BF148" s="4"/>
      <c r="BG148" s="4"/>
      <c r="BH148" s="4"/>
      <c r="BI148" s="4"/>
      <c r="BJ148" s="4"/>
      <c r="BK148" s="4"/>
      <c r="BL148" s="4"/>
      <c r="BM148" s="4"/>
      <c r="BN148" s="4"/>
    </row>
    <row r="149" ht="13.5" customHeight="1" spans="1:66" x14ac:dyDescent="0.25">
      <c r="A149" s="4"/>
      <c r="B149" s="4"/>
      <c r="C149" s="533"/>
      <c r="D149" s="4"/>
      <c r="E149" s="4"/>
      <c r="F149" s="4"/>
      <c r="G149" s="4"/>
      <c r="H149" s="4"/>
      <c r="I149" s="4"/>
      <c r="J149" s="4"/>
      <c r="K149" s="4"/>
      <c r="L149" s="4"/>
      <c r="M149" s="4"/>
      <c r="N149" s="4"/>
      <c r="O149" s="4"/>
      <c r="P149" s="4"/>
      <c r="Q149" s="4"/>
      <c r="R149" s="4"/>
      <c r="S149" s="4"/>
      <c r="T149" s="4"/>
      <c r="U149" s="4"/>
      <c r="V149" s="4"/>
      <c r="W149" s="4"/>
      <c r="X149" s="4"/>
      <c r="Y149" s="4"/>
      <c r="Z149" s="4"/>
      <c r="AA149" s="4"/>
      <c r="AB149" s="4"/>
      <c r="AC149" s="4"/>
      <c r="AD149" s="4"/>
      <c r="AE149" s="4"/>
      <c r="AF149" s="4"/>
      <c r="AG149" s="4"/>
      <c r="AH149" s="4"/>
      <c r="AI149" s="4"/>
      <c r="AJ149" s="4"/>
      <c r="AK149" s="4"/>
      <c r="AL149" s="4"/>
      <c r="AM149" s="4"/>
      <c r="AN149" s="4"/>
      <c r="AO149" s="4"/>
      <c r="AP149" s="4"/>
      <c r="AQ149" s="4"/>
      <c r="AR149" s="4"/>
      <c r="AS149" s="4"/>
      <c r="AT149" s="4"/>
      <c r="AU149" s="4"/>
      <c r="AV149" s="4"/>
      <c r="AW149" s="4"/>
      <c r="AX149" s="4"/>
      <c r="AY149" s="4"/>
      <c r="AZ149" s="4"/>
      <c r="BA149" s="4"/>
      <c r="BB149" s="4"/>
      <c r="BC149" s="4"/>
      <c r="BD149" s="4"/>
      <c r="BE149" s="4"/>
      <c r="BF149" s="4"/>
      <c r="BG149" s="4"/>
      <c r="BH149" s="4"/>
      <c r="BI149" s="4"/>
      <c r="BJ149" s="4"/>
      <c r="BK149" s="4"/>
      <c r="BL149" s="4"/>
      <c r="BM149" s="4"/>
      <c r="BN149" s="4"/>
    </row>
    <row r="150" ht="13.5" customHeight="1" spans="1:66" x14ac:dyDescent="0.25">
      <c r="A150" s="4"/>
      <c r="B150" s="4"/>
      <c r="C150" s="533"/>
      <c r="D150" s="4"/>
      <c r="E150" s="4"/>
      <c r="F150" s="4"/>
      <c r="G150" s="4"/>
      <c r="H150" s="4"/>
      <c r="I150" s="4"/>
      <c r="J150" s="4"/>
      <c r="K150" s="4"/>
      <c r="L150" s="4"/>
      <c r="M150" s="4"/>
      <c r="N150" s="4"/>
      <c r="O150" s="4"/>
      <c r="P150" s="4"/>
      <c r="Q150" s="4"/>
      <c r="R150" s="4"/>
      <c r="S150" s="4"/>
      <c r="T150" s="4"/>
      <c r="U150" s="4"/>
      <c r="V150" s="4"/>
      <c r="W150" s="4"/>
      <c r="X150" s="4"/>
      <c r="Y150" s="4"/>
      <c r="Z150" s="4"/>
      <c r="AA150" s="4"/>
      <c r="AB150" s="4"/>
      <c r="AC150" s="4"/>
      <c r="AD150" s="4"/>
      <c r="AE150" s="4"/>
      <c r="AF150" s="4"/>
      <c r="AG150" s="4"/>
      <c r="AH150" s="4"/>
      <c r="AI150" s="4"/>
      <c r="AJ150" s="4"/>
      <c r="AK150" s="4"/>
      <c r="AL150" s="4"/>
      <c r="AM150" s="4"/>
      <c r="AN150" s="4"/>
      <c r="AO150" s="4"/>
      <c r="AP150" s="4"/>
      <c r="AQ150" s="4"/>
      <c r="AR150" s="4"/>
      <c r="AS150" s="4"/>
      <c r="AT150" s="4"/>
      <c r="AU150" s="4"/>
      <c r="AV150" s="4"/>
      <c r="AW150" s="4"/>
      <c r="AX150" s="4"/>
      <c r="AY150" s="4"/>
      <c r="AZ150" s="4"/>
      <c r="BA150" s="4"/>
      <c r="BB150" s="4"/>
      <c r="BC150" s="4"/>
      <c r="BD150" s="4"/>
      <c r="BE150" s="4"/>
      <c r="BF150" s="4"/>
      <c r="BG150" s="4"/>
      <c r="BH150" s="4"/>
      <c r="BI150" s="4"/>
      <c r="BJ150" s="4"/>
      <c r="BK150" s="4"/>
      <c r="BL150" s="4"/>
      <c r="BM150" s="4"/>
      <c r="BN150" s="4"/>
    </row>
    <row r="151" ht="13.5" customHeight="1" spans="1:66" x14ac:dyDescent="0.25">
      <c r="A151" s="4"/>
      <c r="B151" s="4"/>
      <c r="C151" s="533"/>
      <c r="D151" s="4"/>
      <c r="E151" s="4"/>
      <c r="F151" s="4"/>
      <c r="G151" s="4"/>
      <c r="H151" s="4"/>
      <c r="I151" s="4"/>
      <c r="J151" s="4"/>
      <c r="K151" s="4"/>
      <c r="L151" s="4"/>
      <c r="M151" s="4"/>
      <c r="N151" s="4"/>
      <c r="O151" s="4"/>
      <c r="P151" s="4"/>
      <c r="Q151" s="4"/>
      <c r="R151" s="4"/>
      <c r="S151" s="4"/>
      <c r="T151" s="4"/>
      <c r="U151" s="4"/>
      <c r="V151" s="4"/>
      <c r="W151" s="4"/>
      <c r="X151" s="4"/>
      <c r="Y151" s="4"/>
      <c r="Z151" s="4"/>
      <c r="AA151" s="4"/>
      <c r="AB151" s="4"/>
      <c r="AC151" s="4"/>
      <c r="AD151" s="4"/>
      <c r="AE151" s="4"/>
      <c r="AF151" s="4"/>
      <c r="AG151" s="4"/>
      <c r="AH151" s="4"/>
      <c r="AI151" s="4"/>
      <c r="AJ151" s="4"/>
      <c r="AK151" s="4"/>
      <c r="AL151" s="4"/>
      <c r="AM151" s="4"/>
      <c r="AN151" s="4"/>
      <c r="AO151" s="4"/>
      <c r="AP151" s="4"/>
      <c r="AQ151" s="4"/>
      <c r="AR151" s="4"/>
      <c r="AS151" s="4"/>
      <c r="AT151" s="4"/>
      <c r="AU151" s="4"/>
      <c r="AV151" s="4"/>
      <c r="AW151" s="4"/>
      <c r="AX151" s="4"/>
      <c r="AY151" s="4"/>
      <c r="AZ151" s="4"/>
      <c r="BA151" s="4"/>
      <c r="BB151" s="4"/>
      <c r="BC151" s="4"/>
      <c r="BD151" s="4"/>
      <c r="BE151" s="4"/>
      <c r="BF151" s="4"/>
      <c r="BG151" s="4"/>
      <c r="BH151" s="4"/>
      <c r="BI151" s="4"/>
      <c r="BJ151" s="4"/>
      <c r="BK151" s="4"/>
      <c r="BL151" s="4"/>
      <c r="BM151" s="4"/>
      <c r="BN151" s="4"/>
    </row>
    <row r="152" ht="13.5" customHeight="1" spans="1:66" x14ac:dyDescent="0.25">
      <c r="A152" s="4"/>
      <c r="B152" s="4"/>
      <c r="C152" s="533"/>
      <c r="D152" s="4"/>
      <c r="E152" s="4"/>
      <c r="F152" s="4"/>
      <c r="G152" s="4"/>
      <c r="H152" s="4"/>
      <c r="I152" s="4"/>
      <c r="J152" s="4"/>
      <c r="K152" s="4"/>
      <c r="L152" s="4"/>
      <c r="M152" s="4"/>
      <c r="N152" s="4"/>
      <c r="O152" s="4"/>
      <c r="P152" s="4"/>
      <c r="Q152" s="4"/>
      <c r="R152" s="4"/>
      <c r="S152" s="4"/>
      <c r="T152" s="4"/>
      <c r="U152" s="4"/>
      <c r="V152" s="4"/>
      <c r="W152" s="4"/>
      <c r="X152" s="4"/>
      <c r="Y152" s="4"/>
      <c r="Z152" s="4"/>
      <c r="AA152" s="4"/>
      <c r="AB152" s="4"/>
      <c r="AC152" s="4"/>
      <c r="AD152" s="4"/>
      <c r="AE152" s="4"/>
      <c r="AF152" s="4"/>
      <c r="AG152" s="4"/>
      <c r="AH152" s="4"/>
      <c r="AI152" s="4"/>
      <c r="AJ152" s="4"/>
      <c r="AK152" s="4"/>
      <c r="AL152" s="4"/>
      <c r="AM152" s="4"/>
      <c r="AN152" s="4"/>
      <c r="AO152" s="4"/>
      <c r="AP152" s="4"/>
      <c r="AQ152" s="4"/>
      <c r="AR152" s="4"/>
      <c r="AS152" s="4"/>
      <c r="AT152" s="4"/>
      <c r="AU152" s="4"/>
      <c r="AV152" s="4"/>
      <c r="AW152" s="4"/>
      <c r="AX152" s="4"/>
      <c r="AY152" s="4"/>
      <c r="AZ152" s="4"/>
      <c r="BA152" s="4"/>
      <c r="BB152" s="4"/>
      <c r="BC152" s="4"/>
      <c r="BD152" s="4"/>
      <c r="BE152" s="4"/>
      <c r="BF152" s="4"/>
      <c r="BG152" s="4"/>
      <c r="BH152" s="4"/>
      <c r="BI152" s="4"/>
      <c r="BJ152" s="4"/>
      <c r="BK152" s="4"/>
      <c r="BL152" s="4"/>
      <c r="BM152" s="4"/>
      <c r="BN152" s="4"/>
    </row>
    <row r="153" ht="13.5" customHeight="1" spans="1:66" x14ac:dyDescent="0.25">
      <c r="A153" s="4"/>
      <c r="B153" s="4"/>
      <c r="C153" s="533"/>
      <c r="D153" s="4"/>
      <c r="E153" s="4"/>
      <c r="F153" s="4"/>
      <c r="G153" s="4"/>
      <c r="H153" s="4"/>
      <c r="I153" s="4"/>
      <c r="J153" s="4"/>
      <c r="K153" s="4"/>
      <c r="L153" s="4"/>
      <c r="M153" s="4"/>
      <c r="N153" s="4"/>
      <c r="O153" s="4"/>
      <c r="P153" s="4"/>
      <c r="Q153" s="4"/>
      <c r="R153" s="4"/>
      <c r="S153" s="4"/>
      <c r="T153" s="4"/>
      <c r="U153" s="4"/>
      <c r="V153" s="4"/>
      <c r="W153" s="4"/>
      <c r="X153" s="4"/>
      <c r="Y153" s="4"/>
      <c r="Z153" s="4"/>
      <c r="AA153" s="4"/>
      <c r="AB153" s="4"/>
      <c r="AC153" s="4"/>
      <c r="AD153" s="4"/>
      <c r="AE153" s="4"/>
      <c r="AF153" s="4"/>
      <c r="AG153" s="4"/>
      <c r="AH153" s="4"/>
      <c r="AI153" s="4"/>
      <c r="AJ153" s="4"/>
      <c r="AK153" s="4"/>
      <c r="AL153" s="4"/>
      <c r="AM153" s="4"/>
      <c r="AN153" s="4"/>
      <c r="AO153" s="4"/>
      <c r="AP153" s="4"/>
      <c r="AQ153" s="4"/>
      <c r="AR153" s="4"/>
      <c r="AS153" s="4"/>
      <c r="AT153" s="4"/>
      <c r="AU153" s="4"/>
      <c r="AV153" s="4"/>
      <c r="AW153" s="4"/>
      <c r="AX153" s="4"/>
      <c r="AY153" s="4"/>
      <c r="AZ153" s="4"/>
      <c r="BA153" s="4"/>
      <c r="BB153" s="4"/>
      <c r="BC153" s="4"/>
      <c r="BD153" s="4"/>
      <c r="BE153" s="4"/>
      <c r="BF153" s="4"/>
      <c r="BG153" s="4"/>
      <c r="BH153" s="4"/>
      <c r="BI153" s="4"/>
      <c r="BJ153" s="4"/>
      <c r="BK153" s="4"/>
      <c r="BL153" s="4"/>
      <c r="BM153" s="4"/>
      <c r="BN153" s="4"/>
    </row>
    <row r="154" ht="13.5" customHeight="1" spans="1:66" x14ac:dyDescent="0.25">
      <c r="A154" s="4"/>
      <c r="B154" s="4"/>
      <c r="C154" s="533"/>
      <c r="D154" s="4"/>
      <c r="E154" s="4"/>
      <c r="F154" s="4"/>
      <c r="G154" s="4"/>
      <c r="H154" s="4"/>
      <c r="I154" s="4"/>
      <c r="J154" s="4"/>
      <c r="K154" s="4"/>
      <c r="L154" s="4"/>
      <c r="M154" s="4"/>
      <c r="N154" s="4"/>
      <c r="O154" s="4"/>
      <c r="P154" s="4"/>
      <c r="Q154" s="4"/>
      <c r="R154" s="4"/>
      <c r="S154" s="4"/>
      <c r="T154" s="4"/>
      <c r="U154" s="4"/>
      <c r="V154" s="4"/>
      <c r="W154" s="4"/>
      <c r="X154" s="4"/>
      <c r="Y154" s="4"/>
      <c r="Z154" s="4"/>
      <c r="AA154" s="4"/>
      <c r="AB154" s="4"/>
      <c r="AC154" s="4"/>
      <c r="AD154" s="4"/>
      <c r="AE154" s="4"/>
      <c r="AF154" s="4"/>
      <c r="AG154" s="4"/>
      <c r="AH154" s="4"/>
      <c r="AI154" s="4"/>
      <c r="AJ154" s="4"/>
      <c r="AK154" s="4"/>
      <c r="AL154" s="4"/>
      <c r="AM154" s="4"/>
      <c r="AN154" s="4"/>
      <c r="AO154" s="4"/>
      <c r="AP154" s="4"/>
      <c r="AQ154" s="4"/>
      <c r="AR154" s="4"/>
      <c r="AS154" s="4"/>
      <c r="AT154" s="4"/>
      <c r="AU154" s="4"/>
      <c r="AV154" s="4"/>
      <c r="AW154" s="4"/>
      <c r="AX154" s="4"/>
      <c r="AY154" s="4"/>
      <c r="AZ154" s="4"/>
      <c r="BA154" s="4"/>
      <c r="BB154" s="4"/>
      <c r="BC154" s="4"/>
      <c r="BD154" s="4"/>
      <c r="BE154" s="4"/>
      <c r="BF154" s="4"/>
      <c r="BG154" s="4"/>
      <c r="BH154" s="4"/>
      <c r="BI154" s="4"/>
      <c r="BJ154" s="4"/>
      <c r="BK154" s="4"/>
      <c r="BL154" s="4"/>
      <c r="BM154" s="4"/>
      <c r="BN154" s="4"/>
    </row>
    <row r="155" ht="13.5" customHeight="1" spans="1:66" x14ac:dyDescent="0.25">
      <c r="A155" s="4"/>
      <c r="B155" s="4"/>
      <c r="C155" s="533"/>
      <c r="D155" s="4"/>
      <c r="E155" s="4"/>
      <c r="F155" s="4"/>
      <c r="G155" s="4"/>
      <c r="H155" s="4"/>
      <c r="I155" s="4"/>
      <c r="J155" s="4"/>
      <c r="K155" s="4"/>
      <c r="L155" s="4"/>
      <c r="M155" s="4"/>
      <c r="N155" s="4"/>
      <c r="O155" s="4"/>
      <c r="P155" s="4"/>
      <c r="Q155" s="4"/>
      <c r="R155" s="4"/>
      <c r="S155" s="4"/>
      <c r="T155" s="4"/>
      <c r="U155" s="4"/>
      <c r="V155" s="4"/>
      <c r="W155" s="4"/>
      <c r="X155" s="4"/>
      <c r="Y155" s="4"/>
      <c r="Z155" s="4"/>
      <c r="AA155" s="4"/>
      <c r="AB155" s="4"/>
      <c r="AC155" s="4"/>
      <c r="AD155" s="4"/>
      <c r="AE155" s="4"/>
      <c r="AF155" s="4"/>
      <c r="AG155" s="4"/>
      <c r="AH155" s="4"/>
      <c r="AI155" s="4"/>
      <c r="AJ155" s="4"/>
      <c r="AK155" s="4"/>
      <c r="AL155" s="4"/>
      <c r="AM155" s="4"/>
      <c r="AN155" s="4"/>
      <c r="AO155" s="4"/>
      <c r="AP155" s="4"/>
      <c r="AQ155" s="4"/>
      <c r="AR155" s="4"/>
      <c r="AS155" s="4"/>
      <c r="AT155" s="4"/>
      <c r="AU155" s="4"/>
      <c r="AV155" s="4"/>
      <c r="AW155" s="4"/>
      <c r="AX155" s="4"/>
      <c r="AY155" s="4"/>
      <c r="AZ155" s="4"/>
      <c r="BA155" s="4"/>
      <c r="BB155" s="4"/>
      <c r="BC155" s="4"/>
      <c r="BD155" s="4"/>
      <c r="BE155" s="4"/>
      <c r="BF155" s="4"/>
      <c r="BG155" s="4"/>
      <c r="BH155" s="4"/>
      <c r="BI155" s="4"/>
      <c r="BJ155" s="4"/>
      <c r="BK155" s="4"/>
      <c r="BL155" s="4"/>
      <c r="BM155" s="4"/>
      <c r="BN155" s="4"/>
    </row>
    <row r="156" ht="13.5" customHeight="1" spans="1:66" x14ac:dyDescent="0.25">
      <c r="A156" s="4"/>
      <c r="B156" s="4"/>
      <c r="C156" s="533"/>
      <c r="D156" s="4"/>
      <c r="E156" s="4"/>
      <c r="F156" s="4"/>
      <c r="G156" s="4"/>
      <c r="H156" s="4"/>
      <c r="I156" s="4"/>
      <c r="J156" s="4"/>
      <c r="K156" s="4"/>
      <c r="L156" s="4"/>
      <c r="M156" s="4"/>
      <c r="N156" s="4"/>
      <c r="O156" s="4"/>
      <c r="P156" s="4"/>
      <c r="Q156" s="4"/>
      <c r="R156" s="4"/>
      <c r="S156" s="4"/>
      <c r="T156" s="4"/>
      <c r="U156" s="4"/>
      <c r="V156" s="4"/>
      <c r="W156" s="4"/>
      <c r="X156" s="4"/>
      <c r="Y156" s="4"/>
      <c r="Z156" s="4"/>
      <c r="AA156" s="4"/>
      <c r="AB156" s="4"/>
      <c r="AC156" s="4"/>
      <c r="AD156" s="4"/>
      <c r="AE156" s="4"/>
      <c r="AF156" s="4"/>
      <c r="AG156" s="4"/>
      <c r="AH156" s="4"/>
      <c r="AI156" s="4"/>
      <c r="AJ156" s="4"/>
      <c r="AK156" s="4"/>
      <c r="AL156" s="4"/>
      <c r="AM156" s="4"/>
      <c r="AN156" s="4"/>
      <c r="AO156" s="4"/>
      <c r="AP156" s="4"/>
      <c r="AQ156" s="4"/>
      <c r="AR156" s="4"/>
      <c r="AS156" s="4"/>
      <c r="AT156" s="4"/>
      <c r="AU156" s="4"/>
      <c r="AV156" s="4"/>
      <c r="AW156" s="4"/>
      <c r="AX156" s="4"/>
      <c r="AY156" s="4"/>
      <c r="AZ156" s="4"/>
      <c r="BA156" s="4"/>
      <c r="BB156" s="4"/>
      <c r="BC156" s="4"/>
      <c r="BD156" s="4"/>
      <c r="BE156" s="4"/>
      <c r="BF156" s="4"/>
      <c r="BG156" s="4"/>
      <c r="BH156" s="4"/>
      <c r="BI156" s="4"/>
      <c r="BJ156" s="4"/>
      <c r="BK156" s="4"/>
      <c r="BL156" s="4"/>
      <c r="BM156" s="4"/>
      <c r="BN156" s="4"/>
    </row>
    <row r="157" ht="13.5" customHeight="1" spans="1:66" x14ac:dyDescent="0.25">
      <c r="A157" s="4"/>
      <c r="B157" s="4"/>
      <c r="C157" s="533"/>
      <c r="D157" s="4"/>
      <c r="E157" s="4"/>
      <c r="F157" s="4"/>
      <c r="G157" s="4"/>
      <c r="H157" s="4"/>
      <c r="I157" s="4"/>
      <c r="J157" s="4"/>
      <c r="K157" s="4"/>
      <c r="L157" s="4"/>
      <c r="M157" s="4"/>
      <c r="N157" s="4"/>
      <c r="O157" s="4"/>
      <c r="P157" s="4"/>
      <c r="Q157" s="4"/>
      <c r="R157" s="4"/>
      <c r="S157" s="4"/>
      <c r="T157" s="4"/>
      <c r="U157" s="4"/>
      <c r="V157" s="4"/>
      <c r="W157" s="4"/>
      <c r="X157" s="4"/>
      <c r="Y157" s="4"/>
      <c r="Z157" s="4"/>
      <c r="AA157" s="4"/>
      <c r="AB157" s="4"/>
      <c r="AC157" s="4"/>
      <c r="AD157" s="4"/>
      <c r="AE157" s="4"/>
      <c r="AF157" s="4"/>
      <c r="AG157" s="4"/>
      <c r="AH157" s="4"/>
      <c r="AI157" s="4"/>
      <c r="AJ157" s="4"/>
      <c r="AK157" s="4"/>
      <c r="AL157" s="4"/>
      <c r="AM157" s="4"/>
      <c r="AN157" s="4"/>
      <c r="AO157" s="4"/>
      <c r="AP157" s="4"/>
      <c r="AQ157" s="4"/>
      <c r="AR157" s="4"/>
      <c r="AS157" s="4"/>
      <c r="AT157" s="4"/>
      <c r="AU157" s="4"/>
      <c r="AV157" s="4"/>
      <c r="AW157" s="4"/>
      <c r="AX157" s="4"/>
      <c r="AY157" s="4"/>
      <c r="AZ157" s="4"/>
      <c r="BA157" s="4"/>
      <c r="BB157" s="4"/>
      <c r="BC157" s="4"/>
      <c r="BD157" s="4"/>
      <c r="BE157" s="4"/>
      <c r="BF157" s="4"/>
      <c r="BG157" s="4"/>
      <c r="BH157" s="4"/>
      <c r="BI157" s="4"/>
      <c r="BJ157" s="4"/>
      <c r="BK157" s="4"/>
      <c r="BL157" s="4"/>
      <c r="BM157" s="4"/>
      <c r="BN157" s="4"/>
    </row>
    <row r="158" ht="13.5" customHeight="1" spans="1:66" x14ac:dyDescent="0.25">
      <c r="A158" s="4"/>
      <c r="B158" s="4"/>
      <c r="C158" s="533"/>
      <c r="D158" s="4"/>
      <c r="E158" s="4"/>
      <c r="F158" s="4"/>
      <c r="G158" s="4"/>
      <c r="H158" s="4"/>
      <c r="I158" s="4"/>
      <c r="J158" s="4"/>
      <c r="K158" s="4"/>
      <c r="L158" s="4"/>
      <c r="M158" s="4"/>
      <c r="N158" s="4"/>
      <c r="O158" s="4"/>
      <c r="P158" s="4"/>
      <c r="Q158" s="4"/>
      <c r="R158" s="4"/>
      <c r="S158" s="4"/>
      <c r="T158" s="4"/>
      <c r="U158" s="4"/>
      <c r="V158" s="4"/>
      <c r="W158" s="4"/>
      <c r="X158" s="4"/>
      <c r="Y158" s="4"/>
      <c r="Z158" s="4"/>
      <c r="AA158" s="4"/>
      <c r="AB158" s="4"/>
      <c r="AC158" s="4"/>
      <c r="AD158" s="4"/>
      <c r="AE158" s="4"/>
      <c r="AF158" s="4"/>
      <c r="AG158" s="4"/>
      <c r="AH158" s="4"/>
      <c r="AI158" s="4"/>
      <c r="AJ158" s="4"/>
      <c r="AK158" s="4"/>
      <c r="AL158" s="4"/>
      <c r="AM158" s="4"/>
      <c r="AN158" s="4"/>
      <c r="AO158" s="4"/>
      <c r="AP158" s="4"/>
      <c r="AQ158" s="4"/>
      <c r="AR158" s="4"/>
      <c r="AS158" s="4"/>
      <c r="AT158" s="4"/>
      <c r="AU158" s="4"/>
      <c r="AV158" s="4"/>
      <c r="AW158" s="4"/>
      <c r="AX158" s="4"/>
      <c r="AY158" s="4"/>
      <c r="AZ158" s="4"/>
      <c r="BA158" s="4"/>
      <c r="BB158" s="4"/>
      <c r="BC158" s="4"/>
      <c r="BD158" s="4"/>
      <c r="BE158" s="4"/>
      <c r="BF158" s="4"/>
      <c r="BG158" s="4"/>
      <c r="BH158" s="4"/>
      <c r="BI158" s="4"/>
      <c r="BJ158" s="4"/>
      <c r="BK158" s="4"/>
      <c r="BL158" s="4"/>
      <c r="BM158" s="4"/>
      <c r="BN158" s="4"/>
    </row>
    <row r="159" ht="13.5" customHeight="1" spans="1:66" x14ac:dyDescent="0.25">
      <c r="A159" s="4"/>
      <c r="B159" s="4"/>
      <c r="C159" s="533"/>
      <c r="D159" s="4"/>
      <c r="E159" s="4"/>
      <c r="F159" s="4"/>
      <c r="G159" s="4"/>
      <c r="H159" s="4"/>
      <c r="I159" s="4"/>
      <c r="J159" s="4"/>
      <c r="K159" s="4"/>
      <c r="L159" s="4"/>
      <c r="M159" s="4"/>
      <c r="N159" s="4"/>
      <c r="O159" s="4"/>
      <c r="P159" s="4"/>
      <c r="Q159" s="4"/>
      <c r="R159" s="4"/>
      <c r="S159" s="4"/>
      <c r="T159" s="4"/>
      <c r="U159" s="4"/>
      <c r="V159" s="4"/>
      <c r="W159" s="4"/>
      <c r="X159" s="4"/>
      <c r="Y159" s="4"/>
      <c r="Z159" s="4"/>
      <c r="AA159" s="4"/>
      <c r="AB159" s="4"/>
      <c r="AC159" s="4"/>
      <c r="AD159" s="4"/>
      <c r="AE159" s="4"/>
      <c r="AF159" s="4"/>
      <c r="AG159" s="4"/>
      <c r="AH159" s="4"/>
      <c r="AI159" s="4"/>
      <c r="AJ159" s="4"/>
      <c r="AK159" s="4"/>
      <c r="AL159" s="4"/>
      <c r="AM159" s="4"/>
      <c r="AN159" s="4"/>
      <c r="AO159" s="4"/>
      <c r="AP159" s="4"/>
      <c r="AQ159" s="4"/>
      <c r="AR159" s="4"/>
      <c r="AS159" s="4"/>
      <c r="AT159" s="4"/>
      <c r="AU159" s="4"/>
      <c r="AV159" s="4"/>
      <c r="AW159" s="4"/>
      <c r="AX159" s="4"/>
      <c r="AY159" s="4"/>
      <c r="AZ159" s="4"/>
      <c r="BA159" s="4"/>
      <c r="BB159" s="4"/>
      <c r="BC159" s="4"/>
      <c r="BD159" s="4"/>
      <c r="BE159" s="4"/>
      <c r="BF159" s="4"/>
      <c r="BG159" s="4"/>
      <c r="BH159" s="4"/>
      <c r="BI159" s="4"/>
      <c r="BJ159" s="4"/>
      <c r="BK159" s="4"/>
      <c r="BL159" s="4"/>
      <c r="BM159" s="4"/>
      <c r="BN159" s="4"/>
    </row>
    <row r="160" ht="13.5" customHeight="1" spans="1:66" x14ac:dyDescent="0.25">
      <c r="A160" s="4"/>
      <c r="B160" s="4"/>
      <c r="C160" s="533"/>
      <c r="D160" s="4"/>
      <c r="E160" s="4"/>
      <c r="F160" s="4"/>
      <c r="G160" s="4"/>
      <c r="H160" s="4"/>
      <c r="I160" s="4"/>
      <c r="J160" s="4"/>
      <c r="K160" s="4"/>
      <c r="L160" s="4"/>
      <c r="M160" s="4"/>
      <c r="N160" s="4"/>
      <c r="O160" s="4"/>
      <c r="P160" s="4"/>
      <c r="Q160" s="4"/>
      <c r="R160" s="4"/>
      <c r="S160" s="4"/>
      <c r="T160" s="4"/>
      <c r="U160" s="4"/>
      <c r="V160" s="4"/>
      <c r="W160" s="4"/>
      <c r="X160" s="4"/>
      <c r="Y160" s="4"/>
      <c r="Z160" s="4"/>
      <c r="AA160" s="4"/>
      <c r="AB160" s="4"/>
      <c r="AC160" s="4"/>
      <c r="AD160" s="4"/>
      <c r="AE160" s="4"/>
      <c r="AF160" s="4"/>
      <c r="AG160" s="4"/>
      <c r="AH160" s="4"/>
      <c r="AI160" s="4"/>
      <c r="AJ160" s="4"/>
      <c r="AK160" s="4"/>
      <c r="AL160" s="4"/>
      <c r="AM160" s="4"/>
      <c r="AN160" s="4"/>
      <c r="AO160" s="4"/>
      <c r="AP160" s="4"/>
      <c r="AQ160" s="4"/>
      <c r="AR160" s="4"/>
      <c r="AS160" s="4"/>
      <c r="AT160" s="4"/>
      <c r="AU160" s="4"/>
      <c r="AV160" s="4"/>
      <c r="AW160" s="4"/>
      <c r="AX160" s="4"/>
      <c r="AY160" s="4"/>
      <c r="AZ160" s="4"/>
      <c r="BA160" s="4"/>
      <c r="BB160" s="4"/>
      <c r="BC160" s="4"/>
      <c r="BD160" s="4"/>
      <c r="BE160" s="4"/>
      <c r="BF160" s="4"/>
      <c r="BG160" s="4"/>
      <c r="BH160" s="4"/>
      <c r="BI160" s="4"/>
      <c r="BJ160" s="4"/>
      <c r="BK160" s="4"/>
      <c r="BL160" s="4"/>
      <c r="BM160" s="4"/>
      <c r="BN160" s="4"/>
    </row>
    <row r="161" ht="13.5" customHeight="1" spans="1:66" x14ac:dyDescent="0.25">
      <c r="A161" s="4"/>
      <c r="B161" s="4"/>
      <c r="C161" s="533"/>
      <c r="D161" s="4"/>
      <c r="E161" s="4"/>
      <c r="F161" s="4"/>
      <c r="G161" s="4"/>
      <c r="H161" s="4"/>
      <c r="I161" s="4"/>
      <c r="J161" s="4"/>
      <c r="K161" s="4"/>
      <c r="L161" s="4"/>
      <c r="M161" s="4"/>
      <c r="N161" s="4"/>
      <c r="O161" s="4"/>
      <c r="P161" s="4"/>
      <c r="Q161" s="4"/>
      <c r="R161" s="4"/>
      <c r="S161" s="4"/>
      <c r="T161" s="4"/>
      <c r="U161" s="4"/>
      <c r="V161" s="4"/>
      <c r="W161" s="4"/>
      <c r="X161" s="4"/>
      <c r="Y161" s="4"/>
      <c r="Z161" s="4"/>
      <c r="AA161" s="4"/>
      <c r="AB161" s="4"/>
      <c r="AC161" s="4"/>
      <c r="AD161" s="4"/>
      <c r="AE161" s="4"/>
      <c r="AF161" s="4"/>
      <c r="AG161" s="4"/>
      <c r="AH161" s="4"/>
      <c r="AI161" s="4"/>
      <c r="AJ161" s="4"/>
      <c r="AK161" s="4"/>
      <c r="AL161" s="4"/>
      <c r="AM161" s="4"/>
      <c r="AN161" s="4"/>
      <c r="AO161" s="4"/>
      <c r="AP161" s="4"/>
      <c r="AQ161" s="4"/>
      <c r="AR161" s="4"/>
      <c r="AS161" s="4"/>
      <c r="AT161" s="4"/>
      <c r="AU161" s="4"/>
      <c r="AV161" s="4"/>
      <c r="AW161" s="4"/>
      <c r="AX161" s="4"/>
      <c r="AY161" s="4"/>
      <c r="AZ161" s="4"/>
      <c r="BA161" s="4"/>
      <c r="BB161" s="4"/>
      <c r="BC161" s="4"/>
      <c r="BD161" s="4"/>
      <c r="BE161" s="4"/>
      <c r="BF161" s="4"/>
      <c r="BG161" s="4"/>
      <c r="BH161" s="4"/>
      <c r="BI161" s="4"/>
      <c r="BJ161" s="4"/>
      <c r="BK161" s="4"/>
      <c r="BL161" s="4"/>
      <c r="BM161" s="4"/>
      <c r="BN161" s="4"/>
    </row>
    <row r="162" ht="13.5" customHeight="1" spans="1:66" x14ac:dyDescent="0.25">
      <c r="A162" s="4"/>
      <c r="B162" s="4"/>
      <c r="C162" s="533"/>
      <c r="D162" s="4"/>
      <c r="E162" s="4"/>
      <c r="F162" s="4"/>
      <c r="G162" s="4"/>
      <c r="H162" s="4"/>
      <c r="I162" s="4"/>
      <c r="J162" s="4"/>
      <c r="K162" s="4"/>
      <c r="L162" s="4"/>
      <c r="M162" s="4"/>
      <c r="N162" s="4"/>
      <c r="O162" s="4"/>
      <c r="P162" s="4"/>
      <c r="Q162" s="4"/>
      <c r="R162" s="4"/>
      <c r="S162" s="4"/>
      <c r="T162" s="4"/>
      <c r="U162" s="4"/>
      <c r="V162" s="4"/>
      <c r="W162" s="4"/>
      <c r="X162" s="4"/>
      <c r="Y162" s="4"/>
      <c r="Z162" s="4"/>
      <c r="AA162" s="4"/>
      <c r="AB162" s="4"/>
      <c r="AC162" s="4"/>
      <c r="AD162" s="4"/>
      <c r="AE162" s="4"/>
      <c r="AF162" s="4"/>
      <c r="AG162" s="4"/>
      <c r="AH162" s="4"/>
      <c r="AI162" s="4"/>
      <c r="AJ162" s="4"/>
      <c r="AK162" s="4"/>
      <c r="AL162" s="4"/>
      <c r="AM162" s="4"/>
      <c r="AN162" s="4"/>
      <c r="AO162" s="4"/>
      <c r="AP162" s="4"/>
      <c r="AQ162" s="4"/>
      <c r="AR162" s="4"/>
      <c r="AS162" s="4"/>
      <c r="AT162" s="4"/>
      <c r="AU162" s="4"/>
      <c r="AV162" s="4"/>
      <c r="AW162" s="4"/>
      <c r="AX162" s="4"/>
      <c r="AY162" s="4"/>
      <c r="AZ162" s="4"/>
      <c r="BA162" s="4"/>
      <c r="BB162" s="4"/>
      <c r="BC162" s="4"/>
      <c r="BD162" s="4"/>
      <c r="BE162" s="4"/>
      <c r="BF162" s="4"/>
      <c r="BG162" s="4"/>
      <c r="BH162" s="4"/>
      <c r="BI162" s="4"/>
      <c r="BJ162" s="4"/>
      <c r="BK162" s="4"/>
      <c r="BL162" s="4"/>
      <c r="BM162" s="4"/>
      <c r="BN162" s="4"/>
    </row>
    <row r="163" ht="13.5" customHeight="1" spans="1:66" x14ac:dyDescent="0.25">
      <c r="A163" s="4"/>
      <c r="B163" s="4"/>
      <c r="C163" s="533"/>
      <c r="D163" s="4"/>
      <c r="E163" s="4"/>
      <c r="F163" s="4"/>
      <c r="G163" s="4"/>
      <c r="H163" s="4"/>
      <c r="I163" s="4"/>
      <c r="J163" s="4"/>
      <c r="K163" s="4"/>
      <c r="L163" s="4"/>
      <c r="M163" s="4"/>
      <c r="N163" s="4"/>
      <c r="O163" s="4"/>
      <c r="P163" s="4"/>
      <c r="Q163" s="4"/>
      <c r="R163" s="4"/>
      <c r="S163" s="4"/>
      <c r="T163" s="4"/>
      <c r="U163" s="4"/>
      <c r="V163" s="4"/>
      <c r="W163" s="4"/>
      <c r="X163" s="4"/>
      <c r="Y163" s="4"/>
      <c r="Z163" s="4"/>
      <c r="AA163" s="4"/>
      <c r="AB163" s="4"/>
      <c r="AC163" s="4"/>
      <c r="AD163" s="4"/>
      <c r="AE163" s="4"/>
      <c r="AF163" s="4"/>
      <c r="AG163" s="4"/>
      <c r="AH163" s="4"/>
      <c r="AI163" s="4"/>
      <c r="AJ163" s="4"/>
      <c r="AK163" s="4"/>
      <c r="AL163" s="4"/>
      <c r="AM163" s="4"/>
      <c r="AN163" s="4"/>
      <c r="AO163" s="4"/>
      <c r="AP163" s="4"/>
      <c r="AQ163" s="4"/>
      <c r="AR163" s="4"/>
      <c r="AS163" s="4"/>
      <c r="AT163" s="4"/>
      <c r="AU163" s="4"/>
      <c r="AV163" s="4"/>
      <c r="AW163" s="4"/>
      <c r="AX163" s="4"/>
      <c r="AY163" s="4"/>
      <c r="AZ163" s="4"/>
      <c r="BA163" s="4"/>
      <c r="BB163" s="4"/>
      <c r="BC163" s="4"/>
      <c r="BD163" s="4"/>
      <c r="BE163" s="4"/>
      <c r="BF163" s="4"/>
      <c r="BG163" s="4"/>
      <c r="BH163" s="4"/>
      <c r="BI163" s="4"/>
      <c r="BJ163" s="4"/>
      <c r="BK163" s="4"/>
      <c r="BL163" s="4"/>
      <c r="BM163" s="4"/>
      <c r="BN163" s="4"/>
    </row>
    <row r="164" ht="13.5" customHeight="1" spans="1:66" x14ac:dyDescent="0.25">
      <c r="A164" s="4"/>
      <c r="B164" s="4"/>
      <c r="C164" s="533"/>
      <c r="D164" s="4"/>
      <c r="E164" s="4"/>
      <c r="F164" s="4"/>
      <c r="G164" s="4"/>
      <c r="H164" s="4"/>
      <c r="I164" s="4"/>
      <c r="J164" s="4"/>
      <c r="K164" s="4"/>
      <c r="L164" s="4"/>
      <c r="M164" s="4"/>
      <c r="N164" s="4"/>
      <c r="O164" s="4"/>
      <c r="P164" s="4"/>
      <c r="Q164" s="4"/>
      <c r="R164" s="4"/>
      <c r="S164" s="4"/>
      <c r="T164" s="4"/>
      <c r="U164" s="4"/>
      <c r="V164" s="4"/>
      <c r="W164" s="4"/>
      <c r="X164" s="4"/>
      <c r="Y164" s="4"/>
      <c r="Z164" s="4"/>
      <c r="AA164" s="4"/>
      <c r="AB164" s="4"/>
      <c r="AC164" s="4"/>
      <c r="AD164" s="4"/>
      <c r="AE164" s="4"/>
      <c r="AF164" s="4"/>
      <c r="AG164" s="4"/>
      <c r="AH164" s="4"/>
      <c r="AI164" s="4"/>
      <c r="AJ164" s="4"/>
      <c r="AK164" s="4"/>
      <c r="AL164" s="4"/>
      <c r="AM164" s="4"/>
      <c r="AN164" s="4"/>
      <c r="AO164" s="4"/>
      <c r="AP164" s="4"/>
      <c r="AQ164" s="4"/>
      <c r="AR164" s="4"/>
      <c r="AS164" s="4"/>
      <c r="AT164" s="4"/>
      <c r="AU164" s="4"/>
      <c r="AV164" s="4"/>
      <c r="AW164" s="4"/>
      <c r="AX164" s="4"/>
      <c r="AY164" s="4"/>
      <c r="AZ164" s="4"/>
      <c r="BA164" s="4"/>
      <c r="BB164" s="4"/>
      <c r="BC164" s="4"/>
      <c r="BD164" s="4"/>
      <c r="BE164" s="4"/>
      <c r="BF164" s="4"/>
      <c r="BG164" s="4"/>
      <c r="BH164" s="4"/>
      <c r="BI164" s="4"/>
      <c r="BJ164" s="4"/>
      <c r="BK164" s="4"/>
      <c r="BL164" s="4"/>
      <c r="BM164" s="4"/>
      <c r="BN164" s="4"/>
    </row>
    <row r="165" ht="13.5" customHeight="1" spans="1:66" x14ac:dyDescent="0.25">
      <c r="A165" s="4"/>
      <c r="B165" s="4"/>
      <c r="C165" s="533"/>
      <c r="D165" s="4"/>
      <c r="E165" s="4"/>
      <c r="F165" s="4"/>
      <c r="G165" s="4"/>
      <c r="H165" s="4"/>
      <c r="I165" s="4"/>
      <c r="J165" s="4"/>
      <c r="K165" s="4"/>
      <c r="L165" s="4"/>
      <c r="M165" s="4"/>
      <c r="N165" s="4"/>
      <c r="O165" s="4"/>
      <c r="P165" s="4"/>
      <c r="Q165" s="4"/>
      <c r="R165" s="4"/>
      <c r="S165" s="4"/>
      <c r="T165" s="4"/>
      <c r="U165" s="4"/>
      <c r="V165" s="4"/>
      <c r="W165" s="4"/>
      <c r="X165" s="4"/>
      <c r="Y165" s="4"/>
      <c r="Z165" s="4"/>
      <c r="AA165" s="4"/>
      <c r="AB165" s="4"/>
      <c r="AC165" s="4"/>
      <c r="AD165" s="4"/>
      <c r="AE165" s="4"/>
      <c r="AF165" s="4"/>
      <c r="AG165" s="4"/>
      <c r="AH165" s="4"/>
      <c r="AI165" s="4"/>
      <c r="AJ165" s="4"/>
      <c r="AK165" s="4"/>
      <c r="AL165" s="4"/>
      <c r="AM165" s="4"/>
      <c r="AN165" s="4"/>
      <c r="AO165" s="4"/>
      <c r="AP165" s="4"/>
      <c r="AQ165" s="4"/>
      <c r="AR165" s="4"/>
      <c r="AS165" s="4"/>
      <c r="AT165" s="4"/>
      <c r="AU165" s="4"/>
      <c r="AV165" s="4"/>
      <c r="AW165" s="4"/>
      <c r="AX165" s="4"/>
      <c r="AY165" s="4"/>
      <c r="AZ165" s="4"/>
      <c r="BA165" s="4"/>
      <c r="BB165" s="4"/>
      <c r="BC165" s="4"/>
      <c r="BD165" s="4"/>
      <c r="BE165" s="4"/>
      <c r="BF165" s="4"/>
      <c r="BG165" s="4"/>
      <c r="BH165" s="4"/>
      <c r="BI165" s="4"/>
      <c r="BJ165" s="4"/>
      <c r="BK165" s="4"/>
      <c r="BL165" s="4"/>
      <c r="BM165" s="4"/>
      <c r="BN165" s="4"/>
    </row>
    <row r="166" ht="13.5" customHeight="1" spans="1:66" x14ac:dyDescent="0.25">
      <c r="A166" s="4"/>
      <c r="B166" s="4"/>
      <c r="C166" s="533"/>
      <c r="D166" s="4"/>
      <c r="E166" s="4"/>
      <c r="F166" s="4"/>
      <c r="G166" s="4"/>
      <c r="H166" s="4"/>
      <c r="I166" s="4"/>
      <c r="J166" s="4"/>
      <c r="K166" s="4"/>
      <c r="L166" s="4"/>
      <c r="M166" s="4"/>
      <c r="N166" s="4"/>
      <c r="O166" s="4"/>
      <c r="P166" s="4"/>
      <c r="Q166" s="4"/>
      <c r="R166" s="4"/>
      <c r="S166" s="4"/>
      <c r="T166" s="4"/>
      <c r="U166" s="4"/>
      <c r="V166" s="4"/>
      <c r="W166" s="4"/>
      <c r="X166" s="4"/>
      <c r="Y166" s="4"/>
      <c r="Z166" s="4"/>
      <c r="AA166" s="4"/>
      <c r="AB166" s="4"/>
      <c r="AC166" s="4"/>
      <c r="AD166" s="4"/>
      <c r="AE166" s="4"/>
      <c r="AF166" s="4"/>
      <c r="AG166" s="4"/>
      <c r="AH166" s="4"/>
      <c r="AI166" s="4"/>
      <c r="AJ166" s="4"/>
      <c r="AK166" s="4"/>
      <c r="AL166" s="4"/>
      <c r="AM166" s="4"/>
      <c r="AN166" s="4"/>
      <c r="AO166" s="4"/>
      <c r="AP166" s="4"/>
      <c r="AQ166" s="4"/>
      <c r="AR166" s="4"/>
      <c r="AS166" s="4"/>
      <c r="AT166" s="4"/>
      <c r="AU166" s="4"/>
      <c r="AV166" s="4"/>
      <c r="AW166" s="4"/>
      <c r="AX166" s="4"/>
      <c r="AY166" s="4"/>
      <c r="AZ166" s="4"/>
      <c r="BA166" s="4"/>
      <c r="BB166" s="4"/>
      <c r="BC166" s="4"/>
      <c r="BD166" s="4"/>
      <c r="BE166" s="4"/>
      <c r="BF166" s="4"/>
      <c r="BG166" s="4"/>
      <c r="BH166" s="4"/>
      <c r="BI166" s="4"/>
      <c r="BJ166" s="4"/>
      <c r="BK166" s="4"/>
      <c r="BL166" s="4"/>
      <c r="BM166" s="4"/>
      <c r="BN166" s="4"/>
    </row>
    <row r="167" ht="13.5" customHeight="1" spans="1:66" x14ac:dyDescent="0.25">
      <c r="A167" s="4"/>
      <c r="B167" s="4"/>
      <c r="C167" s="533"/>
      <c r="D167" s="4"/>
      <c r="E167" s="4"/>
      <c r="F167" s="4"/>
      <c r="G167" s="4"/>
      <c r="H167" s="4"/>
      <c r="I167" s="4"/>
      <c r="J167" s="4"/>
      <c r="K167" s="4"/>
      <c r="L167" s="4"/>
      <c r="M167" s="4"/>
      <c r="N167" s="4"/>
      <c r="O167" s="4"/>
      <c r="P167" s="4"/>
      <c r="Q167" s="4"/>
      <c r="R167" s="4"/>
      <c r="S167" s="4"/>
      <c r="T167" s="4"/>
      <c r="U167" s="4"/>
      <c r="V167" s="4"/>
      <c r="W167" s="4"/>
      <c r="X167" s="4"/>
      <c r="Y167" s="4"/>
      <c r="Z167" s="4"/>
      <c r="AA167" s="4"/>
      <c r="AB167" s="4"/>
      <c r="AC167" s="4"/>
      <c r="AD167" s="4"/>
      <c r="AE167" s="4"/>
      <c r="AF167" s="4"/>
      <c r="AG167" s="4"/>
      <c r="AH167" s="4"/>
      <c r="AI167" s="4"/>
      <c r="AJ167" s="4"/>
      <c r="AK167" s="4"/>
      <c r="AL167" s="4"/>
      <c r="AM167" s="4"/>
      <c r="AN167" s="4"/>
      <c r="AO167" s="4"/>
      <c r="AP167" s="4"/>
      <c r="AQ167" s="4"/>
      <c r="AR167" s="4"/>
      <c r="AS167" s="4"/>
      <c r="AT167" s="4"/>
      <c r="AU167" s="4"/>
      <c r="AV167" s="4"/>
      <c r="AW167" s="4"/>
      <c r="AX167" s="4"/>
      <c r="AY167" s="4"/>
      <c r="AZ167" s="4"/>
      <c r="BA167" s="4"/>
      <c r="BB167" s="4"/>
      <c r="BC167" s="4"/>
      <c r="BD167" s="4"/>
      <c r="BE167" s="4"/>
      <c r="BF167" s="4"/>
      <c r="BG167" s="4"/>
      <c r="BH167" s="4"/>
      <c r="BI167" s="4"/>
      <c r="BJ167" s="4"/>
      <c r="BK167" s="4"/>
      <c r="BL167" s="4"/>
      <c r="BM167" s="4"/>
      <c r="BN167" s="4"/>
    </row>
    <row r="168" ht="13.5" customHeight="1" spans="1:66" x14ac:dyDescent="0.25">
      <c r="A168" s="4"/>
      <c r="B168" s="4"/>
      <c r="C168" s="533"/>
      <c r="D168" s="4"/>
      <c r="E168" s="4"/>
      <c r="F168" s="4"/>
      <c r="G168" s="4"/>
      <c r="H168" s="4"/>
      <c r="I168" s="4"/>
      <c r="J168" s="4"/>
      <c r="K168" s="4"/>
      <c r="L168" s="4"/>
      <c r="M168" s="4"/>
      <c r="N168" s="4"/>
      <c r="O168" s="4"/>
      <c r="P168" s="4"/>
      <c r="Q168" s="4"/>
      <c r="R168" s="4"/>
      <c r="S168" s="4"/>
      <c r="T168" s="4"/>
      <c r="U168" s="4"/>
      <c r="V168" s="4"/>
      <c r="W168" s="4"/>
      <c r="X168" s="4"/>
      <c r="Y168" s="4"/>
      <c r="Z168" s="4"/>
      <c r="AA168" s="4"/>
      <c r="AB168" s="4"/>
      <c r="AC168" s="4"/>
      <c r="AD168" s="4"/>
      <c r="AE168" s="4"/>
      <c r="AF168" s="4"/>
      <c r="AG168" s="4"/>
      <c r="AH168" s="4"/>
      <c r="AI168" s="4"/>
      <c r="AJ168" s="4"/>
      <c r="AK168" s="4"/>
      <c r="AL168" s="4"/>
      <c r="AM168" s="4"/>
      <c r="AN168" s="4"/>
      <c r="AO168" s="4"/>
      <c r="AP168" s="4"/>
      <c r="AQ168" s="4"/>
      <c r="AR168" s="4"/>
      <c r="AS168" s="4"/>
      <c r="AT168" s="4"/>
      <c r="AU168" s="4"/>
      <c r="AV168" s="4"/>
      <c r="AW168" s="4"/>
      <c r="AX168" s="4"/>
      <c r="AY168" s="4"/>
      <c r="AZ168" s="4"/>
      <c r="BA168" s="4"/>
      <c r="BB168" s="4"/>
      <c r="BC168" s="4"/>
      <c r="BD168" s="4"/>
      <c r="BE168" s="4"/>
      <c r="BF168" s="4"/>
      <c r="BG168" s="4"/>
      <c r="BH168" s="4"/>
      <c r="BI168" s="4"/>
      <c r="BJ168" s="4"/>
      <c r="BK168" s="4"/>
      <c r="BL168" s="4"/>
      <c r="BM168" s="4"/>
      <c r="BN168" s="4"/>
    </row>
    <row r="169" ht="13.5" customHeight="1" spans="1:66" x14ac:dyDescent="0.25">
      <c r="A169" s="4"/>
      <c r="B169" s="4"/>
      <c r="C169" s="533"/>
      <c r="D169" s="4"/>
      <c r="E169" s="4"/>
      <c r="F169" s="4"/>
      <c r="G169" s="4"/>
      <c r="H169" s="4"/>
      <c r="I169" s="4"/>
      <c r="J169" s="4"/>
      <c r="K169" s="4"/>
      <c r="L169" s="4"/>
      <c r="M169" s="4"/>
      <c r="N169" s="4"/>
      <c r="O169" s="4"/>
      <c r="P169" s="4"/>
      <c r="Q169" s="4"/>
      <c r="R169" s="4"/>
      <c r="S169" s="4"/>
      <c r="T169" s="4"/>
      <c r="U169" s="4"/>
      <c r="V169" s="4"/>
      <c r="W169" s="4"/>
      <c r="X169" s="4"/>
      <c r="Y169" s="4"/>
      <c r="Z169" s="4"/>
      <c r="AA169" s="4"/>
      <c r="AB169" s="4"/>
      <c r="AC169" s="4"/>
      <c r="AD169" s="4"/>
      <c r="AE169" s="4"/>
      <c r="AF169" s="4"/>
      <c r="AG169" s="4"/>
      <c r="AH169" s="4"/>
      <c r="AI169" s="4"/>
      <c r="AJ169" s="4"/>
      <c r="AK169" s="4"/>
      <c r="AL169" s="4"/>
      <c r="AM169" s="4"/>
      <c r="AN169" s="4"/>
      <c r="AO169" s="4"/>
      <c r="AP169" s="4"/>
      <c r="AQ169" s="4"/>
      <c r="AR169" s="4"/>
      <c r="AS169" s="4"/>
      <c r="AT169" s="4"/>
      <c r="AU169" s="4"/>
      <c r="AV169" s="4"/>
      <c r="AW169" s="4"/>
      <c r="AX169" s="4"/>
      <c r="AY169" s="4"/>
      <c r="AZ169" s="4"/>
      <c r="BA169" s="4"/>
      <c r="BB169" s="4"/>
      <c r="BC169" s="4"/>
      <c r="BD169" s="4"/>
      <c r="BE169" s="4"/>
      <c r="BF169" s="4"/>
      <c r="BG169" s="4"/>
      <c r="BH169" s="4"/>
      <c r="BI169" s="4"/>
      <c r="BJ169" s="4"/>
      <c r="BK169" s="4"/>
      <c r="BL169" s="4"/>
      <c r="BM169" s="4"/>
      <c r="BN169" s="4"/>
    </row>
    <row r="170" ht="13.5" customHeight="1" spans="1:66" x14ac:dyDescent="0.25">
      <c r="A170" s="4"/>
      <c r="B170" s="4"/>
      <c r="C170" s="533"/>
      <c r="D170" s="4"/>
      <c r="E170" s="4"/>
      <c r="F170" s="4"/>
      <c r="G170" s="4"/>
      <c r="H170" s="4"/>
      <c r="I170" s="4"/>
      <c r="J170" s="4"/>
      <c r="K170" s="4"/>
      <c r="L170" s="4"/>
      <c r="M170" s="4"/>
      <c r="N170" s="4"/>
      <c r="O170" s="4"/>
      <c r="P170" s="4"/>
      <c r="Q170" s="4"/>
      <c r="R170" s="4"/>
      <c r="S170" s="4"/>
      <c r="T170" s="4"/>
      <c r="U170" s="4"/>
      <c r="V170" s="4"/>
      <c r="W170" s="4"/>
      <c r="X170" s="4"/>
      <c r="Y170" s="4"/>
      <c r="Z170" s="4"/>
      <c r="AA170" s="4"/>
      <c r="AB170" s="4"/>
      <c r="AC170" s="4"/>
      <c r="AD170" s="4"/>
      <c r="AE170" s="4"/>
      <c r="AF170" s="4"/>
      <c r="AG170" s="4"/>
      <c r="AH170" s="4"/>
      <c r="AI170" s="4"/>
      <c r="AJ170" s="4"/>
      <c r="AK170" s="4"/>
      <c r="AL170" s="4"/>
      <c r="AM170" s="4"/>
      <c r="AN170" s="4"/>
      <c r="AO170" s="4"/>
      <c r="AP170" s="4"/>
      <c r="AQ170" s="4"/>
      <c r="AR170" s="4"/>
      <c r="AS170" s="4"/>
      <c r="AT170" s="4"/>
      <c r="AU170" s="4"/>
      <c r="AV170" s="4"/>
      <c r="AW170" s="4"/>
      <c r="AX170" s="4"/>
      <c r="AY170" s="4"/>
      <c r="AZ170" s="4"/>
      <c r="BA170" s="4"/>
      <c r="BB170" s="4"/>
      <c r="BC170" s="4"/>
      <c r="BD170" s="4"/>
      <c r="BE170" s="4"/>
      <c r="BF170" s="4"/>
      <c r="BG170" s="4"/>
      <c r="BH170" s="4"/>
      <c r="BI170" s="4"/>
      <c r="BJ170" s="4"/>
      <c r="BK170" s="4"/>
      <c r="BL170" s="4"/>
      <c r="BM170" s="4"/>
      <c r="BN170" s="4"/>
    </row>
    <row r="171" ht="13.5" customHeight="1" spans="1:66" x14ac:dyDescent="0.25">
      <c r="A171" s="4"/>
      <c r="B171" s="4"/>
      <c r="C171" s="533"/>
      <c r="D171" s="4"/>
      <c r="E171" s="4"/>
      <c r="F171" s="4"/>
      <c r="G171" s="4"/>
      <c r="H171" s="4"/>
      <c r="I171" s="4"/>
      <c r="J171" s="4"/>
      <c r="K171" s="4"/>
      <c r="L171" s="4"/>
      <c r="M171" s="4"/>
      <c r="N171" s="4"/>
      <c r="O171" s="4"/>
      <c r="P171" s="4"/>
      <c r="Q171" s="4"/>
      <c r="R171" s="4"/>
      <c r="S171" s="4"/>
      <c r="T171" s="4"/>
      <c r="U171" s="4"/>
      <c r="V171" s="4"/>
      <c r="W171" s="4"/>
      <c r="X171" s="4"/>
      <c r="Y171" s="4"/>
      <c r="Z171" s="4"/>
      <c r="AA171" s="4"/>
      <c r="AB171" s="4"/>
      <c r="AC171" s="4"/>
      <c r="AD171" s="4"/>
      <c r="AE171" s="4"/>
      <c r="AF171" s="4"/>
      <c r="AG171" s="4"/>
      <c r="AH171" s="4"/>
      <c r="AI171" s="4"/>
      <c r="AJ171" s="4"/>
      <c r="AK171" s="4"/>
      <c r="AL171" s="4"/>
      <c r="AM171" s="4"/>
      <c r="AN171" s="4"/>
      <c r="AO171" s="4"/>
      <c r="AP171" s="4"/>
      <c r="AQ171" s="4"/>
      <c r="AR171" s="4"/>
      <c r="AS171" s="4"/>
      <c r="AT171" s="4"/>
      <c r="AU171" s="4"/>
      <c r="AV171" s="4"/>
      <c r="AW171" s="4"/>
      <c r="AX171" s="4"/>
      <c r="AY171" s="4"/>
      <c r="AZ171" s="4"/>
      <c r="BA171" s="4"/>
      <c r="BB171" s="4"/>
      <c r="BC171" s="4"/>
      <c r="BD171" s="4"/>
      <c r="BE171" s="4"/>
      <c r="BF171" s="4"/>
      <c r="BG171" s="4"/>
      <c r="BH171" s="4"/>
      <c r="BI171" s="4"/>
      <c r="BJ171" s="4"/>
      <c r="BK171" s="4"/>
      <c r="BL171" s="4"/>
      <c r="BM171" s="4"/>
      <c r="BN171" s="4"/>
    </row>
    <row r="172" ht="13.5" customHeight="1" spans="1:66" x14ac:dyDescent="0.25">
      <c r="A172" s="4"/>
      <c r="B172" s="4"/>
      <c r="C172" s="533"/>
      <c r="D172" s="4"/>
      <c r="E172" s="4"/>
      <c r="F172" s="4"/>
      <c r="G172" s="4"/>
      <c r="H172" s="4"/>
      <c r="I172" s="4"/>
      <c r="J172" s="4"/>
      <c r="K172" s="4"/>
      <c r="L172" s="4"/>
      <c r="M172" s="4"/>
      <c r="N172" s="4"/>
      <c r="O172" s="4"/>
      <c r="P172" s="4"/>
      <c r="Q172" s="4"/>
      <c r="R172" s="4"/>
      <c r="S172" s="4"/>
      <c r="T172" s="4"/>
      <c r="U172" s="4"/>
      <c r="V172" s="4"/>
      <c r="W172" s="4"/>
      <c r="X172" s="4"/>
      <c r="Y172" s="4"/>
      <c r="Z172" s="4"/>
      <c r="AA172" s="4"/>
      <c r="AB172" s="4"/>
      <c r="AC172" s="4"/>
      <c r="AD172" s="4"/>
      <c r="AE172" s="4"/>
      <c r="AF172" s="4"/>
      <c r="AG172" s="4"/>
      <c r="AH172" s="4"/>
      <c r="AI172" s="4"/>
      <c r="AJ172" s="4"/>
      <c r="AK172" s="4"/>
      <c r="AL172" s="4"/>
      <c r="AM172" s="4"/>
      <c r="AN172" s="4"/>
      <c r="AO172" s="4"/>
      <c r="AP172" s="4"/>
      <c r="AQ172" s="4"/>
      <c r="AR172" s="4"/>
      <c r="AS172" s="4"/>
      <c r="AT172" s="4"/>
      <c r="AU172" s="4"/>
      <c r="AV172" s="4"/>
      <c r="AW172" s="4"/>
      <c r="AX172" s="4"/>
      <c r="AY172" s="4"/>
      <c r="AZ172" s="4"/>
      <c r="BA172" s="4"/>
      <c r="BB172" s="4"/>
      <c r="BC172" s="4"/>
      <c r="BD172" s="4"/>
      <c r="BE172" s="4"/>
      <c r="BF172" s="4"/>
      <c r="BG172" s="4"/>
      <c r="BH172" s="4"/>
      <c r="BI172" s="4"/>
      <c r="BJ172" s="4"/>
      <c r="BK172" s="4"/>
      <c r="BL172" s="4"/>
      <c r="BM172" s="4"/>
      <c r="BN172" s="4"/>
    </row>
    <row r="173" ht="13.5" customHeight="1" spans="1:66" x14ac:dyDescent="0.25">
      <c r="A173" s="4"/>
      <c r="B173" s="4"/>
      <c r="C173" s="533"/>
      <c r="D173" s="4"/>
      <c r="E173" s="4"/>
      <c r="F173" s="4"/>
      <c r="G173" s="4"/>
      <c r="H173" s="4"/>
      <c r="I173" s="4"/>
      <c r="J173" s="4"/>
      <c r="K173" s="4"/>
      <c r="L173" s="4"/>
      <c r="M173" s="4"/>
      <c r="N173" s="4"/>
      <c r="O173" s="4"/>
      <c r="P173" s="4"/>
      <c r="Q173" s="4"/>
      <c r="R173" s="4"/>
      <c r="S173" s="4"/>
      <c r="T173" s="4"/>
      <c r="U173" s="4"/>
      <c r="V173" s="4"/>
      <c r="W173" s="4"/>
      <c r="X173" s="4"/>
      <c r="Y173" s="4"/>
      <c r="Z173" s="4"/>
      <c r="AA173" s="4"/>
      <c r="AB173" s="4"/>
      <c r="AC173" s="4"/>
      <c r="AD173" s="4"/>
      <c r="AE173" s="4"/>
      <c r="AF173" s="4"/>
      <c r="AG173" s="4"/>
      <c r="AH173" s="4"/>
      <c r="AI173" s="4"/>
      <c r="AJ173" s="4"/>
      <c r="AK173" s="4"/>
      <c r="AL173" s="4"/>
      <c r="AM173" s="4"/>
      <c r="AN173" s="4"/>
      <c r="AO173" s="4"/>
      <c r="AP173" s="4"/>
      <c r="AQ173" s="4"/>
      <c r="AR173" s="4"/>
      <c r="AS173" s="4"/>
      <c r="AT173" s="4"/>
      <c r="AU173" s="4"/>
      <c r="AV173" s="4"/>
      <c r="AW173" s="4"/>
      <c r="AX173" s="4"/>
      <c r="AY173" s="4"/>
      <c r="AZ173" s="4"/>
      <c r="BA173" s="4"/>
      <c r="BB173" s="4"/>
      <c r="BC173" s="4"/>
      <c r="BD173" s="4"/>
      <c r="BE173" s="4"/>
      <c r="BF173" s="4"/>
      <c r="BG173" s="4"/>
      <c r="BH173" s="4"/>
      <c r="BI173" s="4"/>
      <c r="BJ173" s="4"/>
      <c r="BK173" s="4"/>
      <c r="BL173" s="4"/>
      <c r="BM173" s="4"/>
      <c r="BN173" s="4"/>
    </row>
    <row r="174" ht="13.5" customHeight="1" spans="1:66" x14ac:dyDescent="0.25">
      <c r="A174" s="4"/>
      <c r="B174" s="4"/>
      <c r="C174" s="533"/>
      <c r="D174" s="4"/>
      <c r="E174" s="4"/>
      <c r="F174" s="4"/>
      <c r="G174" s="4"/>
      <c r="H174" s="4"/>
      <c r="I174" s="4"/>
      <c r="J174" s="4"/>
      <c r="K174" s="4"/>
      <c r="L174" s="4"/>
      <c r="M174" s="4"/>
      <c r="N174" s="4"/>
      <c r="O174" s="4"/>
      <c r="P174" s="4"/>
      <c r="Q174" s="4"/>
      <c r="R174" s="4"/>
      <c r="S174" s="4"/>
      <c r="T174" s="4"/>
      <c r="U174" s="4"/>
      <c r="V174" s="4"/>
      <c r="W174" s="4"/>
      <c r="X174" s="4"/>
      <c r="Y174" s="4"/>
      <c r="Z174" s="4"/>
      <c r="AA174" s="4"/>
      <c r="AB174" s="4"/>
      <c r="AC174" s="4"/>
      <c r="AD174" s="4"/>
      <c r="AE174" s="4"/>
      <c r="AF174" s="4"/>
      <c r="AG174" s="4"/>
      <c r="AH174" s="4"/>
      <c r="AI174" s="4"/>
      <c r="AJ174" s="4"/>
      <c r="AK174" s="4"/>
      <c r="AL174" s="4"/>
      <c r="AM174" s="4"/>
      <c r="AN174" s="4"/>
      <c r="AO174" s="4"/>
      <c r="AP174" s="4"/>
      <c r="AQ174" s="4"/>
      <c r="AR174" s="4"/>
      <c r="AS174" s="4"/>
      <c r="AT174" s="4"/>
      <c r="AU174" s="4"/>
      <c r="AV174" s="4"/>
      <c r="AW174" s="4"/>
      <c r="AX174" s="4"/>
      <c r="AY174" s="4"/>
      <c r="AZ174" s="4"/>
      <c r="BA174" s="4"/>
      <c r="BB174" s="4"/>
      <c r="BC174" s="4"/>
      <c r="BD174" s="4"/>
      <c r="BE174" s="4"/>
      <c r="BF174" s="4"/>
      <c r="BG174" s="4"/>
      <c r="BH174" s="4"/>
      <c r="BI174" s="4"/>
      <c r="BJ174" s="4"/>
      <c r="BK174" s="4"/>
      <c r="BL174" s="4"/>
      <c r="BM174" s="4"/>
      <c r="BN174" s="4"/>
    </row>
    <row r="175" ht="13.5" customHeight="1" spans="1:66" x14ac:dyDescent="0.25">
      <c r="A175" s="4"/>
      <c r="B175" s="4"/>
      <c r="C175" s="533"/>
      <c r="D175" s="4"/>
      <c r="E175" s="4"/>
      <c r="F175" s="4"/>
      <c r="G175" s="4"/>
      <c r="H175" s="4"/>
      <c r="I175" s="4"/>
      <c r="J175" s="4"/>
      <c r="K175" s="4"/>
      <c r="L175" s="4"/>
      <c r="M175" s="4"/>
      <c r="N175" s="4"/>
      <c r="O175" s="4"/>
      <c r="P175" s="4"/>
      <c r="Q175" s="4"/>
      <c r="R175" s="4"/>
      <c r="S175" s="4"/>
      <c r="T175" s="4"/>
      <c r="U175" s="4"/>
      <c r="V175" s="4"/>
      <c r="W175" s="4"/>
      <c r="X175" s="4"/>
      <c r="Y175" s="4"/>
      <c r="Z175" s="4"/>
      <c r="AA175" s="4"/>
      <c r="AB175" s="4"/>
      <c r="AC175" s="4"/>
      <c r="AD175" s="4"/>
      <c r="AE175" s="4"/>
      <c r="AF175" s="4"/>
      <c r="AG175" s="4"/>
      <c r="AH175" s="4"/>
      <c r="AI175" s="4"/>
      <c r="AJ175" s="4"/>
      <c r="AK175" s="4"/>
      <c r="AL175" s="4"/>
      <c r="AM175" s="4"/>
      <c r="AN175" s="4"/>
      <c r="AO175" s="4"/>
      <c r="AP175" s="4"/>
      <c r="AQ175" s="4"/>
      <c r="AR175" s="4"/>
      <c r="AS175" s="4"/>
      <c r="AT175" s="4"/>
      <c r="AU175" s="4"/>
      <c r="AV175" s="4"/>
      <c r="AW175" s="4"/>
      <c r="AX175" s="4"/>
      <c r="AY175" s="4"/>
      <c r="AZ175" s="4"/>
      <c r="BA175" s="4"/>
      <c r="BB175" s="4"/>
      <c r="BC175" s="4"/>
      <c r="BD175" s="4"/>
      <c r="BE175" s="4"/>
      <c r="BF175" s="4"/>
      <c r="BG175" s="4"/>
      <c r="BH175" s="4"/>
      <c r="BI175" s="4"/>
      <c r="BJ175" s="4"/>
      <c r="BK175" s="4"/>
      <c r="BL175" s="4"/>
      <c r="BM175" s="4"/>
      <c r="BN175" s="4"/>
    </row>
    <row r="176" ht="13.5" customHeight="1" spans="1:66" x14ac:dyDescent="0.25">
      <c r="A176" s="4"/>
      <c r="B176" s="4"/>
      <c r="C176" s="533"/>
      <c r="D176" s="4"/>
      <c r="E176" s="4"/>
      <c r="F176" s="4"/>
      <c r="G176" s="4"/>
      <c r="H176" s="4"/>
      <c r="I176" s="4"/>
      <c r="J176" s="4"/>
      <c r="K176" s="4"/>
      <c r="L176" s="4"/>
      <c r="M176" s="4"/>
      <c r="N176" s="4"/>
      <c r="O176" s="4"/>
      <c r="P176" s="4"/>
      <c r="Q176" s="4"/>
      <c r="R176" s="4"/>
      <c r="S176" s="4"/>
      <c r="T176" s="4"/>
      <c r="U176" s="4"/>
      <c r="V176" s="4"/>
      <c r="W176" s="4"/>
      <c r="X176" s="4"/>
      <c r="Y176" s="4"/>
      <c r="Z176" s="4"/>
      <c r="AA176" s="4"/>
      <c r="AB176" s="4"/>
      <c r="AC176" s="4"/>
      <c r="AD176" s="4"/>
      <c r="AE176" s="4"/>
      <c r="AF176" s="4"/>
      <c r="AG176" s="4"/>
      <c r="AH176" s="4"/>
      <c r="AI176" s="4"/>
      <c r="AJ176" s="4"/>
      <c r="AK176" s="4"/>
      <c r="AL176" s="4"/>
      <c r="AM176" s="4"/>
      <c r="AN176" s="4"/>
      <c r="AO176" s="4"/>
      <c r="AP176" s="4"/>
      <c r="AQ176" s="4"/>
      <c r="AR176" s="4"/>
      <c r="AS176" s="4"/>
      <c r="AT176" s="4"/>
      <c r="AU176" s="4"/>
      <c r="AV176" s="4"/>
      <c r="AW176" s="4"/>
      <c r="AX176" s="4"/>
      <c r="AY176" s="4"/>
      <c r="AZ176" s="4"/>
      <c r="BA176" s="4"/>
      <c r="BB176" s="4"/>
      <c r="BC176" s="4"/>
      <c r="BD176" s="4"/>
      <c r="BE176" s="4"/>
      <c r="BF176" s="4"/>
      <c r="BG176" s="4"/>
      <c r="BH176" s="4"/>
      <c r="BI176" s="4"/>
      <c r="BJ176" s="4"/>
      <c r="BK176" s="4"/>
      <c r="BL176" s="4"/>
      <c r="BM176" s="4"/>
      <c r="BN176" s="4"/>
    </row>
    <row r="177" ht="13.5" customHeight="1" spans="1:66" x14ac:dyDescent="0.25">
      <c r="A177" s="4"/>
      <c r="B177" s="4"/>
      <c r="C177" s="533"/>
      <c r="D177" s="4"/>
      <c r="E177" s="4"/>
      <c r="F177" s="4"/>
      <c r="G177" s="4"/>
      <c r="H177" s="4"/>
      <c r="I177" s="4"/>
      <c r="J177" s="4"/>
      <c r="K177" s="4"/>
      <c r="L177" s="4"/>
      <c r="M177" s="4"/>
      <c r="N177" s="4"/>
      <c r="O177" s="4"/>
      <c r="P177" s="4"/>
      <c r="Q177" s="4"/>
      <c r="R177" s="4"/>
      <c r="S177" s="4"/>
      <c r="T177" s="4"/>
      <c r="U177" s="4"/>
      <c r="V177" s="4"/>
      <c r="W177" s="4"/>
      <c r="X177" s="4"/>
      <c r="Y177" s="4"/>
      <c r="Z177" s="4"/>
      <c r="AA177" s="4"/>
      <c r="AB177" s="4"/>
      <c r="AC177" s="4"/>
      <c r="AD177" s="4"/>
      <c r="AE177" s="4"/>
      <c r="AF177" s="4"/>
      <c r="AG177" s="4"/>
      <c r="AH177" s="4"/>
      <c r="AI177" s="4"/>
      <c r="AJ177" s="4"/>
      <c r="AK177" s="4"/>
      <c r="AL177" s="4"/>
      <c r="AM177" s="4"/>
      <c r="AN177" s="4"/>
      <c r="AO177" s="4"/>
      <c r="AP177" s="4"/>
      <c r="AQ177" s="4"/>
      <c r="AR177" s="4"/>
      <c r="AS177" s="4"/>
      <c r="AT177" s="4"/>
      <c r="AU177" s="4"/>
      <c r="AV177" s="4"/>
      <c r="AW177" s="4"/>
      <c r="AX177" s="4"/>
      <c r="AY177" s="4"/>
      <c r="AZ177" s="4"/>
      <c r="BA177" s="4"/>
      <c r="BB177" s="4"/>
      <c r="BC177" s="4"/>
      <c r="BD177" s="4"/>
      <c r="BE177" s="4"/>
      <c r="BF177" s="4"/>
      <c r="BG177" s="4"/>
      <c r="BH177" s="4"/>
      <c r="BI177" s="4"/>
      <c r="BJ177" s="4"/>
      <c r="BK177" s="4"/>
      <c r="BL177" s="4"/>
      <c r="BM177" s="4"/>
      <c r="BN177" s="4"/>
    </row>
    <row r="178" ht="13.5" customHeight="1" spans="1:66" x14ac:dyDescent="0.25">
      <c r="A178" s="4"/>
      <c r="B178" s="4"/>
      <c r="C178" s="533"/>
      <c r="D178" s="4"/>
      <c r="E178" s="4"/>
      <c r="F178" s="4"/>
      <c r="G178" s="4"/>
      <c r="H178" s="4"/>
      <c r="I178" s="4"/>
      <c r="J178" s="4"/>
      <c r="K178" s="4"/>
      <c r="L178" s="4"/>
      <c r="M178" s="4"/>
      <c r="N178" s="4"/>
      <c r="O178" s="4"/>
      <c r="P178" s="4"/>
      <c r="Q178" s="4"/>
      <c r="R178" s="4"/>
      <c r="S178" s="4"/>
      <c r="T178" s="4"/>
      <c r="U178" s="4"/>
      <c r="V178" s="4"/>
      <c r="W178" s="4"/>
      <c r="X178" s="4"/>
      <c r="Y178" s="4"/>
      <c r="Z178" s="4"/>
      <c r="AA178" s="4"/>
      <c r="AB178" s="4"/>
      <c r="AC178" s="4"/>
      <c r="AD178" s="4"/>
      <c r="AE178" s="4"/>
      <c r="AF178" s="4"/>
      <c r="AG178" s="4"/>
      <c r="AH178" s="4"/>
      <c r="AI178" s="4"/>
      <c r="AJ178" s="4"/>
      <c r="AK178" s="4"/>
      <c r="AL178" s="4"/>
      <c r="AM178" s="4"/>
      <c r="AN178" s="4"/>
      <c r="AO178" s="4"/>
      <c r="AP178" s="4"/>
      <c r="AQ178" s="4"/>
      <c r="AR178" s="4"/>
      <c r="AS178" s="4"/>
      <c r="AT178" s="4"/>
      <c r="AU178" s="4"/>
      <c r="AV178" s="4"/>
      <c r="AW178" s="4"/>
      <c r="AX178" s="4"/>
      <c r="AY178" s="4"/>
      <c r="AZ178" s="4"/>
      <c r="BA178" s="4"/>
      <c r="BB178" s="4"/>
      <c r="BC178" s="4"/>
      <c r="BD178" s="4"/>
      <c r="BE178" s="4"/>
      <c r="BF178" s="4"/>
      <c r="BG178" s="4"/>
      <c r="BH178" s="4"/>
      <c r="BI178" s="4"/>
      <c r="BJ178" s="4"/>
      <c r="BK178" s="4"/>
      <c r="BL178" s="4"/>
      <c r="BM178" s="4"/>
      <c r="BN178" s="4"/>
    </row>
    <row r="179" ht="13.5" customHeight="1" spans="1:66" x14ac:dyDescent="0.25">
      <c r="A179" s="4"/>
      <c r="B179" s="4"/>
      <c r="C179" s="533"/>
      <c r="D179" s="4"/>
      <c r="E179" s="4"/>
      <c r="F179" s="4"/>
      <c r="G179" s="4"/>
      <c r="H179" s="4"/>
      <c r="I179" s="4"/>
      <c r="J179" s="4"/>
      <c r="K179" s="4"/>
      <c r="L179" s="4"/>
      <c r="M179" s="4"/>
      <c r="N179" s="4"/>
      <c r="O179" s="4"/>
      <c r="P179" s="4"/>
      <c r="Q179" s="4"/>
      <c r="R179" s="4"/>
      <c r="S179" s="4"/>
      <c r="T179" s="4"/>
      <c r="U179" s="4"/>
      <c r="V179" s="4"/>
      <c r="W179" s="4"/>
      <c r="X179" s="4"/>
      <c r="Y179" s="4"/>
      <c r="Z179" s="4"/>
      <c r="AA179" s="4"/>
      <c r="AB179" s="4"/>
      <c r="AC179" s="4"/>
      <c r="AD179" s="4"/>
      <c r="AE179" s="4"/>
      <c r="AF179" s="4"/>
      <c r="AG179" s="4"/>
      <c r="AH179" s="4"/>
      <c r="AI179" s="4"/>
      <c r="AJ179" s="4"/>
      <c r="AK179" s="4"/>
      <c r="AL179" s="4"/>
      <c r="AM179" s="4"/>
      <c r="AN179" s="4"/>
      <c r="AO179" s="4"/>
      <c r="AP179" s="4"/>
      <c r="AQ179" s="4"/>
      <c r="AR179" s="4"/>
      <c r="AS179" s="4"/>
      <c r="AT179" s="4"/>
      <c r="AU179" s="4"/>
      <c r="AV179" s="4"/>
      <c r="AW179" s="4"/>
      <c r="AX179" s="4"/>
      <c r="AY179" s="4"/>
      <c r="AZ179" s="4"/>
      <c r="BA179" s="4"/>
      <c r="BB179" s="4"/>
      <c r="BC179" s="4"/>
      <c r="BD179" s="4"/>
      <c r="BE179" s="4"/>
      <c r="BF179" s="4"/>
      <c r="BG179" s="4"/>
      <c r="BH179" s="4"/>
      <c r="BI179" s="4"/>
      <c r="BJ179" s="4"/>
      <c r="BK179" s="4"/>
      <c r="BL179" s="4"/>
      <c r="BM179" s="4"/>
      <c r="BN179" s="4"/>
    </row>
    <row r="180" ht="13.5" customHeight="1" spans="1:66" x14ac:dyDescent="0.25">
      <c r="A180" s="4"/>
      <c r="B180" s="4"/>
      <c r="C180" s="533"/>
      <c r="D180" s="4"/>
      <c r="E180" s="4"/>
      <c r="F180" s="4"/>
      <c r="G180" s="4"/>
      <c r="H180" s="4"/>
      <c r="I180" s="4"/>
      <c r="J180" s="4"/>
      <c r="K180" s="4"/>
      <c r="L180" s="4"/>
      <c r="M180" s="4"/>
      <c r="N180" s="4"/>
      <c r="O180" s="4"/>
      <c r="P180" s="4"/>
      <c r="Q180" s="4"/>
      <c r="R180" s="4"/>
      <c r="S180" s="4"/>
      <c r="T180" s="4"/>
      <c r="U180" s="4"/>
      <c r="V180" s="4"/>
      <c r="W180" s="4"/>
      <c r="X180" s="4"/>
      <c r="Y180" s="4"/>
      <c r="Z180" s="4"/>
      <c r="AA180" s="4"/>
      <c r="AB180" s="4"/>
      <c r="AC180" s="4"/>
      <c r="AD180" s="4"/>
      <c r="AE180" s="4"/>
      <c r="AF180" s="4"/>
      <c r="AG180" s="4"/>
      <c r="AH180" s="4"/>
      <c r="AI180" s="4"/>
      <c r="AJ180" s="4"/>
      <c r="AK180" s="4"/>
      <c r="AL180" s="4"/>
      <c r="AM180" s="4"/>
      <c r="AN180" s="4"/>
      <c r="AO180" s="4"/>
      <c r="AP180" s="4"/>
      <c r="AQ180" s="4"/>
      <c r="AR180" s="4"/>
      <c r="AS180" s="4"/>
      <c r="AT180" s="4"/>
      <c r="AU180" s="4"/>
      <c r="AV180" s="4"/>
      <c r="AW180" s="4"/>
      <c r="AX180" s="4"/>
      <c r="AY180" s="4"/>
      <c r="AZ180" s="4"/>
      <c r="BA180" s="4"/>
      <c r="BB180" s="4"/>
      <c r="BC180" s="4"/>
      <c r="BD180" s="4"/>
      <c r="BE180" s="4"/>
      <c r="BF180" s="4"/>
      <c r="BG180" s="4"/>
      <c r="BH180" s="4"/>
      <c r="BI180" s="4"/>
      <c r="BJ180" s="4"/>
      <c r="BK180" s="4"/>
      <c r="BL180" s="4"/>
      <c r="BM180" s="4"/>
      <c r="BN180" s="4"/>
    </row>
    <row r="181" ht="13.5" customHeight="1" spans="1:66" x14ac:dyDescent="0.25">
      <c r="A181" s="4"/>
      <c r="B181" s="4"/>
      <c r="C181" s="533"/>
      <c r="D181" s="4"/>
      <c r="E181" s="4"/>
      <c r="F181" s="4"/>
      <c r="G181" s="4"/>
      <c r="H181" s="4"/>
      <c r="I181" s="4"/>
      <c r="J181" s="4"/>
      <c r="K181" s="4"/>
      <c r="L181" s="4"/>
      <c r="M181" s="4"/>
      <c r="N181" s="4"/>
      <c r="O181" s="4"/>
      <c r="P181" s="4"/>
      <c r="Q181" s="4"/>
      <c r="R181" s="4"/>
      <c r="S181" s="4"/>
      <c r="T181" s="4"/>
      <c r="U181" s="4"/>
      <c r="V181" s="4"/>
      <c r="W181" s="4"/>
      <c r="X181" s="4"/>
      <c r="Y181" s="4"/>
      <c r="Z181" s="4"/>
      <c r="AA181" s="4"/>
      <c r="AB181" s="4"/>
      <c r="AC181" s="4"/>
      <c r="AD181" s="4"/>
      <c r="AE181" s="4"/>
      <c r="AF181" s="4"/>
      <c r="AG181" s="4"/>
      <c r="AH181" s="4"/>
      <c r="AI181" s="4"/>
      <c r="AJ181" s="4"/>
      <c r="AK181" s="4"/>
      <c r="AL181" s="4"/>
      <c r="AM181" s="4"/>
      <c r="AN181" s="4"/>
      <c r="AO181" s="4"/>
      <c r="AP181" s="4"/>
      <c r="AQ181" s="4"/>
      <c r="AR181" s="4"/>
      <c r="AS181" s="4"/>
      <c r="AT181" s="4"/>
      <c r="AU181" s="4"/>
      <c r="AV181" s="4"/>
      <c r="AW181" s="4"/>
      <c r="AX181" s="4"/>
      <c r="AY181" s="4"/>
      <c r="AZ181" s="4"/>
      <c r="BA181" s="4"/>
      <c r="BB181" s="4"/>
      <c r="BC181" s="4"/>
      <c r="BD181" s="4"/>
      <c r="BE181" s="4"/>
      <c r="BF181" s="4"/>
      <c r="BG181" s="4"/>
      <c r="BH181" s="4"/>
      <c r="BI181" s="4"/>
      <c r="BJ181" s="4"/>
      <c r="BK181" s="4"/>
      <c r="BL181" s="4"/>
      <c r="BM181" s="4"/>
      <c r="BN181" s="4"/>
    </row>
    <row r="182" ht="13.5" customHeight="1" spans="1:66" x14ac:dyDescent="0.25">
      <c r="A182" s="4"/>
      <c r="B182" s="4"/>
      <c r="C182" s="533"/>
      <c r="D182" s="4"/>
      <c r="E182" s="4"/>
      <c r="F182" s="4"/>
      <c r="G182" s="4"/>
      <c r="H182" s="4"/>
      <c r="I182" s="4"/>
      <c r="J182" s="4"/>
      <c r="K182" s="4"/>
      <c r="L182" s="4"/>
      <c r="M182" s="4"/>
      <c r="N182" s="4"/>
      <c r="O182" s="4"/>
      <c r="P182" s="4"/>
      <c r="Q182" s="4"/>
      <c r="R182" s="4"/>
      <c r="S182" s="4"/>
      <c r="T182" s="4"/>
      <c r="U182" s="4"/>
      <c r="V182" s="4"/>
      <c r="W182" s="4"/>
      <c r="X182" s="4"/>
      <c r="Y182" s="4"/>
      <c r="Z182" s="4"/>
      <c r="AA182" s="4"/>
      <c r="AB182" s="4"/>
      <c r="AC182" s="4"/>
      <c r="AD182" s="4"/>
      <c r="AE182" s="4"/>
      <c r="AF182" s="4"/>
      <c r="AG182" s="4"/>
      <c r="AH182" s="4"/>
      <c r="AI182" s="4"/>
      <c r="AJ182" s="4"/>
      <c r="AK182" s="4"/>
      <c r="AL182" s="4"/>
      <c r="AM182" s="4"/>
      <c r="AN182" s="4"/>
      <c r="AO182" s="4"/>
      <c r="AP182" s="4"/>
      <c r="AQ182" s="4"/>
      <c r="AR182" s="4"/>
      <c r="AS182" s="4"/>
      <c r="AT182" s="4"/>
      <c r="AU182" s="4"/>
      <c r="AV182" s="4"/>
      <c r="AW182" s="4"/>
      <c r="AX182" s="4"/>
      <c r="AY182" s="4"/>
      <c r="AZ182" s="4"/>
      <c r="BA182" s="4"/>
      <c r="BB182" s="4"/>
      <c r="BC182" s="4"/>
      <c r="BD182" s="4"/>
      <c r="BE182" s="4"/>
      <c r="BF182" s="4"/>
      <c r="BG182" s="4"/>
      <c r="BH182" s="4"/>
      <c r="BI182" s="4"/>
      <c r="BJ182" s="4"/>
      <c r="BK182" s="4"/>
      <c r="BL182" s="4"/>
      <c r="BM182" s="4"/>
      <c r="BN182" s="4"/>
    </row>
    <row r="183" ht="13.5" customHeight="1" spans="1:66" x14ac:dyDescent="0.25">
      <c r="A183" s="4"/>
      <c r="B183" s="4"/>
      <c r="C183" s="533"/>
      <c r="D183" s="4"/>
      <c r="E183" s="4"/>
      <c r="F183" s="4"/>
      <c r="G183" s="4"/>
      <c r="H183" s="4"/>
      <c r="I183" s="4"/>
      <c r="J183" s="4"/>
      <c r="K183" s="4"/>
      <c r="L183" s="4"/>
      <c r="M183" s="4"/>
      <c r="N183" s="4"/>
      <c r="O183" s="4"/>
      <c r="P183" s="4"/>
      <c r="Q183" s="4"/>
      <c r="R183" s="4"/>
      <c r="S183" s="4"/>
      <c r="T183" s="4"/>
      <c r="U183" s="4"/>
      <c r="V183" s="4"/>
      <c r="W183" s="4"/>
      <c r="X183" s="4"/>
      <c r="Y183" s="4"/>
      <c r="Z183" s="4"/>
      <c r="AA183" s="4"/>
      <c r="AB183" s="4"/>
      <c r="AC183" s="4"/>
      <c r="AD183" s="4"/>
      <c r="AE183" s="4"/>
      <c r="AF183" s="4"/>
      <c r="AG183" s="4"/>
      <c r="AH183" s="4"/>
      <c r="AI183" s="4"/>
      <c r="AJ183" s="4"/>
      <c r="AK183" s="4"/>
      <c r="AL183" s="4"/>
      <c r="AM183" s="4"/>
      <c r="AN183" s="4"/>
      <c r="AO183" s="4"/>
      <c r="AP183" s="4"/>
      <c r="AQ183" s="4"/>
      <c r="AR183" s="4"/>
      <c r="AS183" s="4"/>
      <c r="AT183" s="4"/>
      <c r="AU183" s="4"/>
      <c r="AV183" s="4"/>
      <c r="AW183" s="4"/>
      <c r="AX183" s="4"/>
      <c r="AY183" s="4"/>
      <c r="AZ183" s="4"/>
      <c r="BA183" s="4"/>
      <c r="BB183" s="4"/>
      <c r="BC183" s="4"/>
      <c r="BD183" s="4"/>
      <c r="BE183" s="4"/>
      <c r="BF183" s="4"/>
      <c r="BG183" s="4"/>
      <c r="BH183" s="4"/>
      <c r="BI183" s="4"/>
      <c r="BJ183" s="4"/>
      <c r="BK183" s="4"/>
      <c r="BL183" s="4"/>
      <c r="BM183" s="4"/>
      <c r="BN183" s="4"/>
    </row>
    <row r="184" ht="13.5" customHeight="1" spans="1:66" x14ac:dyDescent="0.25">
      <c r="A184" s="4"/>
      <c r="B184" s="4"/>
      <c r="C184" s="533"/>
      <c r="D184" s="4"/>
      <c r="E184" s="4"/>
      <c r="F184" s="4"/>
      <c r="G184" s="4"/>
      <c r="H184" s="4"/>
      <c r="I184" s="4"/>
      <c r="J184" s="4"/>
      <c r="K184" s="4"/>
      <c r="L184" s="4"/>
      <c r="M184" s="4"/>
      <c r="N184" s="4"/>
      <c r="O184" s="4"/>
      <c r="P184" s="4"/>
      <c r="Q184" s="4"/>
      <c r="R184" s="4"/>
      <c r="S184" s="4"/>
      <c r="T184" s="4"/>
      <c r="U184" s="4"/>
      <c r="V184" s="4"/>
      <c r="W184" s="4"/>
      <c r="X184" s="4"/>
      <c r="Y184" s="4"/>
      <c r="Z184" s="4"/>
      <c r="AA184" s="4"/>
      <c r="AB184" s="4"/>
      <c r="AC184" s="4"/>
      <c r="AD184" s="4"/>
      <c r="AE184" s="4"/>
      <c r="AF184" s="4"/>
      <c r="AG184" s="4"/>
      <c r="AH184" s="4"/>
      <c r="AI184" s="4"/>
      <c r="AJ184" s="4"/>
      <c r="AK184" s="4"/>
      <c r="AL184" s="4"/>
      <c r="AM184" s="4"/>
      <c r="AN184" s="4"/>
      <c r="AO184" s="4"/>
      <c r="AP184" s="4"/>
      <c r="AQ184" s="4"/>
      <c r="AR184" s="4"/>
      <c r="AS184" s="4"/>
      <c r="AT184" s="4"/>
      <c r="AU184" s="4"/>
      <c r="AV184" s="4"/>
      <c r="AW184" s="4"/>
      <c r="AX184" s="4"/>
      <c r="AY184" s="4"/>
      <c r="AZ184" s="4"/>
      <c r="BA184" s="4"/>
      <c r="BB184" s="4"/>
      <c r="BC184" s="4"/>
      <c r="BD184" s="4"/>
      <c r="BE184" s="4"/>
      <c r="BF184" s="4"/>
      <c r="BG184" s="4"/>
      <c r="BH184" s="4"/>
      <c r="BI184" s="4"/>
      <c r="BJ184" s="4"/>
      <c r="BK184" s="4"/>
      <c r="BL184" s="4"/>
      <c r="BM184" s="4"/>
      <c r="BN184" s="4"/>
    </row>
    <row r="185" ht="13.5" customHeight="1" spans="1:66" x14ac:dyDescent="0.25">
      <c r="A185" s="4"/>
      <c r="B185" s="4"/>
      <c r="C185" s="533"/>
      <c r="D185" s="4"/>
      <c r="E185" s="4"/>
      <c r="F185" s="4"/>
      <c r="G185" s="4"/>
      <c r="H185" s="4"/>
      <c r="I185" s="4"/>
      <c r="J185" s="4"/>
      <c r="K185" s="4"/>
      <c r="L185" s="4"/>
      <c r="M185" s="4"/>
      <c r="N185" s="4"/>
      <c r="O185" s="4"/>
      <c r="P185" s="4"/>
      <c r="Q185" s="4"/>
      <c r="R185" s="4"/>
      <c r="S185" s="4"/>
      <c r="T185" s="4"/>
      <c r="U185" s="4"/>
      <c r="V185" s="4"/>
      <c r="W185" s="4"/>
      <c r="X185" s="4"/>
      <c r="Y185" s="4"/>
      <c r="Z185" s="4"/>
      <c r="AA185" s="4"/>
      <c r="AB185" s="4"/>
      <c r="AC185" s="4"/>
      <c r="AD185" s="4"/>
      <c r="AE185" s="4"/>
      <c r="AF185" s="4"/>
      <c r="AG185" s="4"/>
      <c r="AH185" s="4"/>
      <c r="AI185" s="4"/>
      <c r="AJ185" s="4"/>
      <c r="AK185" s="4"/>
      <c r="AL185" s="4"/>
      <c r="AM185" s="4"/>
      <c r="AN185" s="4"/>
      <c r="AO185" s="4"/>
      <c r="AP185" s="4"/>
      <c r="AQ185" s="4"/>
      <c r="AR185" s="4"/>
      <c r="AS185" s="4"/>
      <c r="AT185" s="4"/>
      <c r="AU185" s="4"/>
      <c r="AV185" s="4"/>
      <c r="AW185" s="4"/>
      <c r="AX185" s="4"/>
      <c r="AY185" s="4"/>
      <c r="AZ185" s="4"/>
      <c r="BA185" s="4"/>
      <c r="BB185" s="4"/>
      <c r="BC185" s="4"/>
      <c r="BD185" s="4"/>
      <c r="BE185" s="4"/>
      <c r="BF185" s="4"/>
      <c r="BG185" s="4"/>
      <c r="BH185" s="4"/>
      <c r="BI185" s="4"/>
      <c r="BJ185" s="4"/>
      <c r="BK185" s="4"/>
      <c r="BL185" s="4"/>
      <c r="BM185" s="4"/>
      <c r="BN185" s="4"/>
    </row>
    <row r="186" ht="13.5" customHeight="1" spans="1:66" x14ac:dyDescent="0.25">
      <c r="A186" s="4"/>
      <c r="B186" s="4"/>
      <c r="C186" s="533"/>
      <c r="D186" s="4"/>
      <c r="E186" s="4"/>
      <c r="F186" s="4"/>
      <c r="G186" s="4"/>
      <c r="H186" s="4"/>
      <c r="I186" s="4"/>
      <c r="J186" s="4"/>
      <c r="K186" s="4"/>
      <c r="L186" s="4"/>
      <c r="M186" s="4"/>
      <c r="N186" s="4"/>
      <c r="O186" s="4"/>
      <c r="P186" s="4"/>
      <c r="Q186" s="4"/>
      <c r="R186" s="4"/>
      <c r="S186" s="4"/>
      <c r="T186" s="4"/>
      <c r="U186" s="4"/>
      <c r="V186" s="4"/>
      <c r="W186" s="4"/>
      <c r="X186" s="4"/>
      <c r="Y186" s="4"/>
      <c r="Z186" s="4"/>
      <c r="AA186" s="4"/>
      <c r="AB186" s="4"/>
      <c r="AC186" s="4"/>
      <c r="AD186" s="4"/>
      <c r="AE186" s="4"/>
      <c r="AF186" s="4"/>
      <c r="AG186" s="4"/>
      <c r="AH186" s="4"/>
      <c r="AI186" s="4"/>
      <c r="AJ186" s="4"/>
      <c r="AK186" s="4"/>
      <c r="AL186" s="4"/>
      <c r="AM186" s="4"/>
      <c r="AN186" s="4"/>
      <c r="AO186" s="4"/>
      <c r="AP186" s="4"/>
      <c r="AQ186" s="4"/>
      <c r="AR186" s="4"/>
      <c r="AS186" s="4"/>
      <c r="AT186" s="4"/>
      <c r="AU186" s="4"/>
      <c r="AV186" s="4"/>
      <c r="AW186" s="4"/>
      <c r="AX186" s="4"/>
      <c r="AY186" s="4"/>
      <c r="AZ186" s="4"/>
      <c r="BA186" s="4"/>
      <c r="BB186" s="4"/>
      <c r="BC186" s="4"/>
      <c r="BD186" s="4"/>
      <c r="BE186" s="4"/>
      <c r="BF186" s="4"/>
      <c r="BG186" s="4"/>
      <c r="BH186" s="4"/>
      <c r="BI186" s="4"/>
      <c r="BJ186" s="4"/>
      <c r="BK186" s="4"/>
      <c r="BL186" s="4"/>
      <c r="BM186" s="4"/>
      <c r="BN186" s="4"/>
    </row>
    <row r="187" ht="13.5" customHeight="1" spans="1:66" x14ac:dyDescent="0.25">
      <c r="A187" s="4"/>
      <c r="B187" s="4"/>
      <c r="C187" s="533"/>
      <c r="D187" s="4"/>
      <c r="E187" s="4"/>
      <c r="F187" s="4"/>
      <c r="G187" s="4"/>
      <c r="H187" s="4"/>
      <c r="I187" s="4"/>
      <c r="J187" s="4"/>
      <c r="K187" s="4"/>
      <c r="L187" s="4"/>
      <c r="M187" s="4"/>
      <c r="N187" s="4"/>
      <c r="O187" s="4"/>
      <c r="P187" s="4"/>
      <c r="Q187" s="4"/>
      <c r="R187" s="4"/>
      <c r="S187" s="4"/>
      <c r="T187" s="4"/>
      <c r="U187" s="4"/>
      <c r="V187" s="4"/>
      <c r="W187" s="4"/>
      <c r="X187" s="4"/>
      <c r="Y187" s="4"/>
      <c r="Z187" s="4"/>
      <c r="AA187" s="4"/>
      <c r="AB187" s="4"/>
      <c r="AC187" s="4"/>
      <c r="AD187" s="4"/>
      <c r="AE187" s="4"/>
      <c r="AF187" s="4"/>
      <c r="AG187" s="4"/>
      <c r="AH187" s="4"/>
      <c r="AI187" s="4"/>
      <c r="AJ187" s="4"/>
      <c r="AK187" s="4"/>
      <c r="AL187" s="4"/>
      <c r="AM187" s="4"/>
      <c r="AN187" s="4"/>
      <c r="AO187" s="4"/>
      <c r="AP187" s="4"/>
      <c r="AQ187" s="4"/>
      <c r="AR187" s="4"/>
      <c r="AS187" s="4"/>
      <c r="AT187" s="4"/>
      <c r="AU187" s="4"/>
      <c r="AV187" s="4"/>
      <c r="AW187" s="4"/>
      <c r="AX187" s="4"/>
      <c r="AY187" s="4"/>
      <c r="AZ187" s="4"/>
      <c r="BA187" s="4"/>
      <c r="BB187" s="4"/>
      <c r="BC187" s="4"/>
      <c r="BD187" s="4"/>
      <c r="BE187" s="4"/>
      <c r="BF187" s="4"/>
      <c r="BG187" s="4"/>
      <c r="BH187" s="4"/>
      <c r="BI187" s="4"/>
      <c r="BJ187" s="4"/>
      <c r="BK187" s="4"/>
      <c r="BL187" s="4"/>
      <c r="BM187" s="4"/>
      <c r="BN187" s="4"/>
    </row>
    <row r="188" ht="13.5" customHeight="1" spans="1:66" x14ac:dyDescent="0.25">
      <c r="A188" s="4"/>
      <c r="B188" s="4"/>
      <c r="C188" s="533"/>
      <c r="D188" s="4"/>
      <c r="E188" s="4"/>
      <c r="F188" s="4"/>
      <c r="G188" s="4"/>
      <c r="H188" s="4"/>
      <c r="I188" s="4"/>
      <c r="J188" s="4"/>
      <c r="K188" s="4"/>
      <c r="L188" s="4"/>
      <c r="M188" s="4"/>
      <c r="N188" s="4"/>
      <c r="O188" s="4"/>
      <c r="P188" s="4"/>
      <c r="Q188" s="4"/>
      <c r="R188" s="4"/>
      <c r="S188" s="4"/>
      <c r="T188" s="4"/>
      <c r="U188" s="4"/>
      <c r="V188" s="4"/>
      <c r="W188" s="4"/>
      <c r="X188" s="4"/>
      <c r="Y188" s="4"/>
      <c r="Z188" s="4"/>
      <c r="AA188" s="4"/>
      <c r="AB188" s="4"/>
      <c r="AC188" s="4"/>
      <c r="AD188" s="4"/>
      <c r="AE188" s="4"/>
      <c r="AF188" s="4"/>
      <c r="AG188" s="4"/>
      <c r="AH188" s="4"/>
      <c r="AI188" s="4"/>
      <c r="AJ188" s="4"/>
      <c r="AK188" s="4"/>
      <c r="AL188" s="4"/>
      <c r="AM188" s="4"/>
      <c r="AN188" s="4"/>
      <c r="AO188" s="4"/>
      <c r="AP188" s="4"/>
      <c r="AQ188" s="4"/>
      <c r="AR188" s="4"/>
      <c r="AS188" s="4"/>
      <c r="AT188" s="4"/>
      <c r="AU188" s="4"/>
      <c r="AV188" s="4"/>
      <c r="AW188" s="4"/>
      <c r="AX188" s="4"/>
      <c r="AY188" s="4"/>
      <c r="AZ188" s="4"/>
      <c r="BA188" s="4"/>
      <c r="BB188" s="4"/>
      <c r="BC188" s="4"/>
      <c r="BD188" s="4"/>
      <c r="BE188" s="4"/>
      <c r="BF188" s="4"/>
      <c r="BG188" s="4"/>
      <c r="BH188" s="4"/>
      <c r="BI188" s="4"/>
      <c r="BJ188" s="4"/>
      <c r="BK188" s="4"/>
      <c r="BL188" s="4"/>
      <c r="BM188" s="4"/>
      <c r="BN188" s="4"/>
    </row>
    <row r="189" ht="13.5" customHeight="1" spans="1:66" x14ac:dyDescent="0.25">
      <c r="A189" s="4"/>
      <c r="B189" s="4"/>
      <c r="C189" s="533"/>
      <c r="D189" s="4"/>
      <c r="E189" s="4"/>
      <c r="F189" s="4"/>
      <c r="G189" s="4"/>
      <c r="H189" s="4"/>
      <c r="I189" s="4"/>
      <c r="J189" s="4"/>
      <c r="K189" s="4"/>
      <c r="L189" s="4"/>
      <c r="M189" s="4"/>
      <c r="N189" s="4"/>
      <c r="O189" s="4"/>
      <c r="P189" s="4"/>
      <c r="Q189" s="4"/>
      <c r="R189" s="4"/>
      <c r="S189" s="4"/>
      <c r="T189" s="4"/>
      <c r="U189" s="4"/>
      <c r="V189" s="4"/>
      <c r="W189" s="4"/>
      <c r="X189" s="4"/>
      <c r="Y189" s="4"/>
      <c r="Z189" s="4"/>
      <c r="AA189" s="4"/>
      <c r="AB189" s="4"/>
      <c r="AC189" s="4"/>
      <c r="AD189" s="4"/>
      <c r="AE189" s="4"/>
      <c r="AF189" s="4"/>
      <c r="AG189" s="4"/>
      <c r="AH189" s="4"/>
      <c r="AI189" s="4"/>
      <c r="AJ189" s="4"/>
      <c r="AK189" s="4"/>
      <c r="AL189" s="4"/>
      <c r="AM189" s="4"/>
      <c r="AN189" s="4"/>
      <c r="AO189" s="4"/>
      <c r="AP189" s="4"/>
      <c r="AQ189" s="4"/>
      <c r="AR189" s="4"/>
      <c r="AS189" s="4"/>
      <c r="AT189" s="4"/>
      <c r="AU189" s="4"/>
      <c r="AV189" s="4"/>
      <c r="AW189" s="4"/>
      <c r="AX189" s="4"/>
      <c r="AY189" s="4"/>
      <c r="AZ189" s="4"/>
      <c r="BA189" s="4"/>
      <c r="BB189" s="4"/>
      <c r="BC189" s="4"/>
      <c r="BD189" s="4"/>
      <c r="BE189" s="4"/>
      <c r="BF189" s="4"/>
      <c r="BG189" s="4"/>
      <c r="BH189" s="4"/>
      <c r="BI189" s="4"/>
      <c r="BJ189" s="4"/>
      <c r="BK189" s="4"/>
      <c r="BL189" s="4"/>
      <c r="BM189" s="4"/>
      <c r="BN189" s="4"/>
    </row>
    <row r="190" ht="13.5" customHeight="1" spans="1:66" x14ac:dyDescent="0.25">
      <c r="A190" s="4"/>
      <c r="B190" s="4"/>
      <c r="C190" s="533"/>
      <c r="D190" s="4"/>
      <c r="E190" s="4"/>
      <c r="F190" s="4"/>
      <c r="G190" s="4"/>
      <c r="H190" s="4"/>
      <c r="I190" s="4"/>
      <c r="J190" s="4"/>
      <c r="K190" s="4"/>
      <c r="L190" s="4"/>
      <c r="M190" s="4"/>
      <c r="N190" s="4"/>
      <c r="O190" s="4"/>
      <c r="P190" s="4"/>
      <c r="Q190" s="4"/>
      <c r="R190" s="4"/>
      <c r="S190" s="4"/>
      <c r="T190" s="4"/>
      <c r="U190" s="4"/>
      <c r="V190" s="4"/>
      <c r="W190" s="4"/>
      <c r="X190" s="4"/>
      <c r="Y190" s="4"/>
      <c r="Z190" s="4"/>
      <c r="AA190" s="4"/>
      <c r="AB190" s="4"/>
      <c r="AC190" s="4"/>
      <c r="AD190" s="4"/>
      <c r="AE190" s="4"/>
      <c r="AF190" s="4"/>
      <c r="AG190" s="4"/>
      <c r="AH190" s="4"/>
      <c r="AI190" s="4"/>
      <c r="AJ190" s="4"/>
      <c r="AK190" s="4"/>
      <c r="AL190" s="4"/>
      <c r="AM190" s="4"/>
      <c r="AN190" s="4"/>
      <c r="AO190" s="4"/>
      <c r="AP190" s="4"/>
      <c r="AQ190" s="4"/>
      <c r="AR190" s="4"/>
      <c r="AS190" s="4"/>
      <c r="AT190" s="4"/>
      <c r="AU190" s="4"/>
      <c r="AV190" s="4"/>
      <c r="AW190" s="4"/>
      <c r="AX190" s="4"/>
      <c r="AY190" s="4"/>
      <c r="AZ190" s="4"/>
      <c r="BA190" s="4"/>
      <c r="BB190" s="4"/>
      <c r="BC190" s="4"/>
      <c r="BD190" s="4"/>
      <c r="BE190" s="4"/>
      <c r="BF190" s="4"/>
      <c r="BG190" s="4"/>
      <c r="BH190" s="4"/>
      <c r="BI190" s="4"/>
      <c r="BJ190" s="4"/>
      <c r="BK190" s="4"/>
      <c r="BL190" s="4"/>
      <c r="BM190" s="4"/>
      <c r="BN190" s="4"/>
    </row>
    <row r="191" ht="13.5" customHeight="1" spans="1:66" x14ac:dyDescent="0.25">
      <c r="A191" s="4"/>
      <c r="B191" s="4"/>
      <c r="C191" s="533"/>
      <c r="D191" s="4"/>
      <c r="E191" s="4"/>
      <c r="F191" s="4"/>
      <c r="G191" s="4"/>
      <c r="H191" s="4"/>
      <c r="I191" s="4"/>
      <c r="J191" s="4"/>
      <c r="K191" s="4"/>
      <c r="L191" s="4"/>
      <c r="M191" s="4"/>
      <c r="N191" s="4"/>
      <c r="O191" s="4"/>
      <c r="P191" s="4"/>
      <c r="Q191" s="4"/>
      <c r="R191" s="4"/>
      <c r="S191" s="4"/>
      <c r="T191" s="4"/>
      <c r="U191" s="4"/>
      <c r="V191" s="4"/>
      <c r="W191" s="4"/>
      <c r="X191" s="4"/>
      <c r="Y191" s="4"/>
      <c r="Z191" s="4"/>
      <c r="AA191" s="4"/>
      <c r="AB191" s="4"/>
      <c r="AC191" s="4"/>
      <c r="AD191" s="4"/>
      <c r="AE191" s="4"/>
      <c r="AF191" s="4"/>
      <c r="AG191" s="4"/>
      <c r="AH191" s="4"/>
      <c r="AI191" s="4"/>
      <c r="AJ191" s="4"/>
      <c r="AK191" s="4"/>
      <c r="AL191" s="4"/>
      <c r="AM191" s="4"/>
      <c r="AN191" s="4"/>
      <c r="AO191" s="4"/>
      <c r="AP191" s="4"/>
      <c r="AQ191" s="4"/>
      <c r="AR191" s="4"/>
      <c r="AS191" s="4"/>
      <c r="AT191" s="4"/>
      <c r="AU191" s="4"/>
      <c r="AV191" s="4"/>
      <c r="AW191" s="4"/>
      <c r="AX191" s="4"/>
      <c r="AY191" s="4"/>
      <c r="AZ191" s="4"/>
      <c r="BA191" s="4"/>
      <c r="BB191" s="4"/>
      <c r="BC191" s="4"/>
      <c r="BD191" s="4"/>
      <c r="BE191" s="4"/>
      <c r="BF191" s="4"/>
      <c r="BG191" s="4"/>
      <c r="BH191" s="4"/>
      <c r="BI191" s="4"/>
      <c r="BJ191" s="4"/>
      <c r="BK191" s="4"/>
      <c r="BL191" s="4"/>
      <c r="BM191" s="4"/>
      <c r="BN191" s="4"/>
    </row>
    <row r="192" ht="13.5" customHeight="1" spans="1:66" x14ac:dyDescent="0.25">
      <c r="A192" s="4"/>
      <c r="B192" s="4"/>
      <c r="C192" s="533"/>
      <c r="D192" s="4"/>
      <c r="E192" s="4"/>
      <c r="F192" s="4"/>
      <c r="G192" s="4"/>
      <c r="H192" s="4"/>
      <c r="I192" s="4"/>
      <c r="J192" s="4"/>
      <c r="K192" s="4"/>
      <c r="L192" s="4"/>
      <c r="M192" s="4"/>
      <c r="N192" s="4"/>
      <c r="O192" s="4"/>
      <c r="P192" s="4"/>
      <c r="Q192" s="4"/>
      <c r="R192" s="4"/>
      <c r="S192" s="4"/>
      <c r="T192" s="4"/>
      <c r="U192" s="4"/>
      <c r="V192" s="4"/>
      <c r="W192" s="4"/>
      <c r="X192" s="4"/>
      <c r="Y192" s="4"/>
      <c r="Z192" s="4"/>
      <c r="AA192" s="4"/>
      <c r="AB192" s="4"/>
      <c r="AC192" s="4"/>
      <c r="AD192" s="4"/>
      <c r="AE192" s="4"/>
      <c r="AF192" s="4"/>
      <c r="AG192" s="4"/>
      <c r="AH192" s="4"/>
      <c r="AI192" s="4"/>
      <c r="AJ192" s="4"/>
      <c r="AK192" s="4"/>
      <c r="AL192" s="4"/>
      <c r="AM192" s="4"/>
      <c r="AN192" s="4"/>
      <c r="AO192" s="4"/>
      <c r="AP192" s="4"/>
      <c r="AQ192" s="4"/>
      <c r="AR192" s="4"/>
      <c r="AS192" s="4"/>
      <c r="AT192" s="4"/>
      <c r="AU192" s="4"/>
      <c r="AV192" s="4"/>
      <c r="AW192" s="4"/>
      <c r="AX192" s="4"/>
      <c r="AY192" s="4"/>
      <c r="AZ192" s="4"/>
      <c r="BA192" s="4"/>
      <c r="BB192" s="4"/>
      <c r="BC192" s="4"/>
      <c r="BD192" s="4"/>
      <c r="BE192" s="4"/>
      <c r="BF192" s="4"/>
      <c r="BG192" s="4"/>
      <c r="BH192" s="4"/>
      <c r="BI192" s="4"/>
      <c r="BJ192" s="4"/>
      <c r="BK192" s="4"/>
      <c r="BL192" s="4"/>
      <c r="BM192" s="4"/>
      <c r="BN192" s="4"/>
    </row>
    <row r="193" ht="13.5" customHeight="1" spans="1:66" x14ac:dyDescent="0.25">
      <c r="A193" s="4"/>
      <c r="B193" s="4"/>
      <c r="C193" s="533"/>
      <c r="D193" s="4"/>
      <c r="E193" s="4"/>
      <c r="F193" s="4"/>
      <c r="G193" s="4"/>
      <c r="H193" s="4"/>
      <c r="I193" s="4"/>
      <c r="J193" s="4"/>
      <c r="K193" s="4"/>
      <c r="L193" s="4"/>
      <c r="M193" s="4"/>
      <c r="N193" s="4"/>
      <c r="O193" s="4"/>
      <c r="P193" s="4"/>
      <c r="Q193" s="4"/>
      <c r="R193" s="4"/>
      <c r="S193" s="4"/>
      <c r="T193" s="4"/>
      <c r="U193" s="4"/>
      <c r="V193" s="4"/>
      <c r="W193" s="4"/>
      <c r="X193" s="4"/>
      <c r="Y193" s="4"/>
      <c r="Z193" s="4"/>
      <c r="AA193" s="4"/>
      <c r="AB193" s="4"/>
      <c r="AC193" s="4"/>
      <c r="AD193" s="4"/>
      <c r="AE193" s="4"/>
      <c r="AF193" s="4"/>
      <c r="AG193" s="4"/>
      <c r="AH193" s="4"/>
      <c r="AI193" s="4"/>
      <c r="AJ193" s="4"/>
      <c r="AK193" s="4"/>
      <c r="AL193" s="4"/>
      <c r="AM193" s="4"/>
      <c r="AN193" s="4"/>
      <c r="AO193" s="4"/>
      <c r="AP193" s="4"/>
      <c r="AQ193" s="4"/>
      <c r="AR193" s="4"/>
      <c r="AS193" s="4"/>
      <c r="AT193" s="4"/>
      <c r="AU193" s="4"/>
      <c r="AV193" s="4"/>
      <c r="AW193" s="4"/>
      <c r="AX193" s="4"/>
      <c r="AY193" s="4"/>
      <c r="AZ193" s="4"/>
      <c r="BA193" s="4"/>
      <c r="BB193" s="4"/>
      <c r="BC193" s="4"/>
      <c r="BD193" s="4"/>
      <c r="BE193" s="4"/>
      <c r="BF193" s="4"/>
      <c r="BG193" s="4"/>
      <c r="BH193" s="4"/>
      <c r="BI193" s="4"/>
      <c r="BJ193" s="4"/>
      <c r="BK193" s="4"/>
      <c r="BL193" s="4"/>
      <c r="BM193" s="4"/>
      <c r="BN193" s="4"/>
    </row>
    <row r="194" ht="13.5" customHeight="1" spans="1:66" x14ac:dyDescent="0.25">
      <c r="A194" s="4"/>
      <c r="B194" s="4"/>
      <c r="C194" s="533"/>
      <c r="D194" s="4"/>
      <c r="E194" s="4"/>
      <c r="F194" s="4"/>
      <c r="G194" s="4"/>
      <c r="H194" s="4"/>
      <c r="I194" s="4"/>
      <c r="J194" s="4"/>
      <c r="K194" s="4"/>
      <c r="L194" s="4"/>
      <c r="M194" s="4"/>
      <c r="N194" s="4"/>
      <c r="O194" s="4"/>
      <c r="P194" s="4"/>
      <c r="Q194" s="4"/>
      <c r="R194" s="4"/>
      <c r="S194" s="4"/>
      <c r="T194" s="4"/>
      <c r="U194" s="4"/>
      <c r="V194" s="4"/>
      <c r="W194" s="4"/>
      <c r="X194" s="4"/>
      <c r="Y194" s="4"/>
      <c r="Z194" s="4"/>
      <c r="AA194" s="4"/>
      <c r="AB194" s="4"/>
      <c r="AC194" s="4"/>
      <c r="AD194" s="4"/>
      <c r="AE194" s="4"/>
      <c r="AF194" s="4"/>
      <c r="AG194" s="4"/>
      <c r="AH194" s="4"/>
      <c r="AI194" s="4"/>
      <c r="AJ194" s="4"/>
      <c r="AK194" s="4"/>
      <c r="AL194" s="4"/>
      <c r="AM194" s="4"/>
      <c r="AN194" s="4"/>
      <c r="AO194" s="4"/>
      <c r="AP194" s="4"/>
      <c r="AQ194" s="4"/>
      <c r="AR194" s="4"/>
      <c r="AS194" s="4"/>
      <c r="AT194" s="4"/>
      <c r="AU194" s="4"/>
      <c r="AV194" s="4"/>
      <c r="AW194" s="4"/>
      <c r="AX194" s="4"/>
      <c r="AY194" s="4"/>
      <c r="AZ194" s="4"/>
      <c r="BA194" s="4"/>
      <c r="BB194" s="4"/>
      <c r="BC194" s="4"/>
      <c r="BD194" s="4"/>
      <c r="BE194" s="4"/>
      <c r="BF194" s="4"/>
      <c r="BG194" s="4"/>
      <c r="BH194" s="4"/>
      <c r="BI194" s="4"/>
      <c r="BJ194" s="4"/>
      <c r="BK194" s="4"/>
      <c r="BL194" s="4"/>
      <c r="BM194" s="4"/>
      <c r="BN194" s="4"/>
    </row>
    <row r="195" ht="13.5" customHeight="1" spans="1:66" x14ac:dyDescent="0.25">
      <c r="A195" s="4"/>
      <c r="B195" s="4"/>
      <c r="C195" s="533"/>
      <c r="D195" s="4"/>
      <c r="E195" s="4"/>
      <c r="F195" s="4"/>
      <c r="G195" s="4"/>
      <c r="H195" s="4"/>
      <c r="I195" s="4"/>
      <c r="J195" s="4"/>
      <c r="K195" s="4"/>
      <c r="L195" s="4"/>
      <c r="M195" s="4"/>
      <c r="N195" s="4"/>
      <c r="O195" s="4"/>
      <c r="P195" s="4"/>
      <c r="Q195" s="4"/>
      <c r="R195" s="4"/>
      <c r="S195" s="4"/>
      <c r="T195" s="4"/>
      <c r="U195" s="4"/>
      <c r="V195" s="4"/>
      <c r="W195" s="4"/>
      <c r="X195" s="4"/>
      <c r="Y195" s="4"/>
      <c r="Z195" s="4"/>
      <c r="AA195" s="4"/>
      <c r="AB195" s="4"/>
      <c r="AC195" s="4"/>
      <c r="AD195" s="4"/>
      <c r="AE195" s="4"/>
      <c r="AF195" s="4"/>
      <c r="AG195" s="4"/>
      <c r="AH195" s="4"/>
      <c r="AI195" s="4"/>
      <c r="AJ195" s="4"/>
      <c r="AK195" s="4"/>
      <c r="AL195" s="4"/>
      <c r="AM195" s="4"/>
      <c r="AN195" s="4"/>
      <c r="AO195" s="4"/>
      <c r="AP195" s="4"/>
      <c r="AQ195" s="4"/>
      <c r="AR195" s="4"/>
      <c r="AS195" s="4"/>
      <c r="AT195" s="4"/>
      <c r="AU195" s="4"/>
      <c r="AV195" s="4"/>
      <c r="AW195" s="4"/>
      <c r="AX195" s="4"/>
      <c r="AY195" s="4"/>
      <c r="AZ195" s="4"/>
      <c r="BA195" s="4"/>
      <c r="BB195" s="4"/>
      <c r="BC195" s="4"/>
      <c r="BD195" s="4"/>
      <c r="BE195" s="4"/>
      <c r="BF195" s="4"/>
      <c r="BG195" s="4"/>
      <c r="BH195" s="4"/>
      <c r="BI195" s="4"/>
      <c r="BJ195" s="4"/>
      <c r="BK195" s="4"/>
      <c r="BL195" s="4"/>
      <c r="BM195" s="4"/>
      <c r="BN195" s="4"/>
    </row>
    <row r="196" ht="13.5" customHeight="1" spans="1:66" x14ac:dyDescent="0.25">
      <c r="A196" s="4"/>
      <c r="B196" s="4"/>
      <c r="C196" s="533"/>
      <c r="D196" s="4"/>
      <c r="E196" s="4"/>
      <c r="F196" s="4"/>
      <c r="G196" s="4"/>
      <c r="H196" s="4"/>
      <c r="I196" s="4"/>
      <c r="J196" s="4"/>
      <c r="K196" s="4"/>
      <c r="L196" s="4"/>
      <c r="M196" s="4"/>
      <c r="N196" s="4"/>
      <c r="O196" s="4"/>
      <c r="P196" s="4"/>
      <c r="Q196" s="4"/>
      <c r="R196" s="4"/>
      <c r="S196" s="4"/>
      <c r="T196" s="4"/>
      <c r="U196" s="4"/>
      <c r="V196" s="4"/>
      <c r="W196" s="4"/>
      <c r="X196" s="4"/>
      <c r="Y196" s="4"/>
      <c r="Z196" s="4"/>
      <c r="AA196" s="4"/>
      <c r="AB196" s="4"/>
      <c r="AC196" s="4"/>
      <c r="AD196" s="4"/>
      <c r="AE196" s="4"/>
      <c r="AF196" s="4"/>
      <c r="AG196" s="4"/>
      <c r="AH196" s="4"/>
      <c r="AI196" s="4"/>
      <c r="AJ196" s="4"/>
      <c r="AK196" s="4"/>
      <c r="AL196" s="4"/>
      <c r="AM196" s="4"/>
      <c r="AN196" s="4"/>
      <c r="AO196" s="4"/>
      <c r="AP196" s="4"/>
      <c r="AQ196" s="4"/>
      <c r="AR196" s="4"/>
      <c r="AS196" s="4"/>
      <c r="AT196" s="4"/>
      <c r="AU196" s="4"/>
      <c r="AV196" s="4"/>
      <c r="AW196" s="4"/>
      <c r="AX196" s="4"/>
      <c r="AY196" s="4"/>
      <c r="AZ196" s="4"/>
      <c r="BA196" s="4"/>
      <c r="BB196" s="4"/>
      <c r="BC196" s="4"/>
      <c r="BD196" s="4"/>
      <c r="BE196" s="4"/>
      <c r="BF196" s="4"/>
      <c r="BG196" s="4"/>
      <c r="BH196" s="4"/>
      <c r="BI196" s="4"/>
      <c r="BJ196" s="4"/>
      <c r="BK196" s="4"/>
      <c r="BL196" s="4"/>
      <c r="BM196" s="4"/>
      <c r="BN196" s="4"/>
    </row>
    <row r="197" ht="13.5" customHeight="1" spans="1:66" x14ac:dyDescent="0.25">
      <c r="A197" s="4"/>
      <c r="B197" s="4"/>
      <c r="C197" s="533"/>
      <c r="D197" s="4"/>
      <c r="E197" s="4"/>
      <c r="F197" s="4"/>
      <c r="G197" s="4"/>
      <c r="H197" s="4"/>
      <c r="I197" s="4"/>
      <c r="J197" s="4"/>
      <c r="K197" s="4"/>
      <c r="L197" s="4"/>
      <c r="M197" s="4"/>
      <c r="N197" s="4"/>
      <c r="O197" s="4"/>
      <c r="P197" s="4"/>
      <c r="Q197" s="4"/>
      <c r="R197" s="4"/>
      <c r="S197" s="4"/>
      <c r="T197" s="4"/>
      <c r="U197" s="4"/>
      <c r="V197" s="4"/>
      <c r="W197" s="4"/>
      <c r="X197" s="4"/>
      <c r="Y197" s="4"/>
      <c r="Z197" s="4"/>
      <c r="AA197" s="4"/>
      <c r="AB197" s="4"/>
      <c r="AC197" s="4"/>
      <c r="AD197" s="4"/>
      <c r="AE197" s="4"/>
      <c r="AF197" s="4"/>
      <c r="AG197" s="4"/>
      <c r="AH197" s="4"/>
      <c r="AI197" s="4"/>
      <c r="AJ197" s="4"/>
      <c r="AK197" s="4"/>
      <c r="AL197" s="4"/>
      <c r="AM197" s="4"/>
      <c r="AN197" s="4"/>
      <c r="AO197" s="4"/>
      <c r="AP197" s="4"/>
      <c r="AQ197" s="4"/>
      <c r="AR197" s="4"/>
      <c r="AS197" s="4"/>
      <c r="AT197" s="4"/>
      <c r="AU197" s="4"/>
      <c r="AV197" s="4"/>
      <c r="AW197" s="4"/>
      <c r="AX197" s="4"/>
      <c r="AY197" s="4"/>
      <c r="AZ197" s="4"/>
      <c r="BA197" s="4"/>
      <c r="BB197" s="4"/>
      <c r="BC197" s="4"/>
      <c r="BD197" s="4"/>
      <c r="BE197" s="4"/>
      <c r="BF197" s="4"/>
      <c r="BG197" s="4"/>
      <c r="BH197" s="4"/>
      <c r="BI197" s="4"/>
      <c r="BJ197" s="4"/>
      <c r="BK197" s="4"/>
      <c r="BL197" s="4"/>
      <c r="BM197" s="4"/>
      <c r="BN197" s="4"/>
    </row>
    <row r="198" ht="13.5" customHeight="1" spans="1:66" x14ac:dyDescent="0.25">
      <c r="A198" s="4"/>
      <c r="B198" s="4"/>
      <c r="C198" s="533"/>
      <c r="D198" s="4"/>
      <c r="E198" s="4"/>
      <c r="F198" s="4"/>
      <c r="G198" s="4"/>
      <c r="H198" s="4"/>
      <c r="I198" s="4"/>
      <c r="J198" s="4"/>
      <c r="K198" s="4"/>
      <c r="L198" s="4"/>
      <c r="M198" s="4"/>
      <c r="N198" s="4"/>
      <c r="O198" s="4"/>
      <c r="P198" s="4"/>
      <c r="Q198" s="4"/>
      <c r="R198" s="4"/>
      <c r="S198" s="4"/>
      <c r="T198" s="4"/>
      <c r="U198" s="4"/>
      <c r="V198" s="4"/>
      <c r="W198" s="4"/>
      <c r="X198" s="4"/>
      <c r="Y198" s="4"/>
      <c r="Z198" s="4"/>
      <c r="AA198" s="4"/>
      <c r="AB198" s="4"/>
      <c r="AC198" s="4"/>
      <c r="AD198" s="4"/>
      <c r="AE198" s="4"/>
      <c r="AF198" s="4"/>
      <c r="AG198" s="4"/>
      <c r="AH198" s="4"/>
      <c r="AI198" s="4"/>
      <c r="AJ198" s="4"/>
      <c r="AK198" s="4"/>
      <c r="AL198" s="4"/>
      <c r="AM198" s="4"/>
      <c r="AN198" s="4"/>
      <c r="AO198" s="4"/>
      <c r="AP198" s="4"/>
      <c r="AQ198" s="4"/>
      <c r="AR198" s="4"/>
      <c r="AS198" s="4"/>
      <c r="AT198" s="4"/>
      <c r="AU198" s="4"/>
      <c r="AV198" s="4"/>
      <c r="AW198" s="4"/>
      <c r="AX198" s="4"/>
      <c r="AY198" s="4"/>
      <c r="AZ198" s="4"/>
      <c r="BA198" s="4"/>
      <c r="BB198" s="4"/>
      <c r="BC198" s="4"/>
      <c r="BD198" s="4"/>
      <c r="BE198" s="4"/>
      <c r="BF198" s="4"/>
      <c r="BG198" s="4"/>
      <c r="BH198" s="4"/>
      <c r="BI198" s="4"/>
      <c r="BJ198" s="4"/>
      <c r="BK198" s="4"/>
      <c r="BL198" s="4"/>
      <c r="BM198" s="4"/>
      <c r="BN198" s="4"/>
    </row>
    <row r="199" ht="13.5" customHeight="1" spans="1:66" x14ac:dyDescent="0.25">
      <c r="A199" s="4"/>
      <c r="B199" s="4"/>
      <c r="C199" s="533"/>
      <c r="D199" s="4"/>
      <c r="E199" s="4"/>
      <c r="F199" s="4"/>
      <c r="G199" s="4"/>
      <c r="H199" s="4"/>
      <c r="I199" s="4"/>
      <c r="J199" s="4"/>
      <c r="K199" s="4"/>
      <c r="L199" s="4"/>
      <c r="M199" s="4"/>
      <c r="N199" s="4"/>
      <c r="O199" s="4"/>
      <c r="P199" s="4"/>
      <c r="Q199" s="4"/>
      <c r="R199" s="4"/>
      <c r="S199" s="4"/>
      <c r="T199" s="4"/>
      <c r="U199" s="4"/>
      <c r="V199" s="4"/>
      <c r="W199" s="4"/>
      <c r="X199" s="4"/>
      <c r="Y199" s="4"/>
      <c r="Z199" s="4"/>
      <c r="AA199" s="4"/>
      <c r="AB199" s="4"/>
      <c r="AC199" s="4"/>
      <c r="AD199" s="4"/>
      <c r="AE199" s="4"/>
      <c r="AF199" s="4"/>
      <c r="AG199" s="4"/>
      <c r="AH199" s="4"/>
      <c r="AI199" s="4"/>
      <c r="AJ199" s="4"/>
      <c r="AK199" s="4"/>
      <c r="AL199" s="4"/>
      <c r="AM199" s="4"/>
      <c r="AN199" s="4"/>
      <c r="AO199" s="4"/>
      <c r="AP199" s="4"/>
      <c r="AQ199" s="4"/>
      <c r="AR199" s="4"/>
      <c r="AS199" s="4"/>
      <c r="AT199" s="4"/>
      <c r="AU199" s="4"/>
      <c r="AV199" s="4"/>
      <c r="AW199" s="4"/>
      <c r="AX199" s="4"/>
      <c r="AY199" s="4"/>
      <c r="AZ199" s="4"/>
      <c r="BA199" s="4"/>
      <c r="BB199" s="4"/>
      <c r="BC199" s="4"/>
      <c r="BD199" s="4"/>
      <c r="BE199" s="4"/>
      <c r="BF199" s="4"/>
      <c r="BG199" s="4"/>
      <c r="BH199" s="4"/>
      <c r="BI199" s="4"/>
      <c r="BJ199" s="4"/>
      <c r="BK199" s="4"/>
      <c r="BL199" s="4"/>
      <c r="BM199" s="4"/>
      <c r="BN199" s="4"/>
    </row>
    <row r="200" ht="13.5" customHeight="1" spans="1:66" x14ac:dyDescent="0.25">
      <c r="A200" s="4"/>
      <c r="B200" s="4"/>
      <c r="C200" s="533"/>
      <c r="D200" s="4"/>
      <c r="E200" s="4"/>
      <c r="F200" s="4"/>
      <c r="G200" s="4"/>
      <c r="H200" s="4"/>
      <c r="I200" s="4"/>
      <c r="J200" s="4"/>
      <c r="K200" s="4"/>
      <c r="L200" s="4"/>
      <c r="M200" s="4"/>
      <c r="N200" s="4"/>
      <c r="O200" s="4"/>
      <c r="P200" s="4"/>
      <c r="Q200" s="4"/>
      <c r="R200" s="4"/>
      <c r="S200" s="4"/>
      <c r="T200" s="4"/>
      <c r="U200" s="4"/>
      <c r="V200" s="4"/>
      <c r="W200" s="4"/>
      <c r="X200" s="4"/>
      <c r="Y200" s="4"/>
      <c r="Z200" s="4"/>
      <c r="AA200" s="4"/>
      <c r="AB200" s="4"/>
      <c r="AC200" s="4"/>
      <c r="AD200" s="4"/>
      <c r="AE200" s="4"/>
      <c r="AF200" s="4"/>
      <c r="AG200" s="4"/>
      <c r="AH200" s="4"/>
      <c r="AI200" s="4"/>
      <c r="AJ200" s="4"/>
      <c r="AK200" s="4"/>
      <c r="AL200" s="4"/>
      <c r="AM200" s="4"/>
      <c r="AN200" s="4"/>
      <c r="AO200" s="4"/>
      <c r="AP200" s="4"/>
      <c r="AQ200" s="4"/>
      <c r="AR200" s="4"/>
      <c r="AS200" s="4"/>
      <c r="AT200" s="4"/>
      <c r="AU200" s="4"/>
      <c r="AV200" s="4"/>
      <c r="AW200" s="4"/>
      <c r="AX200" s="4"/>
      <c r="AY200" s="4"/>
      <c r="AZ200" s="4"/>
      <c r="BA200" s="4"/>
      <c r="BB200" s="4"/>
      <c r="BC200" s="4"/>
      <c r="BD200" s="4"/>
      <c r="BE200" s="4"/>
      <c r="BF200" s="4"/>
      <c r="BG200" s="4"/>
      <c r="BH200" s="4"/>
      <c r="BI200" s="4"/>
      <c r="BJ200" s="4"/>
      <c r="BK200" s="4"/>
      <c r="BL200" s="4"/>
      <c r="BM200" s="4"/>
      <c r="BN200" s="4"/>
    </row>
    <row r="201" ht="13.5" customHeight="1" spans="1:66" x14ac:dyDescent="0.25">
      <c r="A201" s="4"/>
      <c r="B201" s="4"/>
      <c r="C201" s="533"/>
      <c r="D201" s="4"/>
      <c r="E201" s="4"/>
      <c r="F201" s="4"/>
      <c r="G201" s="4"/>
      <c r="H201" s="4"/>
      <c r="I201" s="4"/>
      <c r="J201" s="4"/>
      <c r="K201" s="4"/>
      <c r="L201" s="4"/>
      <c r="M201" s="4"/>
      <c r="N201" s="4"/>
      <c r="O201" s="4"/>
      <c r="P201" s="4"/>
      <c r="Q201" s="4"/>
      <c r="R201" s="4"/>
      <c r="S201" s="4"/>
      <c r="T201" s="4"/>
      <c r="U201" s="4"/>
      <c r="V201" s="4"/>
      <c r="W201" s="4"/>
      <c r="X201" s="4"/>
      <c r="Y201" s="4"/>
      <c r="Z201" s="4"/>
      <c r="AA201" s="4"/>
      <c r="AB201" s="4"/>
      <c r="AC201" s="4"/>
      <c r="AD201" s="4"/>
      <c r="AE201" s="4"/>
      <c r="AF201" s="4"/>
      <c r="AG201" s="4"/>
      <c r="AH201" s="4"/>
      <c r="AI201" s="4"/>
      <c r="AJ201" s="4"/>
      <c r="AK201" s="4"/>
      <c r="AL201" s="4"/>
      <c r="AM201" s="4"/>
      <c r="AN201" s="4"/>
      <c r="AO201" s="4"/>
      <c r="AP201" s="4"/>
      <c r="AQ201" s="4"/>
      <c r="AR201" s="4"/>
      <c r="AS201" s="4"/>
      <c r="AT201" s="4"/>
      <c r="AU201" s="4"/>
      <c r="AV201" s="4"/>
      <c r="AW201" s="4"/>
      <c r="AX201" s="4"/>
      <c r="AY201" s="4"/>
      <c r="AZ201" s="4"/>
      <c r="BA201" s="4"/>
      <c r="BB201" s="4"/>
      <c r="BC201" s="4"/>
      <c r="BD201" s="4"/>
      <c r="BE201" s="4"/>
      <c r="BF201" s="4"/>
      <c r="BG201" s="4"/>
      <c r="BH201" s="4"/>
      <c r="BI201" s="4"/>
      <c r="BJ201" s="4"/>
      <c r="BK201" s="4"/>
      <c r="BL201" s="4"/>
      <c r="BM201" s="4"/>
      <c r="BN201" s="4"/>
    </row>
    <row r="202" ht="13.5" customHeight="1" spans="1:66" x14ac:dyDescent="0.25">
      <c r="A202" s="4"/>
      <c r="B202" s="4"/>
      <c r="C202" s="533"/>
      <c r="D202" s="4"/>
      <c r="E202" s="4"/>
      <c r="F202" s="4"/>
      <c r="G202" s="4"/>
      <c r="H202" s="4"/>
      <c r="I202" s="4"/>
      <c r="J202" s="4"/>
      <c r="K202" s="4"/>
      <c r="L202" s="4"/>
      <c r="M202" s="4"/>
      <c r="N202" s="4"/>
      <c r="O202" s="4"/>
      <c r="P202" s="4"/>
      <c r="Q202" s="4"/>
      <c r="R202" s="4"/>
      <c r="S202" s="4"/>
      <c r="T202" s="4"/>
      <c r="U202" s="4"/>
      <c r="V202" s="4"/>
      <c r="W202" s="4"/>
      <c r="X202" s="4"/>
      <c r="Y202" s="4"/>
      <c r="Z202" s="4"/>
      <c r="AA202" s="4"/>
      <c r="AB202" s="4"/>
      <c r="AC202" s="4"/>
      <c r="AD202" s="4"/>
      <c r="AE202" s="4"/>
      <c r="AF202" s="4"/>
      <c r="AG202" s="4"/>
      <c r="AH202" s="4"/>
      <c r="AI202" s="4"/>
      <c r="AJ202" s="4"/>
      <c r="AK202" s="4"/>
      <c r="AL202" s="4"/>
      <c r="AM202" s="4"/>
      <c r="AN202" s="4"/>
      <c r="AO202" s="4"/>
      <c r="AP202" s="4"/>
      <c r="AQ202" s="4"/>
      <c r="AR202" s="4"/>
      <c r="AS202" s="4"/>
      <c r="AT202" s="4"/>
      <c r="AU202" s="4"/>
      <c r="AV202" s="4"/>
      <c r="AW202" s="4"/>
      <c r="AX202" s="4"/>
      <c r="AY202" s="4"/>
      <c r="AZ202" s="4"/>
      <c r="BA202" s="4"/>
      <c r="BB202" s="4"/>
      <c r="BC202" s="4"/>
      <c r="BD202" s="4"/>
      <c r="BE202" s="4"/>
      <c r="BF202" s="4"/>
      <c r="BG202" s="4"/>
      <c r="BH202" s="4"/>
      <c r="BI202" s="4"/>
      <c r="BJ202" s="4"/>
      <c r="BK202" s="4"/>
      <c r="BL202" s="4"/>
      <c r="BM202" s="4"/>
      <c r="BN202" s="4"/>
    </row>
    <row r="203" ht="13.5" customHeight="1" spans="1:66" x14ac:dyDescent="0.25">
      <c r="A203" s="4"/>
      <c r="B203" s="4"/>
      <c r="C203" s="533"/>
      <c r="D203" s="4"/>
      <c r="E203" s="4"/>
      <c r="F203" s="4"/>
      <c r="G203" s="4"/>
      <c r="H203" s="4"/>
      <c r="I203" s="4"/>
      <c r="J203" s="4"/>
      <c r="K203" s="4"/>
      <c r="L203" s="4"/>
      <c r="M203" s="4"/>
      <c r="N203" s="4"/>
      <c r="O203" s="4"/>
      <c r="P203" s="4"/>
      <c r="Q203" s="4"/>
      <c r="R203" s="4"/>
      <c r="S203" s="4"/>
      <c r="T203" s="4"/>
      <c r="U203" s="4"/>
      <c r="V203" s="4"/>
      <c r="W203" s="4"/>
      <c r="X203" s="4"/>
      <c r="Y203" s="4"/>
      <c r="Z203" s="4"/>
      <c r="AA203" s="4"/>
      <c r="AB203" s="4"/>
      <c r="AC203" s="4"/>
      <c r="AD203" s="4"/>
      <c r="AE203" s="4"/>
      <c r="AF203" s="4"/>
      <c r="AG203" s="4"/>
      <c r="AH203" s="4"/>
      <c r="AI203" s="4"/>
      <c r="AJ203" s="4"/>
      <c r="AK203" s="4"/>
      <c r="AL203" s="4"/>
      <c r="AM203" s="4"/>
      <c r="AN203" s="4"/>
      <c r="AO203" s="4"/>
      <c r="AP203" s="4"/>
      <c r="AQ203" s="4"/>
      <c r="AR203" s="4"/>
      <c r="AS203" s="4"/>
      <c r="AT203" s="4"/>
      <c r="AU203" s="4"/>
      <c r="AV203" s="4"/>
      <c r="AW203" s="4"/>
      <c r="AX203" s="4"/>
      <c r="AY203" s="4"/>
      <c r="AZ203" s="4"/>
      <c r="BA203" s="4"/>
      <c r="BB203" s="4"/>
      <c r="BC203" s="4"/>
      <c r="BD203" s="4"/>
      <c r="BE203" s="4"/>
      <c r="BF203" s="4"/>
      <c r="BG203" s="4"/>
      <c r="BH203" s="4"/>
      <c r="BI203" s="4"/>
      <c r="BJ203" s="4"/>
      <c r="BK203" s="4"/>
      <c r="BL203" s="4"/>
      <c r="BM203" s="4"/>
      <c r="BN203" s="4"/>
    </row>
    <row r="204" ht="13.5" customHeight="1" spans="1:66" x14ac:dyDescent="0.25">
      <c r="A204" s="4"/>
      <c r="B204" s="4"/>
      <c r="C204" s="533"/>
      <c r="D204" s="4"/>
      <c r="E204" s="4"/>
      <c r="F204" s="4"/>
      <c r="G204" s="4"/>
      <c r="H204" s="4"/>
      <c r="I204" s="4"/>
      <c r="J204" s="4"/>
      <c r="K204" s="4"/>
      <c r="L204" s="4"/>
      <c r="M204" s="4"/>
      <c r="N204" s="4"/>
      <c r="O204" s="4"/>
      <c r="P204" s="4"/>
      <c r="Q204" s="4"/>
      <c r="R204" s="4"/>
      <c r="S204" s="4"/>
      <c r="T204" s="4"/>
      <c r="U204" s="4"/>
      <c r="V204" s="4"/>
      <c r="W204" s="4"/>
      <c r="X204" s="4"/>
      <c r="Y204" s="4"/>
      <c r="Z204" s="4"/>
      <c r="AA204" s="4"/>
      <c r="AB204" s="4"/>
      <c r="AC204" s="4"/>
      <c r="AD204" s="4"/>
      <c r="AE204" s="4"/>
      <c r="AF204" s="4"/>
      <c r="AG204" s="4"/>
      <c r="AH204" s="4"/>
      <c r="AI204" s="4"/>
      <c r="AJ204" s="4"/>
      <c r="AK204" s="4"/>
      <c r="AL204" s="4"/>
      <c r="AM204" s="4"/>
      <c r="AN204" s="4"/>
      <c r="AO204" s="4"/>
      <c r="AP204" s="4"/>
      <c r="AQ204" s="4"/>
      <c r="AR204" s="4"/>
      <c r="AS204" s="4"/>
      <c r="AT204" s="4"/>
      <c r="AU204" s="4"/>
      <c r="AV204" s="4"/>
      <c r="AW204" s="4"/>
      <c r="AX204" s="4"/>
      <c r="AY204" s="4"/>
      <c r="AZ204" s="4"/>
      <c r="BA204" s="4"/>
      <c r="BB204" s="4"/>
      <c r="BC204" s="4"/>
      <c r="BD204" s="4"/>
      <c r="BE204" s="4"/>
      <c r="BF204" s="4"/>
      <c r="BG204" s="4"/>
      <c r="BH204" s="4"/>
      <c r="BI204" s="4"/>
      <c r="BJ204" s="4"/>
      <c r="BK204" s="4"/>
      <c r="BL204" s="4"/>
      <c r="BM204" s="4"/>
      <c r="BN204" s="4"/>
    </row>
    <row r="205" ht="13.5" customHeight="1" spans="1:66" x14ac:dyDescent="0.25">
      <c r="A205" s="4"/>
      <c r="B205" s="4"/>
      <c r="C205" s="533"/>
      <c r="D205" s="4"/>
      <c r="E205" s="4"/>
      <c r="F205" s="4"/>
      <c r="G205" s="4"/>
      <c r="H205" s="4"/>
      <c r="I205" s="4"/>
      <c r="J205" s="4"/>
      <c r="K205" s="4"/>
      <c r="L205" s="4"/>
      <c r="M205" s="4"/>
      <c r="N205" s="4"/>
      <c r="O205" s="4"/>
      <c r="P205" s="4"/>
      <c r="Q205" s="4"/>
      <c r="R205" s="4"/>
      <c r="S205" s="4"/>
      <c r="T205" s="4"/>
      <c r="U205" s="4"/>
      <c r="V205" s="4"/>
      <c r="W205" s="4"/>
      <c r="X205" s="4"/>
      <c r="Y205" s="4"/>
      <c r="Z205" s="4"/>
      <c r="AA205" s="4"/>
      <c r="AB205" s="4"/>
      <c r="AC205" s="4"/>
      <c r="AD205" s="4"/>
      <c r="AE205" s="4"/>
      <c r="AF205" s="4"/>
      <c r="AG205" s="4"/>
      <c r="AH205" s="4"/>
      <c r="AI205" s="4"/>
      <c r="AJ205" s="4"/>
      <c r="AK205" s="4"/>
      <c r="AL205" s="4"/>
      <c r="AM205" s="4"/>
      <c r="AN205" s="4"/>
      <c r="AO205" s="4"/>
      <c r="AP205" s="4"/>
      <c r="AQ205" s="4"/>
      <c r="AR205" s="4"/>
      <c r="AS205" s="4"/>
      <c r="AT205" s="4"/>
      <c r="AU205" s="4"/>
      <c r="AV205" s="4"/>
      <c r="AW205" s="4"/>
      <c r="AX205" s="4"/>
      <c r="AY205" s="4"/>
      <c r="AZ205" s="4"/>
      <c r="BA205" s="4"/>
      <c r="BB205" s="4"/>
      <c r="BC205" s="4"/>
      <c r="BD205" s="4"/>
      <c r="BE205" s="4"/>
      <c r="BF205" s="4"/>
      <c r="BG205" s="4"/>
      <c r="BH205" s="4"/>
      <c r="BI205" s="4"/>
      <c r="BJ205" s="4"/>
      <c r="BK205" s="4"/>
      <c r="BL205" s="4"/>
      <c r="BM205" s="4"/>
      <c r="BN205" s="4"/>
    </row>
    <row r="206" ht="13.5" customHeight="1" spans="1:66" x14ac:dyDescent="0.25">
      <c r="A206" s="4"/>
      <c r="B206" s="4"/>
      <c r="C206" s="533"/>
      <c r="D206" s="4"/>
      <c r="E206" s="4"/>
      <c r="F206" s="4"/>
      <c r="G206" s="4"/>
      <c r="H206" s="4"/>
      <c r="I206" s="4"/>
      <c r="J206" s="4"/>
      <c r="K206" s="4"/>
      <c r="L206" s="4"/>
      <c r="M206" s="4"/>
      <c r="N206" s="4"/>
      <c r="O206" s="4"/>
      <c r="P206" s="4"/>
      <c r="Q206" s="4"/>
      <c r="R206" s="4"/>
      <c r="S206" s="4"/>
      <c r="T206" s="4"/>
      <c r="U206" s="4"/>
      <c r="V206" s="4"/>
      <c r="W206" s="4"/>
      <c r="X206" s="4"/>
      <c r="Y206" s="4"/>
      <c r="Z206" s="4"/>
      <c r="AA206" s="4"/>
      <c r="AB206" s="4"/>
      <c r="AC206" s="4"/>
      <c r="AD206" s="4"/>
      <c r="AE206" s="4"/>
      <c r="AF206" s="4"/>
      <c r="AG206" s="4"/>
      <c r="AH206" s="4"/>
      <c r="AI206" s="4"/>
      <c r="AJ206" s="4"/>
      <c r="AK206" s="4"/>
      <c r="AL206" s="4"/>
      <c r="AM206" s="4"/>
      <c r="AN206" s="4"/>
      <c r="AO206" s="4"/>
      <c r="AP206" s="4"/>
      <c r="AQ206" s="4"/>
      <c r="AR206" s="4"/>
      <c r="AS206" s="4"/>
      <c r="AT206" s="4"/>
      <c r="AU206" s="4"/>
      <c r="AV206" s="4"/>
      <c r="AW206" s="4"/>
      <c r="AX206" s="4"/>
      <c r="AY206" s="4"/>
      <c r="AZ206" s="4"/>
      <c r="BA206" s="4"/>
      <c r="BB206" s="4"/>
      <c r="BC206" s="4"/>
      <c r="BD206" s="4"/>
      <c r="BE206" s="4"/>
      <c r="BF206" s="4"/>
      <c r="BG206" s="4"/>
      <c r="BH206" s="4"/>
      <c r="BI206" s="4"/>
      <c r="BJ206" s="4"/>
      <c r="BK206" s="4"/>
      <c r="BL206" s="4"/>
      <c r="BM206" s="4"/>
      <c r="BN206" s="4"/>
    </row>
    <row r="207" ht="13.5" customHeight="1" spans="1:66" x14ac:dyDescent="0.25">
      <c r="A207" s="4"/>
      <c r="B207" s="4"/>
      <c r="C207" s="533"/>
      <c r="D207" s="4"/>
      <c r="E207" s="4"/>
      <c r="F207" s="4"/>
      <c r="G207" s="4"/>
      <c r="H207" s="4"/>
      <c r="I207" s="4"/>
      <c r="J207" s="4"/>
      <c r="K207" s="4"/>
      <c r="L207" s="4"/>
      <c r="M207" s="4"/>
      <c r="N207" s="4"/>
      <c r="O207" s="4"/>
      <c r="P207" s="4"/>
      <c r="Q207" s="4"/>
      <c r="R207" s="4"/>
      <c r="S207" s="4"/>
      <c r="T207" s="4"/>
      <c r="U207" s="4"/>
      <c r="V207" s="4"/>
      <c r="W207" s="4"/>
      <c r="X207" s="4"/>
      <c r="Y207" s="4"/>
      <c r="Z207" s="4"/>
      <c r="AA207" s="4"/>
      <c r="AB207" s="4"/>
      <c r="AC207" s="4"/>
      <c r="AD207" s="4"/>
      <c r="AE207" s="4"/>
      <c r="AF207" s="4"/>
      <c r="AG207" s="4"/>
      <c r="AH207" s="4"/>
      <c r="AI207" s="4"/>
      <c r="AJ207" s="4"/>
      <c r="AK207" s="4"/>
      <c r="AL207" s="4"/>
      <c r="AM207" s="4"/>
      <c r="AN207" s="4"/>
      <c r="AO207" s="4"/>
      <c r="AP207" s="4"/>
      <c r="AQ207" s="4"/>
      <c r="AR207" s="4"/>
      <c r="AS207" s="4"/>
      <c r="AT207" s="4"/>
      <c r="AU207" s="4"/>
      <c r="AV207" s="4"/>
      <c r="AW207" s="4"/>
      <c r="AX207" s="4"/>
      <c r="AY207" s="4"/>
      <c r="AZ207" s="4"/>
      <c r="BA207" s="4"/>
      <c r="BB207" s="4"/>
      <c r="BC207" s="4"/>
      <c r="BD207" s="4"/>
      <c r="BE207" s="4"/>
      <c r="BF207" s="4"/>
      <c r="BG207" s="4"/>
      <c r="BH207" s="4"/>
      <c r="BI207" s="4"/>
      <c r="BJ207" s="4"/>
      <c r="BK207" s="4"/>
      <c r="BL207" s="4"/>
      <c r="BM207" s="4"/>
      <c r="BN207" s="4"/>
    </row>
    <row r="208" ht="13.5" customHeight="1" spans="1:66" x14ac:dyDescent="0.25">
      <c r="A208" s="4"/>
      <c r="B208" s="4"/>
      <c r="C208" s="533"/>
      <c r="D208" s="4"/>
      <c r="E208" s="4"/>
      <c r="F208" s="4"/>
      <c r="G208" s="4"/>
      <c r="H208" s="4"/>
      <c r="I208" s="4"/>
      <c r="J208" s="4"/>
      <c r="K208" s="4"/>
      <c r="L208" s="4"/>
      <c r="M208" s="4"/>
      <c r="N208" s="4"/>
      <c r="O208" s="4"/>
      <c r="P208" s="4"/>
      <c r="Q208" s="4"/>
      <c r="R208" s="4"/>
      <c r="S208" s="4"/>
      <c r="T208" s="4"/>
      <c r="U208" s="4"/>
      <c r="V208" s="4"/>
      <c r="W208" s="4"/>
      <c r="X208" s="4"/>
      <c r="Y208" s="4"/>
      <c r="Z208" s="4"/>
      <c r="AA208" s="4"/>
      <c r="AB208" s="4"/>
      <c r="AC208" s="4"/>
      <c r="AD208" s="4"/>
      <c r="AE208" s="4"/>
      <c r="AF208" s="4"/>
      <c r="AG208" s="4"/>
      <c r="AH208" s="4"/>
      <c r="AI208" s="4"/>
      <c r="AJ208" s="4"/>
      <c r="AK208" s="4"/>
      <c r="AL208" s="4"/>
      <c r="AM208" s="4"/>
      <c r="AN208" s="4"/>
      <c r="AO208" s="4"/>
      <c r="AP208" s="4"/>
      <c r="AQ208" s="4"/>
      <c r="AR208" s="4"/>
      <c r="AS208" s="4"/>
      <c r="AT208" s="4"/>
      <c r="AU208" s="4"/>
      <c r="AV208" s="4"/>
      <c r="AW208" s="4"/>
      <c r="AX208" s="4"/>
      <c r="AY208" s="4"/>
      <c r="AZ208" s="4"/>
      <c r="BA208" s="4"/>
      <c r="BB208" s="4"/>
      <c r="BC208" s="4"/>
      <c r="BD208" s="4"/>
      <c r="BE208" s="4"/>
      <c r="BF208" s="4"/>
      <c r="BG208" s="4"/>
      <c r="BH208" s="4"/>
      <c r="BI208" s="4"/>
      <c r="BJ208" s="4"/>
      <c r="BK208" s="4"/>
      <c r="BL208" s="4"/>
      <c r="BM208" s="4"/>
      <c r="BN208" s="4"/>
    </row>
    <row r="209" ht="13.5" customHeight="1" spans="1:66" x14ac:dyDescent="0.25">
      <c r="A209" s="4"/>
      <c r="B209" s="4"/>
      <c r="C209" s="533"/>
      <c r="D209" s="4"/>
      <c r="E209" s="4"/>
      <c r="F209" s="4"/>
      <c r="G209" s="4"/>
      <c r="H209" s="4"/>
      <c r="I209" s="4"/>
      <c r="J209" s="4"/>
      <c r="K209" s="4"/>
      <c r="L209" s="4"/>
      <c r="M209" s="4"/>
      <c r="N209" s="4"/>
      <c r="O209" s="4"/>
      <c r="P209" s="4"/>
      <c r="Q209" s="4"/>
      <c r="R209" s="4"/>
      <c r="S209" s="4"/>
      <c r="T209" s="4"/>
      <c r="U209" s="4"/>
      <c r="V209" s="4"/>
      <c r="W209" s="4"/>
      <c r="X209" s="4"/>
      <c r="Y209" s="4"/>
      <c r="Z209" s="4"/>
      <c r="AA209" s="4"/>
      <c r="AB209" s="4"/>
      <c r="AC209" s="4"/>
      <c r="AD209" s="4"/>
      <c r="AE209" s="4"/>
      <c r="AF209" s="4"/>
      <c r="AG209" s="4"/>
      <c r="AH209" s="4"/>
      <c r="AI209" s="4"/>
      <c r="AJ209" s="4"/>
      <c r="AK209" s="4"/>
      <c r="AL209" s="4"/>
      <c r="AM209" s="4"/>
      <c r="AN209" s="4"/>
      <c r="AO209" s="4"/>
      <c r="AP209" s="4"/>
      <c r="AQ209" s="4"/>
      <c r="AR209" s="4"/>
      <c r="AS209" s="4"/>
      <c r="AT209" s="4"/>
      <c r="AU209" s="4"/>
      <c r="AV209" s="4"/>
      <c r="AW209" s="4"/>
      <c r="AX209" s="4"/>
      <c r="AY209" s="4"/>
      <c r="AZ209" s="4"/>
      <c r="BA209" s="4"/>
      <c r="BB209" s="4"/>
      <c r="BC209" s="4"/>
      <c r="BD209" s="4"/>
      <c r="BE209" s="4"/>
      <c r="BF209" s="4"/>
      <c r="BG209" s="4"/>
      <c r="BH209" s="4"/>
      <c r="BI209" s="4"/>
      <c r="BJ209" s="4"/>
      <c r="BK209" s="4"/>
      <c r="BL209" s="4"/>
      <c r="BM209" s="4"/>
      <c r="BN209" s="4"/>
    </row>
    <row r="210" ht="13.5" customHeight="1" spans="1:66" x14ac:dyDescent="0.25">
      <c r="A210" s="4"/>
      <c r="B210" s="4"/>
      <c r="C210" s="533"/>
      <c r="D210" s="4"/>
      <c r="E210" s="4"/>
      <c r="F210" s="4"/>
      <c r="G210" s="4"/>
      <c r="H210" s="4"/>
      <c r="I210" s="4"/>
      <c r="J210" s="4"/>
      <c r="K210" s="4"/>
      <c r="L210" s="4"/>
      <c r="M210" s="4"/>
      <c r="N210" s="4"/>
      <c r="O210" s="4"/>
      <c r="P210" s="4"/>
      <c r="Q210" s="4"/>
      <c r="R210" s="4"/>
      <c r="S210" s="4"/>
      <c r="T210" s="4"/>
      <c r="U210" s="4"/>
      <c r="V210" s="4"/>
      <c r="W210" s="4"/>
      <c r="X210" s="4"/>
      <c r="Y210" s="4"/>
      <c r="Z210" s="4"/>
      <c r="AA210" s="4"/>
      <c r="AB210" s="4"/>
      <c r="AC210" s="4"/>
      <c r="AD210" s="4"/>
      <c r="AE210" s="4"/>
      <c r="AF210" s="4"/>
      <c r="AG210" s="4"/>
      <c r="AH210" s="4"/>
      <c r="AI210" s="4"/>
      <c r="AJ210" s="4"/>
      <c r="AK210" s="4"/>
      <c r="AL210" s="4"/>
      <c r="AM210" s="4"/>
      <c r="AN210" s="4"/>
      <c r="AO210" s="4"/>
      <c r="AP210" s="4"/>
      <c r="AQ210" s="4"/>
      <c r="AR210" s="4"/>
      <c r="AS210" s="4"/>
      <c r="AT210" s="4"/>
      <c r="AU210" s="4"/>
      <c r="AV210" s="4"/>
      <c r="AW210" s="4"/>
      <c r="AX210" s="4"/>
      <c r="AY210" s="4"/>
      <c r="AZ210" s="4"/>
      <c r="BA210" s="4"/>
      <c r="BB210" s="4"/>
      <c r="BC210" s="4"/>
      <c r="BD210" s="4"/>
      <c r="BE210" s="4"/>
      <c r="BF210" s="4"/>
      <c r="BG210" s="4"/>
      <c r="BH210" s="4"/>
      <c r="BI210" s="4"/>
      <c r="BJ210" s="4"/>
      <c r="BK210" s="4"/>
      <c r="BL210" s="4"/>
      <c r="BM210" s="4"/>
      <c r="BN210" s="4"/>
    </row>
    <row r="211" ht="13.5" customHeight="1" spans="1:66" x14ac:dyDescent="0.25">
      <c r="A211" s="4"/>
      <c r="B211" s="4"/>
      <c r="C211" s="533"/>
      <c r="D211" s="4"/>
      <c r="E211" s="4"/>
      <c r="F211" s="4"/>
      <c r="G211" s="4"/>
      <c r="H211" s="4"/>
      <c r="I211" s="4"/>
      <c r="J211" s="4"/>
      <c r="K211" s="4"/>
      <c r="L211" s="4"/>
      <c r="M211" s="4"/>
      <c r="N211" s="4"/>
      <c r="O211" s="4"/>
      <c r="P211" s="4"/>
      <c r="Q211" s="4"/>
      <c r="R211" s="4"/>
      <c r="S211" s="4"/>
      <c r="T211" s="4"/>
      <c r="U211" s="4"/>
      <c r="V211" s="4"/>
      <c r="W211" s="4"/>
      <c r="X211" s="4"/>
      <c r="Y211" s="4"/>
      <c r="Z211" s="4"/>
      <c r="AA211" s="4"/>
      <c r="AB211" s="4"/>
      <c r="AC211" s="4"/>
      <c r="AD211" s="4"/>
      <c r="AE211" s="4"/>
      <c r="AF211" s="4"/>
      <c r="AG211" s="4"/>
      <c r="AH211" s="4"/>
      <c r="AI211" s="4"/>
      <c r="AJ211" s="4"/>
      <c r="AK211" s="4"/>
      <c r="AL211" s="4"/>
      <c r="AM211" s="4"/>
      <c r="AN211" s="4"/>
      <c r="AO211" s="4"/>
      <c r="AP211" s="4"/>
      <c r="AQ211" s="4"/>
      <c r="AR211" s="4"/>
      <c r="AS211" s="4"/>
      <c r="AT211" s="4"/>
      <c r="AU211" s="4"/>
      <c r="AV211" s="4"/>
      <c r="AW211" s="4"/>
      <c r="AX211" s="4"/>
      <c r="AY211" s="4"/>
      <c r="AZ211" s="4"/>
      <c r="BA211" s="4"/>
      <c r="BB211" s="4"/>
      <c r="BC211" s="4"/>
      <c r="BD211" s="4"/>
      <c r="BE211" s="4"/>
      <c r="BF211" s="4"/>
      <c r="BG211" s="4"/>
      <c r="BH211" s="4"/>
      <c r="BI211" s="4"/>
      <c r="BJ211" s="4"/>
      <c r="BK211" s="4"/>
      <c r="BL211" s="4"/>
      <c r="BM211" s="4"/>
      <c r="BN211" s="4"/>
    </row>
    <row r="212" ht="13.5" customHeight="1" spans="1:66" x14ac:dyDescent="0.25">
      <c r="A212" s="4"/>
      <c r="B212" s="4"/>
      <c r="C212" s="533"/>
      <c r="D212" s="4"/>
      <c r="E212" s="4"/>
      <c r="F212" s="4"/>
      <c r="G212" s="4"/>
      <c r="H212" s="4"/>
      <c r="I212" s="4"/>
      <c r="J212" s="4"/>
      <c r="K212" s="4"/>
      <c r="L212" s="4"/>
      <c r="M212" s="4"/>
      <c r="N212" s="4"/>
      <c r="O212" s="4"/>
      <c r="P212" s="4"/>
      <c r="Q212" s="4"/>
      <c r="R212" s="4"/>
      <c r="S212" s="4"/>
      <c r="T212" s="4"/>
      <c r="U212" s="4"/>
      <c r="V212" s="4"/>
      <c r="W212" s="4"/>
      <c r="X212" s="4"/>
      <c r="Y212" s="4"/>
      <c r="Z212" s="4"/>
      <c r="AA212" s="4"/>
      <c r="AB212" s="4"/>
      <c r="AC212" s="4"/>
      <c r="AD212" s="4"/>
      <c r="AE212" s="4"/>
      <c r="AF212" s="4"/>
      <c r="AG212" s="4"/>
      <c r="AH212" s="4"/>
      <c r="AI212" s="4"/>
      <c r="AJ212" s="4"/>
      <c r="AK212" s="4"/>
      <c r="AL212" s="4"/>
      <c r="AM212" s="4"/>
      <c r="AN212" s="4"/>
      <c r="AO212" s="4"/>
      <c r="AP212" s="4"/>
      <c r="AQ212" s="4"/>
      <c r="AR212" s="4"/>
      <c r="AS212" s="4"/>
      <c r="AT212" s="4"/>
      <c r="AU212" s="4"/>
      <c r="AV212" s="4"/>
      <c r="AW212" s="4"/>
      <c r="AX212" s="4"/>
      <c r="AY212" s="4"/>
      <c r="AZ212" s="4"/>
      <c r="BA212" s="4"/>
      <c r="BB212" s="4"/>
      <c r="BC212" s="4"/>
      <c r="BD212" s="4"/>
      <c r="BE212" s="4"/>
      <c r="BF212" s="4"/>
      <c r="BG212" s="4"/>
      <c r="BH212" s="4"/>
      <c r="BI212" s="4"/>
      <c r="BJ212" s="4"/>
      <c r="BK212" s="4"/>
      <c r="BL212" s="4"/>
      <c r="BM212" s="4"/>
      <c r="BN212" s="4"/>
    </row>
    <row r="213" ht="13.5" customHeight="1" spans="1:66" x14ac:dyDescent="0.25">
      <c r="A213" s="4"/>
      <c r="B213" s="4"/>
      <c r="C213" s="533"/>
      <c r="D213" s="4"/>
      <c r="E213" s="4"/>
      <c r="F213" s="4"/>
      <c r="G213" s="4"/>
      <c r="H213" s="4"/>
      <c r="I213" s="4"/>
      <c r="J213" s="4"/>
      <c r="K213" s="4"/>
      <c r="L213" s="4"/>
      <c r="M213" s="4"/>
      <c r="N213" s="4"/>
      <c r="O213" s="4"/>
      <c r="P213" s="4"/>
      <c r="Q213" s="4"/>
      <c r="R213" s="4"/>
      <c r="S213" s="4"/>
      <c r="T213" s="4"/>
      <c r="U213" s="4"/>
      <c r="V213" s="4"/>
      <c r="W213" s="4"/>
      <c r="X213" s="4"/>
      <c r="Y213" s="4"/>
      <c r="Z213" s="4"/>
      <c r="AA213" s="4"/>
      <c r="AB213" s="4"/>
      <c r="AC213" s="4"/>
      <c r="AD213" s="4"/>
      <c r="AE213" s="4"/>
      <c r="AF213" s="4"/>
      <c r="AG213" s="4"/>
      <c r="AH213" s="4"/>
      <c r="AI213" s="4"/>
      <c r="AJ213" s="4"/>
      <c r="AK213" s="4"/>
      <c r="AL213" s="4"/>
      <c r="AM213" s="4"/>
      <c r="AN213" s="4"/>
      <c r="AO213" s="4"/>
      <c r="AP213" s="4"/>
      <c r="AQ213" s="4"/>
      <c r="AR213" s="4"/>
      <c r="AS213" s="4"/>
      <c r="AT213" s="4"/>
      <c r="AU213" s="4"/>
      <c r="AV213" s="4"/>
      <c r="AW213" s="4"/>
      <c r="AX213" s="4"/>
      <c r="AY213" s="4"/>
      <c r="AZ213" s="4"/>
      <c r="BA213" s="4"/>
      <c r="BB213" s="4"/>
      <c r="BC213" s="4"/>
      <c r="BD213" s="4"/>
      <c r="BE213" s="4"/>
      <c r="BF213" s="4"/>
      <c r="BG213" s="4"/>
      <c r="BH213" s="4"/>
      <c r="BI213" s="4"/>
      <c r="BJ213" s="4"/>
      <c r="BK213" s="4"/>
      <c r="BL213" s="4"/>
      <c r="BM213" s="4"/>
      <c r="BN213" s="4"/>
    </row>
    <row r="214" ht="13.5" customHeight="1" spans="1:66" x14ac:dyDescent="0.25">
      <c r="A214" s="4"/>
      <c r="B214" s="4"/>
      <c r="C214" s="533"/>
      <c r="D214" s="4"/>
      <c r="E214" s="4"/>
      <c r="F214" s="4"/>
      <c r="G214" s="4"/>
      <c r="H214" s="4"/>
      <c r="I214" s="4"/>
      <c r="J214" s="4"/>
      <c r="K214" s="4"/>
      <c r="L214" s="4"/>
      <c r="M214" s="4"/>
      <c r="N214" s="4"/>
      <c r="O214" s="4"/>
      <c r="P214" s="4"/>
      <c r="Q214" s="4"/>
      <c r="R214" s="4"/>
      <c r="S214" s="4"/>
      <c r="T214" s="4"/>
      <c r="U214" s="4"/>
      <c r="V214" s="4"/>
      <c r="W214" s="4"/>
      <c r="X214" s="4"/>
      <c r="Y214" s="4"/>
      <c r="Z214" s="4"/>
      <c r="AA214" s="4"/>
      <c r="AB214" s="4"/>
      <c r="AC214" s="4"/>
      <c r="AD214" s="4"/>
      <c r="AE214" s="4"/>
      <c r="AF214" s="4"/>
      <c r="AG214" s="4"/>
      <c r="AH214" s="4"/>
      <c r="AI214" s="4"/>
      <c r="AJ214" s="4"/>
      <c r="AK214" s="4"/>
      <c r="AL214" s="4"/>
      <c r="AM214" s="4"/>
      <c r="AN214" s="4"/>
      <c r="AO214" s="4"/>
      <c r="AP214" s="4"/>
      <c r="AQ214" s="4"/>
      <c r="AR214" s="4"/>
      <c r="AS214" s="4"/>
      <c r="AT214" s="4"/>
      <c r="AU214" s="4"/>
      <c r="AV214" s="4"/>
      <c r="AW214" s="4"/>
      <c r="AX214" s="4"/>
      <c r="AY214" s="4"/>
      <c r="AZ214" s="4"/>
      <c r="BA214" s="4"/>
      <c r="BB214" s="4"/>
      <c r="BC214" s="4"/>
      <c r="BD214" s="4"/>
      <c r="BE214" s="4"/>
      <c r="BF214" s="4"/>
      <c r="BG214" s="4"/>
      <c r="BH214" s="4"/>
      <c r="BI214" s="4"/>
      <c r="BJ214" s="4"/>
      <c r="BK214" s="4"/>
      <c r="BL214" s="4"/>
      <c r="BM214" s="4"/>
      <c r="BN214" s="4"/>
    </row>
    <row r="215" ht="13.5" customHeight="1" spans="1:66" x14ac:dyDescent="0.25">
      <c r="A215" s="4"/>
      <c r="B215" s="4"/>
      <c r="C215" s="533"/>
      <c r="D215" s="4"/>
      <c r="E215" s="4"/>
      <c r="F215" s="4"/>
      <c r="G215" s="4"/>
      <c r="H215" s="4"/>
      <c r="I215" s="4"/>
      <c r="J215" s="4"/>
      <c r="K215" s="4"/>
      <c r="L215" s="4"/>
      <c r="M215" s="4"/>
      <c r="N215" s="4"/>
      <c r="O215" s="4"/>
      <c r="P215" s="4"/>
      <c r="Q215" s="4"/>
      <c r="R215" s="4"/>
      <c r="S215" s="4"/>
      <c r="T215" s="4"/>
      <c r="U215" s="4"/>
      <c r="V215" s="4"/>
      <c r="W215" s="4"/>
      <c r="X215" s="4"/>
      <c r="Y215" s="4"/>
      <c r="Z215" s="4"/>
      <c r="AA215" s="4"/>
      <c r="AB215" s="4"/>
      <c r="AC215" s="4"/>
      <c r="AD215" s="4"/>
      <c r="AE215" s="4"/>
      <c r="AF215" s="4"/>
      <c r="AG215" s="4"/>
      <c r="AH215" s="4"/>
      <c r="AI215" s="4"/>
      <c r="AJ215" s="4"/>
      <c r="AK215" s="4"/>
      <c r="AL215" s="4"/>
      <c r="AM215" s="4"/>
      <c r="AN215" s="4"/>
      <c r="AO215" s="4"/>
      <c r="AP215" s="4"/>
      <c r="AQ215" s="4"/>
      <c r="AR215" s="4"/>
      <c r="AS215" s="4"/>
      <c r="AT215" s="4"/>
      <c r="AU215" s="4"/>
      <c r="AV215" s="4"/>
      <c r="AW215" s="4"/>
      <c r="AX215" s="4"/>
      <c r="AY215" s="4"/>
      <c r="AZ215" s="4"/>
      <c r="BA215" s="4"/>
      <c r="BB215" s="4"/>
      <c r="BC215" s="4"/>
      <c r="BD215" s="4"/>
      <c r="BE215" s="4"/>
      <c r="BF215" s="4"/>
      <c r="BG215" s="4"/>
      <c r="BH215" s="4"/>
      <c r="BI215" s="4"/>
      <c r="BJ215" s="4"/>
      <c r="BK215" s="4"/>
      <c r="BL215" s="4"/>
      <c r="BM215" s="4"/>
      <c r="BN215" s="4"/>
    </row>
    <row r="216" ht="13.5" customHeight="1" spans="1:66" x14ac:dyDescent="0.25">
      <c r="A216" s="4"/>
      <c r="B216" s="4"/>
      <c r="C216" s="533"/>
      <c r="D216" s="4"/>
      <c r="E216" s="4"/>
      <c r="F216" s="4"/>
      <c r="G216" s="4"/>
      <c r="H216" s="4"/>
      <c r="I216" s="4"/>
      <c r="J216" s="4"/>
      <c r="K216" s="4"/>
      <c r="L216" s="4"/>
      <c r="M216" s="4"/>
      <c r="N216" s="4"/>
      <c r="O216" s="4"/>
      <c r="P216" s="4"/>
      <c r="Q216" s="4"/>
      <c r="R216" s="4"/>
      <c r="S216" s="4"/>
      <c r="T216" s="4"/>
      <c r="U216" s="4"/>
      <c r="V216" s="4"/>
      <c r="W216" s="4"/>
      <c r="X216" s="4"/>
      <c r="Y216" s="4"/>
      <c r="Z216" s="4"/>
      <c r="AA216" s="4"/>
      <c r="AB216" s="4"/>
      <c r="AC216" s="4"/>
      <c r="AD216" s="4"/>
      <c r="AE216" s="4"/>
      <c r="AF216" s="4"/>
      <c r="AG216" s="4"/>
      <c r="AH216" s="4"/>
      <c r="AI216" s="4"/>
      <c r="AJ216" s="4"/>
      <c r="AK216" s="4"/>
      <c r="AL216" s="4"/>
      <c r="AM216" s="4"/>
      <c r="AN216" s="4"/>
      <c r="AO216" s="4"/>
      <c r="AP216" s="4"/>
      <c r="AQ216" s="4"/>
      <c r="AR216" s="4"/>
      <c r="AS216" s="4"/>
      <c r="AT216" s="4"/>
      <c r="AU216" s="4"/>
      <c r="AV216" s="4"/>
      <c r="AW216" s="4"/>
      <c r="AX216" s="4"/>
      <c r="AY216" s="4"/>
      <c r="AZ216" s="4"/>
      <c r="BA216" s="4"/>
      <c r="BB216" s="4"/>
      <c r="BC216" s="4"/>
      <c r="BD216" s="4"/>
      <c r="BE216" s="4"/>
      <c r="BF216" s="4"/>
      <c r="BG216" s="4"/>
      <c r="BH216" s="4"/>
      <c r="BI216" s="4"/>
      <c r="BJ216" s="4"/>
      <c r="BK216" s="4"/>
      <c r="BL216" s="4"/>
      <c r="BM216" s="4"/>
      <c r="BN216" s="4"/>
    </row>
    <row r="217" ht="13.5" customHeight="1" spans="1:66" x14ac:dyDescent="0.25">
      <c r="A217" s="4"/>
      <c r="B217" s="4"/>
      <c r="C217" s="533"/>
      <c r="D217" s="4"/>
      <c r="E217" s="4"/>
      <c r="F217" s="4"/>
      <c r="G217" s="4"/>
      <c r="H217" s="4"/>
      <c r="I217" s="4"/>
      <c r="J217" s="4"/>
      <c r="K217" s="4"/>
      <c r="L217" s="4"/>
      <c r="M217" s="4"/>
      <c r="N217" s="4"/>
      <c r="O217" s="4"/>
      <c r="P217" s="4"/>
      <c r="Q217" s="4"/>
      <c r="R217" s="4"/>
      <c r="S217" s="4"/>
      <c r="T217" s="4"/>
      <c r="U217" s="4"/>
      <c r="V217" s="4"/>
      <c r="W217" s="4"/>
      <c r="X217" s="4"/>
      <c r="Y217" s="4"/>
      <c r="Z217" s="4"/>
      <c r="AA217" s="4"/>
      <c r="AB217" s="4"/>
      <c r="AC217" s="4"/>
      <c r="AD217" s="4"/>
      <c r="AE217" s="4"/>
      <c r="AF217" s="4"/>
      <c r="AG217" s="4"/>
      <c r="AH217" s="4"/>
      <c r="AI217" s="4"/>
      <c r="AJ217" s="4"/>
      <c r="AK217" s="4"/>
      <c r="AL217" s="4"/>
      <c r="AM217" s="4"/>
      <c r="AN217" s="4"/>
      <c r="AO217" s="4"/>
      <c r="AP217" s="4"/>
      <c r="AQ217" s="4"/>
      <c r="AR217" s="4"/>
      <c r="AS217" s="4"/>
      <c r="AT217" s="4"/>
      <c r="AU217" s="4"/>
      <c r="AV217" s="4"/>
      <c r="AW217" s="4"/>
      <c r="AX217" s="4"/>
      <c r="AY217" s="4"/>
      <c r="AZ217" s="4"/>
      <c r="BA217" s="4"/>
      <c r="BB217" s="4"/>
      <c r="BC217" s="4"/>
      <c r="BD217" s="4"/>
      <c r="BE217" s="4"/>
      <c r="BF217" s="4"/>
      <c r="BG217" s="4"/>
      <c r="BH217" s="4"/>
      <c r="BI217" s="4"/>
      <c r="BJ217" s="4"/>
      <c r="BK217" s="4"/>
      <c r="BL217" s="4"/>
      <c r="BM217" s="4"/>
      <c r="BN217" s="4"/>
    </row>
    <row r="218" ht="13.5" customHeight="1" spans="1:66" x14ac:dyDescent="0.25">
      <c r="A218" s="4"/>
      <c r="B218" s="4"/>
      <c r="C218" s="533"/>
      <c r="D218" s="4"/>
      <c r="E218" s="4"/>
      <c r="F218" s="4"/>
      <c r="G218" s="4"/>
      <c r="H218" s="4"/>
      <c r="I218" s="4"/>
      <c r="J218" s="4"/>
      <c r="K218" s="4"/>
      <c r="L218" s="4"/>
      <c r="M218" s="4"/>
      <c r="N218" s="4"/>
      <c r="O218" s="4"/>
      <c r="P218" s="4"/>
      <c r="Q218" s="4"/>
      <c r="R218" s="4"/>
      <c r="S218" s="4"/>
      <c r="T218" s="4"/>
      <c r="U218" s="4"/>
      <c r="V218" s="4"/>
      <c r="W218" s="4"/>
      <c r="X218" s="4"/>
      <c r="Y218" s="4"/>
      <c r="Z218" s="4"/>
      <c r="AA218" s="4"/>
      <c r="AB218" s="4"/>
      <c r="AC218" s="4"/>
      <c r="AD218" s="4"/>
      <c r="AE218" s="4"/>
      <c r="AF218" s="4"/>
      <c r="AG218" s="4"/>
      <c r="AH218" s="4"/>
      <c r="AI218" s="4"/>
      <c r="AJ218" s="4"/>
      <c r="AK218" s="4"/>
      <c r="AL218" s="4"/>
      <c r="AM218" s="4"/>
      <c r="AN218" s="4"/>
      <c r="AO218" s="4"/>
      <c r="AP218" s="4"/>
      <c r="AQ218" s="4"/>
      <c r="AR218" s="4"/>
      <c r="AS218" s="4"/>
      <c r="AT218" s="4"/>
      <c r="AU218" s="4"/>
      <c r="AV218" s="4"/>
      <c r="AW218" s="4"/>
      <c r="AX218" s="4"/>
      <c r="AY218" s="4"/>
      <c r="AZ218" s="4"/>
      <c r="BA218" s="4"/>
      <c r="BB218" s="4"/>
      <c r="BC218" s="4"/>
      <c r="BD218" s="4"/>
      <c r="BE218" s="4"/>
      <c r="BF218" s="4"/>
      <c r="BG218" s="4"/>
      <c r="BH218" s="4"/>
      <c r="BI218" s="4"/>
      <c r="BJ218" s="4"/>
      <c r="BK218" s="4"/>
      <c r="BL218" s="4"/>
      <c r="BM218" s="4"/>
      <c r="BN218" s="4"/>
    </row>
    <row r="219" ht="13.5" customHeight="1" spans="1:66" x14ac:dyDescent="0.25">
      <c r="A219" s="4"/>
      <c r="B219" s="4"/>
      <c r="C219" s="533"/>
      <c r="D219" s="4"/>
      <c r="E219" s="4"/>
      <c r="F219" s="4"/>
      <c r="G219" s="4"/>
      <c r="H219" s="4"/>
      <c r="I219" s="4"/>
      <c r="J219" s="4"/>
      <c r="K219" s="4"/>
      <c r="L219" s="4"/>
      <c r="M219" s="4"/>
      <c r="N219" s="4"/>
      <c r="O219" s="4"/>
      <c r="P219" s="4"/>
      <c r="Q219" s="4"/>
      <c r="R219" s="4"/>
      <c r="S219" s="4"/>
      <c r="T219" s="4"/>
      <c r="U219" s="4"/>
      <c r="V219" s="4"/>
      <c r="W219" s="4"/>
      <c r="X219" s="4"/>
      <c r="Y219" s="4"/>
      <c r="Z219" s="4"/>
      <c r="AA219" s="4"/>
      <c r="AB219" s="4"/>
      <c r="AC219" s="4"/>
      <c r="AD219" s="4"/>
      <c r="AE219" s="4"/>
      <c r="AF219" s="4"/>
      <c r="AG219" s="4"/>
      <c r="AH219" s="4"/>
      <c r="AI219" s="4"/>
      <c r="AJ219" s="4"/>
      <c r="AK219" s="4"/>
      <c r="AL219" s="4"/>
      <c r="AM219" s="4"/>
      <c r="AN219" s="4"/>
      <c r="AO219" s="4"/>
      <c r="AP219" s="4"/>
      <c r="AQ219" s="4"/>
      <c r="AR219" s="4"/>
      <c r="AS219" s="4"/>
      <c r="AT219" s="4"/>
      <c r="AU219" s="4"/>
      <c r="AV219" s="4"/>
      <c r="AW219" s="4"/>
      <c r="AX219" s="4"/>
      <c r="AY219" s="4"/>
      <c r="AZ219" s="4"/>
      <c r="BA219" s="4"/>
      <c r="BB219" s="4"/>
      <c r="BC219" s="4"/>
      <c r="BD219" s="4"/>
      <c r="BE219" s="4"/>
      <c r="BF219" s="4"/>
      <c r="BG219" s="4"/>
      <c r="BH219" s="4"/>
      <c r="BI219" s="4"/>
      <c r="BJ219" s="4"/>
      <c r="BK219" s="4"/>
      <c r="BL219" s="4"/>
      <c r="BM219" s="4"/>
      <c r="BN219" s="4"/>
    </row>
    <row r="220" ht="13.5" customHeight="1" spans="1:66" x14ac:dyDescent="0.25">
      <c r="A220" s="4"/>
      <c r="B220" s="4"/>
      <c r="C220" s="533"/>
      <c r="D220" s="4"/>
      <c r="E220" s="4"/>
      <c r="F220" s="4"/>
      <c r="G220" s="4"/>
      <c r="H220" s="4"/>
      <c r="I220" s="4"/>
      <c r="J220" s="4"/>
      <c r="K220" s="4"/>
      <c r="L220" s="4"/>
      <c r="M220" s="4"/>
      <c r="N220" s="4"/>
      <c r="O220" s="4"/>
      <c r="P220" s="4"/>
      <c r="Q220" s="4"/>
      <c r="R220" s="4"/>
      <c r="S220" s="4"/>
      <c r="T220" s="4"/>
      <c r="U220" s="4"/>
      <c r="V220" s="4"/>
      <c r="W220" s="4"/>
      <c r="X220" s="4"/>
      <c r="Y220" s="4"/>
      <c r="Z220" s="4"/>
      <c r="AA220" s="4"/>
      <c r="AB220" s="4"/>
      <c r="AC220" s="4"/>
      <c r="AD220" s="4"/>
      <c r="AE220" s="4"/>
      <c r="AF220" s="4"/>
      <c r="AG220" s="4"/>
      <c r="AH220" s="4"/>
      <c r="AI220" s="4"/>
      <c r="AJ220" s="4"/>
      <c r="AK220" s="4"/>
      <c r="AL220" s="4"/>
      <c r="AM220" s="4"/>
      <c r="AN220" s="4"/>
      <c r="AO220" s="4"/>
      <c r="AP220" s="4"/>
      <c r="AQ220" s="4"/>
      <c r="AR220" s="4"/>
      <c r="AS220" s="4"/>
      <c r="AT220" s="4"/>
      <c r="AU220" s="4"/>
      <c r="AV220" s="4"/>
      <c r="AW220" s="4"/>
      <c r="AX220" s="4"/>
      <c r="AY220" s="4"/>
      <c r="AZ220" s="4"/>
      <c r="BA220" s="4"/>
      <c r="BB220" s="4"/>
      <c r="BC220" s="4"/>
      <c r="BD220" s="4"/>
      <c r="BE220" s="4"/>
      <c r="BF220" s="4"/>
      <c r="BG220" s="4"/>
      <c r="BH220" s="4"/>
      <c r="BI220" s="4"/>
      <c r="BJ220" s="4"/>
      <c r="BK220" s="4"/>
      <c r="BL220" s="4"/>
      <c r="BM220" s="4"/>
      <c r="BN220" s="4"/>
    </row>
    <row r="221" ht="13.5" customHeight="1" spans="1:66" x14ac:dyDescent="0.25">
      <c r="A221" s="4"/>
      <c r="B221" s="4"/>
      <c r="C221" s="533"/>
      <c r="D221" s="4"/>
      <c r="E221" s="4"/>
      <c r="F221" s="4"/>
      <c r="G221" s="4"/>
      <c r="H221" s="4"/>
      <c r="I221" s="4"/>
      <c r="J221" s="4"/>
      <c r="K221" s="4"/>
      <c r="L221" s="4"/>
      <c r="M221" s="4"/>
      <c r="N221" s="4"/>
      <c r="O221" s="4"/>
      <c r="P221" s="4"/>
      <c r="Q221" s="4"/>
      <c r="R221" s="4"/>
      <c r="S221" s="4"/>
      <c r="T221" s="4"/>
      <c r="U221" s="4"/>
      <c r="V221" s="4"/>
      <c r="W221" s="4"/>
      <c r="X221" s="4"/>
      <c r="Y221" s="4"/>
      <c r="Z221" s="4"/>
      <c r="AA221" s="4"/>
      <c r="AB221" s="4"/>
      <c r="AC221" s="4"/>
      <c r="AD221" s="4"/>
      <c r="AE221" s="4"/>
      <c r="AF221" s="4"/>
      <c r="AG221" s="4"/>
      <c r="AH221" s="4"/>
      <c r="AI221" s="4"/>
      <c r="AJ221" s="4"/>
      <c r="AK221" s="4"/>
      <c r="AL221" s="4"/>
      <c r="AM221" s="4"/>
      <c r="AN221" s="4"/>
      <c r="AO221" s="4"/>
      <c r="AP221" s="4"/>
      <c r="AQ221" s="4"/>
      <c r="AR221" s="4"/>
      <c r="AS221" s="4"/>
      <c r="AT221" s="4"/>
      <c r="AU221" s="4"/>
      <c r="AV221" s="4"/>
      <c r="AW221" s="4"/>
      <c r="AX221" s="4"/>
      <c r="AY221" s="4"/>
      <c r="AZ221" s="4"/>
      <c r="BA221" s="4"/>
      <c r="BB221" s="4"/>
      <c r="BC221" s="4"/>
      <c r="BD221" s="4"/>
      <c r="BE221" s="4"/>
      <c r="BF221" s="4"/>
      <c r="BG221" s="4"/>
      <c r="BH221" s="4"/>
      <c r="BI221" s="4"/>
      <c r="BJ221" s="4"/>
      <c r="BK221" s="4"/>
      <c r="BL221" s="4"/>
      <c r="BM221" s="4"/>
      <c r="BN221" s="4"/>
    </row>
    <row r="222" ht="13.5" customHeight="1" spans="1:66" x14ac:dyDescent="0.25">
      <c r="A222" s="4"/>
      <c r="B222" s="4"/>
      <c r="C222" s="533"/>
      <c r="D222" s="4"/>
      <c r="E222" s="4"/>
      <c r="F222" s="4"/>
      <c r="G222" s="4"/>
      <c r="H222" s="4"/>
      <c r="I222" s="4"/>
      <c r="J222" s="4"/>
      <c r="K222" s="4"/>
      <c r="L222" s="4"/>
      <c r="M222" s="4"/>
      <c r="N222" s="4"/>
      <c r="O222" s="4"/>
      <c r="P222" s="4"/>
      <c r="Q222" s="4"/>
      <c r="R222" s="4"/>
      <c r="S222" s="4"/>
      <c r="T222" s="4"/>
      <c r="U222" s="4"/>
      <c r="V222" s="4"/>
      <c r="W222" s="4"/>
      <c r="X222" s="4"/>
      <c r="Y222" s="4"/>
      <c r="Z222" s="4"/>
      <c r="AA222" s="4"/>
      <c r="AB222" s="4"/>
      <c r="AC222" s="4"/>
      <c r="AD222" s="4"/>
      <c r="AE222" s="4"/>
      <c r="AF222" s="4"/>
      <c r="AG222" s="4"/>
      <c r="AH222" s="4"/>
      <c r="AI222" s="4"/>
      <c r="AJ222" s="4"/>
      <c r="AK222" s="4"/>
      <c r="AL222" s="4"/>
      <c r="AM222" s="4"/>
      <c r="AN222" s="4"/>
      <c r="AO222" s="4"/>
      <c r="AP222" s="4"/>
      <c r="AQ222" s="4"/>
      <c r="AR222" s="4"/>
      <c r="AS222" s="4"/>
      <c r="AT222" s="4"/>
      <c r="AU222" s="4"/>
      <c r="AV222" s="4"/>
      <c r="AW222" s="4"/>
      <c r="AX222" s="4"/>
      <c r="AY222" s="4"/>
      <c r="AZ222" s="4"/>
      <c r="BA222" s="4"/>
      <c r="BB222" s="4"/>
      <c r="BC222" s="4"/>
      <c r="BD222" s="4"/>
      <c r="BE222" s="4"/>
      <c r="BF222" s="4"/>
      <c r="BG222" s="4"/>
      <c r="BH222" s="4"/>
      <c r="BI222" s="4"/>
      <c r="BJ222" s="4"/>
      <c r="BK222" s="4"/>
      <c r="BL222" s="4"/>
      <c r="BM222" s="4"/>
      <c r="BN222" s="4"/>
    </row>
    <row r="223" ht="13.5" customHeight="1" spans="1:66" x14ac:dyDescent="0.25">
      <c r="A223" s="4"/>
      <c r="B223" s="4"/>
      <c r="C223" s="533"/>
      <c r="D223" s="4"/>
      <c r="E223" s="4"/>
      <c r="F223" s="4"/>
      <c r="G223" s="4"/>
      <c r="H223" s="4"/>
      <c r="I223" s="4"/>
      <c r="J223" s="4"/>
      <c r="K223" s="4"/>
      <c r="L223" s="4"/>
      <c r="M223" s="4"/>
      <c r="N223" s="4"/>
      <c r="O223" s="4"/>
      <c r="P223" s="4"/>
      <c r="Q223" s="4"/>
      <c r="R223" s="4"/>
      <c r="S223" s="4"/>
      <c r="T223" s="4"/>
      <c r="U223" s="4"/>
      <c r="V223" s="4"/>
      <c r="W223" s="4"/>
      <c r="X223" s="4"/>
      <c r="Y223" s="4"/>
      <c r="Z223" s="4"/>
      <c r="AA223" s="4"/>
      <c r="AB223" s="4"/>
      <c r="AC223" s="4"/>
      <c r="AD223" s="4"/>
      <c r="AE223" s="4"/>
      <c r="AF223" s="4"/>
      <c r="AG223" s="4"/>
      <c r="AH223" s="4"/>
      <c r="AI223" s="4"/>
      <c r="AJ223" s="4"/>
      <c r="AK223" s="4"/>
      <c r="AL223" s="4"/>
      <c r="AM223" s="4"/>
      <c r="AN223" s="4"/>
      <c r="AO223" s="4"/>
      <c r="AP223" s="4"/>
      <c r="AQ223" s="4"/>
      <c r="AR223" s="4"/>
      <c r="AS223" s="4"/>
      <c r="AT223" s="4"/>
      <c r="AU223" s="4"/>
      <c r="AV223" s="4"/>
      <c r="AW223" s="4"/>
      <c r="AX223" s="4"/>
      <c r="AY223" s="4"/>
      <c r="AZ223" s="4"/>
      <c r="BA223" s="4"/>
      <c r="BB223" s="4"/>
      <c r="BC223" s="4"/>
      <c r="BD223" s="4"/>
      <c r="BE223" s="4"/>
      <c r="BF223" s="4"/>
      <c r="BG223" s="4"/>
      <c r="BH223" s="4"/>
      <c r="BI223" s="4"/>
      <c r="BJ223" s="4"/>
      <c r="BK223" s="4"/>
      <c r="BL223" s="4"/>
      <c r="BM223" s="4"/>
      <c r="BN223" s="4"/>
    </row>
    <row r="224" ht="13.5" customHeight="1" spans="1:66" x14ac:dyDescent="0.25">
      <c r="A224" s="4"/>
      <c r="B224" s="4"/>
      <c r="C224" s="533"/>
      <c r="D224" s="4"/>
      <c r="E224" s="4"/>
      <c r="F224" s="4"/>
      <c r="G224" s="4"/>
      <c r="H224" s="4"/>
      <c r="I224" s="4"/>
      <c r="J224" s="4"/>
      <c r="K224" s="4"/>
      <c r="L224" s="4"/>
      <c r="M224" s="4"/>
      <c r="N224" s="4"/>
      <c r="O224" s="4"/>
      <c r="P224" s="4"/>
      <c r="Q224" s="4"/>
      <c r="R224" s="4"/>
      <c r="S224" s="4"/>
      <c r="T224" s="4"/>
      <c r="U224" s="4"/>
      <c r="V224" s="4"/>
      <c r="W224" s="4"/>
      <c r="X224" s="4"/>
      <c r="Y224" s="4"/>
      <c r="Z224" s="4"/>
      <c r="AA224" s="4"/>
      <c r="AB224" s="4"/>
      <c r="AC224" s="4"/>
      <c r="AD224" s="4"/>
      <c r="AE224" s="4"/>
      <c r="AF224" s="4"/>
      <c r="AG224" s="4"/>
      <c r="AH224" s="4"/>
      <c r="AI224" s="4"/>
      <c r="AJ224" s="4"/>
      <c r="AK224" s="4"/>
      <c r="AL224" s="4"/>
      <c r="AM224" s="4"/>
      <c r="AN224" s="4"/>
      <c r="AO224" s="4"/>
      <c r="AP224" s="4"/>
      <c r="AQ224" s="4"/>
      <c r="AR224" s="4"/>
      <c r="AS224" s="4"/>
      <c r="AT224" s="4"/>
      <c r="AU224" s="4"/>
      <c r="AV224" s="4"/>
      <c r="AW224" s="4"/>
      <c r="AX224" s="4"/>
      <c r="AY224" s="4"/>
      <c r="AZ224" s="4"/>
      <c r="BA224" s="4"/>
      <c r="BB224" s="4"/>
      <c r="BC224" s="4"/>
      <c r="BD224" s="4"/>
      <c r="BE224" s="4"/>
      <c r="BF224" s="4"/>
      <c r="BG224" s="4"/>
      <c r="BH224" s="4"/>
      <c r="BI224" s="4"/>
      <c r="BJ224" s="4"/>
      <c r="BK224" s="4"/>
      <c r="BL224" s="4"/>
      <c r="BM224" s="4"/>
      <c r="BN224" s="4"/>
    </row>
    <row r="225" ht="13.5" customHeight="1" spans="1:66" x14ac:dyDescent="0.25">
      <c r="A225" s="4"/>
      <c r="B225" s="4"/>
      <c r="C225" s="533"/>
      <c r="D225" s="4"/>
      <c r="E225" s="4"/>
      <c r="F225" s="4"/>
      <c r="G225" s="4"/>
      <c r="H225" s="4"/>
      <c r="I225" s="4"/>
      <c r="J225" s="4"/>
      <c r="K225" s="4"/>
      <c r="L225" s="4"/>
      <c r="M225" s="4"/>
      <c r="N225" s="4"/>
      <c r="O225" s="4"/>
      <c r="P225" s="4"/>
      <c r="Q225" s="4"/>
      <c r="R225" s="4"/>
      <c r="S225" s="4"/>
      <c r="T225" s="4"/>
      <c r="U225" s="4"/>
      <c r="V225" s="4"/>
      <c r="W225" s="4"/>
      <c r="X225" s="4"/>
      <c r="Y225" s="4"/>
      <c r="Z225" s="4"/>
      <c r="AA225" s="4"/>
      <c r="AB225" s="4"/>
      <c r="AC225" s="4"/>
      <c r="AD225" s="4"/>
      <c r="AE225" s="4"/>
      <c r="AF225" s="4"/>
      <c r="AG225" s="4"/>
      <c r="AH225" s="4"/>
      <c r="AI225" s="4"/>
      <c r="AJ225" s="4"/>
      <c r="AK225" s="4"/>
      <c r="AL225" s="4"/>
      <c r="AM225" s="4"/>
      <c r="AN225" s="4"/>
      <c r="AO225" s="4"/>
      <c r="AP225" s="4"/>
      <c r="AQ225" s="4"/>
      <c r="AR225" s="4"/>
      <c r="AS225" s="4"/>
      <c r="AT225" s="4"/>
      <c r="AU225" s="4"/>
      <c r="AV225" s="4"/>
      <c r="AW225" s="4"/>
      <c r="AX225" s="4"/>
      <c r="AY225" s="4"/>
      <c r="AZ225" s="4"/>
      <c r="BA225" s="4"/>
      <c r="BB225" s="4"/>
      <c r="BC225" s="4"/>
      <c r="BD225" s="4"/>
      <c r="BE225" s="4"/>
      <c r="BF225" s="4"/>
      <c r="BG225" s="4"/>
      <c r="BH225" s="4"/>
      <c r="BI225" s="4"/>
      <c r="BJ225" s="4"/>
      <c r="BK225" s="4"/>
      <c r="BL225" s="4"/>
      <c r="BM225" s="4"/>
      <c r="BN225" s="4"/>
    </row>
    <row r="226" ht="13.5" customHeight="1" spans="1:66" x14ac:dyDescent="0.25">
      <c r="A226" s="4"/>
      <c r="B226" s="4"/>
      <c r="C226" s="533"/>
      <c r="D226" s="4"/>
      <c r="E226" s="4"/>
      <c r="F226" s="4"/>
      <c r="G226" s="4"/>
      <c r="H226" s="4"/>
      <c r="I226" s="4"/>
      <c r="J226" s="4"/>
      <c r="K226" s="4"/>
      <c r="L226" s="4"/>
      <c r="M226" s="4"/>
      <c r="N226" s="4"/>
      <c r="O226" s="4"/>
      <c r="P226" s="4"/>
      <c r="Q226" s="4"/>
      <c r="R226" s="4"/>
      <c r="S226" s="4"/>
      <c r="T226" s="4"/>
      <c r="U226" s="4"/>
      <c r="V226" s="4"/>
      <c r="W226" s="4"/>
      <c r="X226" s="4"/>
      <c r="Y226" s="4"/>
      <c r="Z226" s="4"/>
      <c r="AA226" s="4"/>
      <c r="AB226" s="4"/>
      <c r="AC226" s="4"/>
      <c r="AD226" s="4"/>
      <c r="AE226" s="4"/>
      <c r="AF226" s="4"/>
      <c r="AG226" s="4"/>
      <c r="AH226" s="4"/>
      <c r="AI226" s="4"/>
      <c r="AJ226" s="4"/>
      <c r="AK226" s="4"/>
      <c r="AL226" s="4"/>
      <c r="AM226" s="4"/>
      <c r="AN226" s="4"/>
      <c r="AO226" s="4"/>
      <c r="AP226" s="4"/>
      <c r="AQ226" s="4"/>
      <c r="AR226" s="4"/>
      <c r="AS226" s="4"/>
      <c r="AT226" s="4"/>
      <c r="AU226" s="4"/>
      <c r="AV226" s="4"/>
      <c r="AW226" s="4"/>
      <c r="AX226" s="4"/>
      <c r="AY226" s="4"/>
      <c r="AZ226" s="4"/>
      <c r="BA226" s="4"/>
      <c r="BB226" s="4"/>
      <c r="BC226" s="4"/>
      <c r="BD226" s="4"/>
      <c r="BE226" s="4"/>
      <c r="BF226" s="4"/>
      <c r="BG226" s="4"/>
      <c r="BH226" s="4"/>
      <c r="BI226" s="4"/>
      <c r="BJ226" s="4"/>
      <c r="BK226" s="4"/>
      <c r="BL226" s="4"/>
      <c r="BM226" s="4"/>
      <c r="BN226" s="4"/>
    </row>
    <row r="227" ht="13.5" customHeight="1" spans="1:66" x14ac:dyDescent="0.25">
      <c r="A227" s="4"/>
      <c r="B227" s="4"/>
      <c r="C227" s="533"/>
      <c r="D227" s="4"/>
      <c r="E227" s="4"/>
      <c r="F227" s="4"/>
      <c r="G227" s="4"/>
      <c r="H227" s="4"/>
      <c r="I227" s="4"/>
      <c r="J227" s="4"/>
      <c r="K227" s="4"/>
      <c r="L227" s="4"/>
      <c r="M227" s="4"/>
      <c r="N227" s="4"/>
      <c r="O227" s="4"/>
      <c r="P227" s="4"/>
      <c r="Q227" s="4"/>
      <c r="R227" s="4"/>
      <c r="S227" s="4"/>
      <c r="T227" s="4"/>
      <c r="U227" s="4"/>
      <c r="V227" s="4"/>
      <c r="W227" s="4"/>
      <c r="X227" s="4"/>
      <c r="Y227" s="4"/>
      <c r="Z227" s="4"/>
      <c r="AA227" s="4"/>
      <c r="AB227" s="4"/>
      <c r="AC227" s="4"/>
      <c r="AD227" s="4"/>
      <c r="AE227" s="4"/>
      <c r="AF227" s="4"/>
      <c r="AG227" s="4"/>
      <c r="AH227" s="4"/>
      <c r="AI227" s="4"/>
      <c r="AJ227" s="4"/>
      <c r="AK227" s="4"/>
      <c r="AL227" s="4"/>
      <c r="AM227" s="4"/>
      <c r="AN227" s="4"/>
      <c r="AO227" s="4"/>
      <c r="AP227" s="4"/>
      <c r="AQ227" s="4"/>
      <c r="AR227" s="4"/>
      <c r="AS227" s="4"/>
      <c r="AT227" s="4"/>
      <c r="AU227" s="4"/>
      <c r="AV227" s="4"/>
      <c r="AW227" s="4"/>
      <c r="AX227" s="4"/>
      <c r="AY227" s="4"/>
      <c r="AZ227" s="4"/>
      <c r="BA227" s="4"/>
      <c r="BB227" s="4"/>
      <c r="BC227" s="4"/>
      <c r="BD227" s="4"/>
      <c r="BE227" s="4"/>
      <c r="BF227" s="4"/>
      <c r="BG227" s="4"/>
      <c r="BH227" s="4"/>
      <c r="BI227" s="4"/>
      <c r="BJ227" s="4"/>
      <c r="BK227" s="4"/>
      <c r="BL227" s="4"/>
      <c r="BM227" s="4"/>
      <c r="BN227" s="4"/>
    </row>
    <row r="228" ht="13.5" customHeight="1" spans="1:66" x14ac:dyDescent="0.25">
      <c r="A228" s="4"/>
      <c r="B228" s="4"/>
      <c r="C228" s="533"/>
      <c r="D228" s="4"/>
      <c r="E228" s="4"/>
      <c r="F228" s="4"/>
      <c r="G228" s="4"/>
      <c r="H228" s="4"/>
      <c r="I228" s="4"/>
      <c r="J228" s="4"/>
      <c r="K228" s="4"/>
      <c r="L228" s="4"/>
      <c r="M228" s="4"/>
      <c r="N228" s="4"/>
      <c r="O228" s="4"/>
      <c r="P228" s="4"/>
      <c r="Q228" s="4"/>
      <c r="R228" s="4"/>
      <c r="S228" s="4"/>
      <c r="T228" s="4"/>
      <c r="U228" s="4"/>
      <c r="V228" s="4"/>
      <c r="W228" s="4"/>
      <c r="X228" s="4"/>
      <c r="Y228" s="4"/>
      <c r="Z228" s="4"/>
      <c r="AA228" s="4"/>
      <c r="AB228" s="4"/>
      <c r="AC228" s="4"/>
      <c r="AD228" s="4"/>
      <c r="AE228" s="4"/>
      <c r="AF228" s="4"/>
      <c r="AG228" s="4"/>
      <c r="AH228" s="4"/>
      <c r="AI228" s="4"/>
      <c r="AJ228" s="4"/>
      <c r="AK228" s="4"/>
      <c r="AL228" s="4"/>
      <c r="AM228" s="4"/>
      <c r="AN228" s="4"/>
      <c r="AO228" s="4"/>
      <c r="AP228" s="4"/>
      <c r="AQ228" s="4"/>
      <c r="AR228" s="4"/>
      <c r="AS228" s="4"/>
      <c r="AT228" s="4"/>
      <c r="AU228" s="4"/>
      <c r="AV228" s="4"/>
      <c r="AW228" s="4"/>
      <c r="AX228" s="4"/>
      <c r="AY228" s="4"/>
      <c r="AZ228" s="4"/>
      <c r="BA228" s="4"/>
      <c r="BB228" s="4"/>
      <c r="BC228" s="4"/>
      <c r="BD228" s="4"/>
      <c r="BE228" s="4"/>
      <c r="BF228" s="4"/>
      <c r="BG228" s="4"/>
      <c r="BH228" s="4"/>
      <c r="BI228" s="4"/>
      <c r="BJ228" s="4"/>
      <c r="BK228" s="4"/>
      <c r="BL228" s="4"/>
      <c r="BM228" s="4"/>
      <c r="BN228" s="4"/>
    </row>
    <row r="229" ht="13.5" customHeight="1" spans="1:66" x14ac:dyDescent="0.25">
      <c r="A229" s="4"/>
      <c r="B229" s="4"/>
      <c r="C229" s="533"/>
      <c r="D229" s="4"/>
      <c r="E229" s="4"/>
      <c r="F229" s="4"/>
      <c r="G229" s="4"/>
      <c r="H229" s="4"/>
      <c r="I229" s="4"/>
      <c r="J229" s="4"/>
      <c r="K229" s="4"/>
      <c r="L229" s="4"/>
      <c r="M229" s="4"/>
      <c r="N229" s="4"/>
      <c r="O229" s="4"/>
      <c r="P229" s="4"/>
      <c r="Q229" s="4"/>
      <c r="R229" s="4"/>
      <c r="S229" s="4"/>
      <c r="T229" s="4"/>
      <c r="U229" s="4"/>
      <c r="V229" s="4"/>
      <c r="W229" s="4"/>
      <c r="X229" s="4"/>
      <c r="Y229" s="4"/>
      <c r="Z229" s="4"/>
      <c r="AA229" s="4"/>
      <c r="AB229" s="4"/>
      <c r="AC229" s="4"/>
      <c r="AD229" s="4"/>
      <c r="AE229" s="4"/>
      <c r="AF229" s="4"/>
      <c r="AG229" s="4"/>
      <c r="AH229" s="4"/>
      <c r="AI229" s="4"/>
      <c r="AJ229" s="4"/>
      <c r="AK229" s="4"/>
      <c r="AL229" s="4"/>
      <c r="AM229" s="4"/>
      <c r="AN229" s="4"/>
      <c r="AO229" s="4"/>
      <c r="AP229" s="4"/>
      <c r="AQ229" s="4"/>
      <c r="AR229" s="4"/>
      <c r="AS229" s="4"/>
      <c r="AT229" s="4"/>
      <c r="AU229" s="4"/>
      <c r="AV229" s="4"/>
      <c r="AW229" s="4"/>
      <c r="AX229" s="4"/>
      <c r="AY229" s="4"/>
      <c r="AZ229" s="4"/>
      <c r="BA229" s="4"/>
      <c r="BB229" s="4"/>
      <c r="BC229" s="4"/>
      <c r="BD229" s="4"/>
      <c r="BE229" s="4"/>
      <c r="BF229" s="4"/>
      <c r="BG229" s="4"/>
      <c r="BH229" s="4"/>
      <c r="BI229" s="4"/>
      <c r="BJ229" s="4"/>
      <c r="BK229" s="4"/>
      <c r="BL229" s="4"/>
      <c r="BM229" s="4"/>
      <c r="BN229" s="4"/>
    </row>
    <row r="230" ht="13.5" customHeight="1" spans="1:66" x14ac:dyDescent="0.25">
      <c r="A230" s="4"/>
      <c r="B230" s="4"/>
      <c r="C230" s="533"/>
      <c r="D230" s="4"/>
      <c r="E230" s="4"/>
      <c r="F230" s="4"/>
      <c r="G230" s="4"/>
      <c r="H230" s="4"/>
      <c r="I230" s="4"/>
      <c r="J230" s="4"/>
      <c r="K230" s="4"/>
      <c r="L230" s="4"/>
      <c r="M230" s="4"/>
      <c r="N230" s="4"/>
      <c r="O230" s="4"/>
      <c r="P230" s="4"/>
      <c r="Q230" s="4"/>
      <c r="R230" s="4"/>
      <c r="S230" s="4"/>
      <c r="T230" s="4"/>
      <c r="U230" s="4"/>
      <c r="V230" s="4"/>
      <c r="W230" s="4"/>
      <c r="X230" s="4"/>
      <c r="Y230" s="4"/>
      <c r="Z230" s="4"/>
      <c r="AA230" s="4"/>
      <c r="AB230" s="4"/>
      <c r="AC230" s="4"/>
      <c r="AD230" s="4"/>
      <c r="AE230" s="4"/>
      <c r="AF230" s="4"/>
      <c r="AG230" s="4"/>
      <c r="AH230" s="4"/>
      <c r="AI230" s="4"/>
      <c r="AJ230" s="4"/>
      <c r="AK230" s="4"/>
      <c r="AL230" s="4"/>
      <c r="AM230" s="4"/>
      <c r="AN230" s="4"/>
      <c r="AO230" s="4"/>
      <c r="AP230" s="4"/>
      <c r="AQ230" s="4"/>
      <c r="AR230" s="4"/>
      <c r="AS230" s="4"/>
      <c r="AT230" s="4"/>
      <c r="AU230" s="4"/>
      <c r="AV230" s="4"/>
      <c r="AW230" s="4"/>
      <c r="AX230" s="4"/>
      <c r="AY230" s="4"/>
      <c r="AZ230" s="4"/>
      <c r="BA230" s="4"/>
      <c r="BB230" s="4"/>
      <c r="BC230" s="4"/>
      <c r="BD230" s="4"/>
      <c r="BE230" s="4"/>
      <c r="BF230" s="4"/>
      <c r="BG230" s="4"/>
      <c r="BH230" s="4"/>
      <c r="BI230" s="4"/>
      <c r="BJ230" s="4"/>
      <c r="BK230" s="4"/>
      <c r="BL230" s="4"/>
      <c r="BM230" s="4"/>
      <c r="BN230" s="4"/>
    </row>
    <row r="231" ht="13.5" customHeight="1" spans="1:66" x14ac:dyDescent="0.25">
      <c r="A231" s="4"/>
      <c r="B231" s="4"/>
      <c r="C231" s="533"/>
      <c r="D231" s="4"/>
      <c r="E231" s="4"/>
      <c r="F231" s="4"/>
      <c r="G231" s="4"/>
      <c r="H231" s="4"/>
      <c r="I231" s="4"/>
      <c r="J231" s="4"/>
      <c r="K231" s="4"/>
      <c r="L231" s="4"/>
      <c r="M231" s="4"/>
      <c r="N231" s="4"/>
      <c r="O231" s="4"/>
      <c r="P231" s="4"/>
      <c r="Q231" s="4"/>
      <c r="R231" s="4"/>
      <c r="S231" s="4"/>
      <c r="T231" s="4"/>
      <c r="U231" s="4"/>
      <c r="V231" s="4"/>
      <c r="W231" s="4"/>
      <c r="X231" s="4"/>
      <c r="Y231" s="4"/>
      <c r="Z231" s="4"/>
      <c r="AA231" s="4"/>
      <c r="AB231" s="4"/>
      <c r="AC231" s="4"/>
      <c r="AD231" s="4"/>
      <c r="AE231" s="4"/>
      <c r="AF231" s="4"/>
      <c r="AG231" s="4"/>
      <c r="AH231" s="4"/>
      <c r="AI231" s="4"/>
      <c r="AJ231" s="4"/>
      <c r="AK231" s="4"/>
      <c r="AL231" s="4"/>
      <c r="AM231" s="4"/>
      <c r="AN231" s="4"/>
      <c r="AO231" s="4"/>
      <c r="AP231" s="4"/>
      <c r="AQ231" s="4"/>
      <c r="AR231" s="4"/>
      <c r="AS231" s="4"/>
      <c r="AT231" s="4"/>
      <c r="AU231" s="4"/>
      <c r="AV231" s="4"/>
      <c r="AW231" s="4"/>
      <c r="AX231" s="4"/>
      <c r="AY231" s="4"/>
      <c r="AZ231" s="4"/>
      <c r="BA231" s="4"/>
      <c r="BB231" s="4"/>
      <c r="BC231" s="4"/>
      <c r="BD231" s="4"/>
      <c r="BE231" s="4"/>
      <c r="BF231" s="4"/>
      <c r="BG231" s="4"/>
      <c r="BH231" s="4"/>
      <c r="BI231" s="4"/>
      <c r="BJ231" s="4"/>
      <c r="BK231" s="4"/>
      <c r="BL231" s="4"/>
      <c r="BM231" s="4"/>
      <c r="BN231" s="4"/>
    </row>
    <row r="232" ht="13.5" customHeight="1" spans="1:66" x14ac:dyDescent="0.25">
      <c r="A232" s="4"/>
      <c r="B232" s="4"/>
      <c r="C232" s="533"/>
      <c r="D232" s="4"/>
      <c r="E232" s="4"/>
      <c r="F232" s="4"/>
      <c r="G232" s="4"/>
      <c r="H232" s="4"/>
      <c r="I232" s="4"/>
      <c r="J232" s="4"/>
      <c r="K232" s="4"/>
      <c r="L232" s="4"/>
      <c r="M232" s="4"/>
      <c r="N232" s="4"/>
      <c r="O232" s="4"/>
      <c r="P232" s="4"/>
      <c r="Q232" s="4"/>
      <c r="R232" s="4"/>
      <c r="S232" s="4"/>
      <c r="T232" s="4"/>
      <c r="U232" s="4"/>
      <c r="V232" s="4"/>
      <c r="W232" s="4"/>
      <c r="X232" s="4"/>
      <c r="Y232" s="4"/>
      <c r="Z232" s="4"/>
      <c r="AA232" s="4"/>
      <c r="AB232" s="4"/>
      <c r="AC232" s="4"/>
      <c r="AD232" s="4"/>
      <c r="AE232" s="4"/>
      <c r="AF232" s="4"/>
      <c r="AG232" s="4"/>
      <c r="AH232" s="4"/>
      <c r="AI232" s="4"/>
      <c r="AJ232" s="4"/>
      <c r="AK232" s="4"/>
      <c r="AL232" s="4"/>
      <c r="AM232" s="4"/>
      <c r="AN232" s="4"/>
      <c r="AO232" s="4"/>
      <c r="AP232" s="4"/>
      <c r="AQ232" s="4"/>
      <c r="AR232" s="4"/>
      <c r="AS232" s="4"/>
      <c r="AT232" s="4"/>
      <c r="AU232" s="4"/>
      <c r="AV232" s="4"/>
      <c r="AW232" s="4"/>
      <c r="AX232" s="4"/>
      <c r="AY232" s="4"/>
      <c r="AZ232" s="4"/>
      <c r="BA232" s="4"/>
      <c r="BB232" s="4"/>
      <c r="BC232" s="4"/>
      <c r="BD232" s="4"/>
      <c r="BE232" s="4"/>
      <c r="BF232" s="4"/>
      <c r="BG232" s="4"/>
      <c r="BH232" s="4"/>
      <c r="BI232" s="4"/>
      <c r="BJ232" s="4"/>
      <c r="BK232" s="4"/>
      <c r="BL232" s="4"/>
      <c r="BM232" s="4"/>
      <c r="BN232" s="4"/>
    </row>
    <row r="233" ht="13.5" customHeight="1" spans="1:66" x14ac:dyDescent="0.25">
      <c r="A233" s="4"/>
      <c r="B233" s="4"/>
      <c r="C233" s="533"/>
      <c r="D233" s="4"/>
      <c r="E233" s="4"/>
      <c r="F233" s="4"/>
      <c r="G233" s="4"/>
      <c r="H233" s="4"/>
      <c r="I233" s="4"/>
      <c r="J233" s="4"/>
      <c r="K233" s="4"/>
      <c r="L233" s="4"/>
      <c r="M233" s="4"/>
      <c r="N233" s="4"/>
      <c r="O233" s="4"/>
      <c r="P233" s="4"/>
      <c r="Q233" s="4"/>
      <c r="R233" s="4"/>
      <c r="S233" s="4"/>
      <c r="T233" s="4"/>
      <c r="U233" s="4"/>
      <c r="V233" s="4"/>
      <c r="W233" s="4"/>
      <c r="X233" s="4"/>
      <c r="Y233" s="4"/>
      <c r="Z233" s="4"/>
      <c r="AA233" s="4"/>
      <c r="AB233" s="4"/>
      <c r="AC233" s="4"/>
      <c r="AD233" s="4"/>
      <c r="AE233" s="4"/>
      <c r="AF233" s="4"/>
      <c r="AG233" s="4"/>
      <c r="AH233" s="4"/>
      <c r="AI233" s="4"/>
      <c r="AJ233" s="4"/>
      <c r="AK233" s="4"/>
      <c r="AL233" s="4"/>
      <c r="AM233" s="4"/>
      <c r="AN233" s="4"/>
      <c r="AO233" s="4"/>
      <c r="AP233" s="4"/>
      <c r="AQ233" s="4"/>
      <c r="AR233" s="4"/>
      <c r="AS233" s="4"/>
      <c r="AT233" s="4"/>
      <c r="AU233" s="4"/>
      <c r="AV233" s="4"/>
      <c r="AW233" s="4"/>
      <c r="AX233" s="4"/>
      <c r="AY233" s="4"/>
      <c r="AZ233" s="4"/>
      <c r="BA233" s="4"/>
      <c r="BB233" s="4"/>
      <c r="BC233" s="4"/>
      <c r="BD233" s="4"/>
      <c r="BE233" s="4"/>
      <c r="BF233" s="4"/>
      <c r="BG233" s="4"/>
      <c r="BH233" s="4"/>
      <c r="BI233" s="4"/>
      <c r="BJ233" s="4"/>
      <c r="BK233" s="4"/>
      <c r="BL233" s="4"/>
      <c r="BM233" s="4"/>
      <c r="BN233" s="4"/>
    </row>
    <row r="234" ht="13.5" customHeight="1" spans="1:66" x14ac:dyDescent="0.25">
      <c r="A234" s="4"/>
      <c r="B234" s="4"/>
      <c r="C234" s="533"/>
      <c r="D234" s="4"/>
      <c r="E234" s="4"/>
      <c r="F234" s="4"/>
      <c r="G234" s="4"/>
      <c r="H234" s="4"/>
      <c r="I234" s="4"/>
      <c r="J234" s="4"/>
      <c r="K234" s="4"/>
      <c r="L234" s="4"/>
      <c r="M234" s="4"/>
      <c r="N234" s="4"/>
      <c r="O234" s="4"/>
      <c r="P234" s="4"/>
      <c r="Q234" s="4"/>
      <c r="R234" s="4"/>
      <c r="S234" s="4"/>
      <c r="T234" s="4"/>
      <c r="U234" s="4"/>
      <c r="V234" s="4"/>
      <c r="W234" s="4"/>
      <c r="X234" s="4"/>
      <c r="Y234" s="4"/>
      <c r="Z234" s="4"/>
      <c r="AA234" s="4"/>
      <c r="AB234" s="4"/>
      <c r="AC234" s="4"/>
      <c r="AD234" s="4"/>
      <c r="AE234" s="4"/>
      <c r="AF234" s="4"/>
      <c r="AG234" s="4"/>
      <c r="AH234" s="4"/>
      <c r="AI234" s="4"/>
      <c r="AJ234" s="4"/>
      <c r="AK234" s="4"/>
      <c r="AL234" s="4"/>
      <c r="AM234" s="4"/>
      <c r="AN234" s="4"/>
      <c r="AO234" s="4"/>
      <c r="AP234" s="4"/>
      <c r="AQ234" s="4"/>
      <c r="AR234" s="4"/>
      <c r="AS234" s="4"/>
      <c r="AT234" s="4"/>
      <c r="AU234" s="4"/>
      <c r="AV234" s="4"/>
      <c r="AW234" s="4"/>
      <c r="AX234" s="4"/>
      <c r="AY234" s="4"/>
      <c r="AZ234" s="4"/>
      <c r="BA234" s="4"/>
      <c r="BB234" s="4"/>
      <c r="BC234" s="4"/>
      <c r="BD234" s="4"/>
      <c r="BE234" s="4"/>
      <c r="BF234" s="4"/>
      <c r="BG234" s="4"/>
      <c r="BH234" s="4"/>
      <c r="BI234" s="4"/>
      <c r="BJ234" s="4"/>
      <c r="BK234" s="4"/>
      <c r="BL234" s="4"/>
      <c r="BM234" s="4"/>
      <c r="BN234" s="4"/>
    </row>
    <row r="235" ht="13.5" customHeight="1" spans="1:66" x14ac:dyDescent="0.25">
      <c r="A235" s="4"/>
      <c r="B235" s="4"/>
      <c r="C235" s="533"/>
      <c r="D235" s="4"/>
      <c r="E235" s="4"/>
      <c r="F235" s="4"/>
      <c r="G235" s="4"/>
      <c r="H235" s="4"/>
      <c r="I235" s="4"/>
      <c r="J235" s="4"/>
      <c r="K235" s="4"/>
      <c r="L235" s="4"/>
      <c r="M235" s="4"/>
      <c r="N235" s="4"/>
      <c r="O235" s="4"/>
      <c r="P235" s="4"/>
      <c r="Q235" s="4"/>
      <c r="R235" s="4"/>
      <c r="S235" s="4"/>
      <c r="T235" s="4"/>
      <c r="U235" s="4"/>
      <c r="V235" s="4"/>
      <c r="W235" s="4"/>
      <c r="X235" s="4"/>
      <c r="Y235" s="4"/>
      <c r="Z235" s="4"/>
      <c r="AA235" s="4"/>
      <c r="AB235" s="4"/>
      <c r="AC235" s="4"/>
      <c r="AD235" s="4"/>
      <c r="AE235" s="4"/>
      <c r="AF235" s="4"/>
      <c r="AG235" s="4"/>
      <c r="AH235" s="4"/>
      <c r="AI235" s="4"/>
      <c r="AJ235" s="4"/>
      <c r="AK235" s="4"/>
      <c r="AL235" s="4"/>
      <c r="AM235" s="4"/>
      <c r="AN235" s="4"/>
      <c r="AO235" s="4"/>
      <c r="AP235" s="4"/>
      <c r="AQ235" s="4"/>
      <c r="AR235" s="4"/>
      <c r="AS235" s="4"/>
      <c r="AT235" s="4"/>
      <c r="AU235" s="4"/>
      <c r="AV235" s="4"/>
      <c r="AW235" s="4"/>
      <c r="AX235" s="4"/>
      <c r="AY235" s="4"/>
      <c r="AZ235" s="4"/>
      <c r="BA235" s="4"/>
      <c r="BB235" s="4"/>
      <c r="BC235" s="4"/>
      <c r="BD235" s="4"/>
      <c r="BE235" s="4"/>
      <c r="BF235" s="4"/>
      <c r="BG235" s="4"/>
      <c r="BH235" s="4"/>
      <c r="BI235" s="4"/>
      <c r="BJ235" s="4"/>
      <c r="BK235" s="4"/>
      <c r="BL235" s="4"/>
      <c r="BM235" s="4"/>
      <c r="BN235" s="4"/>
    </row>
    <row r="236" ht="13.5" customHeight="1" spans="1:66" x14ac:dyDescent="0.25">
      <c r="A236" s="4"/>
      <c r="B236" s="4"/>
      <c r="C236" s="533"/>
      <c r="D236" s="4"/>
      <c r="E236" s="4"/>
      <c r="F236" s="4"/>
      <c r="G236" s="4"/>
      <c r="H236" s="4"/>
      <c r="I236" s="4"/>
      <c r="J236" s="4"/>
      <c r="K236" s="4"/>
      <c r="L236" s="4"/>
      <c r="M236" s="4"/>
      <c r="N236" s="4"/>
      <c r="O236" s="4"/>
      <c r="P236" s="4"/>
      <c r="Q236" s="4"/>
      <c r="R236" s="4"/>
      <c r="S236" s="4"/>
      <c r="T236" s="4"/>
      <c r="U236" s="4"/>
      <c r="V236" s="4"/>
      <c r="W236" s="4"/>
      <c r="X236" s="4"/>
      <c r="Y236" s="4"/>
      <c r="Z236" s="4"/>
      <c r="AA236" s="4"/>
      <c r="AB236" s="4"/>
      <c r="AC236" s="4"/>
      <c r="AD236" s="4"/>
      <c r="AE236" s="4"/>
      <c r="AF236" s="4"/>
      <c r="AG236" s="4"/>
      <c r="AH236" s="4"/>
      <c r="AI236" s="4"/>
      <c r="AJ236" s="4"/>
      <c r="AK236" s="4"/>
      <c r="AL236" s="4"/>
      <c r="AM236" s="4"/>
      <c r="AN236" s="4"/>
      <c r="AO236" s="4"/>
      <c r="AP236" s="4"/>
      <c r="AQ236" s="4"/>
      <c r="AR236" s="4"/>
      <c r="AS236" s="4"/>
      <c r="AT236" s="4"/>
      <c r="AU236" s="4"/>
      <c r="AV236" s="4"/>
      <c r="AW236" s="4"/>
      <c r="AX236" s="4"/>
      <c r="AY236" s="4"/>
      <c r="AZ236" s="4"/>
      <c r="BA236" s="4"/>
      <c r="BB236" s="4"/>
      <c r="BC236" s="4"/>
      <c r="BD236" s="4"/>
      <c r="BE236" s="4"/>
      <c r="BF236" s="4"/>
      <c r="BG236" s="4"/>
      <c r="BH236" s="4"/>
      <c r="BI236" s="4"/>
      <c r="BJ236" s="4"/>
      <c r="BK236" s="4"/>
      <c r="BL236" s="4"/>
      <c r="BM236" s="4"/>
      <c r="BN236" s="4"/>
    </row>
    <row r="237" ht="13.5" customHeight="1" spans="1:66" x14ac:dyDescent="0.25">
      <c r="A237" s="4"/>
      <c r="B237" s="4"/>
      <c r="C237" s="533"/>
      <c r="D237" s="4"/>
      <c r="E237" s="4"/>
      <c r="F237" s="4"/>
      <c r="G237" s="4"/>
      <c r="H237" s="4"/>
      <c r="I237" s="4"/>
      <c r="J237" s="4"/>
      <c r="K237" s="4"/>
      <c r="L237" s="4"/>
      <c r="M237" s="4"/>
      <c r="N237" s="4"/>
      <c r="O237" s="4"/>
      <c r="P237" s="4"/>
      <c r="Q237" s="4"/>
      <c r="R237" s="4"/>
      <c r="S237" s="4"/>
      <c r="T237" s="4"/>
      <c r="U237" s="4"/>
      <c r="V237" s="4"/>
      <c r="W237" s="4"/>
      <c r="X237" s="4"/>
      <c r="Y237" s="4"/>
      <c r="Z237" s="4"/>
      <c r="AA237" s="4"/>
      <c r="AB237" s="4"/>
      <c r="AC237" s="4"/>
      <c r="AD237" s="4"/>
      <c r="AE237" s="4"/>
      <c r="AF237" s="4"/>
      <c r="AG237" s="4"/>
      <c r="AH237" s="4"/>
      <c r="AI237" s="4"/>
      <c r="AJ237" s="4"/>
      <c r="AK237" s="4"/>
      <c r="AL237" s="4"/>
      <c r="AM237" s="4"/>
      <c r="AN237" s="4"/>
      <c r="AO237" s="4"/>
      <c r="AP237" s="4"/>
      <c r="AQ237" s="4"/>
      <c r="AR237" s="4"/>
      <c r="AS237" s="4"/>
      <c r="AT237" s="4"/>
      <c r="AU237" s="4"/>
      <c r="AV237" s="4"/>
      <c r="AW237" s="4"/>
      <c r="AX237" s="4"/>
      <c r="AY237" s="4"/>
      <c r="AZ237" s="4"/>
      <c r="BA237" s="4"/>
      <c r="BB237" s="4"/>
      <c r="BC237" s="4"/>
      <c r="BD237" s="4"/>
      <c r="BE237" s="4"/>
      <c r="BF237" s="4"/>
      <c r="BG237" s="4"/>
      <c r="BH237" s="4"/>
      <c r="BI237" s="4"/>
      <c r="BJ237" s="4"/>
      <c r="BK237" s="4"/>
      <c r="BL237" s="4"/>
      <c r="BM237" s="4"/>
      <c r="BN237" s="4"/>
    </row>
    <row r="238" ht="13.5" customHeight="1" spans="1:66" x14ac:dyDescent="0.25">
      <c r="A238" s="4"/>
      <c r="B238" s="4"/>
      <c r="C238" s="533"/>
      <c r="D238" s="4"/>
      <c r="E238" s="4"/>
      <c r="F238" s="4"/>
      <c r="G238" s="4"/>
      <c r="H238" s="4"/>
      <c r="I238" s="4"/>
      <c r="J238" s="4"/>
      <c r="K238" s="4"/>
      <c r="L238" s="4"/>
      <c r="M238" s="4"/>
      <c r="N238" s="4"/>
      <c r="O238" s="4"/>
      <c r="P238" s="4"/>
      <c r="Q238" s="4"/>
      <c r="R238" s="4"/>
      <c r="S238" s="4"/>
      <c r="T238" s="4"/>
      <c r="U238" s="4"/>
      <c r="V238" s="4"/>
      <c r="W238" s="4"/>
      <c r="X238" s="4"/>
      <c r="Y238" s="4"/>
      <c r="Z238" s="4"/>
      <c r="AA238" s="4"/>
      <c r="AB238" s="4"/>
      <c r="AC238" s="4"/>
      <c r="AD238" s="4"/>
      <c r="AE238" s="4"/>
      <c r="AF238" s="4"/>
      <c r="AG238" s="4"/>
      <c r="AH238" s="4"/>
      <c r="AI238" s="4"/>
      <c r="AJ238" s="4"/>
      <c r="AK238" s="4"/>
      <c r="AL238" s="4"/>
      <c r="AM238" s="4"/>
      <c r="AN238" s="4"/>
      <c r="AO238" s="4"/>
      <c r="AP238" s="4"/>
      <c r="AQ238" s="4"/>
      <c r="AR238" s="4"/>
      <c r="AS238" s="4"/>
      <c r="AT238" s="4"/>
      <c r="AU238" s="4"/>
      <c r="AV238" s="4"/>
      <c r="AW238" s="4"/>
      <c r="AX238" s="4"/>
      <c r="AY238" s="4"/>
      <c r="AZ238" s="4"/>
      <c r="BA238" s="4"/>
      <c r="BB238" s="4"/>
      <c r="BC238" s="4"/>
      <c r="BD238" s="4"/>
      <c r="BE238" s="4"/>
      <c r="BF238" s="4"/>
      <c r="BG238" s="4"/>
      <c r="BH238" s="4"/>
      <c r="BI238" s="4"/>
      <c r="BJ238" s="4"/>
      <c r="BK238" s="4"/>
      <c r="BL238" s="4"/>
      <c r="BM238" s="4"/>
      <c r="BN238" s="4"/>
    </row>
    <row r="239" ht="13.5" customHeight="1" spans="1:66" x14ac:dyDescent="0.25">
      <c r="A239" s="4"/>
      <c r="B239" s="4"/>
      <c r="C239" s="533"/>
      <c r="D239" s="4"/>
      <c r="E239" s="4"/>
      <c r="F239" s="4"/>
      <c r="G239" s="4"/>
      <c r="H239" s="4"/>
      <c r="I239" s="4"/>
      <c r="J239" s="4"/>
      <c r="K239" s="4"/>
      <c r="L239" s="4"/>
      <c r="M239" s="4"/>
      <c r="N239" s="4"/>
      <c r="O239" s="4"/>
      <c r="P239" s="4"/>
      <c r="Q239" s="4"/>
      <c r="R239" s="4"/>
      <c r="S239" s="4"/>
      <c r="T239" s="4"/>
      <c r="U239" s="4"/>
      <c r="V239" s="4"/>
      <c r="W239" s="4"/>
      <c r="X239" s="4"/>
      <c r="Y239" s="4"/>
      <c r="Z239" s="4"/>
      <c r="AA239" s="4"/>
      <c r="AB239" s="4"/>
      <c r="AC239" s="4"/>
      <c r="AD239" s="4"/>
      <c r="AE239" s="4"/>
      <c r="AF239" s="4"/>
      <c r="AG239" s="4"/>
      <c r="AH239" s="4"/>
      <c r="AI239" s="4"/>
      <c r="AJ239" s="4"/>
      <c r="AK239" s="4"/>
      <c r="AL239" s="4"/>
      <c r="AM239" s="4"/>
      <c r="AN239" s="4"/>
      <c r="AO239" s="4"/>
      <c r="AP239" s="4"/>
      <c r="AQ239" s="4"/>
      <c r="AR239" s="4"/>
      <c r="AS239" s="4"/>
      <c r="AT239" s="4"/>
      <c r="AU239" s="4"/>
      <c r="AV239" s="4"/>
      <c r="AW239" s="4"/>
      <c r="AX239" s="4"/>
      <c r="AY239" s="4"/>
      <c r="AZ239" s="4"/>
      <c r="BA239" s="4"/>
      <c r="BB239" s="4"/>
      <c r="BC239" s="4"/>
      <c r="BD239" s="4"/>
      <c r="BE239" s="4"/>
      <c r="BF239" s="4"/>
      <c r="BG239" s="4"/>
      <c r="BH239" s="4"/>
      <c r="BI239" s="4"/>
      <c r="BJ239" s="4"/>
      <c r="BK239" s="4"/>
      <c r="BL239" s="4"/>
      <c r="BM239" s="4"/>
      <c r="BN239" s="4"/>
    </row>
    <row r="240" ht="13.5" customHeight="1" spans="1:66" x14ac:dyDescent="0.25">
      <c r="A240" s="4"/>
      <c r="B240" s="4"/>
      <c r="C240" s="533"/>
      <c r="D240" s="4"/>
      <c r="E240" s="4"/>
      <c r="F240" s="4"/>
      <c r="G240" s="4"/>
      <c r="H240" s="4"/>
      <c r="I240" s="4"/>
      <c r="J240" s="4"/>
      <c r="K240" s="4"/>
      <c r="L240" s="4"/>
      <c r="M240" s="4"/>
      <c r="N240" s="4"/>
      <c r="O240" s="4"/>
      <c r="P240" s="4"/>
      <c r="Q240" s="4"/>
      <c r="R240" s="4"/>
      <c r="S240" s="4"/>
      <c r="T240" s="4"/>
      <c r="U240" s="4"/>
      <c r="V240" s="4"/>
      <c r="W240" s="4"/>
      <c r="X240" s="4"/>
      <c r="Y240" s="4"/>
      <c r="Z240" s="4"/>
      <c r="AA240" s="4"/>
      <c r="AB240" s="4"/>
      <c r="AC240" s="4"/>
      <c r="AD240" s="4"/>
      <c r="AE240" s="4"/>
      <c r="AF240" s="4"/>
      <c r="AG240" s="4"/>
      <c r="AH240" s="4"/>
      <c r="AI240" s="4"/>
      <c r="AJ240" s="4"/>
      <c r="AK240" s="4"/>
      <c r="AL240" s="4"/>
      <c r="AM240" s="4"/>
      <c r="AN240" s="4"/>
      <c r="AO240" s="4"/>
      <c r="AP240" s="4"/>
      <c r="AQ240" s="4"/>
      <c r="AR240" s="4"/>
      <c r="AS240" s="4"/>
      <c r="AT240" s="4"/>
      <c r="AU240" s="4"/>
      <c r="AV240" s="4"/>
      <c r="AW240" s="4"/>
      <c r="AX240" s="4"/>
      <c r="AY240" s="4"/>
      <c r="AZ240" s="4"/>
      <c r="BA240" s="4"/>
      <c r="BB240" s="4"/>
      <c r="BC240" s="4"/>
      <c r="BD240" s="4"/>
      <c r="BE240" s="4"/>
      <c r="BF240" s="4"/>
      <c r="BG240" s="4"/>
      <c r="BH240" s="4"/>
      <c r="BI240" s="4"/>
      <c r="BJ240" s="4"/>
      <c r="BK240" s="4"/>
      <c r="BL240" s="4"/>
      <c r="BM240" s="4"/>
      <c r="BN240" s="4"/>
    </row>
    <row r="241" ht="13.5" customHeight="1" spans="1:66" x14ac:dyDescent="0.25">
      <c r="A241" s="4"/>
      <c r="B241" s="4"/>
      <c r="C241" s="533"/>
      <c r="D241" s="4"/>
      <c r="E241" s="4"/>
      <c r="F241" s="4"/>
      <c r="G241" s="4"/>
      <c r="H241" s="4"/>
      <c r="I241" s="4"/>
      <c r="J241" s="4"/>
      <c r="K241" s="4"/>
      <c r="L241" s="4"/>
      <c r="M241" s="4"/>
      <c r="N241" s="4"/>
      <c r="O241" s="4"/>
      <c r="P241" s="4"/>
      <c r="Q241" s="4"/>
      <c r="R241" s="4"/>
      <c r="S241" s="4"/>
      <c r="T241" s="4"/>
      <c r="U241" s="4"/>
      <c r="V241" s="4"/>
      <c r="W241" s="4"/>
      <c r="X241" s="4"/>
      <c r="Y241" s="4"/>
      <c r="Z241" s="4"/>
      <c r="AA241" s="4"/>
      <c r="AB241" s="4"/>
      <c r="AC241" s="4"/>
      <c r="AD241" s="4"/>
      <c r="AE241" s="4"/>
      <c r="AF241" s="4"/>
      <c r="AG241" s="4"/>
      <c r="AH241" s="4"/>
      <c r="AI241" s="4"/>
      <c r="AJ241" s="4"/>
      <c r="AK241" s="4"/>
      <c r="AL241" s="4"/>
      <c r="AM241" s="4"/>
      <c r="AN241" s="4"/>
      <c r="AO241" s="4"/>
      <c r="AP241" s="4"/>
      <c r="AQ241" s="4"/>
      <c r="AR241" s="4"/>
      <c r="AS241" s="4"/>
      <c r="AT241" s="4"/>
      <c r="AU241" s="4"/>
      <c r="AV241" s="4"/>
      <c r="AW241" s="4"/>
      <c r="AX241" s="4"/>
      <c r="AY241" s="4"/>
      <c r="AZ241" s="4"/>
      <c r="BA241" s="4"/>
      <c r="BB241" s="4"/>
      <c r="BC241" s="4"/>
      <c r="BD241" s="4"/>
      <c r="BE241" s="4"/>
      <c r="BF241" s="4"/>
      <c r="BG241" s="4"/>
      <c r="BH241" s="4"/>
      <c r="BI241" s="4"/>
      <c r="BJ241" s="4"/>
      <c r="BK241" s="4"/>
      <c r="BL241" s="4"/>
      <c r="BM241" s="4"/>
      <c r="BN241" s="4"/>
    </row>
    <row r="242" ht="13.5" customHeight="1" spans="1:66" x14ac:dyDescent="0.25">
      <c r="A242" s="4"/>
      <c r="B242" s="4"/>
      <c r="C242" s="533"/>
      <c r="D242" s="4"/>
      <c r="E242" s="4"/>
      <c r="F242" s="4"/>
      <c r="G242" s="4"/>
      <c r="H242" s="4"/>
      <c r="I242" s="4"/>
      <c r="J242" s="4"/>
      <c r="K242" s="4"/>
      <c r="L242" s="4"/>
      <c r="M242" s="4"/>
      <c r="N242" s="4"/>
      <c r="O242" s="4"/>
      <c r="P242" s="4"/>
      <c r="Q242" s="4"/>
      <c r="R242" s="4"/>
      <c r="S242" s="4"/>
      <c r="T242" s="4"/>
      <c r="U242" s="4"/>
      <c r="V242" s="4"/>
      <c r="W242" s="4"/>
      <c r="X242" s="4"/>
      <c r="Y242" s="4"/>
      <c r="Z242" s="4"/>
      <c r="AA242" s="4"/>
      <c r="AB242" s="4"/>
      <c r="AC242" s="4"/>
      <c r="AD242" s="4"/>
      <c r="AE242" s="4"/>
      <c r="AF242" s="4"/>
      <c r="AG242" s="4"/>
      <c r="AH242" s="4"/>
      <c r="AI242" s="4"/>
      <c r="AJ242" s="4"/>
      <c r="AK242" s="4"/>
      <c r="AL242" s="4"/>
      <c r="AM242" s="4"/>
      <c r="AN242" s="4"/>
      <c r="AO242" s="4"/>
      <c r="AP242" s="4"/>
      <c r="AQ242" s="4"/>
      <c r="AR242" s="4"/>
      <c r="AS242" s="4"/>
      <c r="AT242" s="4"/>
      <c r="AU242" s="4"/>
      <c r="AV242" s="4"/>
      <c r="AW242" s="4"/>
      <c r="AX242" s="4"/>
      <c r="AY242" s="4"/>
      <c r="AZ242" s="4"/>
      <c r="BA242" s="4"/>
      <c r="BB242" s="4"/>
      <c r="BC242" s="4"/>
      <c r="BD242" s="4"/>
      <c r="BE242" s="4"/>
      <c r="BF242" s="4"/>
      <c r="BG242" s="4"/>
      <c r="BH242" s="4"/>
      <c r="BI242" s="4"/>
      <c r="BJ242" s="4"/>
      <c r="BK242" s="4"/>
      <c r="BL242" s="4"/>
      <c r="BM242" s="4"/>
      <c r="BN242" s="4"/>
    </row>
    <row r="243" ht="13.5" customHeight="1" spans="1:66" x14ac:dyDescent="0.25">
      <c r="A243" s="4"/>
      <c r="B243" s="4"/>
      <c r="C243" s="533"/>
      <c r="D243" s="4"/>
      <c r="E243" s="4"/>
      <c r="F243" s="4"/>
      <c r="G243" s="4"/>
      <c r="H243" s="4"/>
      <c r="I243" s="4"/>
      <c r="J243" s="4"/>
      <c r="K243" s="4"/>
      <c r="L243" s="4"/>
      <c r="M243" s="4"/>
      <c r="N243" s="4"/>
      <c r="O243" s="4"/>
      <c r="P243" s="4"/>
      <c r="Q243" s="4"/>
      <c r="R243" s="4"/>
      <c r="S243" s="4"/>
      <c r="T243" s="4"/>
      <c r="U243" s="4"/>
      <c r="V243" s="4"/>
      <c r="W243" s="4"/>
      <c r="X243" s="4"/>
      <c r="Y243" s="4"/>
      <c r="Z243" s="4"/>
      <c r="AA243" s="4"/>
      <c r="AB243" s="4"/>
      <c r="AC243" s="4"/>
      <c r="AD243" s="4"/>
      <c r="AE243" s="4"/>
      <c r="AF243" s="4"/>
      <c r="AG243" s="4"/>
      <c r="AH243" s="4"/>
      <c r="AI243" s="4"/>
      <c r="AJ243" s="4"/>
      <c r="AK243" s="4"/>
      <c r="AL243" s="4"/>
      <c r="AM243" s="4"/>
      <c r="AN243" s="4"/>
      <c r="AO243" s="4"/>
      <c r="AP243" s="4"/>
      <c r="AQ243" s="4"/>
      <c r="AR243" s="4"/>
      <c r="AS243" s="4"/>
      <c r="AT243" s="4"/>
      <c r="AU243" s="4"/>
      <c r="AV243" s="4"/>
      <c r="AW243" s="4"/>
      <c r="AX243" s="4"/>
      <c r="AY243" s="4"/>
      <c r="AZ243" s="4"/>
      <c r="BA243" s="4"/>
      <c r="BB243" s="4"/>
      <c r="BC243" s="4"/>
      <c r="BD243" s="4"/>
      <c r="BE243" s="4"/>
      <c r="BF243" s="4"/>
      <c r="BG243" s="4"/>
      <c r="BH243" s="4"/>
      <c r="BI243" s="4"/>
      <c r="BJ243" s="4"/>
      <c r="BK243" s="4"/>
      <c r="BL243" s="4"/>
      <c r="BM243" s="4"/>
      <c r="BN243" s="4"/>
    </row>
    <row r="244" ht="13.5" customHeight="1" spans="1:66" x14ac:dyDescent="0.25">
      <c r="A244" s="4"/>
      <c r="B244" s="4"/>
      <c r="C244" s="533"/>
      <c r="D244" s="4"/>
      <c r="E244" s="4"/>
      <c r="F244" s="4"/>
      <c r="G244" s="4"/>
      <c r="H244" s="4"/>
      <c r="I244" s="4"/>
      <c r="J244" s="4"/>
      <c r="K244" s="4"/>
      <c r="L244" s="4"/>
      <c r="M244" s="4"/>
      <c r="N244" s="4"/>
      <c r="O244" s="4"/>
      <c r="P244" s="4"/>
      <c r="Q244" s="4"/>
      <c r="R244" s="4"/>
      <c r="S244" s="4"/>
      <c r="T244" s="4"/>
      <c r="U244" s="4"/>
      <c r="V244" s="4"/>
      <c r="W244" s="4"/>
      <c r="X244" s="4"/>
      <c r="Y244" s="4"/>
      <c r="Z244" s="4"/>
      <c r="AA244" s="4"/>
      <c r="AB244" s="4"/>
      <c r="AC244" s="4"/>
      <c r="AD244" s="4"/>
      <c r="AE244" s="4"/>
      <c r="AF244" s="4"/>
      <c r="AG244" s="4"/>
      <c r="AH244" s="4"/>
      <c r="AI244" s="4"/>
      <c r="AJ244" s="4"/>
      <c r="AK244" s="4"/>
      <c r="AL244" s="4"/>
      <c r="AM244" s="4"/>
      <c r="AN244" s="4"/>
      <c r="AO244" s="4"/>
      <c r="AP244" s="4"/>
      <c r="AQ244" s="4"/>
      <c r="AR244" s="4"/>
      <c r="AS244" s="4"/>
      <c r="AT244" s="4"/>
      <c r="AU244" s="4"/>
      <c r="AV244" s="4"/>
      <c r="AW244" s="4"/>
      <c r="AX244" s="4"/>
      <c r="AY244" s="4"/>
      <c r="AZ244" s="4"/>
      <c r="BA244" s="4"/>
      <c r="BB244" s="4"/>
      <c r="BC244" s="4"/>
      <c r="BD244" s="4"/>
      <c r="BE244" s="4"/>
      <c r="BF244" s="4"/>
      <c r="BG244" s="4"/>
      <c r="BH244" s="4"/>
      <c r="BI244" s="4"/>
      <c r="BJ244" s="4"/>
      <c r="BK244" s="4"/>
      <c r="BL244" s="4"/>
      <c r="BM244" s="4"/>
      <c r="BN244" s="4"/>
    </row>
    <row r="245" ht="13.5" customHeight="1" spans="1:66" x14ac:dyDescent="0.25">
      <c r="A245" s="4"/>
      <c r="B245" s="4"/>
      <c r="C245" s="533"/>
      <c r="D245" s="4"/>
      <c r="E245" s="4"/>
      <c r="F245" s="4"/>
      <c r="G245" s="4"/>
      <c r="H245" s="4"/>
      <c r="I245" s="4"/>
      <c r="J245" s="4"/>
      <c r="K245" s="4"/>
      <c r="L245" s="4"/>
      <c r="M245" s="4"/>
      <c r="N245" s="4"/>
      <c r="O245" s="4"/>
      <c r="P245" s="4"/>
      <c r="Q245" s="4"/>
      <c r="R245" s="4"/>
      <c r="S245" s="4"/>
      <c r="T245" s="4"/>
      <c r="U245" s="4"/>
      <c r="V245" s="4"/>
      <c r="W245" s="4"/>
      <c r="X245" s="4"/>
      <c r="Y245" s="4"/>
      <c r="Z245" s="4"/>
      <c r="AA245" s="4"/>
      <c r="AB245" s="4"/>
      <c r="AC245" s="4"/>
      <c r="AD245" s="4"/>
      <c r="AE245" s="4"/>
      <c r="AF245" s="4"/>
      <c r="AG245" s="4"/>
      <c r="AH245" s="4"/>
      <c r="AI245" s="4"/>
      <c r="AJ245" s="4"/>
      <c r="AK245" s="4"/>
      <c r="AL245" s="4"/>
      <c r="AM245" s="4"/>
      <c r="AN245" s="4"/>
      <c r="AO245" s="4"/>
      <c r="AP245" s="4"/>
      <c r="AQ245" s="4"/>
      <c r="AR245" s="4"/>
      <c r="AS245" s="4"/>
      <c r="AT245" s="4"/>
      <c r="AU245" s="4"/>
      <c r="AV245" s="4"/>
      <c r="AW245" s="4"/>
      <c r="AX245" s="4"/>
      <c r="AY245" s="4"/>
      <c r="AZ245" s="4"/>
      <c r="BA245" s="4"/>
      <c r="BB245" s="4"/>
      <c r="BC245" s="4"/>
      <c r="BD245" s="4"/>
      <c r="BE245" s="4"/>
      <c r="BF245" s="4"/>
      <c r="BG245" s="4"/>
      <c r="BH245" s="4"/>
      <c r="BI245" s="4"/>
      <c r="BJ245" s="4"/>
      <c r="BK245" s="4"/>
      <c r="BL245" s="4"/>
      <c r="BM245" s="4"/>
      <c r="BN245" s="4"/>
    </row>
    <row r="246" ht="13.5" customHeight="1" spans="1:66" x14ac:dyDescent="0.25">
      <c r="A246" s="4"/>
      <c r="B246" s="4"/>
      <c r="C246" s="533"/>
      <c r="D246" s="4"/>
      <c r="E246" s="4"/>
      <c r="F246" s="4"/>
      <c r="G246" s="4"/>
      <c r="H246" s="4"/>
      <c r="I246" s="4"/>
      <c r="J246" s="4"/>
      <c r="K246" s="4"/>
      <c r="L246" s="4"/>
      <c r="M246" s="4"/>
      <c r="N246" s="4"/>
      <c r="O246" s="4"/>
      <c r="P246" s="4"/>
      <c r="Q246" s="4"/>
      <c r="R246" s="4"/>
      <c r="S246" s="4"/>
      <c r="T246" s="4"/>
      <c r="U246" s="4"/>
      <c r="V246" s="4"/>
      <c r="W246" s="4"/>
      <c r="X246" s="4"/>
      <c r="Y246" s="4"/>
      <c r="Z246" s="4"/>
      <c r="AA246" s="4"/>
      <c r="AB246" s="4"/>
      <c r="AC246" s="4"/>
      <c r="AD246" s="4"/>
      <c r="AE246" s="4"/>
      <c r="AF246" s="4"/>
      <c r="AG246" s="4"/>
      <c r="AH246" s="4"/>
      <c r="AI246" s="4"/>
      <c r="AJ246" s="4"/>
      <c r="AK246" s="4"/>
      <c r="AL246" s="4"/>
      <c r="AM246" s="4"/>
      <c r="AN246" s="4"/>
      <c r="AO246" s="4"/>
      <c r="AP246" s="4"/>
      <c r="AQ246" s="4"/>
      <c r="AR246" s="4"/>
      <c r="AS246" s="4"/>
      <c r="AT246" s="4"/>
      <c r="AU246" s="4"/>
      <c r="AV246" s="4"/>
      <c r="AW246" s="4"/>
      <c r="AX246" s="4"/>
      <c r="AY246" s="4"/>
      <c r="AZ246" s="4"/>
      <c r="BA246" s="4"/>
      <c r="BB246" s="4"/>
      <c r="BC246" s="4"/>
      <c r="BD246" s="4"/>
      <c r="BE246" s="4"/>
      <c r="BF246" s="4"/>
      <c r="BG246" s="4"/>
      <c r="BH246" s="4"/>
      <c r="BI246" s="4"/>
      <c r="BJ246" s="4"/>
      <c r="BK246" s="4"/>
      <c r="BL246" s="4"/>
      <c r="BM246" s="4"/>
      <c r="BN246" s="4"/>
    </row>
    <row r="247" ht="13.5" customHeight="1" spans="1:66" x14ac:dyDescent="0.25">
      <c r="A247" s="4"/>
      <c r="B247" s="4"/>
      <c r="C247" s="533"/>
      <c r="D247" s="4"/>
      <c r="E247" s="4"/>
      <c r="F247" s="4"/>
      <c r="G247" s="4"/>
      <c r="H247" s="4"/>
      <c r="I247" s="4"/>
      <c r="J247" s="4"/>
      <c r="K247" s="4"/>
      <c r="L247" s="4"/>
      <c r="M247" s="4"/>
      <c r="N247" s="4"/>
      <c r="O247" s="4"/>
      <c r="P247" s="4"/>
      <c r="Q247" s="4"/>
      <c r="R247" s="4"/>
      <c r="S247" s="4"/>
      <c r="T247" s="4"/>
      <c r="U247" s="4"/>
      <c r="V247" s="4"/>
      <c r="W247" s="4"/>
      <c r="X247" s="4"/>
      <c r="Y247" s="4"/>
      <c r="Z247" s="4"/>
      <c r="AA247" s="4"/>
      <c r="AB247" s="4"/>
      <c r="AC247" s="4"/>
      <c r="AD247" s="4"/>
      <c r="AE247" s="4"/>
      <c r="AF247" s="4"/>
      <c r="AG247" s="4"/>
      <c r="AH247" s="4"/>
      <c r="AI247" s="4"/>
      <c r="AJ247" s="4"/>
      <c r="AK247" s="4"/>
      <c r="AL247" s="4"/>
      <c r="AM247" s="4"/>
      <c r="AN247" s="4"/>
      <c r="AO247" s="4"/>
      <c r="AP247" s="4"/>
      <c r="AQ247" s="4"/>
      <c r="AR247" s="4"/>
      <c r="AS247" s="4"/>
      <c r="AT247" s="4"/>
      <c r="AU247" s="4"/>
      <c r="AV247" s="4"/>
      <c r="AW247" s="4"/>
      <c r="AX247" s="4"/>
      <c r="AY247" s="4"/>
      <c r="AZ247" s="4"/>
      <c r="BA247" s="4"/>
      <c r="BB247" s="4"/>
      <c r="BC247" s="4"/>
      <c r="BD247" s="4"/>
      <c r="BE247" s="4"/>
      <c r="BF247" s="4"/>
      <c r="BG247" s="4"/>
      <c r="BH247" s="4"/>
      <c r="BI247" s="4"/>
      <c r="BJ247" s="4"/>
      <c r="BK247" s="4"/>
      <c r="BL247" s="4"/>
      <c r="BM247" s="4"/>
      <c r="BN247" s="4"/>
    </row>
    <row r="248" ht="13.5" customHeight="1" spans="1:66" x14ac:dyDescent="0.25">
      <c r="A248" s="4"/>
      <c r="B248" s="4"/>
      <c r="C248" s="533"/>
      <c r="D248" s="4"/>
      <c r="E248" s="4"/>
      <c r="F248" s="4"/>
      <c r="G248" s="4"/>
      <c r="H248" s="4"/>
      <c r="I248" s="4"/>
      <c r="J248" s="4"/>
      <c r="K248" s="4"/>
      <c r="L248" s="4"/>
      <c r="M248" s="4"/>
      <c r="N248" s="4"/>
      <c r="O248" s="4"/>
      <c r="P248" s="4"/>
      <c r="Q248" s="4"/>
      <c r="R248" s="4"/>
      <c r="S248" s="4"/>
      <c r="T248" s="4"/>
      <c r="U248" s="4"/>
      <c r="V248" s="4"/>
      <c r="W248" s="4"/>
      <c r="X248" s="4"/>
      <c r="Y248" s="4"/>
      <c r="Z248" s="4"/>
      <c r="AA248" s="4"/>
      <c r="AB248" s="4"/>
      <c r="AC248" s="4"/>
      <c r="AD248" s="4"/>
      <c r="AE248" s="4"/>
      <c r="AF248" s="4"/>
      <c r="AG248" s="4"/>
      <c r="AH248" s="4"/>
      <c r="AI248" s="4"/>
      <c r="AJ248" s="4"/>
      <c r="AK248" s="4"/>
      <c r="AL248" s="4"/>
      <c r="AM248" s="4"/>
      <c r="AN248" s="4"/>
      <c r="AO248" s="4"/>
      <c r="AP248" s="4"/>
      <c r="AQ248" s="4"/>
      <c r="AR248" s="4"/>
      <c r="AS248" s="4"/>
      <c r="AT248" s="4"/>
      <c r="AU248" s="4"/>
      <c r="AV248" s="4"/>
      <c r="AW248" s="4"/>
      <c r="AX248" s="4"/>
      <c r="AY248" s="4"/>
      <c r="AZ248" s="4"/>
      <c r="BA248" s="4"/>
      <c r="BB248" s="4"/>
      <c r="BC248" s="4"/>
      <c r="BD248" s="4"/>
      <c r="BE248" s="4"/>
      <c r="BF248" s="4"/>
      <c r="BG248" s="4"/>
      <c r="BH248" s="4"/>
      <c r="BI248" s="4"/>
      <c r="BJ248" s="4"/>
      <c r="BK248" s="4"/>
      <c r="BL248" s="4"/>
      <c r="BM248" s="4"/>
      <c r="BN248" s="4"/>
    </row>
    <row r="249" ht="13.5" customHeight="1" spans="1:66" x14ac:dyDescent="0.25">
      <c r="A249" s="4"/>
      <c r="B249" s="4"/>
      <c r="C249" s="533"/>
      <c r="D249" s="4"/>
      <c r="E249" s="4"/>
      <c r="F249" s="4"/>
      <c r="G249" s="4"/>
      <c r="H249" s="4"/>
      <c r="I249" s="4"/>
      <c r="J249" s="4"/>
      <c r="K249" s="4"/>
      <c r="L249" s="4"/>
      <c r="M249" s="4"/>
      <c r="N249" s="4"/>
      <c r="O249" s="4"/>
      <c r="P249" s="4"/>
      <c r="Q249" s="4"/>
      <c r="R249" s="4"/>
      <c r="S249" s="4"/>
      <c r="T249" s="4"/>
      <c r="U249" s="4"/>
      <c r="V249" s="4"/>
      <c r="W249" s="4"/>
      <c r="X249" s="4"/>
      <c r="Y249" s="4"/>
      <c r="Z249" s="4"/>
      <c r="AA249" s="4"/>
      <c r="AB249" s="4"/>
      <c r="AC249" s="4"/>
      <c r="AD249" s="4"/>
      <c r="AE249" s="4"/>
      <c r="AF249" s="4"/>
      <c r="AG249" s="4"/>
      <c r="AH249" s="4"/>
      <c r="AI249" s="4"/>
      <c r="AJ249" s="4"/>
      <c r="AK249" s="4"/>
      <c r="AL249" s="4"/>
      <c r="AM249" s="4"/>
      <c r="AN249" s="4"/>
      <c r="AO249" s="4"/>
      <c r="AP249" s="4"/>
      <c r="AQ249" s="4"/>
      <c r="AR249" s="4"/>
      <c r="AS249" s="4"/>
      <c r="AT249" s="4"/>
      <c r="AU249" s="4"/>
      <c r="AV249" s="4"/>
      <c r="AW249" s="4"/>
      <c r="AX249" s="4"/>
      <c r="AY249" s="4"/>
      <c r="AZ249" s="4"/>
      <c r="BA249" s="4"/>
      <c r="BB249" s="4"/>
      <c r="BC249" s="4"/>
      <c r="BD249" s="4"/>
      <c r="BE249" s="4"/>
      <c r="BF249" s="4"/>
      <c r="BG249" s="4"/>
      <c r="BH249" s="4"/>
      <c r="BI249" s="4"/>
      <c r="BJ249" s="4"/>
      <c r="BK249" s="4"/>
      <c r="BL249" s="4"/>
      <c r="BM249" s="4"/>
      <c r="BN249" s="4"/>
    </row>
    <row r="250" ht="13.5" customHeight="1" spans="1:66" x14ac:dyDescent="0.25">
      <c r="A250" s="4"/>
      <c r="B250" s="4"/>
      <c r="C250" s="533"/>
      <c r="D250" s="4"/>
      <c r="E250" s="4"/>
      <c r="F250" s="4"/>
      <c r="G250" s="4"/>
      <c r="H250" s="4"/>
      <c r="I250" s="4"/>
      <c r="J250" s="4"/>
      <c r="K250" s="4"/>
      <c r="L250" s="4"/>
      <c r="M250" s="4"/>
      <c r="N250" s="4"/>
      <c r="O250" s="4"/>
      <c r="P250" s="4"/>
      <c r="Q250" s="4"/>
      <c r="R250" s="4"/>
      <c r="S250" s="4"/>
      <c r="T250" s="4"/>
      <c r="U250" s="4"/>
      <c r="V250" s="4"/>
      <c r="W250" s="4"/>
      <c r="X250" s="4"/>
      <c r="Y250" s="4"/>
      <c r="Z250" s="4"/>
      <c r="AA250" s="4"/>
      <c r="AB250" s="4"/>
      <c r="AC250" s="4"/>
      <c r="AD250" s="4"/>
      <c r="AE250" s="4"/>
      <c r="AF250" s="4"/>
      <c r="AG250" s="4"/>
      <c r="AH250" s="4"/>
      <c r="AI250" s="4"/>
      <c r="AJ250" s="4"/>
      <c r="AK250" s="4"/>
      <c r="AL250" s="4"/>
      <c r="AM250" s="4"/>
      <c r="AN250" s="4"/>
      <c r="AO250" s="4"/>
      <c r="AP250" s="4"/>
      <c r="AQ250" s="4"/>
      <c r="AR250" s="4"/>
      <c r="AS250" s="4"/>
      <c r="AT250" s="4"/>
      <c r="AU250" s="4"/>
      <c r="AV250" s="4"/>
      <c r="AW250" s="4"/>
      <c r="AX250" s="4"/>
      <c r="AY250" s="4"/>
      <c r="AZ250" s="4"/>
      <c r="BA250" s="4"/>
      <c r="BB250" s="4"/>
      <c r="BC250" s="4"/>
      <c r="BD250" s="4"/>
      <c r="BE250" s="4"/>
      <c r="BF250" s="4"/>
      <c r="BG250" s="4"/>
      <c r="BH250" s="4"/>
      <c r="BI250" s="4"/>
      <c r="BJ250" s="4"/>
      <c r="BK250" s="4"/>
      <c r="BL250" s="4"/>
      <c r="BM250" s="4"/>
      <c r="BN250" s="4"/>
    </row>
    <row r="251" ht="13.5" customHeight="1" spans="1:66" x14ac:dyDescent="0.25">
      <c r="A251" s="4"/>
      <c r="B251" s="4"/>
      <c r="C251" s="533"/>
      <c r="D251" s="4"/>
      <c r="E251" s="4"/>
      <c r="F251" s="4"/>
      <c r="G251" s="4"/>
      <c r="H251" s="4"/>
      <c r="I251" s="4"/>
      <c r="J251" s="4"/>
      <c r="K251" s="4"/>
      <c r="L251" s="4"/>
      <c r="M251" s="4"/>
      <c r="N251" s="4"/>
      <c r="O251" s="4"/>
      <c r="P251" s="4"/>
      <c r="Q251" s="4"/>
      <c r="R251" s="4"/>
      <c r="S251" s="4"/>
      <c r="T251" s="4"/>
      <c r="U251" s="4"/>
      <c r="V251" s="4"/>
      <c r="W251" s="4"/>
      <c r="X251" s="4"/>
      <c r="Y251" s="4"/>
      <c r="Z251" s="4"/>
      <c r="AA251" s="4"/>
      <c r="AB251" s="4"/>
      <c r="AC251" s="4"/>
      <c r="AD251" s="4"/>
      <c r="AE251" s="4"/>
      <c r="AF251" s="4"/>
      <c r="AG251" s="4"/>
      <c r="AH251" s="4"/>
      <c r="AI251" s="4"/>
      <c r="AJ251" s="4"/>
      <c r="AK251" s="4"/>
      <c r="AL251" s="4"/>
      <c r="AM251" s="4"/>
      <c r="AN251" s="4"/>
      <c r="AO251" s="4"/>
      <c r="AP251" s="4"/>
      <c r="AQ251" s="4"/>
      <c r="AR251" s="4"/>
      <c r="AS251" s="4"/>
      <c r="AT251" s="4"/>
      <c r="AU251" s="4"/>
      <c r="AV251" s="4"/>
      <c r="AW251" s="4"/>
      <c r="AX251" s="4"/>
      <c r="AY251" s="4"/>
      <c r="AZ251" s="4"/>
      <c r="BA251" s="4"/>
      <c r="BB251" s="4"/>
      <c r="BC251" s="4"/>
      <c r="BD251" s="4"/>
      <c r="BE251" s="4"/>
      <c r="BF251" s="4"/>
      <c r="BG251" s="4"/>
      <c r="BH251" s="4"/>
      <c r="BI251" s="4"/>
      <c r="BJ251" s="4"/>
      <c r="BK251" s="4"/>
      <c r="BL251" s="4"/>
      <c r="BM251" s="4"/>
      <c r="BN251" s="4"/>
    </row>
    <row r="252" ht="13.5" customHeight="1" spans="1:66" x14ac:dyDescent="0.25">
      <c r="A252" s="4"/>
      <c r="B252" s="4"/>
      <c r="C252" s="533"/>
      <c r="D252" s="4"/>
      <c r="E252" s="4"/>
      <c r="F252" s="4"/>
      <c r="G252" s="4"/>
      <c r="H252" s="4"/>
      <c r="I252" s="4"/>
      <c r="J252" s="4"/>
      <c r="K252" s="4"/>
      <c r="L252" s="4"/>
      <c r="M252" s="4"/>
      <c r="N252" s="4"/>
      <c r="O252" s="4"/>
      <c r="P252" s="4"/>
      <c r="Q252" s="4"/>
      <c r="R252" s="4"/>
      <c r="S252" s="4"/>
      <c r="T252" s="4"/>
      <c r="U252" s="4"/>
      <c r="V252" s="4"/>
      <c r="W252" s="4"/>
      <c r="X252" s="4"/>
      <c r="Y252" s="4"/>
      <c r="Z252" s="4"/>
      <c r="AA252" s="4"/>
      <c r="AB252" s="4"/>
      <c r="AC252" s="4"/>
      <c r="AD252" s="4"/>
      <c r="AE252" s="4"/>
      <c r="AF252" s="4"/>
      <c r="AG252" s="4"/>
      <c r="AH252" s="4"/>
      <c r="AI252" s="4"/>
      <c r="AJ252" s="4"/>
      <c r="AK252" s="4"/>
      <c r="AL252" s="4"/>
      <c r="AM252" s="4"/>
      <c r="AN252" s="4"/>
      <c r="AO252" s="4"/>
      <c r="AP252" s="4"/>
      <c r="AQ252" s="4"/>
      <c r="AR252" s="4"/>
      <c r="AS252" s="4"/>
      <c r="AT252" s="4"/>
      <c r="AU252" s="4"/>
      <c r="AV252" s="4"/>
      <c r="AW252" s="4"/>
      <c r="AX252" s="4"/>
      <c r="AY252" s="4"/>
      <c r="AZ252" s="4"/>
      <c r="BA252" s="4"/>
      <c r="BB252" s="4"/>
      <c r="BC252" s="4"/>
      <c r="BD252" s="4"/>
      <c r="BE252" s="4"/>
      <c r="BF252" s="4"/>
      <c r="BG252" s="4"/>
      <c r="BH252" s="4"/>
      <c r="BI252" s="4"/>
      <c r="BJ252" s="4"/>
      <c r="BK252" s="4"/>
      <c r="BL252" s="4"/>
      <c r="BM252" s="4"/>
      <c r="BN252" s="4"/>
    </row>
    <row r="253" ht="13.5" customHeight="1" spans="1:66" x14ac:dyDescent="0.25">
      <c r="A253" s="4"/>
      <c r="B253" s="4"/>
      <c r="C253" s="533"/>
      <c r="D253" s="4"/>
      <c r="E253" s="4"/>
      <c r="F253" s="4"/>
      <c r="G253" s="4"/>
      <c r="H253" s="4"/>
      <c r="I253" s="4"/>
      <c r="J253" s="4"/>
      <c r="K253" s="4"/>
      <c r="L253" s="4"/>
      <c r="M253" s="4"/>
      <c r="N253" s="4"/>
      <c r="O253" s="4"/>
      <c r="P253" s="4"/>
      <c r="Q253" s="4"/>
      <c r="R253" s="4"/>
      <c r="S253" s="4"/>
      <c r="T253" s="4"/>
      <c r="U253" s="4"/>
      <c r="V253" s="4"/>
      <c r="W253" s="4"/>
      <c r="X253" s="4"/>
      <c r="Y253" s="4"/>
      <c r="Z253" s="4"/>
      <c r="AA253" s="4"/>
      <c r="AB253" s="4"/>
      <c r="AC253" s="4"/>
      <c r="AD253" s="4"/>
      <c r="AE253" s="4"/>
      <c r="AF253" s="4"/>
      <c r="AG253" s="4"/>
      <c r="AH253" s="4"/>
      <c r="AI253" s="4"/>
      <c r="AJ253" s="4"/>
      <c r="AK253" s="4"/>
      <c r="AL253" s="4"/>
      <c r="AM253" s="4"/>
      <c r="AN253" s="4"/>
      <c r="AO253" s="4"/>
      <c r="AP253" s="4"/>
      <c r="AQ253" s="4"/>
      <c r="AR253" s="4"/>
      <c r="AS253" s="4"/>
      <c r="AT253" s="4"/>
      <c r="AU253" s="4"/>
      <c r="AV253" s="4"/>
      <c r="AW253" s="4"/>
      <c r="AX253" s="4"/>
      <c r="AY253" s="4"/>
      <c r="AZ253" s="4"/>
      <c r="BA253" s="4"/>
      <c r="BB253" s="4"/>
      <c r="BC253" s="4"/>
      <c r="BD253" s="4"/>
      <c r="BE253" s="4"/>
      <c r="BF253" s="4"/>
      <c r="BG253" s="4"/>
      <c r="BH253" s="4"/>
      <c r="BI253" s="4"/>
      <c r="BJ253" s="4"/>
      <c r="BK253" s="4"/>
      <c r="BL253" s="4"/>
      <c r="BM253" s="4"/>
      <c r="BN253" s="4"/>
    </row>
    <row r="254" ht="13.5" customHeight="1" spans="1:66" x14ac:dyDescent="0.25">
      <c r="A254" s="4"/>
      <c r="B254" s="4"/>
      <c r="C254" s="533"/>
      <c r="D254" s="4"/>
      <c r="E254" s="4"/>
      <c r="F254" s="4"/>
      <c r="G254" s="4"/>
      <c r="H254" s="4"/>
      <c r="I254" s="4"/>
      <c r="J254" s="4"/>
      <c r="K254" s="4"/>
      <c r="L254" s="4"/>
      <c r="M254" s="4"/>
      <c r="N254" s="4"/>
      <c r="O254" s="4"/>
      <c r="P254" s="4"/>
      <c r="Q254" s="4"/>
      <c r="R254" s="4"/>
      <c r="S254" s="4"/>
      <c r="T254" s="4"/>
      <c r="U254" s="4"/>
      <c r="V254" s="4"/>
      <c r="W254" s="4"/>
      <c r="X254" s="4"/>
      <c r="Y254" s="4"/>
      <c r="Z254" s="4"/>
      <c r="AA254" s="4"/>
      <c r="AB254" s="4"/>
      <c r="AC254" s="4"/>
      <c r="AD254" s="4"/>
      <c r="AE254" s="4"/>
      <c r="AF254" s="4"/>
      <c r="AG254" s="4"/>
      <c r="AH254" s="4"/>
      <c r="AI254" s="4"/>
      <c r="AJ254" s="4"/>
      <c r="AK254" s="4"/>
      <c r="AL254" s="4"/>
      <c r="AM254" s="4"/>
      <c r="AN254" s="4"/>
      <c r="AO254" s="4"/>
      <c r="AP254" s="4"/>
      <c r="AQ254" s="4"/>
      <c r="AR254" s="4"/>
      <c r="AS254" s="4"/>
      <c r="AT254" s="4"/>
      <c r="AU254" s="4"/>
      <c r="AV254" s="4"/>
      <c r="AW254" s="4"/>
      <c r="AX254" s="4"/>
      <c r="AY254" s="4"/>
      <c r="AZ254" s="4"/>
      <c r="BA254" s="4"/>
      <c r="BB254" s="4"/>
      <c r="BC254" s="4"/>
      <c r="BD254" s="4"/>
      <c r="BE254" s="4"/>
      <c r="BF254" s="4"/>
      <c r="BG254" s="4"/>
      <c r="BH254" s="4"/>
      <c r="BI254" s="4"/>
      <c r="BJ254" s="4"/>
      <c r="BK254" s="4"/>
      <c r="BL254" s="4"/>
      <c r="BM254" s="4"/>
      <c r="BN254" s="4"/>
    </row>
    <row r="255" ht="13.5" customHeight="1" spans="1:66" x14ac:dyDescent="0.25">
      <c r="A255" s="4"/>
      <c r="B255" s="4"/>
      <c r="C255" s="533"/>
      <c r="D255" s="4"/>
      <c r="E255" s="4"/>
      <c r="F255" s="4"/>
      <c r="G255" s="4"/>
      <c r="H255" s="4"/>
      <c r="I255" s="4"/>
      <c r="J255" s="4"/>
      <c r="K255" s="4"/>
      <c r="L255" s="4"/>
      <c r="M255" s="4"/>
      <c r="N255" s="4"/>
      <c r="O255" s="4"/>
      <c r="P255" s="4"/>
      <c r="Q255" s="4"/>
      <c r="R255" s="4"/>
      <c r="S255" s="4"/>
      <c r="T255" s="4"/>
      <c r="U255" s="4"/>
      <c r="V255" s="4"/>
      <c r="W255" s="4"/>
      <c r="X255" s="4"/>
      <c r="Y255" s="4"/>
      <c r="Z255" s="4"/>
      <c r="AA255" s="4"/>
      <c r="AB255" s="4"/>
      <c r="AC255" s="4"/>
      <c r="AD255" s="4"/>
      <c r="AE255" s="4"/>
      <c r="AF255" s="4"/>
      <c r="AG255" s="4"/>
      <c r="AH255" s="4"/>
      <c r="AI255" s="4"/>
      <c r="AJ255" s="4"/>
      <c r="AK255" s="4"/>
      <c r="AL255" s="4"/>
      <c r="AM255" s="4"/>
      <c r="AN255" s="4"/>
      <c r="AO255" s="4"/>
      <c r="AP255" s="4"/>
      <c r="AQ255" s="4"/>
      <c r="AR255" s="4"/>
      <c r="AS255" s="4"/>
      <c r="AT255" s="4"/>
      <c r="AU255" s="4"/>
      <c r="AV255" s="4"/>
      <c r="AW255" s="4"/>
      <c r="AX255" s="4"/>
      <c r="AY255" s="4"/>
      <c r="AZ255" s="4"/>
      <c r="BA255" s="4"/>
      <c r="BB255" s="4"/>
      <c r="BC255" s="4"/>
      <c r="BD255" s="4"/>
      <c r="BE255" s="4"/>
      <c r="BF255" s="4"/>
      <c r="BG255" s="4"/>
      <c r="BH255" s="4"/>
      <c r="BI255" s="4"/>
      <c r="BJ255" s="4"/>
      <c r="BK255" s="4"/>
      <c r="BL255" s="4"/>
      <c r="BM255" s="4"/>
      <c r="BN255" s="4"/>
    </row>
    <row r="256" ht="13.5" customHeight="1" spans="1:66" x14ac:dyDescent="0.25">
      <c r="A256" s="4"/>
      <c r="B256" s="4"/>
      <c r="C256" s="533"/>
      <c r="D256" s="4"/>
      <c r="E256" s="4"/>
      <c r="F256" s="4"/>
      <c r="G256" s="4"/>
      <c r="H256" s="4"/>
      <c r="I256" s="4"/>
      <c r="J256" s="4"/>
      <c r="K256" s="4"/>
      <c r="L256" s="4"/>
      <c r="M256" s="4"/>
      <c r="N256" s="4"/>
      <c r="O256" s="4"/>
      <c r="P256" s="4"/>
      <c r="Q256" s="4"/>
      <c r="R256" s="4"/>
      <c r="S256" s="4"/>
      <c r="T256" s="4"/>
      <c r="U256" s="4"/>
      <c r="V256" s="4"/>
      <c r="W256" s="4"/>
      <c r="X256" s="4"/>
      <c r="Y256" s="4"/>
      <c r="Z256" s="4"/>
      <c r="AA256" s="4"/>
      <c r="AB256" s="4"/>
      <c r="AC256" s="4"/>
      <c r="AD256" s="4"/>
      <c r="AE256" s="4"/>
      <c r="AF256" s="4"/>
      <c r="AG256" s="4"/>
      <c r="AH256" s="4"/>
      <c r="AI256" s="4"/>
      <c r="AJ256" s="4"/>
      <c r="AK256" s="4"/>
      <c r="AL256" s="4"/>
      <c r="AM256" s="4"/>
      <c r="AN256" s="4"/>
      <c r="AO256" s="4"/>
      <c r="AP256" s="4"/>
      <c r="AQ256" s="4"/>
      <c r="AR256" s="4"/>
      <c r="AS256" s="4"/>
      <c r="AT256" s="4"/>
      <c r="AU256" s="4"/>
      <c r="AV256" s="4"/>
      <c r="AW256" s="4"/>
      <c r="AX256" s="4"/>
      <c r="AY256" s="4"/>
      <c r="AZ256" s="4"/>
      <c r="BA256" s="4"/>
      <c r="BB256" s="4"/>
      <c r="BC256" s="4"/>
      <c r="BD256" s="4"/>
      <c r="BE256" s="4"/>
      <c r="BF256" s="4"/>
      <c r="BG256" s="4"/>
      <c r="BH256" s="4"/>
      <c r="BI256" s="4"/>
      <c r="BJ256" s="4"/>
      <c r="BK256" s="4"/>
      <c r="BL256" s="4"/>
      <c r="BM256" s="4"/>
      <c r="BN256" s="4"/>
    </row>
    <row r="257" ht="13.5" customHeight="1" spans="1:66" x14ac:dyDescent="0.25">
      <c r="A257" s="4"/>
      <c r="B257" s="4"/>
      <c r="C257" s="533"/>
      <c r="D257" s="4"/>
      <c r="E257" s="4"/>
      <c r="F257" s="4"/>
      <c r="G257" s="4"/>
      <c r="H257" s="4"/>
      <c r="I257" s="4"/>
      <c r="J257" s="4"/>
      <c r="K257" s="4"/>
      <c r="L257" s="4"/>
      <c r="M257" s="4"/>
      <c r="N257" s="4"/>
      <c r="O257" s="4"/>
      <c r="P257" s="4"/>
      <c r="Q257" s="4"/>
      <c r="R257" s="4"/>
      <c r="S257" s="4"/>
      <c r="T257" s="4"/>
      <c r="U257" s="4"/>
      <c r="V257" s="4"/>
      <c r="W257" s="4"/>
      <c r="X257" s="4"/>
      <c r="Y257" s="4"/>
      <c r="Z257" s="4"/>
      <c r="AA257" s="4"/>
      <c r="AB257" s="4"/>
      <c r="AC257" s="4"/>
      <c r="AD257" s="4"/>
      <c r="AE257" s="4"/>
      <c r="AF257" s="4"/>
      <c r="AG257" s="4"/>
      <c r="AH257" s="4"/>
      <c r="AI257" s="4"/>
      <c r="AJ257" s="4"/>
      <c r="AK257" s="4"/>
      <c r="AL257" s="4"/>
      <c r="AM257" s="4"/>
      <c r="AN257" s="4"/>
      <c r="AO257" s="4"/>
      <c r="AP257" s="4"/>
      <c r="AQ257" s="4"/>
      <c r="AR257" s="4"/>
      <c r="AS257" s="4"/>
      <c r="AT257" s="4"/>
      <c r="AU257" s="4"/>
      <c r="AV257" s="4"/>
      <c r="AW257" s="4"/>
      <c r="AX257" s="4"/>
      <c r="AY257" s="4"/>
      <c r="AZ257" s="4"/>
      <c r="BA257" s="4"/>
      <c r="BB257" s="4"/>
      <c r="BC257" s="4"/>
      <c r="BD257" s="4"/>
      <c r="BE257" s="4"/>
      <c r="BF257" s="4"/>
      <c r="BG257" s="4"/>
      <c r="BH257" s="4"/>
      <c r="BI257" s="4"/>
      <c r="BJ257" s="4"/>
      <c r="BK257" s="4"/>
      <c r="BL257" s="4"/>
      <c r="BM257" s="4"/>
      <c r="BN257" s="4"/>
    </row>
    <row r="258" ht="13.5" customHeight="1" spans="1:66" x14ac:dyDescent="0.25">
      <c r="A258" s="4"/>
      <c r="B258" s="4"/>
      <c r="C258" s="533"/>
      <c r="D258" s="4"/>
      <c r="E258" s="4"/>
      <c r="F258" s="4"/>
      <c r="G258" s="4"/>
      <c r="H258" s="4"/>
      <c r="I258" s="4"/>
      <c r="J258" s="4"/>
      <c r="K258" s="4"/>
      <c r="L258" s="4"/>
      <c r="M258" s="4"/>
      <c r="N258" s="4"/>
      <c r="O258" s="4"/>
      <c r="P258" s="4"/>
      <c r="Q258" s="4"/>
      <c r="R258" s="4"/>
      <c r="S258" s="4"/>
      <c r="T258" s="4"/>
      <c r="U258" s="4"/>
      <c r="V258" s="4"/>
      <c r="W258" s="4"/>
      <c r="X258" s="4"/>
      <c r="Y258" s="4"/>
      <c r="Z258" s="4"/>
      <c r="AA258" s="4"/>
      <c r="AB258" s="4"/>
      <c r="AC258" s="4"/>
      <c r="AD258" s="4"/>
      <c r="AE258" s="4"/>
      <c r="AF258" s="4"/>
      <c r="AG258" s="4"/>
      <c r="AH258" s="4"/>
      <c r="AI258" s="4"/>
      <c r="AJ258" s="4"/>
      <c r="AK258" s="4"/>
      <c r="AL258" s="4"/>
      <c r="AM258" s="4"/>
      <c r="AN258" s="4"/>
      <c r="AO258" s="4"/>
      <c r="AP258" s="4"/>
      <c r="AQ258" s="4"/>
      <c r="AR258" s="4"/>
      <c r="AS258" s="4"/>
      <c r="AT258" s="4"/>
      <c r="AU258" s="4"/>
      <c r="AV258" s="4"/>
      <c r="AW258" s="4"/>
      <c r="AX258" s="4"/>
      <c r="AY258" s="4"/>
      <c r="AZ258" s="4"/>
      <c r="BA258" s="4"/>
      <c r="BB258" s="4"/>
      <c r="BC258" s="4"/>
      <c r="BD258" s="4"/>
      <c r="BE258" s="4"/>
      <c r="BF258" s="4"/>
      <c r="BG258" s="4"/>
      <c r="BH258" s="4"/>
      <c r="BI258" s="4"/>
      <c r="BJ258" s="4"/>
      <c r="BK258" s="4"/>
      <c r="BL258" s="4"/>
      <c r="BM258" s="4"/>
      <c r="BN258" s="4"/>
    </row>
    <row r="259" ht="13.5" customHeight="1" spans="1:66" x14ac:dyDescent="0.25">
      <c r="A259" s="4"/>
      <c r="B259" s="4"/>
      <c r="C259" s="533"/>
      <c r="D259" s="4"/>
      <c r="E259" s="4"/>
      <c r="F259" s="4"/>
      <c r="G259" s="4"/>
      <c r="H259" s="4"/>
      <c r="I259" s="4"/>
      <c r="J259" s="4"/>
      <c r="K259" s="4"/>
      <c r="L259" s="4"/>
      <c r="M259" s="4"/>
      <c r="N259" s="4"/>
      <c r="O259" s="4"/>
      <c r="P259" s="4"/>
      <c r="Q259" s="4"/>
      <c r="R259" s="4"/>
      <c r="S259" s="4"/>
      <c r="T259" s="4"/>
      <c r="U259" s="4"/>
      <c r="V259" s="4"/>
      <c r="W259" s="4"/>
      <c r="X259" s="4"/>
      <c r="Y259" s="4"/>
      <c r="Z259" s="4"/>
      <c r="AA259" s="4"/>
      <c r="AB259" s="4"/>
      <c r="AC259" s="4"/>
      <c r="AD259" s="4"/>
      <c r="AE259" s="4"/>
      <c r="AF259" s="4"/>
      <c r="AG259" s="4"/>
      <c r="AH259" s="4"/>
      <c r="AI259" s="4"/>
      <c r="AJ259" s="4"/>
      <c r="AK259" s="4"/>
      <c r="AL259" s="4"/>
      <c r="AM259" s="4"/>
      <c r="AN259" s="4"/>
      <c r="AO259" s="4"/>
      <c r="AP259" s="4"/>
      <c r="AQ259" s="4"/>
      <c r="AR259" s="4"/>
      <c r="AS259" s="4"/>
      <c r="AT259" s="4"/>
      <c r="AU259" s="4"/>
      <c r="AV259" s="4"/>
      <c r="AW259" s="4"/>
      <c r="AX259" s="4"/>
      <c r="AY259" s="4"/>
      <c r="AZ259" s="4"/>
      <c r="BA259" s="4"/>
      <c r="BB259" s="4"/>
      <c r="BC259" s="4"/>
      <c r="BD259" s="4"/>
      <c r="BE259" s="4"/>
      <c r="BF259" s="4"/>
      <c r="BG259" s="4"/>
      <c r="BH259" s="4"/>
      <c r="BI259" s="4"/>
      <c r="BJ259" s="4"/>
      <c r="BK259" s="4"/>
      <c r="BL259" s="4"/>
      <c r="BM259" s="4"/>
      <c r="BN259" s="4"/>
    </row>
    <row r="260" ht="13.5" customHeight="1" spans="1:66" x14ac:dyDescent="0.25">
      <c r="A260" s="4"/>
      <c r="B260" s="4"/>
      <c r="C260" s="533"/>
      <c r="D260" s="4"/>
      <c r="E260" s="4"/>
      <c r="F260" s="4"/>
      <c r="G260" s="4"/>
      <c r="H260" s="4"/>
      <c r="I260" s="4"/>
      <c r="J260" s="4"/>
      <c r="K260" s="4"/>
      <c r="L260" s="4"/>
      <c r="M260" s="4"/>
      <c r="N260" s="4"/>
      <c r="O260" s="4"/>
      <c r="P260" s="4"/>
      <c r="Q260" s="4"/>
      <c r="R260" s="4"/>
      <c r="S260" s="4"/>
      <c r="T260" s="4"/>
      <c r="U260" s="4"/>
      <c r="V260" s="4"/>
      <c r="W260" s="4"/>
      <c r="X260" s="4"/>
      <c r="Y260" s="4"/>
      <c r="Z260" s="4"/>
      <c r="AA260" s="4"/>
      <c r="AB260" s="4"/>
      <c r="AC260" s="4"/>
      <c r="AD260" s="4"/>
      <c r="AE260" s="4"/>
      <c r="AF260" s="4"/>
      <c r="AG260" s="4"/>
      <c r="AH260" s="4"/>
      <c r="AI260" s="4"/>
      <c r="AJ260" s="4"/>
      <c r="AK260" s="4"/>
      <c r="AL260" s="4"/>
      <c r="AM260" s="4"/>
      <c r="AN260" s="4"/>
      <c r="AO260" s="4"/>
      <c r="AP260" s="4"/>
      <c r="AQ260" s="4"/>
      <c r="AR260" s="4"/>
      <c r="AS260" s="4"/>
      <c r="AT260" s="4"/>
      <c r="AU260" s="4"/>
      <c r="AV260" s="4"/>
      <c r="AW260" s="4"/>
      <c r="AX260" s="4"/>
      <c r="AY260" s="4"/>
      <c r="AZ260" s="4"/>
      <c r="BA260" s="4"/>
      <c r="BB260" s="4"/>
      <c r="BC260" s="4"/>
      <c r="BD260" s="4"/>
      <c r="BE260" s="4"/>
      <c r="BF260" s="4"/>
      <c r="BG260" s="4"/>
      <c r="BH260" s="4"/>
      <c r="BI260" s="4"/>
      <c r="BJ260" s="4"/>
      <c r="BK260" s="4"/>
      <c r="BL260" s="4"/>
      <c r="BM260" s="4"/>
      <c r="BN260" s="4"/>
    </row>
    <row r="261" ht="13.5" customHeight="1" spans="1:66" x14ac:dyDescent="0.25">
      <c r="A261" s="4"/>
      <c r="B261" s="4"/>
      <c r="C261" s="533"/>
      <c r="D261" s="4"/>
      <c r="E261" s="4"/>
      <c r="F261" s="4"/>
      <c r="G261" s="4"/>
      <c r="H261" s="4"/>
      <c r="I261" s="4"/>
      <c r="J261" s="4"/>
      <c r="K261" s="4"/>
      <c r="L261" s="4"/>
      <c r="M261" s="4"/>
      <c r="N261" s="4"/>
      <c r="O261" s="4"/>
      <c r="P261" s="4"/>
      <c r="Q261" s="4"/>
      <c r="R261" s="4"/>
      <c r="S261" s="4"/>
      <c r="T261" s="4"/>
      <c r="U261" s="4"/>
      <c r="V261" s="4"/>
      <c r="W261" s="4"/>
      <c r="X261" s="4"/>
      <c r="Y261" s="4"/>
      <c r="Z261" s="4"/>
      <c r="AA261" s="4"/>
      <c r="AB261" s="4"/>
      <c r="AC261" s="4"/>
      <c r="AD261" s="4"/>
      <c r="AE261" s="4"/>
      <c r="AF261" s="4"/>
      <c r="AG261" s="4"/>
      <c r="AH261" s="4"/>
      <c r="AI261" s="4"/>
      <c r="AJ261" s="4"/>
      <c r="AK261" s="4"/>
      <c r="AL261" s="4"/>
      <c r="AM261" s="4"/>
      <c r="AN261" s="4"/>
      <c r="AO261" s="4"/>
      <c r="AP261" s="4"/>
      <c r="AQ261" s="4"/>
      <c r="AR261" s="4"/>
      <c r="AS261" s="4"/>
      <c r="AT261" s="4"/>
      <c r="AU261" s="4"/>
      <c r="AV261" s="4"/>
      <c r="AW261" s="4"/>
      <c r="AX261" s="4"/>
      <c r="AY261" s="4"/>
      <c r="AZ261" s="4"/>
      <c r="BA261" s="4"/>
      <c r="BB261" s="4"/>
      <c r="BC261" s="4"/>
      <c r="BD261" s="4"/>
      <c r="BE261" s="4"/>
      <c r="BF261" s="4"/>
      <c r="BG261" s="4"/>
      <c r="BH261" s="4"/>
      <c r="BI261" s="4"/>
      <c r="BJ261" s="4"/>
      <c r="BK261" s="4"/>
      <c r="BL261" s="4"/>
      <c r="BM261" s="4"/>
      <c r="BN261" s="4"/>
    </row>
    <row r="262" ht="13.5" customHeight="1" spans="1:66" x14ac:dyDescent="0.25">
      <c r="A262" s="4"/>
      <c r="B262" s="4"/>
      <c r="C262" s="533"/>
      <c r="D262" s="4"/>
      <c r="E262" s="4"/>
      <c r="F262" s="4"/>
      <c r="G262" s="4"/>
      <c r="H262" s="4"/>
      <c r="I262" s="4"/>
      <c r="J262" s="4"/>
      <c r="K262" s="4"/>
      <c r="L262" s="4"/>
      <c r="M262" s="4"/>
      <c r="N262" s="4"/>
      <c r="O262" s="4"/>
      <c r="P262" s="4"/>
      <c r="Q262" s="4"/>
      <c r="R262" s="4"/>
      <c r="S262" s="4"/>
      <c r="T262" s="4"/>
      <c r="U262" s="4"/>
      <c r="V262" s="4"/>
      <c r="W262" s="4"/>
      <c r="X262" s="4"/>
      <c r="Y262" s="4"/>
      <c r="Z262" s="4"/>
      <c r="AA262" s="4"/>
      <c r="AB262" s="4"/>
      <c r="AC262" s="4"/>
      <c r="AD262" s="4"/>
      <c r="AE262" s="4"/>
      <c r="AF262" s="4"/>
      <c r="AG262" s="4"/>
      <c r="AH262" s="4"/>
      <c r="AI262" s="4"/>
      <c r="AJ262" s="4"/>
      <c r="AK262" s="4"/>
      <c r="AL262" s="4"/>
      <c r="AM262" s="4"/>
      <c r="AN262" s="4"/>
      <c r="AO262" s="4"/>
      <c r="AP262" s="4"/>
      <c r="AQ262" s="4"/>
      <c r="AR262" s="4"/>
      <c r="AS262" s="4"/>
      <c r="AT262" s="4"/>
      <c r="AU262" s="4"/>
      <c r="AV262" s="4"/>
      <c r="AW262" s="4"/>
      <c r="AX262" s="4"/>
      <c r="AY262" s="4"/>
      <c r="AZ262" s="4"/>
      <c r="BA262" s="4"/>
      <c r="BB262" s="4"/>
      <c r="BC262" s="4"/>
      <c r="BD262" s="4"/>
      <c r="BE262" s="4"/>
      <c r="BF262" s="4"/>
      <c r="BG262" s="4"/>
      <c r="BH262" s="4"/>
      <c r="BI262" s="4"/>
      <c r="BJ262" s="4"/>
      <c r="BK262" s="4"/>
      <c r="BL262" s="4"/>
      <c r="BM262" s="4"/>
      <c r="BN262" s="4"/>
    </row>
    <row r="263" ht="13.5" customHeight="1" spans="1:66" x14ac:dyDescent="0.25">
      <c r="A263" s="4"/>
      <c r="B263" s="4"/>
      <c r="C263" s="533"/>
      <c r="D263" s="4"/>
      <c r="E263" s="4"/>
      <c r="F263" s="4"/>
      <c r="G263" s="4"/>
      <c r="H263" s="4"/>
      <c r="I263" s="4"/>
      <c r="J263" s="4"/>
      <c r="K263" s="4"/>
      <c r="L263" s="4"/>
      <c r="M263" s="4"/>
      <c r="N263" s="4"/>
      <c r="O263" s="4"/>
      <c r="P263" s="4"/>
      <c r="Q263" s="4"/>
      <c r="R263" s="4"/>
      <c r="S263" s="4"/>
      <c r="T263" s="4"/>
      <c r="U263" s="4"/>
      <c r="V263" s="4"/>
      <c r="W263" s="4"/>
      <c r="X263" s="4"/>
      <c r="Y263" s="4"/>
      <c r="Z263" s="4"/>
      <c r="AA263" s="4"/>
      <c r="AB263" s="4"/>
      <c r="AC263" s="4"/>
      <c r="AD263" s="4"/>
      <c r="AE263" s="4"/>
      <c r="AF263" s="4"/>
      <c r="AG263" s="4"/>
      <c r="AH263" s="4"/>
      <c r="AI263" s="4"/>
      <c r="AJ263" s="4"/>
      <c r="AK263" s="4"/>
      <c r="AL263" s="4"/>
      <c r="AM263" s="4"/>
      <c r="AN263" s="4"/>
      <c r="AO263" s="4"/>
      <c r="AP263" s="4"/>
      <c r="AQ263" s="4"/>
      <c r="AR263" s="4"/>
      <c r="AS263" s="4"/>
      <c r="AT263" s="4"/>
      <c r="AU263" s="4"/>
      <c r="AV263" s="4"/>
      <c r="AW263" s="4"/>
      <c r="AX263" s="4"/>
      <c r="AY263" s="4"/>
      <c r="AZ263" s="4"/>
      <c r="BA263" s="4"/>
      <c r="BB263" s="4"/>
      <c r="BC263" s="4"/>
      <c r="BD263" s="4"/>
      <c r="BE263" s="4"/>
      <c r="BF263" s="4"/>
      <c r="BG263" s="4"/>
      <c r="BH263" s="4"/>
      <c r="BI263" s="4"/>
      <c r="BJ263" s="4"/>
      <c r="BK263" s="4"/>
      <c r="BL263" s="4"/>
      <c r="BM263" s="4"/>
      <c r="BN263" s="4"/>
    </row>
    <row r="264" ht="13.5" customHeight="1" spans="1:66" x14ac:dyDescent="0.25">
      <c r="A264" s="4"/>
      <c r="B264" s="4"/>
      <c r="C264" s="533"/>
      <c r="D264" s="4"/>
      <c r="E264" s="4"/>
      <c r="F264" s="4"/>
      <c r="G264" s="4"/>
      <c r="H264" s="4"/>
      <c r="I264" s="4"/>
      <c r="J264" s="4"/>
      <c r="K264" s="4"/>
      <c r="L264" s="4"/>
      <c r="M264" s="4"/>
      <c r="N264" s="4"/>
      <c r="O264" s="4"/>
      <c r="P264" s="4"/>
      <c r="Q264" s="4"/>
      <c r="R264" s="4"/>
      <c r="S264" s="4"/>
      <c r="T264" s="4"/>
      <c r="U264" s="4"/>
      <c r="V264" s="4"/>
      <c r="W264" s="4"/>
      <c r="X264" s="4"/>
      <c r="Y264" s="4"/>
      <c r="Z264" s="4"/>
      <c r="AA264" s="4"/>
      <c r="AB264" s="4"/>
      <c r="AC264" s="4"/>
      <c r="AD264" s="4"/>
      <c r="AE264" s="4"/>
      <c r="AF264" s="4"/>
      <c r="AG264" s="4"/>
      <c r="AH264" s="4"/>
      <c r="AI264" s="4"/>
      <c r="AJ264" s="4"/>
      <c r="AK264" s="4"/>
      <c r="AL264" s="4"/>
      <c r="AM264" s="4"/>
      <c r="AN264" s="4"/>
      <c r="AO264" s="4"/>
      <c r="AP264" s="4"/>
      <c r="AQ264" s="4"/>
      <c r="AR264" s="4"/>
      <c r="AS264" s="4"/>
      <c r="AT264" s="4"/>
      <c r="AU264" s="4"/>
      <c r="AV264" s="4"/>
      <c r="AW264" s="4"/>
      <c r="AX264" s="4"/>
      <c r="AY264" s="4"/>
      <c r="AZ264" s="4"/>
      <c r="BA264" s="4"/>
      <c r="BB264" s="4"/>
      <c r="BC264" s="4"/>
      <c r="BD264" s="4"/>
      <c r="BE264" s="4"/>
      <c r="BF264" s="4"/>
      <c r="BG264" s="4"/>
      <c r="BH264" s="4"/>
      <c r="BI264" s="4"/>
      <c r="BJ264" s="4"/>
      <c r="BK264" s="4"/>
      <c r="BL264" s="4"/>
      <c r="BM264" s="4"/>
      <c r="BN264" s="4"/>
    </row>
    <row r="265" ht="13.5" customHeight="1" spans="1:66" x14ac:dyDescent="0.25">
      <c r="A265" s="4"/>
      <c r="B265" s="4"/>
      <c r="C265" s="533"/>
      <c r="D265" s="4"/>
      <c r="E265" s="4"/>
      <c r="F265" s="4"/>
      <c r="G265" s="4"/>
      <c r="H265" s="4"/>
      <c r="I265" s="4"/>
      <c r="J265" s="4"/>
      <c r="K265" s="4"/>
      <c r="L265" s="4"/>
      <c r="M265" s="4"/>
      <c r="N265" s="4"/>
      <c r="O265" s="4"/>
      <c r="P265" s="4"/>
      <c r="Q265" s="4"/>
      <c r="R265" s="4"/>
      <c r="S265" s="4"/>
      <c r="T265" s="4"/>
      <c r="U265" s="4"/>
      <c r="V265" s="4"/>
      <c r="W265" s="4"/>
      <c r="X265" s="4"/>
      <c r="Y265" s="4"/>
      <c r="Z265" s="4"/>
      <c r="AA265" s="4"/>
      <c r="AB265" s="4"/>
      <c r="AC265" s="4"/>
      <c r="AD265" s="4"/>
      <c r="AE265" s="4"/>
      <c r="AF265" s="4"/>
      <c r="AG265" s="4"/>
      <c r="AH265" s="4"/>
      <c r="AI265" s="4"/>
      <c r="AJ265" s="4"/>
      <c r="AK265" s="4"/>
      <c r="AL265" s="4"/>
      <c r="AM265" s="4"/>
      <c r="AN265" s="4"/>
      <c r="AO265" s="4"/>
      <c r="AP265" s="4"/>
      <c r="AQ265" s="4"/>
      <c r="AR265" s="4"/>
      <c r="AS265" s="4"/>
      <c r="AT265" s="4"/>
      <c r="AU265" s="4"/>
      <c r="AV265" s="4"/>
      <c r="AW265" s="4"/>
      <c r="AX265" s="4"/>
      <c r="AY265" s="4"/>
      <c r="AZ265" s="4"/>
      <c r="BA265" s="4"/>
      <c r="BB265" s="4"/>
      <c r="BC265" s="4"/>
      <c r="BD265" s="4"/>
      <c r="BE265" s="4"/>
      <c r="BF265" s="4"/>
      <c r="BG265" s="4"/>
      <c r="BH265" s="4"/>
      <c r="BI265" s="4"/>
      <c r="BJ265" s="4"/>
      <c r="BK265" s="4"/>
      <c r="BL265" s="4"/>
      <c r="BM265" s="4"/>
      <c r="BN265" s="4"/>
    </row>
    <row r="266" ht="13.5" customHeight="1" spans="1:66" x14ac:dyDescent="0.25">
      <c r="A266" s="4"/>
      <c r="B266" s="4"/>
      <c r="C266" s="533"/>
      <c r="D266" s="4"/>
      <c r="E266" s="4"/>
      <c r="F266" s="4"/>
      <c r="G266" s="4"/>
      <c r="H266" s="4"/>
      <c r="I266" s="4"/>
      <c r="J266" s="4"/>
      <c r="K266" s="4"/>
      <c r="L266" s="4"/>
      <c r="M266" s="4"/>
      <c r="N266" s="4"/>
      <c r="O266" s="4"/>
      <c r="P266" s="4"/>
      <c r="Q266" s="4"/>
      <c r="R266" s="4"/>
      <c r="S266" s="4"/>
      <c r="T266" s="4"/>
      <c r="U266" s="4"/>
      <c r="V266" s="4"/>
      <c r="W266" s="4"/>
      <c r="X266" s="4"/>
      <c r="Y266" s="4"/>
      <c r="Z266" s="4"/>
      <c r="AA266" s="4"/>
      <c r="AB266" s="4"/>
      <c r="AC266" s="4"/>
      <c r="AD266" s="4"/>
      <c r="AE266" s="4"/>
      <c r="AF266" s="4"/>
      <c r="AG266" s="4"/>
      <c r="AH266" s="4"/>
      <c r="AI266" s="4"/>
      <c r="AJ266" s="4"/>
      <c r="AK266" s="4"/>
      <c r="AL266" s="4"/>
      <c r="AM266" s="4"/>
      <c r="AN266" s="4"/>
      <c r="AO266" s="4"/>
      <c r="AP266" s="4"/>
      <c r="AQ266" s="4"/>
      <c r="AR266" s="4"/>
      <c r="AS266" s="4"/>
      <c r="AT266" s="4"/>
      <c r="AU266" s="4"/>
      <c r="AV266" s="4"/>
      <c r="AW266" s="4"/>
      <c r="AX266" s="4"/>
      <c r="AY266" s="4"/>
      <c r="AZ266" s="4"/>
      <c r="BA266" s="4"/>
      <c r="BB266" s="4"/>
      <c r="BC266" s="4"/>
      <c r="BD266" s="4"/>
      <c r="BE266" s="4"/>
      <c r="BF266" s="4"/>
      <c r="BG266" s="4"/>
      <c r="BH266" s="4"/>
      <c r="BI266" s="4"/>
      <c r="BJ266" s="4"/>
      <c r="BK266" s="4"/>
      <c r="BL266" s="4"/>
      <c r="BM266" s="4"/>
      <c r="BN266" s="4"/>
    </row>
    <row r="267" ht="13.5" customHeight="1" spans="1:66" x14ac:dyDescent="0.25">
      <c r="A267" s="4"/>
      <c r="B267" s="4"/>
      <c r="C267" s="533"/>
      <c r="D267" s="4"/>
      <c r="E267" s="4"/>
      <c r="F267" s="4"/>
      <c r="G267" s="4"/>
      <c r="H267" s="4"/>
      <c r="I267" s="4"/>
      <c r="J267" s="4"/>
      <c r="K267" s="4"/>
      <c r="L267" s="4"/>
      <c r="M267" s="4"/>
      <c r="N267" s="4"/>
      <c r="O267" s="4"/>
      <c r="P267" s="4"/>
      <c r="Q267" s="4"/>
      <c r="R267" s="4"/>
      <c r="S267" s="4"/>
      <c r="T267" s="4"/>
      <c r="U267" s="4"/>
      <c r="V267" s="4"/>
      <c r="W267" s="4"/>
      <c r="X267" s="4"/>
      <c r="Y267" s="4"/>
      <c r="Z267" s="4"/>
      <c r="AA267" s="4"/>
      <c r="AB267" s="4"/>
      <c r="AC267" s="4"/>
      <c r="AD267" s="4"/>
      <c r="AE267" s="4"/>
      <c r="AF267" s="4"/>
      <c r="AG267" s="4"/>
      <c r="AH267" s="4"/>
      <c r="AI267" s="4"/>
      <c r="AJ267" s="4"/>
      <c r="AK267" s="4"/>
      <c r="AL267" s="4"/>
      <c r="AM267" s="4"/>
      <c r="AN267" s="4"/>
      <c r="AO267" s="4"/>
      <c r="AP267" s="4"/>
      <c r="AQ267" s="4"/>
      <c r="AR267" s="4"/>
      <c r="AS267" s="4"/>
      <c r="AT267" s="4"/>
      <c r="AU267" s="4"/>
      <c r="AV267" s="4"/>
      <c r="AW267" s="4"/>
      <c r="AX267" s="4"/>
      <c r="AY267" s="4"/>
      <c r="AZ267" s="4"/>
      <c r="BA267" s="4"/>
      <c r="BB267" s="4"/>
      <c r="BC267" s="4"/>
      <c r="BD267" s="4"/>
      <c r="BE267" s="4"/>
      <c r="BF267" s="4"/>
      <c r="BG267" s="4"/>
      <c r="BH267" s="4"/>
      <c r="BI267" s="4"/>
      <c r="BJ267" s="4"/>
      <c r="BK267" s="4"/>
      <c r="BL267" s="4"/>
      <c r="BM267" s="4"/>
      <c r="BN267" s="4"/>
    </row>
    <row r="268" ht="13.5" customHeight="1" spans="1:66" x14ac:dyDescent="0.25">
      <c r="A268" s="4"/>
      <c r="B268" s="4"/>
      <c r="C268" s="533"/>
      <c r="D268" s="4"/>
      <c r="E268" s="4"/>
      <c r="F268" s="4"/>
      <c r="G268" s="4"/>
      <c r="H268" s="4"/>
      <c r="I268" s="4"/>
      <c r="J268" s="4"/>
      <c r="K268" s="4"/>
      <c r="L268" s="4"/>
      <c r="M268" s="4"/>
      <c r="N268" s="4"/>
      <c r="O268" s="4"/>
      <c r="P268" s="4"/>
      <c r="Q268" s="4"/>
      <c r="R268" s="4"/>
      <c r="S268" s="4"/>
      <c r="T268" s="4"/>
      <c r="U268" s="4"/>
      <c r="V268" s="4"/>
      <c r="W268" s="4"/>
      <c r="X268" s="4"/>
      <c r="Y268" s="4"/>
      <c r="Z268" s="4"/>
      <c r="AA268" s="4"/>
      <c r="AB268" s="4"/>
      <c r="AC268" s="4"/>
      <c r="AD268" s="4"/>
      <c r="AE268" s="4"/>
      <c r="AF268" s="4"/>
      <c r="AG268" s="4"/>
      <c r="AH268" s="4"/>
      <c r="AI268" s="4"/>
      <c r="AJ268" s="4"/>
      <c r="AK268" s="4"/>
      <c r="AL268" s="4"/>
      <c r="AM268" s="4"/>
      <c r="AN268" s="4"/>
      <c r="AO268" s="4"/>
      <c r="AP268" s="4"/>
      <c r="AQ268" s="4"/>
      <c r="AR268" s="4"/>
      <c r="AS268" s="4"/>
      <c r="AT268" s="4"/>
      <c r="AU268" s="4"/>
      <c r="AV268" s="4"/>
      <c r="AW268" s="4"/>
      <c r="AX268" s="4"/>
      <c r="AY268" s="4"/>
      <c r="AZ268" s="4"/>
      <c r="BA268" s="4"/>
      <c r="BB268" s="4"/>
      <c r="BC268" s="4"/>
      <c r="BD268" s="4"/>
      <c r="BE268" s="4"/>
      <c r="BF268" s="4"/>
      <c r="BG268" s="4"/>
      <c r="BH268" s="4"/>
      <c r="BI268" s="4"/>
      <c r="BJ268" s="4"/>
      <c r="BK268" s="4"/>
      <c r="BL268" s="4"/>
      <c r="BM268" s="4"/>
      <c r="BN268" s="4"/>
    </row>
    <row r="269" ht="13.5" customHeight="1" spans="1:66" x14ac:dyDescent="0.25">
      <c r="A269" s="4"/>
      <c r="B269" s="4"/>
      <c r="C269" s="533"/>
      <c r="D269" s="4"/>
      <c r="E269" s="4"/>
      <c r="F269" s="4"/>
      <c r="G269" s="4"/>
      <c r="H269" s="4"/>
      <c r="I269" s="4"/>
      <c r="J269" s="4"/>
      <c r="K269" s="4"/>
      <c r="L269" s="4"/>
      <c r="M269" s="4"/>
      <c r="N269" s="4"/>
      <c r="O269" s="4"/>
      <c r="P269" s="4"/>
      <c r="Q269" s="4"/>
      <c r="R269" s="4"/>
      <c r="S269" s="4"/>
      <c r="T269" s="4"/>
      <c r="U269" s="4"/>
      <c r="V269" s="4"/>
      <c r="W269" s="4"/>
      <c r="X269" s="4"/>
      <c r="Y269" s="4"/>
      <c r="Z269" s="4"/>
      <c r="AA269" s="4"/>
      <c r="AB269" s="4"/>
      <c r="AC269" s="4"/>
      <c r="AD269" s="4"/>
      <c r="AE269" s="4"/>
      <c r="AF269" s="4"/>
      <c r="AG269" s="4"/>
      <c r="AH269" s="4"/>
      <c r="AI269" s="4"/>
      <c r="AJ269" s="4"/>
      <c r="AK269" s="4"/>
      <c r="AL269" s="4"/>
      <c r="AM269" s="4"/>
      <c r="AN269" s="4"/>
      <c r="AO269" s="4"/>
      <c r="AP269" s="4"/>
      <c r="AQ269" s="4"/>
      <c r="AR269" s="4"/>
      <c r="AS269" s="4"/>
      <c r="AT269" s="4"/>
      <c r="AU269" s="4"/>
      <c r="AV269" s="4"/>
      <c r="AW269" s="4"/>
      <c r="AX269" s="4"/>
      <c r="AY269" s="4"/>
      <c r="AZ269" s="4"/>
      <c r="BA269" s="4"/>
      <c r="BB269" s="4"/>
      <c r="BC269" s="4"/>
      <c r="BD269" s="4"/>
      <c r="BE269" s="4"/>
      <c r="BF269" s="4"/>
      <c r="BG269" s="4"/>
      <c r="BH269" s="4"/>
      <c r="BI269" s="4"/>
      <c r="BJ269" s="4"/>
      <c r="BK269" s="4"/>
      <c r="BL269" s="4"/>
      <c r="BM269" s="4"/>
      <c r="BN269" s="4"/>
    </row>
    <row r="270" ht="13.5" customHeight="1" spans="1:66" x14ac:dyDescent="0.25">
      <c r="A270" s="4"/>
      <c r="B270" s="4"/>
      <c r="C270" s="533"/>
      <c r="D270" s="4"/>
      <c r="E270" s="4"/>
      <c r="F270" s="4"/>
      <c r="G270" s="4"/>
      <c r="H270" s="4"/>
      <c r="I270" s="4"/>
      <c r="J270" s="4"/>
      <c r="K270" s="4"/>
      <c r="L270" s="4"/>
      <c r="M270" s="4"/>
      <c r="N270" s="4"/>
      <c r="O270" s="4"/>
      <c r="P270" s="4"/>
      <c r="Q270" s="4"/>
      <c r="R270" s="4"/>
      <c r="S270" s="4"/>
      <c r="T270" s="4"/>
      <c r="U270" s="4"/>
      <c r="V270" s="4"/>
      <c r="W270" s="4"/>
      <c r="X270" s="4"/>
      <c r="Y270" s="4"/>
      <c r="Z270" s="4"/>
      <c r="AA270" s="4"/>
      <c r="AB270" s="4"/>
      <c r="AC270" s="4"/>
      <c r="AD270" s="4"/>
      <c r="AE270" s="4"/>
      <c r="AF270" s="4"/>
      <c r="AG270" s="4"/>
      <c r="AH270" s="4"/>
      <c r="AI270" s="4"/>
      <c r="AJ270" s="4"/>
      <c r="AK270" s="4"/>
      <c r="AL270" s="4"/>
      <c r="AM270" s="4"/>
      <c r="AN270" s="4"/>
      <c r="AO270" s="4"/>
      <c r="AP270" s="4"/>
      <c r="AQ270" s="4"/>
      <c r="AR270" s="4"/>
      <c r="AS270" s="4"/>
      <c r="AT270" s="4"/>
      <c r="AU270" s="4"/>
      <c r="AV270" s="4"/>
      <c r="AW270" s="4"/>
      <c r="AX270" s="4"/>
      <c r="AY270" s="4"/>
      <c r="AZ270" s="4"/>
      <c r="BA270" s="4"/>
      <c r="BB270" s="4"/>
      <c r="BC270" s="4"/>
      <c r="BD270" s="4"/>
      <c r="BE270" s="4"/>
      <c r="BF270" s="4"/>
      <c r="BG270" s="4"/>
      <c r="BH270" s="4"/>
      <c r="BI270" s="4"/>
      <c r="BJ270" s="4"/>
      <c r="BK270" s="4"/>
      <c r="BL270" s="4"/>
      <c r="BM270" s="4"/>
      <c r="BN270" s="4"/>
    </row>
    <row r="271" ht="13.5" customHeight="1" spans="1:66" x14ac:dyDescent="0.25">
      <c r="A271" s="4"/>
      <c r="B271" s="4"/>
      <c r="C271" s="533"/>
      <c r="D271" s="4"/>
      <c r="E271" s="4"/>
      <c r="F271" s="4"/>
      <c r="G271" s="4"/>
      <c r="H271" s="4"/>
      <c r="I271" s="4"/>
      <c r="J271" s="4"/>
      <c r="K271" s="4"/>
      <c r="L271" s="4"/>
      <c r="M271" s="4"/>
      <c r="N271" s="4"/>
      <c r="O271" s="4"/>
      <c r="P271" s="4"/>
      <c r="Q271" s="4"/>
      <c r="R271" s="4"/>
      <c r="S271" s="4"/>
      <c r="T271" s="4"/>
      <c r="U271" s="4"/>
      <c r="V271" s="4"/>
      <c r="W271" s="4"/>
      <c r="X271" s="4"/>
      <c r="Y271" s="4"/>
      <c r="Z271" s="4"/>
      <c r="AA271" s="4"/>
      <c r="AB271" s="4"/>
      <c r="AC271" s="4"/>
      <c r="AD271" s="4"/>
      <c r="AE271" s="4"/>
      <c r="AF271" s="4"/>
      <c r="AG271" s="4"/>
      <c r="AH271" s="4"/>
      <c r="AI271" s="4"/>
      <c r="AJ271" s="4"/>
      <c r="AK271" s="4"/>
      <c r="AL271" s="4"/>
      <c r="AM271" s="4"/>
      <c r="AN271" s="4"/>
      <c r="AO271" s="4"/>
      <c r="AP271" s="4"/>
      <c r="AQ271" s="4"/>
      <c r="AR271" s="4"/>
      <c r="AS271" s="4"/>
      <c r="AT271" s="4"/>
      <c r="AU271" s="4"/>
      <c r="AV271" s="4"/>
      <c r="AW271" s="4"/>
      <c r="AX271" s="4"/>
      <c r="AY271" s="4"/>
      <c r="AZ271" s="4"/>
      <c r="BA271" s="4"/>
      <c r="BB271" s="4"/>
      <c r="BC271" s="4"/>
      <c r="BD271" s="4"/>
      <c r="BE271" s="4"/>
      <c r="BF271" s="4"/>
      <c r="BG271" s="4"/>
      <c r="BH271" s="4"/>
      <c r="BI271" s="4"/>
      <c r="BJ271" s="4"/>
      <c r="BK271" s="4"/>
      <c r="BL271" s="4"/>
      <c r="BM271" s="4"/>
      <c r="BN271" s="4"/>
    </row>
    <row r="272" ht="13.5" customHeight="1" spans="1:66" x14ac:dyDescent="0.25">
      <c r="A272" s="4"/>
      <c r="B272" s="4"/>
      <c r="C272" s="533"/>
      <c r="D272" s="4"/>
      <c r="E272" s="4"/>
      <c r="F272" s="4"/>
      <c r="G272" s="4"/>
      <c r="H272" s="4"/>
      <c r="I272" s="4"/>
      <c r="J272" s="4"/>
      <c r="K272" s="4"/>
      <c r="L272" s="4"/>
      <c r="M272" s="4"/>
      <c r="N272" s="4"/>
      <c r="O272" s="4"/>
      <c r="P272" s="4"/>
      <c r="Q272" s="4"/>
      <c r="R272" s="4"/>
      <c r="S272" s="4"/>
      <c r="T272" s="4"/>
      <c r="U272" s="4"/>
      <c r="V272" s="4"/>
      <c r="W272" s="4"/>
      <c r="X272" s="4"/>
      <c r="Y272" s="4"/>
      <c r="Z272" s="4"/>
      <c r="AA272" s="4"/>
      <c r="AB272" s="4"/>
      <c r="AC272" s="4"/>
      <c r="AD272" s="4"/>
      <c r="AE272" s="4"/>
      <c r="AF272" s="4"/>
      <c r="AG272" s="4"/>
      <c r="AH272" s="4"/>
      <c r="AI272" s="4"/>
      <c r="AJ272" s="4"/>
      <c r="AK272" s="4"/>
      <c r="AL272" s="4"/>
      <c r="AM272" s="4"/>
      <c r="AN272" s="4"/>
      <c r="AO272" s="4"/>
      <c r="AP272" s="4"/>
      <c r="AQ272" s="4"/>
      <c r="AR272" s="4"/>
      <c r="AS272" s="4"/>
      <c r="AT272" s="4"/>
      <c r="AU272" s="4"/>
      <c r="AV272" s="4"/>
      <c r="AW272" s="4"/>
      <c r="AX272" s="4"/>
      <c r="AY272" s="4"/>
      <c r="AZ272" s="4"/>
      <c r="BA272" s="4"/>
      <c r="BB272" s="4"/>
      <c r="BC272" s="4"/>
      <c r="BD272" s="4"/>
      <c r="BE272" s="4"/>
      <c r="BF272" s="4"/>
      <c r="BG272" s="4"/>
      <c r="BH272" s="4"/>
      <c r="BI272" s="4"/>
      <c r="BJ272" s="4"/>
      <c r="BK272" s="4"/>
      <c r="BL272" s="4"/>
      <c r="BM272" s="4"/>
      <c r="BN272" s="4"/>
    </row>
    <row r="273" ht="13.5" customHeight="1" spans="1:66" x14ac:dyDescent="0.25">
      <c r="A273" s="4"/>
      <c r="B273" s="4"/>
      <c r="C273" s="533"/>
      <c r="D273" s="4"/>
      <c r="E273" s="4"/>
      <c r="F273" s="4"/>
      <c r="G273" s="4"/>
      <c r="H273" s="4"/>
      <c r="I273" s="4"/>
      <c r="J273" s="4"/>
      <c r="K273" s="4"/>
      <c r="L273" s="4"/>
      <c r="M273" s="4"/>
      <c r="N273" s="4"/>
      <c r="O273" s="4"/>
      <c r="P273" s="4"/>
      <c r="Q273" s="4"/>
      <c r="R273" s="4"/>
      <c r="S273" s="4"/>
      <c r="T273" s="4"/>
      <c r="U273" s="4"/>
      <c r="V273" s="4"/>
      <c r="W273" s="4"/>
      <c r="X273" s="4"/>
      <c r="Y273" s="4"/>
      <c r="Z273" s="4"/>
      <c r="AA273" s="4"/>
      <c r="AB273" s="4"/>
      <c r="AC273" s="4"/>
      <c r="AD273" s="4"/>
      <c r="AE273" s="4"/>
      <c r="AF273" s="4"/>
      <c r="AG273" s="4"/>
      <c r="AH273" s="4"/>
      <c r="AI273" s="4"/>
      <c r="AJ273" s="4"/>
      <c r="AK273" s="4"/>
      <c r="AL273" s="4"/>
      <c r="AM273" s="4"/>
      <c r="AN273" s="4"/>
      <c r="AO273" s="4"/>
      <c r="AP273" s="4"/>
      <c r="AQ273" s="4"/>
      <c r="AR273" s="4"/>
      <c r="AS273" s="4"/>
      <c r="AT273" s="4"/>
      <c r="AU273" s="4"/>
      <c r="AV273" s="4"/>
      <c r="AW273" s="4"/>
      <c r="AX273" s="4"/>
      <c r="AY273" s="4"/>
      <c r="AZ273" s="4"/>
      <c r="BA273" s="4"/>
      <c r="BB273" s="4"/>
      <c r="BC273" s="4"/>
      <c r="BD273" s="4"/>
      <c r="BE273" s="4"/>
      <c r="BF273" s="4"/>
      <c r="BG273" s="4"/>
      <c r="BH273" s="4"/>
      <c r="BI273" s="4"/>
      <c r="BJ273" s="4"/>
      <c r="BK273" s="4"/>
      <c r="BL273" s="4"/>
      <c r="BM273" s="4"/>
      <c r="BN273" s="4"/>
    </row>
    <row r="274" ht="13.5" customHeight="1" spans="1:66" x14ac:dyDescent="0.25">
      <c r="A274" s="4"/>
      <c r="B274" s="4"/>
      <c r="C274" s="533"/>
      <c r="D274" s="4"/>
      <c r="E274" s="4"/>
      <c r="F274" s="4"/>
      <c r="G274" s="4"/>
      <c r="H274" s="4"/>
      <c r="I274" s="4"/>
      <c r="J274" s="4"/>
      <c r="K274" s="4"/>
      <c r="L274" s="4"/>
      <c r="M274" s="4"/>
      <c r="N274" s="4"/>
      <c r="O274" s="4"/>
      <c r="P274" s="4"/>
      <c r="Q274" s="4"/>
      <c r="R274" s="4"/>
      <c r="S274" s="4"/>
      <c r="T274" s="4"/>
      <c r="U274" s="4"/>
      <c r="V274" s="4"/>
      <c r="W274" s="4"/>
      <c r="X274" s="4"/>
      <c r="Y274" s="4"/>
      <c r="Z274" s="4"/>
      <c r="AA274" s="4"/>
      <c r="AB274" s="4"/>
      <c r="AC274" s="4"/>
      <c r="AD274" s="4"/>
      <c r="AE274" s="4"/>
      <c r="AF274" s="4"/>
      <c r="AG274" s="4"/>
      <c r="AH274" s="4"/>
      <c r="AI274" s="4"/>
      <c r="AJ274" s="4"/>
      <c r="AK274" s="4"/>
      <c r="AL274" s="4"/>
      <c r="AM274" s="4"/>
      <c r="AN274" s="4"/>
      <c r="AO274" s="4"/>
      <c r="AP274" s="4"/>
      <c r="AQ274" s="4"/>
      <c r="AR274" s="4"/>
      <c r="AS274" s="4"/>
      <c r="AT274" s="4"/>
      <c r="AU274" s="4"/>
      <c r="AV274" s="4"/>
      <c r="AW274" s="4"/>
      <c r="AX274" s="4"/>
      <c r="AY274" s="4"/>
      <c r="AZ274" s="4"/>
      <c r="BA274" s="4"/>
      <c r="BB274" s="4"/>
      <c r="BC274" s="4"/>
      <c r="BD274" s="4"/>
      <c r="BE274" s="4"/>
      <c r="BF274" s="4"/>
      <c r="BG274" s="4"/>
      <c r="BH274" s="4"/>
      <c r="BI274" s="4"/>
      <c r="BJ274" s="4"/>
      <c r="BK274" s="4"/>
      <c r="BL274" s="4"/>
      <c r="BM274" s="4"/>
      <c r="BN274" s="4"/>
    </row>
    <row r="275" ht="13.5" customHeight="1" spans="1:66" x14ac:dyDescent="0.25">
      <c r="A275" s="4"/>
      <c r="B275" s="4"/>
      <c r="C275" s="533"/>
      <c r="D275" s="4"/>
      <c r="E275" s="4"/>
      <c r="F275" s="4"/>
      <c r="G275" s="4"/>
      <c r="H275" s="4"/>
      <c r="I275" s="4"/>
      <c r="J275" s="4"/>
      <c r="K275" s="4"/>
      <c r="L275" s="4"/>
      <c r="M275" s="4"/>
      <c r="N275" s="4"/>
      <c r="O275" s="4"/>
      <c r="P275" s="4"/>
      <c r="Q275" s="4"/>
      <c r="R275" s="4"/>
      <c r="S275" s="4"/>
      <c r="T275" s="4"/>
      <c r="U275" s="4"/>
      <c r="V275" s="4"/>
      <c r="W275" s="4"/>
      <c r="X275" s="4"/>
      <c r="Y275" s="4"/>
      <c r="Z275" s="4"/>
      <c r="AA275" s="4"/>
      <c r="AB275" s="4"/>
      <c r="AC275" s="4"/>
      <c r="AD275" s="4"/>
      <c r="AE275" s="4"/>
      <c r="AF275" s="4"/>
      <c r="AG275" s="4"/>
      <c r="AH275" s="4"/>
      <c r="AI275" s="4"/>
      <c r="AJ275" s="4"/>
      <c r="AK275" s="4"/>
      <c r="AL275" s="4"/>
      <c r="AM275" s="4"/>
      <c r="AN275" s="4"/>
      <c r="AO275" s="4"/>
      <c r="AP275" s="4"/>
      <c r="AQ275" s="4"/>
      <c r="AR275" s="4"/>
      <c r="AS275" s="4"/>
      <c r="AT275" s="4"/>
      <c r="AU275" s="4"/>
      <c r="AV275" s="4"/>
      <c r="AW275" s="4"/>
      <c r="AX275" s="4"/>
      <c r="AY275" s="4"/>
      <c r="AZ275" s="4"/>
      <c r="BA275" s="4"/>
      <c r="BB275" s="4"/>
      <c r="BC275" s="4"/>
      <c r="BD275" s="4"/>
      <c r="BE275" s="4"/>
      <c r="BF275" s="4"/>
      <c r="BG275" s="4"/>
      <c r="BH275" s="4"/>
      <c r="BI275" s="4"/>
      <c r="BJ275" s="4"/>
      <c r="BK275" s="4"/>
      <c r="BL275" s="4"/>
      <c r="BM275" s="4"/>
      <c r="BN275" s="4"/>
    </row>
    <row r="276" ht="13.5" customHeight="1" spans="1:66" x14ac:dyDescent="0.25">
      <c r="A276" s="4"/>
      <c r="B276" s="4"/>
      <c r="C276" s="533"/>
      <c r="D276" s="4"/>
      <c r="E276" s="4"/>
      <c r="F276" s="4"/>
      <c r="G276" s="4"/>
      <c r="H276" s="4"/>
      <c r="I276" s="4"/>
      <c r="J276" s="4"/>
      <c r="K276" s="4"/>
      <c r="L276" s="4"/>
      <c r="M276" s="4"/>
      <c r="N276" s="4"/>
      <c r="O276" s="4"/>
      <c r="P276" s="4"/>
      <c r="Q276" s="4"/>
      <c r="R276" s="4"/>
      <c r="S276" s="4"/>
      <c r="T276" s="4"/>
      <c r="U276" s="4"/>
      <c r="V276" s="4"/>
      <c r="W276" s="4"/>
      <c r="X276" s="4"/>
      <c r="Y276" s="4"/>
      <c r="Z276" s="4"/>
      <c r="AA276" s="4"/>
      <c r="AB276" s="4"/>
      <c r="AC276" s="4"/>
      <c r="AD276" s="4"/>
      <c r="AE276" s="4"/>
      <c r="AF276" s="4"/>
      <c r="AG276" s="4"/>
      <c r="AH276" s="4"/>
      <c r="AI276" s="4"/>
      <c r="AJ276" s="4"/>
      <c r="AK276" s="4"/>
      <c r="AL276" s="4"/>
      <c r="AM276" s="4"/>
      <c r="AN276" s="4"/>
      <c r="AO276" s="4"/>
      <c r="AP276" s="4"/>
      <c r="AQ276" s="4"/>
      <c r="AR276" s="4"/>
      <c r="AS276" s="4"/>
      <c r="AT276" s="4"/>
      <c r="AU276" s="4"/>
      <c r="AV276" s="4"/>
      <c r="AW276" s="4"/>
      <c r="AX276" s="4"/>
      <c r="AY276" s="4"/>
      <c r="AZ276" s="4"/>
      <c r="BA276" s="4"/>
      <c r="BB276" s="4"/>
      <c r="BC276" s="4"/>
      <c r="BD276" s="4"/>
      <c r="BE276" s="4"/>
      <c r="BF276" s="4"/>
      <c r="BG276" s="4"/>
      <c r="BH276" s="4"/>
      <c r="BI276" s="4"/>
      <c r="BJ276" s="4"/>
      <c r="BK276" s="4"/>
      <c r="BL276" s="4"/>
      <c r="BM276" s="4"/>
      <c r="BN276" s="4"/>
    </row>
    <row r="277" ht="13.5" customHeight="1" spans="1:66" x14ac:dyDescent="0.25">
      <c r="A277" s="4"/>
      <c r="B277" s="4"/>
      <c r="C277" s="533"/>
      <c r="D277" s="4"/>
      <c r="E277" s="4"/>
      <c r="F277" s="4"/>
      <c r="G277" s="4"/>
      <c r="H277" s="4"/>
      <c r="I277" s="4"/>
      <c r="J277" s="4"/>
      <c r="K277" s="4"/>
      <c r="L277" s="4"/>
      <c r="M277" s="4"/>
      <c r="N277" s="4"/>
      <c r="O277" s="4"/>
      <c r="P277" s="4"/>
      <c r="Q277" s="4"/>
      <c r="R277" s="4"/>
      <c r="S277" s="4"/>
      <c r="T277" s="4"/>
      <c r="U277" s="4"/>
      <c r="V277" s="4"/>
      <c r="W277" s="4"/>
      <c r="X277" s="4"/>
      <c r="Y277" s="4"/>
      <c r="Z277" s="4"/>
      <c r="AA277" s="4"/>
      <c r="AB277" s="4"/>
      <c r="AC277" s="4"/>
      <c r="AD277" s="4"/>
      <c r="AE277" s="4"/>
      <c r="AF277" s="4"/>
      <c r="AG277" s="4"/>
      <c r="AH277" s="4"/>
      <c r="AI277" s="4"/>
      <c r="AJ277" s="4"/>
      <c r="AK277" s="4"/>
      <c r="AL277" s="4"/>
      <c r="AM277" s="4"/>
      <c r="AN277" s="4"/>
      <c r="AO277" s="4"/>
      <c r="AP277" s="4"/>
      <c r="AQ277" s="4"/>
      <c r="AR277" s="4"/>
      <c r="AS277" s="4"/>
      <c r="AT277" s="4"/>
      <c r="AU277" s="4"/>
      <c r="AV277" s="4"/>
      <c r="AW277" s="4"/>
      <c r="AX277" s="4"/>
      <c r="AY277" s="4"/>
      <c r="AZ277" s="4"/>
      <c r="BA277" s="4"/>
      <c r="BB277" s="4"/>
      <c r="BC277" s="4"/>
      <c r="BD277" s="4"/>
      <c r="BE277" s="4"/>
      <c r="BF277" s="4"/>
      <c r="BG277" s="4"/>
      <c r="BH277" s="4"/>
      <c r="BI277" s="4"/>
      <c r="BJ277" s="4"/>
      <c r="BK277" s="4"/>
      <c r="BL277" s="4"/>
      <c r="BM277" s="4"/>
      <c r="BN277" s="4"/>
    </row>
    <row r="278" ht="13.5" customHeight="1" spans="1:66" x14ac:dyDescent="0.25">
      <c r="A278" s="4"/>
      <c r="B278" s="4"/>
      <c r="C278" s="533"/>
      <c r="D278" s="4"/>
      <c r="E278" s="4"/>
      <c r="F278" s="4"/>
      <c r="G278" s="4"/>
      <c r="H278" s="4"/>
      <c r="I278" s="4"/>
      <c r="J278" s="4"/>
      <c r="K278" s="4"/>
      <c r="L278" s="4"/>
      <c r="M278" s="4"/>
      <c r="N278" s="4"/>
      <c r="O278" s="4"/>
      <c r="P278" s="4"/>
      <c r="Q278" s="4"/>
      <c r="R278" s="4"/>
      <c r="S278" s="4"/>
      <c r="T278" s="4"/>
      <c r="U278" s="4"/>
      <c r="V278" s="4"/>
      <c r="W278" s="4"/>
      <c r="X278" s="4"/>
      <c r="Y278" s="4"/>
      <c r="Z278" s="4"/>
      <c r="AA278" s="4"/>
      <c r="AB278" s="4"/>
      <c r="AC278" s="4"/>
      <c r="AD278" s="4"/>
      <c r="AE278" s="4"/>
      <c r="AF278" s="4"/>
      <c r="AG278" s="4"/>
      <c r="AH278" s="4"/>
      <c r="AI278" s="4"/>
      <c r="AJ278" s="4"/>
      <c r="AK278" s="4"/>
      <c r="AL278" s="4"/>
      <c r="AM278" s="4"/>
      <c r="AN278" s="4"/>
      <c r="AO278" s="4"/>
      <c r="AP278" s="4"/>
      <c r="AQ278" s="4"/>
      <c r="AR278" s="4"/>
      <c r="AS278" s="4"/>
      <c r="AT278" s="4"/>
      <c r="AU278" s="4"/>
      <c r="AV278" s="4"/>
      <c r="AW278" s="4"/>
      <c r="AX278" s="4"/>
      <c r="AY278" s="4"/>
      <c r="AZ278" s="4"/>
      <c r="BA278" s="4"/>
      <c r="BB278" s="4"/>
      <c r="BC278" s="4"/>
      <c r="BD278" s="4"/>
      <c r="BE278" s="4"/>
      <c r="BF278" s="4"/>
      <c r="BG278" s="4"/>
      <c r="BH278" s="4"/>
      <c r="BI278" s="4"/>
      <c r="BJ278" s="4"/>
      <c r="BK278" s="4"/>
      <c r="BL278" s="4"/>
      <c r="BM278" s="4"/>
      <c r="BN278" s="4"/>
    </row>
    <row r="279" ht="13.5" customHeight="1" spans="1:66" x14ac:dyDescent="0.25">
      <c r="A279" s="4"/>
      <c r="B279" s="4"/>
      <c r="C279" s="533"/>
      <c r="D279" s="4"/>
      <c r="E279" s="4"/>
      <c r="F279" s="4"/>
      <c r="G279" s="4"/>
      <c r="H279" s="4"/>
      <c r="I279" s="4"/>
      <c r="J279" s="4"/>
      <c r="K279" s="4"/>
      <c r="L279" s="4"/>
      <c r="M279" s="4"/>
      <c r="N279" s="4"/>
      <c r="O279" s="4"/>
      <c r="P279" s="4"/>
      <c r="Q279" s="4"/>
      <c r="R279" s="4"/>
      <c r="S279" s="4"/>
      <c r="T279" s="4"/>
      <c r="U279" s="4"/>
      <c r="V279" s="4"/>
      <c r="W279" s="4"/>
      <c r="X279" s="4"/>
      <c r="Y279" s="4"/>
      <c r="Z279" s="4"/>
      <c r="AA279" s="4"/>
      <c r="AB279" s="4"/>
      <c r="AC279" s="4"/>
      <c r="AD279" s="4"/>
      <c r="AE279" s="4"/>
      <c r="AF279" s="4"/>
      <c r="AG279" s="4"/>
      <c r="AH279" s="4"/>
      <c r="AI279" s="4"/>
      <c r="AJ279" s="4"/>
      <c r="AK279" s="4"/>
      <c r="AL279" s="4"/>
      <c r="AM279" s="4"/>
      <c r="AN279" s="4"/>
      <c r="AO279" s="4"/>
      <c r="AP279" s="4"/>
      <c r="AQ279" s="4"/>
      <c r="AR279" s="4"/>
      <c r="AS279" s="4"/>
      <c r="AT279" s="4"/>
      <c r="AU279" s="4"/>
      <c r="AV279" s="4"/>
      <c r="AW279" s="4"/>
      <c r="AX279" s="4"/>
      <c r="AY279" s="4"/>
      <c r="AZ279" s="4"/>
      <c r="BA279" s="4"/>
      <c r="BB279" s="4"/>
      <c r="BC279" s="4"/>
      <c r="BD279" s="4"/>
      <c r="BE279" s="4"/>
      <c r="BF279" s="4"/>
      <c r="BG279" s="4"/>
      <c r="BH279" s="4"/>
      <c r="BI279" s="4"/>
      <c r="BJ279" s="4"/>
      <c r="BK279" s="4"/>
      <c r="BL279" s="4"/>
      <c r="BM279" s="4"/>
      <c r="BN279" s="4"/>
    </row>
    <row r="280" ht="13.5" customHeight="1" spans="1:66" x14ac:dyDescent="0.25">
      <c r="A280" s="4"/>
      <c r="B280" s="4"/>
      <c r="C280" s="533"/>
      <c r="D280" s="4"/>
      <c r="E280" s="4"/>
      <c r="F280" s="4"/>
      <c r="G280" s="4"/>
      <c r="H280" s="4"/>
      <c r="I280" s="4"/>
      <c r="J280" s="4"/>
      <c r="K280" s="4"/>
      <c r="L280" s="4"/>
      <c r="M280" s="4"/>
      <c r="N280" s="4"/>
      <c r="O280" s="4"/>
      <c r="P280" s="4"/>
      <c r="Q280" s="4"/>
      <c r="R280" s="4"/>
      <c r="S280" s="4"/>
      <c r="T280" s="4"/>
      <c r="U280" s="4"/>
      <c r="V280" s="4"/>
      <c r="W280" s="4"/>
      <c r="X280" s="4"/>
      <c r="Y280" s="4"/>
      <c r="Z280" s="4"/>
      <c r="AA280" s="4"/>
      <c r="AB280" s="4"/>
      <c r="AC280" s="4"/>
      <c r="AD280" s="4"/>
      <c r="AE280" s="4"/>
      <c r="AF280" s="4"/>
      <c r="AG280" s="4"/>
      <c r="AH280" s="4"/>
      <c r="AI280" s="4"/>
      <c r="AJ280" s="4"/>
      <c r="AK280" s="4"/>
      <c r="AL280" s="4"/>
      <c r="AM280" s="4"/>
      <c r="AN280" s="4"/>
      <c r="AO280" s="4"/>
      <c r="AP280" s="4"/>
      <c r="AQ280" s="4"/>
      <c r="AR280" s="4"/>
      <c r="AS280" s="4"/>
      <c r="AT280" s="4"/>
      <c r="AU280" s="4"/>
      <c r="AV280" s="4"/>
      <c r="AW280" s="4"/>
      <c r="AX280" s="4"/>
      <c r="AY280" s="4"/>
      <c r="AZ280" s="4"/>
      <c r="BA280" s="4"/>
      <c r="BB280" s="4"/>
      <c r="BC280" s="4"/>
      <c r="BD280" s="4"/>
      <c r="BE280" s="4"/>
      <c r="BF280" s="4"/>
      <c r="BG280" s="4"/>
      <c r="BH280" s="4"/>
      <c r="BI280" s="4"/>
      <c r="BJ280" s="4"/>
      <c r="BK280" s="4"/>
      <c r="BL280" s="4"/>
      <c r="BM280" s="4"/>
      <c r="BN280" s="4"/>
    </row>
    <row r="281" ht="13.5" customHeight="1" spans="1:66" x14ac:dyDescent="0.25">
      <c r="A281" s="4"/>
      <c r="B281" s="4"/>
      <c r="C281" s="533"/>
      <c r="D281" s="4"/>
      <c r="E281" s="4"/>
      <c r="F281" s="4"/>
      <c r="G281" s="4"/>
      <c r="H281" s="4"/>
      <c r="I281" s="4"/>
      <c r="J281" s="4"/>
      <c r="K281" s="4"/>
      <c r="L281" s="4"/>
      <c r="M281" s="4"/>
      <c r="N281" s="4"/>
      <c r="O281" s="4"/>
      <c r="P281" s="4"/>
      <c r="Q281" s="4"/>
      <c r="R281" s="4"/>
      <c r="S281" s="4"/>
      <c r="T281" s="4"/>
      <c r="U281" s="4"/>
      <c r="V281" s="4"/>
      <c r="W281" s="4"/>
      <c r="X281" s="4"/>
      <c r="Y281" s="4"/>
      <c r="Z281" s="4"/>
      <c r="AA281" s="4"/>
      <c r="AB281" s="4"/>
      <c r="AC281" s="4"/>
      <c r="AD281" s="4"/>
      <c r="AE281" s="4"/>
      <c r="AF281" s="4"/>
      <c r="AG281" s="4"/>
      <c r="AH281" s="4"/>
      <c r="AI281" s="4"/>
      <c r="AJ281" s="4"/>
      <c r="AK281" s="4"/>
      <c r="AL281" s="4"/>
      <c r="AM281" s="4"/>
      <c r="AN281" s="4"/>
      <c r="AO281" s="4"/>
      <c r="AP281" s="4"/>
      <c r="AQ281" s="4"/>
      <c r="AR281" s="4"/>
      <c r="AS281" s="4"/>
      <c r="AT281" s="4"/>
      <c r="AU281" s="4"/>
      <c r="AV281" s="4"/>
      <c r="AW281" s="4"/>
      <c r="AX281" s="4"/>
      <c r="AY281" s="4"/>
      <c r="AZ281" s="4"/>
      <c r="BA281" s="4"/>
      <c r="BB281" s="4"/>
      <c r="BC281" s="4"/>
      <c r="BD281" s="4"/>
      <c r="BE281" s="4"/>
      <c r="BF281" s="4"/>
      <c r="BG281" s="4"/>
      <c r="BH281" s="4"/>
      <c r="BI281" s="4"/>
      <c r="BJ281" s="4"/>
      <c r="BK281" s="4"/>
      <c r="BL281" s="4"/>
      <c r="BM281" s="4"/>
      <c r="BN281" s="4"/>
    </row>
    <row r="282" ht="13.5" customHeight="1" spans="1:66" x14ac:dyDescent="0.25">
      <c r="A282" s="4"/>
      <c r="B282" s="4"/>
      <c r="C282" s="533"/>
      <c r="D282" s="4"/>
      <c r="E282" s="4"/>
      <c r="F282" s="4"/>
      <c r="G282" s="4"/>
      <c r="H282" s="4"/>
      <c r="I282" s="4"/>
      <c r="J282" s="4"/>
      <c r="K282" s="4"/>
      <c r="L282" s="4"/>
      <c r="M282" s="4"/>
      <c r="N282" s="4"/>
      <c r="O282" s="4"/>
      <c r="P282" s="4"/>
      <c r="Q282" s="4"/>
      <c r="R282" s="4"/>
      <c r="S282" s="4"/>
      <c r="T282" s="4"/>
      <c r="U282" s="4"/>
      <c r="V282" s="4"/>
      <c r="W282" s="4"/>
      <c r="X282" s="4"/>
      <c r="Y282" s="4"/>
      <c r="Z282" s="4"/>
      <c r="AA282" s="4"/>
      <c r="AB282" s="4"/>
      <c r="AC282" s="4"/>
      <c r="AD282" s="4"/>
      <c r="AE282" s="4"/>
      <c r="AF282" s="4"/>
      <c r="AG282" s="4"/>
      <c r="AH282" s="4"/>
      <c r="AI282" s="4"/>
      <c r="AJ282" s="4"/>
      <c r="AK282" s="4"/>
      <c r="AL282" s="4"/>
      <c r="AM282" s="4"/>
      <c r="AN282" s="4"/>
      <c r="AO282" s="4"/>
      <c r="AP282" s="4"/>
      <c r="AQ282" s="4"/>
      <c r="AR282" s="4"/>
      <c r="AS282" s="4"/>
      <c r="AT282" s="4"/>
      <c r="AU282" s="4"/>
      <c r="AV282" s="4"/>
      <c r="AW282" s="4"/>
      <c r="AX282" s="4"/>
      <c r="AY282" s="4"/>
      <c r="AZ282" s="4"/>
      <c r="BA282" s="4"/>
      <c r="BB282" s="4"/>
      <c r="BC282" s="4"/>
      <c r="BD282" s="4"/>
      <c r="BE282" s="4"/>
      <c r="BF282" s="4"/>
      <c r="BG282" s="4"/>
      <c r="BH282" s="4"/>
      <c r="BI282" s="4"/>
      <c r="BJ282" s="4"/>
      <c r="BK282" s="4"/>
      <c r="BL282" s="4"/>
      <c r="BM282" s="4"/>
      <c r="BN282" s="4"/>
    </row>
    <row r="283" ht="13.5" customHeight="1" spans="1:66" x14ac:dyDescent="0.25">
      <c r="A283" s="4"/>
      <c r="B283" s="4"/>
      <c r="C283" s="533"/>
      <c r="D283" s="4"/>
      <c r="E283" s="4"/>
      <c r="F283" s="4"/>
      <c r="G283" s="4"/>
      <c r="H283" s="4"/>
      <c r="I283" s="4"/>
      <c r="J283" s="4"/>
      <c r="K283" s="4"/>
      <c r="L283" s="4"/>
      <c r="M283" s="4"/>
      <c r="N283" s="4"/>
      <c r="O283" s="4"/>
      <c r="P283" s="4"/>
      <c r="Q283" s="4"/>
      <c r="R283" s="4"/>
      <c r="S283" s="4"/>
      <c r="T283" s="4"/>
      <c r="U283" s="4"/>
      <c r="V283" s="4"/>
      <c r="W283" s="4"/>
      <c r="X283" s="4"/>
      <c r="Y283" s="4"/>
      <c r="Z283" s="4"/>
      <c r="AA283" s="4"/>
      <c r="AB283" s="4"/>
      <c r="AC283" s="4"/>
      <c r="AD283" s="4"/>
      <c r="AE283" s="4"/>
      <c r="AF283" s="4"/>
      <c r="AG283" s="4"/>
      <c r="AH283" s="4"/>
      <c r="AI283" s="4"/>
      <c r="AJ283" s="4"/>
      <c r="AK283" s="4"/>
      <c r="AL283" s="4"/>
      <c r="AM283" s="4"/>
      <c r="AN283" s="4"/>
      <c r="AO283" s="4"/>
      <c r="AP283" s="4"/>
      <c r="AQ283" s="4"/>
      <c r="AR283" s="4"/>
      <c r="AS283" s="4"/>
      <c r="AT283" s="4"/>
      <c r="AU283" s="4"/>
      <c r="AV283" s="4"/>
      <c r="AW283" s="4"/>
      <c r="AX283" s="4"/>
      <c r="AY283" s="4"/>
      <c r="AZ283" s="4"/>
      <c r="BA283" s="4"/>
      <c r="BB283" s="4"/>
      <c r="BC283" s="4"/>
      <c r="BD283" s="4"/>
      <c r="BE283" s="4"/>
      <c r="BF283" s="4"/>
      <c r="BG283" s="4"/>
      <c r="BH283" s="4"/>
      <c r="BI283" s="4"/>
      <c r="BJ283" s="4"/>
      <c r="BK283" s="4"/>
      <c r="BL283" s="4"/>
      <c r="BM283" s="4"/>
      <c r="BN283" s="4"/>
    </row>
    <row r="284" ht="13.5" customHeight="1" spans="1:66" x14ac:dyDescent="0.25">
      <c r="A284" s="4"/>
      <c r="B284" s="4"/>
      <c r="C284" s="533"/>
      <c r="D284" s="4"/>
      <c r="E284" s="4"/>
      <c r="F284" s="4"/>
      <c r="G284" s="4"/>
      <c r="H284" s="4"/>
      <c r="I284" s="4"/>
      <c r="J284" s="4"/>
      <c r="K284" s="4"/>
      <c r="L284" s="4"/>
      <c r="M284" s="4"/>
      <c r="N284" s="4"/>
      <c r="O284" s="4"/>
      <c r="P284" s="4"/>
      <c r="Q284" s="4"/>
      <c r="R284" s="4"/>
      <c r="S284" s="4"/>
      <c r="T284" s="4"/>
      <c r="U284" s="4"/>
      <c r="V284" s="4"/>
      <c r="W284" s="4"/>
      <c r="X284" s="4"/>
      <c r="Y284" s="4"/>
      <c r="Z284" s="4"/>
      <c r="AA284" s="4"/>
      <c r="AB284" s="4"/>
      <c r="AC284" s="4"/>
      <c r="AD284" s="4"/>
      <c r="AE284" s="4"/>
      <c r="AF284" s="4"/>
      <c r="AG284" s="4"/>
      <c r="AH284" s="4"/>
      <c r="AI284" s="4"/>
      <c r="AJ284" s="4"/>
      <c r="AK284" s="4"/>
      <c r="AL284" s="4"/>
      <c r="AM284" s="4"/>
      <c r="AN284" s="4"/>
      <c r="AO284" s="4"/>
      <c r="AP284" s="4"/>
      <c r="AQ284" s="4"/>
      <c r="AR284" s="4"/>
      <c r="AS284" s="4"/>
      <c r="AT284" s="4"/>
      <c r="AU284" s="4"/>
      <c r="AV284" s="4"/>
      <c r="AW284" s="4"/>
      <c r="AX284" s="4"/>
      <c r="AY284" s="4"/>
      <c r="AZ284" s="4"/>
      <c r="BA284" s="4"/>
      <c r="BB284" s="4"/>
      <c r="BC284" s="4"/>
      <c r="BD284" s="4"/>
      <c r="BE284" s="4"/>
      <c r="BF284" s="4"/>
      <c r="BG284" s="4"/>
      <c r="BH284" s="4"/>
      <c r="BI284" s="4"/>
      <c r="BJ284" s="4"/>
      <c r="BK284" s="4"/>
      <c r="BL284" s="4"/>
      <c r="BM284" s="4"/>
      <c r="BN284" s="4"/>
    </row>
    <row r="285" ht="13.5" customHeight="1" spans="1:66" x14ac:dyDescent="0.25">
      <c r="A285" s="4"/>
      <c r="B285" s="4"/>
      <c r="C285" s="533"/>
      <c r="D285" s="4"/>
      <c r="E285" s="4"/>
      <c r="F285" s="4"/>
      <c r="G285" s="4"/>
      <c r="H285" s="4"/>
      <c r="I285" s="4"/>
      <c r="J285" s="4"/>
      <c r="K285" s="4"/>
      <c r="L285" s="4"/>
      <c r="M285" s="4"/>
      <c r="N285" s="4"/>
      <c r="O285" s="4"/>
      <c r="P285" s="4"/>
      <c r="Q285" s="4"/>
      <c r="R285" s="4"/>
      <c r="S285" s="4"/>
      <c r="T285" s="4"/>
      <c r="U285" s="4"/>
      <c r="V285" s="4"/>
      <c r="W285" s="4"/>
      <c r="X285" s="4"/>
      <c r="Y285" s="4"/>
      <c r="Z285" s="4"/>
      <c r="AA285" s="4"/>
      <c r="AB285" s="4"/>
      <c r="AC285" s="4"/>
      <c r="AD285" s="4"/>
      <c r="AE285" s="4"/>
      <c r="AF285" s="4"/>
      <c r="AG285" s="4"/>
      <c r="AH285" s="4"/>
      <c r="AI285" s="4"/>
      <c r="AJ285" s="4"/>
      <c r="AK285" s="4"/>
      <c r="AL285" s="4"/>
      <c r="AM285" s="4"/>
      <c r="AN285" s="4"/>
      <c r="AO285" s="4"/>
      <c r="AP285" s="4"/>
      <c r="AQ285" s="4"/>
      <c r="AR285" s="4"/>
      <c r="AS285" s="4"/>
      <c r="AT285" s="4"/>
      <c r="AU285" s="4"/>
      <c r="AV285" s="4"/>
      <c r="AW285" s="4"/>
      <c r="AX285" s="4"/>
      <c r="AY285" s="4"/>
      <c r="AZ285" s="4"/>
      <c r="BA285" s="4"/>
      <c r="BB285" s="4"/>
      <c r="BC285" s="4"/>
      <c r="BD285" s="4"/>
      <c r="BE285" s="4"/>
      <c r="BF285" s="4"/>
      <c r="BG285" s="4"/>
      <c r="BH285" s="4"/>
      <c r="BI285" s="4"/>
      <c r="BJ285" s="4"/>
      <c r="BK285" s="4"/>
      <c r="BL285" s="4"/>
      <c r="BM285" s="4"/>
      <c r="BN285" s="4"/>
    </row>
    <row r="286" ht="13.5" customHeight="1" spans="1:66" x14ac:dyDescent="0.25">
      <c r="A286" s="4"/>
      <c r="B286" s="4"/>
      <c r="C286" s="533"/>
      <c r="D286" s="4"/>
      <c r="E286" s="4"/>
      <c r="F286" s="4"/>
      <c r="G286" s="4"/>
      <c r="H286" s="4"/>
      <c r="I286" s="4"/>
      <c r="J286" s="4"/>
      <c r="K286" s="4"/>
      <c r="L286" s="4"/>
      <c r="M286" s="4"/>
      <c r="N286" s="4"/>
      <c r="O286" s="4"/>
      <c r="P286" s="4"/>
      <c r="Q286" s="4"/>
      <c r="R286" s="4"/>
      <c r="S286" s="4"/>
      <c r="T286" s="4"/>
      <c r="U286" s="4"/>
      <c r="V286" s="4"/>
      <c r="W286" s="4"/>
      <c r="X286" s="4"/>
      <c r="Y286" s="4"/>
      <c r="Z286" s="4"/>
      <c r="AA286" s="4"/>
      <c r="AB286" s="4"/>
      <c r="AC286" s="4"/>
      <c r="AD286" s="4"/>
      <c r="AE286" s="4"/>
      <c r="AF286" s="4"/>
      <c r="AG286" s="4"/>
      <c r="AH286" s="4"/>
      <c r="AI286" s="4"/>
      <c r="AJ286" s="4"/>
      <c r="AK286" s="4"/>
      <c r="AL286" s="4"/>
      <c r="AM286" s="4"/>
      <c r="AN286" s="4"/>
      <c r="AO286" s="4"/>
      <c r="AP286" s="4"/>
      <c r="AQ286" s="4"/>
      <c r="AR286" s="4"/>
      <c r="AS286" s="4"/>
      <c r="AT286" s="4"/>
      <c r="AU286" s="4"/>
      <c r="AV286" s="4"/>
      <c r="AW286" s="4"/>
      <c r="AX286" s="4"/>
      <c r="AY286" s="4"/>
      <c r="AZ286" s="4"/>
      <c r="BA286" s="4"/>
      <c r="BB286" s="4"/>
      <c r="BC286" s="4"/>
      <c r="BD286" s="4"/>
      <c r="BE286" s="4"/>
      <c r="BF286" s="4"/>
      <c r="BG286" s="4"/>
      <c r="BH286" s="4"/>
      <c r="BI286" s="4"/>
      <c r="BJ286" s="4"/>
      <c r="BK286" s="4"/>
      <c r="BL286" s="4"/>
      <c r="BM286" s="4"/>
      <c r="BN286" s="4"/>
    </row>
    <row r="287" ht="13.5" customHeight="1" spans="1:66" x14ac:dyDescent="0.25">
      <c r="A287" s="4"/>
      <c r="B287" s="4"/>
      <c r="C287" s="533"/>
      <c r="D287" s="4"/>
      <c r="E287" s="4"/>
      <c r="F287" s="4"/>
      <c r="G287" s="4"/>
      <c r="H287" s="4"/>
      <c r="I287" s="4"/>
      <c r="J287" s="4"/>
      <c r="K287" s="4"/>
      <c r="L287" s="4"/>
      <c r="M287" s="4"/>
      <c r="N287" s="4"/>
      <c r="O287" s="4"/>
      <c r="P287" s="4"/>
      <c r="Q287" s="4"/>
      <c r="R287" s="4"/>
      <c r="S287" s="4"/>
      <c r="T287" s="4"/>
      <c r="U287" s="4"/>
      <c r="V287" s="4"/>
      <c r="W287" s="4"/>
      <c r="X287" s="4"/>
      <c r="Y287" s="4"/>
      <c r="Z287" s="4"/>
      <c r="AA287" s="4"/>
      <c r="AB287" s="4"/>
      <c r="AC287" s="4"/>
      <c r="AD287" s="4"/>
      <c r="AE287" s="4"/>
      <c r="AF287" s="4"/>
      <c r="AG287" s="4"/>
      <c r="AH287" s="4"/>
      <c r="AI287" s="4"/>
      <c r="AJ287" s="4"/>
      <c r="AK287" s="4"/>
      <c r="AL287" s="4"/>
      <c r="AM287" s="4"/>
      <c r="AN287" s="4"/>
      <c r="AO287" s="4"/>
      <c r="AP287" s="4"/>
      <c r="AQ287" s="4"/>
      <c r="AR287" s="4"/>
      <c r="AS287" s="4"/>
      <c r="AT287" s="4"/>
      <c r="AU287" s="4"/>
      <c r="AV287" s="4"/>
      <c r="AW287" s="4"/>
      <c r="AX287" s="4"/>
      <c r="AY287" s="4"/>
      <c r="AZ287" s="4"/>
      <c r="BA287" s="4"/>
      <c r="BB287" s="4"/>
      <c r="BC287" s="4"/>
      <c r="BD287" s="4"/>
      <c r="BE287" s="4"/>
      <c r="BF287" s="4"/>
      <c r="BG287" s="4"/>
      <c r="BH287" s="4"/>
      <c r="BI287" s="4"/>
      <c r="BJ287" s="4"/>
      <c r="BK287" s="4"/>
      <c r="BL287" s="4"/>
      <c r="BM287" s="4"/>
      <c r="BN287" s="4"/>
    </row>
    <row r="288" ht="13.5" customHeight="1" spans="1:66" x14ac:dyDescent="0.25">
      <c r="A288" s="4"/>
      <c r="B288" s="4"/>
      <c r="C288" s="533"/>
      <c r="D288" s="4"/>
      <c r="E288" s="4"/>
      <c r="F288" s="4"/>
      <c r="G288" s="4"/>
      <c r="H288" s="4"/>
      <c r="I288" s="4"/>
      <c r="J288" s="4"/>
      <c r="K288" s="4"/>
      <c r="L288" s="4"/>
      <c r="M288" s="4"/>
      <c r="N288" s="4"/>
      <c r="O288" s="4"/>
      <c r="P288" s="4"/>
      <c r="Q288" s="4"/>
      <c r="R288" s="4"/>
      <c r="S288" s="4"/>
      <c r="T288" s="4"/>
      <c r="U288" s="4"/>
      <c r="V288" s="4"/>
      <c r="W288" s="4"/>
      <c r="X288" s="4"/>
      <c r="Y288" s="4"/>
      <c r="Z288" s="4"/>
      <c r="AA288" s="4"/>
      <c r="AB288" s="4"/>
      <c r="AC288" s="4"/>
      <c r="AD288" s="4"/>
      <c r="AE288" s="4"/>
      <c r="AF288" s="4"/>
      <c r="AG288" s="4"/>
      <c r="AH288" s="4"/>
      <c r="AI288" s="4"/>
      <c r="AJ288" s="4"/>
      <c r="AK288" s="4"/>
      <c r="AL288" s="4"/>
      <c r="AM288" s="4"/>
      <c r="AN288" s="4"/>
      <c r="AO288" s="4"/>
      <c r="AP288" s="4"/>
      <c r="AQ288" s="4"/>
      <c r="AR288" s="4"/>
      <c r="AS288" s="4"/>
      <c r="AT288" s="4"/>
      <c r="AU288" s="4"/>
      <c r="AV288" s="4"/>
      <c r="AW288" s="4"/>
      <c r="AX288" s="4"/>
      <c r="AY288" s="4"/>
      <c r="AZ288" s="4"/>
      <c r="BA288" s="4"/>
      <c r="BB288" s="4"/>
      <c r="BC288" s="4"/>
      <c r="BD288" s="4"/>
      <c r="BE288" s="4"/>
      <c r="BF288" s="4"/>
      <c r="BG288" s="4"/>
      <c r="BH288" s="4"/>
      <c r="BI288" s="4"/>
      <c r="BJ288" s="4"/>
      <c r="BK288" s="4"/>
      <c r="BL288" s="4"/>
      <c r="BM288" s="4"/>
      <c r="BN288" s="4"/>
    </row>
    <row r="289" ht="13.5" customHeight="1" spans="1:66" x14ac:dyDescent="0.25">
      <c r="A289" s="4"/>
      <c r="B289" s="4"/>
      <c r="C289" s="533"/>
      <c r="D289" s="4"/>
      <c r="E289" s="4"/>
      <c r="F289" s="4"/>
      <c r="G289" s="4"/>
      <c r="H289" s="4"/>
      <c r="I289" s="4"/>
      <c r="J289" s="4"/>
      <c r="K289" s="4"/>
      <c r="L289" s="4"/>
      <c r="M289" s="4"/>
      <c r="N289" s="4"/>
      <c r="O289" s="4"/>
      <c r="P289" s="4"/>
      <c r="Q289" s="4"/>
      <c r="R289" s="4"/>
      <c r="S289" s="4"/>
      <c r="T289" s="4"/>
      <c r="U289" s="4"/>
      <c r="V289" s="4"/>
      <c r="W289" s="4"/>
      <c r="X289" s="4"/>
      <c r="Y289" s="4"/>
      <c r="Z289" s="4"/>
      <c r="AA289" s="4"/>
      <c r="AB289" s="4"/>
      <c r="AC289" s="4"/>
      <c r="AD289" s="4"/>
      <c r="AE289" s="4"/>
      <c r="AF289" s="4"/>
      <c r="AG289" s="4"/>
      <c r="AH289" s="4"/>
      <c r="AI289" s="4"/>
      <c r="AJ289" s="4"/>
      <c r="AK289" s="4"/>
      <c r="AL289" s="4"/>
      <c r="AM289" s="4"/>
      <c r="AN289" s="4"/>
      <c r="AO289" s="4"/>
      <c r="AP289" s="4"/>
      <c r="AQ289" s="4"/>
      <c r="AR289" s="4"/>
      <c r="AS289" s="4"/>
      <c r="AT289" s="4"/>
      <c r="AU289" s="4"/>
      <c r="AV289" s="4"/>
      <c r="AW289" s="4"/>
      <c r="AX289" s="4"/>
      <c r="AY289" s="4"/>
      <c r="AZ289" s="4"/>
      <c r="BA289" s="4"/>
      <c r="BB289" s="4"/>
      <c r="BC289" s="4"/>
      <c r="BD289" s="4"/>
      <c r="BE289" s="4"/>
      <c r="BF289" s="4"/>
      <c r="BG289" s="4"/>
      <c r="BH289" s="4"/>
      <c r="BI289" s="4"/>
      <c r="BJ289" s="4"/>
      <c r="BK289" s="4"/>
      <c r="BL289" s="4"/>
      <c r="BM289" s="4"/>
      <c r="BN289" s="4"/>
    </row>
    <row r="290" ht="13.5" customHeight="1" spans="1:66" x14ac:dyDescent="0.25">
      <c r="A290" s="4"/>
      <c r="B290" s="4"/>
      <c r="C290" s="533"/>
      <c r="D290" s="4"/>
      <c r="E290" s="4"/>
      <c r="F290" s="4"/>
      <c r="G290" s="4"/>
      <c r="H290" s="4"/>
      <c r="I290" s="4"/>
      <c r="J290" s="4"/>
      <c r="K290" s="4"/>
      <c r="L290" s="4"/>
      <c r="M290" s="4"/>
      <c r="N290" s="4"/>
      <c r="O290" s="4"/>
      <c r="P290" s="4"/>
      <c r="Q290" s="4"/>
      <c r="R290" s="4"/>
      <c r="S290" s="4"/>
      <c r="T290" s="4"/>
      <c r="U290" s="4"/>
      <c r="V290" s="4"/>
      <c r="W290" s="4"/>
      <c r="X290" s="4"/>
      <c r="Y290" s="4"/>
      <c r="Z290" s="4"/>
      <c r="AA290" s="4"/>
      <c r="AB290" s="4"/>
      <c r="AC290" s="4"/>
      <c r="AD290" s="4"/>
      <c r="AE290" s="4"/>
      <c r="AF290" s="4"/>
      <c r="AG290" s="4"/>
      <c r="AH290" s="4"/>
      <c r="AI290" s="4"/>
      <c r="AJ290" s="4"/>
      <c r="AK290" s="4"/>
      <c r="AL290" s="4"/>
      <c r="AM290" s="4"/>
      <c r="AN290" s="4"/>
      <c r="AO290" s="4"/>
      <c r="AP290" s="4"/>
      <c r="AQ290" s="4"/>
      <c r="AR290" s="4"/>
      <c r="AS290" s="4"/>
      <c r="AT290" s="4"/>
      <c r="AU290" s="4"/>
      <c r="AV290" s="4"/>
      <c r="AW290" s="4"/>
      <c r="AX290" s="4"/>
      <c r="AY290" s="4"/>
      <c r="AZ290" s="4"/>
      <c r="BA290" s="4"/>
      <c r="BB290" s="4"/>
      <c r="BC290" s="4"/>
      <c r="BD290" s="4"/>
      <c r="BE290" s="4"/>
      <c r="BF290" s="4"/>
      <c r="BG290" s="4"/>
      <c r="BH290" s="4"/>
      <c r="BI290" s="4"/>
      <c r="BJ290" s="4"/>
      <c r="BK290" s="4"/>
      <c r="BL290" s="4"/>
      <c r="BM290" s="4"/>
      <c r="BN290" s="4"/>
    </row>
    <row r="291" ht="13.5" customHeight="1" spans="1:66" x14ac:dyDescent="0.25">
      <c r="A291" s="4"/>
      <c r="B291" s="4"/>
      <c r="C291" s="533"/>
      <c r="D291" s="4"/>
      <c r="E291" s="4"/>
      <c r="F291" s="4"/>
      <c r="G291" s="4"/>
      <c r="H291" s="4"/>
      <c r="I291" s="4"/>
      <c r="J291" s="4"/>
      <c r="K291" s="4"/>
      <c r="L291" s="4"/>
      <c r="M291" s="4"/>
      <c r="N291" s="4"/>
      <c r="O291" s="4"/>
      <c r="P291" s="4"/>
      <c r="Q291" s="4"/>
      <c r="R291" s="4"/>
      <c r="S291" s="4"/>
      <c r="T291" s="4"/>
      <c r="U291" s="4"/>
      <c r="V291" s="4"/>
      <c r="W291" s="4"/>
      <c r="X291" s="4"/>
      <c r="Y291" s="4"/>
      <c r="Z291" s="4"/>
      <c r="AA291" s="4"/>
      <c r="AB291" s="4"/>
      <c r="AC291" s="4"/>
      <c r="AD291" s="4"/>
      <c r="AE291" s="4"/>
      <c r="AF291" s="4"/>
      <c r="AG291" s="4"/>
      <c r="AH291" s="4"/>
      <c r="AI291" s="4"/>
      <c r="AJ291" s="4"/>
      <c r="AK291" s="4"/>
      <c r="AL291" s="4"/>
      <c r="AM291" s="4"/>
      <c r="AN291" s="4"/>
      <c r="AO291" s="4"/>
      <c r="AP291" s="4"/>
      <c r="AQ291" s="4"/>
      <c r="AR291" s="4"/>
      <c r="AS291" s="4"/>
      <c r="AT291" s="4"/>
      <c r="AU291" s="4"/>
      <c r="AV291" s="4"/>
      <c r="AW291" s="4"/>
      <c r="AX291" s="4"/>
      <c r="AY291" s="4"/>
      <c r="AZ291" s="4"/>
      <c r="BA291" s="4"/>
      <c r="BB291" s="4"/>
      <c r="BC291" s="4"/>
      <c r="BD291" s="4"/>
      <c r="BE291" s="4"/>
      <c r="BF291" s="4"/>
      <c r="BG291" s="4"/>
      <c r="BH291" s="4"/>
      <c r="BI291" s="4"/>
      <c r="BJ291" s="4"/>
      <c r="BK291" s="4"/>
      <c r="BL291" s="4"/>
      <c r="BM291" s="4"/>
      <c r="BN291" s="4"/>
    </row>
    <row r="292" ht="13.5" customHeight="1" spans="1:66" x14ac:dyDescent="0.25">
      <c r="A292" s="4"/>
      <c r="B292" s="4"/>
      <c r="C292" s="533"/>
      <c r="D292" s="4"/>
      <c r="E292" s="4"/>
      <c r="F292" s="4"/>
      <c r="G292" s="4"/>
      <c r="H292" s="4"/>
      <c r="I292" s="4"/>
      <c r="J292" s="4"/>
      <c r="K292" s="4"/>
      <c r="L292" s="4"/>
      <c r="M292" s="4"/>
      <c r="N292" s="4"/>
      <c r="O292" s="4"/>
      <c r="P292" s="4"/>
      <c r="Q292" s="4"/>
      <c r="R292" s="4"/>
      <c r="S292" s="4"/>
      <c r="T292" s="4"/>
      <c r="U292" s="4"/>
      <c r="V292" s="4"/>
      <c r="W292" s="4"/>
      <c r="X292" s="4"/>
      <c r="Y292" s="4"/>
      <c r="Z292" s="4"/>
      <c r="AA292" s="4"/>
      <c r="AB292" s="4"/>
      <c r="AC292" s="4"/>
      <c r="AD292" s="4"/>
      <c r="AE292" s="4"/>
      <c r="AF292" s="4"/>
      <c r="AG292" s="4"/>
      <c r="AH292" s="4"/>
      <c r="AI292" s="4"/>
      <c r="AJ292" s="4"/>
      <c r="AK292" s="4"/>
      <c r="AL292" s="4"/>
      <c r="AM292" s="4"/>
      <c r="AN292" s="4"/>
      <c r="AO292" s="4"/>
      <c r="AP292" s="4"/>
      <c r="AQ292" s="4"/>
      <c r="AR292" s="4"/>
      <c r="AS292" s="4"/>
      <c r="AT292" s="4"/>
      <c r="AU292" s="4"/>
      <c r="AV292" s="4"/>
      <c r="AW292" s="4"/>
      <c r="AX292" s="4"/>
      <c r="AY292" s="4"/>
      <c r="AZ292" s="4"/>
      <c r="BA292" s="4"/>
      <c r="BB292" s="4"/>
      <c r="BC292" s="4"/>
      <c r="BD292" s="4"/>
      <c r="BE292" s="4"/>
      <c r="BF292" s="4"/>
      <c r="BG292" s="4"/>
      <c r="BH292" s="4"/>
      <c r="BI292" s="4"/>
      <c r="BJ292" s="4"/>
      <c r="BK292" s="4"/>
      <c r="BL292" s="4"/>
      <c r="BM292" s="4"/>
      <c r="BN292" s="4"/>
    </row>
    <row r="293" ht="13.5" customHeight="1" spans="1:66" x14ac:dyDescent="0.25">
      <c r="A293" s="4"/>
      <c r="B293" s="4"/>
      <c r="C293" s="533"/>
      <c r="D293" s="4"/>
      <c r="E293" s="4"/>
      <c r="F293" s="4"/>
      <c r="G293" s="4"/>
      <c r="H293" s="4"/>
      <c r="I293" s="4"/>
      <c r="J293" s="4"/>
      <c r="K293" s="4"/>
      <c r="L293" s="4"/>
      <c r="M293" s="4"/>
      <c r="N293" s="4"/>
      <c r="O293" s="4"/>
      <c r="P293" s="4"/>
      <c r="Q293" s="4"/>
      <c r="R293" s="4"/>
      <c r="S293" s="4"/>
      <c r="T293" s="4"/>
      <c r="U293" s="4"/>
      <c r="V293" s="4"/>
      <c r="W293" s="4"/>
      <c r="X293" s="4"/>
      <c r="Y293" s="4"/>
      <c r="Z293" s="4"/>
      <c r="AA293" s="4"/>
      <c r="AB293" s="4"/>
      <c r="AC293" s="4"/>
      <c r="AD293" s="4"/>
      <c r="AE293" s="4"/>
      <c r="AF293" s="4"/>
      <c r="AG293" s="4"/>
      <c r="AH293" s="4"/>
      <c r="AI293" s="4"/>
      <c r="AJ293" s="4"/>
      <c r="AK293" s="4"/>
      <c r="AL293" s="4"/>
      <c r="AM293" s="4"/>
      <c r="AN293" s="4"/>
      <c r="AO293" s="4"/>
      <c r="AP293" s="4"/>
      <c r="AQ293" s="4"/>
      <c r="AR293" s="4"/>
      <c r="AS293" s="4"/>
      <c r="AT293" s="4"/>
      <c r="AU293" s="4"/>
      <c r="AV293" s="4"/>
      <c r="AW293" s="4"/>
      <c r="AX293" s="4"/>
      <c r="AY293" s="4"/>
      <c r="AZ293" s="4"/>
      <c r="BA293" s="4"/>
      <c r="BB293" s="4"/>
      <c r="BC293" s="4"/>
      <c r="BD293" s="4"/>
      <c r="BE293" s="4"/>
      <c r="BF293" s="4"/>
      <c r="BG293" s="4"/>
      <c r="BH293" s="4"/>
      <c r="BI293" s="4"/>
      <c r="BJ293" s="4"/>
      <c r="BK293" s="4"/>
      <c r="BL293" s="4"/>
      <c r="BM293" s="4"/>
      <c r="BN293" s="4"/>
    </row>
    <row r="294" ht="13.5" customHeight="1" spans="1:66" x14ac:dyDescent="0.25">
      <c r="A294" s="4"/>
      <c r="B294" s="4"/>
      <c r="C294" s="533"/>
      <c r="D294" s="4"/>
      <c r="E294" s="4"/>
      <c r="F294" s="4"/>
      <c r="G294" s="4"/>
      <c r="H294" s="4"/>
      <c r="I294" s="4"/>
      <c r="J294" s="4"/>
      <c r="K294" s="4"/>
      <c r="L294" s="4"/>
      <c r="M294" s="4"/>
      <c r="N294" s="4"/>
      <c r="O294" s="4"/>
      <c r="P294" s="4"/>
      <c r="Q294" s="4"/>
      <c r="R294" s="4"/>
      <c r="S294" s="4"/>
      <c r="T294" s="4"/>
      <c r="U294" s="4"/>
      <c r="V294" s="4"/>
      <c r="W294" s="4"/>
      <c r="X294" s="4"/>
      <c r="Y294" s="4"/>
      <c r="Z294" s="4"/>
      <c r="AA294" s="4"/>
      <c r="AB294" s="4"/>
      <c r="AC294" s="4"/>
      <c r="AD294" s="4"/>
      <c r="AE294" s="4"/>
      <c r="AF294" s="4"/>
      <c r="AG294" s="4"/>
      <c r="AH294" s="4"/>
      <c r="AI294" s="4"/>
      <c r="AJ294" s="4"/>
      <c r="AK294" s="4"/>
      <c r="AL294" s="4"/>
      <c r="AM294" s="4"/>
      <c r="AN294" s="4"/>
      <c r="AO294" s="4"/>
      <c r="AP294" s="4"/>
      <c r="AQ294" s="4"/>
      <c r="AR294" s="4"/>
      <c r="AS294" s="4"/>
      <c r="AT294" s="4"/>
      <c r="AU294" s="4"/>
      <c r="AV294" s="4"/>
      <c r="AW294" s="4"/>
      <c r="AX294" s="4"/>
      <c r="AY294" s="4"/>
      <c r="AZ294" s="4"/>
      <c r="BA294" s="4"/>
      <c r="BB294" s="4"/>
      <c r="BC294" s="4"/>
      <c r="BD294" s="4"/>
      <c r="BE294" s="4"/>
      <c r="BF294" s="4"/>
      <c r="BG294" s="4"/>
      <c r="BH294" s="4"/>
      <c r="BI294" s="4"/>
      <c r="BJ294" s="4"/>
      <c r="BK294" s="4"/>
      <c r="BL294" s="4"/>
      <c r="BM294" s="4"/>
      <c r="BN294" s="4"/>
    </row>
    <row r="295" ht="13.5" customHeight="1" spans="1:66" x14ac:dyDescent="0.25">
      <c r="A295" s="4"/>
      <c r="B295" s="4"/>
      <c r="C295" s="533"/>
      <c r="D295" s="4"/>
      <c r="E295" s="4"/>
      <c r="F295" s="4"/>
      <c r="G295" s="4"/>
      <c r="H295" s="4"/>
      <c r="I295" s="4"/>
      <c r="J295" s="4"/>
      <c r="K295" s="4"/>
      <c r="L295" s="4"/>
      <c r="M295" s="4"/>
      <c r="N295" s="4"/>
      <c r="O295" s="4"/>
      <c r="P295" s="4"/>
      <c r="Q295" s="4"/>
      <c r="R295" s="4"/>
      <c r="S295" s="4"/>
      <c r="T295" s="4"/>
      <c r="U295" s="4"/>
      <c r="V295" s="4"/>
      <c r="W295" s="4"/>
      <c r="X295" s="4"/>
      <c r="Y295" s="4"/>
      <c r="Z295" s="4"/>
      <c r="AA295" s="4"/>
      <c r="AB295" s="4"/>
      <c r="AC295" s="4"/>
      <c r="AD295" s="4"/>
      <c r="AE295" s="4"/>
      <c r="AF295" s="4"/>
      <c r="AG295" s="4"/>
      <c r="AH295" s="4"/>
      <c r="AI295" s="4"/>
      <c r="AJ295" s="4"/>
      <c r="AK295" s="4"/>
      <c r="AL295" s="4"/>
      <c r="AM295" s="4"/>
      <c r="AN295" s="4"/>
      <c r="AO295" s="4"/>
      <c r="AP295" s="4"/>
      <c r="AQ295" s="4"/>
      <c r="AR295" s="4"/>
      <c r="AS295" s="4"/>
      <c r="AT295" s="4"/>
      <c r="AU295" s="4"/>
      <c r="AV295" s="4"/>
      <c r="AW295" s="4"/>
      <c r="AX295" s="4"/>
      <c r="AY295" s="4"/>
      <c r="AZ295" s="4"/>
      <c r="BA295" s="4"/>
      <c r="BB295" s="4"/>
      <c r="BC295" s="4"/>
      <c r="BD295" s="4"/>
      <c r="BE295" s="4"/>
      <c r="BF295" s="4"/>
      <c r="BG295" s="4"/>
      <c r="BH295" s="4"/>
      <c r="BI295" s="4"/>
      <c r="BJ295" s="4"/>
      <c r="BK295" s="4"/>
      <c r="BL295" s="4"/>
      <c r="BM295" s="4"/>
      <c r="BN295" s="4"/>
    </row>
    <row r="296" ht="13.5" customHeight="1" spans="1:66" x14ac:dyDescent="0.25">
      <c r="A296" s="4"/>
      <c r="B296" s="4"/>
      <c r="C296" s="533"/>
      <c r="D296" s="4"/>
      <c r="E296" s="4"/>
      <c r="F296" s="4"/>
      <c r="G296" s="4"/>
      <c r="H296" s="4"/>
      <c r="I296" s="4"/>
      <c r="J296" s="4"/>
      <c r="K296" s="4"/>
      <c r="L296" s="4"/>
      <c r="M296" s="4"/>
      <c r="N296" s="4"/>
      <c r="O296" s="4"/>
      <c r="P296" s="4"/>
      <c r="Q296" s="4"/>
      <c r="R296" s="4"/>
      <c r="S296" s="4"/>
      <c r="T296" s="4"/>
      <c r="U296" s="4"/>
      <c r="V296" s="4"/>
      <c r="W296" s="4"/>
      <c r="X296" s="4"/>
      <c r="Y296" s="4"/>
      <c r="Z296" s="4"/>
      <c r="AA296" s="4"/>
      <c r="AB296" s="4"/>
      <c r="AC296" s="4"/>
      <c r="AD296" s="4"/>
      <c r="AE296" s="4"/>
      <c r="AF296" s="4"/>
      <c r="AG296" s="4"/>
      <c r="AH296" s="4"/>
      <c r="AI296" s="4"/>
      <c r="AJ296" s="4"/>
      <c r="AK296" s="4"/>
      <c r="AL296" s="4"/>
      <c r="AM296" s="4"/>
      <c r="AN296" s="4"/>
      <c r="AO296" s="4"/>
      <c r="AP296" s="4"/>
      <c r="AQ296" s="4"/>
      <c r="AR296" s="4"/>
      <c r="AS296" s="4"/>
      <c r="AT296" s="4"/>
      <c r="AU296" s="4"/>
      <c r="AV296" s="4"/>
      <c r="AW296" s="4"/>
      <c r="AX296" s="4"/>
      <c r="AY296" s="4"/>
      <c r="AZ296" s="4"/>
      <c r="BA296" s="4"/>
      <c r="BB296" s="4"/>
      <c r="BC296" s="4"/>
      <c r="BD296" s="4"/>
      <c r="BE296" s="4"/>
      <c r="BF296" s="4"/>
      <c r="BG296" s="4"/>
      <c r="BH296" s="4"/>
      <c r="BI296" s="4"/>
      <c r="BJ296" s="4"/>
      <c r="BK296" s="4"/>
      <c r="BL296" s="4"/>
      <c r="BM296" s="4"/>
      <c r="BN296" s="4"/>
    </row>
    <row r="297" ht="13.5" customHeight="1" spans="1:66" x14ac:dyDescent="0.25">
      <c r="A297" s="4"/>
      <c r="B297" s="4"/>
      <c r="C297" s="533"/>
      <c r="D297" s="4"/>
      <c r="E297" s="4"/>
      <c r="F297" s="4"/>
      <c r="G297" s="4"/>
      <c r="H297" s="4"/>
      <c r="I297" s="4"/>
      <c r="J297" s="4"/>
      <c r="K297" s="4"/>
      <c r="L297" s="4"/>
      <c r="M297" s="4"/>
      <c r="N297" s="4"/>
      <c r="O297" s="4"/>
      <c r="P297" s="4"/>
      <c r="Q297" s="4"/>
      <c r="R297" s="4"/>
      <c r="S297" s="4"/>
      <c r="T297" s="4"/>
      <c r="U297" s="4"/>
      <c r="V297" s="4"/>
      <c r="W297" s="4"/>
      <c r="X297" s="4"/>
      <c r="Y297" s="4"/>
      <c r="Z297" s="4"/>
      <c r="AA297" s="4"/>
      <c r="AB297" s="4"/>
      <c r="AC297" s="4"/>
      <c r="AD297" s="4"/>
      <c r="AE297" s="4"/>
      <c r="AF297" s="4"/>
      <c r="AG297" s="4"/>
      <c r="AH297" s="4"/>
      <c r="AI297" s="4"/>
      <c r="AJ297" s="4"/>
      <c r="AK297" s="4"/>
      <c r="AL297" s="4"/>
      <c r="AM297" s="4"/>
      <c r="AN297" s="4"/>
      <c r="AO297" s="4"/>
      <c r="AP297" s="4"/>
      <c r="AQ297" s="4"/>
      <c r="AR297" s="4"/>
      <c r="AS297" s="4"/>
      <c r="AT297" s="4"/>
      <c r="AU297" s="4"/>
      <c r="AV297" s="4"/>
      <c r="AW297" s="4"/>
      <c r="AX297" s="4"/>
      <c r="AY297" s="4"/>
      <c r="AZ297" s="4"/>
      <c r="BA297" s="4"/>
      <c r="BB297" s="4"/>
      <c r="BC297" s="4"/>
      <c r="BD297" s="4"/>
      <c r="BE297" s="4"/>
      <c r="BF297" s="4"/>
      <c r="BG297" s="4"/>
      <c r="BH297" s="4"/>
      <c r="BI297" s="4"/>
      <c r="BJ297" s="4"/>
      <c r="BK297" s="4"/>
      <c r="BL297" s="4"/>
      <c r="BM297" s="4"/>
      <c r="BN297" s="4"/>
    </row>
    <row r="298" ht="13.5" customHeight="1" spans="1:66" x14ac:dyDescent="0.25">
      <c r="A298" s="4"/>
      <c r="B298" s="4"/>
      <c r="C298" s="533"/>
      <c r="D298" s="4"/>
      <c r="E298" s="4"/>
      <c r="F298" s="4"/>
      <c r="G298" s="4"/>
      <c r="H298" s="4"/>
      <c r="I298" s="4"/>
      <c r="J298" s="4"/>
      <c r="K298" s="4"/>
      <c r="L298" s="4"/>
      <c r="M298" s="4"/>
      <c r="N298" s="4"/>
      <c r="O298" s="4"/>
      <c r="P298" s="4"/>
      <c r="Q298" s="4"/>
      <c r="R298" s="4"/>
      <c r="S298" s="4"/>
      <c r="T298" s="4"/>
      <c r="U298" s="4"/>
      <c r="V298" s="4"/>
      <c r="W298" s="4"/>
      <c r="X298" s="4"/>
      <c r="Y298" s="4"/>
      <c r="Z298" s="4"/>
      <c r="AA298" s="4"/>
      <c r="AB298" s="4"/>
      <c r="AC298" s="4"/>
      <c r="AD298" s="4"/>
      <c r="AE298" s="4"/>
      <c r="AF298" s="4"/>
      <c r="AG298" s="4"/>
      <c r="AH298" s="4"/>
      <c r="AI298" s="4"/>
      <c r="AJ298" s="4"/>
      <c r="AK298" s="4"/>
      <c r="AL298" s="4"/>
      <c r="AM298" s="4"/>
      <c r="AN298" s="4"/>
      <c r="AO298" s="4"/>
      <c r="AP298" s="4"/>
      <c r="AQ298" s="4"/>
      <c r="AR298" s="4"/>
      <c r="AS298" s="4"/>
      <c r="AT298" s="4"/>
      <c r="AU298" s="4"/>
      <c r="AV298" s="4"/>
      <c r="AW298" s="4"/>
      <c r="AX298" s="4"/>
      <c r="AY298" s="4"/>
      <c r="AZ298" s="4"/>
      <c r="BA298" s="4"/>
      <c r="BB298" s="4"/>
      <c r="BC298" s="4"/>
      <c r="BD298" s="4"/>
      <c r="BE298" s="4"/>
      <c r="BF298" s="4"/>
      <c r="BG298" s="4"/>
      <c r="BH298" s="4"/>
      <c r="BI298" s="4"/>
      <c r="BJ298" s="4"/>
      <c r="BK298" s="4"/>
      <c r="BL298" s="4"/>
      <c r="BM298" s="4"/>
      <c r="BN298" s="4"/>
    </row>
    <row r="299" ht="13.5" customHeight="1" spans="1:66" x14ac:dyDescent="0.25">
      <c r="A299" s="4"/>
      <c r="B299" s="4"/>
      <c r="C299" s="533"/>
      <c r="D299" s="4"/>
      <c r="E299" s="4"/>
      <c r="F299" s="4"/>
      <c r="G299" s="4"/>
      <c r="H299" s="4"/>
      <c r="I299" s="4"/>
      <c r="J299" s="4"/>
      <c r="K299" s="4"/>
      <c r="L299" s="4"/>
      <c r="M299" s="4"/>
      <c r="N299" s="4"/>
      <c r="O299" s="4"/>
      <c r="P299" s="4"/>
      <c r="Q299" s="4"/>
      <c r="R299" s="4"/>
      <c r="S299" s="4"/>
      <c r="T299" s="4"/>
      <c r="U299" s="4"/>
      <c r="V299" s="4"/>
      <c r="W299" s="4"/>
      <c r="X299" s="4"/>
      <c r="Y299" s="4"/>
      <c r="Z299" s="4"/>
      <c r="AA299" s="4"/>
      <c r="AB299" s="4"/>
      <c r="AC299" s="4"/>
      <c r="AD299" s="4"/>
      <c r="AE299" s="4"/>
      <c r="AF299" s="4"/>
      <c r="AG299" s="4"/>
      <c r="AH299" s="4"/>
      <c r="AI299" s="4"/>
      <c r="AJ299" s="4"/>
      <c r="AK299" s="4"/>
      <c r="AL299" s="4"/>
      <c r="AM299" s="4"/>
      <c r="AN299" s="4"/>
      <c r="AO299" s="4"/>
      <c r="AP299" s="4"/>
      <c r="AQ299" s="4"/>
      <c r="AR299" s="4"/>
      <c r="AS299" s="4"/>
      <c r="AT299" s="4"/>
      <c r="AU299" s="4"/>
      <c r="AV299" s="4"/>
      <c r="AW299" s="4"/>
      <c r="AX299" s="4"/>
      <c r="AY299" s="4"/>
      <c r="AZ299" s="4"/>
      <c r="BA299" s="4"/>
      <c r="BB299" s="4"/>
      <c r="BC299" s="4"/>
      <c r="BD299" s="4"/>
      <c r="BE299" s="4"/>
      <c r="BF299" s="4"/>
      <c r="BG299" s="4"/>
      <c r="BH299" s="4"/>
      <c r="BI299" s="4"/>
      <c r="BJ299" s="4"/>
      <c r="BK299" s="4"/>
      <c r="BL299" s="4"/>
      <c r="BM299" s="4"/>
      <c r="BN299" s="4"/>
    </row>
    <row r="300" ht="13.5" customHeight="1" spans="1:66" x14ac:dyDescent="0.25">
      <c r="A300" s="4"/>
      <c r="B300" s="4"/>
      <c r="C300" s="533"/>
      <c r="D300" s="4"/>
      <c r="E300" s="4"/>
      <c r="F300" s="4"/>
      <c r="G300" s="4"/>
      <c r="H300" s="4"/>
      <c r="I300" s="4"/>
      <c r="J300" s="4"/>
      <c r="K300" s="4"/>
      <c r="L300" s="4"/>
      <c r="M300" s="4"/>
      <c r="N300" s="4"/>
      <c r="O300" s="4"/>
      <c r="P300" s="4"/>
      <c r="Q300" s="4"/>
      <c r="R300" s="4"/>
      <c r="S300" s="4"/>
      <c r="T300" s="4"/>
      <c r="U300" s="4"/>
      <c r="V300" s="4"/>
      <c r="W300" s="4"/>
      <c r="X300" s="4"/>
      <c r="Y300" s="4"/>
      <c r="Z300" s="4"/>
      <c r="AA300" s="4"/>
      <c r="AB300" s="4"/>
      <c r="AC300" s="4"/>
      <c r="AD300" s="4"/>
      <c r="AE300" s="4"/>
      <c r="AF300" s="4"/>
      <c r="AG300" s="4"/>
      <c r="AH300" s="4"/>
      <c r="AI300" s="4"/>
      <c r="AJ300" s="4"/>
      <c r="AK300" s="4"/>
      <c r="AL300" s="4"/>
      <c r="AM300" s="4"/>
      <c r="AN300" s="4"/>
      <c r="AO300" s="4"/>
      <c r="AP300" s="4"/>
      <c r="AQ300" s="4"/>
      <c r="AR300" s="4"/>
      <c r="AS300" s="4"/>
      <c r="AT300" s="4"/>
      <c r="AU300" s="4"/>
      <c r="AV300" s="4"/>
      <c r="AW300" s="4"/>
      <c r="AX300" s="4"/>
      <c r="AY300" s="4"/>
      <c r="AZ300" s="4"/>
      <c r="BA300" s="4"/>
      <c r="BB300" s="4"/>
      <c r="BC300" s="4"/>
      <c r="BD300" s="4"/>
      <c r="BE300" s="4"/>
      <c r="BF300" s="4"/>
      <c r="BG300" s="4"/>
      <c r="BH300" s="4"/>
      <c r="BI300" s="4"/>
      <c r="BJ300" s="4"/>
      <c r="BK300" s="4"/>
      <c r="BL300" s="4"/>
      <c r="BM300" s="4"/>
      <c r="BN300" s="4"/>
    </row>
    <row r="301" ht="13.5" customHeight="1" spans="1:66" x14ac:dyDescent="0.25">
      <c r="A301" s="4"/>
      <c r="B301" s="4"/>
      <c r="C301" s="533"/>
      <c r="D301" s="4"/>
      <c r="E301" s="4"/>
      <c r="F301" s="4"/>
      <c r="G301" s="4"/>
      <c r="H301" s="4"/>
      <c r="I301" s="4"/>
      <c r="J301" s="4"/>
      <c r="K301" s="4"/>
      <c r="L301" s="4"/>
      <c r="M301" s="4"/>
      <c r="N301" s="4"/>
      <c r="O301" s="4"/>
      <c r="P301" s="4"/>
      <c r="Q301" s="4"/>
      <c r="R301" s="4"/>
      <c r="S301" s="4"/>
      <c r="T301" s="4"/>
      <c r="U301" s="4"/>
      <c r="V301" s="4"/>
      <c r="W301" s="4"/>
      <c r="X301" s="4"/>
      <c r="Y301" s="4"/>
      <c r="Z301" s="4"/>
      <c r="AA301" s="4"/>
      <c r="AB301" s="4"/>
      <c r="AC301" s="4"/>
      <c r="AD301" s="4"/>
      <c r="AE301" s="4"/>
      <c r="AF301" s="4"/>
      <c r="AG301" s="4"/>
      <c r="AH301" s="4"/>
      <c r="AI301" s="4"/>
      <c r="AJ301" s="4"/>
      <c r="AK301" s="4"/>
      <c r="AL301" s="4"/>
      <c r="AM301" s="4"/>
      <c r="AN301" s="4"/>
      <c r="AO301" s="4"/>
      <c r="AP301" s="4"/>
      <c r="AQ301" s="4"/>
      <c r="AR301" s="4"/>
      <c r="AS301" s="4"/>
      <c r="AT301" s="4"/>
      <c r="AU301" s="4"/>
      <c r="AV301" s="4"/>
      <c r="AW301" s="4"/>
      <c r="AX301" s="4"/>
      <c r="AY301" s="4"/>
      <c r="AZ301" s="4"/>
      <c r="BA301" s="4"/>
      <c r="BB301" s="4"/>
      <c r="BC301" s="4"/>
      <c r="BD301" s="4"/>
      <c r="BE301" s="4"/>
      <c r="BF301" s="4"/>
      <c r="BG301" s="4"/>
      <c r="BH301" s="4"/>
      <c r="BI301" s="4"/>
      <c r="BJ301" s="4"/>
      <c r="BK301" s="4"/>
      <c r="BL301" s="4"/>
      <c r="BM301" s="4"/>
      <c r="BN301" s="4"/>
    </row>
    <row r="302" ht="13.5" customHeight="1" spans="1:66" x14ac:dyDescent="0.25">
      <c r="A302" s="4"/>
      <c r="B302" s="4"/>
      <c r="C302" s="533"/>
      <c r="D302" s="4"/>
      <c r="E302" s="4"/>
      <c r="F302" s="4"/>
      <c r="G302" s="4"/>
      <c r="H302" s="4"/>
      <c r="I302" s="4"/>
      <c r="J302" s="4"/>
      <c r="K302" s="4"/>
      <c r="L302" s="4"/>
      <c r="M302" s="4"/>
      <c r="N302" s="4"/>
      <c r="O302" s="4"/>
      <c r="P302" s="4"/>
      <c r="Q302" s="4"/>
      <c r="R302" s="4"/>
      <c r="S302" s="4"/>
      <c r="T302" s="4"/>
      <c r="U302" s="4"/>
      <c r="V302" s="4"/>
      <c r="W302" s="4"/>
      <c r="X302" s="4"/>
      <c r="Y302" s="4"/>
      <c r="Z302" s="4"/>
      <c r="AA302" s="4"/>
      <c r="AB302" s="4"/>
      <c r="AC302" s="4"/>
      <c r="AD302" s="4"/>
      <c r="AE302" s="4"/>
      <c r="AF302" s="4"/>
      <c r="AG302" s="4"/>
      <c r="AH302" s="4"/>
      <c r="AI302" s="4"/>
      <c r="AJ302" s="4"/>
      <c r="AK302" s="4"/>
      <c r="AL302" s="4"/>
      <c r="AM302" s="4"/>
      <c r="AN302" s="4"/>
      <c r="AO302" s="4"/>
      <c r="AP302" s="4"/>
      <c r="AQ302" s="4"/>
      <c r="AR302" s="4"/>
      <c r="AS302" s="4"/>
      <c r="AT302" s="4"/>
      <c r="AU302" s="4"/>
      <c r="AV302" s="4"/>
      <c r="AW302" s="4"/>
      <c r="AX302" s="4"/>
      <c r="AY302" s="4"/>
      <c r="AZ302" s="4"/>
      <c r="BA302" s="4"/>
      <c r="BB302" s="4"/>
      <c r="BC302" s="4"/>
      <c r="BD302" s="4"/>
      <c r="BE302" s="4"/>
      <c r="BF302" s="4"/>
      <c r="BG302" s="4"/>
      <c r="BH302" s="4"/>
      <c r="BI302" s="4"/>
      <c r="BJ302" s="4"/>
      <c r="BK302" s="4"/>
      <c r="BL302" s="4"/>
      <c r="BM302" s="4"/>
      <c r="BN302" s="4"/>
    </row>
    <row r="303" ht="13.5" customHeight="1" spans="1:66" x14ac:dyDescent="0.25">
      <c r="A303" s="4"/>
      <c r="B303" s="4"/>
      <c r="C303" s="533"/>
      <c r="D303" s="4"/>
      <c r="E303" s="4"/>
      <c r="F303" s="4"/>
      <c r="G303" s="4"/>
      <c r="H303" s="4"/>
      <c r="I303" s="4"/>
      <c r="J303" s="4"/>
      <c r="K303" s="4"/>
      <c r="L303" s="4"/>
      <c r="M303" s="4"/>
      <c r="N303" s="4"/>
      <c r="O303" s="4"/>
      <c r="P303" s="4"/>
      <c r="Q303" s="4"/>
      <c r="R303" s="4"/>
      <c r="S303" s="4"/>
      <c r="T303" s="4"/>
      <c r="U303" s="4"/>
      <c r="V303" s="4"/>
      <c r="W303" s="4"/>
      <c r="X303" s="4"/>
      <c r="Y303" s="4"/>
      <c r="Z303" s="4"/>
      <c r="AA303" s="4"/>
      <c r="AB303" s="4"/>
      <c r="AC303" s="4"/>
      <c r="AD303" s="4"/>
      <c r="AE303" s="4"/>
      <c r="AF303" s="4"/>
      <c r="AG303" s="4"/>
      <c r="AH303" s="4"/>
      <c r="AI303" s="4"/>
      <c r="AJ303" s="4"/>
      <c r="AK303" s="4"/>
      <c r="AL303" s="4"/>
      <c r="AM303" s="4"/>
      <c r="AN303" s="4"/>
      <c r="AO303" s="4"/>
      <c r="AP303" s="4"/>
      <c r="AQ303" s="4"/>
      <c r="AR303" s="4"/>
      <c r="AS303" s="4"/>
      <c r="AT303" s="4"/>
      <c r="AU303" s="4"/>
      <c r="AV303" s="4"/>
      <c r="AW303" s="4"/>
      <c r="AX303" s="4"/>
      <c r="AY303" s="4"/>
      <c r="AZ303" s="4"/>
      <c r="BA303" s="4"/>
      <c r="BB303" s="4"/>
      <c r="BC303" s="4"/>
      <c r="BD303" s="4"/>
      <c r="BE303" s="4"/>
      <c r="BF303" s="4"/>
      <c r="BG303" s="4"/>
      <c r="BH303" s="4"/>
      <c r="BI303" s="4"/>
      <c r="BJ303" s="4"/>
      <c r="BK303" s="4"/>
      <c r="BL303" s="4"/>
      <c r="BM303" s="4"/>
      <c r="BN303" s="4"/>
    </row>
    <row r="304" ht="13.5" customHeight="1" spans="1:66" x14ac:dyDescent="0.25">
      <c r="A304" s="4"/>
      <c r="B304" s="4"/>
      <c r="C304" s="533"/>
      <c r="D304" s="4"/>
      <c r="E304" s="4"/>
      <c r="F304" s="4"/>
      <c r="G304" s="4"/>
      <c r="H304" s="4"/>
      <c r="I304" s="4"/>
      <c r="J304" s="4"/>
      <c r="K304" s="4"/>
      <c r="L304" s="4"/>
      <c r="M304" s="4"/>
      <c r="N304" s="4"/>
      <c r="O304" s="4"/>
      <c r="P304" s="4"/>
      <c r="Q304" s="4"/>
      <c r="R304" s="4"/>
      <c r="S304" s="4"/>
      <c r="T304" s="4"/>
      <c r="U304" s="4"/>
      <c r="V304" s="4"/>
      <c r="W304" s="4"/>
      <c r="X304" s="4"/>
      <c r="Y304" s="4"/>
      <c r="Z304" s="4"/>
      <c r="AA304" s="4"/>
      <c r="AB304" s="4"/>
      <c r="AC304" s="4"/>
      <c r="AD304" s="4"/>
      <c r="AE304" s="4"/>
      <c r="AF304" s="4"/>
      <c r="AG304" s="4"/>
      <c r="AH304" s="4"/>
      <c r="AI304" s="4"/>
      <c r="AJ304" s="4"/>
      <c r="AK304" s="4"/>
      <c r="AL304" s="4"/>
      <c r="AM304" s="4"/>
      <c r="AN304" s="4"/>
      <c r="AO304" s="4"/>
      <c r="AP304" s="4"/>
      <c r="AQ304" s="4"/>
      <c r="AR304" s="4"/>
      <c r="AS304" s="4"/>
      <c r="AT304" s="4"/>
      <c r="AU304" s="4"/>
      <c r="AV304" s="4"/>
      <c r="AW304" s="4"/>
      <c r="AX304" s="4"/>
      <c r="AY304" s="4"/>
      <c r="AZ304" s="4"/>
      <c r="BA304" s="4"/>
      <c r="BB304" s="4"/>
      <c r="BC304" s="4"/>
      <c r="BD304" s="4"/>
      <c r="BE304" s="4"/>
      <c r="BF304" s="4"/>
      <c r="BG304" s="4"/>
      <c r="BH304" s="4"/>
      <c r="BI304" s="4"/>
      <c r="BJ304" s="4"/>
      <c r="BK304" s="4"/>
      <c r="BL304" s="4"/>
      <c r="BM304" s="4"/>
      <c r="BN304" s="4"/>
    </row>
    <row r="305" ht="13.5" customHeight="1" spans="1:66" x14ac:dyDescent="0.25">
      <c r="A305" s="4"/>
      <c r="B305" s="4"/>
      <c r="C305" s="533"/>
      <c r="D305" s="4"/>
      <c r="E305" s="4"/>
      <c r="F305" s="4"/>
      <c r="G305" s="4"/>
      <c r="H305" s="4"/>
      <c r="I305" s="4"/>
      <c r="J305" s="4"/>
      <c r="K305" s="4"/>
      <c r="L305" s="4"/>
      <c r="M305" s="4"/>
      <c r="N305" s="4"/>
      <c r="O305" s="4"/>
      <c r="P305" s="4"/>
      <c r="Q305" s="4"/>
      <c r="R305" s="4"/>
      <c r="S305" s="4"/>
      <c r="T305" s="4"/>
      <c r="U305" s="4"/>
      <c r="V305" s="4"/>
      <c r="W305" s="4"/>
      <c r="X305" s="4"/>
      <c r="Y305" s="4"/>
      <c r="Z305" s="4"/>
      <c r="AA305" s="4"/>
      <c r="AB305" s="4"/>
      <c r="AC305" s="4"/>
      <c r="AD305" s="4"/>
      <c r="AE305" s="4"/>
      <c r="AF305" s="4"/>
      <c r="AG305" s="4"/>
      <c r="AH305" s="4"/>
      <c r="AI305" s="4"/>
      <c r="AJ305" s="4"/>
      <c r="AK305" s="4"/>
      <c r="AL305" s="4"/>
      <c r="AM305" s="4"/>
      <c r="AN305" s="4"/>
      <c r="AO305" s="4"/>
      <c r="AP305" s="4"/>
      <c r="AQ305" s="4"/>
      <c r="AR305" s="4"/>
      <c r="AS305" s="4"/>
      <c r="AT305" s="4"/>
      <c r="AU305" s="4"/>
      <c r="AV305" s="4"/>
      <c r="AW305" s="4"/>
      <c r="AX305" s="4"/>
      <c r="AY305" s="4"/>
      <c r="AZ305" s="4"/>
      <c r="BA305" s="4"/>
      <c r="BB305" s="4"/>
      <c r="BC305" s="4"/>
      <c r="BD305" s="4"/>
      <c r="BE305" s="4"/>
      <c r="BF305" s="4"/>
      <c r="BG305" s="4"/>
      <c r="BH305" s="4"/>
      <c r="BI305" s="4"/>
      <c r="BJ305" s="4"/>
      <c r="BK305" s="4"/>
      <c r="BL305" s="4"/>
      <c r="BM305" s="4"/>
      <c r="BN305" s="4"/>
    </row>
    <row r="306" ht="13.5" customHeight="1" spans="1:66" x14ac:dyDescent="0.25">
      <c r="A306" s="4"/>
      <c r="B306" s="4"/>
      <c r="C306" s="533"/>
      <c r="D306" s="4"/>
      <c r="E306" s="4"/>
      <c r="F306" s="4"/>
      <c r="G306" s="4"/>
      <c r="H306" s="4"/>
      <c r="I306" s="4"/>
      <c r="J306" s="4"/>
      <c r="K306" s="4"/>
      <c r="L306" s="4"/>
      <c r="M306" s="4"/>
      <c r="N306" s="4"/>
      <c r="O306" s="4"/>
      <c r="P306" s="4"/>
      <c r="Q306" s="4"/>
      <c r="R306" s="4"/>
      <c r="S306" s="4"/>
      <c r="T306" s="4"/>
      <c r="U306" s="4"/>
      <c r="V306" s="4"/>
      <c r="W306" s="4"/>
      <c r="X306" s="4"/>
      <c r="Y306" s="4"/>
      <c r="Z306" s="4"/>
      <c r="AA306" s="4"/>
      <c r="AB306" s="4"/>
      <c r="AC306" s="4"/>
      <c r="AD306" s="4"/>
      <c r="AE306" s="4"/>
      <c r="AF306" s="4"/>
      <c r="AG306" s="4"/>
      <c r="AH306" s="4"/>
      <c r="AI306" s="4"/>
      <c r="AJ306" s="4"/>
      <c r="AK306" s="4"/>
      <c r="AL306" s="4"/>
      <c r="AM306" s="4"/>
      <c r="AN306" s="4"/>
      <c r="AO306" s="4"/>
      <c r="AP306" s="4"/>
      <c r="AQ306" s="4"/>
      <c r="AR306" s="4"/>
      <c r="AS306" s="4"/>
      <c r="AT306" s="4"/>
      <c r="AU306" s="4"/>
      <c r="AV306" s="4"/>
      <c r="AW306" s="4"/>
      <c r="AX306" s="4"/>
      <c r="AY306" s="4"/>
      <c r="AZ306" s="4"/>
      <c r="BA306" s="4"/>
      <c r="BB306" s="4"/>
      <c r="BC306" s="4"/>
      <c r="BD306" s="4"/>
      <c r="BE306" s="4"/>
      <c r="BF306" s="4"/>
      <c r="BG306" s="4"/>
      <c r="BH306" s="4"/>
      <c r="BI306" s="4"/>
      <c r="BJ306" s="4"/>
      <c r="BK306" s="4"/>
      <c r="BL306" s="4"/>
      <c r="BM306" s="4"/>
      <c r="BN306" s="4"/>
    </row>
    <row r="307" ht="13.5" customHeight="1" spans="1:66" x14ac:dyDescent="0.25">
      <c r="A307" s="4"/>
      <c r="B307" s="4"/>
      <c r="C307" s="533"/>
      <c r="D307" s="4"/>
      <c r="E307" s="4"/>
      <c r="F307" s="4"/>
      <c r="G307" s="4"/>
      <c r="H307" s="4"/>
      <c r="I307" s="4"/>
      <c r="J307" s="4"/>
      <c r="K307" s="4"/>
      <c r="L307" s="4"/>
      <c r="M307" s="4"/>
      <c r="N307" s="4"/>
      <c r="O307" s="4"/>
      <c r="P307" s="4"/>
      <c r="Q307" s="4"/>
      <c r="R307" s="4"/>
      <c r="S307" s="4"/>
      <c r="T307" s="4"/>
      <c r="U307" s="4"/>
      <c r="V307" s="4"/>
      <c r="W307" s="4"/>
      <c r="X307" s="4"/>
      <c r="Y307" s="4"/>
      <c r="Z307" s="4"/>
      <c r="AA307" s="4"/>
      <c r="AB307" s="4"/>
      <c r="AC307" s="4"/>
      <c r="AD307" s="4"/>
      <c r="AE307" s="4"/>
      <c r="AF307" s="4"/>
      <c r="AG307" s="4"/>
      <c r="AH307" s="4"/>
      <c r="AI307" s="4"/>
      <c r="AJ307" s="4"/>
      <c r="AK307" s="4"/>
      <c r="AL307" s="4"/>
      <c r="AM307" s="4"/>
      <c r="AN307" s="4"/>
      <c r="AO307" s="4"/>
      <c r="AP307" s="4"/>
      <c r="AQ307" s="4"/>
      <c r="AR307" s="4"/>
      <c r="AS307" s="4"/>
      <c r="AT307" s="4"/>
      <c r="AU307" s="4"/>
      <c r="AV307" s="4"/>
      <c r="AW307" s="4"/>
      <c r="AX307" s="4"/>
      <c r="AY307" s="4"/>
      <c r="AZ307" s="4"/>
      <c r="BA307" s="4"/>
      <c r="BB307" s="4"/>
      <c r="BC307" s="4"/>
      <c r="BD307" s="4"/>
      <c r="BE307" s="4"/>
      <c r="BF307" s="4"/>
      <c r="BG307" s="4"/>
      <c r="BH307" s="4"/>
      <c r="BI307" s="4"/>
      <c r="BJ307" s="4"/>
      <c r="BK307" s="4"/>
      <c r="BL307" s="4"/>
      <c r="BM307" s="4"/>
      <c r="BN307" s="4"/>
    </row>
    <row r="308" ht="13.5" customHeight="1" spans="1:66" x14ac:dyDescent="0.25">
      <c r="A308" s="4"/>
      <c r="B308" s="4"/>
      <c r="C308" s="533"/>
      <c r="D308" s="4"/>
      <c r="E308" s="4"/>
      <c r="F308" s="4"/>
      <c r="G308" s="4"/>
      <c r="H308" s="4"/>
      <c r="I308" s="4"/>
      <c r="J308" s="4"/>
      <c r="K308" s="4"/>
      <c r="L308" s="4"/>
      <c r="M308" s="4"/>
      <c r="N308" s="4"/>
      <c r="O308" s="4"/>
      <c r="P308" s="4"/>
      <c r="Q308" s="4"/>
      <c r="R308" s="4"/>
      <c r="S308" s="4"/>
      <c r="T308" s="4"/>
      <c r="U308" s="4"/>
      <c r="V308" s="4"/>
      <c r="W308" s="4"/>
      <c r="X308" s="4"/>
      <c r="Y308" s="4"/>
      <c r="Z308" s="4"/>
      <c r="AA308" s="4"/>
      <c r="AB308" s="4"/>
      <c r="AC308" s="4"/>
      <c r="AD308" s="4"/>
      <c r="AE308" s="4"/>
      <c r="AF308" s="4"/>
      <c r="AG308" s="4"/>
      <c r="AH308" s="4"/>
      <c r="AI308" s="4"/>
      <c r="AJ308" s="4"/>
      <c r="AK308" s="4"/>
      <c r="AL308" s="4"/>
      <c r="AM308" s="4"/>
      <c r="AN308" s="4"/>
      <c r="AO308" s="4"/>
      <c r="AP308" s="4"/>
      <c r="AQ308" s="4"/>
      <c r="AR308" s="4"/>
      <c r="AS308" s="4"/>
      <c r="AT308" s="4"/>
      <c r="AU308" s="4"/>
      <c r="AV308" s="4"/>
      <c r="AW308" s="4"/>
      <c r="AX308" s="4"/>
      <c r="AY308" s="4"/>
      <c r="AZ308" s="4"/>
      <c r="BA308" s="4"/>
      <c r="BB308" s="4"/>
      <c r="BC308" s="4"/>
      <c r="BD308" s="4"/>
      <c r="BE308" s="4"/>
      <c r="BF308" s="4"/>
      <c r="BG308" s="4"/>
      <c r="BH308" s="4"/>
      <c r="BI308" s="4"/>
      <c r="BJ308" s="4"/>
      <c r="BK308" s="4"/>
      <c r="BL308" s="4"/>
      <c r="BM308" s="4"/>
      <c r="BN308" s="4"/>
    </row>
    <row r="309" ht="13.5" customHeight="1" spans="1:66" x14ac:dyDescent="0.25">
      <c r="A309" s="4"/>
      <c r="B309" s="4"/>
      <c r="C309" s="533"/>
      <c r="D309" s="4"/>
      <c r="E309" s="4"/>
      <c r="F309" s="4"/>
      <c r="G309" s="4"/>
      <c r="H309" s="4"/>
      <c r="I309" s="4"/>
      <c r="J309" s="4"/>
      <c r="K309" s="4"/>
      <c r="L309" s="4"/>
      <c r="M309" s="4"/>
      <c r="N309" s="4"/>
      <c r="O309" s="4"/>
      <c r="P309" s="4"/>
      <c r="Q309" s="4"/>
      <c r="R309" s="4"/>
      <c r="S309" s="4"/>
      <c r="T309" s="4"/>
      <c r="U309" s="4"/>
      <c r="V309" s="4"/>
      <c r="W309" s="4"/>
      <c r="X309" s="4"/>
      <c r="Y309" s="4"/>
      <c r="Z309" s="4"/>
      <c r="AA309" s="4"/>
      <c r="AB309" s="4"/>
      <c r="AC309" s="4"/>
      <c r="AD309" s="4"/>
      <c r="AE309" s="4"/>
      <c r="AF309" s="4"/>
      <c r="AG309" s="4"/>
      <c r="AH309" s="4"/>
      <c r="AI309" s="4"/>
      <c r="AJ309" s="4"/>
      <c r="AK309" s="4"/>
      <c r="AL309" s="4"/>
      <c r="AM309" s="4"/>
      <c r="AN309" s="4"/>
      <c r="AO309" s="4"/>
      <c r="AP309" s="4"/>
      <c r="AQ309" s="4"/>
      <c r="AR309" s="4"/>
      <c r="AS309" s="4"/>
      <c r="AT309" s="4"/>
      <c r="AU309" s="4"/>
      <c r="AV309" s="4"/>
      <c r="AW309" s="4"/>
      <c r="AX309" s="4"/>
      <c r="AY309" s="4"/>
      <c r="AZ309" s="4"/>
      <c r="BA309" s="4"/>
      <c r="BB309" s="4"/>
      <c r="BC309" s="4"/>
      <c r="BD309" s="4"/>
      <c r="BE309" s="4"/>
      <c r="BF309" s="4"/>
      <c r="BG309" s="4"/>
      <c r="BH309" s="4"/>
      <c r="BI309" s="4"/>
      <c r="BJ309" s="4"/>
      <c r="BK309" s="4"/>
      <c r="BL309" s="4"/>
      <c r="BM309" s="4"/>
      <c r="BN309" s="4"/>
    </row>
    <row r="310" ht="13.5" customHeight="1" spans="1:66" x14ac:dyDescent="0.25">
      <c r="A310" s="4"/>
      <c r="B310" s="4"/>
      <c r="C310" s="533"/>
      <c r="D310" s="4"/>
      <c r="E310" s="4"/>
      <c r="F310" s="4"/>
      <c r="G310" s="4"/>
      <c r="H310" s="4"/>
      <c r="I310" s="4"/>
      <c r="J310" s="4"/>
      <c r="K310" s="4"/>
      <c r="L310" s="4"/>
      <c r="M310" s="4"/>
      <c r="N310" s="4"/>
      <c r="O310" s="4"/>
      <c r="P310" s="4"/>
      <c r="Q310" s="4"/>
      <c r="R310" s="4"/>
      <c r="S310" s="4"/>
      <c r="T310" s="4"/>
      <c r="U310" s="4"/>
      <c r="V310" s="4"/>
      <c r="W310" s="4"/>
      <c r="X310" s="4"/>
      <c r="Y310" s="4"/>
      <c r="Z310" s="4"/>
      <c r="AA310" s="4"/>
      <c r="AB310" s="4"/>
      <c r="AC310" s="4"/>
      <c r="AD310" s="4"/>
      <c r="AE310" s="4"/>
      <c r="AF310" s="4"/>
      <c r="AG310" s="4"/>
      <c r="AH310" s="4"/>
      <c r="AI310" s="4"/>
      <c r="AJ310" s="4"/>
      <c r="AK310" s="4"/>
      <c r="AL310" s="4"/>
      <c r="AM310" s="4"/>
      <c r="AN310" s="4"/>
      <c r="AO310" s="4"/>
      <c r="AP310" s="4"/>
      <c r="AQ310" s="4"/>
      <c r="AR310" s="4"/>
      <c r="AS310" s="4"/>
      <c r="AT310" s="4"/>
      <c r="AU310" s="4"/>
      <c r="AV310" s="4"/>
      <c r="AW310" s="4"/>
      <c r="AX310" s="4"/>
      <c r="AY310" s="4"/>
      <c r="AZ310" s="4"/>
      <c r="BA310" s="4"/>
      <c r="BB310" s="4"/>
      <c r="BC310" s="4"/>
      <c r="BD310" s="4"/>
      <c r="BE310" s="4"/>
      <c r="BF310" s="4"/>
      <c r="BG310" s="4"/>
      <c r="BH310" s="4"/>
      <c r="BI310" s="4"/>
      <c r="BJ310" s="4"/>
      <c r="BK310" s="4"/>
      <c r="BL310" s="4"/>
      <c r="BM310" s="4"/>
      <c r="BN310" s="4"/>
    </row>
    <row r="311" ht="13.5" customHeight="1" spans="1:66" x14ac:dyDescent="0.25">
      <c r="A311" s="4"/>
      <c r="B311" s="4"/>
      <c r="C311" s="533"/>
      <c r="D311" s="4"/>
      <c r="E311" s="4"/>
      <c r="F311" s="4"/>
      <c r="G311" s="4"/>
      <c r="H311" s="4"/>
      <c r="I311" s="4"/>
      <c r="J311" s="4"/>
      <c r="K311" s="4"/>
      <c r="L311" s="4"/>
      <c r="M311" s="4"/>
      <c r="N311" s="4"/>
      <c r="O311" s="4"/>
      <c r="P311" s="4"/>
      <c r="Q311" s="4"/>
      <c r="R311" s="4"/>
      <c r="S311" s="4"/>
      <c r="T311" s="4"/>
      <c r="U311" s="4"/>
      <c r="V311" s="4"/>
      <c r="W311" s="4"/>
      <c r="X311" s="4"/>
      <c r="Y311" s="4"/>
      <c r="Z311" s="4"/>
      <c r="AA311" s="4"/>
      <c r="AB311" s="4"/>
      <c r="AC311" s="4"/>
      <c r="AD311" s="4"/>
      <c r="AE311" s="4"/>
      <c r="AF311" s="4"/>
      <c r="AG311" s="4"/>
      <c r="AH311" s="4"/>
      <c r="AI311" s="4"/>
      <c r="AJ311" s="4"/>
      <c r="AK311" s="4"/>
      <c r="AL311" s="4"/>
      <c r="AM311" s="4"/>
      <c r="AN311" s="4"/>
      <c r="AO311" s="4"/>
      <c r="AP311" s="4"/>
      <c r="AQ311" s="4"/>
      <c r="AR311" s="4"/>
      <c r="AS311" s="4"/>
      <c r="AT311" s="4"/>
      <c r="AU311" s="4"/>
      <c r="AV311" s="4"/>
      <c r="AW311" s="4"/>
      <c r="AX311" s="4"/>
      <c r="AY311" s="4"/>
      <c r="AZ311" s="4"/>
      <c r="BA311" s="4"/>
      <c r="BB311" s="4"/>
      <c r="BC311" s="4"/>
      <c r="BD311" s="4"/>
      <c r="BE311" s="4"/>
      <c r="BF311" s="4"/>
      <c r="BG311" s="4"/>
      <c r="BH311" s="4"/>
      <c r="BI311" s="4"/>
      <c r="BJ311" s="4"/>
      <c r="BK311" s="4"/>
      <c r="BL311" s="4"/>
      <c r="BM311" s="4"/>
      <c r="BN311" s="4"/>
    </row>
    <row r="312" ht="13.5" customHeight="1" spans="1:66" x14ac:dyDescent="0.25">
      <c r="A312" s="4"/>
      <c r="B312" s="4"/>
      <c r="C312" s="533"/>
      <c r="D312" s="4"/>
      <c r="E312" s="4"/>
      <c r="F312" s="4"/>
      <c r="G312" s="4"/>
      <c r="H312" s="4"/>
      <c r="I312" s="4"/>
      <c r="J312" s="4"/>
      <c r="K312" s="4"/>
      <c r="L312" s="4"/>
      <c r="M312" s="4"/>
      <c r="N312" s="4"/>
      <c r="O312" s="4"/>
      <c r="P312" s="4"/>
      <c r="Q312" s="4"/>
      <c r="R312" s="4"/>
      <c r="S312" s="4"/>
      <c r="T312" s="4"/>
      <c r="U312" s="4"/>
      <c r="V312" s="4"/>
      <c r="W312" s="4"/>
      <c r="X312" s="4"/>
      <c r="Y312" s="4"/>
      <c r="Z312" s="4"/>
      <c r="AA312" s="4"/>
      <c r="AB312" s="4"/>
      <c r="AC312" s="4"/>
      <c r="AD312" s="4"/>
      <c r="AE312" s="4"/>
      <c r="AF312" s="4"/>
      <c r="AG312" s="4"/>
      <c r="AH312" s="4"/>
      <c r="AI312" s="4"/>
      <c r="AJ312" s="4"/>
      <c r="AK312" s="4"/>
      <c r="AL312" s="4"/>
      <c r="AM312" s="4"/>
      <c r="AN312" s="4"/>
      <c r="AO312" s="4"/>
      <c r="AP312" s="4"/>
      <c r="AQ312" s="4"/>
      <c r="AR312" s="4"/>
      <c r="AS312" s="4"/>
      <c r="AT312" s="4"/>
      <c r="AU312" s="4"/>
      <c r="AV312" s="4"/>
      <c r="AW312" s="4"/>
      <c r="AX312" s="4"/>
      <c r="AY312" s="4"/>
      <c r="AZ312" s="4"/>
      <c r="BA312" s="4"/>
      <c r="BB312" s="4"/>
      <c r="BC312" s="4"/>
      <c r="BD312" s="4"/>
      <c r="BE312" s="4"/>
      <c r="BF312" s="4"/>
      <c r="BG312" s="4"/>
      <c r="BH312" s="4"/>
      <c r="BI312" s="4"/>
      <c r="BJ312" s="4"/>
      <c r="BK312" s="4"/>
      <c r="BL312" s="4"/>
      <c r="BM312" s="4"/>
      <c r="BN312" s="4"/>
    </row>
    <row r="313" ht="13.5" customHeight="1" spans="1:66" x14ac:dyDescent="0.25">
      <c r="A313" s="4"/>
      <c r="B313" s="4"/>
      <c r="C313" s="533"/>
      <c r="D313" s="4"/>
      <c r="E313" s="4"/>
      <c r="F313" s="4"/>
      <c r="G313" s="4"/>
      <c r="H313" s="4"/>
      <c r="I313" s="4"/>
      <c r="J313" s="4"/>
      <c r="K313" s="4"/>
      <c r="L313" s="4"/>
      <c r="M313" s="4"/>
      <c r="N313" s="4"/>
      <c r="O313" s="4"/>
      <c r="P313" s="4"/>
      <c r="Q313" s="4"/>
      <c r="R313" s="4"/>
      <c r="S313" s="4"/>
      <c r="T313" s="4"/>
      <c r="U313" s="4"/>
      <c r="V313" s="4"/>
      <c r="W313" s="4"/>
      <c r="X313" s="4"/>
      <c r="Y313" s="4"/>
      <c r="Z313" s="4"/>
      <c r="AA313" s="4"/>
      <c r="AB313" s="4"/>
      <c r="AC313" s="4"/>
      <c r="AD313" s="4"/>
      <c r="AE313" s="4"/>
      <c r="AF313" s="4"/>
      <c r="AG313" s="4"/>
      <c r="AH313" s="4"/>
      <c r="AI313" s="4"/>
      <c r="AJ313" s="4"/>
      <c r="AK313" s="4"/>
      <c r="AL313" s="4"/>
      <c r="AM313" s="4"/>
      <c r="AN313" s="4"/>
      <c r="AO313" s="4"/>
      <c r="AP313" s="4"/>
      <c r="AQ313" s="4"/>
      <c r="AR313" s="4"/>
      <c r="AS313" s="4"/>
      <c r="AT313" s="4"/>
      <c r="AU313" s="4"/>
      <c r="AV313" s="4"/>
      <c r="AW313" s="4"/>
      <c r="AX313" s="4"/>
      <c r="AY313" s="4"/>
      <c r="AZ313" s="4"/>
      <c r="BA313" s="4"/>
      <c r="BB313" s="4"/>
      <c r="BC313" s="4"/>
      <c r="BD313" s="4"/>
      <c r="BE313" s="4"/>
      <c r="BF313" s="4"/>
      <c r="BG313" s="4"/>
      <c r="BH313" s="4"/>
      <c r="BI313" s="4"/>
      <c r="BJ313" s="4"/>
      <c r="BK313" s="4"/>
      <c r="BL313" s="4"/>
      <c r="BM313" s="4"/>
      <c r="BN313" s="4"/>
    </row>
    <row r="314" ht="13.5" customHeight="1" spans="1:66" x14ac:dyDescent="0.25">
      <c r="A314" s="4"/>
      <c r="B314" s="4"/>
      <c r="C314" s="533"/>
      <c r="D314" s="4"/>
      <c r="E314" s="4"/>
      <c r="F314" s="4"/>
      <c r="G314" s="4"/>
      <c r="H314" s="4"/>
      <c r="I314" s="4"/>
      <c r="J314" s="4"/>
      <c r="K314" s="4"/>
      <c r="L314" s="4"/>
      <c r="M314" s="4"/>
      <c r="N314" s="4"/>
      <c r="O314" s="4"/>
      <c r="P314" s="4"/>
      <c r="Q314" s="4"/>
      <c r="R314" s="4"/>
      <c r="S314" s="4"/>
      <c r="T314" s="4"/>
      <c r="U314" s="4"/>
      <c r="V314" s="4"/>
      <c r="W314" s="4"/>
      <c r="X314" s="4"/>
      <c r="Y314" s="4"/>
      <c r="Z314" s="4"/>
      <c r="AA314" s="4"/>
      <c r="AB314" s="4"/>
      <c r="AC314" s="4"/>
      <c r="AD314" s="4"/>
      <c r="AE314" s="4"/>
      <c r="AF314" s="4"/>
      <c r="AG314" s="4"/>
      <c r="AH314" s="4"/>
      <c r="AI314" s="4"/>
      <c r="AJ314" s="4"/>
      <c r="AK314" s="4"/>
      <c r="AL314" s="4"/>
      <c r="AM314" s="4"/>
      <c r="AN314" s="4"/>
      <c r="AO314" s="4"/>
      <c r="AP314" s="4"/>
      <c r="AQ314" s="4"/>
      <c r="AR314" s="4"/>
      <c r="AS314" s="4"/>
      <c r="AT314" s="4"/>
      <c r="AU314" s="4"/>
      <c r="AV314" s="4"/>
      <c r="AW314" s="4"/>
      <c r="AX314" s="4"/>
      <c r="AY314" s="4"/>
      <c r="AZ314" s="4"/>
      <c r="BA314" s="4"/>
      <c r="BB314" s="4"/>
      <c r="BC314" s="4"/>
      <c r="BD314" s="4"/>
      <c r="BE314" s="4"/>
      <c r="BF314" s="4"/>
      <c r="BG314" s="4"/>
      <c r="BH314" s="4"/>
      <c r="BI314" s="4"/>
      <c r="BJ314" s="4"/>
      <c r="BK314" s="4"/>
      <c r="BL314" s="4"/>
      <c r="BM314" s="4"/>
      <c r="BN314" s="4"/>
    </row>
    <row r="315" ht="13.5" customHeight="1" spans="1:66" x14ac:dyDescent="0.25">
      <c r="A315" s="4"/>
      <c r="B315" s="4"/>
      <c r="C315" s="533"/>
      <c r="D315" s="4"/>
      <c r="E315" s="4"/>
      <c r="F315" s="4"/>
      <c r="G315" s="4"/>
      <c r="H315" s="4"/>
      <c r="I315" s="4"/>
      <c r="J315" s="4"/>
      <c r="K315" s="4"/>
      <c r="L315" s="4"/>
      <c r="M315" s="4"/>
      <c r="N315" s="4"/>
      <c r="O315" s="4"/>
      <c r="P315" s="4"/>
      <c r="Q315" s="4"/>
      <c r="R315" s="4"/>
      <c r="S315" s="4"/>
      <c r="T315" s="4"/>
      <c r="U315" s="4"/>
      <c r="V315" s="4"/>
      <c r="W315" s="4"/>
      <c r="X315" s="4"/>
      <c r="Y315" s="4"/>
      <c r="Z315" s="4"/>
      <c r="AA315" s="4"/>
      <c r="AB315" s="4"/>
      <c r="AC315" s="4"/>
      <c r="AD315" s="4"/>
      <c r="AE315" s="4"/>
      <c r="AF315" s="4"/>
      <c r="AG315" s="4"/>
      <c r="AH315" s="4"/>
      <c r="AI315" s="4"/>
      <c r="AJ315" s="4"/>
      <c r="AK315" s="4"/>
      <c r="AL315" s="4"/>
      <c r="AM315" s="4"/>
      <c r="AN315" s="4"/>
      <c r="AO315" s="4"/>
      <c r="AP315" s="4"/>
      <c r="AQ315" s="4"/>
      <c r="AR315" s="4"/>
      <c r="AS315" s="4"/>
      <c r="AT315" s="4"/>
      <c r="AU315" s="4"/>
      <c r="AV315" s="4"/>
      <c r="AW315" s="4"/>
      <c r="AX315" s="4"/>
      <c r="AY315" s="4"/>
      <c r="AZ315" s="4"/>
      <c r="BA315" s="4"/>
      <c r="BB315" s="4"/>
      <c r="BC315" s="4"/>
      <c r="BD315" s="4"/>
      <c r="BE315" s="4"/>
      <c r="BF315" s="4"/>
      <c r="BG315" s="4"/>
      <c r="BH315" s="4"/>
      <c r="BI315" s="4"/>
      <c r="BJ315" s="4"/>
      <c r="BK315" s="4"/>
      <c r="BL315" s="4"/>
      <c r="BM315" s="4"/>
      <c r="BN315" s="4"/>
    </row>
    <row r="316" ht="13.5" customHeight="1" spans="1:66" x14ac:dyDescent="0.25">
      <c r="A316" s="4"/>
      <c r="B316" s="4"/>
      <c r="C316" s="533"/>
      <c r="D316" s="4"/>
      <c r="E316" s="4"/>
      <c r="F316" s="4"/>
      <c r="G316" s="4"/>
      <c r="H316" s="4"/>
      <c r="I316" s="4"/>
      <c r="J316" s="4"/>
      <c r="K316" s="4"/>
      <c r="L316" s="4"/>
      <c r="M316" s="4"/>
      <c r="N316" s="4"/>
      <c r="O316" s="4"/>
      <c r="P316" s="4"/>
      <c r="Q316" s="4"/>
      <c r="R316" s="4"/>
      <c r="S316" s="4"/>
      <c r="T316" s="4"/>
      <c r="U316" s="4"/>
      <c r="V316" s="4"/>
      <c r="W316" s="4"/>
      <c r="X316" s="4"/>
      <c r="Y316" s="4"/>
      <c r="Z316" s="4"/>
      <c r="AA316" s="4"/>
      <c r="AB316" s="4"/>
      <c r="AC316" s="4"/>
      <c r="AD316" s="4"/>
      <c r="AE316" s="4"/>
      <c r="AF316" s="4"/>
      <c r="AG316" s="4"/>
      <c r="AH316" s="4"/>
      <c r="AI316" s="4"/>
      <c r="AJ316" s="4"/>
      <c r="AK316" s="4"/>
      <c r="AL316" s="4"/>
      <c r="AM316" s="4"/>
      <c r="AN316" s="4"/>
      <c r="AO316" s="4"/>
      <c r="AP316" s="4"/>
      <c r="AQ316" s="4"/>
      <c r="AR316" s="4"/>
      <c r="AS316" s="4"/>
      <c r="AT316" s="4"/>
      <c r="AU316" s="4"/>
      <c r="AV316" s="4"/>
      <c r="AW316" s="4"/>
      <c r="AX316" s="4"/>
      <c r="AY316" s="4"/>
      <c r="AZ316" s="4"/>
      <c r="BA316" s="4"/>
      <c r="BB316" s="4"/>
      <c r="BC316" s="4"/>
      <c r="BD316" s="4"/>
      <c r="BE316" s="4"/>
      <c r="BF316" s="4"/>
      <c r="BG316" s="4"/>
      <c r="BH316" s="4"/>
      <c r="BI316" s="4"/>
      <c r="BJ316" s="4"/>
      <c r="BK316" s="4"/>
      <c r="BL316" s="4"/>
      <c r="BM316" s="4"/>
      <c r="BN316" s="4"/>
    </row>
    <row r="317" ht="13.5" customHeight="1" spans="1:66" x14ac:dyDescent="0.25">
      <c r="A317" s="4"/>
      <c r="B317" s="4"/>
      <c r="C317" s="533"/>
      <c r="D317" s="4"/>
      <c r="E317" s="4"/>
      <c r="F317" s="4"/>
      <c r="G317" s="4"/>
      <c r="H317" s="4"/>
      <c r="I317" s="4"/>
      <c r="J317" s="4"/>
      <c r="K317" s="4"/>
      <c r="L317" s="4"/>
      <c r="M317" s="4"/>
      <c r="N317" s="4"/>
      <c r="O317" s="4"/>
      <c r="P317" s="4"/>
      <c r="Q317" s="4"/>
      <c r="R317" s="4"/>
      <c r="S317" s="4"/>
      <c r="T317" s="4"/>
      <c r="U317" s="4"/>
      <c r="V317" s="4"/>
      <c r="W317" s="4"/>
      <c r="X317" s="4"/>
      <c r="Y317" s="4"/>
      <c r="Z317" s="4"/>
      <c r="AA317" s="4"/>
      <c r="AB317" s="4"/>
      <c r="AC317" s="4"/>
      <c r="AD317" s="4"/>
      <c r="AE317" s="4"/>
      <c r="AF317" s="4"/>
      <c r="AG317" s="4"/>
      <c r="AH317" s="4"/>
      <c r="AI317" s="4"/>
      <c r="AJ317" s="4"/>
      <c r="AK317" s="4"/>
      <c r="AL317" s="4"/>
      <c r="AM317" s="4"/>
      <c r="AN317" s="4"/>
      <c r="AO317" s="4"/>
      <c r="AP317" s="4"/>
      <c r="AQ317" s="4"/>
      <c r="AR317" s="4"/>
      <c r="AS317" s="4"/>
      <c r="AT317" s="4"/>
      <c r="AU317" s="4"/>
      <c r="AV317" s="4"/>
      <c r="AW317" s="4"/>
      <c r="AX317" s="4"/>
      <c r="AY317" s="4"/>
      <c r="AZ317" s="4"/>
      <c r="BA317" s="4"/>
      <c r="BB317" s="4"/>
      <c r="BC317" s="4"/>
      <c r="BD317" s="4"/>
      <c r="BE317" s="4"/>
      <c r="BF317" s="4"/>
      <c r="BG317" s="4"/>
      <c r="BH317" s="4"/>
      <c r="BI317" s="4"/>
      <c r="BJ317" s="4"/>
      <c r="BK317" s="4"/>
      <c r="BL317" s="4"/>
      <c r="BM317" s="4"/>
      <c r="BN317" s="4"/>
    </row>
    <row r="318" ht="13.5" customHeight="1" spans="1:66" x14ac:dyDescent="0.25">
      <c r="A318" s="4"/>
      <c r="B318" s="4"/>
      <c r="C318" s="533"/>
      <c r="D318" s="4"/>
      <c r="E318" s="4"/>
      <c r="F318" s="4"/>
      <c r="G318" s="4"/>
      <c r="H318" s="4"/>
      <c r="I318" s="4"/>
      <c r="J318" s="4"/>
      <c r="K318" s="4"/>
      <c r="L318" s="4"/>
      <c r="M318" s="4"/>
      <c r="N318" s="4"/>
      <c r="O318" s="4"/>
      <c r="P318" s="4"/>
      <c r="Q318" s="4"/>
      <c r="R318" s="4"/>
      <c r="S318" s="4"/>
      <c r="T318" s="4"/>
      <c r="U318" s="4"/>
      <c r="V318" s="4"/>
      <c r="W318" s="4"/>
      <c r="X318" s="4"/>
      <c r="Y318" s="4"/>
      <c r="Z318" s="4"/>
      <c r="AA318" s="4"/>
      <c r="AB318" s="4"/>
      <c r="AC318" s="4"/>
      <c r="AD318" s="4"/>
      <c r="AE318" s="4"/>
      <c r="AF318" s="4"/>
      <c r="AG318" s="4"/>
      <c r="AH318" s="4"/>
      <c r="AI318" s="4"/>
      <c r="AJ318" s="4"/>
      <c r="AK318" s="4"/>
      <c r="AL318" s="4"/>
      <c r="AM318" s="4"/>
      <c r="AN318" s="4"/>
      <c r="AO318" s="4"/>
      <c r="AP318" s="4"/>
      <c r="AQ318" s="4"/>
      <c r="AR318" s="4"/>
      <c r="AS318" s="4"/>
      <c r="AT318" s="4"/>
      <c r="AU318" s="4"/>
      <c r="AV318" s="4"/>
      <c r="AW318" s="4"/>
      <c r="AX318" s="4"/>
      <c r="AY318" s="4"/>
      <c r="AZ318" s="4"/>
      <c r="BA318" s="4"/>
      <c r="BB318" s="4"/>
      <c r="BC318" s="4"/>
      <c r="BD318" s="4"/>
      <c r="BE318" s="4"/>
      <c r="BF318" s="4"/>
      <c r="BG318" s="4"/>
      <c r="BH318" s="4"/>
      <c r="BI318" s="4"/>
      <c r="BJ318" s="4"/>
      <c r="BK318" s="4"/>
      <c r="BL318" s="4"/>
      <c r="BM318" s="4"/>
      <c r="BN318" s="4"/>
    </row>
    <row r="319" ht="13.5" customHeight="1" spans="1:66" x14ac:dyDescent="0.25">
      <c r="A319" s="4"/>
      <c r="B319" s="4"/>
      <c r="C319" s="533"/>
      <c r="D319" s="4"/>
      <c r="E319" s="4"/>
      <c r="F319" s="4"/>
      <c r="G319" s="4"/>
      <c r="H319" s="4"/>
      <c r="I319" s="4"/>
      <c r="J319" s="4"/>
      <c r="K319" s="4"/>
      <c r="L319" s="4"/>
      <c r="M319" s="4"/>
      <c r="N319" s="4"/>
      <c r="O319" s="4"/>
      <c r="P319" s="4"/>
      <c r="Q319" s="4"/>
      <c r="R319" s="4"/>
      <c r="S319" s="4"/>
      <c r="T319" s="4"/>
      <c r="U319" s="4"/>
      <c r="V319" s="4"/>
      <c r="W319" s="4"/>
      <c r="X319" s="4"/>
      <c r="Y319" s="4"/>
      <c r="Z319" s="4"/>
      <c r="AA319" s="4"/>
      <c r="AB319" s="4"/>
      <c r="AC319" s="4"/>
      <c r="AD319" s="4"/>
      <c r="AE319" s="4"/>
      <c r="AF319" s="4"/>
      <c r="AG319" s="4"/>
      <c r="AH319" s="4"/>
      <c r="AI319" s="4"/>
      <c r="AJ319" s="4"/>
      <c r="AK319" s="4"/>
      <c r="AL319" s="4"/>
      <c r="AM319" s="4"/>
      <c r="AN319" s="4"/>
      <c r="AO319" s="4"/>
      <c r="AP319" s="4"/>
      <c r="AQ319" s="4"/>
      <c r="AR319" s="4"/>
      <c r="AS319" s="4"/>
      <c r="AT319" s="4"/>
      <c r="AU319" s="4"/>
      <c r="AV319" s="4"/>
      <c r="AW319" s="4"/>
      <c r="AX319" s="4"/>
      <c r="AY319" s="4"/>
      <c r="AZ319" s="4"/>
      <c r="BA319" s="4"/>
      <c r="BB319" s="4"/>
      <c r="BC319" s="4"/>
      <c r="BD319" s="4"/>
      <c r="BE319" s="4"/>
      <c r="BF319" s="4"/>
      <c r="BG319" s="4"/>
      <c r="BH319" s="4"/>
      <c r="BI319" s="4"/>
      <c r="BJ319" s="4"/>
      <c r="BK319" s="4"/>
      <c r="BL319" s="4"/>
      <c r="BM319" s="4"/>
      <c r="BN319" s="4"/>
    </row>
    <row r="320" ht="13.5" customHeight="1" spans="1:66" x14ac:dyDescent="0.25">
      <c r="A320" s="4"/>
      <c r="B320" s="4"/>
      <c r="C320" s="533"/>
      <c r="D320" s="4"/>
      <c r="E320" s="4"/>
      <c r="F320" s="4"/>
      <c r="G320" s="4"/>
      <c r="H320" s="4"/>
      <c r="I320" s="4"/>
      <c r="J320" s="4"/>
      <c r="K320" s="4"/>
      <c r="L320" s="4"/>
      <c r="M320" s="4"/>
      <c r="N320" s="4"/>
      <c r="O320" s="4"/>
      <c r="P320" s="4"/>
      <c r="Q320" s="4"/>
      <c r="R320" s="4"/>
      <c r="S320" s="4"/>
      <c r="T320" s="4"/>
      <c r="U320" s="4"/>
      <c r="V320" s="4"/>
      <c r="W320" s="4"/>
      <c r="X320" s="4"/>
      <c r="Y320" s="4"/>
      <c r="Z320" s="4"/>
      <c r="AA320" s="4"/>
      <c r="AB320" s="4"/>
      <c r="AC320" s="4"/>
      <c r="AD320" s="4"/>
      <c r="AE320" s="4"/>
      <c r="AF320" s="4"/>
      <c r="AG320" s="4"/>
      <c r="AH320" s="4"/>
      <c r="AI320" s="4"/>
      <c r="AJ320" s="4"/>
      <c r="AK320" s="4"/>
      <c r="AL320" s="4"/>
      <c r="AM320" s="4"/>
      <c r="AN320" s="4"/>
      <c r="AO320" s="4"/>
      <c r="AP320" s="4"/>
      <c r="AQ320" s="4"/>
      <c r="AR320" s="4"/>
      <c r="AS320" s="4"/>
      <c r="AT320" s="4"/>
      <c r="AU320" s="4"/>
      <c r="AV320" s="4"/>
      <c r="AW320" s="4"/>
      <c r="AX320" s="4"/>
      <c r="AY320" s="4"/>
      <c r="AZ320" s="4"/>
      <c r="BA320" s="4"/>
      <c r="BB320" s="4"/>
      <c r="BC320" s="4"/>
      <c r="BD320" s="4"/>
      <c r="BE320" s="4"/>
      <c r="BF320" s="4"/>
      <c r="BG320" s="4"/>
      <c r="BH320" s="4"/>
      <c r="BI320" s="4"/>
      <c r="BJ320" s="4"/>
      <c r="BK320" s="4"/>
      <c r="BL320" s="4"/>
      <c r="BM320" s="4"/>
      <c r="BN320" s="4"/>
    </row>
    <row r="321" ht="13.5" customHeight="1" spans="1:66" x14ac:dyDescent="0.25">
      <c r="A321" s="4"/>
      <c r="B321" s="4"/>
      <c r="C321" s="533"/>
      <c r="D321" s="4"/>
      <c r="E321" s="4"/>
      <c r="F321" s="4"/>
      <c r="G321" s="4"/>
      <c r="H321" s="4"/>
      <c r="I321" s="4"/>
      <c r="J321" s="4"/>
      <c r="K321" s="4"/>
      <c r="L321" s="4"/>
      <c r="M321" s="4"/>
      <c r="N321" s="4"/>
      <c r="O321" s="4"/>
      <c r="P321" s="4"/>
      <c r="Q321" s="4"/>
      <c r="R321" s="4"/>
      <c r="S321" s="4"/>
      <c r="T321" s="4"/>
      <c r="U321" s="4"/>
      <c r="V321" s="4"/>
      <c r="W321" s="4"/>
      <c r="X321" s="4"/>
      <c r="Y321" s="4"/>
      <c r="Z321" s="4"/>
      <c r="AA321" s="4"/>
      <c r="AB321" s="4"/>
      <c r="AC321" s="4"/>
      <c r="AD321" s="4"/>
      <c r="AE321" s="4"/>
      <c r="AF321" s="4"/>
      <c r="AG321" s="4"/>
      <c r="AH321" s="4"/>
      <c r="AI321" s="4"/>
      <c r="AJ321" s="4"/>
      <c r="AK321" s="4"/>
      <c r="AL321" s="4"/>
      <c r="AM321" s="4"/>
      <c r="AN321" s="4"/>
      <c r="AO321" s="4"/>
      <c r="AP321" s="4"/>
      <c r="AQ321" s="4"/>
      <c r="AR321" s="4"/>
      <c r="AS321" s="4"/>
      <c r="AT321" s="4"/>
      <c r="AU321" s="4"/>
      <c r="AV321" s="4"/>
      <c r="AW321" s="4"/>
      <c r="AX321" s="4"/>
      <c r="AY321" s="4"/>
      <c r="AZ321" s="4"/>
      <c r="BA321" s="4"/>
      <c r="BB321" s="4"/>
      <c r="BC321" s="4"/>
      <c r="BD321" s="4"/>
      <c r="BE321" s="4"/>
      <c r="BF321" s="4"/>
      <c r="BG321" s="4"/>
      <c r="BH321" s="4"/>
      <c r="BI321" s="4"/>
      <c r="BJ321" s="4"/>
      <c r="BK321" s="4"/>
      <c r="BL321" s="4"/>
      <c r="BM321" s="4"/>
      <c r="BN321" s="4"/>
    </row>
    <row r="322" ht="13.5" customHeight="1" spans="1:66" x14ac:dyDescent="0.25">
      <c r="A322" s="4"/>
      <c r="B322" s="4"/>
      <c r="C322" s="533"/>
      <c r="D322" s="4"/>
      <c r="E322" s="4"/>
      <c r="F322" s="4"/>
      <c r="G322" s="4"/>
      <c r="H322" s="4"/>
      <c r="I322" s="4"/>
      <c r="J322" s="4"/>
      <c r="K322" s="4"/>
      <c r="L322" s="4"/>
      <c r="M322" s="4"/>
      <c r="N322" s="4"/>
      <c r="O322" s="4"/>
      <c r="P322" s="4"/>
      <c r="Q322" s="4"/>
      <c r="R322" s="4"/>
      <c r="S322" s="4"/>
      <c r="T322" s="4"/>
      <c r="U322" s="4"/>
      <c r="V322" s="4"/>
      <c r="W322" s="4"/>
      <c r="X322" s="4"/>
      <c r="Y322" s="4"/>
      <c r="Z322" s="4"/>
      <c r="AA322" s="4"/>
      <c r="AB322" s="4"/>
      <c r="AC322" s="4"/>
      <c r="AD322" s="4"/>
      <c r="AE322" s="4"/>
      <c r="AF322" s="4"/>
      <c r="AG322" s="4"/>
      <c r="AH322" s="4"/>
      <c r="AI322" s="4"/>
      <c r="AJ322" s="4"/>
      <c r="AK322" s="4"/>
      <c r="AL322" s="4"/>
      <c r="AM322" s="4"/>
      <c r="AN322" s="4"/>
      <c r="AO322" s="4"/>
      <c r="AP322" s="4"/>
      <c r="AQ322" s="4"/>
      <c r="AR322" s="4"/>
      <c r="AS322" s="4"/>
      <c r="AT322" s="4"/>
      <c r="AU322" s="4"/>
      <c r="AV322" s="4"/>
      <c r="AW322" s="4"/>
      <c r="AX322" s="4"/>
      <c r="AY322" s="4"/>
      <c r="AZ322" s="4"/>
      <c r="BA322" s="4"/>
      <c r="BB322" s="4"/>
      <c r="BC322" s="4"/>
      <c r="BD322" s="4"/>
      <c r="BE322" s="4"/>
      <c r="BF322" s="4"/>
      <c r="BG322" s="4"/>
      <c r="BH322" s="4"/>
      <c r="BI322" s="4"/>
      <c r="BJ322" s="4"/>
      <c r="BK322" s="4"/>
      <c r="BL322" s="4"/>
      <c r="BM322" s="4"/>
      <c r="BN322" s="4"/>
    </row>
    <row r="323" ht="13.5" customHeight="1" spans="1:66" x14ac:dyDescent="0.25">
      <c r="A323" s="4"/>
      <c r="B323" s="4"/>
      <c r="C323" s="533"/>
      <c r="D323" s="4"/>
      <c r="E323" s="4"/>
      <c r="F323" s="4"/>
      <c r="G323" s="4"/>
      <c r="H323" s="4"/>
      <c r="I323" s="4"/>
      <c r="J323" s="4"/>
      <c r="K323" s="4"/>
      <c r="L323" s="4"/>
      <c r="M323" s="4"/>
      <c r="N323" s="4"/>
      <c r="O323" s="4"/>
      <c r="P323" s="4"/>
      <c r="Q323" s="4"/>
      <c r="R323" s="4"/>
      <c r="S323" s="4"/>
      <c r="T323" s="4"/>
      <c r="U323" s="4"/>
      <c r="V323" s="4"/>
      <c r="W323" s="4"/>
      <c r="X323" s="4"/>
      <c r="Y323" s="4"/>
      <c r="Z323" s="4"/>
      <c r="AA323" s="4"/>
      <c r="AB323" s="4"/>
      <c r="AC323" s="4"/>
      <c r="AD323" s="4"/>
      <c r="AE323" s="4"/>
      <c r="AF323" s="4"/>
      <c r="AG323" s="4"/>
      <c r="AH323" s="4"/>
      <c r="AI323" s="4"/>
      <c r="AJ323" s="4"/>
      <c r="AK323" s="4"/>
      <c r="AL323" s="4"/>
      <c r="AM323" s="4"/>
      <c r="AN323" s="4"/>
      <c r="AO323" s="4"/>
      <c r="AP323" s="4"/>
      <c r="AQ323" s="4"/>
      <c r="AR323" s="4"/>
      <c r="AS323" s="4"/>
      <c r="AT323" s="4"/>
      <c r="AU323" s="4"/>
      <c r="AV323" s="4"/>
      <c r="AW323" s="4"/>
      <c r="AX323" s="4"/>
      <c r="AY323" s="4"/>
      <c r="AZ323" s="4"/>
      <c r="BA323" s="4"/>
      <c r="BB323" s="4"/>
      <c r="BC323" s="4"/>
      <c r="BD323" s="4"/>
      <c r="BE323" s="4"/>
      <c r="BF323" s="4"/>
      <c r="BG323" s="4"/>
      <c r="BH323" s="4"/>
      <c r="BI323" s="4"/>
      <c r="BJ323" s="4"/>
      <c r="BK323" s="4"/>
      <c r="BL323" s="4"/>
      <c r="BM323" s="4"/>
      <c r="BN323" s="4"/>
    </row>
    <row r="324" ht="13.5" customHeight="1" spans="1:66" x14ac:dyDescent="0.25">
      <c r="A324" s="4"/>
      <c r="B324" s="4"/>
      <c r="C324" s="533"/>
      <c r="D324" s="4"/>
      <c r="E324" s="4"/>
      <c r="F324" s="4"/>
      <c r="G324" s="4"/>
      <c r="H324" s="4"/>
      <c r="I324" s="4"/>
      <c r="J324" s="4"/>
      <c r="K324" s="4"/>
      <c r="L324" s="4"/>
      <c r="M324" s="4"/>
      <c r="N324" s="4"/>
      <c r="O324" s="4"/>
      <c r="P324" s="4"/>
      <c r="Q324" s="4"/>
      <c r="R324" s="4"/>
      <c r="S324" s="4"/>
      <c r="T324" s="4"/>
      <c r="U324" s="4"/>
      <c r="V324" s="4"/>
      <c r="W324" s="4"/>
      <c r="X324" s="4"/>
      <c r="Y324" s="4"/>
      <c r="Z324" s="4"/>
      <c r="AA324" s="4"/>
      <c r="AB324" s="4"/>
      <c r="AC324" s="4"/>
      <c r="AD324" s="4"/>
      <c r="AE324" s="4"/>
      <c r="AF324" s="4"/>
      <c r="AG324" s="4"/>
      <c r="AH324" s="4"/>
      <c r="AI324" s="4"/>
      <c r="AJ324" s="4"/>
      <c r="AK324" s="4"/>
      <c r="AL324" s="4"/>
      <c r="AM324" s="4"/>
      <c r="AN324" s="4"/>
      <c r="AO324" s="4"/>
      <c r="AP324" s="4"/>
      <c r="AQ324" s="4"/>
      <c r="AR324" s="4"/>
      <c r="AS324" s="4"/>
      <c r="AT324" s="4"/>
      <c r="AU324" s="4"/>
      <c r="AV324" s="4"/>
      <c r="AW324" s="4"/>
      <c r="AX324" s="4"/>
      <c r="AY324" s="4"/>
      <c r="AZ324" s="4"/>
      <c r="BA324" s="4"/>
      <c r="BB324" s="4"/>
      <c r="BC324" s="4"/>
      <c r="BD324" s="4"/>
      <c r="BE324" s="4"/>
      <c r="BF324" s="4"/>
      <c r="BG324" s="4"/>
      <c r="BH324" s="4"/>
      <c r="BI324" s="4"/>
      <c r="BJ324" s="4"/>
      <c r="BK324" s="4"/>
      <c r="BL324" s="4"/>
      <c r="BM324" s="4"/>
      <c r="BN324" s="4"/>
    </row>
    <row r="325" ht="13.5" customHeight="1" spans="1:66" x14ac:dyDescent="0.25">
      <c r="A325" s="4"/>
      <c r="B325" s="4"/>
      <c r="C325" s="533"/>
      <c r="D325" s="4"/>
      <c r="E325" s="4"/>
      <c r="F325" s="4"/>
      <c r="G325" s="4"/>
      <c r="H325" s="4"/>
      <c r="I325" s="4"/>
      <c r="J325" s="4"/>
      <c r="K325" s="4"/>
      <c r="L325" s="4"/>
      <c r="M325" s="4"/>
      <c r="N325" s="4"/>
      <c r="O325" s="4"/>
      <c r="P325" s="4"/>
      <c r="Q325" s="4"/>
      <c r="R325" s="4"/>
      <c r="S325" s="4"/>
      <c r="T325" s="4"/>
      <c r="U325" s="4"/>
      <c r="V325" s="4"/>
      <c r="W325" s="4"/>
      <c r="X325" s="4"/>
      <c r="Y325" s="4"/>
      <c r="Z325" s="4"/>
      <c r="AA325" s="4"/>
      <c r="AB325" s="4"/>
      <c r="AC325" s="4"/>
      <c r="AD325" s="4"/>
      <c r="AE325" s="4"/>
      <c r="AF325" s="4"/>
      <c r="AG325" s="4"/>
      <c r="AH325" s="4"/>
      <c r="AI325" s="4"/>
      <c r="AJ325" s="4"/>
      <c r="AK325" s="4"/>
      <c r="AL325" s="4"/>
      <c r="AM325" s="4"/>
      <c r="AN325" s="4"/>
      <c r="AO325" s="4"/>
      <c r="AP325" s="4"/>
      <c r="AQ325" s="4"/>
      <c r="AR325" s="4"/>
      <c r="AS325" s="4"/>
      <c r="AT325" s="4"/>
      <c r="AU325" s="4"/>
      <c r="AV325" s="4"/>
      <c r="AW325" s="4"/>
      <c r="AX325" s="4"/>
      <c r="AY325" s="4"/>
      <c r="AZ325" s="4"/>
      <c r="BA325" s="4"/>
      <c r="BB325" s="4"/>
      <c r="BC325" s="4"/>
      <c r="BD325" s="4"/>
      <c r="BE325" s="4"/>
      <c r="BF325" s="4"/>
      <c r="BG325" s="4"/>
      <c r="BH325" s="4"/>
      <c r="BI325" s="4"/>
      <c r="BJ325" s="4"/>
      <c r="BK325" s="4"/>
      <c r="BL325" s="4"/>
      <c r="BM325" s="4"/>
      <c r="BN325" s="4"/>
    </row>
    <row r="326" ht="13.5" customHeight="1" spans="1:66" x14ac:dyDescent="0.25">
      <c r="A326" s="4"/>
      <c r="B326" s="4"/>
      <c r="C326" s="533"/>
      <c r="D326" s="4"/>
      <c r="E326" s="4"/>
      <c r="F326" s="4"/>
      <c r="G326" s="4"/>
      <c r="H326" s="4"/>
      <c r="I326" s="4"/>
      <c r="J326" s="4"/>
      <c r="K326" s="4"/>
      <c r="L326" s="4"/>
      <c r="M326" s="4"/>
      <c r="N326" s="4"/>
      <c r="O326" s="4"/>
      <c r="P326" s="4"/>
      <c r="Q326" s="4"/>
      <c r="R326" s="4"/>
      <c r="S326" s="4"/>
      <c r="T326" s="4"/>
      <c r="U326" s="4"/>
      <c r="V326" s="4"/>
      <c r="W326" s="4"/>
      <c r="X326" s="4"/>
      <c r="Y326" s="4"/>
      <c r="Z326" s="4"/>
      <c r="AA326" s="4"/>
      <c r="AB326" s="4"/>
      <c r="AC326" s="4"/>
      <c r="AD326" s="4"/>
      <c r="AE326" s="4"/>
      <c r="AF326" s="4"/>
      <c r="AG326" s="4"/>
      <c r="AH326" s="4"/>
      <c r="AI326" s="4"/>
      <c r="AJ326" s="4"/>
      <c r="AK326" s="4"/>
      <c r="AL326" s="4"/>
      <c r="AM326" s="4"/>
      <c r="AN326" s="4"/>
      <c r="AO326" s="4"/>
      <c r="AP326" s="4"/>
      <c r="AQ326" s="4"/>
      <c r="AR326" s="4"/>
      <c r="AS326" s="4"/>
      <c r="AT326" s="4"/>
      <c r="AU326" s="4"/>
      <c r="AV326" s="4"/>
      <c r="AW326" s="4"/>
      <c r="AX326" s="4"/>
      <c r="AY326" s="4"/>
      <c r="AZ326" s="4"/>
      <c r="BA326" s="4"/>
      <c r="BB326" s="4"/>
      <c r="BC326" s="4"/>
      <c r="BD326" s="4"/>
      <c r="BE326" s="4"/>
      <c r="BF326" s="4"/>
      <c r="BG326" s="4"/>
      <c r="BH326" s="4"/>
      <c r="BI326" s="4"/>
      <c r="BJ326" s="4"/>
      <c r="BK326" s="4"/>
      <c r="BL326" s="4"/>
      <c r="BM326" s="4"/>
      <c r="BN326" s="4"/>
    </row>
    <row r="327" ht="13.5" customHeight="1" spans="1:66" x14ac:dyDescent="0.25">
      <c r="A327" s="4"/>
      <c r="B327" s="4"/>
      <c r="C327" s="533"/>
      <c r="D327" s="4"/>
      <c r="E327" s="4"/>
      <c r="F327" s="4"/>
      <c r="G327" s="4"/>
      <c r="H327" s="4"/>
      <c r="I327" s="4"/>
      <c r="J327" s="4"/>
      <c r="K327" s="4"/>
      <c r="L327" s="4"/>
      <c r="M327" s="4"/>
      <c r="N327" s="4"/>
      <c r="O327" s="4"/>
      <c r="P327" s="4"/>
      <c r="Q327" s="4"/>
      <c r="R327" s="4"/>
      <c r="S327" s="4"/>
      <c r="T327" s="4"/>
      <c r="U327" s="4"/>
      <c r="V327" s="4"/>
      <c r="W327" s="4"/>
      <c r="X327" s="4"/>
      <c r="Y327" s="4"/>
      <c r="Z327" s="4"/>
      <c r="AA327" s="4"/>
      <c r="AB327" s="4"/>
      <c r="AC327" s="4"/>
      <c r="AD327" s="4"/>
      <c r="AE327" s="4"/>
      <c r="AF327" s="4"/>
      <c r="AG327" s="4"/>
      <c r="AH327" s="4"/>
      <c r="AI327" s="4"/>
      <c r="AJ327" s="4"/>
      <c r="AK327" s="4"/>
      <c r="AL327" s="4"/>
      <c r="AM327" s="4"/>
      <c r="AN327" s="4"/>
      <c r="AO327" s="4"/>
      <c r="AP327" s="4"/>
      <c r="AQ327" s="4"/>
      <c r="AR327" s="4"/>
      <c r="AS327" s="4"/>
      <c r="AT327" s="4"/>
      <c r="AU327" s="4"/>
      <c r="AV327" s="4"/>
      <c r="AW327" s="4"/>
      <c r="AX327" s="4"/>
      <c r="AY327" s="4"/>
      <c r="AZ327" s="4"/>
      <c r="BA327" s="4"/>
      <c r="BB327" s="4"/>
      <c r="BC327" s="4"/>
      <c r="BD327" s="4"/>
      <c r="BE327" s="4"/>
      <c r="BF327" s="4"/>
      <c r="BG327" s="4"/>
      <c r="BH327" s="4"/>
      <c r="BI327" s="4"/>
      <c r="BJ327" s="4"/>
      <c r="BK327" s="4"/>
      <c r="BL327" s="4"/>
      <c r="BM327" s="4"/>
      <c r="BN327" s="4"/>
    </row>
    <row r="328" ht="13.5" customHeight="1" spans="1:66" x14ac:dyDescent="0.25">
      <c r="A328" s="4"/>
      <c r="B328" s="4"/>
      <c r="C328" s="533"/>
      <c r="D328" s="4"/>
      <c r="E328" s="4"/>
      <c r="F328" s="4"/>
      <c r="G328" s="4"/>
      <c r="H328" s="4"/>
      <c r="I328" s="4"/>
      <c r="J328" s="4"/>
      <c r="K328" s="4"/>
      <c r="L328" s="4"/>
      <c r="M328" s="4"/>
      <c r="N328" s="4"/>
      <c r="O328" s="4"/>
      <c r="P328" s="4"/>
      <c r="Q328" s="4"/>
      <c r="R328" s="4"/>
      <c r="S328" s="4"/>
      <c r="T328" s="4"/>
      <c r="U328" s="4"/>
      <c r="V328" s="4"/>
      <c r="W328" s="4"/>
      <c r="X328" s="4"/>
      <c r="Y328" s="4"/>
      <c r="Z328" s="4"/>
      <c r="AA328" s="4"/>
      <c r="AB328" s="4"/>
      <c r="AC328" s="4"/>
      <c r="AD328" s="4"/>
      <c r="AE328" s="4"/>
      <c r="AF328" s="4"/>
      <c r="AG328" s="4"/>
      <c r="AH328" s="4"/>
      <c r="AI328" s="4"/>
      <c r="AJ328" s="4"/>
      <c r="AK328" s="4"/>
      <c r="AL328" s="4"/>
      <c r="AM328" s="4"/>
      <c r="AN328" s="4"/>
      <c r="AO328" s="4"/>
      <c r="AP328" s="4"/>
      <c r="AQ328" s="4"/>
      <c r="AR328" s="4"/>
      <c r="AS328" s="4"/>
      <c r="AT328" s="4"/>
      <c r="AU328" s="4"/>
      <c r="AV328" s="4"/>
      <c r="AW328" s="4"/>
      <c r="AX328" s="4"/>
      <c r="AY328" s="4"/>
      <c r="AZ328" s="4"/>
      <c r="BA328" s="4"/>
      <c r="BB328" s="4"/>
      <c r="BC328" s="4"/>
      <c r="BD328" s="4"/>
      <c r="BE328" s="4"/>
      <c r="BF328" s="4"/>
      <c r="BG328" s="4"/>
      <c r="BH328" s="4"/>
      <c r="BI328" s="4"/>
      <c r="BJ328" s="4"/>
      <c r="BK328" s="4"/>
      <c r="BL328" s="4"/>
      <c r="BM328" s="4"/>
      <c r="BN328" s="4"/>
    </row>
    <row r="329" ht="13.5" customHeight="1" spans="1:66" x14ac:dyDescent="0.25">
      <c r="A329" s="4"/>
      <c r="B329" s="4"/>
      <c r="C329" s="533"/>
      <c r="D329" s="4"/>
      <c r="E329" s="4"/>
      <c r="F329" s="4"/>
      <c r="G329" s="4"/>
      <c r="H329" s="4"/>
      <c r="I329" s="4"/>
      <c r="J329" s="4"/>
      <c r="K329" s="4"/>
      <c r="L329" s="4"/>
      <c r="M329" s="4"/>
      <c r="N329" s="4"/>
      <c r="O329" s="4"/>
      <c r="P329" s="4"/>
      <c r="Q329" s="4"/>
      <c r="R329" s="4"/>
      <c r="S329" s="4"/>
      <c r="T329" s="4"/>
      <c r="U329" s="4"/>
      <c r="V329" s="4"/>
      <c r="W329" s="4"/>
      <c r="X329" s="4"/>
      <c r="Y329" s="4"/>
      <c r="Z329" s="4"/>
      <c r="AA329" s="4"/>
      <c r="AB329" s="4"/>
      <c r="AC329" s="4"/>
      <c r="AD329" s="4"/>
      <c r="AE329" s="4"/>
      <c r="AF329" s="4"/>
      <c r="AG329" s="4"/>
      <c r="AH329" s="4"/>
      <c r="AI329" s="4"/>
      <c r="AJ329" s="4"/>
      <c r="AK329" s="4"/>
      <c r="AL329" s="4"/>
      <c r="AM329" s="4"/>
      <c r="AN329" s="4"/>
      <c r="AO329" s="4"/>
      <c r="AP329" s="4"/>
      <c r="AQ329" s="4"/>
      <c r="AR329" s="4"/>
      <c r="AS329" s="4"/>
      <c r="AT329" s="4"/>
      <c r="AU329" s="4"/>
      <c r="AV329" s="4"/>
      <c r="AW329" s="4"/>
      <c r="AX329" s="4"/>
      <c r="AY329" s="4"/>
      <c r="AZ329" s="4"/>
      <c r="BA329" s="4"/>
      <c r="BB329" s="4"/>
      <c r="BC329" s="4"/>
      <c r="BD329" s="4"/>
      <c r="BE329" s="4"/>
      <c r="BF329" s="4"/>
      <c r="BG329" s="4"/>
      <c r="BH329" s="4"/>
      <c r="BI329" s="4"/>
      <c r="BJ329" s="4"/>
      <c r="BK329" s="4"/>
      <c r="BL329" s="4"/>
      <c r="BM329" s="4"/>
      <c r="BN329" s="4"/>
    </row>
    <row r="330" ht="13.5" customHeight="1" spans="1:66" x14ac:dyDescent="0.25">
      <c r="A330" s="4"/>
      <c r="B330" s="4"/>
      <c r="C330" s="533"/>
      <c r="D330" s="4"/>
      <c r="E330" s="4"/>
      <c r="F330" s="4"/>
      <c r="G330" s="4"/>
      <c r="H330" s="4"/>
      <c r="I330" s="4"/>
      <c r="J330" s="4"/>
      <c r="K330" s="4"/>
      <c r="L330" s="4"/>
      <c r="M330" s="4"/>
      <c r="N330" s="4"/>
      <c r="O330" s="4"/>
      <c r="P330" s="4"/>
      <c r="Q330" s="4"/>
      <c r="R330" s="4"/>
      <c r="S330" s="4"/>
      <c r="T330" s="4"/>
      <c r="U330" s="4"/>
      <c r="V330" s="4"/>
      <c r="W330" s="4"/>
      <c r="X330" s="4"/>
      <c r="Y330" s="4"/>
      <c r="Z330" s="4"/>
      <c r="AA330" s="4"/>
      <c r="AB330" s="4"/>
      <c r="AC330" s="4"/>
      <c r="AD330" s="4"/>
      <c r="AE330" s="4"/>
      <c r="AF330" s="4"/>
      <c r="AG330" s="4"/>
      <c r="AH330" s="4"/>
      <c r="AI330" s="4"/>
      <c r="AJ330" s="4"/>
      <c r="AK330" s="4"/>
      <c r="AL330" s="4"/>
      <c r="AM330" s="4"/>
      <c r="AN330" s="4"/>
      <c r="AO330" s="4"/>
      <c r="AP330" s="4"/>
      <c r="AQ330" s="4"/>
      <c r="AR330" s="4"/>
      <c r="AS330" s="4"/>
      <c r="AT330" s="4"/>
      <c r="AU330" s="4"/>
      <c r="AV330" s="4"/>
      <c r="AW330" s="4"/>
      <c r="AX330" s="4"/>
      <c r="AY330" s="4"/>
      <c r="AZ330" s="4"/>
      <c r="BA330" s="4"/>
      <c r="BB330" s="4"/>
      <c r="BC330" s="4"/>
      <c r="BD330" s="4"/>
      <c r="BE330" s="4"/>
      <c r="BF330" s="4"/>
      <c r="BG330" s="4"/>
      <c r="BH330" s="4"/>
      <c r="BI330" s="4"/>
      <c r="BJ330" s="4"/>
      <c r="BK330" s="4"/>
      <c r="BL330" s="4"/>
      <c r="BM330" s="4"/>
      <c r="BN330" s="4"/>
    </row>
    <row r="331" ht="13.5" customHeight="1" spans="1:66" x14ac:dyDescent="0.25">
      <c r="A331" s="4"/>
      <c r="B331" s="4"/>
      <c r="C331" s="533"/>
      <c r="D331" s="4"/>
      <c r="E331" s="4"/>
      <c r="F331" s="4"/>
      <c r="G331" s="4"/>
      <c r="H331" s="4"/>
      <c r="I331" s="4"/>
      <c r="J331" s="4"/>
      <c r="K331" s="4"/>
      <c r="L331" s="4"/>
      <c r="M331" s="4"/>
      <c r="N331" s="4"/>
      <c r="O331" s="4"/>
      <c r="P331" s="4"/>
      <c r="Q331" s="4"/>
      <c r="R331" s="4"/>
      <c r="S331" s="4"/>
      <c r="T331" s="4"/>
      <c r="U331" s="4"/>
      <c r="V331" s="4"/>
      <c r="W331" s="4"/>
      <c r="X331" s="4"/>
      <c r="Y331" s="4"/>
      <c r="Z331" s="4"/>
      <c r="AA331" s="4"/>
      <c r="AB331" s="4"/>
      <c r="AC331" s="4"/>
      <c r="AD331" s="4"/>
      <c r="AE331" s="4"/>
      <c r="AF331" s="4"/>
      <c r="AG331" s="4"/>
      <c r="AH331" s="4"/>
      <c r="AI331" s="4"/>
      <c r="AJ331" s="4"/>
      <c r="AK331" s="4"/>
      <c r="AL331" s="4"/>
      <c r="AM331" s="4"/>
      <c r="AN331" s="4"/>
      <c r="AO331" s="4"/>
      <c r="AP331" s="4"/>
      <c r="AQ331" s="4"/>
      <c r="AR331" s="4"/>
      <c r="AS331" s="4"/>
      <c r="AT331" s="4"/>
      <c r="AU331" s="4"/>
      <c r="AV331" s="4"/>
      <c r="AW331" s="4"/>
      <c r="AX331" s="4"/>
      <c r="AY331" s="4"/>
      <c r="AZ331" s="4"/>
      <c r="BA331" s="4"/>
      <c r="BB331" s="4"/>
      <c r="BC331" s="4"/>
      <c r="BD331" s="4"/>
      <c r="BE331" s="4"/>
      <c r="BF331" s="4"/>
      <c r="BG331" s="4"/>
      <c r="BH331" s="4"/>
      <c r="BI331" s="4"/>
      <c r="BJ331" s="4"/>
      <c r="BK331" s="4"/>
      <c r="BL331" s="4"/>
      <c r="BM331" s="4"/>
      <c r="BN331" s="4"/>
    </row>
    <row r="332" ht="13.5" customHeight="1" spans="1:66" x14ac:dyDescent="0.25">
      <c r="A332" s="4"/>
      <c r="B332" s="4"/>
      <c r="C332" s="533"/>
      <c r="D332" s="4"/>
      <c r="E332" s="4"/>
      <c r="F332" s="4"/>
      <c r="G332" s="4"/>
      <c r="H332" s="4"/>
      <c r="I332" s="4"/>
      <c r="J332" s="4"/>
      <c r="K332" s="4"/>
      <c r="L332" s="4"/>
      <c r="M332" s="4"/>
      <c r="N332" s="4"/>
      <c r="O332" s="4"/>
      <c r="P332" s="4"/>
      <c r="Q332" s="4"/>
      <c r="R332" s="4"/>
      <c r="S332" s="4"/>
      <c r="T332" s="4"/>
      <c r="U332" s="4"/>
      <c r="V332" s="4"/>
      <c r="W332" s="4"/>
      <c r="X332" s="4"/>
      <c r="Y332" s="4"/>
      <c r="Z332" s="4"/>
      <c r="AA332" s="4"/>
      <c r="AB332" s="4"/>
      <c r="AC332" s="4"/>
      <c r="AD332" s="4"/>
      <c r="AE332" s="4"/>
      <c r="AF332" s="4"/>
      <c r="AG332" s="4"/>
      <c r="AH332" s="4"/>
      <c r="AI332" s="4"/>
      <c r="AJ332" s="4"/>
      <c r="AK332" s="4"/>
      <c r="AL332" s="4"/>
      <c r="AM332" s="4"/>
      <c r="AN332" s="4"/>
      <c r="AO332" s="4"/>
      <c r="AP332" s="4"/>
      <c r="AQ332" s="4"/>
      <c r="AR332" s="4"/>
      <c r="AS332" s="4"/>
      <c r="AT332" s="4"/>
      <c r="AU332" s="4"/>
      <c r="AV332" s="4"/>
      <c r="AW332" s="4"/>
      <c r="AX332" s="4"/>
      <c r="AY332" s="4"/>
      <c r="AZ332" s="4"/>
      <c r="BA332" s="4"/>
      <c r="BB332" s="4"/>
      <c r="BC332" s="4"/>
      <c r="BD332" s="4"/>
      <c r="BE332" s="4"/>
      <c r="BF332" s="4"/>
      <c r="BG332" s="4"/>
      <c r="BH332" s="4"/>
      <c r="BI332" s="4"/>
      <c r="BJ332" s="4"/>
      <c r="BK332" s="4"/>
      <c r="BL332" s="4"/>
      <c r="BM332" s="4"/>
      <c r="BN332" s="4"/>
    </row>
    <row r="333" ht="13.5" customHeight="1" spans="1:66" x14ac:dyDescent="0.25">
      <c r="A333" s="4"/>
      <c r="B333" s="4"/>
      <c r="C333" s="533"/>
      <c r="D333" s="4"/>
      <c r="E333" s="4"/>
      <c r="F333" s="4"/>
      <c r="G333" s="4"/>
      <c r="H333" s="4"/>
      <c r="I333" s="4"/>
      <c r="J333" s="4"/>
      <c r="K333" s="4"/>
      <c r="L333" s="4"/>
      <c r="M333" s="4"/>
      <c r="N333" s="4"/>
      <c r="O333" s="4"/>
      <c r="P333" s="4"/>
      <c r="Q333" s="4"/>
      <c r="R333" s="4"/>
      <c r="S333" s="4"/>
      <c r="T333" s="4"/>
      <c r="U333" s="4"/>
      <c r="V333" s="4"/>
      <c r="W333" s="4"/>
      <c r="X333" s="4"/>
      <c r="Y333" s="4"/>
      <c r="Z333" s="4"/>
      <c r="AA333" s="4"/>
      <c r="AB333" s="4"/>
      <c r="AC333" s="4"/>
      <c r="AD333" s="4"/>
      <c r="AE333" s="4"/>
      <c r="AF333" s="4"/>
      <c r="AG333" s="4"/>
      <c r="AH333" s="4"/>
      <c r="AI333" s="4"/>
      <c r="AJ333" s="4"/>
      <c r="AK333" s="4"/>
      <c r="AL333" s="4"/>
      <c r="AM333" s="4"/>
      <c r="AN333" s="4"/>
      <c r="AO333" s="4"/>
      <c r="AP333" s="4"/>
      <c r="AQ333" s="4"/>
      <c r="AR333" s="4"/>
      <c r="AS333" s="4"/>
      <c r="AT333" s="4"/>
      <c r="AU333" s="4"/>
      <c r="AV333" s="4"/>
      <c r="AW333" s="4"/>
      <c r="AX333" s="4"/>
      <c r="AY333" s="4"/>
      <c r="AZ333" s="4"/>
      <c r="BA333" s="4"/>
      <c r="BB333" s="4"/>
      <c r="BC333" s="4"/>
      <c r="BD333" s="4"/>
      <c r="BE333" s="4"/>
      <c r="BF333" s="4"/>
      <c r="BG333" s="4"/>
      <c r="BH333" s="4"/>
      <c r="BI333" s="4"/>
      <c r="BJ333" s="4"/>
      <c r="BK333" s="4"/>
      <c r="BL333" s="4"/>
      <c r="BM333" s="4"/>
      <c r="BN333" s="4"/>
    </row>
    <row r="334" ht="13.5" customHeight="1" spans="1:66" x14ac:dyDescent="0.25">
      <c r="A334" s="4"/>
      <c r="B334" s="4"/>
      <c r="C334" s="533"/>
      <c r="D334" s="4"/>
      <c r="E334" s="4"/>
      <c r="F334" s="4"/>
      <c r="G334" s="4"/>
      <c r="H334" s="4"/>
      <c r="I334" s="4"/>
      <c r="J334" s="4"/>
      <c r="K334" s="4"/>
      <c r="L334" s="4"/>
      <c r="M334" s="4"/>
      <c r="N334" s="4"/>
      <c r="O334" s="4"/>
      <c r="P334" s="4"/>
      <c r="Q334" s="4"/>
      <c r="R334" s="4"/>
      <c r="S334" s="4"/>
      <c r="T334" s="4"/>
      <c r="U334" s="4"/>
      <c r="V334" s="4"/>
      <c r="W334" s="4"/>
      <c r="X334" s="4"/>
      <c r="Y334" s="4"/>
      <c r="Z334" s="4"/>
      <c r="AA334" s="4"/>
      <c r="AB334" s="4"/>
      <c r="AC334" s="4"/>
      <c r="AD334" s="4"/>
      <c r="AE334" s="4"/>
      <c r="AF334" s="4"/>
      <c r="AG334" s="4"/>
      <c r="AH334" s="4"/>
      <c r="AI334" s="4"/>
      <c r="AJ334" s="4"/>
      <c r="AK334" s="4"/>
      <c r="AL334" s="4"/>
      <c r="AM334" s="4"/>
      <c r="AN334" s="4"/>
      <c r="AO334" s="4"/>
      <c r="AP334" s="4"/>
      <c r="AQ334" s="4"/>
      <c r="AR334" s="4"/>
      <c r="AS334" s="4"/>
      <c r="AT334" s="4"/>
      <c r="AU334" s="4"/>
      <c r="AV334" s="4"/>
      <c r="AW334" s="4"/>
      <c r="AX334" s="4"/>
      <c r="AY334" s="4"/>
      <c r="AZ334" s="4"/>
      <c r="BA334" s="4"/>
      <c r="BB334" s="4"/>
      <c r="BC334" s="4"/>
      <c r="BD334" s="4"/>
      <c r="BE334" s="4"/>
      <c r="BF334" s="4"/>
      <c r="BG334" s="4"/>
      <c r="BH334" s="4"/>
      <c r="BI334" s="4"/>
      <c r="BJ334" s="4"/>
      <c r="BK334" s="4"/>
      <c r="BL334" s="4"/>
      <c r="BM334" s="4"/>
      <c r="BN334" s="4"/>
    </row>
    <row r="335" ht="13.5" customHeight="1" spans="1:66" x14ac:dyDescent="0.25">
      <c r="A335" s="4"/>
      <c r="B335" s="4"/>
      <c r="C335" s="533"/>
      <c r="D335" s="4"/>
      <c r="E335" s="4"/>
      <c r="F335" s="4"/>
      <c r="G335" s="4"/>
      <c r="H335" s="4"/>
      <c r="I335" s="4"/>
      <c r="J335" s="4"/>
      <c r="K335" s="4"/>
      <c r="L335" s="4"/>
      <c r="M335" s="4"/>
      <c r="N335" s="4"/>
      <c r="O335" s="4"/>
      <c r="P335" s="4"/>
      <c r="Q335" s="4"/>
      <c r="R335" s="4"/>
      <c r="S335" s="4"/>
      <c r="T335" s="4"/>
      <c r="U335" s="4"/>
      <c r="V335" s="4"/>
      <c r="W335" s="4"/>
      <c r="X335" s="4"/>
      <c r="Y335" s="4"/>
      <c r="Z335" s="4"/>
      <c r="AA335" s="4"/>
      <c r="AB335" s="4"/>
      <c r="AC335" s="4"/>
      <c r="AD335" s="4"/>
      <c r="AE335" s="4"/>
      <c r="AF335" s="4"/>
      <c r="AG335" s="4"/>
      <c r="AH335" s="4"/>
      <c r="AI335" s="4"/>
      <c r="AJ335" s="4"/>
      <c r="AK335" s="4"/>
      <c r="AL335" s="4"/>
      <c r="AM335" s="4"/>
      <c r="AN335" s="4"/>
      <c r="AO335" s="4"/>
      <c r="AP335" s="4"/>
      <c r="AQ335" s="4"/>
      <c r="AR335" s="4"/>
      <c r="AS335" s="4"/>
      <c r="AT335" s="4"/>
      <c r="AU335" s="4"/>
      <c r="AV335" s="4"/>
      <c r="AW335" s="4"/>
      <c r="AX335" s="4"/>
      <c r="AY335" s="4"/>
      <c r="AZ335" s="4"/>
      <c r="BA335" s="4"/>
      <c r="BB335" s="4"/>
      <c r="BC335" s="4"/>
      <c r="BD335" s="4"/>
      <c r="BE335" s="4"/>
      <c r="BF335" s="4"/>
      <c r="BG335" s="4"/>
      <c r="BH335" s="4"/>
      <c r="BI335" s="4"/>
      <c r="BJ335" s="4"/>
      <c r="BK335" s="4"/>
      <c r="BL335" s="4"/>
      <c r="BM335" s="4"/>
      <c r="BN335" s="4"/>
    </row>
    <row r="336" ht="13.5" customHeight="1" spans="1:66" x14ac:dyDescent="0.25">
      <c r="A336" s="4"/>
      <c r="B336" s="4"/>
      <c r="C336" s="533"/>
      <c r="D336" s="4"/>
      <c r="E336" s="4"/>
      <c r="F336" s="4"/>
      <c r="G336" s="4"/>
      <c r="H336" s="4"/>
      <c r="I336" s="4"/>
      <c r="J336" s="4"/>
      <c r="K336" s="4"/>
      <c r="L336" s="4"/>
      <c r="M336" s="4"/>
      <c r="N336" s="4"/>
      <c r="O336" s="4"/>
      <c r="P336" s="4"/>
      <c r="Q336" s="4"/>
      <c r="R336" s="4"/>
      <c r="S336" s="4"/>
      <c r="T336" s="4"/>
      <c r="U336" s="4"/>
      <c r="V336" s="4"/>
      <c r="W336" s="4"/>
      <c r="X336" s="4"/>
      <c r="Y336" s="4"/>
      <c r="Z336" s="4"/>
      <c r="AA336" s="4"/>
      <c r="AB336" s="4"/>
      <c r="AC336" s="4"/>
      <c r="AD336" s="4"/>
      <c r="AE336" s="4"/>
      <c r="AF336" s="4"/>
      <c r="AG336" s="4"/>
      <c r="AH336" s="4"/>
      <c r="AI336" s="4"/>
      <c r="AJ336" s="4"/>
      <c r="AK336" s="4"/>
      <c r="AL336" s="4"/>
      <c r="AM336" s="4"/>
      <c r="AN336" s="4"/>
      <c r="AO336" s="4"/>
      <c r="AP336" s="4"/>
      <c r="AQ336" s="4"/>
      <c r="AR336" s="4"/>
      <c r="AS336" s="4"/>
      <c r="AT336" s="4"/>
      <c r="AU336" s="4"/>
      <c r="AV336" s="4"/>
      <c r="AW336" s="4"/>
      <c r="AX336" s="4"/>
      <c r="AY336" s="4"/>
      <c r="AZ336" s="4"/>
      <c r="BA336" s="4"/>
      <c r="BB336" s="4"/>
      <c r="BC336" s="4"/>
      <c r="BD336" s="4"/>
      <c r="BE336" s="4"/>
      <c r="BF336" s="4"/>
      <c r="BG336" s="4"/>
      <c r="BH336" s="4"/>
      <c r="BI336" s="4"/>
      <c r="BJ336" s="4"/>
      <c r="BK336" s="4"/>
      <c r="BL336" s="4"/>
      <c r="BM336" s="4"/>
      <c r="BN336" s="4"/>
    </row>
    <row r="337" ht="13.5" customHeight="1" spans="1:66" x14ac:dyDescent="0.25">
      <c r="A337" s="4"/>
      <c r="B337" s="4"/>
      <c r="C337" s="533"/>
      <c r="D337" s="4"/>
      <c r="E337" s="4"/>
      <c r="F337" s="4"/>
      <c r="G337" s="4"/>
      <c r="H337" s="4"/>
      <c r="I337" s="4"/>
      <c r="J337" s="4"/>
      <c r="K337" s="4"/>
      <c r="L337" s="4"/>
      <c r="M337" s="4"/>
      <c r="N337" s="4"/>
      <c r="O337" s="4"/>
      <c r="P337" s="4"/>
      <c r="Q337" s="4"/>
      <c r="R337" s="4"/>
      <c r="S337" s="4"/>
      <c r="T337" s="4"/>
      <c r="U337" s="4"/>
      <c r="V337" s="4"/>
      <c r="W337" s="4"/>
      <c r="X337" s="4"/>
      <c r="Y337" s="4"/>
      <c r="Z337" s="4"/>
      <c r="AA337" s="4"/>
      <c r="AB337" s="4"/>
      <c r="AC337" s="4"/>
      <c r="AD337" s="4"/>
      <c r="AE337" s="4"/>
      <c r="AF337" s="4"/>
      <c r="AG337" s="4"/>
      <c r="AH337" s="4"/>
      <c r="AI337" s="4"/>
      <c r="AJ337" s="4"/>
      <c r="AK337" s="4"/>
      <c r="AL337" s="4"/>
      <c r="AM337" s="4"/>
      <c r="AN337" s="4"/>
      <c r="AO337" s="4"/>
      <c r="AP337" s="4"/>
      <c r="AQ337" s="4"/>
      <c r="AR337" s="4"/>
      <c r="AS337" s="4"/>
      <c r="AT337" s="4"/>
      <c r="AU337" s="4"/>
      <c r="AV337" s="4"/>
      <c r="AW337" s="4"/>
      <c r="AX337" s="4"/>
      <c r="AY337" s="4"/>
      <c r="AZ337" s="4"/>
      <c r="BA337" s="4"/>
      <c r="BB337" s="4"/>
      <c r="BC337" s="4"/>
      <c r="BD337" s="4"/>
      <c r="BE337" s="4"/>
      <c r="BF337" s="4"/>
      <c r="BG337" s="4"/>
      <c r="BH337" s="4"/>
      <c r="BI337" s="4"/>
      <c r="BJ337" s="4"/>
      <c r="BK337" s="4"/>
      <c r="BL337" s="4"/>
      <c r="BM337" s="4"/>
      <c r="BN337" s="4"/>
    </row>
    <row r="338" ht="13.5" customHeight="1" spans="1:66" x14ac:dyDescent="0.25">
      <c r="A338" s="4"/>
      <c r="B338" s="4"/>
      <c r="C338" s="533"/>
      <c r="D338" s="4"/>
      <c r="E338" s="4"/>
      <c r="F338" s="4"/>
      <c r="G338" s="4"/>
      <c r="H338" s="4"/>
      <c r="I338" s="4"/>
      <c r="J338" s="4"/>
      <c r="K338" s="4"/>
      <c r="L338" s="4"/>
      <c r="M338" s="4"/>
      <c r="N338" s="4"/>
      <c r="O338" s="4"/>
      <c r="P338" s="4"/>
      <c r="Q338" s="4"/>
      <c r="R338" s="4"/>
      <c r="S338" s="4"/>
      <c r="T338" s="4"/>
      <c r="U338" s="4"/>
      <c r="V338" s="4"/>
      <c r="W338" s="4"/>
      <c r="X338" s="4"/>
      <c r="Y338" s="4"/>
      <c r="Z338" s="4"/>
      <c r="AA338" s="4"/>
      <c r="AB338" s="4"/>
      <c r="AC338" s="4"/>
      <c r="AD338" s="4"/>
      <c r="AE338" s="4"/>
      <c r="AF338" s="4"/>
      <c r="AG338" s="4"/>
      <c r="AH338" s="4"/>
      <c r="AI338" s="4"/>
      <c r="AJ338" s="4"/>
      <c r="AK338" s="4"/>
      <c r="AL338" s="4"/>
      <c r="AM338" s="4"/>
      <c r="AN338" s="4"/>
      <c r="AO338" s="4"/>
      <c r="AP338" s="4"/>
      <c r="AQ338" s="4"/>
      <c r="AR338" s="4"/>
      <c r="AS338" s="4"/>
      <c r="AT338" s="4"/>
      <c r="AU338" s="4"/>
      <c r="AV338" s="4"/>
      <c r="AW338" s="4"/>
      <c r="AX338" s="4"/>
      <c r="AY338" s="4"/>
      <c r="AZ338" s="4"/>
      <c r="BA338" s="4"/>
      <c r="BB338" s="4"/>
      <c r="BC338" s="4"/>
      <c r="BD338" s="4"/>
      <c r="BE338" s="4"/>
      <c r="BF338" s="4"/>
      <c r="BG338" s="4"/>
      <c r="BH338" s="4"/>
      <c r="BI338" s="4"/>
      <c r="BJ338" s="4"/>
      <c r="BK338" s="4"/>
      <c r="BL338" s="4"/>
      <c r="BM338" s="4"/>
      <c r="BN338" s="4"/>
    </row>
    <row r="339" ht="13.5" customHeight="1" spans="1:66" x14ac:dyDescent="0.25">
      <c r="A339" s="4"/>
      <c r="B339" s="4"/>
      <c r="C339" s="533"/>
      <c r="D339" s="4"/>
      <c r="E339" s="4"/>
      <c r="F339" s="4"/>
      <c r="G339" s="4"/>
      <c r="H339" s="4"/>
      <c r="I339" s="4"/>
      <c r="J339" s="4"/>
      <c r="K339" s="4"/>
      <c r="L339" s="4"/>
      <c r="M339" s="4"/>
      <c r="N339" s="4"/>
      <c r="O339" s="4"/>
      <c r="P339" s="4"/>
      <c r="Q339" s="4"/>
      <c r="R339" s="4"/>
      <c r="S339" s="4"/>
      <c r="T339" s="4"/>
      <c r="U339" s="4"/>
      <c r="V339" s="4"/>
      <c r="W339" s="4"/>
      <c r="X339" s="4"/>
      <c r="Y339" s="4"/>
      <c r="Z339" s="4"/>
      <c r="AA339" s="4"/>
      <c r="AB339" s="4"/>
      <c r="AC339" s="4"/>
      <c r="AD339" s="4"/>
      <c r="AE339" s="4"/>
      <c r="AF339" s="4"/>
      <c r="AG339" s="4"/>
      <c r="AH339" s="4"/>
      <c r="AI339" s="4"/>
      <c r="AJ339" s="4"/>
      <c r="AK339" s="4"/>
      <c r="AL339" s="4"/>
      <c r="AM339" s="4"/>
      <c r="AN339" s="4"/>
      <c r="AO339" s="4"/>
      <c r="AP339" s="4"/>
      <c r="AQ339" s="4"/>
      <c r="AR339" s="4"/>
      <c r="AS339" s="4"/>
      <c r="AT339" s="4"/>
      <c r="AU339" s="4"/>
      <c r="AV339" s="4"/>
      <c r="AW339" s="4"/>
      <c r="AX339" s="4"/>
      <c r="AY339" s="4"/>
      <c r="AZ339" s="4"/>
      <c r="BA339" s="4"/>
      <c r="BB339" s="4"/>
      <c r="BC339" s="4"/>
      <c r="BD339" s="4"/>
      <c r="BE339" s="4"/>
      <c r="BF339" s="4"/>
      <c r="BG339" s="4"/>
      <c r="BH339" s="4"/>
      <c r="BI339" s="4"/>
      <c r="BJ339" s="4"/>
      <c r="BK339" s="4"/>
      <c r="BL339" s="4"/>
      <c r="BM339" s="4"/>
      <c r="BN339" s="4"/>
    </row>
    <row r="340" ht="13.5" customHeight="1" spans="1:66" x14ac:dyDescent="0.25">
      <c r="A340" s="4"/>
      <c r="B340" s="4"/>
      <c r="C340" s="533"/>
      <c r="D340" s="4"/>
      <c r="E340" s="4"/>
      <c r="F340" s="4"/>
      <c r="G340" s="4"/>
      <c r="H340" s="4"/>
      <c r="I340" s="4"/>
      <c r="J340" s="4"/>
      <c r="K340" s="4"/>
      <c r="L340" s="4"/>
      <c r="M340" s="4"/>
      <c r="N340" s="4"/>
      <c r="O340" s="4"/>
      <c r="P340" s="4"/>
      <c r="Q340" s="4"/>
      <c r="R340" s="4"/>
      <c r="S340" s="4"/>
      <c r="T340" s="4"/>
      <c r="U340" s="4"/>
      <c r="V340" s="4"/>
      <c r="W340" s="4"/>
      <c r="X340" s="4"/>
      <c r="Y340" s="4"/>
      <c r="Z340" s="4"/>
      <c r="AA340" s="4"/>
      <c r="AB340" s="4"/>
      <c r="AC340" s="4"/>
      <c r="AD340" s="4"/>
      <c r="AE340" s="4"/>
      <c r="AF340" s="4"/>
      <c r="AG340" s="4"/>
      <c r="AH340" s="4"/>
      <c r="AI340" s="4"/>
      <c r="AJ340" s="4"/>
      <c r="AK340" s="4"/>
      <c r="AL340" s="4"/>
      <c r="AM340" s="4"/>
      <c r="AN340" s="4"/>
      <c r="AO340" s="4"/>
      <c r="AP340" s="4"/>
      <c r="AQ340" s="4"/>
      <c r="AR340" s="4"/>
      <c r="AS340" s="4"/>
      <c r="AT340" s="4"/>
      <c r="AU340" s="4"/>
      <c r="AV340" s="4"/>
      <c r="AW340" s="4"/>
      <c r="AX340" s="4"/>
      <c r="AY340" s="4"/>
      <c r="AZ340" s="4"/>
      <c r="BA340" s="4"/>
      <c r="BB340" s="4"/>
      <c r="BC340" s="4"/>
      <c r="BD340" s="4"/>
      <c r="BE340" s="4"/>
      <c r="BF340" s="4"/>
      <c r="BG340" s="4"/>
      <c r="BH340" s="4"/>
      <c r="BI340" s="4"/>
      <c r="BJ340" s="4"/>
      <c r="BK340" s="4"/>
      <c r="BL340" s="4"/>
      <c r="BM340" s="4"/>
      <c r="BN340" s="4"/>
    </row>
    <row r="341" ht="13.5" customHeight="1" spans="1:66" x14ac:dyDescent="0.25">
      <c r="A341" s="4"/>
      <c r="B341" s="4"/>
      <c r="C341" s="533"/>
      <c r="D341" s="4"/>
      <c r="E341" s="4"/>
      <c r="F341" s="4"/>
      <c r="G341" s="4"/>
      <c r="H341" s="4"/>
      <c r="I341" s="4"/>
      <c r="J341" s="4"/>
      <c r="K341" s="4"/>
      <c r="L341" s="4"/>
      <c r="M341" s="4"/>
      <c r="N341" s="4"/>
      <c r="O341" s="4"/>
      <c r="P341" s="4"/>
      <c r="Q341" s="4"/>
      <c r="R341" s="4"/>
      <c r="S341" s="4"/>
      <c r="T341" s="4"/>
      <c r="U341" s="4"/>
      <c r="V341" s="4"/>
      <c r="W341" s="4"/>
      <c r="X341" s="4"/>
      <c r="Y341" s="4"/>
      <c r="Z341" s="4"/>
      <c r="AA341" s="4"/>
      <c r="AB341" s="4"/>
      <c r="AC341" s="4"/>
      <c r="AD341" s="4"/>
      <c r="AE341" s="4"/>
      <c r="AF341" s="4"/>
      <c r="AG341" s="4"/>
      <c r="AH341" s="4"/>
      <c r="AI341" s="4"/>
      <c r="AJ341" s="4"/>
      <c r="AK341" s="4"/>
      <c r="AL341" s="4"/>
      <c r="AM341" s="4"/>
      <c r="AN341" s="4"/>
      <c r="AO341" s="4"/>
      <c r="AP341" s="4"/>
      <c r="AQ341" s="4"/>
      <c r="AR341" s="4"/>
      <c r="AS341" s="4"/>
      <c r="AT341" s="4"/>
      <c r="AU341" s="4"/>
      <c r="AV341" s="4"/>
      <c r="AW341" s="4"/>
      <c r="AX341" s="4"/>
      <c r="AY341" s="4"/>
      <c r="AZ341" s="4"/>
      <c r="BA341" s="4"/>
      <c r="BB341" s="4"/>
      <c r="BC341" s="4"/>
      <c r="BD341" s="4"/>
      <c r="BE341" s="4"/>
      <c r="BF341" s="4"/>
      <c r="BG341" s="4"/>
      <c r="BH341" s="4"/>
      <c r="BI341" s="4"/>
      <c r="BJ341" s="4"/>
      <c r="BK341" s="4"/>
      <c r="BL341" s="4"/>
      <c r="BM341" s="4"/>
      <c r="BN341" s="4"/>
    </row>
    <row r="342" ht="13.5" customHeight="1" spans="1:66" x14ac:dyDescent="0.25">
      <c r="A342" s="4"/>
      <c r="B342" s="4"/>
      <c r="C342" s="533"/>
      <c r="D342" s="4"/>
      <c r="E342" s="4"/>
      <c r="F342" s="4"/>
      <c r="G342" s="4"/>
      <c r="H342" s="4"/>
      <c r="I342" s="4"/>
      <c r="J342" s="4"/>
      <c r="K342" s="4"/>
      <c r="L342" s="4"/>
      <c r="M342" s="4"/>
      <c r="N342" s="4"/>
      <c r="O342" s="4"/>
      <c r="P342" s="4"/>
      <c r="Q342" s="4"/>
      <c r="R342" s="4"/>
      <c r="S342" s="4"/>
      <c r="T342" s="4"/>
      <c r="U342" s="4"/>
      <c r="V342" s="4"/>
      <c r="W342" s="4"/>
      <c r="X342" s="4"/>
      <c r="Y342" s="4"/>
      <c r="Z342" s="4"/>
      <c r="AA342" s="4"/>
      <c r="AB342" s="4"/>
      <c r="AC342" s="4"/>
      <c r="AD342" s="4"/>
      <c r="AE342" s="4"/>
      <c r="AF342" s="4"/>
      <c r="AG342" s="4"/>
      <c r="AH342" s="4"/>
      <c r="AI342" s="4"/>
      <c r="AJ342" s="4"/>
      <c r="AK342" s="4"/>
      <c r="AL342" s="4"/>
      <c r="AM342" s="4"/>
      <c r="AN342" s="4"/>
      <c r="AO342" s="4"/>
      <c r="AP342" s="4"/>
      <c r="AQ342" s="4"/>
      <c r="AR342" s="4"/>
      <c r="AS342" s="4"/>
      <c r="AT342" s="4"/>
      <c r="AU342" s="4"/>
      <c r="AV342" s="4"/>
      <c r="AW342" s="4"/>
      <c r="AX342" s="4"/>
      <c r="AY342" s="4"/>
      <c r="AZ342" s="4"/>
      <c r="BA342" s="4"/>
      <c r="BB342" s="4"/>
      <c r="BC342" s="4"/>
      <c r="BD342" s="4"/>
      <c r="BE342" s="4"/>
      <c r="BF342" s="4"/>
      <c r="BG342" s="4"/>
      <c r="BH342" s="4"/>
      <c r="BI342" s="4"/>
      <c r="BJ342" s="4"/>
      <c r="BK342" s="4"/>
      <c r="BL342" s="4"/>
      <c r="BM342" s="4"/>
      <c r="BN342" s="4"/>
    </row>
    <row r="343" ht="13.5" customHeight="1" spans="1:66" x14ac:dyDescent="0.25">
      <c r="A343" s="4"/>
      <c r="B343" s="4"/>
      <c r="C343" s="533"/>
      <c r="D343" s="4"/>
      <c r="E343" s="4"/>
      <c r="F343" s="4"/>
      <c r="G343" s="4"/>
      <c r="H343" s="4"/>
      <c r="I343" s="4"/>
      <c r="J343" s="4"/>
      <c r="K343" s="4"/>
      <c r="L343" s="4"/>
      <c r="M343" s="4"/>
      <c r="N343" s="4"/>
      <c r="O343" s="4"/>
      <c r="P343" s="4"/>
      <c r="Q343" s="4"/>
      <c r="R343" s="4"/>
      <c r="S343" s="4"/>
      <c r="T343" s="4"/>
      <c r="U343" s="4"/>
      <c r="V343" s="4"/>
      <c r="W343" s="4"/>
      <c r="X343" s="4"/>
      <c r="Y343" s="4"/>
      <c r="Z343" s="4"/>
      <c r="AA343" s="4"/>
      <c r="AB343" s="4"/>
      <c r="AC343" s="4"/>
      <c r="AD343" s="4"/>
      <c r="AE343" s="4"/>
      <c r="AF343" s="4"/>
      <c r="AG343" s="4"/>
      <c r="AH343" s="4"/>
      <c r="AI343" s="4"/>
      <c r="AJ343" s="4"/>
      <c r="AK343" s="4"/>
      <c r="AL343" s="4"/>
      <c r="AM343" s="4"/>
      <c r="AN343" s="4"/>
      <c r="AO343" s="4"/>
      <c r="AP343" s="4"/>
      <c r="AQ343" s="4"/>
      <c r="AR343" s="4"/>
      <c r="AS343" s="4"/>
      <c r="AT343" s="4"/>
      <c r="AU343" s="4"/>
      <c r="AV343" s="4"/>
      <c r="AW343" s="4"/>
      <c r="AX343" s="4"/>
      <c r="AY343" s="4"/>
      <c r="AZ343" s="4"/>
      <c r="BA343" s="4"/>
      <c r="BB343" s="4"/>
      <c r="BC343" s="4"/>
      <c r="BD343" s="4"/>
      <c r="BE343" s="4"/>
      <c r="BF343" s="4"/>
      <c r="BG343" s="4"/>
      <c r="BH343" s="4"/>
      <c r="BI343" s="4"/>
      <c r="BJ343" s="4"/>
      <c r="BK343" s="4"/>
      <c r="BL343" s="4"/>
      <c r="BM343" s="4"/>
      <c r="BN343" s="4"/>
    </row>
    <row r="344" ht="13.5" customHeight="1" spans="1:66" x14ac:dyDescent="0.25">
      <c r="A344" s="4"/>
      <c r="B344" s="4"/>
      <c r="C344" s="533"/>
      <c r="D344" s="4"/>
      <c r="E344" s="4"/>
      <c r="F344" s="4"/>
      <c r="G344" s="4"/>
      <c r="H344" s="4"/>
      <c r="I344" s="4"/>
      <c r="J344" s="4"/>
      <c r="K344" s="4"/>
      <c r="L344" s="4"/>
      <c r="M344" s="4"/>
      <c r="N344" s="4"/>
      <c r="O344" s="4"/>
      <c r="P344" s="4"/>
      <c r="Q344" s="4"/>
      <c r="R344" s="4"/>
      <c r="S344" s="4"/>
      <c r="T344" s="4"/>
      <c r="U344" s="4"/>
      <c r="V344" s="4"/>
      <c r="W344" s="4"/>
      <c r="X344" s="4"/>
      <c r="Y344" s="4"/>
      <c r="Z344" s="4"/>
      <c r="AA344" s="4"/>
      <c r="AB344" s="4"/>
      <c r="AC344" s="4"/>
      <c r="AD344" s="4"/>
      <c r="AE344" s="4"/>
      <c r="AF344" s="4"/>
      <c r="AG344" s="4"/>
      <c r="AH344" s="4"/>
      <c r="AI344" s="4"/>
      <c r="AJ344" s="4"/>
      <c r="AK344" s="4"/>
      <c r="AL344" s="4"/>
      <c r="AM344" s="4"/>
      <c r="AN344" s="4"/>
      <c r="AO344" s="4"/>
      <c r="AP344" s="4"/>
      <c r="AQ344" s="4"/>
      <c r="AR344" s="4"/>
      <c r="AS344" s="4"/>
      <c r="AT344" s="4"/>
      <c r="AU344" s="4"/>
      <c r="AV344" s="4"/>
      <c r="AW344" s="4"/>
      <c r="AX344" s="4"/>
      <c r="AY344" s="4"/>
      <c r="AZ344" s="4"/>
      <c r="BA344" s="4"/>
      <c r="BB344" s="4"/>
      <c r="BC344" s="4"/>
      <c r="BD344" s="4"/>
      <c r="BE344" s="4"/>
      <c r="BF344" s="4"/>
      <c r="BG344" s="4"/>
      <c r="BH344" s="4"/>
      <c r="BI344" s="4"/>
      <c r="BJ344" s="4"/>
      <c r="BK344" s="4"/>
      <c r="BL344" s="4"/>
      <c r="BM344" s="4"/>
      <c r="BN344" s="4"/>
    </row>
    <row r="345" ht="13.5" customHeight="1" spans="1:66" x14ac:dyDescent="0.25">
      <c r="A345" s="4"/>
      <c r="B345" s="4"/>
      <c r="C345" s="533"/>
      <c r="D345" s="4"/>
      <c r="E345" s="4"/>
      <c r="F345" s="4"/>
      <c r="G345" s="4"/>
      <c r="H345" s="4"/>
      <c r="I345" s="4"/>
      <c r="J345" s="4"/>
      <c r="K345" s="4"/>
      <c r="L345" s="4"/>
      <c r="M345" s="4"/>
      <c r="N345" s="4"/>
      <c r="O345" s="4"/>
      <c r="P345" s="4"/>
      <c r="Q345" s="4"/>
      <c r="R345" s="4"/>
      <c r="S345" s="4"/>
      <c r="T345" s="4"/>
      <c r="U345" s="4"/>
      <c r="V345" s="4"/>
      <c r="W345" s="4"/>
      <c r="X345" s="4"/>
      <c r="Y345" s="4"/>
      <c r="Z345" s="4"/>
      <c r="AA345" s="4"/>
      <c r="AB345" s="4"/>
      <c r="AC345" s="4"/>
      <c r="AD345" s="4"/>
      <c r="AE345" s="4"/>
      <c r="AF345" s="4"/>
      <c r="AG345" s="4"/>
      <c r="AH345" s="4"/>
      <c r="AI345" s="4"/>
      <c r="AJ345" s="4"/>
      <c r="AK345" s="4"/>
      <c r="AL345" s="4"/>
      <c r="AM345" s="4"/>
      <c r="AN345" s="4"/>
      <c r="AO345" s="4"/>
      <c r="AP345" s="4"/>
      <c r="AQ345" s="4"/>
      <c r="AR345" s="4"/>
      <c r="AS345" s="4"/>
      <c r="AT345" s="4"/>
      <c r="AU345" s="4"/>
      <c r="AV345" s="4"/>
      <c r="AW345" s="4"/>
      <c r="AX345" s="4"/>
      <c r="AY345" s="4"/>
      <c r="AZ345" s="4"/>
      <c r="BA345" s="4"/>
      <c r="BB345" s="4"/>
      <c r="BC345" s="4"/>
      <c r="BD345" s="4"/>
      <c r="BE345" s="4"/>
      <c r="BF345" s="4"/>
      <c r="BG345" s="4"/>
      <c r="BH345" s="4"/>
      <c r="BI345" s="4"/>
      <c r="BJ345" s="4"/>
      <c r="BK345" s="4"/>
      <c r="BL345" s="4"/>
      <c r="BM345" s="4"/>
      <c r="BN345" s="4"/>
    </row>
    <row r="346" ht="13.5" customHeight="1" spans="1:66" x14ac:dyDescent="0.25">
      <c r="A346" s="4"/>
      <c r="B346" s="4"/>
      <c r="C346" s="533"/>
      <c r="D346" s="4"/>
      <c r="E346" s="4"/>
      <c r="F346" s="4"/>
      <c r="G346" s="4"/>
      <c r="H346" s="4"/>
      <c r="I346" s="4"/>
      <c r="J346" s="4"/>
      <c r="K346" s="4"/>
      <c r="L346" s="4"/>
      <c r="M346" s="4"/>
      <c r="N346" s="4"/>
      <c r="O346" s="4"/>
      <c r="P346" s="4"/>
      <c r="Q346" s="4"/>
      <c r="R346" s="4"/>
      <c r="S346" s="4"/>
      <c r="T346" s="4"/>
      <c r="U346" s="4"/>
      <c r="V346" s="4"/>
      <c r="W346" s="4"/>
      <c r="X346" s="4"/>
      <c r="Y346" s="4"/>
      <c r="Z346" s="4"/>
      <c r="AA346" s="4"/>
      <c r="AB346" s="4"/>
      <c r="AC346" s="4"/>
      <c r="AD346" s="4"/>
      <c r="AE346" s="4"/>
      <c r="AF346" s="4"/>
      <c r="AG346" s="4"/>
      <c r="AH346" s="4"/>
      <c r="AI346" s="4"/>
      <c r="AJ346" s="4"/>
      <c r="AK346" s="4"/>
      <c r="AL346" s="4"/>
      <c r="AM346" s="4"/>
      <c r="AN346" s="4"/>
      <c r="AO346" s="4"/>
      <c r="AP346" s="4"/>
      <c r="AQ346" s="4"/>
      <c r="AR346" s="4"/>
      <c r="AS346" s="4"/>
      <c r="AT346" s="4"/>
      <c r="AU346" s="4"/>
      <c r="AV346" s="4"/>
      <c r="AW346" s="4"/>
      <c r="AX346" s="4"/>
      <c r="AY346" s="4"/>
      <c r="AZ346" s="4"/>
      <c r="BA346" s="4"/>
      <c r="BB346" s="4"/>
      <c r="BC346" s="4"/>
      <c r="BD346" s="4"/>
      <c r="BE346" s="4"/>
      <c r="BF346" s="4"/>
      <c r="BG346" s="4"/>
      <c r="BH346" s="4"/>
      <c r="BI346" s="4"/>
      <c r="BJ346" s="4"/>
      <c r="BK346" s="4"/>
      <c r="BL346" s="4"/>
      <c r="BM346" s="4"/>
      <c r="BN346" s="4"/>
    </row>
    <row r="347" ht="13.5" customHeight="1" spans="1:66" x14ac:dyDescent="0.25">
      <c r="A347" s="4"/>
      <c r="B347" s="4"/>
      <c r="C347" s="533"/>
      <c r="D347" s="4"/>
      <c r="E347" s="4"/>
      <c r="F347" s="4"/>
      <c r="G347" s="4"/>
      <c r="H347" s="4"/>
      <c r="I347" s="4"/>
      <c r="J347" s="4"/>
      <c r="K347" s="4"/>
      <c r="L347" s="4"/>
      <c r="M347" s="4"/>
      <c r="N347" s="4"/>
      <c r="O347" s="4"/>
      <c r="P347" s="4"/>
      <c r="Q347" s="4"/>
      <c r="R347" s="4"/>
      <c r="S347" s="4"/>
      <c r="T347" s="4"/>
      <c r="U347" s="4"/>
      <c r="V347" s="4"/>
      <c r="W347" s="4"/>
      <c r="X347" s="4"/>
      <c r="Y347" s="4"/>
      <c r="Z347" s="4"/>
      <c r="AA347" s="4"/>
      <c r="AB347" s="4"/>
      <c r="AC347" s="4"/>
      <c r="AD347" s="4"/>
      <c r="AE347" s="4"/>
      <c r="AF347" s="4"/>
      <c r="AG347" s="4"/>
      <c r="AH347" s="4"/>
      <c r="AI347" s="4"/>
      <c r="AJ347" s="4"/>
      <c r="AK347" s="4"/>
      <c r="AL347" s="4"/>
      <c r="AM347" s="4"/>
      <c r="AN347" s="4"/>
      <c r="AO347" s="4"/>
      <c r="AP347" s="4"/>
      <c r="AQ347" s="4"/>
      <c r="AR347" s="4"/>
      <c r="AS347" s="4"/>
      <c r="AT347" s="4"/>
      <c r="AU347" s="4"/>
      <c r="AV347" s="4"/>
      <c r="AW347" s="4"/>
      <c r="AX347" s="4"/>
      <c r="AY347" s="4"/>
      <c r="AZ347" s="4"/>
      <c r="BA347" s="4"/>
      <c r="BB347" s="4"/>
      <c r="BC347" s="4"/>
      <c r="BD347" s="4"/>
      <c r="BE347" s="4"/>
      <c r="BF347" s="4"/>
      <c r="BG347" s="4"/>
      <c r="BH347" s="4"/>
      <c r="BI347" s="4"/>
      <c r="BJ347" s="4"/>
      <c r="BK347" s="4"/>
      <c r="BL347" s="4"/>
      <c r="BM347" s="4"/>
      <c r="BN347" s="4"/>
    </row>
    <row r="348" ht="13.5" customHeight="1" spans="1:66" x14ac:dyDescent="0.25">
      <c r="A348" s="4"/>
      <c r="B348" s="4"/>
      <c r="C348" s="533"/>
      <c r="D348" s="4"/>
      <c r="E348" s="4"/>
      <c r="F348" s="4"/>
      <c r="G348" s="4"/>
      <c r="H348" s="4"/>
      <c r="I348" s="4"/>
      <c r="J348" s="4"/>
      <c r="K348" s="4"/>
      <c r="L348" s="4"/>
      <c r="M348" s="4"/>
      <c r="N348" s="4"/>
      <c r="O348" s="4"/>
      <c r="P348" s="4"/>
      <c r="Q348" s="4"/>
      <c r="R348" s="4"/>
      <c r="S348" s="4"/>
      <c r="T348" s="4"/>
      <c r="U348" s="4"/>
      <c r="V348" s="4"/>
      <c r="W348" s="4"/>
      <c r="X348" s="4"/>
      <c r="Y348" s="4"/>
      <c r="Z348" s="4"/>
      <c r="AA348" s="4"/>
      <c r="AB348" s="4"/>
      <c r="AC348" s="4"/>
      <c r="AD348" s="4"/>
      <c r="AE348" s="4"/>
      <c r="AF348" s="4"/>
      <c r="AG348" s="4"/>
      <c r="AH348" s="4"/>
      <c r="AI348" s="4"/>
      <c r="AJ348" s="4"/>
      <c r="AK348" s="4"/>
      <c r="AL348" s="4"/>
      <c r="AM348" s="4"/>
      <c r="AN348" s="4"/>
      <c r="AO348" s="4"/>
      <c r="AP348" s="4"/>
      <c r="AQ348" s="4"/>
      <c r="AR348" s="4"/>
      <c r="AS348" s="4"/>
      <c r="AT348" s="4"/>
      <c r="AU348" s="4"/>
      <c r="AV348" s="4"/>
      <c r="AW348" s="4"/>
      <c r="AX348" s="4"/>
      <c r="AY348" s="4"/>
      <c r="AZ348" s="4"/>
      <c r="BA348" s="4"/>
      <c r="BB348" s="4"/>
      <c r="BC348" s="4"/>
      <c r="BD348" s="4"/>
      <c r="BE348" s="4"/>
      <c r="BF348" s="4"/>
      <c r="BG348" s="4"/>
      <c r="BH348" s="4"/>
      <c r="BI348" s="4"/>
      <c r="BJ348" s="4"/>
      <c r="BK348" s="4"/>
      <c r="BL348" s="4"/>
      <c r="BM348" s="4"/>
      <c r="BN348" s="4"/>
    </row>
    <row r="349" ht="13.5" customHeight="1" spans="1:66" x14ac:dyDescent="0.25">
      <c r="A349" s="4"/>
      <c r="B349" s="4"/>
      <c r="C349" s="533"/>
      <c r="D349" s="4"/>
      <c r="E349" s="4"/>
      <c r="F349" s="4"/>
      <c r="G349" s="4"/>
      <c r="H349" s="4"/>
      <c r="I349" s="4"/>
      <c r="J349" s="4"/>
      <c r="K349" s="4"/>
      <c r="L349" s="4"/>
      <c r="M349" s="4"/>
      <c r="N349" s="4"/>
      <c r="O349" s="4"/>
      <c r="P349" s="4"/>
      <c r="Q349" s="4"/>
      <c r="R349" s="4"/>
      <c r="S349" s="4"/>
      <c r="T349" s="4"/>
      <c r="U349" s="4"/>
      <c r="V349" s="4"/>
      <c r="W349" s="4"/>
      <c r="X349" s="4"/>
      <c r="Y349" s="4"/>
      <c r="Z349" s="4"/>
      <c r="AA349" s="4"/>
      <c r="AB349" s="4"/>
      <c r="AC349" s="4"/>
      <c r="AD349" s="4"/>
      <c r="AE349" s="4"/>
      <c r="AF349" s="4"/>
      <c r="AG349" s="4"/>
      <c r="AH349" s="4"/>
      <c r="AI349" s="4"/>
      <c r="AJ349" s="4"/>
      <c r="AK349" s="4"/>
      <c r="AL349" s="4"/>
      <c r="AM349" s="4"/>
      <c r="AN349" s="4"/>
      <c r="AO349" s="4"/>
      <c r="AP349" s="4"/>
      <c r="AQ349" s="4"/>
      <c r="AR349" s="4"/>
      <c r="AS349" s="4"/>
      <c r="AT349" s="4"/>
      <c r="AU349" s="4"/>
      <c r="AV349" s="4"/>
      <c r="AW349" s="4"/>
      <c r="AX349" s="4"/>
      <c r="AY349" s="4"/>
      <c r="AZ349" s="4"/>
      <c r="BA349" s="4"/>
      <c r="BB349" s="4"/>
      <c r="BC349" s="4"/>
      <c r="BD349" s="4"/>
      <c r="BE349" s="4"/>
      <c r="BF349" s="4"/>
      <c r="BG349" s="4"/>
      <c r="BH349" s="4"/>
      <c r="BI349" s="4"/>
      <c r="BJ349" s="4"/>
      <c r="BK349" s="4"/>
      <c r="BL349" s="4"/>
      <c r="BM349" s="4"/>
      <c r="BN349" s="4"/>
    </row>
    <row r="350" ht="13.5" customHeight="1" spans="1:66" x14ac:dyDescent="0.25">
      <c r="A350" s="4"/>
      <c r="B350" s="4"/>
      <c r="C350" s="533"/>
      <c r="D350" s="4"/>
      <c r="E350" s="4"/>
      <c r="F350" s="4"/>
      <c r="G350" s="4"/>
      <c r="H350" s="4"/>
      <c r="I350" s="4"/>
      <c r="J350" s="4"/>
      <c r="K350" s="4"/>
      <c r="L350" s="4"/>
      <c r="M350" s="4"/>
      <c r="N350" s="4"/>
      <c r="O350" s="4"/>
      <c r="P350" s="4"/>
      <c r="Q350" s="4"/>
      <c r="R350" s="4"/>
      <c r="S350" s="4"/>
      <c r="T350" s="4"/>
      <c r="U350" s="4"/>
      <c r="V350" s="4"/>
      <c r="W350" s="4"/>
      <c r="X350" s="4"/>
      <c r="Y350" s="4"/>
      <c r="Z350" s="4"/>
      <c r="AA350" s="4"/>
      <c r="AB350" s="4"/>
      <c r="AC350" s="4"/>
      <c r="AD350" s="4"/>
      <c r="AE350" s="4"/>
      <c r="AF350" s="4"/>
      <c r="AG350" s="4"/>
      <c r="AH350" s="4"/>
      <c r="AI350" s="4"/>
      <c r="AJ350" s="4"/>
      <c r="AK350" s="4"/>
      <c r="AL350" s="4"/>
      <c r="AM350" s="4"/>
      <c r="AN350" s="4"/>
      <c r="AO350" s="4"/>
      <c r="AP350" s="4"/>
      <c r="AQ350" s="4"/>
      <c r="AR350" s="4"/>
      <c r="AS350" s="4"/>
      <c r="AT350" s="4"/>
      <c r="AU350" s="4"/>
      <c r="AV350" s="4"/>
      <c r="AW350" s="4"/>
      <c r="AX350" s="4"/>
      <c r="AY350" s="4"/>
      <c r="AZ350" s="4"/>
      <c r="BA350" s="4"/>
      <c r="BB350" s="4"/>
      <c r="BC350" s="4"/>
      <c r="BD350" s="4"/>
      <c r="BE350" s="4"/>
      <c r="BF350" s="4"/>
      <c r="BG350" s="4"/>
      <c r="BH350" s="4"/>
      <c r="BI350" s="4"/>
      <c r="BJ350" s="4"/>
      <c r="BK350" s="4"/>
      <c r="BL350" s="4"/>
      <c r="BM350" s="4"/>
      <c r="BN350" s="4"/>
    </row>
    <row r="351" ht="13.5" customHeight="1" spans="1:66" x14ac:dyDescent="0.25">
      <c r="A351" s="4"/>
      <c r="B351" s="4"/>
      <c r="C351" s="533"/>
      <c r="D351" s="4"/>
      <c r="E351" s="4"/>
      <c r="F351" s="4"/>
      <c r="G351" s="4"/>
      <c r="H351" s="4"/>
      <c r="I351" s="4"/>
      <c r="J351" s="4"/>
      <c r="K351" s="4"/>
      <c r="L351" s="4"/>
      <c r="M351" s="4"/>
      <c r="N351" s="4"/>
      <c r="O351" s="4"/>
      <c r="P351" s="4"/>
      <c r="Q351" s="4"/>
      <c r="R351" s="4"/>
      <c r="S351" s="4"/>
      <c r="T351" s="4"/>
      <c r="U351" s="4"/>
      <c r="V351" s="4"/>
      <c r="W351" s="4"/>
      <c r="X351" s="4"/>
      <c r="Y351" s="4"/>
      <c r="Z351" s="4"/>
      <c r="AA351" s="4"/>
      <c r="AB351" s="4"/>
      <c r="AC351" s="4"/>
      <c r="AD351" s="4"/>
      <c r="AE351" s="4"/>
      <c r="AF351" s="4"/>
      <c r="AG351" s="4"/>
      <c r="AH351" s="4"/>
      <c r="AI351" s="4"/>
      <c r="AJ351" s="4"/>
      <c r="AK351" s="4"/>
      <c r="AL351" s="4"/>
      <c r="AM351" s="4"/>
      <c r="AN351" s="4"/>
      <c r="AO351" s="4"/>
      <c r="AP351" s="4"/>
      <c r="AQ351" s="4"/>
      <c r="AR351" s="4"/>
      <c r="AS351" s="4"/>
      <c r="AT351" s="4"/>
      <c r="AU351" s="4"/>
      <c r="AV351" s="4"/>
      <c r="AW351" s="4"/>
      <c r="AX351" s="4"/>
      <c r="AY351" s="4"/>
      <c r="AZ351" s="4"/>
      <c r="BA351" s="4"/>
      <c r="BB351" s="4"/>
      <c r="BC351" s="4"/>
      <c r="BD351" s="4"/>
      <c r="BE351" s="4"/>
      <c r="BF351" s="4"/>
      <c r="BG351" s="4"/>
      <c r="BH351" s="4"/>
      <c r="BI351" s="4"/>
      <c r="BJ351" s="4"/>
      <c r="BK351" s="4"/>
      <c r="BL351" s="4"/>
      <c r="BM351" s="4"/>
      <c r="BN351" s="4"/>
    </row>
    <row r="352" ht="13.5" customHeight="1" spans="1:66" x14ac:dyDescent="0.25">
      <c r="A352" s="4"/>
      <c r="B352" s="4"/>
      <c r="C352" s="533"/>
      <c r="D352" s="4"/>
      <c r="E352" s="4"/>
      <c r="F352" s="4"/>
      <c r="G352" s="4"/>
      <c r="H352" s="4"/>
      <c r="I352" s="4"/>
      <c r="J352" s="4"/>
      <c r="K352" s="4"/>
      <c r="L352" s="4"/>
      <c r="M352" s="4"/>
      <c r="N352" s="4"/>
      <c r="O352" s="4"/>
      <c r="P352" s="4"/>
      <c r="Q352" s="4"/>
      <c r="R352" s="4"/>
      <c r="S352" s="4"/>
      <c r="T352" s="4"/>
      <c r="U352" s="4"/>
      <c r="V352" s="4"/>
      <c r="W352" s="4"/>
      <c r="X352" s="4"/>
      <c r="Y352" s="4"/>
      <c r="Z352" s="4"/>
      <c r="AA352" s="4"/>
      <c r="AB352" s="4"/>
      <c r="AC352" s="4"/>
      <c r="AD352" s="4"/>
      <c r="AE352" s="4"/>
      <c r="AF352" s="4"/>
      <c r="AG352" s="4"/>
      <c r="AH352" s="4"/>
      <c r="AI352" s="4"/>
      <c r="AJ352" s="4"/>
      <c r="AK352" s="4"/>
      <c r="AL352" s="4"/>
      <c r="AM352" s="4"/>
      <c r="AN352" s="4"/>
      <c r="AO352" s="4"/>
      <c r="AP352" s="4"/>
      <c r="AQ352" s="4"/>
      <c r="AR352" s="4"/>
      <c r="AS352" s="4"/>
      <c r="AT352" s="4"/>
      <c r="AU352" s="4"/>
      <c r="AV352" s="4"/>
      <c r="AW352" s="4"/>
      <c r="AX352" s="4"/>
      <c r="AY352" s="4"/>
      <c r="AZ352" s="4"/>
      <c r="BA352" s="4"/>
      <c r="BB352" s="4"/>
      <c r="BC352" s="4"/>
      <c r="BD352" s="4"/>
      <c r="BE352" s="4"/>
      <c r="BF352" s="4"/>
      <c r="BG352" s="4"/>
      <c r="BH352" s="4"/>
      <c r="BI352" s="4"/>
      <c r="BJ352" s="4"/>
      <c r="BK352" s="4"/>
      <c r="BL352" s="4"/>
      <c r="BM352" s="4"/>
      <c r="BN352" s="4"/>
    </row>
    <row r="353" ht="13.5" customHeight="1" spans="1:66" x14ac:dyDescent="0.25">
      <c r="A353" s="4"/>
      <c r="B353" s="4"/>
      <c r="C353" s="533"/>
      <c r="D353" s="4"/>
      <c r="E353" s="4"/>
      <c r="F353" s="4"/>
      <c r="G353" s="4"/>
      <c r="H353" s="4"/>
      <c r="I353" s="4"/>
      <c r="J353" s="4"/>
      <c r="K353" s="4"/>
      <c r="L353" s="4"/>
      <c r="M353" s="4"/>
      <c r="N353" s="4"/>
      <c r="O353" s="4"/>
      <c r="P353" s="4"/>
      <c r="Q353" s="4"/>
      <c r="R353" s="4"/>
      <c r="S353" s="4"/>
      <c r="T353" s="4"/>
      <c r="U353" s="4"/>
      <c r="V353" s="4"/>
      <c r="W353" s="4"/>
      <c r="X353" s="4"/>
      <c r="Y353" s="4"/>
      <c r="Z353" s="4"/>
      <c r="AA353" s="4"/>
      <c r="AB353" s="4"/>
      <c r="AC353" s="4"/>
      <c r="AD353" s="4"/>
      <c r="AE353" s="4"/>
      <c r="AF353" s="4"/>
      <c r="AG353" s="4"/>
      <c r="AH353" s="4"/>
      <c r="AI353" s="4"/>
      <c r="AJ353" s="4"/>
      <c r="AK353" s="4"/>
      <c r="AL353" s="4"/>
      <c r="AM353" s="4"/>
      <c r="AN353" s="4"/>
      <c r="AO353" s="4"/>
      <c r="AP353" s="4"/>
      <c r="AQ353" s="4"/>
      <c r="AR353" s="4"/>
      <c r="AS353" s="4"/>
      <c r="AT353" s="4"/>
      <c r="AU353" s="4"/>
      <c r="AV353" s="4"/>
      <c r="AW353" s="4"/>
      <c r="AX353" s="4"/>
      <c r="AY353" s="4"/>
      <c r="AZ353" s="4"/>
      <c r="BA353" s="4"/>
      <c r="BB353" s="4"/>
      <c r="BC353" s="4"/>
      <c r="BD353" s="4"/>
      <c r="BE353" s="4"/>
      <c r="BF353" s="4"/>
      <c r="BG353" s="4"/>
      <c r="BH353" s="4"/>
      <c r="BI353" s="4"/>
      <c r="BJ353" s="4"/>
      <c r="BK353" s="4"/>
      <c r="BL353" s="4"/>
      <c r="BM353" s="4"/>
      <c r="BN353" s="4"/>
    </row>
    <row r="354" ht="13.5" customHeight="1" spans="1:66" x14ac:dyDescent="0.25">
      <c r="A354" s="4"/>
      <c r="B354" s="4"/>
      <c r="C354" s="533"/>
      <c r="D354" s="4"/>
      <c r="E354" s="4"/>
      <c r="F354" s="4"/>
      <c r="G354" s="4"/>
      <c r="H354" s="4"/>
      <c r="I354" s="4"/>
      <c r="J354" s="4"/>
      <c r="K354" s="4"/>
      <c r="L354" s="4"/>
      <c r="M354" s="4"/>
      <c r="N354" s="4"/>
      <c r="O354" s="4"/>
      <c r="P354" s="4"/>
      <c r="Q354" s="4"/>
      <c r="R354" s="4"/>
      <c r="S354" s="4"/>
      <c r="T354" s="4"/>
      <c r="U354" s="4"/>
      <c r="V354" s="4"/>
      <c r="W354" s="4"/>
      <c r="X354" s="4"/>
      <c r="Y354" s="4"/>
      <c r="Z354" s="4"/>
      <c r="AA354" s="4"/>
      <c r="AB354" s="4"/>
      <c r="AC354" s="4"/>
      <c r="AD354" s="4"/>
      <c r="AE354" s="4"/>
      <c r="AF354" s="4"/>
      <c r="AG354" s="4"/>
      <c r="AH354" s="4"/>
      <c r="AI354" s="4"/>
      <c r="AJ354" s="4"/>
      <c r="AK354" s="4"/>
      <c r="AL354" s="4"/>
      <c r="AM354" s="4"/>
      <c r="AN354" s="4"/>
      <c r="AO354" s="4"/>
      <c r="AP354" s="4"/>
      <c r="AQ354" s="4"/>
      <c r="AR354" s="4"/>
      <c r="AS354" s="4"/>
      <c r="AT354" s="4"/>
      <c r="AU354" s="4"/>
      <c r="AV354" s="4"/>
      <c r="AW354" s="4"/>
      <c r="AX354" s="4"/>
      <c r="AY354" s="4"/>
      <c r="AZ354" s="4"/>
      <c r="BA354" s="4"/>
      <c r="BB354" s="4"/>
      <c r="BC354" s="4"/>
      <c r="BD354" s="4"/>
      <c r="BE354" s="4"/>
      <c r="BF354" s="4"/>
      <c r="BG354" s="4"/>
      <c r="BH354" s="4"/>
      <c r="BI354" s="4"/>
      <c r="BJ354" s="4"/>
      <c r="BK354" s="4"/>
      <c r="BL354" s="4"/>
      <c r="BM354" s="4"/>
      <c r="BN354" s="4"/>
    </row>
    <row r="355" ht="13.5" customHeight="1" spans="1:66" x14ac:dyDescent="0.25">
      <c r="A355" s="4"/>
      <c r="B355" s="4"/>
      <c r="C355" s="533"/>
      <c r="D355" s="4"/>
      <c r="E355" s="4"/>
      <c r="F355" s="4"/>
      <c r="G355" s="4"/>
      <c r="H355" s="4"/>
      <c r="I355" s="4"/>
      <c r="J355" s="4"/>
      <c r="K355" s="4"/>
      <c r="L355" s="4"/>
      <c r="M355" s="4"/>
      <c r="N355" s="4"/>
      <c r="O355" s="4"/>
      <c r="P355" s="4"/>
      <c r="Q355" s="4"/>
      <c r="R355" s="4"/>
      <c r="S355" s="4"/>
      <c r="T355" s="4"/>
      <c r="U355" s="4"/>
      <c r="V355" s="4"/>
      <c r="W355" s="4"/>
      <c r="X355" s="4"/>
      <c r="Y355" s="4"/>
      <c r="Z355" s="4"/>
      <c r="AA355" s="4"/>
      <c r="AB355" s="4"/>
      <c r="AC355" s="4"/>
      <c r="AD355" s="4"/>
      <c r="AE355" s="4"/>
      <c r="AF355" s="4"/>
      <c r="AG355" s="4"/>
      <c r="AH355" s="4"/>
      <c r="AI355" s="4"/>
      <c r="AJ355" s="4"/>
      <c r="AK355" s="4"/>
      <c r="AL355" s="4"/>
      <c r="AM355" s="4"/>
      <c r="AN355" s="4"/>
      <c r="AO355" s="4"/>
      <c r="AP355" s="4"/>
      <c r="AQ355" s="4"/>
      <c r="AR355" s="4"/>
      <c r="AS355" s="4"/>
      <c r="AT355" s="4"/>
      <c r="AU355" s="4"/>
      <c r="AV355" s="4"/>
      <c r="AW355" s="4"/>
      <c r="AX355" s="4"/>
      <c r="AY355" s="4"/>
      <c r="AZ355" s="4"/>
      <c r="BA355" s="4"/>
      <c r="BB355" s="4"/>
      <c r="BC355" s="4"/>
      <c r="BD355" s="4"/>
      <c r="BE355" s="4"/>
      <c r="BF355" s="4"/>
      <c r="BG355" s="4"/>
      <c r="BH355" s="4"/>
      <c r="BI355" s="4"/>
      <c r="BJ355" s="4"/>
      <c r="BK355" s="4"/>
      <c r="BL355" s="4"/>
      <c r="BM355" s="4"/>
      <c r="BN355" s="4"/>
    </row>
    <row r="356" ht="13.5" customHeight="1" spans="1:66" x14ac:dyDescent="0.25">
      <c r="A356" s="4"/>
      <c r="B356" s="4"/>
      <c r="C356" s="533"/>
      <c r="D356" s="4"/>
      <c r="E356" s="4"/>
      <c r="F356" s="4"/>
      <c r="G356" s="4"/>
      <c r="H356" s="4"/>
      <c r="I356" s="4"/>
      <c r="J356" s="4"/>
      <c r="K356" s="4"/>
      <c r="L356" s="4"/>
      <c r="M356" s="4"/>
      <c r="N356" s="4"/>
      <c r="O356" s="4"/>
      <c r="P356" s="4"/>
      <c r="Q356" s="4"/>
      <c r="R356" s="4"/>
      <c r="S356" s="4"/>
      <c r="T356" s="4"/>
      <c r="U356" s="4"/>
      <c r="V356" s="4"/>
      <c r="W356" s="4"/>
      <c r="X356" s="4"/>
      <c r="Y356" s="4"/>
      <c r="Z356" s="4"/>
      <c r="AA356" s="4"/>
      <c r="AB356" s="4"/>
      <c r="AC356" s="4"/>
      <c r="AD356" s="4"/>
      <c r="AE356" s="4"/>
      <c r="AF356" s="4"/>
      <c r="AG356" s="4"/>
      <c r="AH356" s="4"/>
      <c r="AI356" s="4"/>
      <c r="AJ356" s="4"/>
      <c r="AK356" s="4"/>
      <c r="AL356" s="4"/>
      <c r="AM356" s="4"/>
      <c r="AN356" s="4"/>
      <c r="AO356" s="4"/>
      <c r="AP356" s="4"/>
      <c r="AQ356" s="4"/>
      <c r="AR356" s="4"/>
      <c r="AS356" s="4"/>
      <c r="AT356" s="4"/>
      <c r="AU356" s="4"/>
      <c r="AV356" s="4"/>
      <c r="AW356" s="4"/>
      <c r="AX356" s="4"/>
      <c r="AY356" s="4"/>
      <c r="AZ356" s="4"/>
      <c r="BA356" s="4"/>
      <c r="BB356" s="4"/>
      <c r="BC356" s="4"/>
      <c r="BD356" s="4"/>
      <c r="BE356" s="4"/>
      <c r="BF356" s="4"/>
      <c r="BG356" s="4"/>
      <c r="BH356" s="4"/>
      <c r="BI356" s="4"/>
      <c r="BJ356" s="4"/>
      <c r="BK356" s="4"/>
      <c r="BL356" s="4"/>
      <c r="BM356" s="4"/>
      <c r="BN356" s="4"/>
    </row>
    <row r="357" ht="13.5" customHeight="1" spans="1:66" x14ac:dyDescent="0.25">
      <c r="A357" s="4"/>
      <c r="B357" s="4"/>
      <c r="C357" s="533"/>
      <c r="D357" s="4"/>
      <c r="E357" s="4"/>
      <c r="F357" s="4"/>
      <c r="G357" s="4"/>
      <c r="H357" s="4"/>
      <c r="I357" s="4"/>
      <c r="J357" s="4"/>
      <c r="K357" s="4"/>
      <c r="L357" s="4"/>
      <c r="M357" s="4"/>
      <c r="N357" s="4"/>
      <c r="O357" s="4"/>
      <c r="P357" s="4"/>
      <c r="Q357" s="4"/>
      <c r="R357" s="4"/>
      <c r="S357" s="4"/>
      <c r="T357" s="4"/>
      <c r="U357" s="4"/>
      <c r="V357" s="4"/>
      <c r="W357" s="4"/>
      <c r="X357" s="4"/>
      <c r="Y357" s="4"/>
      <c r="Z357" s="4"/>
      <c r="AA357" s="4"/>
      <c r="AB357" s="4"/>
      <c r="AC357" s="4"/>
      <c r="AD357" s="4"/>
      <c r="AE357" s="4"/>
      <c r="AF357" s="4"/>
      <c r="AG357" s="4"/>
      <c r="AH357" s="4"/>
      <c r="AI357" s="4"/>
      <c r="AJ357" s="4"/>
      <c r="AK357" s="4"/>
      <c r="AL357" s="4"/>
      <c r="AM357" s="4"/>
      <c r="AN357" s="4"/>
      <c r="AO357" s="4"/>
      <c r="AP357" s="4"/>
      <c r="AQ357" s="4"/>
      <c r="AR357" s="4"/>
      <c r="AS357" s="4"/>
      <c r="AT357" s="4"/>
      <c r="AU357" s="4"/>
      <c r="AV357" s="4"/>
      <c r="AW357" s="4"/>
      <c r="AX357" s="4"/>
      <c r="AY357" s="4"/>
      <c r="AZ357" s="4"/>
      <c r="BA357" s="4"/>
      <c r="BB357" s="4"/>
      <c r="BC357" s="4"/>
      <c r="BD357" s="4"/>
      <c r="BE357" s="4"/>
      <c r="BF357" s="4"/>
      <c r="BG357" s="4"/>
      <c r="BH357" s="4"/>
      <c r="BI357" s="4"/>
      <c r="BJ357" s="4"/>
      <c r="BK357" s="4"/>
      <c r="BL357" s="4"/>
      <c r="BM357" s="4"/>
      <c r="BN357" s="4"/>
    </row>
    <row r="358" ht="13.5" customHeight="1" spans="1:66" x14ac:dyDescent="0.25">
      <c r="A358" s="4"/>
      <c r="B358" s="4"/>
      <c r="C358" s="533"/>
      <c r="D358" s="4"/>
      <c r="E358" s="4"/>
      <c r="F358" s="4"/>
      <c r="G358" s="4"/>
      <c r="H358" s="4"/>
      <c r="I358" s="4"/>
      <c r="J358" s="4"/>
      <c r="K358" s="4"/>
      <c r="L358" s="4"/>
      <c r="M358" s="4"/>
      <c r="N358" s="4"/>
      <c r="O358" s="4"/>
      <c r="P358" s="4"/>
      <c r="Q358" s="4"/>
      <c r="R358" s="4"/>
      <c r="S358" s="4"/>
      <c r="T358" s="4"/>
      <c r="U358" s="4"/>
      <c r="V358" s="4"/>
      <c r="W358" s="4"/>
      <c r="X358" s="4"/>
      <c r="Y358" s="4"/>
      <c r="Z358" s="4"/>
      <c r="AA358" s="4"/>
      <c r="AB358" s="4"/>
      <c r="AC358" s="4"/>
      <c r="AD358" s="4"/>
      <c r="AE358" s="4"/>
      <c r="AF358" s="4"/>
      <c r="AG358" s="4"/>
      <c r="AH358" s="4"/>
      <c r="AI358" s="4"/>
      <c r="AJ358" s="4"/>
      <c r="AK358" s="4"/>
      <c r="AL358" s="4"/>
      <c r="AM358" s="4"/>
      <c r="AN358" s="4"/>
      <c r="AO358" s="4"/>
      <c r="AP358" s="4"/>
      <c r="AQ358" s="4"/>
      <c r="AR358" s="4"/>
      <c r="AS358" s="4"/>
      <c r="AT358" s="4"/>
      <c r="AU358" s="4"/>
      <c r="AV358" s="4"/>
      <c r="AW358" s="4"/>
      <c r="AX358" s="4"/>
      <c r="AY358" s="4"/>
      <c r="AZ358" s="4"/>
      <c r="BA358" s="4"/>
      <c r="BB358" s="4"/>
      <c r="BC358" s="4"/>
      <c r="BD358" s="4"/>
      <c r="BE358" s="4"/>
      <c r="BF358" s="4"/>
      <c r="BG358" s="4"/>
      <c r="BH358" s="4"/>
      <c r="BI358" s="4"/>
      <c r="BJ358" s="4"/>
      <c r="BK358" s="4"/>
      <c r="BL358" s="4"/>
      <c r="BM358" s="4"/>
      <c r="BN358" s="4"/>
    </row>
    <row r="359" ht="13.5" customHeight="1" spans="1:66" x14ac:dyDescent="0.25">
      <c r="A359" s="4"/>
      <c r="B359" s="4"/>
      <c r="C359" s="533"/>
      <c r="D359" s="4"/>
      <c r="E359" s="4"/>
      <c r="F359" s="4"/>
      <c r="G359" s="4"/>
      <c r="H359" s="4"/>
      <c r="I359" s="4"/>
      <c r="J359" s="4"/>
      <c r="K359" s="4"/>
      <c r="L359" s="4"/>
      <c r="M359" s="4"/>
      <c r="N359" s="4"/>
      <c r="O359" s="4"/>
      <c r="P359" s="4"/>
      <c r="Q359" s="4"/>
      <c r="R359" s="4"/>
      <c r="S359" s="4"/>
      <c r="T359" s="4"/>
      <c r="U359" s="4"/>
      <c r="V359" s="4"/>
      <c r="W359" s="4"/>
      <c r="X359" s="4"/>
      <c r="Y359" s="4"/>
      <c r="Z359" s="4"/>
      <c r="AA359" s="4"/>
      <c r="AB359" s="4"/>
      <c r="AC359" s="4"/>
      <c r="AD359" s="4"/>
      <c r="AE359" s="4"/>
      <c r="AF359" s="4"/>
      <c r="AG359" s="4"/>
      <c r="AH359" s="4"/>
      <c r="AI359" s="4"/>
      <c r="AJ359" s="4"/>
      <c r="AK359" s="4"/>
      <c r="AL359" s="4"/>
      <c r="AM359" s="4"/>
      <c r="AN359" s="4"/>
      <c r="AO359" s="4"/>
      <c r="AP359" s="4"/>
      <c r="AQ359" s="4"/>
      <c r="AR359" s="4"/>
      <c r="AS359" s="4"/>
      <c r="AT359" s="4"/>
      <c r="AU359" s="4"/>
      <c r="AV359" s="4"/>
      <c r="AW359" s="4"/>
      <c r="AX359" s="4"/>
      <c r="AY359" s="4"/>
      <c r="AZ359" s="4"/>
      <c r="BA359" s="4"/>
      <c r="BB359" s="4"/>
      <c r="BC359" s="4"/>
      <c r="BD359" s="4"/>
      <c r="BE359" s="4"/>
      <c r="BF359" s="4"/>
      <c r="BG359" s="4"/>
      <c r="BH359" s="4"/>
      <c r="BI359" s="4"/>
      <c r="BJ359" s="4"/>
      <c r="BK359" s="4"/>
      <c r="BL359" s="4"/>
      <c r="BM359" s="4"/>
      <c r="BN359" s="4"/>
    </row>
    <row r="360" ht="13.5" customHeight="1" spans="1:66" x14ac:dyDescent="0.25">
      <c r="A360" s="4"/>
      <c r="B360" s="4"/>
      <c r="C360" s="533"/>
      <c r="D360" s="4"/>
      <c r="E360" s="4"/>
      <c r="F360" s="4"/>
      <c r="G360" s="4"/>
      <c r="H360" s="4"/>
      <c r="I360" s="4"/>
      <c r="J360" s="4"/>
      <c r="K360" s="4"/>
      <c r="L360" s="4"/>
      <c r="M360" s="4"/>
      <c r="N360" s="4"/>
      <c r="O360" s="4"/>
      <c r="P360" s="4"/>
      <c r="Q360" s="4"/>
      <c r="R360" s="4"/>
      <c r="S360" s="4"/>
      <c r="T360" s="4"/>
      <c r="U360" s="4"/>
      <c r="V360" s="4"/>
      <c r="W360" s="4"/>
      <c r="X360" s="4"/>
      <c r="Y360" s="4"/>
      <c r="Z360" s="4"/>
      <c r="AA360" s="4"/>
      <c r="AB360" s="4"/>
      <c r="AC360" s="4"/>
      <c r="AD360" s="4"/>
      <c r="AE360" s="4"/>
      <c r="AF360" s="4"/>
      <c r="AG360" s="4"/>
      <c r="AH360" s="4"/>
      <c r="AI360" s="4"/>
      <c r="AJ360" s="4"/>
      <c r="AK360" s="4"/>
      <c r="AL360" s="4"/>
      <c r="AM360" s="4"/>
      <c r="AN360" s="4"/>
      <c r="AO360" s="4"/>
      <c r="AP360" s="4"/>
      <c r="AQ360" s="4"/>
      <c r="AR360" s="4"/>
      <c r="AS360" s="4"/>
      <c r="AT360" s="4"/>
      <c r="AU360" s="4"/>
      <c r="AV360" s="4"/>
      <c r="AW360" s="4"/>
      <c r="AX360" s="4"/>
      <c r="AY360" s="4"/>
      <c r="AZ360" s="4"/>
      <c r="BA360" s="4"/>
      <c r="BB360" s="4"/>
      <c r="BC360" s="4"/>
      <c r="BD360" s="4"/>
      <c r="BE360" s="4"/>
      <c r="BF360" s="4"/>
      <c r="BG360" s="4"/>
      <c r="BH360" s="4"/>
      <c r="BI360" s="4"/>
      <c r="BJ360" s="4"/>
      <c r="BK360" s="4"/>
      <c r="BL360" s="4"/>
      <c r="BM360" s="4"/>
      <c r="BN360" s="4"/>
    </row>
    <row r="361" ht="13.5" customHeight="1" spans="1:66" x14ac:dyDescent="0.25">
      <c r="A361" s="4"/>
      <c r="B361" s="4"/>
      <c r="C361" s="533"/>
      <c r="D361" s="4"/>
      <c r="E361" s="4"/>
      <c r="F361" s="4"/>
      <c r="G361" s="4"/>
      <c r="H361" s="4"/>
      <c r="I361" s="4"/>
      <c r="J361" s="4"/>
      <c r="K361" s="4"/>
      <c r="L361" s="4"/>
      <c r="M361" s="4"/>
      <c r="N361" s="4"/>
      <c r="O361" s="4"/>
      <c r="P361" s="4"/>
      <c r="Q361" s="4"/>
      <c r="R361" s="4"/>
      <c r="S361" s="4"/>
      <c r="T361" s="4"/>
      <c r="U361" s="4"/>
      <c r="V361" s="4"/>
      <c r="W361" s="4"/>
      <c r="X361" s="4"/>
      <c r="Y361" s="4"/>
      <c r="Z361" s="4"/>
      <c r="AA361" s="4"/>
      <c r="AB361" s="4"/>
      <c r="AC361" s="4"/>
      <c r="AD361" s="4"/>
      <c r="AE361" s="4"/>
      <c r="AF361" s="4"/>
      <c r="AG361" s="4"/>
      <c r="AH361" s="4"/>
      <c r="AI361" s="4"/>
      <c r="AJ361" s="4"/>
      <c r="AK361" s="4"/>
      <c r="AL361" s="4"/>
      <c r="AM361" s="4"/>
      <c r="AN361" s="4"/>
      <c r="AO361" s="4"/>
      <c r="AP361" s="4"/>
      <c r="AQ361" s="4"/>
      <c r="AR361" s="4"/>
      <c r="AS361" s="4"/>
      <c r="AT361" s="4"/>
      <c r="AU361" s="4"/>
      <c r="AV361" s="4"/>
      <c r="AW361" s="4"/>
      <c r="AX361" s="4"/>
      <c r="AY361" s="4"/>
      <c r="AZ361" s="4"/>
      <c r="BA361" s="4"/>
      <c r="BB361" s="4"/>
      <c r="BC361" s="4"/>
      <c r="BD361" s="4"/>
      <c r="BE361" s="4"/>
      <c r="BF361" s="4"/>
      <c r="BG361" s="4"/>
      <c r="BH361" s="4"/>
      <c r="BI361" s="4"/>
      <c r="BJ361" s="4"/>
      <c r="BK361" s="4"/>
      <c r="BL361" s="4"/>
      <c r="BM361" s="4"/>
      <c r="BN361" s="4"/>
    </row>
    <row r="362" ht="13.5" customHeight="1" spans="1:66" x14ac:dyDescent="0.25">
      <c r="A362" s="4"/>
      <c r="B362" s="4"/>
      <c r="C362" s="533"/>
      <c r="D362" s="4"/>
      <c r="E362" s="4"/>
      <c r="F362" s="4"/>
      <c r="G362" s="4"/>
      <c r="H362" s="4"/>
      <c r="I362" s="4"/>
      <c r="J362" s="4"/>
      <c r="K362" s="4"/>
      <c r="L362" s="4"/>
      <c r="M362" s="4"/>
      <c r="N362" s="4"/>
      <c r="O362" s="4"/>
      <c r="P362" s="4"/>
      <c r="Q362" s="4"/>
      <c r="R362" s="4"/>
      <c r="S362" s="4"/>
      <c r="T362" s="4"/>
      <c r="U362" s="4"/>
      <c r="V362" s="4"/>
      <c r="W362" s="4"/>
      <c r="X362" s="4"/>
      <c r="Y362" s="4"/>
      <c r="Z362" s="4"/>
      <c r="AA362" s="4"/>
      <c r="AB362" s="4"/>
      <c r="AC362" s="4"/>
      <c r="AD362" s="4"/>
      <c r="AE362" s="4"/>
      <c r="AF362" s="4"/>
      <c r="AG362" s="4"/>
      <c r="AH362" s="4"/>
      <c r="AI362" s="4"/>
      <c r="AJ362" s="4"/>
      <c r="AK362" s="4"/>
      <c r="AL362" s="4"/>
      <c r="AM362" s="4"/>
      <c r="AN362" s="4"/>
      <c r="AO362" s="4"/>
      <c r="AP362" s="4"/>
      <c r="AQ362" s="4"/>
      <c r="AR362" s="4"/>
      <c r="AS362" s="4"/>
      <c r="AT362" s="4"/>
      <c r="AU362" s="4"/>
      <c r="AV362" s="4"/>
      <c r="AW362" s="4"/>
      <c r="AX362" s="4"/>
      <c r="AY362" s="4"/>
      <c r="AZ362" s="4"/>
      <c r="BA362" s="4"/>
      <c r="BB362" s="4"/>
      <c r="BC362" s="4"/>
      <c r="BD362" s="4"/>
      <c r="BE362" s="4"/>
      <c r="BF362" s="4"/>
      <c r="BG362" s="4"/>
      <c r="BH362" s="4"/>
      <c r="BI362" s="4"/>
      <c r="BJ362" s="4"/>
      <c r="BK362" s="4"/>
      <c r="BL362" s="4"/>
      <c r="BM362" s="4"/>
      <c r="BN362" s="4"/>
    </row>
    <row r="363" ht="13.5" customHeight="1" spans="1:66" x14ac:dyDescent="0.25">
      <c r="A363" s="4"/>
      <c r="B363" s="4"/>
      <c r="C363" s="533"/>
      <c r="D363" s="4"/>
      <c r="E363" s="4"/>
      <c r="F363" s="4"/>
      <c r="G363" s="4"/>
      <c r="H363" s="4"/>
      <c r="I363" s="4"/>
      <c r="J363" s="4"/>
      <c r="K363" s="4"/>
      <c r="L363" s="4"/>
      <c r="M363" s="4"/>
      <c r="N363" s="4"/>
      <c r="O363" s="4"/>
      <c r="P363" s="4"/>
      <c r="Q363" s="4"/>
      <c r="R363" s="4"/>
      <c r="S363" s="4"/>
      <c r="T363" s="4"/>
      <c r="U363" s="4"/>
      <c r="V363" s="4"/>
      <c r="W363" s="4"/>
      <c r="X363" s="4"/>
      <c r="Y363" s="4"/>
      <c r="Z363" s="4"/>
      <c r="AA363" s="4"/>
      <c r="AB363" s="4"/>
      <c r="AC363" s="4"/>
      <c r="AD363" s="4"/>
      <c r="AE363" s="4"/>
      <c r="AF363" s="4"/>
      <c r="AG363" s="4"/>
      <c r="AH363" s="4"/>
      <c r="AI363" s="4"/>
      <c r="AJ363" s="4"/>
      <c r="AK363" s="4"/>
      <c r="AL363" s="4"/>
      <c r="AM363" s="4"/>
      <c r="AN363" s="4"/>
      <c r="AO363" s="4"/>
      <c r="AP363" s="4"/>
      <c r="AQ363" s="4"/>
      <c r="AR363" s="4"/>
      <c r="AS363" s="4"/>
      <c r="AT363" s="4"/>
      <c r="AU363" s="4"/>
      <c r="AV363" s="4"/>
      <c r="AW363" s="4"/>
      <c r="AX363" s="4"/>
      <c r="AY363" s="4"/>
      <c r="AZ363" s="4"/>
      <c r="BA363" s="4"/>
      <c r="BB363" s="4"/>
      <c r="BC363" s="4"/>
      <c r="BD363" s="4"/>
      <c r="BE363" s="4"/>
      <c r="BF363" s="4"/>
      <c r="BG363" s="4"/>
      <c r="BH363" s="4"/>
      <c r="BI363" s="4"/>
      <c r="BJ363" s="4"/>
      <c r="BK363" s="4"/>
      <c r="BL363" s="4"/>
      <c r="BM363" s="4"/>
      <c r="BN363" s="4"/>
    </row>
    <row r="364" ht="13.5" customHeight="1" spans="1:66" x14ac:dyDescent="0.25">
      <c r="A364" s="4"/>
      <c r="B364" s="4"/>
      <c r="C364" s="533"/>
      <c r="D364" s="4"/>
      <c r="E364" s="4"/>
      <c r="F364" s="4"/>
      <c r="G364" s="4"/>
      <c r="H364" s="4"/>
      <c r="I364" s="4"/>
      <c r="J364" s="4"/>
      <c r="K364" s="4"/>
      <c r="L364" s="4"/>
      <c r="M364" s="4"/>
      <c r="N364" s="4"/>
      <c r="O364" s="4"/>
      <c r="P364" s="4"/>
      <c r="Q364" s="4"/>
      <c r="R364" s="4"/>
      <c r="S364" s="4"/>
      <c r="T364" s="4"/>
      <c r="U364" s="4"/>
      <c r="V364" s="4"/>
      <c r="W364" s="4"/>
      <c r="X364" s="4"/>
      <c r="Y364" s="4"/>
      <c r="Z364" s="4"/>
      <c r="AA364" s="4"/>
      <c r="AB364" s="4"/>
      <c r="AC364" s="4"/>
      <c r="AD364" s="4"/>
      <c r="AE364" s="4"/>
      <c r="AF364" s="4"/>
      <c r="AG364" s="4"/>
      <c r="AH364" s="4"/>
      <c r="AI364" s="4"/>
      <c r="AJ364" s="4"/>
      <c r="AK364" s="4"/>
      <c r="AL364" s="4"/>
      <c r="AM364" s="4"/>
      <c r="AN364" s="4"/>
      <c r="AO364" s="4"/>
      <c r="AP364" s="4"/>
      <c r="AQ364" s="4"/>
      <c r="AR364" s="4"/>
      <c r="AS364" s="4"/>
      <c r="AT364" s="4"/>
      <c r="AU364" s="4"/>
      <c r="AV364" s="4"/>
      <c r="AW364" s="4"/>
      <c r="AX364" s="4"/>
      <c r="AY364" s="4"/>
      <c r="AZ364" s="4"/>
      <c r="BA364" s="4"/>
      <c r="BB364" s="4"/>
      <c r="BC364" s="4"/>
      <c r="BD364" s="4"/>
      <c r="BE364" s="4"/>
      <c r="BF364" s="4"/>
      <c r="BG364" s="4"/>
      <c r="BH364" s="4"/>
      <c r="BI364" s="4"/>
      <c r="BJ364" s="4"/>
      <c r="BK364" s="4"/>
      <c r="BL364" s="4"/>
      <c r="BM364" s="4"/>
      <c r="BN364" s="4"/>
    </row>
    <row r="365" ht="13.5" customHeight="1" spans="1:66" x14ac:dyDescent="0.25">
      <c r="A365" s="4"/>
      <c r="B365" s="4"/>
      <c r="C365" s="533"/>
      <c r="D365" s="4"/>
      <c r="E365" s="4"/>
      <c r="F365" s="4"/>
      <c r="G365" s="4"/>
      <c r="H365" s="4"/>
      <c r="I365" s="4"/>
      <c r="J365" s="4"/>
      <c r="K365" s="4"/>
      <c r="L365" s="4"/>
      <c r="M365" s="4"/>
      <c r="N365" s="4"/>
      <c r="O365" s="4"/>
      <c r="P365" s="4"/>
      <c r="Q365" s="4"/>
      <c r="R365" s="4"/>
      <c r="S365" s="4"/>
      <c r="T365" s="4"/>
      <c r="U365" s="4"/>
      <c r="V365" s="4"/>
      <c r="W365" s="4"/>
      <c r="X365" s="4"/>
      <c r="Y365" s="4"/>
      <c r="Z365" s="4"/>
      <c r="AA365" s="4"/>
      <c r="AB365" s="4"/>
      <c r="AC365" s="4"/>
      <c r="AD365" s="4"/>
      <c r="AE365" s="4"/>
      <c r="AF365" s="4"/>
      <c r="AG365" s="4"/>
      <c r="AH365" s="4"/>
      <c r="AI365" s="4"/>
      <c r="AJ365" s="4"/>
      <c r="AK365" s="4"/>
      <c r="AL365" s="4"/>
      <c r="AM365" s="4"/>
      <c r="AN365" s="4"/>
      <c r="AO365" s="4"/>
      <c r="AP365" s="4"/>
      <c r="AQ365" s="4"/>
      <c r="AR365" s="4"/>
      <c r="AS365" s="4"/>
      <c r="AT365" s="4"/>
      <c r="AU365" s="4"/>
      <c r="AV365" s="4"/>
      <c r="AW365" s="4"/>
      <c r="AX365" s="4"/>
      <c r="AY365" s="4"/>
      <c r="AZ365" s="4"/>
      <c r="BA365" s="4"/>
      <c r="BB365" s="4"/>
      <c r="BC365" s="4"/>
      <c r="BD365" s="4"/>
      <c r="BE365" s="4"/>
      <c r="BF365" s="4"/>
      <c r="BG365" s="4"/>
      <c r="BH365" s="4"/>
      <c r="BI365" s="4"/>
      <c r="BJ365" s="4"/>
      <c r="BK365" s="4"/>
      <c r="BL365" s="4"/>
      <c r="BM365" s="4"/>
      <c r="BN365" s="4"/>
    </row>
    <row r="366" ht="13.5" customHeight="1" spans="1:66" x14ac:dyDescent="0.25">
      <c r="A366" s="4"/>
      <c r="B366" s="4"/>
      <c r="C366" s="533"/>
      <c r="D366" s="4"/>
      <c r="E366" s="4"/>
      <c r="F366" s="4"/>
      <c r="G366" s="4"/>
      <c r="H366" s="4"/>
      <c r="I366" s="4"/>
      <c r="J366" s="4"/>
      <c r="K366" s="4"/>
      <c r="L366" s="4"/>
      <c r="M366" s="4"/>
      <c r="N366" s="4"/>
      <c r="O366" s="4"/>
      <c r="P366" s="4"/>
      <c r="Q366" s="4"/>
      <c r="R366" s="4"/>
      <c r="S366" s="4"/>
      <c r="T366" s="4"/>
      <c r="U366" s="4"/>
      <c r="V366" s="4"/>
      <c r="W366" s="4"/>
      <c r="X366" s="4"/>
      <c r="Y366" s="4"/>
      <c r="Z366" s="4"/>
      <c r="AA366" s="4"/>
      <c r="AB366" s="4"/>
      <c r="AC366" s="4"/>
      <c r="AD366" s="4"/>
      <c r="AE366" s="4"/>
      <c r="AF366" s="4"/>
      <c r="AG366" s="4"/>
      <c r="AH366" s="4"/>
      <c r="AI366" s="4"/>
      <c r="AJ366" s="4"/>
      <c r="AK366" s="4"/>
      <c r="AL366" s="4"/>
      <c r="AM366" s="4"/>
      <c r="AN366" s="4"/>
      <c r="AO366" s="4"/>
      <c r="AP366" s="4"/>
      <c r="AQ366" s="4"/>
      <c r="AR366" s="4"/>
      <c r="AS366" s="4"/>
      <c r="AT366" s="4"/>
      <c r="AU366" s="4"/>
      <c r="AV366" s="4"/>
      <c r="AW366" s="4"/>
      <c r="AX366" s="4"/>
      <c r="AY366" s="4"/>
      <c r="AZ366" s="4"/>
      <c r="BA366" s="4"/>
      <c r="BB366" s="4"/>
      <c r="BC366" s="4"/>
      <c r="BD366" s="4"/>
      <c r="BE366" s="4"/>
      <c r="BF366" s="4"/>
      <c r="BG366" s="4"/>
      <c r="BH366" s="4"/>
      <c r="BI366" s="4"/>
      <c r="BJ366" s="4"/>
      <c r="BK366" s="4"/>
      <c r="BL366" s="4"/>
      <c r="BM366" s="4"/>
      <c r="BN366" s="4"/>
    </row>
    <row r="367" ht="13.5" customHeight="1" spans="1:66" x14ac:dyDescent="0.25">
      <c r="A367" s="4"/>
      <c r="B367" s="4"/>
      <c r="C367" s="533"/>
      <c r="D367" s="4"/>
      <c r="E367" s="4"/>
      <c r="F367" s="4"/>
      <c r="G367" s="4"/>
      <c r="H367" s="4"/>
      <c r="I367" s="4"/>
      <c r="J367" s="4"/>
      <c r="K367" s="4"/>
      <c r="L367" s="4"/>
      <c r="M367" s="4"/>
      <c r="N367" s="4"/>
      <c r="O367" s="4"/>
      <c r="P367" s="4"/>
      <c r="Q367" s="4"/>
      <c r="R367" s="4"/>
      <c r="S367" s="4"/>
      <c r="T367" s="4"/>
      <c r="U367" s="4"/>
      <c r="V367" s="4"/>
      <c r="W367" s="4"/>
      <c r="X367" s="4"/>
      <c r="Y367" s="4"/>
      <c r="Z367" s="4"/>
      <c r="AA367" s="4"/>
      <c r="AB367" s="4"/>
      <c r="AC367" s="4"/>
      <c r="AD367" s="4"/>
      <c r="AE367" s="4"/>
      <c r="AF367" s="4"/>
      <c r="AG367" s="4"/>
      <c r="AH367" s="4"/>
      <c r="AI367" s="4"/>
      <c r="AJ367" s="4"/>
      <c r="AK367" s="4"/>
      <c r="AL367" s="4"/>
      <c r="AM367" s="4"/>
      <c r="AN367" s="4"/>
      <c r="AO367" s="4"/>
      <c r="AP367" s="4"/>
      <c r="AQ367" s="4"/>
      <c r="AR367" s="4"/>
      <c r="AS367" s="4"/>
      <c r="AT367" s="4"/>
      <c r="AU367" s="4"/>
      <c r="AV367" s="4"/>
      <c r="AW367" s="4"/>
      <c r="AX367" s="4"/>
      <c r="AY367" s="4"/>
      <c r="AZ367" s="4"/>
      <c r="BA367" s="4"/>
      <c r="BB367" s="4"/>
      <c r="BC367" s="4"/>
      <c r="BD367" s="4"/>
      <c r="BE367" s="4"/>
      <c r="BF367" s="4"/>
      <c r="BG367" s="4"/>
      <c r="BH367" s="4"/>
      <c r="BI367" s="4"/>
      <c r="BJ367" s="4"/>
      <c r="BK367" s="4"/>
      <c r="BL367" s="4"/>
      <c r="BM367" s="4"/>
      <c r="BN367" s="4"/>
    </row>
    <row r="368" ht="13.5" customHeight="1" spans="1:66" x14ac:dyDescent="0.25">
      <c r="A368" s="4"/>
      <c r="B368" s="4"/>
      <c r="C368" s="533"/>
      <c r="D368" s="4"/>
      <c r="E368" s="4"/>
      <c r="F368" s="4"/>
      <c r="G368" s="4"/>
      <c r="H368" s="4"/>
      <c r="I368" s="4"/>
      <c r="J368" s="4"/>
      <c r="K368" s="4"/>
      <c r="L368" s="4"/>
      <c r="M368" s="4"/>
      <c r="N368" s="4"/>
      <c r="O368" s="4"/>
      <c r="P368" s="4"/>
      <c r="Q368" s="4"/>
      <c r="R368" s="4"/>
      <c r="S368" s="4"/>
      <c r="T368" s="4"/>
      <c r="U368" s="4"/>
      <c r="V368" s="4"/>
      <c r="W368" s="4"/>
      <c r="X368" s="4"/>
      <c r="Y368" s="4"/>
      <c r="Z368" s="4"/>
      <c r="AA368" s="4"/>
      <c r="AB368" s="4"/>
      <c r="AC368" s="4"/>
      <c r="AD368" s="4"/>
      <c r="AE368" s="4"/>
      <c r="AF368" s="4"/>
      <c r="AG368" s="4"/>
      <c r="AH368" s="4"/>
      <c r="AI368" s="4"/>
      <c r="AJ368" s="4"/>
      <c r="AK368" s="4"/>
      <c r="AL368" s="4"/>
      <c r="AM368" s="4"/>
      <c r="AN368" s="4"/>
      <c r="AO368" s="4"/>
      <c r="AP368" s="4"/>
      <c r="AQ368" s="4"/>
      <c r="AR368" s="4"/>
      <c r="AS368" s="4"/>
      <c r="AT368" s="4"/>
      <c r="AU368" s="4"/>
      <c r="AV368" s="4"/>
      <c r="AW368" s="4"/>
      <c r="AX368" s="4"/>
      <c r="AY368" s="4"/>
      <c r="AZ368" s="4"/>
      <c r="BA368" s="4"/>
      <c r="BB368" s="4"/>
      <c r="BC368" s="4"/>
      <c r="BD368" s="4"/>
      <c r="BE368" s="4"/>
      <c r="BF368" s="4"/>
      <c r="BG368" s="4"/>
      <c r="BH368" s="4"/>
      <c r="BI368" s="4"/>
      <c r="BJ368" s="4"/>
      <c r="BK368" s="4"/>
      <c r="BL368" s="4"/>
      <c r="BM368" s="4"/>
      <c r="BN368" s="4"/>
    </row>
    <row r="369" ht="13.5" customHeight="1" spans="1:66" x14ac:dyDescent="0.25">
      <c r="A369" s="4"/>
      <c r="B369" s="4"/>
      <c r="C369" s="533"/>
      <c r="D369" s="4"/>
      <c r="E369" s="4"/>
      <c r="F369" s="4"/>
      <c r="G369" s="4"/>
      <c r="H369" s="4"/>
      <c r="I369" s="4"/>
      <c r="J369" s="4"/>
      <c r="K369" s="4"/>
      <c r="L369" s="4"/>
      <c r="M369" s="4"/>
      <c r="N369" s="4"/>
      <c r="O369" s="4"/>
      <c r="P369" s="4"/>
      <c r="Q369" s="4"/>
      <c r="R369" s="4"/>
      <c r="S369" s="4"/>
      <c r="T369" s="4"/>
      <c r="U369" s="4"/>
      <c r="V369" s="4"/>
      <c r="W369" s="4"/>
      <c r="X369" s="4"/>
      <c r="Y369" s="4"/>
      <c r="Z369" s="4"/>
      <c r="AA369" s="4"/>
      <c r="AB369" s="4"/>
      <c r="AC369" s="4"/>
      <c r="AD369" s="4"/>
      <c r="AE369" s="4"/>
      <c r="AF369" s="4"/>
      <c r="AG369" s="4"/>
      <c r="AH369" s="4"/>
      <c r="AI369" s="4"/>
      <c r="AJ369" s="4"/>
      <c r="AK369" s="4"/>
      <c r="AL369" s="4"/>
      <c r="AM369" s="4"/>
      <c r="AN369" s="4"/>
      <c r="AO369" s="4"/>
      <c r="AP369" s="4"/>
      <c r="AQ369" s="4"/>
      <c r="AR369" s="4"/>
      <c r="AS369" s="4"/>
      <c r="AT369" s="4"/>
      <c r="AU369" s="4"/>
      <c r="AV369" s="4"/>
      <c r="AW369" s="4"/>
      <c r="AX369" s="4"/>
      <c r="AY369" s="4"/>
      <c r="AZ369" s="4"/>
      <c r="BA369" s="4"/>
      <c r="BB369" s="4"/>
      <c r="BC369" s="4"/>
      <c r="BD369" s="4"/>
      <c r="BE369" s="4"/>
      <c r="BF369" s="4"/>
      <c r="BG369" s="4"/>
      <c r="BH369" s="4"/>
      <c r="BI369" s="4"/>
      <c r="BJ369" s="4"/>
      <c r="BK369" s="4"/>
      <c r="BL369" s="4"/>
      <c r="BM369" s="4"/>
      <c r="BN369" s="4"/>
    </row>
    <row r="370" ht="13.5" customHeight="1" spans="1:66" x14ac:dyDescent="0.25">
      <c r="A370" s="4"/>
      <c r="B370" s="4"/>
      <c r="C370" s="533"/>
      <c r="D370" s="4"/>
      <c r="E370" s="4"/>
      <c r="F370" s="4"/>
      <c r="G370" s="4"/>
      <c r="H370" s="4"/>
      <c r="I370" s="4"/>
      <c r="J370" s="4"/>
      <c r="K370" s="4"/>
      <c r="L370" s="4"/>
      <c r="M370" s="4"/>
      <c r="N370" s="4"/>
      <c r="O370" s="4"/>
      <c r="P370" s="4"/>
      <c r="Q370" s="4"/>
      <c r="R370" s="4"/>
      <c r="S370" s="4"/>
      <c r="T370" s="4"/>
      <c r="U370" s="4"/>
      <c r="V370" s="4"/>
      <c r="W370" s="4"/>
      <c r="X370" s="4"/>
      <c r="Y370" s="4"/>
      <c r="Z370" s="4"/>
      <c r="AA370" s="4"/>
      <c r="AB370" s="4"/>
      <c r="AC370" s="4"/>
      <c r="AD370" s="4"/>
      <c r="AE370" s="4"/>
      <c r="AF370" s="4"/>
      <c r="AG370" s="4"/>
      <c r="AH370" s="4"/>
      <c r="AI370" s="4"/>
      <c r="AJ370" s="4"/>
      <c r="AK370" s="4"/>
      <c r="AL370" s="4"/>
      <c r="AM370" s="4"/>
      <c r="AN370" s="4"/>
      <c r="AO370" s="4"/>
      <c r="AP370" s="4"/>
      <c r="AQ370" s="4"/>
      <c r="AR370" s="4"/>
      <c r="AS370" s="4"/>
      <c r="AT370" s="4"/>
      <c r="AU370" s="4"/>
      <c r="AV370" s="4"/>
      <c r="AW370" s="4"/>
      <c r="AX370" s="4"/>
      <c r="AY370" s="4"/>
      <c r="AZ370" s="4"/>
      <c r="BA370" s="4"/>
      <c r="BB370" s="4"/>
      <c r="BC370" s="4"/>
      <c r="BD370" s="4"/>
      <c r="BE370" s="4"/>
      <c r="BF370" s="4"/>
      <c r="BG370" s="4"/>
      <c r="BH370" s="4"/>
      <c r="BI370" s="4"/>
      <c r="BJ370" s="4"/>
      <c r="BK370" s="4"/>
      <c r="BL370" s="4"/>
      <c r="BM370" s="4"/>
      <c r="BN370" s="4"/>
    </row>
    <row r="371" ht="13.5" customHeight="1" spans="1:66" x14ac:dyDescent="0.25">
      <c r="A371" s="4"/>
      <c r="B371" s="4"/>
      <c r="C371" s="533"/>
      <c r="D371" s="4"/>
      <c r="E371" s="4"/>
      <c r="F371" s="4"/>
      <c r="G371" s="4"/>
      <c r="H371" s="4"/>
      <c r="I371" s="4"/>
      <c r="J371" s="4"/>
      <c r="K371" s="4"/>
      <c r="L371" s="4"/>
      <c r="M371" s="4"/>
      <c r="N371" s="4"/>
      <c r="O371" s="4"/>
      <c r="P371" s="4"/>
      <c r="Q371" s="4"/>
      <c r="R371" s="4"/>
      <c r="S371" s="4"/>
      <c r="T371" s="4"/>
      <c r="U371" s="4"/>
      <c r="V371" s="4"/>
      <c r="W371" s="4"/>
      <c r="X371" s="4"/>
      <c r="Y371" s="4"/>
      <c r="Z371" s="4"/>
      <c r="AA371" s="4"/>
      <c r="AB371" s="4"/>
      <c r="AC371" s="4"/>
      <c r="AD371" s="4"/>
      <c r="AE371" s="4"/>
      <c r="AF371" s="4"/>
      <c r="AG371" s="4"/>
      <c r="AH371" s="4"/>
      <c r="AI371" s="4"/>
      <c r="AJ371" s="4"/>
      <c r="AK371" s="4"/>
      <c r="AL371" s="4"/>
      <c r="AM371" s="4"/>
      <c r="AN371" s="4"/>
      <c r="AO371" s="4"/>
      <c r="AP371" s="4"/>
      <c r="AQ371" s="4"/>
      <c r="AR371" s="4"/>
      <c r="AS371" s="4"/>
      <c r="AT371" s="4"/>
      <c r="AU371" s="4"/>
      <c r="AV371" s="4"/>
      <c r="AW371" s="4"/>
      <c r="AX371" s="4"/>
      <c r="AY371" s="4"/>
      <c r="AZ371" s="4"/>
      <c r="BA371" s="4"/>
      <c r="BB371" s="4"/>
      <c r="BC371" s="4"/>
      <c r="BD371" s="4"/>
      <c r="BE371" s="4"/>
      <c r="BF371" s="4"/>
      <c r="BG371" s="4"/>
      <c r="BH371" s="4"/>
      <c r="BI371" s="4"/>
      <c r="BJ371" s="4"/>
      <c r="BK371" s="4"/>
      <c r="BL371" s="4"/>
      <c r="BM371" s="4"/>
      <c r="BN371" s="4"/>
    </row>
    <row r="372" ht="13.5" customHeight="1" spans="1:66" x14ac:dyDescent="0.25">
      <c r="A372" s="4"/>
      <c r="B372" s="4"/>
      <c r="C372" s="533"/>
      <c r="D372" s="4"/>
      <c r="E372" s="4"/>
      <c r="F372" s="4"/>
      <c r="G372" s="4"/>
      <c r="H372" s="4"/>
      <c r="I372" s="4"/>
      <c r="J372" s="4"/>
      <c r="K372" s="4"/>
      <c r="L372" s="4"/>
      <c r="M372" s="4"/>
      <c r="N372" s="4"/>
      <c r="O372" s="4"/>
      <c r="P372" s="4"/>
      <c r="Q372" s="4"/>
      <c r="R372" s="4"/>
      <c r="S372" s="4"/>
      <c r="T372" s="4"/>
      <c r="U372" s="4"/>
      <c r="V372" s="4"/>
      <c r="W372" s="4"/>
      <c r="X372" s="4"/>
      <c r="Y372" s="4"/>
      <c r="Z372" s="4"/>
      <c r="AA372" s="4"/>
      <c r="AB372" s="4"/>
      <c r="AC372" s="4"/>
      <c r="AD372" s="4"/>
      <c r="AE372" s="4"/>
      <c r="AF372" s="4"/>
      <c r="AG372" s="4"/>
      <c r="AH372" s="4"/>
      <c r="AI372" s="4"/>
      <c r="AJ372" s="4"/>
      <c r="AK372" s="4"/>
      <c r="AL372" s="4"/>
      <c r="AM372" s="4"/>
      <c r="AN372" s="4"/>
      <c r="AO372" s="4"/>
      <c r="AP372" s="4"/>
      <c r="AQ372" s="4"/>
      <c r="AR372" s="4"/>
      <c r="AS372" s="4"/>
      <c r="AT372" s="4"/>
      <c r="AU372" s="4"/>
      <c r="AV372" s="4"/>
      <c r="AW372" s="4"/>
      <c r="AX372" s="4"/>
      <c r="AY372" s="4"/>
      <c r="AZ372" s="4"/>
      <c r="BA372" s="4"/>
      <c r="BB372" s="4"/>
      <c r="BC372" s="4"/>
      <c r="BD372" s="4"/>
      <c r="BE372" s="4"/>
      <c r="BF372" s="4"/>
      <c r="BG372" s="4"/>
      <c r="BH372" s="4"/>
      <c r="BI372" s="4"/>
      <c r="BJ372" s="4"/>
      <c r="BK372" s="4"/>
      <c r="BL372" s="4"/>
      <c r="BM372" s="4"/>
      <c r="BN372" s="4"/>
    </row>
    <row r="373" ht="13.5" customHeight="1" spans="1:66" x14ac:dyDescent="0.25">
      <c r="A373" s="4"/>
      <c r="B373" s="4"/>
      <c r="C373" s="533"/>
      <c r="D373" s="4"/>
      <c r="E373" s="4"/>
      <c r="F373" s="4"/>
      <c r="G373" s="4"/>
      <c r="H373" s="4"/>
      <c r="I373" s="4"/>
      <c r="J373" s="4"/>
      <c r="K373" s="4"/>
      <c r="L373" s="4"/>
      <c r="M373" s="4"/>
      <c r="N373" s="4"/>
      <c r="O373" s="4"/>
      <c r="P373" s="4"/>
      <c r="Q373" s="4"/>
      <c r="R373" s="4"/>
      <c r="S373" s="4"/>
      <c r="T373" s="4"/>
      <c r="U373" s="4"/>
      <c r="V373" s="4"/>
      <c r="W373" s="4"/>
      <c r="X373" s="4"/>
      <c r="Y373" s="4"/>
      <c r="Z373" s="4"/>
      <c r="AA373" s="4"/>
      <c r="AB373" s="4"/>
      <c r="AC373" s="4"/>
      <c r="AD373" s="4"/>
      <c r="AE373" s="4"/>
      <c r="AF373" s="4"/>
      <c r="AG373" s="4"/>
      <c r="AH373" s="4"/>
      <c r="AI373" s="4"/>
      <c r="AJ373" s="4"/>
      <c r="AK373" s="4"/>
      <c r="AL373" s="4"/>
      <c r="AM373" s="4"/>
      <c r="AN373" s="4"/>
      <c r="AO373" s="4"/>
      <c r="AP373" s="4"/>
      <c r="AQ373" s="4"/>
      <c r="AR373" s="4"/>
      <c r="AS373" s="4"/>
      <c r="AT373" s="4"/>
      <c r="AU373" s="4"/>
      <c r="AV373" s="4"/>
      <c r="AW373" s="4"/>
      <c r="AX373" s="4"/>
      <c r="AY373" s="4"/>
      <c r="AZ373" s="4"/>
      <c r="BA373" s="4"/>
      <c r="BB373" s="4"/>
      <c r="BC373" s="4"/>
      <c r="BD373" s="4"/>
      <c r="BE373" s="4"/>
      <c r="BF373" s="4"/>
      <c r="BG373" s="4"/>
      <c r="BH373" s="4"/>
      <c r="BI373" s="4"/>
      <c r="BJ373" s="4"/>
      <c r="BK373" s="4"/>
      <c r="BL373" s="4"/>
      <c r="BM373" s="4"/>
      <c r="BN373" s="4"/>
    </row>
    <row r="374" ht="13.5" customHeight="1" spans="1:66" x14ac:dyDescent="0.25">
      <c r="A374" s="4"/>
      <c r="B374" s="4"/>
      <c r="C374" s="533"/>
      <c r="D374" s="4"/>
      <c r="E374" s="4"/>
      <c r="F374" s="4"/>
      <c r="G374" s="4"/>
      <c r="H374" s="4"/>
      <c r="I374" s="4"/>
      <c r="J374" s="4"/>
      <c r="K374" s="4"/>
      <c r="L374" s="4"/>
      <c r="M374" s="4"/>
      <c r="N374" s="4"/>
      <c r="O374" s="4"/>
      <c r="P374" s="4"/>
      <c r="Q374" s="4"/>
      <c r="R374" s="4"/>
      <c r="S374" s="4"/>
      <c r="T374" s="4"/>
      <c r="U374" s="4"/>
      <c r="V374" s="4"/>
      <c r="W374" s="4"/>
      <c r="X374" s="4"/>
      <c r="Y374" s="4"/>
      <c r="Z374" s="4"/>
      <c r="AA374" s="4"/>
      <c r="AB374" s="4"/>
      <c r="AC374" s="4"/>
      <c r="AD374" s="4"/>
      <c r="AE374" s="4"/>
      <c r="AF374" s="4"/>
      <c r="AG374" s="4"/>
      <c r="AH374" s="4"/>
      <c r="AI374" s="4"/>
      <c r="AJ374" s="4"/>
      <c r="AK374" s="4"/>
      <c r="AL374" s="4"/>
      <c r="AM374" s="4"/>
      <c r="AN374" s="4"/>
      <c r="AO374" s="4"/>
      <c r="AP374" s="4"/>
      <c r="AQ374" s="4"/>
      <c r="AR374" s="4"/>
      <c r="AS374" s="4"/>
      <c r="AT374" s="4"/>
      <c r="AU374" s="4"/>
      <c r="AV374" s="4"/>
      <c r="AW374" s="4"/>
      <c r="AX374" s="4"/>
      <c r="AY374" s="4"/>
      <c r="AZ374" s="4"/>
      <c r="BA374" s="4"/>
      <c r="BB374" s="4"/>
      <c r="BC374" s="4"/>
      <c r="BD374" s="4"/>
      <c r="BE374" s="4"/>
      <c r="BF374" s="4"/>
      <c r="BG374" s="4"/>
      <c r="BH374" s="4"/>
      <c r="BI374" s="4"/>
      <c r="BJ374" s="4"/>
      <c r="BK374" s="4"/>
      <c r="BL374" s="4"/>
      <c r="BM374" s="4"/>
      <c r="BN374" s="4"/>
    </row>
    <row r="375" ht="13.5" customHeight="1" spans="1:66" x14ac:dyDescent="0.25">
      <c r="A375" s="4"/>
      <c r="B375" s="4"/>
      <c r="C375" s="533"/>
      <c r="D375" s="4"/>
      <c r="E375" s="4"/>
      <c r="F375" s="4"/>
      <c r="G375" s="4"/>
      <c r="H375" s="4"/>
      <c r="I375" s="4"/>
      <c r="J375" s="4"/>
      <c r="K375" s="4"/>
      <c r="L375" s="4"/>
      <c r="M375" s="4"/>
      <c r="N375" s="4"/>
      <c r="O375" s="4"/>
      <c r="P375" s="4"/>
      <c r="Q375" s="4"/>
      <c r="R375" s="4"/>
      <c r="S375" s="4"/>
      <c r="T375" s="4"/>
      <c r="U375" s="4"/>
      <c r="V375" s="4"/>
      <c r="W375" s="4"/>
      <c r="X375" s="4"/>
      <c r="Y375" s="4"/>
      <c r="Z375" s="4"/>
      <c r="AA375" s="4"/>
      <c r="AB375" s="4"/>
      <c r="AC375" s="4"/>
      <c r="AD375" s="4"/>
      <c r="AE375" s="4"/>
      <c r="AF375" s="4"/>
      <c r="AG375" s="4"/>
      <c r="AH375" s="4"/>
      <c r="AI375" s="4"/>
      <c r="AJ375" s="4"/>
      <c r="AK375" s="4"/>
      <c r="AL375" s="4"/>
      <c r="AM375" s="4"/>
      <c r="AN375" s="4"/>
      <c r="AO375" s="4"/>
      <c r="AP375" s="4"/>
      <c r="AQ375" s="4"/>
      <c r="AR375" s="4"/>
      <c r="AS375" s="4"/>
      <c r="AT375" s="4"/>
      <c r="AU375" s="4"/>
      <c r="AV375" s="4"/>
      <c r="AW375" s="4"/>
      <c r="AX375" s="4"/>
      <c r="AY375" s="4"/>
      <c r="AZ375" s="4"/>
      <c r="BA375" s="4"/>
      <c r="BB375" s="4"/>
      <c r="BC375" s="4"/>
      <c r="BD375" s="4"/>
      <c r="BE375" s="4"/>
      <c r="BF375" s="4"/>
      <c r="BG375" s="4"/>
      <c r="BH375" s="4"/>
      <c r="BI375" s="4"/>
      <c r="BJ375" s="4"/>
      <c r="BK375" s="4"/>
      <c r="BL375" s="4"/>
      <c r="BM375" s="4"/>
      <c r="BN375" s="4"/>
    </row>
    <row r="376" ht="13.5" customHeight="1" spans="1:66" x14ac:dyDescent="0.25">
      <c r="A376" s="4"/>
      <c r="B376" s="4"/>
      <c r="C376" s="533"/>
      <c r="D376" s="4"/>
      <c r="E376" s="4"/>
      <c r="F376" s="4"/>
      <c r="G376" s="4"/>
      <c r="H376" s="4"/>
      <c r="I376" s="4"/>
      <c r="J376" s="4"/>
      <c r="K376" s="4"/>
      <c r="L376" s="4"/>
      <c r="M376" s="4"/>
      <c r="N376" s="4"/>
      <c r="O376" s="4"/>
      <c r="P376" s="4"/>
      <c r="Q376" s="4"/>
      <c r="R376" s="4"/>
      <c r="S376" s="4"/>
      <c r="T376" s="4"/>
      <c r="U376" s="4"/>
      <c r="V376" s="4"/>
      <c r="W376" s="4"/>
      <c r="X376" s="4"/>
      <c r="Y376" s="4"/>
      <c r="Z376" s="4"/>
      <c r="AA376" s="4"/>
      <c r="AB376" s="4"/>
      <c r="AC376" s="4"/>
      <c r="AD376" s="4"/>
      <c r="AE376" s="4"/>
      <c r="AF376" s="4"/>
      <c r="AG376" s="4"/>
      <c r="AH376" s="4"/>
      <c r="AI376" s="4"/>
      <c r="AJ376" s="4"/>
      <c r="AK376" s="4"/>
      <c r="AL376" s="4"/>
      <c r="AM376" s="4"/>
      <c r="AN376" s="4"/>
      <c r="AO376" s="4"/>
      <c r="AP376" s="4"/>
      <c r="AQ376" s="4"/>
      <c r="AR376" s="4"/>
      <c r="AS376" s="4"/>
      <c r="AT376" s="4"/>
      <c r="AU376" s="4"/>
      <c r="AV376" s="4"/>
      <c r="AW376" s="4"/>
      <c r="AX376" s="4"/>
      <c r="AY376" s="4"/>
      <c r="AZ376" s="4"/>
      <c r="BA376" s="4"/>
      <c r="BB376" s="4"/>
      <c r="BC376" s="4"/>
      <c r="BD376" s="4"/>
      <c r="BE376" s="4"/>
      <c r="BF376" s="4"/>
      <c r="BG376" s="4"/>
      <c r="BH376" s="4"/>
      <c r="BI376" s="4"/>
      <c r="BJ376" s="4"/>
      <c r="BK376" s="4"/>
      <c r="BL376" s="4"/>
      <c r="BM376" s="4"/>
      <c r="BN376" s="4"/>
    </row>
    <row r="377" ht="13.5" customHeight="1" spans="1:66" x14ac:dyDescent="0.25">
      <c r="A377" s="4"/>
      <c r="B377" s="4"/>
      <c r="C377" s="533"/>
      <c r="D377" s="4"/>
      <c r="E377" s="4"/>
      <c r="F377" s="4"/>
      <c r="G377" s="4"/>
      <c r="H377" s="4"/>
      <c r="I377" s="4"/>
      <c r="J377" s="4"/>
      <c r="K377" s="4"/>
      <c r="L377" s="4"/>
      <c r="M377" s="4"/>
      <c r="N377" s="4"/>
      <c r="O377" s="4"/>
      <c r="P377" s="4"/>
      <c r="Q377" s="4"/>
      <c r="R377" s="4"/>
      <c r="S377" s="4"/>
      <c r="T377" s="4"/>
      <c r="U377" s="4"/>
      <c r="V377" s="4"/>
      <c r="W377" s="4"/>
      <c r="X377" s="4"/>
      <c r="Y377" s="4"/>
      <c r="Z377" s="4"/>
      <c r="AA377" s="4"/>
      <c r="AB377" s="4"/>
      <c r="AC377" s="4"/>
      <c r="AD377" s="4"/>
      <c r="AE377" s="4"/>
      <c r="AF377" s="4"/>
      <c r="AG377" s="4"/>
      <c r="AH377" s="4"/>
      <c r="AI377" s="4"/>
      <c r="AJ377" s="4"/>
      <c r="AK377" s="4"/>
      <c r="AL377" s="4"/>
      <c r="AM377" s="4"/>
      <c r="AN377" s="4"/>
      <c r="AO377" s="4"/>
      <c r="AP377" s="4"/>
      <c r="AQ377" s="4"/>
      <c r="AR377" s="4"/>
      <c r="AS377" s="4"/>
      <c r="AT377" s="4"/>
      <c r="AU377" s="4"/>
      <c r="AV377" s="4"/>
      <c r="AW377" s="4"/>
      <c r="AX377" s="4"/>
      <c r="AY377" s="4"/>
      <c r="AZ377" s="4"/>
      <c r="BA377" s="4"/>
      <c r="BB377" s="4"/>
      <c r="BC377" s="4"/>
      <c r="BD377" s="4"/>
      <c r="BE377" s="4"/>
      <c r="BF377" s="4"/>
      <c r="BG377" s="4"/>
      <c r="BH377" s="4"/>
      <c r="BI377" s="4"/>
      <c r="BJ377" s="4"/>
      <c r="BK377" s="4"/>
      <c r="BL377" s="4"/>
      <c r="BM377" s="4"/>
      <c r="BN377" s="4"/>
    </row>
    <row r="378" ht="13.5" customHeight="1" spans="1:66" x14ac:dyDescent="0.25">
      <c r="A378" s="4"/>
      <c r="B378" s="4"/>
      <c r="C378" s="533"/>
      <c r="D378" s="4"/>
      <c r="E378" s="4"/>
      <c r="F378" s="4"/>
      <c r="G378" s="4"/>
      <c r="H378" s="4"/>
      <c r="I378" s="4"/>
      <c r="J378" s="4"/>
      <c r="K378" s="4"/>
      <c r="L378" s="4"/>
      <c r="M378" s="4"/>
      <c r="N378" s="4"/>
      <c r="O378" s="4"/>
      <c r="P378" s="4"/>
      <c r="Q378" s="4"/>
      <c r="R378" s="4"/>
      <c r="S378" s="4"/>
      <c r="T378" s="4"/>
      <c r="U378" s="4"/>
      <c r="V378" s="4"/>
      <c r="W378" s="4"/>
      <c r="X378" s="4"/>
      <c r="Y378" s="4"/>
      <c r="Z378" s="4"/>
      <c r="AA378" s="4"/>
      <c r="AB378" s="4"/>
      <c r="AC378" s="4"/>
      <c r="AD378" s="4"/>
      <c r="AE378" s="4"/>
      <c r="AF378" s="4"/>
      <c r="AG378" s="4"/>
      <c r="AH378" s="4"/>
      <c r="AI378" s="4"/>
      <c r="AJ378" s="4"/>
      <c r="AK378" s="4"/>
      <c r="AL378" s="4"/>
      <c r="AM378" s="4"/>
      <c r="AN378" s="4"/>
      <c r="AO378" s="4"/>
      <c r="AP378" s="4"/>
      <c r="AQ378" s="4"/>
      <c r="AR378" s="4"/>
      <c r="AS378" s="4"/>
      <c r="AT378" s="4"/>
      <c r="AU378" s="4"/>
      <c r="AV378" s="4"/>
      <c r="AW378" s="4"/>
      <c r="AX378" s="4"/>
      <c r="AY378" s="4"/>
      <c r="AZ378" s="4"/>
      <c r="BA378" s="4"/>
      <c r="BB378" s="4"/>
      <c r="BC378" s="4"/>
      <c r="BD378" s="4"/>
      <c r="BE378" s="4"/>
      <c r="BF378" s="4"/>
      <c r="BG378" s="4"/>
      <c r="BH378" s="4"/>
      <c r="BI378" s="4"/>
      <c r="BJ378" s="4"/>
      <c r="BK378" s="4"/>
      <c r="BL378" s="4"/>
      <c r="BM378" s="4"/>
      <c r="BN378" s="4"/>
    </row>
    <row r="379" ht="13.5" customHeight="1" spans="1:66" x14ac:dyDescent="0.25">
      <c r="A379" s="4"/>
      <c r="B379" s="4"/>
      <c r="C379" s="533"/>
      <c r="D379" s="4"/>
      <c r="E379" s="4"/>
      <c r="F379" s="4"/>
      <c r="G379" s="4"/>
      <c r="H379" s="4"/>
      <c r="I379" s="4"/>
      <c r="J379" s="4"/>
      <c r="K379" s="4"/>
      <c r="L379" s="4"/>
      <c r="M379" s="4"/>
      <c r="N379" s="4"/>
      <c r="O379" s="4"/>
      <c r="P379" s="4"/>
      <c r="Q379" s="4"/>
      <c r="R379" s="4"/>
      <c r="S379" s="4"/>
      <c r="T379" s="4"/>
      <c r="U379" s="4"/>
      <c r="V379" s="4"/>
      <c r="W379" s="4"/>
      <c r="X379" s="4"/>
      <c r="Y379" s="4"/>
      <c r="Z379" s="4"/>
      <c r="AA379" s="4"/>
      <c r="AB379" s="4"/>
      <c r="AC379" s="4"/>
      <c r="AD379" s="4"/>
      <c r="AE379" s="4"/>
      <c r="AF379" s="4"/>
      <c r="AG379" s="4"/>
      <c r="AH379" s="4"/>
      <c r="AI379" s="4"/>
      <c r="AJ379" s="4"/>
      <c r="AK379" s="4"/>
      <c r="AL379" s="4"/>
      <c r="AM379" s="4"/>
      <c r="AN379" s="4"/>
      <c r="AO379" s="4"/>
      <c r="AP379" s="4"/>
      <c r="AQ379" s="4"/>
      <c r="AR379" s="4"/>
      <c r="AS379" s="4"/>
      <c r="AT379" s="4"/>
      <c r="AU379" s="4"/>
      <c r="AV379" s="4"/>
      <c r="AW379" s="4"/>
      <c r="AX379" s="4"/>
      <c r="AY379" s="4"/>
      <c r="AZ379" s="4"/>
      <c r="BA379" s="4"/>
      <c r="BB379" s="4"/>
      <c r="BC379" s="4"/>
      <c r="BD379" s="4"/>
      <c r="BE379" s="4"/>
      <c r="BF379" s="4"/>
      <c r="BG379" s="4"/>
      <c r="BH379" s="4"/>
      <c r="BI379" s="4"/>
      <c r="BJ379" s="4"/>
      <c r="BK379" s="4"/>
      <c r="BL379" s="4"/>
      <c r="BM379" s="4"/>
      <c r="BN379" s="4"/>
    </row>
    <row r="380" ht="13.5" customHeight="1" spans="1:66" x14ac:dyDescent="0.25">
      <c r="A380" s="4"/>
      <c r="B380" s="4"/>
      <c r="C380" s="533"/>
      <c r="D380" s="4"/>
      <c r="E380" s="4"/>
      <c r="F380" s="4"/>
      <c r="G380" s="4"/>
      <c r="H380" s="4"/>
      <c r="I380" s="4"/>
      <c r="J380" s="4"/>
      <c r="K380" s="4"/>
      <c r="L380" s="4"/>
      <c r="M380" s="4"/>
      <c r="N380" s="4"/>
      <c r="O380" s="4"/>
      <c r="P380" s="4"/>
      <c r="Q380" s="4"/>
      <c r="R380" s="4"/>
      <c r="S380" s="4"/>
      <c r="T380" s="4"/>
      <c r="U380" s="4"/>
      <c r="V380" s="4"/>
      <c r="W380" s="4"/>
      <c r="X380" s="4"/>
      <c r="Y380" s="4"/>
      <c r="Z380" s="4"/>
      <c r="AA380" s="4"/>
      <c r="AB380" s="4"/>
      <c r="AC380" s="4"/>
      <c r="AD380" s="4"/>
      <c r="AE380" s="4"/>
      <c r="AF380" s="4"/>
      <c r="AG380" s="4"/>
      <c r="AH380" s="4"/>
      <c r="AI380" s="4"/>
      <c r="AJ380" s="4"/>
      <c r="AK380" s="4"/>
      <c r="AL380" s="4"/>
      <c r="AM380" s="4"/>
      <c r="AN380" s="4"/>
      <c r="AO380" s="4"/>
      <c r="AP380" s="4"/>
      <c r="AQ380" s="4"/>
      <c r="AR380" s="4"/>
      <c r="AS380" s="4"/>
      <c r="AT380" s="4"/>
      <c r="AU380" s="4"/>
      <c r="AV380" s="4"/>
      <c r="AW380" s="4"/>
      <c r="AX380" s="4"/>
      <c r="AY380" s="4"/>
      <c r="AZ380" s="4"/>
      <c r="BA380" s="4"/>
      <c r="BB380" s="4"/>
      <c r="BC380" s="4"/>
      <c r="BD380" s="4"/>
      <c r="BE380" s="4"/>
      <c r="BF380" s="4"/>
      <c r="BG380" s="4"/>
      <c r="BH380" s="4"/>
      <c r="BI380" s="4"/>
      <c r="BJ380" s="4"/>
      <c r="BK380" s="4"/>
      <c r="BL380" s="4"/>
      <c r="BM380" s="4"/>
      <c r="BN380" s="4"/>
    </row>
    <row r="381" ht="13.5" customHeight="1" spans="1:66" x14ac:dyDescent="0.25">
      <c r="A381" s="4"/>
      <c r="B381" s="4"/>
      <c r="C381" s="533"/>
      <c r="D381" s="4"/>
      <c r="E381" s="4"/>
      <c r="F381" s="4"/>
      <c r="G381" s="4"/>
      <c r="H381" s="4"/>
      <c r="I381" s="4"/>
      <c r="J381" s="4"/>
      <c r="K381" s="4"/>
      <c r="L381" s="4"/>
      <c r="M381" s="4"/>
      <c r="N381" s="4"/>
      <c r="O381" s="4"/>
      <c r="P381" s="4"/>
      <c r="Q381" s="4"/>
      <c r="R381" s="4"/>
      <c r="S381" s="4"/>
      <c r="T381" s="4"/>
      <c r="U381" s="4"/>
      <c r="V381" s="4"/>
      <c r="W381" s="4"/>
      <c r="X381" s="4"/>
      <c r="Y381" s="4"/>
      <c r="Z381" s="4"/>
      <c r="AA381" s="4"/>
      <c r="AB381" s="4"/>
      <c r="AC381" s="4"/>
      <c r="AD381" s="4"/>
      <c r="AE381" s="4"/>
      <c r="AF381" s="4"/>
      <c r="AG381" s="4"/>
      <c r="AH381" s="4"/>
      <c r="AI381" s="4"/>
      <c r="AJ381" s="4"/>
      <c r="AK381" s="4"/>
      <c r="AL381" s="4"/>
      <c r="AM381" s="4"/>
      <c r="AN381" s="4"/>
      <c r="AO381" s="4"/>
      <c r="AP381" s="4"/>
      <c r="AQ381" s="4"/>
      <c r="AR381" s="4"/>
      <c r="AS381" s="4"/>
      <c r="AT381" s="4"/>
      <c r="AU381" s="4"/>
      <c r="AV381" s="4"/>
      <c r="AW381" s="4"/>
      <c r="AX381" s="4"/>
      <c r="AY381" s="4"/>
      <c r="AZ381" s="4"/>
      <c r="BA381" s="4"/>
      <c r="BB381" s="4"/>
      <c r="BC381" s="4"/>
      <c r="BD381" s="4"/>
      <c r="BE381" s="4"/>
      <c r="BF381" s="4"/>
      <c r="BG381" s="4"/>
      <c r="BH381" s="4"/>
      <c r="BI381" s="4"/>
      <c r="BJ381" s="4"/>
      <c r="BK381" s="4"/>
      <c r="BL381" s="4"/>
      <c r="BM381" s="4"/>
      <c r="BN381" s="4"/>
    </row>
    <row r="382" ht="13.5" customHeight="1" spans="1:66" x14ac:dyDescent="0.25">
      <c r="A382" s="4"/>
      <c r="B382" s="4"/>
      <c r="C382" s="533"/>
      <c r="D382" s="4"/>
      <c r="E382" s="4"/>
      <c r="F382" s="4"/>
      <c r="G382" s="4"/>
      <c r="H382" s="4"/>
      <c r="I382" s="4"/>
      <c r="J382" s="4"/>
      <c r="K382" s="4"/>
      <c r="L382" s="4"/>
      <c r="M382" s="4"/>
      <c r="N382" s="4"/>
      <c r="O382" s="4"/>
      <c r="P382" s="4"/>
      <c r="Q382" s="4"/>
      <c r="R382" s="4"/>
      <c r="S382" s="4"/>
      <c r="T382" s="4"/>
      <c r="U382" s="4"/>
      <c r="V382" s="4"/>
      <c r="W382" s="4"/>
      <c r="X382" s="4"/>
      <c r="Y382" s="4"/>
      <c r="Z382" s="4"/>
      <c r="AA382" s="4"/>
      <c r="AB382" s="4"/>
      <c r="AC382" s="4"/>
      <c r="AD382" s="4"/>
      <c r="AE382" s="4"/>
      <c r="AF382" s="4"/>
      <c r="AG382" s="4"/>
      <c r="AH382" s="4"/>
      <c r="AI382" s="4"/>
      <c r="AJ382" s="4"/>
      <c r="AK382" s="4"/>
      <c r="AL382" s="4"/>
      <c r="AM382" s="4"/>
      <c r="AN382" s="4"/>
      <c r="AO382" s="4"/>
      <c r="AP382" s="4"/>
      <c r="AQ382" s="4"/>
      <c r="AR382" s="4"/>
      <c r="AS382" s="4"/>
      <c r="AT382" s="4"/>
      <c r="AU382" s="4"/>
      <c r="AV382" s="4"/>
      <c r="AW382" s="4"/>
      <c r="AX382" s="4"/>
      <c r="AY382" s="4"/>
      <c r="AZ382" s="4"/>
      <c r="BA382" s="4"/>
      <c r="BB382" s="4"/>
      <c r="BC382" s="4"/>
      <c r="BD382" s="4"/>
      <c r="BE382" s="4"/>
      <c r="BF382" s="4"/>
      <c r="BG382" s="4"/>
      <c r="BH382" s="4"/>
      <c r="BI382" s="4"/>
      <c r="BJ382" s="4"/>
      <c r="BK382" s="4"/>
      <c r="BL382" s="4"/>
      <c r="BM382" s="4"/>
      <c r="BN382" s="4"/>
    </row>
    <row r="383" ht="13.5" customHeight="1" spans="1:66" x14ac:dyDescent="0.25">
      <c r="A383" s="4"/>
      <c r="B383" s="4"/>
      <c r="C383" s="533"/>
      <c r="D383" s="4"/>
      <c r="E383" s="4"/>
      <c r="F383" s="4"/>
      <c r="G383" s="4"/>
      <c r="H383" s="4"/>
      <c r="I383" s="4"/>
      <c r="J383" s="4"/>
      <c r="K383" s="4"/>
      <c r="L383" s="4"/>
      <c r="M383" s="4"/>
      <c r="N383" s="4"/>
      <c r="O383" s="4"/>
      <c r="P383" s="4"/>
      <c r="Q383" s="4"/>
      <c r="R383" s="4"/>
      <c r="S383" s="4"/>
      <c r="T383" s="4"/>
      <c r="U383" s="4"/>
      <c r="V383" s="4"/>
      <c r="W383" s="4"/>
      <c r="X383" s="4"/>
      <c r="Y383" s="4"/>
      <c r="Z383" s="4"/>
      <c r="AA383" s="4"/>
      <c r="AB383" s="4"/>
      <c r="AC383" s="4"/>
      <c r="AD383" s="4"/>
      <c r="AE383" s="4"/>
      <c r="AF383" s="4"/>
      <c r="AG383" s="4"/>
      <c r="AH383" s="4"/>
      <c r="AI383" s="4"/>
      <c r="AJ383" s="4"/>
      <c r="AK383" s="4"/>
      <c r="AL383" s="4"/>
      <c r="AM383" s="4"/>
      <c r="AN383" s="4"/>
      <c r="AO383" s="4"/>
      <c r="AP383" s="4"/>
      <c r="AQ383" s="4"/>
      <c r="AR383" s="4"/>
      <c r="AS383" s="4"/>
      <c r="AT383" s="4"/>
      <c r="AU383" s="4"/>
      <c r="AV383" s="4"/>
      <c r="AW383" s="4"/>
      <c r="AX383" s="4"/>
      <c r="AY383" s="4"/>
      <c r="AZ383" s="4"/>
      <c r="BA383" s="4"/>
      <c r="BB383" s="4"/>
      <c r="BC383" s="4"/>
      <c r="BD383" s="4"/>
      <c r="BE383" s="4"/>
      <c r="BF383" s="4"/>
      <c r="BG383" s="4"/>
      <c r="BH383" s="4"/>
      <c r="BI383" s="4"/>
      <c r="BJ383" s="4"/>
      <c r="BK383" s="4"/>
      <c r="BL383" s="4"/>
      <c r="BM383" s="4"/>
      <c r="BN383" s="4"/>
    </row>
    <row r="384" ht="13.5" customHeight="1" spans="1:66" x14ac:dyDescent="0.25">
      <c r="A384" s="4"/>
      <c r="B384" s="4"/>
      <c r="C384" s="533"/>
      <c r="D384" s="4"/>
      <c r="E384" s="4"/>
      <c r="F384" s="4"/>
      <c r="G384" s="4"/>
      <c r="H384" s="4"/>
      <c r="I384" s="4"/>
      <c r="J384" s="4"/>
      <c r="K384" s="4"/>
      <c r="L384" s="4"/>
      <c r="M384" s="4"/>
      <c r="N384" s="4"/>
      <c r="O384" s="4"/>
      <c r="P384" s="4"/>
      <c r="Q384" s="4"/>
      <c r="R384" s="4"/>
      <c r="S384" s="4"/>
      <c r="T384" s="4"/>
      <c r="U384" s="4"/>
      <c r="V384" s="4"/>
      <c r="W384" s="4"/>
      <c r="X384" s="4"/>
      <c r="Y384" s="4"/>
      <c r="Z384" s="4"/>
      <c r="AA384" s="4"/>
      <c r="AB384" s="4"/>
      <c r="AC384" s="4"/>
      <c r="AD384" s="4"/>
      <c r="AE384" s="4"/>
      <c r="AF384" s="4"/>
      <c r="AG384" s="4"/>
      <c r="AH384" s="4"/>
      <c r="AI384" s="4"/>
      <c r="AJ384" s="4"/>
      <c r="AK384" s="4"/>
      <c r="AL384" s="4"/>
      <c r="AM384" s="4"/>
      <c r="AN384" s="4"/>
      <c r="AO384" s="4"/>
      <c r="AP384" s="4"/>
      <c r="AQ384" s="4"/>
      <c r="AR384" s="4"/>
      <c r="AS384" s="4"/>
      <c r="AT384" s="4"/>
      <c r="AU384" s="4"/>
      <c r="AV384" s="4"/>
      <c r="AW384" s="4"/>
      <c r="AX384" s="4"/>
      <c r="AY384" s="4"/>
      <c r="AZ384" s="4"/>
      <c r="BA384" s="4"/>
      <c r="BB384" s="4"/>
      <c r="BC384" s="4"/>
      <c r="BD384" s="4"/>
      <c r="BE384" s="4"/>
      <c r="BF384" s="4"/>
      <c r="BG384" s="4"/>
      <c r="BH384" s="4"/>
      <c r="BI384" s="4"/>
      <c r="BJ384" s="4"/>
      <c r="BK384" s="4"/>
      <c r="BL384" s="4"/>
      <c r="BM384" s="4"/>
      <c r="BN384" s="4"/>
    </row>
    <row r="385" ht="13.5" customHeight="1" spans="1:66" x14ac:dyDescent="0.25">
      <c r="A385" s="4"/>
      <c r="B385" s="4"/>
      <c r="C385" s="533"/>
      <c r="D385" s="4"/>
      <c r="E385" s="4"/>
      <c r="F385" s="4"/>
      <c r="G385" s="4"/>
      <c r="H385" s="4"/>
      <c r="I385" s="4"/>
      <c r="J385" s="4"/>
      <c r="K385" s="4"/>
      <c r="L385" s="4"/>
      <c r="M385" s="4"/>
      <c r="N385" s="4"/>
      <c r="O385" s="4"/>
      <c r="P385" s="4"/>
      <c r="Q385" s="4"/>
      <c r="R385" s="4"/>
      <c r="S385" s="4"/>
      <c r="T385" s="4"/>
      <c r="U385" s="4"/>
      <c r="V385" s="4"/>
      <c r="W385" s="4"/>
      <c r="X385" s="4"/>
      <c r="Y385" s="4"/>
      <c r="Z385" s="4"/>
      <c r="AA385" s="4"/>
      <c r="AB385" s="4"/>
      <c r="AC385" s="4"/>
      <c r="AD385" s="4"/>
      <c r="AE385" s="4"/>
      <c r="AF385" s="4"/>
      <c r="AG385" s="4"/>
      <c r="AH385" s="4"/>
      <c r="AI385" s="4"/>
      <c r="AJ385" s="4"/>
      <c r="AK385" s="4"/>
      <c r="AL385" s="4"/>
      <c r="AM385" s="4"/>
      <c r="AN385" s="4"/>
      <c r="AO385" s="4"/>
      <c r="AP385" s="4"/>
      <c r="AQ385" s="4"/>
      <c r="AR385" s="4"/>
      <c r="AS385" s="4"/>
      <c r="AT385" s="4"/>
      <c r="AU385" s="4"/>
      <c r="AV385" s="4"/>
      <c r="AW385" s="4"/>
      <c r="AX385" s="4"/>
      <c r="AY385" s="4"/>
      <c r="AZ385" s="4"/>
      <c r="BA385" s="4"/>
      <c r="BB385" s="4"/>
      <c r="BC385" s="4"/>
      <c r="BD385" s="4"/>
      <c r="BE385" s="4"/>
      <c r="BF385" s="4"/>
      <c r="BG385" s="4"/>
      <c r="BH385" s="4"/>
      <c r="BI385" s="4"/>
      <c r="BJ385" s="4"/>
      <c r="BK385" s="4"/>
      <c r="BL385" s="4"/>
      <c r="BM385" s="4"/>
      <c r="BN385" s="4"/>
    </row>
    <row r="386" ht="13.5" customHeight="1" spans="1:66" x14ac:dyDescent="0.25">
      <c r="A386" s="4"/>
      <c r="B386" s="4"/>
      <c r="C386" s="533"/>
      <c r="D386" s="4"/>
      <c r="E386" s="4"/>
      <c r="F386" s="4"/>
      <c r="G386" s="4"/>
      <c r="H386" s="4"/>
      <c r="I386" s="4"/>
      <c r="J386" s="4"/>
      <c r="K386" s="4"/>
      <c r="L386" s="4"/>
      <c r="M386" s="4"/>
      <c r="N386" s="4"/>
      <c r="O386" s="4"/>
      <c r="P386" s="4"/>
      <c r="Q386" s="4"/>
      <c r="R386" s="4"/>
      <c r="S386" s="4"/>
      <c r="T386" s="4"/>
      <c r="U386" s="4"/>
      <c r="V386" s="4"/>
      <c r="W386" s="4"/>
      <c r="X386" s="4"/>
      <c r="Y386" s="4"/>
      <c r="Z386" s="4"/>
      <c r="AA386" s="4"/>
      <c r="AB386" s="4"/>
      <c r="AC386" s="4"/>
      <c r="AD386" s="4"/>
      <c r="AE386" s="4"/>
      <c r="AF386" s="4"/>
      <c r="AG386" s="4"/>
      <c r="AH386" s="4"/>
      <c r="AI386" s="4"/>
      <c r="AJ386" s="4"/>
      <c r="AK386" s="4"/>
      <c r="AL386" s="4"/>
      <c r="AM386" s="4"/>
      <c r="AN386" s="4"/>
      <c r="AO386" s="4"/>
      <c r="AP386" s="4"/>
      <c r="AQ386" s="4"/>
      <c r="AR386" s="4"/>
      <c r="AS386" s="4"/>
      <c r="AT386" s="4"/>
      <c r="AU386" s="4"/>
      <c r="AV386" s="4"/>
      <c r="AW386" s="4"/>
      <c r="AX386" s="4"/>
      <c r="AY386" s="4"/>
      <c r="AZ386" s="4"/>
      <c r="BA386" s="4"/>
      <c r="BB386" s="4"/>
      <c r="BC386" s="4"/>
      <c r="BD386" s="4"/>
      <c r="BE386" s="4"/>
      <c r="BF386" s="4"/>
      <c r="BG386" s="4"/>
      <c r="BH386" s="4"/>
      <c r="BI386" s="4"/>
      <c r="BJ386" s="4"/>
      <c r="BK386" s="4"/>
      <c r="BL386" s="4"/>
      <c r="BM386" s="4"/>
      <c r="BN386" s="4"/>
    </row>
    <row r="387" ht="13.5" customHeight="1" spans="1:66" x14ac:dyDescent="0.25">
      <c r="A387" s="4"/>
      <c r="B387" s="4"/>
      <c r="C387" s="533"/>
      <c r="D387" s="4"/>
      <c r="E387" s="4"/>
      <c r="F387" s="4"/>
      <c r="G387" s="4"/>
      <c r="H387" s="4"/>
      <c r="I387" s="4"/>
      <c r="J387" s="4"/>
      <c r="K387" s="4"/>
      <c r="L387" s="4"/>
      <c r="M387" s="4"/>
      <c r="N387" s="4"/>
      <c r="O387" s="4"/>
      <c r="P387" s="4"/>
      <c r="Q387" s="4"/>
      <c r="R387" s="4"/>
      <c r="S387" s="4"/>
      <c r="T387" s="4"/>
      <c r="U387" s="4"/>
      <c r="V387" s="4"/>
      <c r="W387" s="4"/>
      <c r="X387" s="4"/>
      <c r="Y387" s="4"/>
      <c r="Z387" s="4"/>
      <c r="AA387" s="4"/>
      <c r="AB387" s="4"/>
      <c r="AC387" s="4"/>
      <c r="AD387" s="4"/>
      <c r="AE387" s="4"/>
      <c r="AF387" s="4"/>
      <c r="AG387" s="4"/>
      <c r="AH387" s="4"/>
      <c r="AI387" s="4"/>
      <c r="AJ387" s="4"/>
      <c r="AK387" s="4"/>
      <c r="AL387" s="4"/>
      <c r="AM387" s="4"/>
      <c r="AN387" s="4"/>
      <c r="AO387" s="4"/>
      <c r="AP387" s="4"/>
      <c r="AQ387" s="4"/>
      <c r="AR387" s="4"/>
      <c r="AS387" s="4"/>
      <c r="AT387" s="4"/>
      <c r="AU387" s="4"/>
      <c r="AV387" s="4"/>
      <c r="AW387" s="4"/>
      <c r="AX387" s="4"/>
      <c r="AY387" s="4"/>
      <c r="AZ387" s="4"/>
      <c r="BA387" s="4"/>
      <c r="BB387" s="4"/>
      <c r="BC387" s="4"/>
      <c r="BD387" s="4"/>
      <c r="BE387" s="4"/>
      <c r="BF387" s="4"/>
      <c r="BG387" s="4"/>
      <c r="BH387" s="4"/>
      <c r="BI387" s="4"/>
      <c r="BJ387" s="4"/>
      <c r="BK387" s="4"/>
      <c r="BL387" s="4"/>
      <c r="BM387" s="4"/>
      <c r="BN387" s="4"/>
    </row>
    <row r="388" ht="13.5" customHeight="1" spans="1:66" x14ac:dyDescent="0.25">
      <c r="A388" s="4"/>
      <c r="B388" s="4"/>
      <c r="C388" s="533"/>
      <c r="D388" s="4"/>
      <c r="E388" s="4"/>
      <c r="F388" s="4"/>
      <c r="G388" s="4"/>
      <c r="H388" s="4"/>
      <c r="I388" s="4"/>
      <c r="J388" s="4"/>
      <c r="K388" s="4"/>
      <c r="L388" s="4"/>
      <c r="M388" s="4"/>
      <c r="N388" s="4"/>
      <c r="O388" s="4"/>
      <c r="P388" s="4"/>
      <c r="Q388" s="4"/>
      <c r="R388" s="4"/>
      <c r="S388" s="4"/>
      <c r="T388" s="4"/>
      <c r="U388" s="4"/>
      <c r="V388" s="4"/>
      <c r="W388" s="4"/>
      <c r="X388" s="4"/>
      <c r="Y388" s="4"/>
      <c r="Z388" s="4"/>
      <c r="AA388" s="4"/>
      <c r="AB388" s="4"/>
      <c r="AC388" s="4"/>
      <c r="AD388" s="4"/>
      <c r="AE388" s="4"/>
      <c r="AF388" s="4"/>
      <c r="AG388" s="4"/>
      <c r="AH388" s="4"/>
      <c r="AI388" s="4"/>
      <c r="AJ388" s="4"/>
      <c r="AK388" s="4"/>
      <c r="AL388" s="4"/>
      <c r="AM388" s="4"/>
      <c r="AN388" s="4"/>
      <c r="AO388" s="4"/>
      <c r="AP388" s="4"/>
      <c r="AQ388" s="4"/>
      <c r="AR388" s="4"/>
      <c r="AS388" s="4"/>
      <c r="AT388" s="4"/>
      <c r="AU388" s="4"/>
      <c r="AV388" s="4"/>
      <c r="AW388" s="4"/>
      <c r="AX388" s="4"/>
      <c r="AY388" s="4"/>
      <c r="AZ388" s="4"/>
      <c r="BA388" s="4"/>
      <c r="BB388" s="4"/>
      <c r="BC388" s="4"/>
      <c r="BD388" s="4"/>
      <c r="BE388" s="4"/>
      <c r="BF388" s="4"/>
      <c r="BG388" s="4"/>
      <c r="BH388" s="4"/>
      <c r="BI388" s="4"/>
      <c r="BJ388" s="4"/>
      <c r="BK388" s="4"/>
      <c r="BL388" s="4"/>
      <c r="BM388" s="4"/>
      <c r="BN388" s="4"/>
    </row>
    <row r="389" ht="13.5" customHeight="1" spans="1:66" x14ac:dyDescent="0.25">
      <c r="A389" s="4"/>
      <c r="B389" s="4"/>
      <c r="C389" s="533"/>
      <c r="D389" s="4"/>
      <c r="E389" s="4"/>
      <c r="F389" s="4"/>
      <c r="G389" s="4"/>
      <c r="H389" s="4"/>
      <c r="I389" s="4"/>
      <c r="J389" s="4"/>
      <c r="K389" s="4"/>
      <c r="L389" s="4"/>
      <c r="M389" s="4"/>
      <c r="N389" s="4"/>
      <c r="O389" s="4"/>
      <c r="P389" s="4"/>
      <c r="Q389" s="4"/>
      <c r="R389" s="4"/>
      <c r="S389" s="4"/>
      <c r="T389" s="4"/>
      <c r="U389" s="4"/>
      <c r="V389" s="4"/>
      <c r="W389" s="4"/>
      <c r="X389" s="4"/>
      <c r="Y389" s="4"/>
      <c r="Z389" s="4"/>
      <c r="AA389" s="4"/>
      <c r="AB389" s="4"/>
      <c r="AC389" s="4"/>
      <c r="AD389" s="4"/>
      <c r="AE389" s="4"/>
      <c r="AF389" s="4"/>
      <c r="AG389" s="4"/>
      <c r="AH389" s="4"/>
      <c r="AI389" s="4"/>
      <c r="AJ389" s="4"/>
      <c r="AK389" s="4"/>
      <c r="AL389" s="4"/>
      <c r="AM389" s="4"/>
      <c r="AN389" s="4"/>
      <c r="AO389" s="4"/>
      <c r="AP389" s="4"/>
      <c r="AQ389" s="4"/>
      <c r="AR389" s="4"/>
      <c r="AS389" s="4"/>
      <c r="AT389" s="4"/>
      <c r="AU389" s="4"/>
      <c r="AV389" s="4"/>
      <c r="AW389" s="4"/>
      <c r="AX389" s="4"/>
      <c r="AY389" s="4"/>
      <c r="AZ389" s="4"/>
      <c r="BA389" s="4"/>
      <c r="BB389" s="4"/>
      <c r="BC389" s="4"/>
      <c r="BD389" s="4"/>
      <c r="BE389" s="4"/>
      <c r="BF389" s="4"/>
      <c r="BG389" s="4"/>
      <c r="BH389" s="4"/>
      <c r="BI389" s="4"/>
      <c r="BJ389" s="4"/>
      <c r="BK389" s="4"/>
      <c r="BL389" s="4"/>
      <c r="BM389" s="4"/>
      <c r="BN389" s="4"/>
    </row>
    <row r="390" ht="13.5" customHeight="1" spans="1:66" x14ac:dyDescent="0.25">
      <c r="A390" s="4"/>
      <c r="B390" s="4"/>
      <c r="C390" s="533"/>
      <c r="D390" s="4"/>
      <c r="E390" s="4"/>
      <c r="F390" s="4"/>
      <c r="G390" s="4"/>
      <c r="H390" s="4"/>
      <c r="I390" s="4"/>
      <c r="J390" s="4"/>
      <c r="K390" s="4"/>
      <c r="L390" s="4"/>
      <c r="M390" s="4"/>
      <c r="N390" s="4"/>
      <c r="O390" s="4"/>
      <c r="P390" s="4"/>
      <c r="Q390" s="4"/>
      <c r="R390" s="4"/>
      <c r="S390" s="4"/>
      <c r="T390" s="4"/>
      <c r="U390" s="4"/>
      <c r="V390" s="4"/>
      <c r="W390" s="4"/>
      <c r="X390" s="4"/>
      <c r="Y390" s="4"/>
      <c r="Z390" s="4"/>
      <c r="AA390" s="4"/>
      <c r="AB390" s="4"/>
      <c r="AC390" s="4"/>
      <c r="AD390" s="4"/>
      <c r="AE390" s="4"/>
      <c r="AF390" s="4"/>
      <c r="AG390" s="4"/>
      <c r="AH390" s="4"/>
      <c r="AI390" s="4"/>
      <c r="AJ390" s="4"/>
      <c r="AK390" s="4"/>
      <c r="AL390" s="4"/>
      <c r="AM390" s="4"/>
      <c r="AN390" s="4"/>
      <c r="AO390" s="4"/>
      <c r="AP390" s="4"/>
      <c r="AQ390" s="4"/>
      <c r="AR390" s="4"/>
      <c r="AS390" s="4"/>
      <c r="AT390" s="4"/>
      <c r="AU390" s="4"/>
      <c r="AV390" s="4"/>
      <c r="AW390" s="4"/>
      <c r="AX390" s="4"/>
      <c r="AY390" s="4"/>
      <c r="AZ390" s="4"/>
      <c r="BA390" s="4"/>
      <c r="BB390" s="4"/>
      <c r="BC390" s="4"/>
      <c r="BD390" s="4"/>
      <c r="BE390" s="4"/>
      <c r="BF390" s="4"/>
      <c r="BG390" s="4"/>
      <c r="BH390" s="4"/>
      <c r="BI390" s="4"/>
      <c r="BJ390" s="4"/>
      <c r="BK390" s="4"/>
      <c r="BL390" s="4"/>
      <c r="BM390" s="4"/>
      <c r="BN390" s="4"/>
    </row>
    <row r="391" ht="13.5" customHeight="1" spans="1:66" x14ac:dyDescent="0.25">
      <c r="A391" s="4"/>
      <c r="B391" s="4"/>
      <c r="C391" s="533"/>
      <c r="D391" s="4"/>
      <c r="E391" s="4"/>
      <c r="F391" s="4"/>
      <c r="G391" s="4"/>
      <c r="H391" s="4"/>
      <c r="I391" s="4"/>
      <c r="J391" s="4"/>
      <c r="K391" s="4"/>
      <c r="L391" s="4"/>
      <c r="M391" s="4"/>
      <c r="N391" s="4"/>
      <c r="O391" s="4"/>
      <c r="P391" s="4"/>
      <c r="Q391" s="4"/>
      <c r="R391" s="4"/>
      <c r="S391" s="4"/>
      <c r="T391" s="4"/>
      <c r="U391" s="4"/>
      <c r="V391" s="4"/>
      <c r="W391" s="4"/>
      <c r="X391" s="4"/>
      <c r="Y391" s="4"/>
      <c r="Z391" s="4"/>
      <c r="AA391" s="4"/>
      <c r="AB391" s="4"/>
      <c r="AC391" s="4"/>
      <c r="AD391" s="4"/>
      <c r="AE391" s="4"/>
      <c r="AF391" s="4"/>
      <c r="AG391" s="4"/>
      <c r="AH391" s="4"/>
      <c r="AI391" s="4"/>
      <c r="AJ391" s="4"/>
      <c r="AK391" s="4"/>
      <c r="AL391" s="4"/>
      <c r="AM391" s="4"/>
      <c r="AN391" s="4"/>
      <c r="AO391" s="4"/>
      <c r="AP391" s="4"/>
      <c r="AQ391" s="4"/>
      <c r="AR391" s="4"/>
      <c r="AS391" s="4"/>
      <c r="AT391" s="4"/>
      <c r="AU391" s="4"/>
      <c r="AV391" s="4"/>
      <c r="AW391" s="4"/>
      <c r="AX391" s="4"/>
      <c r="AY391" s="4"/>
      <c r="AZ391" s="4"/>
      <c r="BA391" s="4"/>
      <c r="BB391" s="4"/>
      <c r="BC391" s="4"/>
      <c r="BD391" s="4"/>
      <c r="BE391" s="4"/>
      <c r="BF391" s="4"/>
      <c r="BG391" s="4"/>
      <c r="BH391" s="4"/>
      <c r="BI391" s="4"/>
      <c r="BJ391" s="4"/>
      <c r="BK391" s="4"/>
      <c r="BL391" s="4"/>
      <c r="BM391" s="4"/>
      <c r="BN391" s="4"/>
    </row>
    <row r="392" ht="13.5" customHeight="1" spans="1:66" x14ac:dyDescent="0.25">
      <c r="A392" s="4"/>
      <c r="B392" s="4"/>
      <c r="C392" s="533"/>
      <c r="D392" s="4"/>
      <c r="E392" s="4"/>
      <c r="F392" s="4"/>
      <c r="G392" s="4"/>
      <c r="H392" s="4"/>
      <c r="I392" s="4"/>
      <c r="J392" s="4"/>
      <c r="K392" s="4"/>
      <c r="L392" s="4"/>
      <c r="M392" s="4"/>
      <c r="N392" s="4"/>
      <c r="O392" s="4"/>
      <c r="P392" s="4"/>
      <c r="Q392" s="4"/>
      <c r="R392" s="4"/>
      <c r="S392" s="4"/>
      <c r="T392" s="4"/>
      <c r="U392" s="4"/>
      <c r="V392" s="4"/>
      <c r="W392" s="4"/>
      <c r="X392" s="4"/>
      <c r="Y392" s="4"/>
      <c r="Z392" s="4"/>
      <c r="AA392" s="4"/>
      <c r="AB392" s="4"/>
      <c r="AC392" s="4"/>
      <c r="AD392" s="4"/>
      <c r="AE392" s="4"/>
      <c r="AF392" s="4"/>
      <c r="AG392" s="4"/>
      <c r="AH392" s="4"/>
      <c r="AI392" s="4"/>
      <c r="AJ392" s="4"/>
      <c r="AK392" s="4"/>
      <c r="AL392" s="4"/>
      <c r="AM392" s="4"/>
      <c r="AN392" s="4"/>
      <c r="AO392" s="4"/>
      <c r="AP392" s="4"/>
      <c r="AQ392" s="4"/>
      <c r="AR392" s="4"/>
      <c r="AS392" s="4"/>
      <c r="AT392" s="4"/>
      <c r="AU392" s="4"/>
      <c r="AV392" s="4"/>
      <c r="AW392" s="4"/>
      <c r="AX392" s="4"/>
      <c r="AY392" s="4"/>
      <c r="AZ392" s="4"/>
      <c r="BA392" s="4"/>
      <c r="BB392" s="4"/>
      <c r="BC392" s="4"/>
      <c r="BD392" s="4"/>
      <c r="BE392" s="4"/>
      <c r="BF392" s="4"/>
      <c r="BG392" s="4"/>
      <c r="BH392" s="4"/>
      <c r="BI392" s="4"/>
      <c r="BJ392" s="4"/>
      <c r="BK392" s="4"/>
      <c r="BL392" s="4"/>
      <c r="BM392" s="4"/>
      <c r="BN392" s="4"/>
    </row>
    <row r="393" ht="13.5" customHeight="1" spans="1:66" x14ac:dyDescent="0.25">
      <c r="A393" s="4"/>
      <c r="B393" s="4"/>
      <c r="C393" s="533"/>
      <c r="D393" s="4"/>
      <c r="E393" s="4"/>
      <c r="F393" s="4"/>
      <c r="G393" s="4"/>
      <c r="H393" s="4"/>
      <c r="I393" s="4"/>
      <c r="J393" s="4"/>
      <c r="K393" s="4"/>
      <c r="L393" s="4"/>
      <c r="M393" s="4"/>
      <c r="N393" s="4"/>
      <c r="O393" s="4"/>
      <c r="P393" s="4"/>
      <c r="Q393" s="4"/>
      <c r="R393" s="4"/>
      <c r="S393" s="4"/>
      <c r="T393" s="4"/>
      <c r="U393" s="4"/>
      <c r="V393" s="4"/>
      <c r="W393" s="4"/>
      <c r="X393" s="4"/>
      <c r="Y393" s="4"/>
      <c r="Z393" s="4"/>
      <c r="AA393" s="4"/>
      <c r="AB393" s="4"/>
      <c r="AC393" s="4"/>
      <c r="AD393" s="4"/>
      <c r="AE393" s="4"/>
      <c r="AF393" s="4"/>
      <c r="AG393" s="4"/>
      <c r="AH393" s="4"/>
      <c r="AI393" s="4"/>
      <c r="AJ393" s="4"/>
      <c r="AK393" s="4"/>
      <c r="AL393" s="4"/>
      <c r="AM393" s="4"/>
      <c r="AN393" s="4"/>
      <c r="AO393" s="4"/>
      <c r="AP393" s="4"/>
      <c r="AQ393" s="4"/>
      <c r="AR393" s="4"/>
      <c r="AS393" s="4"/>
      <c r="AT393" s="4"/>
      <c r="AU393" s="4"/>
      <c r="AV393" s="4"/>
      <c r="AW393" s="4"/>
      <c r="AX393" s="4"/>
      <c r="AY393" s="4"/>
      <c r="AZ393" s="4"/>
      <c r="BA393" s="4"/>
      <c r="BB393" s="4"/>
      <c r="BC393" s="4"/>
      <c r="BD393" s="4"/>
      <c r="BE393" s="4"/>
      <c r="BF393" s="4"/>
      <c r="BG393" s="4"/>
      <c r="BH393" s="4"/>
      <c r="BI393" s="4"/>
      <c r="BJ393" s="4"/>
      <c r="BK393" s="4"/>
      <c r="BL393" s="4"/>
      <c r="BM393" s="4"/>
      <c r="BN393" s="4"/>
    </row>
    <row r="394" ht="13.5" customHeight="1" spans="1:66" x14ac:dyDescent="0.25">
      <c r="A394" s="4"/>
      <c r="B394" s="4"/>
      <c r="C394" s="533"/>
      <c r="D394" s="4"/>
      <c r="E394" s="4"/>
      <c r="F394" s="4"/>
      <c r="G394" s="4"/>
      <c r="H394" s="4"/>
      <c r="I394" s="4"/>
      <c r="J394" s="4"/>
      <c r="K394" s="4"/>
      <c r="L394" s="4"/>
      <c r="M394" s="4"/>
      <c r="N394" s="4"/>
      <c r="O394" s="4"/>
      <c r="P394" s="4"/>
      <c r="Q394" s="4"/>
      <c r="R394" s="4"/>
      <c r="S394" s="4"/>
      <c r="T394" s="4"/>
      <c r="U394" s="4"/>
      <c r="V394" s="4"/>
      <c r="W394" s="4"/>
      <c r="X394" s="4"/>
      <c r="Y394" s="4"/>
      <c r="Z394" s="4"/>
      <c r="AA394" s="4"/>
      <c r="AB394" s="4"/>
      <c r="AC394" s="4"/>
      <c r="AD394" s="4"/>
      <c r="AE394" s="4"/>
      <c r="AF394" s="4"/>
      <c r="AG394" s="4"/>
      <c r="AH394" s="4"/>
      <c r="AI394" s="4"/>
      <c r="AJ394" s="4"/>
      <c r="AK394" s="4"/>
      <c r="AL394" s="4"/>
      <c r="AM394" s="4"/>
      <c r="AN394" s="4"/>
      <c r="AO394" s="4"/>
      <c r="AP394" s="4"/>
      <c r="AQ394" s="4"/>
      <c r="AR394" s="4"/>
      <c r="AS394" s="4"/>
      <c r="AT394" s="4"/>
      <c r="AU394" s="4"/>
      <c r="AV394" s="4"/>
      <c r="AW394" s="4"/>
      <c r="AX394" s="4"/>
      <c r="AY394" s="4"/>
      <c r="AZ394" s="4"/>
      <c r="BA394" s="4"/>
      <c r="BB394" s="4"/>
      <c r="BC394" s="4"/>
      <c r="BD394" s="4"/>
      <c r="BE394" s="4"/>
      <c r="BF394" s="4"/>
      <c r="BG394" s="4"/>
      <c r="BH394" s="4"/>
      <c r="BI394" s="4"/>
      <c r="BJ394" s="4"/>
      <c r="BK394" s="4"/>
      <c r="BL394" s="4"/>
      <c r="BM394" s="4"/>
      <c r="BN394" s="4"/>
    </row>
    <row r="395" ht="13.5" customHeight="1" spans="1:66" x14ac:dyDescent="0.25">
      <c r="A395" s="4"/>
      <c r="B395" s="4"/>
      <c r="C395" s="533"/>
      <c r="D395" s="4"/>
      <c r="E395" s="4"/>
      <c r="F395" s="4"/>
      <c r="G395" s="4"/>
      <c r="H395" s="4"/>
      <c r="I395" s="4"/>
      <c r="J395" s="4"/>
      <c r="K395" s="4"/>
      <c r="L395" s="4"/>
      <c r="M395" s="4"/>
      <c r="N395" s="4"/>
      <c r="O395" s="4"/>
      <c r="P395" s="4"/>
      <c r="Q395" s="4"/>
      <c r="R395" s="4"/>
      <c r="S395" s="4"/>
      <c r="T395" s="4"/>
      <c r="U395" s="4"/>
      <c r="V395" s="4"/>
      <c r="W395" s="4"/>
      <c r="X395" s="4"/>
      <c r="Y395" s="4"/>
      <c r="Z395" s="4"/>
      <c r="AA395" s="4"/>
      <c r="AB395" s="4"/>
      <c r="AC395" s="4"/>
      <c r="AD395" s="4"/>
      <c r="AE395" s="4"/>
      <c r="AF395" s="4"/>
      <c r="AG395" s="4"/>
      <c r="AH395" s="4"/>
      <c r="AI395" s="4"/>
      <c r="AJ395" s="4"/>
      <c r="AK395" s="4"/>
      <c r="AL395" s="4"/>
      <c r="AM395" s="4"/>
      <c r="AN395" s="4"/>
      <c r="AO395" s="4"/>
      <c r="AP395" s="4"/>
      <c r="AQ395" s="4"/>
      <c r="AR395" s="4"/>
      <c r="AS395" s="4"/>
      <c r="AT395" s="4"/>
      <c r="AU395" s="4"/>
      <c r="AV395" s="4"/>
      <c r="AW395" s="4"/>
      <c r="AX395" s="4"/>
      <c r="AY395" s="4"/>
      <c r="AZ395" s="4"/>
      <c r="BA395" s="4"/>
      <c r="BB395" s="4"/>
      <c r="BC395" s="4"/>
      <c r="BD395" s="4"/>
      <c r="BE395" s="4"/>
      <c r="BF395" s="4"/>
      <c r="BG395" s="4"/>
      <c r="BH395" s="4"/>
      <c r="BI395" s="4"/>
      <c r="BJ395" s="4"/>
      <c r="BK395" s="4"/>
      <c r="BL395" s="4"/>
      <c r="BM395" s="4"/>
      <c r="BN395" s="4"/>
    </row>
    <row r="396" ht="13.5" customHeight="1" spans="1:66" x14ac:dyDescent="0.25">
      <c r="A396" s="4"/>
      <c r="B396" s="4"/>
      <c r="C396" s="533"/>
      <c r="D396" s="4"/>
      <c r="E396" s="4"/>
      <c r="F396" s="4"/>
      <c r="G396" s="4"/>
      <c r="H396" s="4"/>
      <c r="I396" s="4"/>
      <c r="J396" s="4"/>
      <c r="K396" s="4"/>
      <c r="L396" s="4"/>
      <c r="M396" s="4"/>
      <c r="N396" s="4"/>
      <c r="O396" s="4"/>
      <c r="P396" s="4"/>
      <c r="Q396" s="4"/>
      <c r="R396" s="4"/>
      <c r="S396" s="4"/>
      <c r="T396" s="4"/>
      <c r="U396" s="4"/>
      <c r="V396" s="4"/>
      <c r="W396" s="4"/>
      <c r="X396" s="4"/>
      <c r="Y396" s="4"/>
      <c r="Z396" s="4"/>
      <c r="AA396" s="4"/>
      <c r="AB396" s="4"/>
      <c r="AC396" s="4"/>
      <c r="AD396" s="4"/>
      <c r="AE396" s="4"/>
      <c r="AF396" s="4"/>
      <c r="AG396" s="4"/>
      <c r="AH396" s="4"/>
      <c r="AI396" s="4"/>
      <c r="AJ396" s="4"/>
      <c r="AK396" s="4"/>
      <c r="AL396" s="4"/>
      <c r="AM396" s="4"/>
      <c r="AN396" s="4"/>
      <c r="AO396" s="4"/>
      <c r="AP396" s="4"/>
      <c r="AQ396" s="4"/>
      <c r="AR396" s="4"/>
      <c r="AS396" s="4"/>
      <c r="AT396" s="4"/>
      <c r="AU396" s="4"/>
      <c r="AV396" s="4"/>
      <c r="AW396" s="4"/>
      <c r="AX396" s="4"/>
      <c r="AY396" s="4"/>
      <c r="AZ396" s="4"/>
      <c r="BA396" s="4"/>
      <c r="BB396" s="4"/>
      <c r="BC396" s="4"/>
      <c r="BD396" s="4"/>
      <c r="BE396" s="4"/>
      <c r="BF396" s="4"/>
      <c r="BG396" s="4"/>
      <c r="BH396" s="4"/>
      <c r="BI396" s="4"/>
      <c r="BJ396" s="4"/>
      <c r="BK396" s="4"/>
      <c r="BL396" s="4"/>
      <c r="BM396" s="4"/>
      <c r="BN396" s="4"/>
    </row>
    <row r="397" ht="13.5" customHeight="1" spans="1:66" x14ac:dyDescent="0.25">
      <c r="A397" s="4"/>
      <c r="B397" s="4"/>
      <c r="C397" s="533"/>
      <c r="D397" s="4"/>
      <c r="E397" s="4"/>
      <c r="F397" s="4"/>
      <c r="G397" s="4"/>
      <c r="H397" s="4"/>
      <c r="I397" s="4"/>
      <c r="J397" s="4"/>
      <c r="K397" s="4"/>
      <c r="L397" s="4"/>
      <c r="M397" s="4"/>
      <c r="N397" s="4"/>
      <c r="O397" s="4"/>
      <c r="P397" s="4"/>
      <c r="Q397" s="4"/>
      <c r="R397" s="4"/>
      <c r="S397" s="4"/>
      <c r="T397" s="4"/>
      <c r="U397" s="4"/>
      <c r="V397" s="4"/>
      <c r="W397" s="4"/>
      <c r="X397" s="4"/>
      <c r="Y397" s="4"/>
      <c r="Z397" s="4"/>
      <c r="AA397" s="4"/>
      <c r="AB397" s="4"/>
      <c r="AC397" s="4"/>
      <c r="AD397" s="4"/>
      <c r="AE397" s="4"/>
      <c r="AF397" s="4"/>
      <c r="AG397" s="4"/>
      <c r="AH397" s="4"/>
      <c r="AI397" s="4"/>
      <c r="AJ397" s="4"/>
      <c r="AK397" s="4"/>
      <c r="AL397" s="4"/>
      <c r="AM397" s="4"/>
      <c r="AN397" s="4"/>
      <c r="AO397" s="4"/>
      <c r="AP397" s="4"/>
      <c r="AQ397" s="4"/>
      <c r="AR397" s="4"/>
      <c r="AS397" s="4"/>
      <c r="AT397" s="4"/>
      <c r="AU397" s="4"/>
      <c r="AV397" s="4"/>
      <c r="AW397" s="4"/>
      <c r="AX397" s="4"/>
      <c r="AY397" s="4"/>
      <c r="AZ397" s="4"/>
      <c r="BA397" s="4"/>
      <c r="BB397" s="4"/>
      <c r="BC397" s="4"/>
      <c r="BD397" s="4"/>
      <c r="BE397" s="4"/>
      <c r="BF397" s="4"/>
      <c r="BG397" s="4"/>
      <c r="BH397" s="4"/>
      <c r="BI397" s="4"/>
      <c r="BJ397" s="4"/>
      <c r="BK397" s="4"/>
      <c r="BL397" s="4"/>
      <c r="BM397" s="4"/>
      <c r="BN397" s="4"/>
    </row>
    <row r="398" ht="13.5" customHeight="1" spans="1:66" x14ac:dyDescent="0.25">
      <c r="A398" s="4"/>
      <c r="B398" s="4"/>
      <c r="C398" s="533"/>
      <c r="D398" s="4"/>
      <c r="E398" s="4"/>
      <c r="F398" s="4"/>
      <c r="G398" s="4"/>
      <c r="H398" s="4"/>
      <c r="I398" s="4"/>
      <c r="J398" s="4"/>
      <c r="K398" s="4"/>
      <c r="L398" s="4"/>
      <c r="M398" s="4"/>
      <c r="N398" s="4"/>
      <c r="O398" s="4"/>
      <c r="P398" s="4"/>
      <c r="Q398" s="4"/>
      <c r="R398" s="4"/>
      <c r="S398" s="4"/>
      <c r="T398" s="4"/>
      <c r="U398" s="4"/>
      <c r="V398" s="4"/>
      <c r="W398" s="4"/>
      <c r="X398" s="4"/>
      <c r="Y398" s="4"/>
      <c r="Z398" s="4"/>
      <c r="AA398" s="4"/>
      <c r="AB398" s="4"/>
      <c r="AC398" s="4"/>
      <c r="AD398" s="4"/>
      <c r="AE398" s="4"/>
      <c r="AF398" s="4"/>
      <c r="AG398" s="4"/>
      <c r="AH398" s="4"/>
      <c r="AI398" s="4"/>
      <c r="AJ398" s="4"/>
      <c r="AK398" s="4"/>
      <c r="AL398" s="4"/>
      <c r="AM398" s="4"/>
      <c r="AN398" s="4"/>
      <c r="AO398" s="4"/>
      <c r="AP398" s="4"/>
      <c r="AQ398" s="4"/>
      <c r="AR398" s="4"/>
      <c r="AS398" s="4"/>
      <c r="AT398" s="4"/>
      <c r="AU398" s="4"/>
      <c r="AV398" s="4"/>
      <c r="AW398" s="4"/>
      <c r="AX398" s="4"/>
      <c r="AY398" s="4"/>
      <c r="AZ398" s="4"/>
      <c r="BA398" s="4"/>
      <c r="BB398" s="4"/>
      <c r="BC398" s="4"/>
      <c r="BD398" s="4"/>
      <c r="BE398" s="4"/>
      <c r="BF398" s="4"/>
      <c r="BG398" s="4"/>
      <c r="BH398" s="4"/>
      <c r="BI398" s="4"/>
      <c r="BJ398" s="4"/>
      <c r="BK398" s="4"/>
      <c r="BL398" s="4"/>
      <c r="BM398" s="4"/>
      <c r="BN398" s="4"/>
    </row>
    <row r="399" ht="13.5" customHeight="1" spans="1:66" x14ac:dyDescent="0.25">
      <c r="A399" s="4"/>
      <c r="B399" s="4"/>
      <c r="C399" s="533"/>
      <c r="D399" s="4"/>
      <c r="E399" s="4"/>
      <c r="F399" s="4"/>
      <c r="G399" s="4"/>
      <c r="H399" s="4"/>
      <c r="I399" s="4"/>
      <c r="J399" s="4"/>
      <c r="K399" s="4"/>
      <c r="L399" s="4"/>
      <c r="M399" s="4"/>
      <c r="N399" s="4"/>
      <c r="O399" s="4"/>
      <c r="P399" s="4"/>
      <c r="Q399" s="4"/>
      <c r="R399" s="4"/>
      <c r="S399" s="4"/>
      <c r="T399" s="4"/>
      <c r="U399" s="4"/>
      <c r="V399" s="4"/>
      <c r="W399" s="4"/>
      <c r="X399" s="4"/>
      <c r="Y399" s="4"/>
      <c r="Z399" s="4"/>
      <c r="AA399" s="4"/>
      <c r="AB399" s="4"/>
      <c r="AC399" s="4"/>
      <c r="AD399" s="4"/>
      <c r="AE399" s="4"/>
      <c r="AF399" s="4"/>
      <c r="AG399" s="4"/>
      <c r="AH399" s="4"/>
      <c r="AI399" s="4"/>
      <c r="AJ399" s="4"/>
      <c r="AK399" s="4"/>
      <c r="AL399" s="4"/>
      <c r="AM399" s="4"/>
      <c r="AN399" s="4"/>
      <c r="AO399" s="4"/>
      <c r="AP399" s="4"/>
      <c r="AQ399" s="4"/>
      <c r="AR399" s="4"/>
      <c r="AS399" s="4"/>
      <c r="AT399" s="4"/>
      <c r="AU399" s="4"/>
      <c r="AV399" s="4"/>
      <c r="AW399" s="4"/>
      <c r="AX399" s="4"/>
      <c r="AY399" s="4"/>
      <c r="AZ399" s="4"/>
      <c r="BA399" s="4"/>
      <c r="BB399" s="4"/>
      <c r="BC399" s="4"/>
      <c r="BD399" s="4"/>
      <c r="BE399" s="4"/>
      <c r="BF399" s="4"/>
      <c r="BG399" s="4"/>
      <c r="BH399" s="4"/>
      <c r="BI399" s="4"/>
      <c r="BJ399" s="4"/>
      <c r="BK399" s="4"/>
      <c r="BL399" s="4"/>
      <c r="BM399" s="4"/>
      <c r="BN399" s="4"/>
    </row>
    <row r="400" ht="13.5" customHeight="1" spans="1:66" x14ac:dyDescent="0.25">
      <c r="A400" s="4"/>
      <c r="B400" s="4"/>
      <c r="C400" s="533"/>
      <c r="D400" s="4"/>
      <c r="E400" s="4"/>
      <c r="F400" s="4"/>
      <c r="G400" s="4"/>
      <c r="H400" s="4"/>
      <c r="I400" s="4"/>
      <c r="J400" s="4"/>
      <c r="K400" s="4"/>
      <c r="L400" s="4"/>
      <c r="M400" s="4"/>
      <c r="N400" s="4"/>
      <c r="O400" s="4"/>
      <c r="P400" s="4"/>
      <c r="Q400" s="4"/>
      <c r="R400" s="4"/>
      <c r="S400" s="4"/>
      <c r="T400" s="4"/>
      <c r="U400" s="4"/>
      <c r="V400" s="4"/>
      <c r="W400" s="4"/>
      <c r="X400" s="4"/>
      <c r="Y400" s="4"/>
      <c r="Z400" s="4"/>
      <c r="AA400" s="4"/>
      <c r="AB400" s="4"/>
      <c r="AC400" s="4"/>
      <c r="AD400" s="4"/>
      <c r="AE400" s="4"/>
      <c r="AF400" s="4"/>
      <c r="AG400" s="4"/>
      <c r="AH400" s="4"/>
      <c r="AI400" s="4"/>
      <c r="AJ400" s="4"/>
      <c r="AK400" s="4"/>
      <c r="AL400" s="4"/>
      <c r="AM400" s="4"/>
      <c r="AN400" s="4"/>
      <c r="AO400" s="4"/>
      <c r="AP400" s="4"/>
      <c r="AQ400" s="4"/>
      <c r="AR400" s="4"/>
      <c r="AS400" s="4"/>
      <c r="AT400" s="4"/>
      <c r="AU400" s="4"/>
      <c r="AV400" s="4"/>
      <c r="AW400" s="4"/>
      <c r="AX400" s="4"/>
      <c r="AY400" s="4"/>
      <c r="AZ400" s="4"/>
      <c r="BA400" s="4"/>
      <c r="BB400" s="4"/>
      <c r="BC400" s="4"/>
      <c r="BD400" s="4"/>
      <c r="BE400" s="4"/>
      <c r="BF400" s="4"/>
      <c r="BG400" s="4"/>
      <c r="BH400" s="4"/>
      <c r="BI400" s="4"/>
      <c r="BJ400" s="4"/>
      <c r="BK400" s="4"/>
      <c r="BL400" s="4"/>
      <c r="BM400" s="4"/>
      <c r="BN400" s="4"/>
    </row>
    <row r="401" ht="13.5" customHeight="1" spans="1:66" x14ac:dyDescent="0.25">
      <c r="A401" s="4"/>
      <c r="B401" s="4"/>
      <c r="C401" s="533"/>
      <c r="D401" s="4"/>
      <c r="E401" s="4"/>
      <c r="F401" s="4"/>
      <c r="G401" s="4"/>
      <c r="H401" s="4"/>
      <c r="I401" s="4"/>
      <c r="J401" s="4"/>
      <c r="K401" s="4"/>
      <c r="L401" s="4"/>
      <c r="M401" s="4"/>
      <c r="N401" s="4"/>
      <c r="O401" s="4"/>
      <c r="P401" s="4"/>
      <c r="Q401" s="4"/>
      <c r="R401" s="4"/>
      <c r="S401" s="4"/>
      <c r="T401" s="4"/>
      <c r="U401" s="4"/>
      <c r="V401" s="4"/>
      <c r="W401" s="4"/>
      <c r="X401" s="4"/>
      <c r="Y401" s="4"/>
      <c r="Z401" s="4"/>
      <c r="AA401" s="4"/>
      <c r="AB401" s="4"/>
      <c r="AC401" s="4"/>
      <c r="AD401" s="4"/>
      <c r="AE401" s="4"/>
      <c r="AF401" s="4"/>
      <c r="AG401" s="4"/>
      <c r="AH401" s="4"/>
      <c r="AI401" s="4"/>
      <c r="AJ401" s="4"/>
      <c r="AK401" s="4"/>
      <c r="AL401" s="4"/>
      <c r="AM401" s="4"/>
      <c r="AN401" s="4"/>
      <c r="AO401" s="4"/>
      <c r="AP401" s="4"/>
      <c r="AQ401" s="4"/>
      <c r="AR401" s="4"/>
      <c r="AS401" s="4"/>
      <c r="AT401" s="4"/>
      <c r="AU401" s="4"/>
      <c r="AV401" s="4"/>
      <c r="AW401" s="4"/>
      <c r="AX401" s="4"/>
      <c r="AY401" s="4"/>
      <c r="AZ401" s="4"/>
      <c r="BA401" s="4"/>
      <c r="BB401" s="4"/>
      <c r="BC401" s="4"/>
      <c r="BD401" s="4"/>
      <c r="BE401" s="4"/>
      <c r="BF401" s="4"/>
      <c r="BG401" s="4"/>
      <c r="BH401" s="4"/>
      <c r="BI401" s="4"/>
      <c r="BJ401" s="4"/>
      <c r="BK401" s="4"/>
      <c r="BL401" s="4"/>
      <c r="BM401" s="4"/>
      <c r="BN401" s="4"/>
    </row>
    <row r="402" ht="13.5" customHeight="1" spans="1:66" x14ac:dyDescent="0.25">
      <c r="A402" s="4"/>
      <c r="B402" s="4"/>
      <c r="C402" s="533"/>
      <c r="D402" s="4"/>
      <c r="E402" s="4"/>
      <c r="F402" s="4"/>
      <c r="G402" s="4"/>
      <c r="H402" s="4"/>
      <c r="I402" s="4"/>
      <c r="J402" s="4"/>
      <c r="K402" s="4"/>
      <c r="L402" s="4"/>
      <c r="M402" s="4"/>
      <c r="N402" s="4"/>
      <c r="O402" s="4"/>
      <c r="P402" s="4"/>
      <c r="Q402" s="4"/>
      <c r="R402" s="4"/>
      <c r="S402" s="4"/>
      <c r="T402" s="4"/>
      <c r="U402" s="4"/>
      <c r="V402" s="4"/>
      <c r="W402" s="4"/>
      <c r="X402" s="4"/>
      <c r="Y402" s="4"/>
      <c r="Z402" s="4"/>
      <c r="AA402" s="4"/>
      <c r="AB402" s="4"/>
      <c r="AC402" s="4"/>
      <c r="AD402" s="4"/>
      <c r="AE402" s="4"/>
      <c r="AF402" s="4"/>
      <c r="AG402" s="4"/>
      <c r="AH402" s="4"/>
      <c r="AI402" s="4"/>
      <c r="AJ402" s="4"/>
      <c r="AK402" s="4"/>
      <c r="AL402" s="4"/>
      <c r="AM402" s="4"/>
      <c r="AN402" s="4"/>
      <c r="AO402" s="4"/>
      <c r="AP402" s="4"/>
      <c r="AQ402" s="4"/>
      <c r="AR402" s="4"/>
      <c r="AS402" s="4"/>
      <c r="AT402" s="4"/>
      <c r="AU402" s="4"/>
      <c r="AV402" s="4"/>
      <c r="AW402" s="4"/>
      <c r="AX402" s="4"/>
      <c r="AY402" s="4"/>
      <c r="AZ402" s="4"/>
      <c r="BA402" s="4"/>
      <c r="BB402" s="4"/>
      <c r="BC402" s="4"/>
      <c r="BD402" s="4"/>
      <c r="BE402" s="4"/>
      <c r="BF402" s="4"/>
      <c r="BG402" s="4"/>
      <c r="BH402" s="4"/>
      <c r="BI402" s="4"/>
      <c r="BJ402" s="4"/>
      <c r="BK402" s="4"/>
      <c r="BL402" s="4"/>
      <c r="BM402" s="4"/>
      <c r="BN402" s="4"/>
    </row>
    <row r="403" ht="13.5" customHeight="1" spans="1:66" x14ac:dyDescent="0.25">
      <c r="A403" s="4"/>
      <c r="B403" s="4"/>
      <c r="C403" s="533"/>
      <c r="D403" s="4"/>
      <c r="E403" s="4"/>
      <c r="F403" s="4"/>
      <c r="G403" s="4"/>
      <c r="H403" s="4"/>
      <c r="I403" s="4"/>
      <c r="J403" s="4"/>
      <c r="K403" s="4"/>
      <c r="L403" s="4"/>
      <c r="M403" s="4"/>
      <c r="N403" s="4"/>
      <c r="O403" s="4"/>
      <c r="P403" s="4"/>
      <c r="Q403" s="4"/>
      <c r="R403" s="4"/>
      <c r="S403" s="4"/>
      <c r="T403" s="4"/>
      <c r="U403" s="4"/>
      <c r="V403" s="4"/>
      <c r="W403" s="4"/>
      <c r="X403" s="4"/>
      <c r="Y403" s="4"/>
      <c r="Z403" s="4"/>
      <c r="AA403" s="4"/>
      <c r="AB403" s="4"/>
      <c r="AC403" s="4"/>
      <c r="AD403" s="4"/>
      <c r="AE403" s="4"/>
      <c r="AF403" s="4"/>
      <c r="AG403" s="4"/>
      <c r="AH403" s="4"/>
      <c r="AI403" s="4"/>
      <c r="AJ403" s="4"/>
      <c r="AK403" s="4"/>
      <c r="AL403" s="4"/>
      <c r="AM403" s="4"/>
      <c r="AN403" s="4"/>
      <c r="AO403" s="4"/>
      <c r="AP403" s="4"/>
      <c r="AQ403" s="4"/>
      <c r="AR403" s="4"/>
      <c r="AS403" s="4"/>
      <c r="AT403" s="4"/>
      <c r="AU403" s="4"/>
      <c r="AV403" s="4"/>
      <c r="AW403" s="4"/>
      <c r="AX403" s="4"/>
      <c r="AY403" s="4"/>
      <c r="AZ403" s="4"/>
      <c r="BA403" s="4"/>
      <c r="BB403" s="4"/>
      <c r="BC403" s="4"/>
      <c r="BD403" s="4"/>
      <c r="BE403" s="4"/>
      <c r="BF403" s="4"/>
      <c r="BG403" s="4"/>
      <c r="BH403" s="4"/>
      <c r="BI403" s="4"/>
      <c r="BJ403" s="4"/>
      <c r="BK403" s="4"/>
      <c r="BL403" s="4"/>
      <c r="BM403" s="4"/>
      <c r="BN403" s="4"/>
    </row>
    <row r="404" ht="13.5" customHeight="1" spans="1:66" x14ac:dyDescent="0.25">
      <c r="A404" s="4"/>
      <c r="B404" s="4"/>
      <c r="C404" s="533"/>
      <c r="D404" s="4"/>
      <c r="E404" s="4"/>
      <c r="F404" s="4"/>
      <c r="G404" s="4"/>
      <c r="H404" s="4"/>
      <c r="I404" s="4"/>
      <c r="J404" s="4"/>
      <c r="K404" s="4"/>
      <c r="L404" s="4"/>
      <c r="M404" s="4"/>
      <c r="N404" s="4"/>
      <c r="O404" s="4"/>
      <c r="P404" s="4"/>
      <c r="Q404" s="4"/>
      <c r="R404" s="4"/>
      <c r="S404" s="4"/>
      <c r="T404" s="4"/>
      <c r="U404" s="4"/>
      <c r="V404" s="4"/>
      <c r="W404" s="4"/>
      <c r="X404" s="4"/>
      <c r="Y404" s="4"/>
      <c r="Z404" s="4"/>
      <c r="AA404" s="4"/>
      <c r="AB404" s="4"/>
      <c r="AC404" s="4"/>
      <c r="AD404" s="4"/>
      <c r="AE404" s="4"/>
      <c r="AF404" s="4"/>
      <c r="AG404" s="4"/>
      <c r="AH404" s="4"/>
      <c r="AI404" s="4"/>
      <c r="AJ404" s="4"/>
      <c r="AK404" s="4"/>
      <c r="AL404" s="4"/>
      <c r="AM404" s="4"/>
      <c r="AN404" s="4"/>
      <c r="AO404" s="4"/>
      <c r="AP404" s="4"/>
      <c r="AQ404" s="4"/>
      <c r="AR404" s="4"/>
      <c r="AS404" s="4"/>
      <c r="AT404" s="4"/>
      <c r="AU404" s="4"/>
      <c r="AV404" s="4"/>
      <c r="AW404" s="4"/>
      <c r="AX404" s="4"/>
      <c r="AY404" s="4"/>
      <c r="AZ404" s="4"/>
      <c r="BA404" s="4"/>
      <c r="BB404" s="4"/>
      <c r="BC404" s="4"/>
      <c r="BD404" s="4"/>
      <c r="BE404" s="4"/>
      <c r="BF404" s="4"/>
      <c r="BG404" s="4"/>
      <c r="BH404" s="4"/>
      <c r="BI404" s="4"/>
      <c r="BJ404" s="4"/>
      <c r="BK404" s="4"/>
      <c r="BL404" s="4"/>
      <c r="BM404" s="4"/>
      <c r="BN404" s="4"/>
    </row>
    <row r="405" ht="13.5" customHeight="1" spans="1:66" x14ac:dyDescent="0.25">
      <c r="A405" s="4"/>
      <c r="B405" s="4"/>
      <c r="C405" s="533"/>
      <c r="D405" s="4"/>
      <c r="E405" s="4"/>
      <c r="F405" s="4"/>
      <c r="G405" s="4"/>
      <c r="H405" s="4"/>
      <c r="I405" s="4"/>
      <c r="J405" s="4"/>
      <c r="K405" s="4"/>
      <c r="L405" s="4"/>
      <c r="M405" s="4"/>
      <c r="N405" s="4"/>
      <c r="O405" s="4"/>
      <c r="P405" s="4"/>
      <c r="Q405" s="4"/>
      <c r="R405" s="4"/>
      <c r="S405" s="4"/>
      <c r="T405" s="4"/>
      <c r="U405" s="4"/>
      <c r="V405" s="4"/>
      <c r="W405" s="4"/>
      <c r="X405" s="4"/>
      <c r="Y405" s="4"/>
      <c r="Z405" s="4"/>
      <c r="AA405" s="4"/>
      <c r="AB405" s="4"/>
      <c r="AC405" s="4"/>
      <c r="AD405" s="4"/>
      <c r="AE405" s="4"/>
      <c r="AF405" s="4"/>
      <c r="AG405" s="4"/>
      <c r="AH405" s="4"/>
      <c r="AI405" s="4"/>
      <c r="AJ405" s="4"/>
      <c r="AK405" s="4"/>
      <c r="AL405" s="4"/>
      <c r="AM405" s="4"/>
      <c r="AN405" s="4"/>
      <c r="AO405" s="4"/>
      <c r="AP405" s="4"/>
      <c r="AQ405" s="4"/>
      <c r="AR405" s="4"/>
      <c r="AS405" s="4"/>
      <c r="AT405" s="4"/>
      <c r="AU405" s="4"/>
      <c r="AV405" s="4"/>
      <c r="AW405" s="4"/>
      <c r="AX405" s="4"/>
      <c r="AY405" s="4"/>
      <c r="AZ405" s="4"/>
      <c r="BA405" s="4"/>
      <c r="BB405" s="4"/>
      <c r="BC405" s="4"/>
      <c r="BD405" s="4"/>
      <c r="BE405" s="4"/>
      <c r="BF405" s="4"/>
      <c r="BG405" s="4"/>
      <c r="BH405" s="4"/>
      <c r="BI405" s="4"/>
      <c r="BJ405" s="4"/>
      <c r="BK405" s="4"/>
      <c r="BL405" s="4"/>
      <c r="BM405" s="4"/>
      <c r="BN405" s="4"/>
    </row>
    <row r="406" ht="13.5" customHeight="1" spans="1:66" x14ac:dyDescent="0.25">
      <c r="A406" s="4"/>
      <c r="B406" s="4"/>
      <c r="C406" s="533"/>
      <c r="D406" s="4"/>
      <c r="E406" s="4"/>
      <c r="F406" s="4"/>
      <c r="G406" s="4"/>
      <c r="H406" s="4"/>
      <c r="I406" s="4"/>
      <c r="J406" s="4"/>
      <c r="K406" s="4"/>
      <c r="L406" s="4"/>
      <c r="M406" s="4"/>
      <c r="N406" s="4"/>
      <c r="O406" s="4"/>
      <c r="P406" s="4"/>
      <c r="Q406" s="4"/>
      <c r="R406" s="4"/>
      <c r="S406" s="4"/>
      <c r="T406" s="4"/>
      <c r="U406" s="4"/>
      <c r="V406" s="4"/>
      <c r="W406" s="4"/>
      <c r="X406" s="4"/>
      <c r="Y406" s="4"/>
      <c r="Z406" s="4"/>
      <c r="AA406" s="4"/>
      <c r="AB406" s="4"/>
      <c r="AC406" s="4"/>
      <c r="AD406" s="4"/>
      <c r="AE406" s="4"/>
      <c r="AF406" s="4"/>
      <c r="AG406" s="4"/>
      <c r="AH406" s="4"/>
      <c r="AI406" s="4"/>
      <c r="AJ406" s="4"/>
      <c r="AK406" s="4"/>
      <c r="AL406" s="4"/>
      <c r="AM406" s="4"/>
      <c r="AN406" s="4"/>
      <c r="AO406" s="4"/>
      <c r="AP406" s="4"/>
      <c r="AQ406" s="4"/>
      <c r="AR406" s="4"/>
      <c r="AS406" s="4"/>
      <c r="AT406" s="4"/>
      <c r="AU406" s="4"/>
      <c r="AV406" s="4"/>
      <c r="AW406" s="4"/>
      <c r="AX406" s="4"/>
      <c r="AY406" s="4"/>
      <c r="AZ406" s="4"/>
      <c r="BA406" s="4"/>
      <c r="BB406" s="4"/>
      <c r="BC406" s="4"/>
      <c r="BD406" s="4"/>
      <c r="BE406" s="4"/>
      <c r="BF406" s="4"/>
      <c r="BG406" s="4"/>
      <c r="BH406" s="4"/>
      <c r="BI406" s="4"/>
      <c r="BJ406" s="4"/>
      <c r="BK406" s="4"/>
      <c r="BL406" s="4"/>
      <c r="BM406" s="4"/>
      <c r="BN406" s="4"/>
    </row>
    <row r="407" ht="13.5" customHeight="1" spans="1:66" x14ac:dyDescent="0.25">
      <c r="A407" s="4"/>
      <c r="B407" s="4"/>
      <c r="C407" s="533"/>
      <c r="D407" s="4"/>
      <c r="E407" s="4"/>
      <c r="F407" s="4"/>
      <c r="G407" s="4"/>
      <c r="H407" s="4"/>
      <c r="I407" s="4"/>
      <c r="J407" s="4"/>
      <c r="K407" s="4"/>
      <c r="L407" s="4"/>
      <c r="M407" s="4"/>
      <c r="N407" s="4"/>
      <c r="O407" s="4"/>
      <c r="P407" s="4"/>
      <c r="Q407" s="4"/>
      <c r="R407" s="4"/>
      <c r="S407" s="4"/>
      <c r="T407" s="4"/>
      <c r="U407" s="4"/>
      <c r="V407" s="4"/>
      <c r="W407" s="4"/>
      <c r="X407" s="4"/>
      <c r="Y407" s="4"/>
      <c r="Z407" s="4"/>
      <c r="AA407" s="4"/>
      <c r="AB407" s="4"/>
      <c r="AC407" s="4"/>
      <c r="AD407" s="4"/>
      <c r="AE407" s="4"/>
      <c r="AF407" s="4"/>
      <c r="AG407" s="4"/>
      <c r="AH407" s="4"/>
      <c r="AI407" s="4"/>
      <c r="AJ407" s="4"/>
      <c r="AK407" s="4"/>
      <c r="AL407" s="4"/>
      <c r="AM407" s="4"/>
      <c r="AN407" s="4"/>
      <c r="AO407" s="4"/>
      <c r="AP407" s="4"/>
      <c r="AQ407" s="4"/>
      <c r="AR407" s="4"/>
      <c r="AS407" s="4"/>
      <c r="AT407" s="4"/>
      <c r="AU407" s="4"/>
      <c r="AV407" s="4"/>
      <c r="AW407" s="4"/>
      <c r="AX407" s="4"/>
      <c r="AY407" s="4"/>
      <c r="AZ407" s="4"/>
      <c r="BA407" s="4"/>
      <c r="BB407" s="4"/>
      <c r="BC407" s="4"/>
      <c r="BD407" s="4"/>
      <c r="BE407" s="4"/>
      <c r="BF407" s="4"/>
      <c r="BG407" s="4"/>
      <c r="BH407" s="4"/>
      <c r="BI407" s="4"/>
      <c r="BJ407" s="4"/>
      <c r="BK407" s="4"/>
      <c r="BL407" s="4"/>
      <c r="BM407" s="4"/>
      <c r="BN407" s="4"/>
    </row>
    <row r="408" ht="13.5" customHeight="1" spans="1:66" x14ac:dyDescent="0.25">
      <c r="A408" s="4"/>
      <c r="B408" s="4"/>
      <c r="C408" s="533"/>
      <c r="D408" s="4"/>
      <c r="E408" s="4"/>
      <c r="F408" s="4"/>
      <c r="G408" s="4"/>
      <c r="H408" s="4"/>
      <c r="I408" s="4"/>
      <c r="J408" s="4"/>
      <c r="K408" s="4"/>
      <c r="L408" s="4"/>
      <c r="M408" s="4"/>
      <c r="N408" s="4"/>
      <c r="O408" s="4"/>
      <c r="P408" s="4"/>
      <c r="Q408" s="4"/>
      <c r="R408" s="4"/>
      <c r="S408" s="4"/>
      <c r="T408" s="4"/>
      <c r="U408" s="4"/>
      <c r="V408" s="4"/>
      <c r="W408" s="4"/>
      <c r="X408" s="4"/>
      <c r="Y408" s="4"/>
      <c r="Z408" s="4"/>
      <c r="AA408" s="4"/>
      <c r="AB408" s="4"/>
      <c r="AC408" s="4"/>
      <c r="AD408" s="4"/>
      <c r="AE408" s="4"/>
      <c r="AF408" s="4"/>
      <c r="AG408" s="4"/>
      <c r="AH408" s="4"/>
      <c r="AI408" s="4"/>
      <c r="AJ408" s="4"/>
      <c r="AK408" s="4"/>
      <c r="AL408" s="4"/>
      <c r="AM408" s="4"/>
      <c r="AN408" s="4"/>
      <c r="AO408" s="4"/>
      <c r="AP408" s="4"/>
      <c r="AQ408" s="4"/>
      <c r="AR408" s="4"/>
      <c r="AS408" s="4"/>
      <c r="AT408" s="4"/>
      <c r="AU408" s="4"/>
      <c r="AV408" s="4"/>
      <c r="AW408" s="4"/>
      <c r="AX408" s="4"/>
      <c r="AY408" s="4"/>
      <c r="AZ408" s="4"/>
      <c r="BA408" s="4"/>
      <c r="BB408" s="4"/>
      <c r="BC408" s="4"/>
      <c r="BD408" s="4"/>
      <c r="BE408" s="4"/>
      <c r="BF408" s="4"/>
      <c r="BG408" s="4"/>
      <c r="BH408" s="4"/>
      <c r="BI408" s="4"/>
      <c r="BJ408" s="4"/>
      <c r="BK408" s="4"/>
      <c r="BL408" s="4"/>
      <c r="BM408" s="4"/>
      <c r="BN408" s="4"/>
    </row>
    <row r="409" ht="13.5" customHeight="1" spans="1:66" x14ac:dyDescent="0.25">
      <c r="A409" s="4"/>
      <c r="B409" s="4"/>
      <c r="C409" s="533"/>
      <c r="D409" s="4"/>
      <c r="E409" s="4"/>
      <c r="F409" s="4"/>
      <c r="G409" s="4"/>
      <c r="H409" s="4"/>
      <c r="I409" s="4"/>
      <c r="J409" s="4"/>
      <c r="K409" s="4"/>
      <c r="L409" s="4"/>
      <c r="M409" s="4"/>
      <c r="N409" s="4"/>
      <c r="O409" s="4"/>
      <c r="P409" s="4"/>
      <c r="Q409" s="4"/>
      <c r="R409" s="4"/>
      <c r="S409" s="4"/>
      <c r="T409" s="4"/>
      <c r="U409" s="4"/>
      <c r="V409" s="4"/>
      <c r="W409" s="4"/>
      <c r="X409" s="4"/>
      <c r="Y409" s="4"/>
      <c r="Z409" s="4"/>
      <c r="AA409" s="4"/>
      <c r="AB409" s="4"/>
      <c r="AC409" s="4"/>
      <c r="AD409" s="4"/>
      <c r="AE409" s="4"/>
      <c r="AF409" s="4"/>
      <c r="AG409" s="4"/>
      <c r="AH409" s="4"/>
      <c r="AI409" s="4"/>
      <c r="AJ409" s="4"/>
      <c r="AK409" s="4"/>
      <c r="AL409" s="4"/>
      <c r="AM409" s="4"/>
      <c r="AN409" s="4"/>
      <c r="AO409" s="4"/>
      <c r="AP409" s="4"/>
      <c r="AQ409" s="4"/>
      <c r="AR409" s="4"/>
      <c r="AS409" s="4"/>
      <c r="AT409" s="4"/>
      <c r="AU409" s="4"/>
      <c r="AV409" s="4"/>
      <c r="AW409" s="4"/>
      <c r="AX409" s="4"/>
      <c r="AY409" s="4"/>
      <c r="AZ409" s="4"/>
      <c r="BA409" s="4"/>
      <c r="BB409" s="4"/>
      <c r="BC409" s="4"/>
      <c r="BD409" s="4"/>
      <c r="BE409" s="4"/>
      <c r="BF409" s="4"/>
      <c r="BG409" s="4"/>
      <c r="BH409" s="4"/>
      <c r="BI409" s="4"/>
      <c r="BJ409" s="4"/>
      <c r="BK409" s="4"/>
      <c r="BL409" s="4"/>
      <c r="BM409" s="4"/>
      <c r="BN409" s="4"/>
    </row>
    <row r="410" ht="13.5" customHeight="1" spans="1:66" x14ac:dyDescent="0.25">
      <c r="A410" s="4"/>
      <c r="B410" s="4"/>
      <c r="C410" s="533"/>
      <c r="D410" s="4"/>
      <c r="E410" s="4"/>
      <c r="F410" s="4"/>
      <c r="G410" s="4"/>
      <c r="H410" s="4"/>
      <c r="I410" s="4"/>
      <c r="J410" s="4"/>
      <c r="K410" s="4"/>
      <c r="L410" s="4"/>
      <c r="M410" s="4"/>
      <c r="N410" s="4"/>
      <c r="O410" s="4"/>
      <c r="P410" s="4"/>
      <c r="Q410" s="4"/>
      <c r="R410" s="4"/>
      <c r="S410" s="4"/>
      <c r="T410" s="4"/>
      <c r="U410" s="4"/>
      <c r="V410" s="4"/>
      <c r="W410" s="4"/>
      <c r="X410" s="4"/>
      <c r="Y410" s="4"/>
      <c r="Z410" s="4"/>
      <c r="AA410" s="4"/>
      <c r="AB410" s="4"/>
      <c r="AC410" s="4"/>
      <c r="AD410" s="4"/>
      <c r="AE410" s="4"/>
      <c r="AF410" s="4"/>
      <c r="AG410" s="4"/>
      <c r="AH410" s="4"/>
      <c r="AI410" s="4"/>
      <c r="AJ410" s="4"/>
      <c r="AK410" s="4"/>
      <c r="AL410" s="4"/>
      <c r="AM410" s="4"/>
      <c r="AN410" s="4"/>
      <c r="AO410" s="4"/>
      <c r="AP410" s="4"/>
      <c r="AQ410" s="4"/>
      <c r="AR410" s="4"/>
      <c r="AS410" s="4"/>
      <c r="AT410" s="4"/>
      <c r="AU410" s="4"/>
      <c r="AV410" s="4"/>
      <c r="AW410" s="4"/>
      <c r="AX410" s="4"/>
      <c r="AY410" s="4"/>
      <c r="AZ410" s="4"/>
      <c r="BA410" s="4"/>
      <c r="BB410" s="4"/>
      <c r="BC410" s="4"/>
      <c r="BD410" s="4"/>
      <c r="BE410" s="4"/>
      <c r="BF410" s="4"/>
      <c r="BG410" s="4"/>
      <c r="BH410" s="4"/>
      <c r="BI410" s="4"/>
      <c r="BJ410" s="4"/>
      <c r="BK410" s="4"/>
      <c r="BL410" s="4"/>
      <c r="BM410" s="4"/>
      <c r="BN410" s="4"/>
    </row>
    <row r="411" ht="13.5" customHeight="1" spans="1:66" x14ac:dyDescent="0.25">
      <c r="A411" s="4"/>
      <c r="B411" s="4"/>
      <c r="C411" s="533"/>
      <c r="D411" s="4"/>
      <c r="E411" s="4"/>
      <c r="F411" s="4"/>
      <c r="G411" s="4"/>
      <c r="H411" s="4"/>
      <c r="I411" s="4"/>
      <c r="J411" s="4"/>
      <c r="K411" s="4"/>
      <c r="L411" s="4"/>
      <c r="M411" s="4"/>
      <c r="N411" s="4"/>
      <c r="O411" s="4"/>
      <c r="P411" s="4"/>
      <c r="Q411" s="4"/>
      <c r="R411" s="4"/>
      <c r="S411" s="4"/>
      <c r="T411" s="4"/>
      <c r="U411" s="4"/>
      <c r="V411" s="4"/>
      <c r="W411" s="4"/>
      <c r="X411" s="4"/>
      <c r="Y411" s="4"/>
      <c r="Z411" s="4"/>
      <c r="AA411" s="4"/>
      <c r="AB411" s="4"/>
      <c r="AC411" s="4"/>
      <c r="AD411" s="4"/>
      <c r="AE411" s="4"/>
      <c r="AF411" s="4"/>
      <c r="AG411" s="4"/>
      <c r="AH411" s="4"/>
      <c r="AI411" s="4"/>
      <c r="AJ411" s="4"/>
      <c r="AK411" s="4"/>
      <c r="AL411" s="4"/>
      <c r="AM411" s="4"/>
      <c r="AN411" s="4"/>
      <c r="AO411" s="4"/>
      <c r="AP411" s="4"/>
      <c r="AQ411" s="4"/>
      <c r="AR411" s="4"/>
      <c r="AS411" s="4"/>
      <c r="AT411" s="4"/>
      <c r="AU411" s="4"/>
      <c r="AV411" s="4"/>
      <c r="AW411" s="4"/>
      <c r="AX411" s="4"/>
      <c r="AY411" s="4"/>
      <c r="AZ411" s="4"/>
      <c r="BA411" s="4"/>
      <c r="BB411" s="4"/>
      <c r="BC411" s="4"/>
      <c r="BD411" s="4"/>
      <c r="BE411" s="4"/>
      <c r="BF411" s="4"/>
      <c r="BG411" s="4"/>
      <c r="BH411" s="4"/>
      <c r="BI411" s="4"/>
      <c r="BJ411" s="4"/>
      <c r="BK411" s="4"/>
      <c r="BL411" s="4"/>
      <c r="BM411" s="4"/>
      <c r="BN411" s="4"/>
    </row>
    <row r="412" ht="13.5" customHeight="1" spans="1:66" x14ac:dyDescent="0.25">
      <c r="A412" s="4"/>
      <c r="B412" s="4"/>
      <c r="C412" s="533"/>
      <c r="D412" s="4"/>
      <c r="E412" s="4"/>
      <c r="F412" s="4"/>
      <c r="G412" s="4"/>
      <c r="H412" s="4"/>
      <c r="I412" s="4"/>
      <c r="J412" s="4"/>
      <c r="K412" s="4"/>
      <c r="L412" s="4"/>
      <c r="M412" s="4"/>
      <c r="N412" s="4"/>
      <c r="O412" s="4"/>
      <c r="P412" s="4"/>
      <c r="Q412" s="4"/>
      <c r="R412" s="4"/>
      <c r="S412" s="4"/>
      <c r="T412" s="4"/>
      <c r="U412" s="4"/>
      <c r="V412" s="4"/>
      <c r="W412" s="4"/>
      <c r="X412" s="4"/>
      <c r="Y412" s="4"/>
      <c r="Z412" s="4"/>
      <c r="AA412" s="4"/>
      <c r="AB412" s="4"/>
      <c r="AC412" s="4"/>
      <c r="AD412" s="4"/>
      <c r="AE412" s="4"/>
      <c r="AF412" s="4"/>
      <c r="AG412" s="4"/>
      <c r="AH412" s="4"/>
      <c r="AI412" s="4"/>
      <c r="AJ412" s="4"/>
      <c r="AK412" s="4"/>
      <c r="AL412" s="4"/>
      <c r="AM412" s="4"/>
      <c r="AN412" s="4"/>
      <c r="AO412" s="4"/>
      <c r="AP412" s="4"/>
      <c r="AQ412" s="4"/>
      <c r="AR412" s="4"/>
      <c r="AS412" s="4"/>
      <c r="AT412" s="4"/>
      <c r="AU412" s="4"/>
      <c r="AV412" s="4"/>
      <c r="AW412" s="4"/>
      <c r="AX412" s="4"/>
      <c r="AY412" s="4"/>
      <c r="AZ412" s="4"/>
      <c r="BA412" s="4"/>
      <c r="BB412" s="4"/>
      <c r="BC412" s="4"/>
      <c r="BD412" s="4"/>
      <c r="BE412" s="4"/>
      <c r="BF412" s="4"/>
      <c r="BG412" s="4"/>
      <c r="BH412" s="4"/>
      <c r="BI412" s="4"/>
      <c r="BJ412" s="4"/>
      <c r="BK412" s="4"/>
      <c r="BL412" s="4"/>
      <c r="BM412" s="4"/>
      <c r="BN412" s="4"/>
    </row>
    <row r="413" ht="13.5" customHeight="1" spans="1:66" x14ac:dyDescent="0.25">
      <c r="A413" s="4"/>
      <c r="B413" s="4"/>
      <c r="C413" s="533"/>
      <c r="D413" s="4"/>
      <c r="E413" s="4"/>
      <c r="F413" s="4"/>
      <c r="G413" s="4"/>
      <c r="H413" s="4"/>
      <c r="I413" s="4"/>
      <c r="J413" s="4"/>
      <c r="K413" s="4"/>
      <c r="L413" s="4"/>
      <c r="M413" s="4"/>
      <c r="N413" s="4"/>
      <c r="O413" s="4"/>
      <c r="P413" s="4"/>
      <c r="Q413" s="4"/>
      <c r="R413" s="4"/>
      <c r="S413" s="4"/>
      <c r="T413" s="4"/>
      <c r="U413" s="4"/>
      <c r="V413" s="4"/>
      <c r="W413" s="4"/>
      <c r="X413" s="4"/>
      <c r="Y413" s="4"/>
      <c r="Z413" s="4"/>
      <c r="AA413" s="4"/>
      <c r="AB413" s="4"/>
      <c r="AC413" s="4"/>
      <c r="AD413" s="4"/>
      <c r="AE413" s="4"/>
      <c r="AF413" s="4"/>
      <c r="AG413" s="4"/>
      <c r="AH413" s="4"/>
      <c r="AI413" s="4"/>
      <c r="AJ413" s="4"/>
      <c r="AK413" s="4"/>
      <c r="AL413" s="4"/>
      <c r="AM413" s="4"/>
      <c r="AN413" s="4"/>
      <c r="AO413" s="4"/>
      <c r="AP413" s="4"/>
      <c r="AQ413" s="4"/>
      <c r="AR413" s="4"/>
      <c r="AS413" s="4"/>
      <c r="AT413" s="4"/>
      <c r="AU413" s="4"/>
      <c r="AV413" s="4"/>
      <c r="AW413" s="4"/>
      <c r="AX413" s="4"/>
      <c r="AY413" s="4"/>
      <c r="AZ413" s="4"/>
      <c r="BA413" s="4"/>
      <c r="BB413" s="4"/>
      <c r="BC413" s="4"/>
      <c r="BD413" s="4"/>
      <c r="BE413" s="4"/>
      <c r="BF413" s="4"/>
      <c r="BG413" s="4"/>
      <c r="BH413" s="4"/>
      <c r="BI413" s="4"/>
      <c r="BJ413" s="4"/>
      <c r="BK413" s="4"/>
      <c r="BL413" s="4"/>
      <c r="BM413" s="4"/>
      <c r="BN413" s="4"/>
    </row>
    <row r="414" ht="13.5" customHeight="1" spans="1:66" x14ac:dyDescent="0.25">
      <c r="A414" s="4"/>
      <c r="B414" s="4"/>
      <c r="C414" s="533"/>
      <c r="D414" s="4"/>
      <c r="E414" s="4"/>
      <c r="F414" s="4"/>
      <c r="G414" s="4"/>
      <c r="H414" s="4"/>
      <c r="I414" s="4"/>
      <c r="J414" s="4"/>
      <c r="K414" s="4"/>
      <c r="L414" s="4"/>
      <c r="M414" s="4"/>
      <c r="N414" s="4"/>
      <c r="O414" s="4"/>
      <c r="P414" s="4"/>
      <c r="Q414" s="4"/>
      <c r="R414" s="4"/>
      <c r="S414" s="4"/>
      <c r="T414" s="4"/>
      <c r="U414" s="4"/>
      <c r="V414" s="4"/>
      <c r="W414" s="4"/>
      <c r="X414" s="4"/>
      <c r="Y414" s="4"/>
      <c r="Z414" s="4"/>
      <c r="AA414" s="4"/>
      <c r="AB414" s="4"/>
      <c r="AC414" s="4"/>
      <c r="AD414" s="4"/>
      <c r="AE414" s="4"/>
      <c r="AF414" s="4"/>
      <c r="AG414" s="4"/>
      <c r="AH414" s="4"/>
      <c r="AI414" s="4"/>
      <c r="AJ414" s="4"/>
      <c r="AK414" s="4"/>
      <c r="AL414" s="4"/>
      <c r="AM414" s="4"/>
      <c r="AN414" s="4"/>
      <c r="AO414" s="4"/>
      <c r="AP414" s="4"/>
      <c r="AQ414" s="4"/>
      <c r="AR414" s="4"/>
      <c r="AS414" s="4"/>
      <c r="AT414" s="4"/>
      <c r="AU414" s="4"/>
      <c r="AV414" s="4"/>
      <c r="AW414" s="4"/>
      <c r="AX414" s="4"/>
      <c r="AY414" s="4"/>
      <c r="AZ414" s="4"/>
      <c r="BA414" s="4"/>
      <c r="BB414" s="4"/>
      <c r="BC414" s="4"/>
      <c r="BD414" s="4"/>
      <c r="BE414" s="4"/>
      <c r="BF414" s="4"/>
      <c r="BG414" s="4"/>
      <c r="BH414" s="4"/>
      <c r="BI414" s="4"/>
      <c r="BJ414" s="4"/>
      <c r="BK414" s="4"/>
      <c r="BL414" s="4"/>
      <c r="BM414" s="4"/>
      <c r="BN414" s="4"/>
    </row>
    <row r="415" ht="13.5" customHeight="1" spans="1:66" x14ac:dyDescent="0.25">
      <c r="A415" s="4"/>
      <c r="B415" s="4"/>
      <c r="C415" s="533"/>
      <c r="D415" s="4"/>
      <c r="E415" s="4"/>
      <c r="F415" s="4"/>
      <c r="G415" s="4"/>
      <c r="H415" s="4"/>
      <c r="I415" s="4"/>
      <c r="J415" s="4"/>
      <c r="K415" s="4"/>
      <c r="L415" s="4"/>
      <c r="M415" s="4"/>
      <c r="N415" s="4"/>
      <c r="O415" s="4"/>
      <c r="P415" s="4"/>
      <c r="Q415" s="4"/>
      <c r="R415" s="4"/>
      <c r="S415" s="4"/>
      <c r="T415" s="4"/>
      <c r="U415" s="4"/>
      <c r="V415" s="4"/>
      <c r="W415" s="4"/>
      <c r="X415" s="4"/>
      <c r="Y415" s="4"/>
      <c r="Z415" s="4"/>
      <c r="AA415" s="4"/>
      <c r="AB415" s="4"/>
      <c r="AC415" s="4"/>
      <c r="AD415" s="4"/>
      <c r="AE415" s="4"/>
      <c r="AF415" s="4"/>
      <c r="AG415" s="4"/>
      <c r="AH415" s="4"/>
      <c r="AI415" s="4"/>
      <c r="AJ415" s="4"/>
      <c r="AK415" s="4"/>
      <c r="AL415" s="4"/>
      <c r="AM415" s="4"/>
      <c r="AN415" s="4"/>
      <c r="AO415" s="4"/>
      <c r="AP415" s="4"/>
      <c r="AQ415" s="4"/>
      <c r="AR415" s="4"/>
      <c r="AS415" s="4"/>
      <c r="AT415" s="4"/>
      <c r="AU415" s="4"/>
      <c r="AV415" s="4"/>
      <c r="AW415" s="4"/>
      <c r="AX415" s="4"/>
      <c r="AY415" s="4"/>
      <c r="AZ415" s="4"/>
      <c r="BA415" s="4"/>
      <c r="BB415" s="4"/>
      <c r="BC415" s="4"/>
      <c r="BD415" s="4"/>
      <c r="BE415" s="4"/>
      <c r="BF415" s="4"/>
      <c r="BG415" s="4"/>
      <c r="BH415" s="4"/>
      <c r="BI415" s="4"/>
      <c r="BJ415" s="4"/>
      <c r="BK415" s="4"/>
      <c r="BL415" s="4"/>
      <c r="BM415" s="4"/>
      <c r="BN415" s="4"/>
    </row>
    <row r="416" ht="13.5" customHeight="1" spans="1:66" x14ac:dyDescent="0.25">
      <c r="A416" s="4"/>
      <c r="B416" s="4"/>
      <c r="C416" s="533"/>
      <c r="D416" s="4"/>
      <c r="E416" s="4"/>
      <c r="F416" s="4"/>
      <c r="G416" s="4"/>
      <c r="H416" s="4"/>
      <c r="I416" s="4"/>
      <c r="J416" s="4"/>
      <c r="K416" s="4"/>
      <c r="L416" s="4"/>
      <c r="M416" s="4"/>
      <c r="N416" s="4"/>
      <c r="O416" s="4"/>
      <c r="P416" s="4"/>
      <c r="Q416" s="4"/>
      <c r="R416" s="4"/>
      <c r="S416" s="4"/>
      <c r="T416" s="4"/>
      <c r="U416" s="4"/>
      <c r="V416" s="4"/>
      <c r="W416" s="4"/>
      <c r="X416" s="4"/>
      <c r="Y416" s="4"/>
      <c r="Z416" s="4"/>
      <c r="AA416" s="4"/>
      <c r="AB416" s="4"/>
      <c r="AC416" s="4"/>
      <c r="AD416" s="4"/>
      <c r="AE416" s="4"/>
      <c r="AF416" s="4"/>
      <c r="AG416" s="4"/>
      <c r="AH416" s="4"/>
      <c r="AI416" s="4"/>
      <c r="AJ416" s="4"/>
      <c r="AK416" s="4"/>
      <c r="AL416" s="4"/>
      <c r="AM416" s="4"/>
      <c r="AN416" s="4"/>
      <c r="AO416" s="4"/>
      <c r="AP416" s="4"/>
      <c r="AQ416" s="4"/>
      <c r="AR416" s="4"/>
      <c r="AS416" s="4"/>
      <c r="AT416" s="4"/>
      <c r="AU416" s="4"/>
      <c r="AV416" s="4"/>
      <c r="AW416" s="4"/>
      <c r="AX416" s="4"/>
      <c r="AY416" s="4"/>
      <c r="AZ416" s="4"/>
      <c r="BA416" s="4"/>
      <c r="BB416" s="4"/>
      <c r="BC416" s="4"/>
      <c r="BD416" s="4"/>
      <c r="BE416" s="4"/>
      <c r="BF416" s="4"/>
      <c r="BG416" s="4"/>
      <c r="BH416" s="4"/>
      <c r="BI416" s="4"/>
      <c r="BJ416" s="4"/>
      <c r="BK416" s="4"/>
      <c r="BL416" s="4"/>
      <c r="BM416" s="4"/>
      <c r="BN416" s="4"/>
    </row>
    <row r="417" ht="13.5" customHeight="1" spans="1:66" x14ac:dyDescent="0.25">
      <c r="A417" s="4"/>
      <c r="B417" s="4"/>
      <c r="C417" s="533"/>
      <c r="D417" s="4"/>
      <c r="E417" s="4"/>
      <c r="F417" s="4"/>
      <c r="G417" s="4"/>
      <c r="H417" s="4"/>
      <c r="I417" s="4"/>
      <c r="J417" s="4"/>
      <c r="K417" s="4"/>
      <c r="L417" s="4"/>
      <c r="M417" s="4"/>
      <c r="N417" s="4"/>
      <c r="O417" s="4"/>
      <c r="P417" s="4"/>
      <c r="Q417" s="4"/>
      <c r="R417" s="4"/>
      <c r="S417" s="4"/>
      <c r="T417" s="4"/>
      <c r="U417" s="4"/>
      <c r="V417" s="4"/>
      <c r="W417" s="4"/>
      <c r="X417" s="4"/>
      <c r="Y417" s="4"/>
      <c r="Z417" s="4"/>
      <c r="AA417" s="4"/>
      <c r="AB417" s="4"/>
      <c r="AC417" s="4"/>
      <c r="AD417" s="4"/>
      <c r="AE417" s="4"/>
      <c r="AF417" s="4"/>
      <c r="AG417" s="4"/>
      <c r="AH417" s="4"/>
      <c r="AI417" s="4"/>
      <c r="AJ417" s="4"/>
      <c r="AK417" s="4"/>
      <c r="AL417" s="4"/>
      <c r="AM417" s="4"/>
      <c r="AN417" s="4"/>
      <c r="AO417" s="4"/>
      <c r="AP417" s="4"/>
      <c r="AQ417" s="4"/>
      <c r="AR417" s="4"/>
      <c r="AS417" s="4"/>
      <c r="AT417" s="4"/>
      <c r="AU417" s="4"/>
      <c r="AV417" s="4"/>
      <c r="AW417" s="4"/>
      <c r="AX417" s="4"/>
      <c r="AY417" s="4"/>
      <c r="AZ417" s="4"/>
      <c r="BA417" s="4"/>
      <c r="BB417" s="4"/>
      <c r="BC417" s="4"/>
      <c r="BD417" s="4"/>
      <c r="BE417" s="4"/>
      <c r="BF417" s="4"/>
      <c r="BG417" s="4"/>
      <c r="BH417" s="4"/>
      <c r="BI417" s="4"/>
      <c r="BJ417" s="4"/>
      <c r="BK417" s="4"/>
      <c r="BL417" s="4"/>
      <c r="BM417" s="4"/>
      <c r="BN417" s="4"/>
    </row>
    <row r="418" ht="13.5" customHeight="1" spans="1:66" x14ac:dyDescent="0.25">
      <c r="A418" s="4"/>
      <c r="B418" s="4"/>
      <c r="C418" s="533"/>
      <c r="D418" s="4"/>
      <c r="E418" s="4"/>
      <c r="F418" s="4"/>
      <c r="G418" s="4"/>
      <c r="H418" s="4"/>
      <c r="I418" s="4"/>
      <c r="J418" s="4"/>
      <c r="K418" s="4"/>
      <c r="L418" s="4"/>
      <c r="M418" s="4"/>
      <c r="N418" s="4"/>
      <c r="O418" s="4"/>
      <c r="P418" s="4"/>
      <c r="Q418" s="4"/>
      <c r="R418" s="4"/>
      <c r="S418" s="4"/>
      <c r="T418" s="4"/>
      <c r="U418" s="4"/>
      <c r="V418" s="4"/>
      <c r="W418" s="4"/>
      <c r="X418" s="4"/>
      <c r="Y418" s="4"/>
      <c r="Z418" s="4"/>
      <c r="AA418" s="4"/>
      <c r="AB418" s="4"/>
      <c r="AC418" s="4"/>
      <c r="AD418" s="4"/>
      <c r="AE418" s="4"/>
      <c r="AF418" s="4"/>
      <c r="AG418" s="4"/>
      <c r="AH418" s="4"/>
      <c r="AI418" s="4"/>
      <c r="AJ418" s="4"/>
      <c r="AK418" s="4"/>
      <c r="AL418" s="4"/>
      <c r="AM418" s="4"/>
      <c r="AN418" s="4"/>
      <c r="AO418" s="4"/>
      <c r="AP418" s="4"/>
      <c r="AQ418" s="4"/>
      <c r="AR418" s="4"/>
      <c r="AS418" s="4"/>
      <c r="AT418" s="4"/>
      <c r="AU418" s="4"/>
      <c r="AV418" s="4"/>
      <c r="AW418" s="4"/>
      <c r="AX418" s="4"/>
      <c r="AY418" s="4"/>
      <c r="AZ418" s="4"/>
      <c r="BA418" s="4"/>
      <c r="BB418" s="4"/>
      <c r="BC418" s="4"/>
      <c r="BD418" s="4"/>
      <c r="BE418" s="4"/>
      <c r="BF418" s="4"/>
      <c r="BG418" s="4"/>
      <c r="BH418" s="4"/>
      <c r="BI418" s="4"/>
      <c r="BJ418" s="4"/>
      <c r="BK418" s="4"/>
      <c r="BL418" s="4"/>
      <c r="BM418" s="4"/>
      <c r="BN418" s="4"/>
    </row>
    <row r="419" ht="13.5" customHeight="1" spans="1:66" x14ac:dyDescent="0.25">
      <c r="A419" s="4"/>
      <c r="B419" s="4"/>
      <c r="C419" s="533"/>
      <c r="D419" s="4"/>
      <c r="E419" s="4"/>
      <c r="F419" s="4"/>
      <c r="G419" s="4"/>
      <c r="H419" s="4"/>
      <c r="I419" s="4"/>
      <c r="J419" s="4"/>
      <c r="K419" s="4"/>
      <c r="L419" s="4"/>
      <c r="M419" s="4"/>
      <c r="N419" s="4"/>
      <c r="O419" s="4"/>
      <c r="P419" s="4"/>
      <c r="Q419" s="4"/>
      <c r="R419" s="4"/>
      <c r="S419" s="4"/>
      <c r="T419" s="4"/>
      <c r="U419" s="4"/>
      <c r="V419" s="4"/>
      <c r="W419" s="4"/>
      <c r="X419" s="4"/>
      <c r="Y419" s="4"/>
      <c r="Z419" s="4"/>
      <c r="AA419" s="4"/>
      <c r="AB419" s="4"/>
      <c r="AC419" s="4"/>
      <c r="AD419" s="4"/>
      <c r="AE419" s="4"/>
      <c r="AF419" s="4"/>
      <c r="AG419" s="4"/>
      <c r="AH419" s="4"/>
      <c r="AI419" s="4"/>
      <c r="AJ419" s="4"/>
      <c r="AK419" s="4"/>
      <c r="AL419" s="4"/>
      <c r="AM419" s="4"/>
      <c r="AN419" s="4"/>
      <c r="AO419" s="4"/>
      <c r="AP419" s="4"/>
      <c r="AQ419" s="4"/>
      <c r="AR419" s="4"/>
      <c r="AS419" s="4"/>
      <c r="AT419" s="4"/>
      <c r="AU419" s="4"/>
      <c r="AV419" s="4"/>
      <c r="AW419" s="4"/>
      <c r="AX419" s="4"/>
      <c r="AY419" s="4"/>
      <c r="AZ419" s="4"/>
      <c r="BA419" s="4"/>
      <c r="BB419" s="4"/>
      <c r="BC419" s="4"/>
      <c r="BD419" s="4"/>
      <c r="BE419" s="4"/>
      <c r="BF419" s="4"/>
      <c r="BG419" s="4"/>
      <c r="BH419" s="4"/>
      <c r="BI419" s="4"/>
      <c r="BJ419" s="4"/>
      <c r="BK419" s="4"/>
      <c r="BL419" s="4"/>
      <c r="BM419" s="4"/>
      <c r="BN419" s="4"/>
    </row>
    <row r="420" ht="13.5" customHeight="1" spans="1:66" x14ac:dyDescent="0.25">
      <c r="A420" s="4"/>
      <c r="B420" s="4"/>
      <c r="C420" s="533"/>
      <c r="D420" s="4"/>
      <c r="E420" s="4"/>
      <c r="F420" s="4"/>
      <c r="G420" s="4"/>
      <c r="H420" s="4"/>
      <c r="I420" s="4"/>
      <c r="J420" s="4"/>
      <c r="K420" s="4"/>
      <c r="L420" s="4"/>
      <c r="M420" s="4"/>
      <c r="N420" s="4"/>
      <c r="O420" s="4"/>
      <c r="P420" s="4"/>
      <c r="Q420" s="4"/>
      <c r="R420" s="4"/>
      <c r="S420" s="4"/>
      <c r="T420" s="4"/>
      <c r="U420" s="4"/>
      <c r="V420" s="4"/>
      <c r="W420" s="4"/>
      <c r="X420" s="4"/>
      <c r="Y420" s="4"/>
      <c r="Z420" s="4"/>
      <c r="AA420" s="4"/>
      <c r="AB420" s="4"/>
      <c r="AC420" s="4"/>
      <c r="AD420" s="4"/>
      <c r="AE420" s="4"/>
      <c r="AF420" s="4"/>
      <c r="AG420" s="4"/>
      <c r="AH420" s="4"/>
      <c r="AI420" s="4"/>
      <c r="AJ420" s="4"/>
      <c r="AK420" s="4"/>
      <c r="AL420" s="4"/>
      <c r="AM420" s="4"/>
      <c r="AN420" s="4"/>
      <c r="AO420" s="4"/>
      <c r="AP420" s="4"/>
      <c r="AQ420" s="4"/>
      <c r="AR420" s="4"/>
      <c r="AS420" s="4"/>
      <c r="AT420" s="4"/>
      <c r="AU420" s="4"/>
      <c r="AV420" s="4"/>
      <c r="AW420" s="4"/>
      <c r="AX420" s="4"/>
      <c r="AY420" s="4"/>
      <c r="AZ420" s="4"/>
      <c r="BA420" s="4"/>
      <c r="BB420" s="4"/>
      <c r="BC420" s="4"/>
      <c r="BD420" s="4"/>
      <c r="BE420" s="4"/>
      <c r="BF420" s="4"/>
      <c r="BG420" s="4"/>
      <c r="BH420" s="4"/>
      <c r="BI420" s="4"/>
      <c r="BJ420" s="4"/>
      <c r="BK420" s="4"/>
      <c r="BL420" s="4"/>
      <c r="BM420" s="4"/>
      <c r="BN420" s="4"/>
    </row>
    <row r="421" ht="13.5" customHeight="1" spans="1:66" x14ac:dyDescent="0.25">
      <c r="A421" s="4"/>
      <c r="B421" s="4"/>
      <c r="C421" s="533"/>
      <c r="D421" s="4"/>
      <c r="E421" s="4"/>
      <c r="F421" s="4"/>
      <c r="G421" s="4"/>
      <c r="H421" s="4"/>
      <c r="I421" s="4"/>
      <c r="J421" s="4"/>
      <c r="K421" s="4"/>
      <c r="L421" s="4"/>
      <c r="M421" s="4"/>
      <c r="N421" s="4"/>
      <c r="O421" s="4"/>
      <c r="P421" s="4"/>
      <c r="Q421" s="4"/>
      <c r="R421" s="4"/>
      <c r="S421" s="4"/>
      <c r="T421" s="4"/>
      <c r="U421" s="4"/>
      <c r="V421" s="4"/>
      <c r="W421" s="4"/>
      <c r="X421" s="4"/>
      <c r="Y421" s="4"/>
      <c r="Z421" s="4"/>
      <c r="AA421" s="4"/>
      <c r="AB421" s="4"/>
      <c r="AC421" s="4"/>
      <c r="AD421" s="4"/>
      <c r="AE421" s="4"/>
      <c r="AF421" s="4"/>
      <c r="AG421" s="4"/>
      <c r="AH421" s="4"/>
      <c r="AI421" s="4"/>
      <c r="AJ421" s="4"/>
      <c r="AK421" s="4"/>
      <c r="AL421" s="4"/>
      <c r="AM421" s="4"/>
      <c r="AN421" s="4"/>
      <c r="AO421" s="4"/>
      <c r="AP421" s="4"/>
      <c r="AQ421" s="4"/>
      <c r="AR421" s="4"/>
      <c r="AS421" s="4"/>
      <c r="AT421" s="4"/>
      <c r="AU421" s="4"/>
      <c r="AV421" s="4"/>
      <c r="AW421" s="4"/>
      <c r="AX421" s="4"/>
      <c r="AY421" s="4"/>
      <c r="AZ421" s="4"/>
      <c r="BA421" s="4"/>
      <c r="BB421" s="4"/>
      <c r="BC421" s="4"/>
      <c r="BD421" s="4"/>
      <c r="BE421" s="4"/>
      <c r="BF421" s="4"/>
      <c r="BG421" s="4"/>
      <c r="BH421" s="4"/>
      <c r="BI421" s="4"/>
      <c r="BJ421" s="4"/>
      <c r="BK421" s="4"/>
      <c r="BL421" s="4"/>
      <c r="BM421" s="4"/>
      <c r="BN421" s="4"/>
    </row>
    <row r="422" ht="13.5" customHeight="1" spans="1:66" x14ac:dyDescent="0.25">
      <c r="A422" s="4"/>
      <c r="B422" s="4"/>
      <c r="C422" s="533"/>
      <c r="D422" s="4"/>
      <c r="E422" s="4"/>
      <c r="F422" s="4"/>
      <c r="G422" s="4"/>
      <c r="H422" s="4"/>
      <c r="I422" s="4"/>
      <c r="J422" s="4"/>
      <c r="K422" s="4"/>
      <c r="L422" s="4"/>
      <c r="M422" s="4"/>
      <c r="N422" s="4"/>
      <c r="O422" s="4"/>
      <c r="P422" s="4"/>
      <c r="Q422" s="4"/>
      <c r="R422" s="4"/>
      <c r="S422" s="4"/>
      <c r="T422" s="4"/>
      <c r="U422" s="4"/>
      <c r="V422" s="4"/>
      <c r="W422" s="4"/>
      <c r="X422" s="4"/>
      <c r="Y422" s="4"/>
      <c r="Z422" s="4"/>
      <c r="AA422" s="4"/>
      <c r="AB422" s="4"/>
      <c r="AC422" s="4"/>
      <c r="AD422" s="4"/>
      <c r="AE422" s="4"/>
      <c r="AF422" s="4"/>
      <c r="AG422" s="4"/>
      <c r="AH422" s="4"/>
      <c r="AI422" s="4"/>
      <c r="AJ422" s="4"/>
      <c r="AK422" s="4"/>
      <c r="AL422" s="4"/>
      <c r="AM422" s="4"/>
      <c r="AN422" s="4"/>
      <c r="AO422" s="4"/>
      <c r="AP422" s="4"/>
      <c r="AQ422" s="4"/>
      <c r="AR422" s="4"/>
      <c r="AS422" s="4"/>
      <c r="AT422" s="4"/>
      <c r="AU422" s="4"/>
      <c r="AV422" s="4"/>
      <c r="AW422" s="4"/>
      <c r="AX422" s="4"/>
      <c r="AY422" s="4"/>
      <c r="AZ422" s="4"/>
      <c r="BA422" s="4"/>
      <c r="BB422" s="4"/>
      <c r="BC422" s="4"/>
      <c r="BD422" s="4"/>
      <c r="BE422" s="4"/>
      <c r="BF422" s="4"/>
      <c r="BG422" s="4"/>
      <c r="BH422" s="4"/>
      <c r="BI422" s="4"/>
      <c r="BJ422" s="4"/>
      <c r="BK422" s="4"/>
      <c r="BL422" s="4"/>
      <c r="BM422" s="4"/>
      <c r="BN422" s="4"/>
    </row>
    <row r="423" ht="13.5" customHeight="1" spans="1:66" x14ac:dyDescent="0.25">
      <c r="A423" s="4"/>
      <c r="B423" s="4"/>
      <c r="C423" s="533"/>
      <c r="D423" s="4"/>
      <c r="E423" s="4"/>
      <c r="F423" s="4"/>
      <c r="G423" s="4"/>
      <c r="H423" s="4"/>
      <c r="I423" s="4"/>
      <c r="J423" s="4"/>
      <c r="K423" s="4"/>
      <c r="L423" s="4"/>
      <c r="M423" s="4"/>
      <c r="N423" s="4"/>
      <c r="O423" s="4"/>
      <c r="P423" s="4"/>
      <c r="Q423" s="4"/>
      <c r="R423" s="4"/>
      <c r="S423" s="4"/>
      <c r="T423" s="4"/>
      <c r="U423" s="4"/>
      <c r="V423" s="4"/>
      <c r="W423" s="4"/>
      <c r="X423" s="4"/>
      <c r="Y423" s="4"/>
      <c r="Z423" s="4"/>
      <c r="AA423" s="4"/>
      <c r="AB423" s="4"/>
      <c r="AC423" s="4"/>
      <c r="AD423" s="4"/>
      <c r="AE423" s="4"/>
      <c r="AF423" s="4"/>
      <c r="AG423" s="4"/>
      <c r="AH423" s="4"/>
      <c r="AI423" s="4"/>
      <c r="AJ423" s="4"/>
      <c r="AK423" s="4"/>
      <c r="AL423" s="4"/>
      <c r="AM423" s="4"/>
      <c r="AN423" s="4"/>
      <c r="AO423" s="4"/>
      <c r="AP423" s="4"/>
      <c r="AQ423" s="4"/>
      <c r="AR423" s="4"/>
      <c r="AS423" s="4"/>
      <c r="AT423" s="4"/>
      <c r="AU423" s="4"/>
      <c r="AV423" s="4"/>
      <c r="AW423" s="4"/>
      <c r="AX423" s="4"/>
      <c r="AY423" s="4"/>
      <c r="AZ423" s="4"/>
      <c r="BA423" s="4"/>
      <c r="BB423" s="4"/>
      <c r="BC423" s="4"/>
      <c r="BD423" s="4"/>
      <c r="BE423" s="4"/>
      <c r="BF423" s="4"/>
      <c r="BG423" s="4"/>
      <c r="BH423" s="4"/>
      <c r="BI423" s="4"/>
      <c r="BJ423" s="4"/>
      <c r="BK423" s="4"/>
      <c r="BL423" s="4"/>
      <c r="BM423" s="4"/>
      <c r="BN423" s="4"/>
    </row>
    <row r="424" ht="13.5" customHeight="1" spans="1:66" x14ac:dyDescent="0.25">
      <c r="A424" s="4"/>
      <c r="B424" s="4"/>
      <c r="C424" s="533"/>
      <c r="D424" s="4"/>
      <c r="E424" s="4"/>
      <c r="F424" s="4"/>
      <c r="G424" s="4"/>
      <c r="H424" s="4"/>
      <c r="I424" s="4"/>
      <c r="J424" s="4"/>
      <c r="K424" s="4"/>
      <c r="L424" s="4"/>
      <c r="M424" s="4"/>
      <c r="N424" s="4"/>
      <c r="O424" s="4"/>
      <c r="P424" s="4"/>
      <c r="Q424" s="4"/>
      <c r="R424" s="4"/>
      <c r="S424" s="4"/>
      <c r="T424" s="4"/>
      <c r="U424" s="4"/>
      <c r="V424" s="4"/>
      <c r="W424" s="4"/>
      <c r="X424" s="4"/>
      <c r="Y424" s="4"/>
      <c r="Z424" s="4"/>
      <c r="AA424" s="4"/>
      <c r="AB424" s="4"/>
      <c r="AC424" s="4"/>
      <c r="AD424" s="4"/>
      <c r="AE424" s="4"/>
      <c r="AF424" s="4"/>
      <c r="AG424" s="4"/>
      <c r="AH424" s="4"/>
      <c r="AI424" s="4"/>
      <c r="AJ424" s="4"/>
      <c r="AK424" s="4"/>
      <c r="AL424" s="4"/>
      <c r="AM424" s="4"/>
      <c r="AN424" s="4"/>
      <c r="AO424" s="4"/>
      <c r="AP424" s="4"/>
      <c r="AQ424" s="4"/>
      <c r="AR424" s="4"/>
      <c r="AS424" s="4"/>
      <c r="AT424" s="4"/>
      <c r="AU424" s="4"/>
      <c r="AV424" s="4"/>
      <c r="AW424" s="4"/>
      <c r="AX424" s="4"/>
      <c r="AY424" s="4"/>
      <c r="AZ424" s="4"/>
      <c r="BA424" s="4"/>
      <c r="BB424" s="4"/>
      <c r="BC424" s="4"/>
      <c r="BD424" s="4"/>
      <c r="BE424" s="4"/>
      <c r="BF424" s="4"/>
      <c r="BG424" s="4"/>
      <c r="BH424" s="4"/>
      <c r="BI424" s="4"/>
      <c r="BJ424" s="4"/>
      <c r="BK424" s="4"/>
      <c r="BL424" s="4"/>
      <c r="BM424" s="4"/>
      <c r="BN424" s="4"/>
    </row>
    <row r="425" ht="13.5" customHeight="1" spans="1:66" x14ac:dyDescent="0.25">
      <c r="A425" s="4"/>
      <c r="B425" s="4"/>
      <c r="C425" s="533"/>
      <c r="D425" s="4"/>
      <c r="E425" s="4"/>
      <c r="F425" s="4"/>
      <c r="G425" s="4"/>
      <c r="H425" s="4"/>
      <c r="I425" s="4"/>
      <c r="J425" s="4"/>
      <c r="K425" s="4"/>
      <c r="L425" s="4"/>
      <c r="M425" s="4"/>
      <c r="N425" s="4"/>
      <c r="O425" s="4"/>
      <c r="P425" s="4"/>
      <c r="Q425" s="4"/>
      <c r="R425" s="4"/>
      <c r="S425" s="4"/>
      <c r="T425" s="4"/>
      <c r="U425" s="4"/>
      <c r="V425" s="4"/>
      <c r="W425" s="4"/>
      <c r="X425" s="4"/>
      <c r="Y425" s="4"/>
      <c r="Z425" s="4"/>
      <c r="AA425" s="4"/>
      <c r="AB425" s="4"/>
      <c r="AC425" s="4"/>
      <c r="AD425" s="4"/>
      <c r="AE425" s="4"/>
      <c r="AF425" s="4"/>
      <c r="AG425" s="4"/>
      <c r="AH425" s="4"/>
      <c r="AI425" s="4"/>
      <c r="AJ425" s="4"/>
      <c r="AK425" s="4"/>
      <c r="AL425" s="4"/>
      <c r="AM425" s="4"/>
      <c r="AN425" s="4"/>
      <c r="AO425" s="4"/>
      <c r="AP425" s="4"/>
      <c r="AQ425" s="4"/>
      <c r="AR425" s="4"/>
      <c r="AS425" s="4"/>
      <c r="AT425" s="4"/>
      <c r="AU425" s="4"/>
      <c r="AV425" s="4"/>
      <c r="AW425" s="4"/>
      <c r="AX425" s="4"/>
      <c r="AY425" s="4"/>
      <c r="AZ425" s="4"/>
      <c r="BA425" s="4"/>
      <c r="BB425" s="4"/>
      <c r="BC425" s="4"/>
      <c r="BD425" s="4"/>
      <c r="BE425" s="4"/>
      <c r="BF425" s="4"/>
      <c r="BG425" s="4"/>
      <c r="BH425" s="4"/>
      <c r="BI425" s="4"/>
      <c r="BJ425" s="4"/>
      <c r="BK425" s="4"/>
      <c r="BL425" s="4"/>
      <c r="BM425" s="4"/>
      <c r="BN425" s="4"/>
    </row>
    <row r="426" ht="13.5" customHeight="1" spans="1:66" x14ac:dyDescent="0.25">
      <c r="A426" s="4"/>
      <c r="B426" s="4"/>
      <c r="C426" s="533"/>
      <c r="D426" s="4"/>
      <c r="E426" s="4"/>
      <c r="F426" s="4"/>
      <c r="G426" s="4"/>
      <c r="H426" s="4"/>
      <c r="I426" s="4"/>
      <c r="J426" s="4"/>
      <c r="K426" s="4"/>
      <c r="L426" s="4"/>
      <c r="M426" s="4"/>
      <c r="N426" s="4"/>
      <c r="O426" s="4"/>
      <c r="P426" s="4"/>
      <c r="Q426" s="4"/>
      <c r="R426" s="4"/>
      <c r="S426" s="4"/>
      <c r="T426" s="4"/>
      <c r="U426" s="4"/>
      <c r="V426" s="4"/>
      <c r="W426" s="4"/>
      <c r="X426" s="4"/>
      <c r="Y426" s="4"/>
      <c r="Z426" s="4"/>
      <c r="AA426" s="4"/>
      <c r="AB426" s="4"/>
      <c r="AC426" s="4"/>
      <c r="AD426" s="4"/>
      <c r="AE426" s="4"/>
      <c r="AF426" s="4"/>
      <c r="AG426" s="4"/>
      <c r="AH426" s="4"/>
      <c r="AI426" s="4"/>
      <c r="AJ426" s="4"/>
      <c r="AK426" s="4"/>
      <c r="AL426" s="4"/>
      <c r="AM426" s="4"/>
      <c r="AN426" s="4"/>
      <c r="AO426" s="4"/>
      <c r="AP426" s="4"/>
      <c r="AQ426" s="4"/>
      <c r="AR426" s="4"/>
      <c r="AS426" s="4"/>
      <c r="AT426" s="4"/>
      <c r="AU426" s="4"/>
      <c r="AV426" s="4"/>
      <c r="AW426" s="4"/>
      <c r="AX426" s="4"/>
      <c r="AY426" s="4"/>
      <c r="AZ426" s="4"/>
      <c r="BA426" s="4"/>
      <c r="BB426" s="4"/>
      <c r="BC426" s="4"/>
      <c r="BD426" s="4"/>
      <c r="BE426" s="4"/>
      <c r="BF426" s="4"/>
      <c r="BG426" s="4"/>
      <c r="BH426" s="4"/>
      <c r="BI426" s="4"/>
      <c r="BJ426" s="4"/>
      <c r="BK426" s="4"/>
      <c r="BL426" s="4"/>
      <c r="BM426" s="4"/>
      <c r="BN426" s="4"/>
    </row>
    <row r="427" ht="13.5" customHeight="1" spans="1:66" x14ac:dyDescent="0.25">
      <c r="A427" s="4"/>
      <c r="B427" s="4"/>
      <c r="C427" s="533"/>
      <c r="D427" s="4"/>
      <c r="E427" s="4"/>
      <c r="F427" s="4"/>
      <c r="G427" s="4"/>
      <c r="H427" s="4"/>
      <c r="I427" s="4"/>
      <c r="J427" s="4"/>
      <c r="K427" s="4"/>
      <c r="L427" s="4"/>
      <c r="M427" s="4"/>
      <c r="N427" s="4"/>
      <c r="O427" s="4"/>
      <c r="P427" s="4"/>
      <c r="Q427" s="4"/>
      <c r="R427" s="4"/>
      <c r="S427" s="4"/>
      <c r="T427" s="4"/>
      <c r="U427" s="4"/>
      <c r="V427" s="4"/>
      <c r="W427" s="4"/>
      <c r="X427" s="4"/>
      <c r="Y427" s="4"/>
      <c r="Z427" s="4"/>
      <c r="AA427" s="4"/>
      <c r="AB427" s="4"/>
      <c r="AC427" s="4"/>
      <c r="AD427" s="4"/>
      <c r="AE427" s="4"/>
      <c r="AF427" s="4"/>
      <c r="AG427" s="4"/>
      <c r="AH427" s="4"/>
      <c r="AI427" s="4"/>
      <c r="AJ427" s="4"/>
      <c r="AK427" s="4"/>
      <c r="AL427" s="4"/>
      <c r="AM427" s="4"/>
      <c r="AN427" s="4"/>
      <c r="AO427" s="4"/>
      <c r="AP427" s="4"/>
      <c r="AQ427" s="4"/>
      <c r="AR427" s="4"/>
      <c r="AS427" s="4"/>
      <c r="AT427" s="4"/>
      <c r="AU427" s="4"/>
      <c r="AV427" s="4"/>
      <c r="AW427" s="4"/>
      <c r="AX427" s="4"/>
      <c r="AY427" s="4"/>
      <c r="AZ427" s="4"/>
      <c r="BA427" s="4"/>
      <c r="BB427" s="4"/>
      <c r="BC427" s="4"/>
      <c r="BD427" s="4"/>
      <c r="BE427" s="4"/>
      <c r="BF427" s="4"/>
      <c r="BG427" s="4"/>
      <c r="BH427" s="4"/>
      <c r="BI427" s="4"/>
      <c r="BJ427" s="4"/>
      <c r="BK427" s="4"/>
      <c r="BL427" s="4"/>
      <c r="BM427" s="4"/>
      <c r="BN427" s="4"/>
    </row>
    <row r="428" ht="13.5" customHeight="1" spans="1:66" x14ac:dyDescent="0.25">
      <c r="A428" s="4"/>
      <c r="B428" s="4"/>
      <c r="C428" s="533"/>
      <c r="D428" s="4"/>
      <c r="E428" s="4"/>
      <c r="F428" s="4"/>
      <c r="G428" s="4"/>
      <c r="H428" s="4"/>
      <c r="I428" s="4"/>
      <c r="J428" s="4"/>
      <c r="K428" s="4"/>
      <c r="L428" s="4"/>
      <c r="M428" s="4"/>
      <c r="N428" s="4"/>
      <c r="O428" s="4"/>
      <c r="P428" s="4"/>
      <c r="Q428" s="4"/>
      <c r="R428" s="4"/>
      <c r="S428" s="4"/>
      <c r="T428" s="4"/>
      <c r="U428" s="4"/>
      <c r="V428" s="4"/>
      <c r="W428" s="4"/>
      <c r="X428" s="4"/>
      <c r="Y428" s="4"/>
      <c r="Z428" s="4"/>
      <c r="AA428" s="4"/>
      <c r="AB428" s="4"/>
      <c r="AC428" s="4"/>
      <c r="AD428" s="4"/>
      <c r="AE428" s="4"/>
      <c r="AF428" s="4"/>
      <c r="AG428" s="4"/>
      <c r="AH428" s="4"/>
      <c r="AI428" s="4"/>
      <c r="AJ428" s="4"/>
      <c r="AK428" s="4"/>
      <c r="AL428" s="4"/>
      <c r="AM428" s="4"/>
      <c r="AN428" s="4"/>
      <c r="AO428" s="4"/>
      <c r="AP428" s="4"/>
      <c r="AQ428" s="4"/>
      <c r="AR428" s="4"/>
      <c r="AS428" s="4"/>
      <c r="AT428" s="4"/>
      <c r="AU428" s="4"/>
      <c r="AV428" s="4"/>
      <c r="AW428" s="4"/>
      <c r="AX428" s="4"/>
      <c r="AY428" s="4"/>
      <c r="AZ428" s="4"/>
      <c r="BA428" s="4"/>
      <c r="BB428" s="4"/>
      <c r="BC428" s="4"/>
      <c r="BD428" s="4"/>
      <c r="BE428" s="4"/>
      <c r="BF428" s="4"/>
      <c r="BG428" s="4"/>
      <c r="BH428" s="4"/>
      <c r="BI428" s="4"/>
      <c r="BJ428" s="4"/>
      <c r="BK428" s="4"/>
      <c r="BL428" s="4"/>
      <c r="BM428" s="4"/>
      <c r="BN428" s="4"/>
    </row>
    <row r="429" ht="13.5" customHeight="1" spans="1:66" x14ac:dyDescent="0.25">
      <c r="A429" s="4"/>
      <c r="B429" s="4"/>
      <c r="C429" s="533"/>
      <c r="D429" s="4"/>
      <c r="E429" s="4"/>
      <c r="F429" s="4"/>
      <c r="G429" s="4"/>
      <c r="H429" s="4"/>
      <c r="I429" s="4"/>
      <c r="J429" s="4"/>
      <c r="K429" s="4"/>
      <c r="L429" s="4"/>
      <c r="M429" s="4"/>
      <c r="N429" s="4"/>
      <c r="O429" s="4"/>
      <c r="P429" s="4"/>
      <c r="Q429" s="4"/>
      <c r="R429" s="4"/>
      <c r="S429" s="4"/>
      <c r="T429" s="4"/>
      <c r="U429" s="4"/>
      <c r="V429" s="4"/>
      <c r="W429" s="4"/>
      <c r="X429" s="4"/>
      <c r="Y429" s="4"/>
      <c r="Z429" s="4"/>
      <c r="AA429" s="4"/>
      <c r="AB429" s="4"/>
      <c r="AC429" s="4"/>
      <c r="AD429" s="4"/>
      <c r="AE429" s="4"/>
      <c r="AF429" s="4"/>
      <c r="AG429" s="4"/>
      <c r="AH429" s="4"/>
      <c r="AI429" s="4"/>
      <c r="AJ429" s="4"/>
      <c r="AK429" s="4"/>
      <c r="AL429" s="4"/>
      <c r="AM429" s="4"/>
      <c r="AN429" s="4"/>
      <c r="AO429" s="4"/>
      <c r="AP429" s="4"/>
      <c r="AQ429" s="4"/>
      <c r="AR429" s="4"/>
      <c r="AS429" s="4"/>
      <c r="AT429" s="4"/>
      <c r="AU429" s="4"/>
      <c r="AV429" s="4"/>
      <c r="AW429" s="4"/>
      <c r="AX429" s="4"/>
      <c r="AY429" s="4"/>
      <c r="AZ429" s="4"/>
      <c r="BA429" s="4"/>
      <c r="BB429" s="4"/>
      <c r="BC429" s="4"/>
      <c r="BD429" s="4"/>
      <c r="BE429" s="4"/>
      <c r="BF429" s="4"/>
      <c r="BG429" s="4"/>
      <c r="BH429" s="4"/>
      <c r="BI429" s="4"/>
      <c r="BJ429" s="4"/>
      <c r="BK429" s="4"/>
      <c r="BL429" s="4"/>
      <c r="BM429" s="4"/>
      <c r="BN429" s="4"/>
    </row>
    <row r="430" ht="13.5" customHeight="1" spans="1:66" x14ac:dyDescent="0.25">
      <c r="A430" s="4"/>
      <c r="B430" s="4"/>
      <c r="C430" s="533"/>
      <c r="D430" s="4"/>
      <c r="E430" s="4"/>
      <c r="F430" s="4"/>
      <c r="G430" s="4"/>
      <c r="H430" s="4"/>
      <c r="I430" s="4"/>
      <c r="J430" s="4"/>
      <c r="K430" s="4"/>
      <c r="L430" s="4"/>
      <c r="M430" s="4"/>
      <c r="N430" s="4"/>
      <c r="O430" s="4"/>
      <c r="P430" s="4"/>
      <c r="Q430" s="4"/>
      <c r="R430" s="4"/>
      <c r="S430" s="4"/>
      <c r="T430" s="4"/>
      <c r="U430" s="4"/>
      <c r="V430" s="4"/>
      <c r="W430" s="4"/>
      <c r="X430" s="4"/>
      <c r="Y430" s="4"/>
      <c r="Z430" s="4"/>
      <c r="AA430" s="4"/>
      <c r="AB430" s="4"/>
      <c r="AC430" s="4"/>
      <c r="AD430" s="4"/>
      <c r="AE430" s="4"/>
      <c r="AF430" s="4"/>
      <c r="AG430" s="4"/>
      <c r="AH430" s="4"/>
      <c r="AI430" s="4"/>
      <c r="AJ430" s="4"/>
      <c r="AK430" s="4"/>
      <c r="AL430" s="4"/>
      <c r="AM430" s="4"/>
      <c r="AN430" s="4"/>
      <c r="AO430" s="4"/>
      <c r="AP430" s="4"/>
      <c r="AQ430" s="4"/>
      <c r="AR430" s="4"/>
      <c r="AS430" s="4"/>
      <c r="AT430" s="4"/>
      <c r="AU430" s="4"/>
      <c r="AV430" s="4"/>
      <c r="AW430" s="4"/>
      <c r="AX430" s="4"/>
      <c r="AY430" s="4"/>
      <c r="AZ430" s="4"/>
      <c r="BA430" s="4"/>
      <c r="BB430" s="4"/>
      <c r="BC430" s="4"/>
      <c r="BD430" s="4"/>
      <c r="BE430" s="4"/>
      <c r="BF430" s="4"/>
      <c r="BG430" s="4"/>
      <c r="BH430" s="4"/>
      <c r="BI430" s="4"/>
      <c r="BJ430" s="4"/>
      <c r="BK430" s="4"/>
      <c r="BL430" s="4"/>
      <c r="BM430" s="4"/>
      <c r="BN430" s="4"/>
    </row>
    <row r="431" ht="13.5" customHeight="1" spans="1:66" x14ac:dyDescent="0.25">
      <c r="A431" s="4"/>
      <c r="B431" s="4"/>
      <c r="C431" s="533"/>
      <c r="D431" s="4"/>
      <c r="E431" s="4"/>
      <c r="F431" s="4"/>
      <c r="G431" s="4"/>
      <c r="H431" s="4"/>
      <c r="I431" s="4"/>
      <c r="J431" s="4"/>
      <c r="K431" s="4"/>
      <c r="L431" s="4"/>
      <c r="M431" s="4"/>
      <c r="N431" s="4"/>
      <c r="O431" s="4"/>
      <c r="P431" s="4"/>
      <c r="Q431" s="4"/>
      <c r="R431" s="4"/>
      <c r="S431" s="4"/>
      <c r="T431" s="4"/>
      <c r="U431" s="4"/>
      <c r="V431" s="4"/>
      <c r="W431" s="4"/>
      <c r="X431" s="4"/>
      <c r="Y431" s="4"/>
      <c r="Z431" s="4"/>
      <c r="AA431" s="4"/>
      <c r="AB431" s="4"/>
      <c r="AC431" s="4"/>
      <c r="AD431" s="4"/>
      <c r="AE431" s="4"/>
      <c r="AF431" s="4"/>
      <c r="AG431" s="4"/>
      <c r="AH431" s="4"/>
      <c r="AI431" s="4"/>
      <c r="AJ431" s="4"/>
      <c r="AK431" s="4"/>
      <c r="AL431" s="4"/>
      <c r="AM431" s="4"/>
      <c r="AN431" s="4"/>
      <c r="AO431" s="4"/>
      <c r="AP431" s="4"/>
      <c r="AQ431" s="4"/>
      <c r="AR431" s="4"/>
      <c r="AS431" s="4"/>
      <c r="AT431" s="4"/>
      <c r="AU431" s="4"/>
      <c r="AV431" s="4"/>
      <c r="AW431" s="4"/>
      <c r="AX431" s="4"/>
      <c r="AY431" s="4"/>
      <c r="AZ431" s="4"/>
      <c r="BA431" s="4"/>
      <c r="BB431" s="4"/>
      <c r="BC431" s="4"/>
      <c r="BD431" s="4"/>
      <c r="BE431" s="4"/>
      <c r="BF431" s="4"/>
      <c r="BG431" s="4"/>
      <c r="BH431" s="4"/>
      <c r="BI431" s="4"/>
      <c r="BJ431" s="4"/>
      <c r="BK431" s="4"/>
      <c r="BL431" s="4"/>
      <c r="BM431" s="4"/>
      <c r="BN431" s="4"/>
    </row>
    <row r="432" ht="13.5" customHeight="1" spans="1:66" x14ac:dyDescent="0.25">
      <c r="A432" s="4"/>
      <c r="B432" s="4"/>
      <c r="C432" s="533"/>
      <c r="D432" s="4"/>
      <c r="E432" s="4"/>
      <c r="F432" s="4"/>
      <c r="G432" s="4"/>
      <c r="H432" s="4"/>
      <c r="I432" s="4"/>
      <c r="J432" s="4"/>
      <c r="K432" s="4"/>
      <c r="L432" s="4"/>
      <c r="M432" s="4"/>
      <c r="N432" s="4"/>
      <c r="O432" s="4"/>
      <c r="P432" s="4"/>
      <c r="Q432" s="4"/>
      <c r="R432" s="4"/>
      <c r="S432" s="4"/>
      <c r="T432" s="4"/>
      <c r="U432" s="4"/>
      <c r="V432" s="4"/>
      <c r="W432" s="4"/>
      <c r="X432" s="4"/>
      <c r="Y432" s="4"/>
      <c r="Z432" s="4"/>
      <c r="AA432" s="4"/>
      <c r="AB432" s="4"/>
      <c r="AC432" s="4"/>
      <c r="AD432" s="4"/>
      <c r="AE432" s="4"/>
      <c r="AF432" s="4"/>
      <c r="AG432" s="4"/>
      <c r="AH432" s="4"/>
      <c r="AI432" s="4"/>
      <c r="AJ432" s="4"/>
      <c r="AK432" s="4"/>
      <c r="AL432" s="4"/>
      <c r="AM432" s="4"/>
      <c r="AN432" s="4"/>
      <c r="AO432" s="4"/>
      <c r="AP432" s="4"/>
      <c r="AQ432" s="4"/>
      <c r="AR432" s="4"/>
      <c r="AS432" s="4"/>
      <c r="AT432" s="4"/>
      <c r="AU432" s="4"/>
      <c r="AV432" s="4"/>
      <c r="AW432" s="4"/>
      <c r="AX432" s="4"/>
      <c r="AY432" s="4"/>
      <c r="AZ432" s="4"/>
      <c r="BA432" s="4"/>
      <c r="BB432" s="4"/>
      <c r="BC432" s="4"/>
      <c r="BD432" s="4"/>
      <c r="BE432" s="4"/>
      <c r="BF432" s="4"/>
      <c r="BG432" s="4"/>
      <c r="BH432" s="4"/>
      <c r="BI432" s="4"/>
      <c r="BJ432" s="4"/>
      <c r="BK432" s="4"/>
      <c r="BL432" s="4"/>
      <c r="BM432" s="4"/>
      <c r="BN432" s="4"/>
    </row>
    <row r="433" ht="13.5" customHeight="1" spans="1:66" x14ac:dyDescent="0.25">
      <c r="A433" s="4"/>
      <c r="B433" s="4"/>
      <c r="C433" s="533"/>
      <c r="D433" s="4"/>
      <c r="E433" s="4"/>
      <c r="F433" s="4"/>
      <c r="G433" s="4"/>
      <c r="H433" s="4"/>
      <c r="I433" s="4"/>
      <c r="J433" s="4"/>
      <c r="K433" s="4"/>
      <c r="L433" s="4"/>
      <c r="M433" s="4"/>
      <c r="N433" s="4"/>
      <c r="O433" s="4"/>
      <c r="P433" s="4"/>
      <c r="Q433" s="4"/>
      <c r="R433" s="4"/>
      <c r="S433" s="4"/>
      <c r="T433" s="4"/>
      <c r="U433" s="4"/>
      <c r="V433" s="4"/>
      <c r="W433" s="4"/>
      <c r="X433" s="4"/>
      <c r="Y433" s="4"/>
      <c r="Z433" s="4"/>
      <c r="AA433" s="4"/>
      <c r="AB433" s="4"/>
      <c r="AC433" s="4"/>
      <c r="AD433" s="4"/>
      <c r="AE433" s="4"/>
      <c r="AF433" s="4"/>
      <c r="AG433" s="4"/>
      <c r="AH433" s="4"/>
      <c r="AI433" s="4"/>
      <c r="AJ433" s="4"/>
      <c r="AK433" s="4"/>
      <c r="AL433" s="4"/>
      <c r="AM433" s="4"/>
      <c r="AN433" s="4"/>
      <c r="AO433" s="4"/>
      <c r="AP433" s="4"/>
      <c r="AQ433" s="4"/>
      <c r="AR433" s="4"/>
      <c r="AS433" s="4"/>
      <c r="AT433" s="4"/>
      <c r="AU433" s="4"/>
      <c r="AV433" s="4"/>
      <c r="AW433" s="4"/>
      <c r="AX433" s="4"/>
      <c r="AY433" s="4"/>
      <c r="AZ433" s="4"/>
      <c r="BA433" s="4"/>
      <c r="BB433" s="4"/>
      <c r="BC433" s="4"/>
      <c r="BD433" s="4"/>
      <c r="BE433" s="4"/>
      <c r="BF433" s="4"/>
      <c r="BG433" s="4"/>
      <c r="BH433" s="4"/>
      <c r="BI433" s="4"/>
      <c r="BJ433" s="4"/>
      <c r="BK433" s="4"/>
      <c r="BL433" s="4"/>
      <c r="BM433" s="4"/>
      <c r="BN433" s="4"/>
    </row>
    <row r="434" ht="13.5" customHeight="1" spans="1:66" x14ac:dyDescent="0.25">
      <c r="A434" s="4"/>
      <c r="B434" s="4"/>
      <c r="C434" s="533"/>
      <c r="D434" s="4"/>
      <c r="E434" s="4"/>
      <c r="F434" s="4"/>
      <c r="G434" s="4"/>
      <c r="H434" s="4"/>
      <c r="I434" s="4"/>
      <c r="J434" s="4"/>
      <c r="K434" s="4"/>
      <c r="L434" s="4"/>
      <c r="M434" s="4"/>
      <c r="N434" s="4"/>
      <c r="O434" s="4"/>
      <c r="P434" s="4"/>
      <c r="Q434" s="4"/>
      <c r="R434" s="4"/>
      <c r="S434" s="4"/>
      <c r="T434" s="4"/>
      <c r="U434" s="4"/>
      <c r="V434" s="4"/>
      <c r="W434" s="4"/>
      <c r="X434" s="4"/>
      <c r="Y434" s="4"/>
      <c r="Z434" s="4"/>
      <c r="AA434" s="4"/>
      <c r="AB434" s="4"/>
      <c r="AC434" s="4"/>
      <c r="AD434" s="4"/>
      <c r="AE434" s="4"/>
      <c r="AF434" s="4"/>
      <c r="AG434" s="4"/>
      <c r="AH434" s="4"/>
      <c r="AI434" s="4"/>
      <c r="AJ434" s="4"/>
      <c r="AK434" s="4"/>
      <c r="AL434" s="4"/>
      <c r="AM434" s="4"/>
      <c r="AN434" s="4"/>
      <c r="AO434" s="4"/>
      <c r="AP434" s="4"/>
      <c r="AQ434" s="4"/>
      <c r="AR434" s="4"/>
      <c r="AS434" s="4"/>
      <c r="AT434" s="4"/>
      <c r="AU434" s="4"/>
      <c r="AV434" s="4"/>
      <c r="AW434" s="4"/>
      <c r="AX434" s="4"/>
      <c r="AY434" s="4"/>
      <c r="AZ434" s="4"/>
      <c r="BA434" s="4"/>
      <c r="BB434" s="4"/>
      <c r="BC434" s="4"/>
      <c r="BD434" s="4"/>
      <c r="BE434" s="4"/>
      <c r="BF434" s="4"/>
      <c r="BG434" s="4"/>
      <c r="BH434" s="4"/>
      <c r="BI434" s="4"/>
      <c r="BJ434" s="4"/>
      <c r="BK434" s="4"/>
      <c r="BL434" s="4"/>
      <c r="BM434" s="4"/>
      <c r="BN434" s="4"/>
    </row>
    <row r="435" ht="13.5" customHeight="1" spans="1:66" x14ac:dyDescent="0.25">
      <c r="A435" s="4"/>
      <c r="B435" s="4"/>
      <c r="C435" s="533"/>
      <c r="D435" s="4"/>
      <c r="E435" s="4"/>
      <c r="F435" s="4"/>
      <c r="G435" s="4"/>
      <c r="H435" s="4"/>
      <c r="I435" s="4"/>
      <c r="J435" s="4"/>
      <c r="K435" s="4"/>
      <c r="L435" s="4"/>
      <c r="M435" s="4"/>
      <c r="N435" s="4"/>
      <c r="O435" s="4"/>
      <c r="P435" s="4"/>
      <c r="Q435" s="4"/>
      <c r="R435" s="4"/>
      <c r="S435" s="4"/>
      <c r="T435" s="4"/>
      <c r="U435" s="4"/>
      <c r="V435" s="4"/>
      <c r="W435" s="4"/>
      <c r="X435" s="4"/>
      <c r="Y435" s="4"/>
      <c r="Z435" s="4"/>
      <c r="AA435" s="4"/>
      <c r="AB435" s="4"/>
      <c r="AC435" s="4"/>
      <c r="AD435" s="4"/>
      <c r="AE435" s="4"/>
      <c r="AF435" s="4"/>
      <c r="AG435" s="4"/>
      <c r="AH435" s="4"/>
      <c r="AI435" s="4"/>
      <c r="AJ435" s="4"/>
      <c r="AK435" s="4"/>
      <c r="AL435" s="4"/>
      <c r="AM435" s="4"/>
      <c r="AN435" s="4"/>
      <c r="AO435" s="4"/>
      <c r="AP435" s="4"/>
      <c r="AQ435" s="4"/>
      <c r="AR435" s="4"/>
      <c r="AS435" s="4"/>
      <c r="AT435" s="4"/>
      <c r="AU435" s="4"/>
      <c r="AV435" s="4"/>
      <c r="AW435" s="4"/>
      <c r="AX435" s="4"/>
      <c r="AY435" s="4"/>
      <c r="AZ435" s="4"/>
      <c r="BA435" s="4"/>
      <c r="BB435" s="4"/>
      <c r="BC435" s="4"/>
      <c r="BD435" s="4"/>
      <c r="BE435" s="4"/>
      <c r="BF435" s="4"/>
      <c r="BG435" s="4"/>
      <c r="BH435" s="4"/>
      <c r="BI435" s="4"/>
      <c r="BJ435" s="4"/>
      <c r="BK435" s="4"/>
      <c r="BL435" s="4"/>
      <c r="BM435" s="4"/>
      <c r="BN435" s="4"/>
    </row>
    <row r="436" ht="13.5" customHeight="1" spans="1:66" x14ac:dyDescent="0.25">
      <c r="A436" s="4"/>
      <c r="B436" s="4"/>
      <c r="C436" s="533"/>
      <c r="D436" s="4"/>
      <c r="E436" s="4"/>
      <c r="F436" s="4"/>
      <c r="G436" s="4"/>
      <c r="H436" s="4"/>
      <c r="I436" s="4"/>
      <c r="J436" s="4"/>
      <c r="K436" s="4"/>
      <c r="L436" s="4"/>
      <c r="M436" s="4"/>
      <c r="N436" s="4"/>
      <c r="O436" s="4"/>
      <c r="P436" s="4"/>
      <c r="Q436" s="4"/>
      <c r="R436" s="4"/>
      <c r="S436" s="4"/>
      <c r="T436" s="4"/>
      <c r="U436" s="4"/>
      <c r="V436" s="4"/>
      <c r="W436" s="4"/>
      <c r="X436" s="4"/>
      <c r="Y436" s="4"/>
      <c r="Z436" s="4"/>
      <c r="AA436" s="4"/>
      <c r="AB436" s="4"/>
      <c r="AC436" s="4"/>
      <c r="AD436" s="4"/>
      <c r="AE436" s="4"/>
      <c r="AF436" s="4"/>
      <c r="AG436" s="4"/>
      <c r="AH436" s="4"/>
      <c r="AI436" s="4"/>
      <c r="AJ436" s="4"/>
      <c r="AK436" s="4"/>
      <c r="AL436" s="4"/>
      <c r="AM436" s="4"/>
      <c r="AN436" s="4"/>
      <c r="AO436" s="4"/>
      <c r="AP436" s="4"/>
      <c r="AQ436" s="4"/>
      <c r="AR436" s="4"/>
      <c r="AS436" s="4"/>
      <c r="AT436" s="4"/>
      <c r="AU436" s="4"/>
      <c r="AV436" s="4"/>
      <c r="AW436" s="4"/>
      <c r="AX436" s="4"/>
      <c r="AY436" s="4"/>
      <c r="AZ436" s="4"/>
      <c r="BA436" s="4"/>
      <c r="BB436" s="4"/>
      <c r="BC436" s="4"/>
      <c r="BD436" s="4"/>
      <c r="BE436" s="4"/>
      <c r="BF436" s="4"/>
      <c r="BG436" s="4"/>
      <c r="BH436" s="4"/>
      <c r="BI436" s="4"/>
      <c r="BJ436" s="4"/>
      <c r="BK436" s="4"/>
      <c r="BL436" s="4"/>
      <c r="BM436" s="4"/>
      <c r="BN436" s="4"/>
    </row>
    <row r="437" ht="13.5" customHeight="1" spans="1:66" x14ac:dyDescent="0.25">
      <c r="A437" s="4"/>
      <c r="B437" s="4"/>
      <c r="C437" s="533"/>
      <c r="D437" s="4"/>
      <c r="E437" s="4"/>
      <c r="F437" s="4"/>
      <c r="G437" s="4"/>
      <c r="H437" s="4"/>
      <c r="I437" s="4"/>
      <c r="J437" s="4"/>
      <c r="K437" s="4"/>
      <c r="L437" s="4"/>
      <c r="M437" s="4"/>
      <c r="N437" s="4"/>
      <c r="O437" s="4"/>
      <c r="P437" s="4"/>
      <c r="Q437" s="4"/>
      <c r="R437" s="4"/>
      <c r="S437" s="4"/>
      <c r="T437" s="4"/>
      <c r="U437" s="4"/>
      <c r="V437" s="4"/>
      <c r="W437" s="4"/>
      <c r="X437" s="4"/>
      <c r="Y437" s="4"/>
      <c r="Z437" s="4"/>
      <c r="AA437" s="4"/>
      <c r="AB437" s="4"/>
      <c r="AC437" s="4"/>
      <c r="AD437" s="4"/>
      <c r="AE437" s="4"/>
      <c r="AF437" s="4"/>
      <c r="AG437" s="4"/>
      <c r="AH437" s="4"/>
      <c r="AI437" s="4"/>
      <c r="AJ437" s="4"/>
      <c r="AK437" s="4"/>
      <c r="AL437" s="4"/>
      <c r="AM437" s="4"/>
      <c r="AN437" s="4"/>
      <c r="AO437" s="4"/>
      <c r="AP437" s="4"/>
      <c r="AQ437" s="4"/>
      <c r="AR437" s="4"/>
      <c r="AS437" s="4"/>
      <c r="AT437" s="4"/>
      <c r="AU437" s="4"/>
      <c r="AV437" s="4"/>
      <c r="AW437" s="4"/>
      <c r="AX437" s="4"/>
      <c r="AY437" s="4"/>
      <c r="AZ437" s="4"/>
      <c r="BA437" s="4"/>
      <c r="BB437" s="4"/>
      <c r="BC437" s="4"/>
      <c r="BD437" s="4"/>
      <c r="BE437" s="4"/>
      <c r="BF437" s="4"/>
      <c r="BG437" s="4"/>
      <c r="BH437" s="4"/>
      <c r="BI437" s="4"/>
      <c r="BJ437" s="4"/>
      <c r="BK437" s="4"/>
      <c r="BL437" s="4"/>
      <c r="BM437" s="4"/>
      <c r="BN437" s="4"/>
    </row>
    <row r="438" ht="13.5" customHeight="1" spans="1:66" x14ac:dyDescent="0.25">
      <c r="A438" s="4"/>
      <c r="B438" s="4"/>
      <c r="C438" s="533"/>
      <c r="D438" s="4"/>
      <c r="E438" s="4"/>
      <c r="F438" s="4"/>
      <c r="G438" s="4"/>
      <c r="H438" s="4"/>
      <c r="I438" s="4"/>
      <c r="J438" s="4"/>
      <c r="K438" s="4"/>
      <c r="L438" s="4"/>
      <c r="M438" s="4"/>
      <c r="N438" s="4"/>
      <c r="O438" s="4"/>
      <c r="P438" s="4"/>
      <c r="Q438" s="4"/>
      <c r="R438" s="4"/>
      <c r="S438" s="4"/>
      <c r="T438" s="4"/>
      <c r="U438" s="4"/>
      <c r="V438" s="4"/>
      <c r="W438" s="4"/>
      <c r="X438" s="4"/>
      <c r="Y438" s="4"/>
      <c r="Z438" s="4"/>
      <c r="AA438" s="4"/>
      <c r="AB438" s="4"/>
      <c r="AC438" s="4"/>
      <c r="AD438" s="4"/>
      <c r="AE438" s="4"/>
      <c r="AF438" s="4"/>
      <c r="AG438" s="4"/>
      <c r="AH438" s="4"/>
      <c r="AI438" s="4"/>
      <c r="AJ438" s="4"/>
      <c r="AK438" s="4"/>
      <c r="AL438" s="4"/>
      <c r="AM438" s="4"/>
      <c r="AN438" s="4"/>
      <c r="AO438" s="4"/>
      <c r="AP438" s="4"/>
      <c r="AQ438" s="4"/>
      <c r="AR438" s="4"/>
      <c r="AS438" s="4"/>
      <c r="AT438" s="4"/>
      <c r="AU438" s="4"/>
      <c r="AV438" s="4"/>
      <c r="AW438" s="4"/>
      <c r="AX438" s="4"/>
      <c r="AY438" s="4"/>
      <c r="AZ438" s="4"/>
      <c r="BA438" s="4"/>
      <c r="BB438" s="4"/>
      <c r="BC438" s="4"/>
      <c r="BD438" s="4"/>
      <c r="BE438" s="4"/>
      <c r="BF438" s="4"/>
      <c r="BG438" s="4"/>
      <c r="BH438" s="4"/>
      <c r="BI438" s="4"/>
      <c r="BJ438" s="4"/>
      <c r="BK438" s="4"/>
      <c r="BL438" s="4"/>
      <c r="BM438" s="4"/>
      <c r="BN438" s="4"/>
    </row>
    <row r="439" ht="13.5" customHeight="1" spans="1:66" x14ac:dyDescent="0.25">
      <c r="A439" s="4"/>
      <c r="B439" s="4"/>
      <c r="C439" s="533"/>
      <c r="D439" s="4"/>
      <c r="E439" s="4"/>
      <c r="F439" s="4"/>
      <c r="G439" s="4"/>
      <c r="H439" s="4"/>
      <c r="I439" s="4"/>
      <c r="J439" s="4"/>
      <c r="K439" s="4"/>
      <c r="L439" s="4"/>
      <c r="M439" s="4"/>
      <c r="N439" s="4"/>
      <c r="O439" s="4"/>
      <c r="P439" s="4"/>
      <c r="Q439" s="4"/>
      <c r="R439" s="4"/>
      <c r="S439" s="4"/>
      <c r="T439" s="4"/>
      <c r="U439" s="4"/>
      <c r="V439" s="4"/>
      <c r="W439" s="4"/>
      <c r="X439" s="4"/>
      <c r="Y439" s="4"/>
      <c r="Z439" s="4"/>
      <c r="AA439" s="4"/>
      <c r="AB439" s="4"/>
      <c r="AC439" s="4"/>
      <c r="AD439" s="4"/>
      <c r="AE439" s="4"/>
      <c r="AF439" s="4"/>
      <c r="AG439" s="4"/>
      <c r="AH439" s="4"/>
      <c r="AI439" s="4"/>
      <c r="AJ439" s="4"/>
      <c r="AK439" s="4"/>
      <c r="AL439" s="4"/>
      <c r="AM439" s="4"/>
      <c r="AN439" s="4"/>
      <c r="AO439" s="4"/>
      <c r="AP439" s="4"/>
      <c r="AQ439" s="4"/>
      <c r="AR439" s="4"/>
      <c r="AS439" s="4"/>
      <c r="AT439" s="4"/>
      <c r="AU439" s="4"/>
      <c r="AV439" s="4"/>
      <c r="AW439" s="4"/>
      <c r="AX439" s="4"/>
      <c r="AY439" s="4"/>
      <c r="AZ439" s="4"/>
      <c r="BA439" s="4"/>
      <c r="BB439" s="4"/>
      <c r="BC439" s="4"/>
      <c r="BD439" s="4"/>
      <c r="BE439" s="4"/>
      <c r="BF439" s="4"/>
      <c r="BG439" s="4"/>
      <c r="BH439" s="4"/>
      <c r="BI439" s="4"/>
      <c r="BJ439" s="4"/>
      <c r="BK439" s="4"/>
      <c r="BL439" s="4"/>
      <c r="BM439" s="4"/>
      <c r="BN439" s="4"/>
    </row>
    <row r="440" ht="13.5" customHeight="1" spans="1:66" x14ac:dyDescent="0.25">
      <c r="A440" s="4"/>
      <c r="B440" s="4"/>
      <c r="C440" s="533"/>
      <c r="D440" s="4"/>
      <c r="E440" s="4"/>
      <c r="F440" s="4"/>
      <c r="G440" s="4"/>
      <c r="H440" s="4"/>
      <c r="I440" s="4"/>
      <c r="J440" s="4"/>
      <c r="K440" s="4"/>
      <c r="L440" s="4"/>
      <c r="M440" s="4"/>
      <c r="N440" s="4"/>
      <c r="O440" s="4"/>
      <c r="P440" s="4"/>
      <c r="Q440" s="4"/>
      <c r="R440" s="4"/>
      <c r="S440" s="4"/>
      <c r="T440" s="4"/>
      <c r="U440" s="4"/>
      <c r="V440" s="4"/>
      <c r="W440" s="4"/>
      <c r="X440" s="4"/>
      <c r="Y440" s="4"/>
      <c r="Z440" s="4"/>
      <c r="AA440" s="4"/>
      <c r="AB440" s="4"/>
      <c r="AC440" s="4"/>
      <c r="AD440" s="4"/>
      <c r="AE440" s="4"/>
      <c r="AF440" s="4"/>
      <c r="AG440" s="4"/>
      <c r="AH440" s="4"/>
      <c r="AI440" s="4"/>
      <c r="AJ440" s="4"/>
      <c r="AK440" s="4"/>
      <c r="AL440" s="4"/>
      <c r="AM440" s="4"/>
      <c r="AN440" s="4"/>
      <c r="AO440" s="4"/>
      <c r="AP440" s="4"/>
      <c r="AQ440" s="4"/>
      <c r="AR440" s="4"/>
      <c r="AS440" s="4"/>
      <c r="AT440" s="4"/>
      <c r="AU440" s="4"/>
      <c r="AV440" s="4"/>
      <c r="AW440" s="4"/>
      <c r="AX440" s="4"/>
      <c r="AY440" s="4"/>
      <c r="AZ440" s="4"/>
      <c r="BA440" s="4"/>
      <c r="BB440" s="4"/>
      <c r="BC440" s="4"/>
      <c r="BD440" s="4"/>
      <c r="BE440" s="4"/>
      <c r="BF440" s="4"/>
      <c r="BG440" s="4"/>
      <c r="BH440" s="4"/>
      <c r="BI440" s="4"/>
      <c r="BJ440" s="4"/>
      <c r="BK440" s="4"/>
      <c r="BL440" s="4"/>
      <c r="BM440" s="4"/>
      <c r="BN440" s="4"/>
    </row>
    <row r="441" ht="13.5" customHeight="1" spans="1:66" x14ac:dyDescent="0.25">
      <c r="A441" s="4"/>
      <c r="B441" s="4"/>
      <c r="C441" s="533"/>
      <c r="D441" s="4"/>
      <c r="E441" s="4"/>
      <c r="F441" s="4"/>
      <c r="G441" s="4"/>
      <c r="H441" s="4"/>
      <c r="I441" s="4"/>
      <c r="J441" s="4"/>
      <c r="K441" s="4"/>
      <c r="L441" s="4"/>
      <c r="M441" s="4"/>
      <c r="N441" s="4"/>
      <c r="O441" s="4"/>
      <c r="P441" s="4"/>
      <c r="Q441" s="4"/>
      <c r="R441" s="4"/>
      <c r="S441" s="4"/>
      <c r="T441" s="4"/>
      <c r="U441" s="4"/>
      <c r="V441" s="4"/>
      <c r="W441" s="4"/>
      <c r="X441" s="4"/>
      <c r="Y441" s="4"/>
      <c r="Z441" s="4"/>
      <c r="AA441" s="4"/>
      <c r="AB441" s="4"/>
      <c r="AC441" s="4"/>
      <c r="AD441" s="4"/>
      <c r="AE441" s="4"/>
      <c r="AF441" s="4"/>
      <c r="AG441" s="4"/>
      <c r="AH441" s="4"/>
      <c r="AI441" s="4"/>
      <c r="AJ441" s="4"/>
      <c r="AK441" s="4"/>
      <c r="AL441" s="4"/>
      <c r="AM441" s="4"/>
      <c r="AN441" s="4"/>
      <c r="AO441" s="4"/>
      <c r="AP441" s="4"/>
      <c r="AQ441" s="4"/>
      <c r="AR441" s="4"/>
      <c r="AS441" s="4"/>
      <c r="AT441" s="4"/>
      <c r="AU441" s="4"/>
      <c r="AV441" s="4"/>
      <c r="AW441" s="4"/>
      <c r="AX441" s="4"/>
      <c r="AY441" s="4"/>
      <c r="AZ441" s="4"/>
      <c r="BA441" s="4"/>
      <c r="BB441" s="4"/>
      <c r="BC441" s="4"/>
      <c r="BD441" s="4"/>
      <c r="BE441" s="4"/>
      <c r="BF441" s="4"/>
      <c r="BG441" s="4"/>
      <c r="BH441" s="4"/>
      <c r="BI441" s="4"/>
      <c r="BJ441" s="4"/>
      <c r="BK441" s="4"/>
      <c r="BL441" s="4"/>
      <c r="BM441" s="4"/>
      <c r="BN441" s="4"/>
    </row>
    <row r="442" ht="13.5" customHeight="1" spans="1:66" x14ac:dyDescent="0.25">
      <c r="A442" s="4"/>
      <c r="B442" s="4"/>
      <c r="C442" s="533"/>
      <c r="D442" s="4"/>
      <c r="E442" s="4"/>
      <c r="F442" s="4"/>
      <c r="G442" s="4"/>
      <c r="H442" s="4"/>
      <c r="I442" s="4"/>
      <c r="J442" s="4"/>
      <c r="K442" s="4"/>
      <c r="L442" s="4"/>
      <c r="M442" s="4"/>
      <c r="N442" s="4"/>
      <c r="O442" s="4"/>
      <c r="P442" s="4"/>
      <c r="Q442" s="4"/>
      <c r="R442" s="4"/>
      <c r="S442" s="4"/>
      <c r="T442" s="4"/>
      <c r="U442" s="4"/>
      <c r="V442" s="4"/>
      <c r="W442" s="4"/>
      <c r="X442" s="4"/>
      <c r="Y442" s="4"/>
      <c r="Z442" s="4"/>
      <c r="AA442" s="4"/>
      <c r="AB442" s="4"/>
      <c r="AC442" s="4"/>
      <c r="AD442" s="4"/>
      <c r="AE442" s="4"/>
      <c r="AF442" s="4"/>
      <c r="AG442" s="4"/>
      <c r="AH442" s="4"/>
      <c r="AI442" s="4"/>
      <c r="AJ442" s="4"/>
      <c r="AK442" s="4"/>
      <c r="AL442" s="4"/>
      <c r="AM442" s="4"/>
      <c r="AN442" s="4"/>
      <c r="AO442" s="4"/>
      <c r="AP442" s="4"/>
      <c r="AQ442" s="4"/>
      <c r="AR442" s="4"/>
      <c r="AS442" s="4"/>
      <c r="AT442" s="4"/>
      <c r="AU442" s="4"/>
      <c r="AV442" s="4"/>
      <c r="AW442" s="4"/>
      <c r="AX442" s="4"/>
      <c r="AY442" s="4"/>
      <c r="AZ442" s="4"/>
      <c r="BA442" s="4"/>
      <c r="BB442" s="4"/>
      <c r="BC442" s="4"/>
      <c r="BD442" s="4"/>
      <c r="BE442" s="4"/>
      <c r="BF442" s="4"/>
      <c r="BG442" s="4"/>
      <c r="BH442" s="4"/>
      <c r="BI442" s="4"/>
      <c r="BJ442" s="4"/>
      <c r="BK442" s="4"/>
      <c r="BL442" s="4"/>
      <c r="BM442" s="4"/>
      <c r="BN442" s="4"/>
    </row>
    <row r="443" ht="13.5" customHeight="1" spans="1:66" x14ac:dyDescent="0.25">
      <c r="A443" s="4"/>
      <c r="B443" s="4"/>
      <c r="C443" s="533"/>
      <c r="D443" s="4"/>
      <c r="E443" s="4"/>
      <c r="F443" s="4"/>
      <c r="G443" s="4"/>
      <c r="H443" s="4"/>
      <c r="I443" s="4"/>
      <c r="J443" s="4"/>
      <c r="K443" s="4"/>
      <c r="L443" s="4"/>
      <c r="M443" s="4"/>
      <c r="N443" s="4"/>
      <c r="O443" s="4"/>
      <c r="P443" s="4"/>
      <c r="Q443" s="4"/>
      <c r="R443" s="4"/>
      <c r="S443" s="4"/>
      <c r="T443" s="4"/>
      <c r="U443" s="4"/>
      <c r="V443" s="4"/>
      <c r="W443" s="4"/>
      <c r="X443" s="4"/>
      <c r="Y443" s="4"/>
      <c r="Z443" s="4"/>
      <c r="AA443" s="4"/>
      <c r="AB443" s="4"/>
      <c r="AC443" s="4"/>
      <c r="AD443" s="4"/>
      <c r="AE443" s="4"/>
      <c r="AF443" s="4"/>
      <c r="AG443" s="4"/>
      <c r="AH443" s="4"/>
      <c r="AI443" s="4"/>
      <c r="AJ443" s="4"/>
      <c r="AK443" s="4"/>
      <c r="AL443" s="4"/>
      <c r="AM443" s="4"/>
      <c r="AN443" s="4"/>
      <c r="AO443" s="4"/>
      <c r="AP443" s="4"/>
      <c r="AQ443" s="4"/>
      <c r="AR443" s="4"/>
      <c r="AS443" s="4"/>
      <c r="AT443" s="4"/>
      <c r="AU443" s="4"/>
      <c r="AV443" s="4"/>
      <c r="AW443" s="4"/>
      <c r="AX443" s="4"/>
      <c r="AY443" s="4"/>
      <c r="AZ443" s="4"/>
      <c r="BA443" s="4"/>
      <c r="BB443" s="4"/>
      <c r="BC443" s="4"/>
      <c r="BD443" s="4"/>
      <c r="BE443" s="4"/>
      <c r="BF443" s="4"/>
      <c r="BG443" s="4"/>
      <c r="BH443" s="4"/>
      <c r="BI443" s="4"/>
      <c r="BJ443" s="4"/>
      <c r="BK443" s="4"/>
      <c r="BL443" s="4"/>
      <c r="BM443" s="4"/>
      <c r="BN443" s="4"/>
    </row>
    <row r="444" ht="13.5" customHeight="1" spans="1:66" x14ac:dyDescent="0.25">
      <c r="A444" s="4"/>
      <c r="B444" s="4"/>
      <c r="C444" s="533"/>
      <c r="D444" s="4"/>
      <c r="E444" s="4"/>
      <c r="F444" s="4"/>
      <c r="G444" s="4"/>
      <c r="H444" s="4"/>
      <c r="I444" s="4"/>
      <c r="J444" s="4"/>
      <c r="K444" s="4"/>
      <c r="L444" s="4"/>
      <c r="M444" s="4"/>
      <c r="N444" s="4"/>
      <c r="O444" s="4"/>
      <c r="P444" s="4"/>
      <c r="Q444" s="4"/>
      <c r="R444" s="4"/>
      <c r="S444" s="4"/>
      <c r="T444" s="4"/>
      <c r="U444" s="4"/>
      <c r="V444" s="4"/>
      <c r="W444" s="4"/>
      <c r="X444" s="4"/>
      <c r="Y444" s="4"/>
      <c r="Z444" s="4"/>
      <c r="AA444" s="4"/>
      <c r="AB444" s="4"/>
      <c r="AC444" s="4"/>
      <c r="AD444" s="4"/>
      <c r="AE444" s="4"/>
      <c r="AF444" s="4"/>
      <c r="AG444" s="4"/>
      <c r="AH444" s="4"/>
      <c r="AI444" s="4"/>
      <c r="AJ444" s="4"/>
      <c r="AK444" s="4"/>
      <c r="AL444" s="4"/>
      <c r="AM444" s="4"/>
      <c r="AN444" s="4"/>
      <c r="AO444" s="4"/>
      <c r="AP444" s="4"/>
      <c r="AQ444" s="4"/>
      <c r="AR444" s="4"/>
      <c r="AS444" s="4"/>
      <c r="AT444" s="4"/>
      <c r="AU444" s="4"/>
      <c r="AV444" s="4"/>
      <c r="AW444" s="4"/>
      <c r="AX444" s="4"/>
      <c r="AY444" s="4"/>
      <c r="AZ444" s="4"/>
      <c r="BA444" s="4"/>
      <c r="BB444" s="4"/>
      <c r="BC444" s="4"/>
      <c r="BD444" s="4"/>
      <c r="BE444" s="4"/>
      <c r="BF444" s="4"/>
      <c r="BG444" s="4"/>
      <c r="BH444" s="4"/>
      <c r="BI444" s="4"/>
      <c r="BJ444" s="4"/>
      <c r="BK444" s="4"/>
      <c r="BL444" s="4"/>
      <c r="BM444" s="4"/>
      <c r="BN444" s="4"/>
    </row>
    <row r="445" ht="13.5" customHeight="1" spans="1:66" x14ac:dyDescent="0.25">
      <c r="A445" s="4"/>
      <c r="B445" s="4"/>
      <c r="C445" s="533"/>
      <c r="D445" s="4"/>
      <c r="E445" s="4"/>
      <c r="F445" s="4"/>
      <c r="G445" s="4"/>
      <c r="H445" s="4"/>
      <c r="I445" s="4"/>
      <c r="J445" s="4"/>
      <c r="K445" s="4"/>
      <c r="L445" s="4"/>
      <c r="M445" s="4"/>
      <c r="N445" s="4"/>
      <c r="O445" s="4"/>
      <c r="P445" s="4"/>
      <c r="Q445" s="4"/>
      <c r="R445" s="4"/>
      <c r="S445" s="4"/>
      <c r="T445" s="4"/>
      <c r="U445" s="4"/>
      <c r="V445" s="4"/>
      <c r="W445" s="4"/>
      <c r="X445" s="4"/>
      <c r="Y445" s="4"/>
      <c r="Z445" s="4"/>
      <c r="AA445" s="4"/>
      <c r="AB445" s="4"/>
      <c r="AC445" s="4"/>
      <c r="AD445" s="4"/>
      <c r="AE445" s="4"/>
      <c r="AF445" s="4"/>
      <c r="AG445" s="4"/>
      <c r="AH445" s="4"/>
      <c r="AI445" s="4"/>
      <c r="AJ445" s="4"/>
      <c r="AK445" s="4"/>
      <c r="AL445" s="4"/>
      <c r="AM445" s="4"/>
      <c r="AN445" s="4"/>
      <c r="AO445" s="4"/>
      <c r="AP445" s="4"/>
      <c r="AQ445" s="4"/>
      <c r="AR445" s="4"/>
      <c r="AS445" s="4"/>
      <c r="AT445" s="4"/>
      <c r="AU445" s="4"/>
      <c r="AV445" s="4"/>
      <c r="AW445" s="4"/>
      <c r="AX445" s="4"/>
      <c r="AY445" s="4"/>
      <c r="AZ445" s="4"/>
      <c r="BA445" s="4"/>
      <c r="BB445" s="4"/>
      <c r="BC445" s="4"/>
      <c r="BD445" s="4"/>
      <c r="BE445" s="4"/>
      <c r="BF445" s="4"/>
      <c r="BG445" s="4"/>
      <c r="BH445" s="4"/>
      <c r="BI445" s="4"/>
      <c r="BJ445" s="4"/>
      <c r="BK445" s="4"/>
      <c r="BL445" s="4"/>
      <c r="BM445" s="4"/>
      <c r="BN445" s="4"/>
    </row>
    <row r="446" ht="13.5" customHeight="1" spans="1:66" x14ac:dyDescent="0.25">
      <c r="A446" s="4"/>
      <c r="B446" s="4"/>
      <c r="C446" s="533"/>
      <c r="D446" s="4"/>
      <c r="E446" s="4"/>
      <c r="F446" s="4"/>
      <c r="G446" s="4"/>
      <c r="H446" s="4"/>
      <c r="I446" s="4"/>
      <c r="J446" s="4"/>
      <c r="K446" s="4"/>
      <c r="L446" s="4"/>
      <c r="M446" s="4"/>
      <c r="N446" s="4"/>
      <c r="O446" s="4"/>
      <c r="P446" s="4"/>
      <c r="Q446" s="4"/>
      <c r="R446" s="4"/>
      <c r="S446" s="4"/>
      <c r="T446" s="4"/>
      <c r="U446" s="4"/>
      <c r="V446" s="4"/>
      <c r="W446" s="4"/>
      <c r="X446" s="4"/>
      <c r="Y446" s="4"/>
      <c r="Z446" s="4"/>
      <c r="AA446" s="4"/>
      <c r="AB446" s="4"/>
      <c r="AC446" s="4"/>
      <c r="AD446" s="4"/>
      <c r="AE446" s="4"/>
      <c r="AF446" s="4"/>
      <c r="AG446" s="4"/>
      <c r="AH446" s="4"/>
      <c r="AI446" s="4"/>
      <c r="AJ446" s="4"/>
      <c r="AK446" s="4"/>
      <c r="AL446" s="4"/>
      <c r="AM446" s="4"/>
      <c r="AN446" s="4"/>
      <c r="AO446" s="4"/>
      <c r="AP446" s="4"/>
      <c r="AQ446" s="4"/>
      <c r="AR446" s="4"/>
      <c r="AS446" s="4"/>
      <c r="AT446" s="4"/>
      <c r="AU446" s="4"/>
      <c r="AV446" s="4"/>
      <c r="AW446" s="4"/>
      <c r="AX446" s="4"/>
      <c r="AY446" s="4"/>
      <c r="AZ446" s="4"/>
      <c r="BA446" s="4"/>
      <c r="BB446" s="4"/>
      <c r="BC446" s="4"/>
      <c r="BD446" s="4"/>
      <c r="BE446" s="4"/>
      <c r="BF446" s="4"/>
      <c r="BG446" s="4"/>
      <c r="BH446" s="4"/>
      <c r="BI446" s="4"/>
      <c r="BJ446" s="4"/>
      <c r="BK446" s="4"/>
      <c r="BL446" s="4"/>
      <c r="BM446" s="4"/>
      <c r="BN446" s="4"/>
    </row>
    <row r="447" ht="13.5" customHeight="1" spans="1:66" x14ac:dyDescent="0.25">
      <c r="A447" s="4"/>
      <c r="B447" s="4"/>
      <c r="C447" s="533"/>
      <c r="D447" s="4"/>
      <c r="E447" s="4"/>
      <c r="F447" s="4"/>
      <c r="G447" s="4"/>
      <c r="H447" s="4"/>
      <c r="I447" s="4"/>
      <c r="J447" s="4"/>
      <c r="K447" s="4"/>
      <c r="L447" s="4"/>
      <c r="M447" s="4"/>
      <c r="N447" s="4"/>
      <c r="O447" s="4"/>
      <c r="P447" s="4"/>
      <c r="Q447" s="4"/>
      <c r="R447" s="4"/>
      <c r="S447" s="4"/>
      <c r="T447" s="4"/>
      <c r="U447" s="4"/>
      <c r="V447" s="4"/>
      <c r="W447" s="4"/>
      <c r="X447" s="4"/>
      <c r="Y447" s="4"/>
      <c r="Z447" s="4"/>
      <c r="AA447" s="4"/>
      <c r="AB447" s="4"/>
      <c r="AC447" s="4"/>
      <c r="AD447" s="4"/>
      <c r="AE447" s="4"/>
      <c r="AF447" s="4"/>
      <c r="AG447" s="4"/>
      <c r="AH447" s="4"/>
      <c r="AI447" s="4"/>
      <c r="AJ447" s="4"/>
      <c r="AK447" s="4"/>
      <c r="AL447" s="4"/>
      <c r="AM447" s="4"/>
      <c r="AN447" s="4"/>
      <c r="AO447" s="4"/>
      <c r="AP447" s="4"/>
      <c r="AQ447" s="4"/>
      <c r="AR447" s="4"/>
      <c r="AS447" s="4"/>
      <c r="AT447" s="4"/>
      <c r="AU447" s="4"/>
      <c r="AV447" s="4"/>
      <c r="AW447" s="4"/>
      <c r="AX447" s="4"/>
      <c r="AY447" s="4"/>
      <c r="AZ447" s="4"/>
      <c r="BA447" s="4"/>
      <c r="BB447" s="4"/>
      <c r="BC447" s="4"/>
      <c r="BD447" s="4"/>
      <c r="BE447" s="4"/>
      <c r="BF447" s="4"/>
      <c r="BG447" s="4"/>
      <c r="BH447" s="4"/>
      <c r="BI447" s="4"/>
      <c r="BJ447" s="4"/>
      <c r="BK447" s="4"/>
      <c r="BL447" s="4"/>
      <c r="BM447" s="4"/>
      <c r="BN447" s="4"/>
    </row>
    <row r="448" ht="13.5" customHeight="1" spans="1:66" x14ac:dyDescent="0.25">
      <c r="A448" s="4"/>
      <c r="B448" s="4"/>
      <c r="C448" s="533"/>
      <c r="D448" s="4"/>
      <c r="E448" s="4"/>
      <c r="F448" s="4"/>
      <c r="G448" s="4"/>
      <c r="H448" s="4"/>
      <c r="I448" s="4"/>
      <c r="J448" s="4"/>
      <c r="K448" s="4"/>
      <c r="L448" s="4"/>
      <c r="M448" s="4"/>
      <c r="N448" s="4"/>
      <c r="O448" s="4"/>
      <c r="P448" s="4"/>
      <c r="Q448" s="4"/>
      <c r="R448" s="4"/>
      <c r="S448" s="4"/>
      <c r="T448" s="4"/>
      <c r="U448" s="4"/>
      <c r="V448" s="4"/>
      <c r="W448" s="4"/>
      <c r="X448" s="4"/>
      <c r="Y448" s="4"/>
      <c r="Z448" s="4"/>
      <c r="AA448" s="4"/>
      <c r="AB448" s="4"/>
      <c r="AC448" s="4"/>
      <c r="AD448" s="4"/>
      <c r="AE448" s="4"/>
      <c r="AF448" s="4"/>
      <c r="AG448" s="4"/>
      <c r="AH448" s="4"/>
      <c r="AI448" s="4"/>
      <c r="AJ448" s="4"/>
      <c r="AK448" s="4"/>
      <c r="AL448" s="4"/>
      <c r="AM448" s="4"/>
      <c r="AN448" s="4"/>
      <c r="AO448" s="4"/>
      <c r="AP448" s="4"/>
      <c r="AQ448" s="4"/>
      <c r="AR448" s="4"/>
      <c r="AS448" s="4"/>
      <c r="AT448" s="4"/>
      <c r="AU448" s="4"/>
      <c r="AV448" s="4"/>
      <c r="AW448" s="4"/>
      <c r="AX448" s="4"/>
      <c r="AY448" s="4"/>
      <c r="AZ448" s="4"/>
      <c r="BA448" s="4"/>
      <c r="BB448" s="4"/>
      <c r="BC448" s="4"/>
      <c r="BD448" s="4"/>
      <c r="BE448" s="4"/>
      <c r="BF448" s="4"/>
      <c r="BG448" s="4"/>
      <c r="BH448" s="4"/>
      <c r="BI448" s="4"/>
      <c r="BJ448" s="4"/>
      <c r="BK448" s="4"/>
      <c r="BL448" s="4"/>
      <c r="BM448" s="4"/>
      <c r="BN448" s="4"/>
    </row>
    <row r="449" ht="13.5" customHeight="1" spans="1:66" x14ac:dyDescent="0.25">
      <c r="A449" s="4"/>
      <c r="B449" s="4"/>
      <c r="C449" s="533"/>
      <c r="D449" s="4"/>
      <c r="E449" s="4"/>
      <c r="F449" s="4"/>
      <c r="G449" s="4"/>
      <c r="H449" s="4"/>
      <c r="I449" s="4"/>
      <c r="J449" s="4"/>
      <c r="K449" s="4"/>
      <c r="L449" s="4"/>
      <c r="M449" s="4"/>
      <c r="N449" s="4"/>
      <c r="O449" s="4"/>
      <c r="P449" s="4"/>
      <c r="Q449" s="4"/>
      <c r="R449" s="4"/>
      <c r="S449" s="4"/>
      <c r="T449" s="4"/>
      <c r="U449" s="4"/>
      <c r="V449" s="4"/>
      <c r="W449" s="4"/>
      <c r="X449" s="4"/>
      <c r="Y449" s="4"/>
      <c r="Z449" s="4"/>
      <c r="AA449" s="4"/>
      <c r="AB449" s="4"/>
      <c r="AC449" s="4"/>
      <c r="AD449" s="4"/>
      <c r="AE449" s="4"/>
      <c r="AF449" s="4"/>
      <c r="AG449" s="4"/>
      <c r="AH449" s="4"/>
      <c r="AI449" s="4"/>
      <c r="AJ449" s="4"/>
      <c r="AK449" s="4"/>
      <c r="AL449" s="4"/>
      <c r="AM449" s="4"/>
      <c r="AN449" s="4"/>
      <c r="AO449" s="4"/>
      <c r="AP449" s="4"/>
      <c r="AQ449" s="4"/>
      <c r="AR449" s="4"/>
      <c r="AS449" s="4"/>
      <c r="AT449" s="4"/>
      <c r="AU449" s="4"/>
      <c r="AV449" s="4"/>
      <c r="AW449" s="4"/>
      <c r="AX449" s="4"/>
      <c r="AY449" s="4"/>
      <c r="AZ449" s="4"/>
      <c r="BA449" s="4"/>
      <c r="BB449" s="4"/>
      <c r="BC449" s="4"/>
      <c r="BD449" s="4"/>
      <c r="BE449" s="4"/>
      <c r="BF449" s="4"/>
      <c r="BG449" s="4"/>
      <c r="BH449" s="4"/>
      <c r="BI449" s="4"/>
      <c r="BJ449" s="4"/>
      <c r="BK449" s="4"/>
      <c r="BL449" s="4"/>
      <c r="BM449" s="4"/>
      <c r="BN449" s="4"/>
    </row>
    <row r="450" ht="13.5" customHeight="1" spans="1:66" x14ac:dyDescent="0.25">
      <c r="A450" s="4"/>
      <c r="B450" s="4"/>
      <c r="C450" s="533"/>
      <c r="D450" s="4"/>
      <c r="E450" s="4"/>
      <c r="F450" s="4"/>
      <c r="G450" s="4"/>
      <c r="H450" s="4"/>
      <c r="I450" s="4"/>
      <c r="J450" s="4"/>
      <c r="K450" s="4"/>
      <c r="L450" s="4"/>
      <c r="M450" s="4"/>
      <c r="N450" s="4"/>
      <c r="O450" s="4"/>
      <c r="P450" s="4"/>
      <c r="Q450" s="4"/>
      <c r="R450" s="4"/>
      <c r="S450" s="4"/>
      <c r="T450" s="4"/>
      <c r="U450" s="4"/>
      <c r="V450" s="4"/>
      <c r="W450" s="4"/>
      <c r="X450" s="4"/>
      <c r="Y450" s="4"/>
      <c r="Z450" s="4"/>
      <c r="AA450" s="4"/>
      <c r="AB450" s="4"/>
      <c r="AC450" s="4"/>
      <c r="AD450" s="4"/>
      <c r="AE450" s="4"/>
      <c r="AF450" s="4"/>
      <c r="AG450" s="4"/>
      <c r="AH450" s="4"/>
      <c r="AI450" s="4"/>
      <c r="AJ450" s="4"/>
      <c r="AK450" s="4"/>
      <c r="AL450" s="4"/>
      <c r="AM450" s="4"/>
      <c r="AN450" s="4"/>
      <c r="AO450" s="4"/>
      <c r="AP450" s="4"/>
      <c r="AQ450" s="4"/>
      <c r="AR450" s="4"/>
      <c r="AS450" s="4"/>
      <c r="AT450" s="4"/>
      <c r="AU450" s="4"/>
      <c r="AV450" s="4"/>
      <c r="AW450" s="4"/>
      <c r="AX450" s="4"/>
      <c r="AY450" s="4"/>
      <c r="AZ450" s="4"/>
      <c r="BA450" s="4"/>
      <c r="BB450" s="4"/>
      <c r="BC450" s="4"/>
      <c r="BD450" s="4"/>
      <c r="BE450" s="4"/>
      <c r="BF450" s="4"/>
      <c r="BG450" s="4"/>
      <c r="BH450" s="4"/>
      <c r="BI450" s="4"/>
      <c r="BJ450" s="4"/>
      <c r="BK450" s="4"/>
      <c r="BL450" s="4"/>
      <c r="BM450" s="4"/>
      <c r="BN450" s="4"/>
    </row>
    <row r="451" ht="13.5" customHeight="1" spans="1:66" x14ac:dyDescent="0.25">
      <c r="A451" s="4"/>
      <c r="B451" s="4"/>
      <c r="C451" s="533"/>
      <c r="D451" s="4"/>
      <c r="E451" s="4"/>
      <c r="F451" s="4"/>
      <c r="G451" s="4"/>
      <c r="H451" s="4"/>
      <c r="I451" s="4"/>
      <c r="J451" s="4"/>
      <c r="K451" s="4"/>
      <c r="L451" s="4"/>
      <c r="M451" s="4"/>
      <c r="N451" s="4"/>
      <c r="O451" s="4"/>
      <c r="P451" s="4"/>
      <c r="Q451" s="4"/>
      <c r="R451" s="4"/>
      <c r="S451" s="4"/>
      <c r="T451" s="4"/>
      <c r="U451" s="4"/>
      <c r="V451" s="4"/>
      <c r="W451" s="4"/>
      <c r="X451" s="4"/>
      <c r="Y451" s="4"/>
      <c r="Z451" s="4"/>
      <c r="AA451" s="4"/>
      <c r="AB451" s="4"/>
      <c r="AC451" s="4"/>
      <c r="AD451" s="4"/>
      <c r="AE451" s="4"/>
      <c r="AF451" s="4"/>
      <c r="AG451" s="4"/>
      <c r="AH451" s="4"/>
      <c r="AI451" s="4"/>
      <c r="AJ451" s="4"/>
      <c r="AK451" s="4"/>
      <c r="AL451" s="4"/>
      <c r="AM451" s="4"/>
      <c r="AN451" s="4"/>
      <c r="AO451" s="4"/>
      <c r="AP451" s="4"/>
      <c r="AQ451" s="4"/>
      <c r="AR451" s="4"/>
      <c r="AS451" s="4"/>
      <c r="AT451" s="4"/>
      <c r="AU451" s="4"/>
      <c r="AV451" s="4"/>
      <c r="AW451" s="4"/>
      <c r="AX451" s="4"/>
      <c r="AY451" s="4"/>
      <c r="AZ451" s="4"/>
      <c r="BA451" s="4"/>
      <c r="BB451" s="4"/>
      <c r="BC451" s="4"/>
      <c r="BD451" s="4"/>
      <c r="BE451" s="4"/>
      <c r="BF451" s="4"/>
      <c r="BG451" s="4"/>
      <c r="BH451" s="4"/>
      <c r="BI451" s="4"/>
      <c r="BJ451" s="4"/>
      <c r="BK451" s="4"/>
      <c r="BL451" s="4"/>
      <c r="BM451" s="4"/>
      <c r="BN451" s="4"/>
    </row>
    <row r="452" ht="13.5" customHeight="1" spans="1:66" x14ac:dyDescent="0.25">
      <c r="A452" s="4"/>
      <c r="B452" s="4"/>
      <c r="C452" s="533"/>
      <c r="D452" s="4"/>
      <c r="E452" s="4"/>
      <c r="F452" s="4"/>
      <c r="G452" s="4"/>
      <c r="H452" s="4"/>
      <c r="I452" s="4"/>
      <c r="J452" s="4"/>
      <c r="K452" s="4"/>
      <c r="L452" s="4"/>
      <c r="M452" s="4"/>
      <c r="N452" s="4"/>
      <c r="O452" s="4"/>
      <c r="P452" s="4"/>
      <c r="Q452" s="4"/>
      <c r="R452" s="4"/>
      <c r="S452" s="4"/>
      <c r="T452" s="4"/>
      <c r="U452" s="4"/>
      <c r="V452" s="4"/>
      <c r="W452" s="4"/>
      <c r="X452" s="4"/>
      <c r="Y452" s="4"/>
      <c r="Z452" s="4"/>
      <c r="AA452" s="4"/>
      <c r="AB452" s="4"/>
      <c r="AC452" s="4"/>
      <c r="AD452" s="4"/>
      <c r="AE452" s="4"/>
      <c r="AF452" s="4"/>
      <c r="AG452" s="4"/>
      <c r="AH452" s="4"/>
      <c r="AI452" s="4"/>
      <c r="AJ452" s="4"/>
      <c r="AK452" s="4"/>
      <c r="AL452" s="4"/>
      <c r="AM452" s="4"/>
      <c r="AN452" s="4"/>
      <c r="AO452" s="4"/>
      <c r="AP452" s="4"/>
      <c r="AQ452" s="4"/>
      <c r="AR452" s="4"/>
      <c r="AS452" s="4"/>
      <c r="AT452" s="4"/>
      <c r="AU452" s="4"/>
      <c r="AV452" s="4"/>
      <c r="AW452" s="4"/>
      <c r="AX452" s="4"/>
      <c r="AY452" s="4"/>
      <c r="AZ452" s="4"/>
      <c r="BA452" s="4"/>
      <c r="BB452" s="4"/>
      <c r="BC452" s="4"/>
      <c r="BD452" s="4"/>
      <c r="BE452" s="4"/>
      <c r="BF452" s="4"/>
      <c r="BG452" s="4"/>
      <c r="BH452" s="4"/>
      <c r="BI452" s="4"/>
      <c r="BJ452" s="4"/>
      <c r="BK452" s="4"/>
      <c r="BL452" s="4"/>
      <c r="BM452" s="4"/>
      <c r="BN452" s="4"/>
    </row>
    <row r="453" ht="13.5" customHeight="1" spans="1:66" x14ac:dyDescent="0.25">
      <c r="A453" s="4"/>
      <c r="B453" s="4"/>
      <c r="C453" s="533"/>
      <c r="D453" s="4"/>
      <c r="E453" s="4"/>
      <c r="F453" s="4"/>
      <c r="G453" s="4"/>
      <c r="H453" s="4"/>
      <c r="I453" s="4"/>
      <c r="J453" s="4"/>
      <c r="K453" s="4"/>
      <c r="L453" s="4"/>
      <c r="M453" s="4"/>
      <c r="N453" s="4"/>
      <c r="O453" s="4"/>
      <c r="P453" s="4"/>
      <c r="Q453" s="4"/>
      <c r="R453" s="4"/>
      <c r="S453" s="4"/>
      <c r="T453" s="4"/>
      <c r="U453" s="4"/>
      <c r="V453" s="4"/>
      <c r="W453" s="4"/>
      <c r="X453" s="4"/>
      <c r="Y453" s="4"/>
      <c r="Z453" s="4"/>
      <c r="AA453" s="4"/>
      <c r="AB453" s="4"/>
      <c r="AC453" s="4"/>
      <c r="AD453" s="4"/>
      <c r="AE453" s="4"/>
      <c r="AF453" s="4"/>
      <c r="AG453" s="4"/>
      <c r="AH453" s="4"/>
      <c r="AI453" s="4"/>
      <c r="AJ453" s="4"/>
      <c r="AK453" s="4"/>
      <c r="AL453" s="4"/>
      <c r="AM453" s="4"/>
      <c r="AN453" s="4"/>
      <c r="AO453" s="4"/>
      <c r="AP453" s="4"/>
      <c r="AQ453" s="4"/>
      <c r="AR453" s="4"/>
      <c r="AS453" s="4"/>
      <c r="AT453" s="4"/>
      <c r="AU453" s="4"/>
      <c r="AV453" s="4"/>
      <c r="AW453" s="4"/>
      <c r="AX453" s="4"/>
      <c r="AY453" s="4"/>
      <c r="AZ453" s="4"/>
      <c r="BA453" s="4"/>
      <c r="BB453" s="4"/>
      <c r="BC453" s="4"/>
      <c r="BD453" s="4"/>
      <c r="BE453" s="4"/>
      <c r="BF453" s="4"/>
      <c r="BG453" s="4"/>
      <c r="BH453" s="4"/>
      <c r="BI453" s="4"/>
      <c r="BJ453" s="4"/>
      <c r="BK453" s="4"/>
      <c r="BL453" s="4"/>
      <c r="BM453" s="4"/>
      <c r="BN453" s="4"/>
    </row>
    <row r="454" ht="13.5" customHeight="1" spans="1:66" x14ac:dyDescent="0.25">
      <c r="A454" s="4"/>
      <c r="B454" s="4"/>
      <c r="C454" s="533"/>
      <c r="D454" s="4"/>
      <c r="E454" s="4"/>
      <c r="F454" s="4"/>
      <c r="G454" s="4"/>
      <c r="H454" s="4"/>
      <c r="I454" s="4"/>
      <c r="J454" s="4"/>
      <c r="K454" s="4"/>
      <c r="L454" s="4"/>
      <c r="M454" s="4"/>
      <c r="N454" s="4"/>
      <c r="O454" s="4"/>
      <c r="P454" s="4"/>
      <c r="Q454" s="4"/>
      <c r="R454" s="4"/>
      <c r="S454" s="4"/>
      <c r="T454" s="4"/>
      <c r="U454" s="4"/>
      <c r="V454" s="4"/>
      <c r="W454" s="4"/>
      <c r="X454" s="4"/>
      <c r="Y454" s="4"/>
      <c r="Z454" s="4"/>
      <c r="AA454" s="4"/>
      <c r="AB454" s="4"/>
      <c r="AC454" s="4"/>
      <c r="AD454" s="4"/>
      <c r="AE454" s="4"/>
      <c r="AF454" s="4"/>
      <c r="AG454" s="4"/>
      <c r="AH454" s="4"/>
      <c r="AI454" s="4"/>
      <c r="AJ454" s="4"/>
      <c r="AK454" s="4"/>
      <c r="AL454" s="4"/>
      <c r="AM454" s="4"/>
      <c r="AN454" s="4"/>
      <c r="AO454" s="4"/>
      <c r="AP454" s="4"/>
      <c r="AQ454" s="4"/>
      <c r="AR454" s="4"/>
      <c r="AS454" s="4"/>
      <c r="AT454" s="4"/>
      <c r="AU454" s="4"/>
      <c r="AV454" s="4"/>
      <c r="AW454" s="4"/>
      <c r="AX454" s="4"/>
      <c r="AY454" s="4"/>
      <c r="AZ454" s="4"/>
      <c r="BA454" s="4"/>
      <c r="BB454" s="4"/>
      <c r="BC454" s="4"/>
      <c r="BD454" s="4"/>
      <c r="BE454" s="4"/>
      <c r="BF454" s="4"/>
      <c r="BG454" s="4"/>
      <c r="BH454" s="4"/>
      <c r="BI454" s="4"/>
      <c r="BJ454" s="4"/>
      <c r="BK454" s="4"/>
      <c r="BL454" s="4"/>
      <c r="BM454" s="4"/>
      <c r="BN454" s="4"/>
    </row>
    <row r="455" ht="13.5" customHeight="1" spans="1:66" x14ac:dyDescent="0.25">
      <c r="A455" s="4"/>
      <c r="B455" s="4"/>
      <c r="C455" s="533"/>
      <c r="D455" s="4"/>
      <c r="E455" s="4"/>
      <c r="F455" s="4"/>
      <c r="G455" s="4"/>
      <c r="H455" s="4"/>
      <c r="I455" s="4"/>
      <c r="J455" s="4"/>
      <c r="K455" s="4"/>
      <c r="L455" s="4"/>
      <c r="M455" s="4"/>
      <c r="N455" s="4"/>
      <c r="O455" s="4"/>
      <c r="P455" s="4"/>
      <c r="Q455" s="4"/>
      <c r="R455" s="4"/>
      <c r="S455" s="4"/>
      <c r="T455" s="4"/>
      <c r="U455" s="4"/>
      <c r="V455" s="4"/>
      <c r="W455" s="4"/>
      <c r="X455" s="4"/>
      <c r="Y455" s="4"/>
      <c r="Z455" s="4"/>
      <c r="AA455" s="4"/>
      <c r="AB455" s="4"/>
      <c r="AC455" s="4"/>
      <c r="AD455" s="4"/>
      <c r="AE455" s="4"/>
      <c r="AF455" s="4"/>
      <c r="AG455" s="4"/>
      <c r="AH455" s="4"/>
      <c r="AI455" s="4"/>
      <c r="AJ455" s="4"/>
      <c r="AK455" s="4"/>
      <c r="AL455" s="4"/>
      <c r="AM455" s="4"/>
      <c r="AN455" s="4"/>
      <c r="AO455" s="4"/>
      <c r="AP455" s="4"/>
      <c r="AQ455" s="4"/>
      <c r="AR455" s="4"/>
      <c r="AS455" s="4"/>
      <c r="AT455" s="4"/>
      <c r="AU455" s="4"/>
      <c r="AV455" s="4"/>
      <c r="AW455" s="4"/>
      <c r="AX455" s="4"/>
      <c r="AY455" s="4"/>
      <c r="AZ455" s="4"/>
      <c r="BA455" s="4"/>
      <c r="BB455" s="4"/>
      <c r="BC455" s="4"/>
      <c r="BD455" s="4"/>
      <c r="BE455" s="4"/>
      <c r="BF455" s="4"/>
      <c r="BG455" s="4"/>
      <c r="BH455" s="4"/>
      <c r="BI455" s="4"/>
      <c r="BJ455" s="4"/>
      <c r="BK455" s="4"/>
      <c r="BL455" s="4"/>
      <c r="BM455" s="4"/>
      <c r="BN455" s="4"/>
    </row>
    <row r="456" ht="13.5" customHeight="1" spans="1:66" x14ac:dyDescent="0.25">
      <c r="A456" s="4"/>
      <c r="B456" s="4"/>
      <c r="C456" s="533"/>
      <c r="D456" s="4"/>
      <c r="E456" s="4"/>
      <c r="F456" s="4"/>
      <c r="G456" s="4"/>
      <c r="H456" s="4"/>
      <c r="I456" s="4"/>
      <c r="J456" s="4"/>
      <c r="K456" s="4"/>
      <c r="L456" s="4"/>
      <c r="M456" s="4"/>
      <c r="N456" s="4"/>
      <c r="O456" s="4"/>
      <c r="P456" s="4"/>
      <c r="Q456" s="4"/>
      <c r="R456" s="4"/>
      <c r="S456" s="4"/>
      <c r="T456" s="4"/>
      <c r="U456" s="4"/>
      <c r="V456" s="4"/>
      <c r="W456" s="4"/>
      <c r="X456" s="4"/>
      <c r="Y456" s="4"/>
      <c r="Z456" s="4"/>
      <c r="AA456" s="4"/>
      <c r="AB456" s="4"/>
      <c r="AC456" s="4"/>
      <c r="AD456" s="4"/>
      <c r="AE456" s="4"/>
      <c r="AF456" s="4"/>
      <c r="AG456" s="4"/>
      <c r="AH456" s="4"/>
      <c r="AI456" s="4"/>
      <c r="AJ456" s="4"/>
      <c r="AK456" s="4"/>
      <c r="AL456" s="4"/>
      <c r="AM456" s="4"/>
      <c r="AN456" s="4"/>
      <c r="AO456" s="4"/>
      <c r="AP456" s="4"/>
      <c r="AQ456" s="4"/>
      <c r="AR456" s="4"/>
      <c r="AS456" s="4"/>
      <c r="AT456" s="4"/>
      <c r="AU456" s="4"/>
      <c r="AV456" s="4"/>
      <c r="AW456" s="4"/>
      <c r="AX456" s="4"/>
      <c r="AY456" s="4"/>
      <c r="AZ456" s="4"/>
      <c r="BA456" s="4"/>
      <c r="BB456" s="4"/>
      <c r="BC456" s="4"/>
      <c r="BD456" s="4"/>
      <c r="BE456" s="4"/>
      <c r="BF456" s="4"/>
      <c r="BG456" s="4"/>
      <c r="BH456" s="4"/>
      <c r="BI456" s="4"/>
      <c r="BJ456" s="4"/>
      <c r="BK456" s="4"/>
      <c r="BL456" s="4"/>
      <c r="BM456" s="4"/>
      <c r="BN456" s="4"/>
    </row>
    <row r="457" ht="13.5" customHeight="1" spans="1:66" x14ac:dyDescent="0.25">
      <c r="A457" s="4"/>
      <c r="B457" s="4"/>
      <c r="C457" s="533"/>
      <c r="D457" s="4"/>
      <c r="E457" s="4"/>
      <c r="F457" s="4"/>
      <c r="G457" s="4"/>
      <c r="H457" s="4"/>
      <c r="I457" s="4"/>
      <c r="J457" s="4"/>
      <c r="K457" s="4"/>
      <c r="L457" s="4"/>
      <c r="M457" s="4"/>
      <c r="N457" s="4"/>
      <c r="O457" s="4"/>
      <c r="P457" s="4"/>
      <c r="Q457" s="4"/>
      <c r="R457" s="4"/>
      <c r="S457" s="4"/>
      <c r="T457" s="4"/>
      <c r="U457" s="4"/>
      <c r="V457" s="4"/>
      <c r="W457" s="4"/>
      <c r="X457" s="4"/>
      <c r="Y457" s="4"/>
      <c r="Z457" s="4"/>
      <c r="AA457" s="4"/>
      <c r="AB457" s="4"/>
      <c r="AC457" s="4"/>
      <c r="AD457" s="4"/>
      <c r="AE457" s="4"/>
      <c r="AF457" s="4"/>
      <c r="AG457" s="4"/>
      <c r="AH457" s="4"/>
      <c r="AI457" s="4"/>
      <c r="AJ457" s="4"/>
      <c r="AK457" s="4"/>
      <c r="AL457" s="4"/>
      <c r="AM457" s="4"/>
      <c r="AN457" s="4"/>
      <c r="AO457" s="4"/>
      <c r="AP457" s="4"/>
      <c r="AQ457" s="4"/>
      <c r="AR457" s="4"/>
      <c r="AS457" s="4"/>
      <c r="AT457" s="4"/>
      <c r="AU457" s="4"/>
      <c r="AV457" s="4"/>
      <c r="AW457" s="4"/>
      <c r="AX457" s="4"/>
      <c r="AY457" s="4"/>
      <c r="AZ457" s="4"/>
      <c r="BA457" s="4"/>
      <c r="BB457" s="4"/>
      <c r="BC457" s="4"/>
      <c r="BD457" s="4"/>
      <c r="BE457" s="4"/>
      <c r="BF457" s="4"/>
      <c r="BG457" s="4"/>
      <c r="BH457" s="4"/>
      <c r="BI457" s="4"/>
      <c r="BJ457" s="4"/>
      <c r="BK457" s="4"/>
      <c r="BL457" s="4"/>
      <c r="BM457" s="4"/>
      <c r="BN457" s="4"/>
    </row>
    <row r="458" ht="13.5" customHeight="1" spans="1:66" x14ac:dyDescent="0.25">
      <c r="A458" s="4"/>
      <c r="B458" s="4"/>
      <c r="C458" s="533"/>
      <c r="D458" s="4"/>
      <c r="E458" s="4"/>
      <c r="F458" s="4"/>
      <c r="G458" s="4"/>
      <c r="H458" s="4"/>
      <c r="I458" s="4"/>
      <c r="J458" s="4"/>
      <c r="K458" s="4"/>
      <c r="L458" s="4"/>
      <c r="M458" s="4"/>
      <c r="N458" s="4"/>
      <c r="O458" s="4"/>
      <c r="P458" s="4"/>
      <c r="Q458" s="4"/>
      <c r="R458" s="4"/>
      <c r="S458" s="4"/>
      <c r="T458" s="4"/>
      <c r="U458" s="4"/>
      <c r="V458" s="4"/>
      <c r="W458" s="4"/>
      <c r="X458" s="4"/>
      <c r="Y458" s="4"/>
      <c r="Z458" s="4"/>
      <c r="AA458" s="4"/>
      <c r="AB458" s="4"/>
      <c r="AC458" s="4"/>
      <c r="AD458" s="4"/>
      <c r="AE458" s="4"/>
      <c r="AF458" s="4"/>
      <c r="AG458" s="4"/>
      <c r="AH458" s="4"/>
      <c r="AI458" s="4"/>
      <c r="AJ458" s="4"/>
      <c r="AK458" s="4"/>
      <c r="AL458" s="4"/>
      <c r="AM458" s="4"/>
      <c r="AN458" s="4"/>
      <c r="AO458" s="4"/>
      <c r="AP458" s="4"/>
      <c r="AQ458" s="4"/>
      <c r="AR458" s="4"/>
      <c r="AS458" s="4"/>
      <c r="AT458" s="4"/>
      <c r="AU458" s="4"/>
      <c r="AV458" s="4"/>
      <c r="AW458" s="4"/>
      <c r="AX458" s="4"/>
      <c r="AY458" s="4"/>
      <c r="AZ458" s="4"/>
      <c r="BA458" s="4"/>
      <c r="BB458" s="4"/>
      <c r="BC458" s="4"/>
      <c r="BD458" s="4"/>
      <c r="BE458" s="4"/>
      <c r="BF458" s="4"/>
      <c r="BG458" s="4"/>
      <c r="BH458" s="4"/>
      <c r="BI458" s="4"/>
      <c r="BJ458" s="4"/>
      <c r="BK458" s="4"/>
      <c r="BL458" s="4"/>
      <c r="BM458" s="4"/>
      <c r="BN458" s="4"/>
    </row>
    <row r="459" ht="13.5" customHeight="1" spans="1:66" x14ac:dyDescent="0.25">
      <c r="A459" s="4"/>
      <c r="B459" s="4"/>
      <c r="C459" s="533"/>
      <c r="D459" s="4"/>
      <c r="E459" s="4"/>
      <c r="F459" s="4"/>
      <c r="G459" s="4"/>
      <c r="H459" s="4"/>
      <c r="I459" s="4"/>
      <c r="J459" s="4"/>
      <c r="K459" s="4"/>
      <c r="L459" s="4"/>
      <c r="M459" s="4"/>
      <c r="N459" s="4"/>
      <c r="O459" s="4"/>
      <c r="P459" s="4"/>
      <c r="Q459" s="4"/>
      <c r="R459" s="4"/>
      <c r="S459" s="4"/>
      <c r="T459" s="4"/>
      <c r="U459" s="4"/>
      <c r="V459" s="4"/>
      <c r="W459" s="4"/>
      <c r="X459" s="4"/>
      <c r="Y459" s="4"/>
      <c r="Z459" s="4"/>
      <c r="AA459" s="4"/>
      <c r="AB459" s="4"/>
      <c r="AC459" s="4"/>
      <c r="AD459" s="4"/>
      <c r="AE459" s="4"/>
      <c r="AF459" s="4"/>
      <c r="AG459" s="4"/>
      <c r="AH459" s="4"/>
      <c r="AI459" s="4"/>
      <c r="AJ459" s="4"/>
      <c r="AK459" s="4"/>
      <c r="AL459" s="4"/>
      <c r="AM459" s="4"/>
      <c r="AN459" s="4"/>
      <c r="AO459" s="4"/>
      <c r="AP459" s="4"/>
      <c r="AQ459" s="4"/>
      <c r="AR459" s="4"/>
      <c r="AS459" s="4"/>
      <c r="AT459" s="4"/>
      <c r="AU459" s="4"/>
      <c r="AV459" s="4"/>
      <c r="AW459" s="4"/>
      <c r="AX459" s="4"/>
      <c r="AY459" s="4"/>
      <c r="AZ459" s="4"/>
      <c r="BA459" s="4"/>
      <c r="BB459" s="4"/>
      <c r="BC459" s="4"/>
      <c r="BD459" s="4"/>
      <c r="BE459" s="4"/>
      <c r="BF459" s="4"/>
      <c r="BG459" s="4"/>
      <c r="BH459" s="4"/>
      <c r="BI459" s="4"/>
      <c r="BJ459" s="4"/>
      <c r="BK459" s="4"/>
      <c r="BL459" s="4"/>
      <c r="BM459" s="4"/>
      <c r="BN459" s="4"/>
    </row>
    <row r="460" ht="13.5" customHeight="1" spans="1:66" x14ac:dyDescent="0.25">
      <c r="A460" s="4"/>
      <c r="B460" s="4"/>
      <c r="C460" s="533"/>
      <c r="D460" s="4"/>
      <c r="E460" s="4"/>
      <c r="F460" s="4"/>
      <c r="G460" s="4"/>
      <c r="H460" s="4"/>
      <c r="I460" s="4"/>
      <c r="J460" s="4"/>
      <c r="K460" s="4"/>
      <c r="L460" s="4"/>
      <c r="M460" s="4"/>
      <c r="N460" s="4"/>
      <c r="O460" s="4"/>
      <c r="P460" s="4"/>
      <c r="Q460" s="4"/>
      <c r="R460" s="4"/>
      <c r="S460" s="4"/>
      <c r="T460" s="4"/>
      <c r="U460" s="4"/>
      <c r="V460" s="4"/>
      <c r="W460" s="4"/>
      <c r="X460" s="4"/>
      <c r="Y460" s="4"/>
      <c r="Z460" s="4"/>
      <c r="AA460" s="4"/>
      <c r="AB460" s="4"/>
      <c r="AC460" s="4"/>
      <c r="AD460" s="4"/>
      <c r="AE460" s="4"/>
      <c r="AF460" s="4"/>
      <c r="AG460" s="4"/>
      <c r="AH460" s="4"/>
      <c r="AI460" s="4"/>
      <c r="AJ460" s="4"/>
      <c r="AK460" s="4"/>
      <c r="AL460" s="4"/>
      <c r="AM460" s="4"/>
      <c r="AN460" s="4"/>
      <c r="AO460" s="4"/>
      <c r="AP460" s="4"/>
      <c r="AQ460" s="4"/>
      <c r="AR460" s="4"/>
      <c r="AS460" s="4"/>
      <c r="AT460" s="4"/>
      <c r="AU460" s="4"/>
      <c r="AV460" s="4"/>
      <c r="AW460" s="4"/>
      <c r="AX460" s="4"/>
      <c r="AY460" s="4"/>
      <c r="AZ460" s="4"/>
      <c r="BA460" s="4"/>
      <c r="BB460" s="4"/>
      <c r="BC460" s="4"/>
      <c r="BD460" s="4"/>
      <c r="BE460" s="4"/>
      <c r="BF460" s="4"/>
      <c r="BG460" s="4"/>
      <c r="BH460" s="4"/>
      <c r="BI460" s="4"/>
      <c r="BJ460" s="4"/>
      <c r="BK460" s="4"/>
      <c r="BL460" s="4"/>
      <c r="BM460" s="4"/>
      <c r="BN460" s="4"/>
    </row>
    <row r="461" ht="13.5" customHeight="1" spans="1:66" x14ac:dyDescent="0.25">
      <c r="A461" s="4"/>
      <c r="B461" s="4"/>
      <c r="C461" s="533"/>
      <c r="D461" s="4"/>
      <c r="E461" s="4"/>
      <c r="F461" s="4"/>
      <c r="G461" s="4"/>
      <c r="H461" s="4"/>
      <c r="I461" s="4"/>
      <c r="J461" s="4"/>
      <c r="K461" s="4"/>
      <c r="L461" s="4"/>
      <c r="M461" s="4"/>
      <c r="N461" s="4"/>
      <c r="O461" s="4"/>
      <c r="P461" s="4"/>
      <c r="Q461" s="4"/>
      <c r="R461" s="4"/>
      <c r="S461" s="4"/>
      <c r="T461" s="4"/>
      <c r="U461" s="4"/>
      <c r="V461" s="4"/>
      <c r="W461" s="4"/>
      <c r="X461" s="4"/>
      <c r="Y461" s="4"/>
      <c r="Z461" s="4"/>
      <c r="AA461" s="4"/>
      <c r="AB461" s="4"/>
      <c r="AC461" s="4"/>
      <c r="AD461" s="4"/>
      <c r="AE461" s="4"/>
      <c r="AF461" s="4"/>
      <c r="AG461" s="4"/>
      <c r="AH461" s="4"/>
      <c r="AI461" s="4"/>
      <c r="AJ461" s="4"/>
      <c r="AK461" s="4"/>
      <c r="AL461" s="4"/>
      <c r="AM461" s="4"/>
      <c r="AN461" s="4"/>
      <c r="AO461" s="4"/>
      <c r="AP461" s="4"/>
      <c r="AQ461" s="4"/>
      <c r="AR461" s="4"/>
      <c r="AS461" s="4"/>
      <c r="AT461" s="4"/>
      <c r="AU461" s="4"/>
      <c r="AV461" s="4"/>
      <c r="AW461" s="4"/>
      <c r="AX461" s="4"/>
      <c r="AY461" s="4"/>
      <c r="AZ461" s="4"/>
      <c r="BA461" s="4"/>
      <c r="BB461" s="4"/>
      <c r="BC461" s="4"/>
      <c r="BD461" s="4"/>
      <c r="BE461" s="4"/>
      <c r="BF461" s="4"/>
      <c r="BG461" s="4"/>
      <c r="BH461" s="4"/>
      <c r="BI461" s="4"/>
      <c r="BJ461" s="4"/>
      <c r="BK461" s="4"/>
      <c r="BL461" s="4"/>
      <c r="BM461" s="4"/>
      <c r="BN461" s="4"/>
    </row>
    <row r="462" ht="13.5" customHeight="1" spans="1:66" x14ac:dyDescent="0.25">
      <c r="A462" s="4"/>
      <c r="B462" s="4"/>
      <c r="C462" s="533"/>
      <c r="D462" s="4"/>
      <c r="E462" s="4"/>
      <c r="F462" s="4"/>
      <c r="G462" s="4"/>
      <c r="H462" s="4"/>
      <c r="I462" s="4"/>
      <c r="J462" s="4"/>
      <c r="K462" s="4"/>
      <c r="L462" s="4"/>
      <c r="M462" s="4"/>
      <c r="N462" s="4"/>
      <c r="O462" s="4"/>
      <c r="P462" s="4"/>
      <c r="Q462" s="4"/>
      <c r="R462" s="4"/>
      <c r="S462" s="4"/>
      <c r="T462" s="4"/>
      <c r="U462" s="4"/>
      <c r="V462" s="4"/>
      <c r="W462" s="4"/>
      <c r="X462" s="4"/>
      <c r="Y462" s="4"/>
      <c r="Z462" s="4"/>
      <c r="AA462" s="4"/>
      <c r="AB462" s="4"/>
      <c r="AC462" s="4"/>
      <c r="AD462" s="4"/>
      <c r="AE462" s="4"/>
      <c r="AF462" s="4"/>
      <c r="AG462" s="4"/>
      <c r="AH462" s="4"/>
      <c r="AI462" s="4"/>
      <c r="AJ462" s="4"/>
      <c r="AK462" s="4"/>
      <c r="AL462" s="4"/>
      <c r="AM462" s="4"/>
      <c r="AN462" s="4"/>
      <c r="AO462" s="4"/>
      <c r="AP462" s="4"/>
      <c r="AQ462" s="4"/>
      <c r="AR462" s="4"/>
      <c r="AS462" s="4"/>
      <c r="AT462" s="4"/>
      <c r="AU462" s="4"/>
      <c r="AV462" s="4"/>
      <c r="AW462" s="4"/>
      <c r="AX462" s="4"/>
      <c r="AY462" s="4"/>
      <c r="AZ462" s="4"/>
      <c r="BA462" s="4"/>
      <c r="BB462" s="4"/>
      <c r="BC462" s="4"/>
      <c r="BD462" s="4"/>
      <c r="BE462" s="4"/>
      <c r="BF462" s="4"/>
      <c r="BG462" s="4"/>
      <c r="BH462" s="4"/>
      <c r="BI462" s="4"/>
      <c r="BJ462" s="4"/>
      <c r="BK462" s="4"/>
      <c r="BL462" s="4"/>
      <c r="BM462" s="4"/>
      <c r="BN462" s="4"/>
    </row>
    <row r="463" ht="13.5" customHeight="1" spans="1:66" x14ac:dyDescent="0.25">
      <c r="A463" s="4"/>
      <c r="B463" s="4"/>
      <c r="C463" s="533"/>
      <c r="D463" s="4"/>
      <c r="E463" s="4"/>
      <c r="F463" s="4"/>
      <c r="G463" s="4"/>
      <c r="H463" s="4"/>
      <c r="I463" s="4"/>
      <c r="J463" s="4"/>
      <c r="K463" s="4"/>
      <c r="L463" s="4"/>
      <c r="M463" s="4"/>
      <c r="N463" s="4"/>
      <c r="O463" s="4"/>
      <c r="P463" s="4"/>
      <c r="Q463" s="4"/>
      <c r="R463" s="4"/>
      <c r="S463" s="4"/>
      <c r="T463" s="4"/>
      <c r="U463" s="4"/>
      <c r="V463" s="4"/>
      <c r="W463" s="4"/>
      <c r="X463" s="4"/>
      <c r="Y463" s="4"/>
      <c r="Z463" s="4"/>
      <c r="AA463" s="4"/>
      <c r="AB463" s="4"/>
      <c r="AC463" s="4"/>
      <c r="AD463" s="4"/>
      <c r="AE463" s="4"/>
      <c r="AF463" s="4"/>
      <c r="AG463" s="4"/>
      <c r="AH463" s="4"/>
      <c r="AI463" s="4"/>
      <c r="AJ463" s="4"/>
      <c r="AK463" s="4"/>
      <c r="AL463" s="4"/>
      <c r="AM463" s="4"/>
      <c r="AN463" s="4"/>
      <c r="AO463" s="4"/>
      <c r="AP463" s="4"/>
      <c r="AQ463" s="4"/>
      <c r="AR463" s="4"/>
      <c r="AS463" s="4"/>
      <c r="AT463" s="4"/>
      <c r="AU463" s="4"/>
      <c r="AV463" s="4"/>
      <c r="AW463" s="4"/>
      <c r="AX463" s="4"/>
      <c r="AY463" s="4"/>
      <c r="AZ463" s="4"/>
      <c r="BA463" s="4"/>
      <c r="BB463" s="4"/>
      <c r="BC463" s="4"/>
      <c r="BD463" s="4"/>
      <c r="BE463" s="4"/>
      <c r="BF463" s="4"/>
      <c r="BG463" s="4"/>
      <c r="BH463" s="4"/>
      <c r="BI463" s="4"/>
      <c r="BJ463" s="4"/>
      <c r="BK463" s="4"/>
      <c r="BL463" s="4"/>
      <c r="BM463" s="4"/>
      <c r="BN463" s="4"/>
    </row>
    <row r="464" ht="13.5" customHeight="1" spans="1:66" x14ac:dyDescent="0.25">
      <c r="A464" s="4"/>
      <c r="B464" s="4"/>
      <c r="C464" s="533"/>
      <c r="D464" s="4"/>
      <c r="E464" s="4"/>
      <c r="F464" s="4"/>
      <c r="G464" s="4"/>
      <c r="H464" s="4"/>
      <c r="I464" s="4"/>
      <c r="J464" s="4"/>
      <c r="K464" s="4"/>
      <c r="L464" s="4"/>
      <c r="M464" s="4"/>
      <c r="N464" s="4"/>
      <c r="O464" s="4"/>
      <c r="P464" s="4"/>
      <c r="Q464" s="4"/>
      <c r="R464" s="4"/>
      <c r="S464" s="4"/>
      <c r="T464" s="4"/>
      <c r="U464" s="4"/>
      <c r="V464" s="4"/>
      <c r="W464" s="4"/>
      <c r="X464" s="4"/>
      <c r="Y464" s="4"/>
      <c r="Z464" s="4"/>
      <c r="AA464" s="4"/>
      <c r="AB464" s="4"/>
      <c r="AC464" s="4"/>
      <c r="AD464" s="4"/>
      <c r="AE464" s="4"/>
      <c r="AF464" s="4"/>
      <c r="AG464" s="4"/>
      <c r="AH464" s="4"/>
      <c r="AI464" s="4"/>
      <c r="AJ464" s="4"/>
      <c r="AK464" s="4"/>
      <c r="AL464" s="4"/>
      <c r="AM464" s="4"/>
      <c r="AN464" s="4"/>
      <c r="AO464" s="4"/>
      <c r="AP464" s="4"/>
      <c r="AQ464" s="4"/>
      <c r="AR464" s="4"/>
      <c r="AS464" s="4"/>
      <c r="AT464" s="4"/>
      <c r="AU464" s="4"/>
      <c r="AV464" s="4"/>
      <c r="AW464" s="4"/>
      <c r="AX464" s="4"/>
      <c r="AY464" s="4"/>
      <c r="AZ464" s="4"/>
      <c r="BA464" s="4"/>
      <c r="BB464" s="4"/>
      <c r="BC464" s="4"/>
      <c r="BD464" s="4"/>
      <c r="BE464" s="4"/>
      <c r="BF464" s="4"/>
      <c r="BG464" s="4"/>
      <c r="BH464" s="4"/>
      <c r="BI464" s="4"/>
      <c r="BJ464" s="4"/>
      <c r="BK464" s="4"/>
      <c r="BL464" s="4"/>
      <c r="BM464" s="4"/>
      <c r="BN464" s="4"/>
    </row>
    <row r="465" ht="13.5" customHeight="1" spans="1:66" x14ac:dyDescent="0.25">
      <c r="A465" s="4"/>
      <c r="B465" s="4"/>
      <c r="C465" s="533"/>
      <c r="D465" s="4"/>
      <c r="E465" s="4"/>
      <c r="F465" s="4"/>
      <c r="G465" s="4"/>
      <c r="H465" s="4"/>
      <c r="I465" s="4"/>
      <c r="J465" s="4"/>
      <c r="K465" s="4"/>
      <c r="L465" s="4"/>
      <c r="M465" s="4"/>
      <c r="N465" s="4"/>
      <c r="O465" s="4"/>
      <c r="P465" s="4"/>
      <c r="Q465" s="4"/>
      <c r="R465" s="4"/>
      <c r="S465" s="4"/>
      <c r="T465" s="4"/>
      <c r="U465" s="4"/>
      <c r="V465" s="4"/>
      <c r="W465" s="4"/>
      <c r="X465" s="4"/>
      <c r="Y465" s="4"/>
      <c r="Z465" s="4"/>
      <c r="AA465" s="4"/>
      <c r="AB465" s="4"/>
      <c r="AC465" s="4"/>
      <c r="AD465" s="4"/>
      <c r="AE465" s="4"/>
      <c r="AF465" s="4"/>
      <c r="AG465" s="4"/>
      <c r="AH465" s="4"/>
      <c r="AI465" s="4"/>
      <c r="AJ465" s="4"/>
      <c r="AK465" s="4"/>
      <c r="AL465" s="4"/>
      <c r="AM465" s="4"/>
      <c r="AN465" s="4"/>
      <c r="AO465" s="4"/>
      <c r="AP465" s="4"/>
      <c r="AQ465" s="4"/>
      <c r="AR465" s="4"/>
      <c r="AS465" s="4"/>
      <c r="AT465" s="4"/>
      <c r="AU465" s="4"/>
      <c r="AV465" s="4"/>
      <c r="AW465" s="4"/>
      <c r="AX465" s="4"/>
      <c r="AY465" s="4"/>
      <c r="AZ465" s="4"/>
      <c r="BA465" s="4"/>
      <c r="BB465" s="4"/>
      <c r="BC465" s="4"/>
      <c r="BD465" s="4"/>
      <c r="BE465" s="4"/>
      <c r="BF465" s="4"/>
      <c r="BG465" s="4"/>
      <c r="BH465" s="4"/>
      <c r="BI465" s="4"/>
      <c r="BJ465" s="4"/>
      <c r="BK465" s="4"/>
      <c r="BL465" s="4"/>
      <c r="BM465" s="4"/>
      <c r="BN465" s="4"/>
    </row>
    <row r="466" ht="13.5" customHeight="1" spans="1:66" x14ac:dyDescent="0.25">
      <c r="A466" s="4"/>
      <c r="B466" s="4"/>
      <c r="C466" s="533"/>
      <c r="D466" s="4"/>
      <c r="E466" s="4"/>
      <c r="F466" s="4"/>
      <c r="G466" s="4"/>
      <c r="H466" s="4"/>
      <c r="I466" s="4"/>
      <c r="J466" s="4"/>
      <c r="K466" s="4"/>
      <c r="L466" s="4"/>
      <c r="M466" s="4"/>
      <c r="N466" s="4"/>
      <c r="O466" s="4"/>
      <c r="P466" s="4"/>
      <c r="Q466" s="4"/>
      <c r="R466" s="4"/>
      <c r="S466" s="4"/>
      <c r="T466" s="4"/>
      <c r="U466" s="4"/>
      <c r="V466" s="4"/>
      <c r="W466" s="4"/>
      <c r="X466" s="4"/>
      <c r="Y466" s="4"/>
      <c r="Z466" s="4"/>
      <c r="AA466" s="4"/>
      <c r="AB466" s="4"/>
      <c r="AC466" s="4"/>
      <c r="AD466" s="4"/>
      <c r="AE466" s="4"/>
      <c r="AF466" s="4"/>
      <c r="AG466" s="4"/>
      <c r="AH466" s="4"/>
      <c r="AI466" s="4"/>
      <c r="AJ466" s="4"/>
      <c r="AK466" s="4"/>
      <c r="AL466" s="4"/>
      <c r="AM466" s="4"/>
      <c r="AN466" s="4"/>
      <c r="AO466" s="4"/>
      <c r="AP466" s="4"/>
      <c r="AQ466" s="4"/>
      <c r="AR466" s="4"/>
      <c r="AS466" s="4"/>
      <c r="AT466" s="4"/>
      <c r="AU466" s="4"/>
      <c r="AV466" s="4"/>
      <c r="AW466" s="4"/>
      <c r="AX466" s="4"/>
      <c r="AY466" s="4"/>
      <c r="AZ466" s="4"/>
      <c r="BA466" s="4"/>
      <c r="BB466" s="4"/>
      <c r="BC466" s="4"/>
      <c r="BD466" s="4"/>
      <c r="BE466" s="4"/>
      <c r="BF466" s="4"/>
      <c r="BG466" s="4"/>
      <c r="BH466" s="4"/>
      <c r="BI466" s="4"/>
      <c r="BJ466" s="4"/>
      <c r="BK466" s="4"/>
      <c r="BL466" s="4"/>
      <c r="BM466" s="4"/>
      <c r="BN466" s="4"/>
    </row>
    <row r="467" ht="13.5" customHeight="1" spans="1:66" x14ac:dyDescent="0.25">
      <c r="A467" s="4"/>
      <c r="B467" s="4"/>
      <c r="C467" s="533"/>
      <c r="D467" s="4"/>
      <c r="E467" s="4"/>
      <c r="F467" s="4"/>
      <c r="G467" s="4"/>
      <c r="H467" s="4"/>
      <c r="I467" s="4"/>
      <c r="J467" s="4"/>
      <c r="K467" s="4"/>
      <c r="L467" s="4"/>
      <c r="M467" s="4"/>
      <c r="N467" s="4"/>
      <c r="O467" s="4"/>
      <c r="P467" s="4"/>
      <c r="Q467" s="4"/>
      <c r="R467" s="4"/>
      <c r="S467" s="4"/>
      <c r="T467" s="4"/>
      <c r="U467" s="4"/>
      <c r="V467" s="4"/>
      <c r="W467" s="4"/>
      <c r="X467" s="4"/>
      <c r="Y467" s="4"/>
      <c r="Z467" s="4"/>
      <c r="AA467" s="4"/>
      <c r="AB467" s="4"/>
      <c r="AC467" s="4"/>
      <c r="AD467" s="4"/>
      <c r="AE467" s="4"/>
      <c r="AF467" s="4"/>
      <c r="AG467" s="4"/>
      <c r="AH467" s="4"/>
      <c r="AI467" s="4"/>
      <c r="AJ467" s="4"/>
      <c r="AK467" s="4"/>
      <c r="AL467" s="4"/>
      <c r="AM467" s="4"/>
      <c r="AN467" s="4"/>
      <c r="AO467" s="4"/>
      <c r="AP467" s="4"/>
      <c r="AQ467" s="4"/>
      <c r="AR467" s="4"/>
      <c r="AS467" s="4"/>
      <c r="AT467" s="4"/>
      <c r="AU467" s="4"/>
      <c r="AV467" s="4"/>
      <c r="AW467" s="4"/>
      <c r="AX467" s="4"/>
      <c r="AY467" s="4"/>
      <c r="AZ467" s="4"/>
      <c r="BA467" s="4"/>
      <c r="BB467" s="4"/>
      <c r="BC467" s="4"/>
      <c r="BD467" s="4"/>
      <c r="BE467" s="4"/>
      <c r="BF467" s="4"/>
      <c r="BG467" s="4"/>
      <c r="BH467" s="4"/>
      <c r="BI467" s="4"/>
      <c r="BJ467" s="4"/>
      <c r="BK467" s="4"/>
      <c r="BL467" s="4"/>
      <c r="BM467" s="4"/>
      <c r="BN467" s="4"/>
    </row>
    <row r="468" ht="13.5" customHeight="1" spans="1:66" x14ac:dyDescent="0.25">
      <c r="A468" s="4"/>
      <c r="B468" s="4"/>
      <c r="C468" s="533"/>
      <c r="D468" s="4"/>
      <c r="E468" s="4"/>
      <c r="F468" s="4"/>
      <c r="G468" s="4"/>
      <c r="H468" s="4"/>
      <c r="I468" s="4"/>
      <c r="J468" s="4"/>
      <c r="K468" s="4"/>
      <c r="L468" s="4"/>
      <c r="M468" s="4"/>
      <c r="N468" s="4"/>
      <c r="O468" s="4"/>
      <c r="P468" s="4"/>
      <c r="Q468" s="4"/>
      <c r="R468" s="4"/>
      <c r="S468" s="4"/>
      <c r="T468" s="4"/>
      <c r="U468" s="4"/>
      <c r="V468" s="4"/>
      <c r="W468" s="4"/>
      <c r="X468" s="4"/>
      <c r="Y468" s="4"/>
      <c r="Z468" s="4"/>
      <c r="AA468" s="4"/>
      <c r="AB468" s="4"/>
      <c r="AC468" s="4"/>
      <c r="AD468" s="4"/>
      <c r="AE468" s="4"/>
      <c r="AF468" s="4"/>
      <c r="AG468" s="4"/>
      <c r="AH468" s="4"/>
      <c r="AI468" s="4"/>
      <c r="AJ468" s="4"/>
      <c r="AK468" s="4"/>
      <c r="AL468" s="4"/>
      <c r="AM468" s="4"/>
      <c r="AN468" s="4"/>
      <c r="AO468" s="4"/>
      <c r="AP468" s="4"/>
      <c r="AQ468" s="4"/>
      <c r="AR468" s="4"/>
      <c r="AS468" s="4"/>
      <c r="AT468" s="4"/>
      <c r="AU468" s="4"/>
      <c r="AV468" s="4"/>
      <c r="AW468" s="4"/>
      <c r="AX468" s="4"/>
      <c r="AY468" s="4"/>
      <c r="AZ468" s="4"/>
      <c r="BA468" s="4"/>
      <c r="BB468" s="4"/>
      <c r="BC468" s="4"/>
      <c r="BD468" s="4"/>
      <c r="BE468" s="4"/>
      <c r="BF468" s="4"/>
      <c r="BG468" s="4"/>
      <c r="BH468" s="4"/>
      <c r="BI468" s="4"/>
      <c r="BJ468" s="4"/>
      <c r="BK468" s="4"/>
      <c r="BL468" s="4"/>
      <c r="BM468" s="4"/>
      <c r="BN468" s="4"/>
    </row>
    <row r="469" ht="13.5" customHeight="1" spans="1:66" x14ac:dyDescent="0.25">
      <c r="A469" s="4"/>
      <c r="B469" s="4"/>
      <c r="C469" s="533"/>
      <c r="D469" s="4"/>
      <c r="E469" s="4"/>
      <c r="F469" s="4"/>
      <c r="G469" s="4"/>
      <c r="H469" s="4"/>
      <c r="I469" s="4"/>
      <c r="J469" s="4"/>
      <c r="K469" s="4"/>
      <c r="L469" s="4"/>
      <c r="M469" s="4"/>
      <c r="N469" s="4"/>
      <c r="O469" s="4"/>
      <c r="P469" s="4"/>
      <c r="Q469" s="4"/>
      <c r="R469" s="4"/>
      <c r="S469" s="4"/>
      <c r="T469" s="4"/>
      <c r="U469" s="4"/>
      <c r="V469" s="4"/>
      <c r="W469" s="4"/>
      <c r="X469" s="4"/>
      <c r="Y469" s="4"/>
      <c r="Z469" s="4"/>
      <c r="AA469" s="4"/>
      <c r="AB469" s="4"/>
      <c r="AC469" s="4"/>
      <c r="AD469" s="4"/>
      <c r="AE469" s="4"/>
      <c r="AF469" s="4"/>
      <c r="AG469" s="4"/>
      <c r="AH469" s="4"/>
      <c r="AI469" s="4"/>
      <c r="AJ469" s="4"/>
      <c r="AK469" s="4"/>
      <c r="AL469" s="4"/>
      <c r="AM469" s="4"/>
      <c r="AN469" s="4"/>
      <c r="AO469" s="4"/>
      <c r="AP469" s="4"/>
      <c r="AQ469" s="4"/>
      <c r="AR469" s="4"/>
      <c r="AS469" s="4"/>
      <c r="AT469" s="4"/>
      <c r="AU469" s="4"/>
      <c r="AV469" s="4"/>
      <c r="AW469" s="4"/>
      <c r="AX469" s="4"/>
      <c r="AY469" s="4"/>
      <c r="AZ469" s="4"/>
      <c r="BA469" s="4"/>
      <c r="BB469" s="4"/>
      <c r="BC469" s="4"/>
      <c r="BD469" s="4"/>
      <c r="BE469" s="4"/>
      <c r="BF469" s="4"/>
      <c r="BG469" s="4"/>
      <c r="BH469" s="4"/>
      <c r="BI469" s="4"/>
      <c r="BJ469" s="4"/>
      <c r="BK469" s="4"/>
      <c r="BL469" s="4"/>
      <c r="BM469" s="4"/>
      <c r="BN469" s="4"/>
    </row>
    <row r="470" ht="13.5" customHeight="1" spans="1:66" x14ac:dyDescent="0.25">
      <c r="A470" s="4"/>
      <c r="B470" s="4"/>
      <c r="C470" s="533"/>
      <c r="D470" s="4"/>
      <c r="E470" s="4"/>
      <c r="F470" s="4"/>
      <c r="G470" s="4"/>
      <c r="H470" s="4"/>
      <c r="I470" s="4"/>
      <c r="J470" s="4"/>
      <c r="K470" s="4"/>
      <c r="L470" s="4"/>
      <c r="M470" s="4"/>
      <c r="N470" s="4"/>
      <c r="O470" s="4"/>
      <c r="P470" s="4"/>
      <c r="Q470" s="4"/>
      <c r="R470" s="4"/>
      <c r="S470" s="4"/>
      <c r="T470" s="4"/>
      <c r="U470" s="4"/>
      <c r="V470" s="4"/>
      <c r="W470" s="4"/>
      <c r="X470" s="4"/>
      <c r="Y470" s="4"/>
      <c r="Z470" s="4"/>
      <c r="AA470" s="4"/>
      <c r="AB470" s="4"/>
      <c r="AC470" s="4"/>
      <c r="AD470" s="4"/>
      <c r="AE470" s="4"/>
      <c r="AF470" s="4"/>
      <c r="AG470" s="4"/>
      <c r="AH470" s="4"/>
      <c r="AI470" s="4"/>
      <c r="AJ470" s="4"/>
      <c r="AK470" s="4"/>
      <c r="AL470" s="4"/>
      <c r="AM470" s="4"/>
      <c r="AN470" s="4"/>
      <c r="AO470" s="4"/>
      <c r="AP470" s="4"/>
      <c r="AQ470" s="4"/>
      <c r="AR470" s="4"/>
      <c r="AS470" s="4"/>
      <c r="AT470" s="4"/>
      <c r="AU470" s="4"/>
      <c r="AV470" s="4"/>
      <c r="AW470" s="4"/>
      <c r="AX470" s="4"/>
      <c r="AY470" s="4"/>
      <c r="AZ470" s="4"/>
      <c r="BA470" s="4"/>
      <c r="BB470" s="4"/>
      <c r="BC470" s="4"/>
      <c r="BD470" s="4"/>
      <c r="BE470" s="4"/>
      <c r="BF470" s="4"/>
      <c r="BG470" s="4"/>
      <c r="BH470" s="4"/>
      <c r="BI470" s="4"/>
      <c r="BJ470" s="4"/>
      <c r="BK470" s="4"/>
      <c r="BL470" s="4"/>
      <c r="BM470" s="4"/>
      <c r="BN470" s="4"/>
    </row>
    <row r="471" ht="13.5" customHeight="1" spans="1:66" x14ac:dyDescent="0.25">
      <c r="A471" s="4"/>
      <c r="B471" s="4"/>
      <c r="C471" s="533"/>
      <c r="D471" s="4"/>
      <c r="E471" s="4"/>
      <c r="F471" s="4"/>
      <c r="G471" s="4"/>
      <c r="H471" s="4"/>
      <c r="I471" s="4"/>
      <c r="J471" s="4"/>
      <c r="K471" s="4"/>
      <c r="L471" s="4"/>
      <c r="M471" s="4"/>
      <c r="N471" s="4"/>
      <c r="O471" s="4"/>
      <c r="P471" s="4"/>
      <c r="Q471" s="4"/>
      <c r="R471" s="4"/>
      <c r="S471" s="4"/>
      <c r="T471" s="4"/>
      <c r="U471" s="4"/>
      <c r="V471" s="4"/>
      <c r="W471" s="4"/>
      <c r="X471" s="4"/>
      <c r="Y471" s="4"/>
      <c r="Z471" s="4"/>
      <c r="AA471" s="4"/>
      <c r="AB471" s="4"/>
      <c r="AC471" s="4"/>
      <c r="AD471" s="4"/>
      <c r="AE471" s="4"/>
      <c r="AF471" s="4"/>
      <c r="AG471" s="4"/>
      <c r="AH471" s="4"/>
      <c r="AI471" s="4"/>
      <c r="AJ471" s="4"/>
      <c r="AK471" s="4"/>
      <c r="AL471" s="4"/>
      <c r="AM471" s="4"/>
      <c r="AN471" s="4"/>
      <c r="AO471" s="4"/>
      <c r="AP471" s="4"/>
      <c r="AQ471" s="4"/>
      <c r="AR471" s="4"/>
      <c r="AS471" s="4"/>
      <c r="AT471" s="4"/>
      <c r="AU471" s="4"/>
      <c r="AV471" s="4"/>
      <c r="AW471" s="4"/>
      <c r="AX471" s="4"/>
      <c r="AY471" s="4"/>
      <c r="AZ471" s="4"/>
      <c r="BA471" s="4"/>
      <c r="BB471" s="4"/>
      <c r="BC471" s="4"/>
      <c r="BD471" s="4"/>
      <c r="BE471" s="4"/>
      <c r="BF471" s="4"/>
      <c r="BG471" s="4"/>
      <c r="BH471" s="4"/>
      <c r="BI471" s="4"/>
      <c r="BJ471" s="4"/>
      <c r="BK471" s="4"/>
      <c r="BL471" s="4"/>
      <c r="BM471" s="4"/>
      <c r="BN471" s="4"/>
    </row>
    <row r="472" ht="13.5" customHeight="1" spans="1:66" x14ac:dyDescent="0.25">
      <c r="A472" s="4"/>
      <c r="B472" s="4"/>
      <c r="C472" s="533"/>
      <c r="D472" s="4"/>
      <c r="E472" s="4"/>
      <c r="F472" s="4"/>
      <c r="G472" s="4"/>
      <c r="H472" s="4"/>
      <c r="I472" s="4"/>
      <c r="J472" s="4"/>
      <c r="K472" s="4"/>
      <c r="L472" s="4"/>
      <c r="M472" s="4"/>
      <c r="N472" s="4"/>
      <c r="O472" s="4"/>
      <c r="P472" s="4"/>
      <c r="Q472" s="4"/>
      <c r="R472" s="4"/>
      <c r="S472" s="4"/>
      <c r="T472" s="4"/>
      <c r="U472" s="4"/>
      <c r="V472" s="4"/>
      <c r="W472" s="4"/>
      <c r="X472" s="4"/>
      <c r="Y472" s="4"/>
      <c r="Z472" s="4"/>
      <c r="AA472" s="4"/>
      <c r="AB472" s="4"/>
      <c r="AC472" s="4"/>
      <c r="AD472" s="4"/>
      <c r="AE472" s="4"/>
      <c r="AF472" s="4"/>
      <c r="AG472" s="4"/>
      <c r="AH472" s="4"/>
      <c r="AI472" s="4"/>
      <c r="AJ472" s="4"/>
      <c r="AK472" s="4"/>
      <c r="AL472" s="4"/>
      <c r="AM472" s="4"/>
      <c r="AN472" s="4"/>
      <c r="AO472" s="4"/>
      <c r="AP472" s="4"/>
      <c r="AQ472" s="4"/>
      <c r="AR472" s="4"/>
      <c r="AS472" s="4"/>
      <c r="AT472" s="4"/>
      <c r="AU472" s="4"/>
      <c r="AV472" s="4"/>
      <c r="AW472" s="4"/>
      <c r="AX472" s="4"/>
      <c r="AY472" s="4"/>
      <c r="AZ472" s="4"/>
      <c r="BA472" s="4"/>
      <c r="BB472" s="4"/>
      <c r="BC472" s="4"/>
      <c r="BD472" s="4"/>
      <c r="BE472" s="4"/>
      <c r="BF472" s="4"/>
      <c r="BG472" s="4"/>
      <c r="BH472" s="4"/>
      <c r="BI472" s="4"/>
      <c r="BJ472" s="4"/>
      <c r="BK472" s="4"/>
      <c r="BL472" s="4"/>
      <c r="BM472" s="4"/>
      <c r="BN472" s="4"/>
    </row>
    <row r="473" ht="13.5" customHeight="1" spans="1:66" x14ac:dyDescent="0.25">
      <c r="A473" s="4"/>
      <c r="B473" s="4"/>
      <c r="C473" s="533"/>
      <c r="D473" s="4"/>
      <c r="E473" s="4"/>
      <c r="F473" s="4"/>
      <c r="G473" s="4"/>
      <c r="H473" s="4"/>
      <c r="I473" s="4"/>
      <c r="J473" s="4"/>
      <c r="K473" s="4"/>
      <c r="L473" s="4"/>
      <c r="M473" s="4"/>
      <c r="N473" s="4"/>
      <c r="O473" s="4"/>
      <c r="P473" s="4"/>
      <c r="Q473" s="4"/>
      <c r="R473" s="4"/>
      <c r="S473" s="4"/>
      <c r="T473" s="4"/>
      <c r="U473" s="4"/>
      <c r="V473" s="4"/>
      <c r="W473" s="4"/>
      <c r="X473" s="4"/>
      <c r="Y473" s="4"/>
      <c r="Z473" s="4"/>
      <c r="AA473" s="4"/>
      <c r="AB473" s="4"/>
      <c r="AC473" s="4"/>
      <c r="AD473" s="4"/>
      <c r="AE473" s="4"/>
      <c r="AF473" s="4"/>
      <c r="AG473" s="4"/>
      <c r="AH473" s="4"/>
      <c r="AI473" s="4"/>
      <c r="AJ473" s="4"/>
      <c r="AK473" s="4"/>
      <c r="AL473" s="4"/>
      <c r="AM473" s="4"/>
      <c r="AN473" s="4"/>
      <c r="AO473" s="4"/>
      <c r="AP473" s="4"/>
      <c r="AQ473" s="4"/>
      <c r="AR473" s="4"/>
      <c r="AS473" s="4"/>
      <c r="AT473" s="4"/>
      <c r="AU473" s="4"/>
      <c r="AV473" s="4"/>
      <c r="AW473" s="4"/>
      <c r="AX473" s="4"/>
      <c r="AY473" s="4"/>
      <c r="AZ473" s="4"/>
      <c r="BA473" s="4"/>
      <c r="BB473" s="4"/>
      <c r="BC473" s="4"/>
      <c r="BD473" s="4"/>
      <c r="BE473" s="4"/>
      <c r="BF473" s="4"/>
      <c r="BG473" s="4"/>
      <c r="BH473" s="4"/>
      <c r="BI473" s="4"/>
      <c r="BJ473" s="4"/>
      <c r="BK473" s="4"/>
      <c r="BL473" s="4"/>
      <c r="BM473" s="4"/>
      <c r="BN473" s="4"/>
    </row>
    <row r="474" ht="13.5" customHeight="1" spans="1:66" x14ac:dyDescent="0.25">
      <c r="A474" s="4"/>
      <c r="B474" s="4"/>
      <c r="C474" s="533"/>
      <c r="D474" s="4"/>
      <c r="E474" s="4"/>
      <c r="F474" s="4"/>
      <c r="G474" s="4"/>
      <c r="H474" s="4"/>
      <c r="I474" s="4"/>
      <c r="J474" s="4"/>
      <c r="K474" s="4"/>
      <c r="L474" s="4"/>
      <c r="M474" s="4"/>
      <c r="N474" s="4"/>
      <c r="O474" s="4"/>
      <c r="P474" s="4"/>
      <c r="Q474" s="4"/>
      <c r="R474" s="4"/>
      <c r="S474" s="4"/>
      <c r="T474" s="4"/>
      <c r="U474" s="4"/>
      <c r="V474" s="4"/>
      <c r="W474" s="4"/>
      <c r="X474" s="4"/>
      <c r="Y474" s="4"/>
      <c r="Z474" s="4"/>
      <c r="AA474" s="4"/>
      <c r="AB474" s="4"/>
      <c r="AC474" s="4"/>
      <c r="AD474" s="4"/>
      <c r="AE474" s="4"/>
      <c r="AF474" s="4"/>
      <c r="AG474" s="4"/>
      <c r="AH474" s="4"/>
      <c r="AI474" s="4"/>
      <c r="AJ474" s="4"/>
      <c r="AK474" s="4"/>
      <c r="AL474" s="4"/>
      <c r="AM474" s="4"/>
      <c r="AN474" s="4"/>
      <c r="AO474" s="4"/>
      <c r="AP474" s="4"/>
      <c r="AQ474" s="4"/>
      <c r="AR474" s="4"/>
      <c r="AS474" s="4"/>
      <c r="AT474" s="4"/>
      <c r="AU474" s="4"/>
      <c r="AV474" s="4"/>
      <c r="AW474" s="4"/>
      <c r="AX474" s="4"/>
      <c r="AY474" s="4"/>
      <c r="AZ474" s="4"/>
      <c r="BA474" s="4"/>
      <c r="BB474" s="4"/>
      <c r="BC474" s="4"/>
      <c r="BD474" s="4"/>
      <c r="BE474" s="4"/>
      <c r="BF474" s="4"/>
      <c r="BG474" s="4"/>
      <c r="BH474" s="4"/>
      <c r="BI474" s="4"/>
      <c r="BJ474" s="4"/>
      <c r="BK474" s="4"/>
      <c r="BL474" s="4"/>
      <c r="BM474" s="4"/>
      <c r="BN474" s="4"/>
    </row>
    <row r="475" ht="13.5" customHeight="1" spans="1:66" x14ac:dyDescent="0.25">
      <c r="A475" s="4"/>
      <c r="B475" s="4"/>
      <c r="C475" s="533"/>
      <c r="D475" s="4"/>
      <c r="E475" s="4"/>
      <c r="F475" s="4"/>
      <c r="G475" s="4"/>
      <c r="H475" s="4"/>
      <c r="I475" s="4"/>
      <c r="J475" s="4"/>
      <c r="K475" s="4"/>
      <c r="L475" s="4"/>
      <c r="M475" s="4"/>
      <c r="N475" s="4"/>
      <c r="O475" s="4"/>
      <c r="P475" s="4"/>
      <c r="Q475" s="4"/>
      <c r="R475" s="4"/>
      <c r="S475" s="4"/>
      <c r="T475" s="4"/>
      <c r="U475" s="4"/>
      <c r="V475" s="4"/>
      <c r="W475" s="4"/>
      <c r="X475" s="4"/>
      <c r="Y475" s="4"/>
      <c r="Z475" s="4"/>
      <c r="AA475" s="4"/>
      <c r="AB475" s="4"/>
      <c r="AC475" s="4"/>
      <c r="AD475" s="4"/>
      <c r="AE475" s="4"/>
      <c r="AF475" s="4"/>
      <c r="AG475" s="4"/>
      <c r="AH475" s="4"/>
      <c r="AI475" s="4"/>
      <c r="AJ475" s="4"/>
      <c r="AK475" s="4"/>
      <c r="AL475" s="4"/>
      <c r="AM475" s="4"/>
      <c r="AN475" s="4"/>
      <c r="AO475" s="4"/>
      <c r="AP475" s="4"/>
      <c r="AQ475" s="4"/>
      <c r="AR475" s="4"/>
      <c r="AS475" s="4"/>
      <c r="AT475" s="4"/>
      <c r="AU475" s="4"/>
      <c r="AV475" s="4"/>
      <c r="AW475" s="4"/>
      <c r="AX475" s="4"/>
      <c r="AY475" s="4"/>
      <c r="AZ475" s="4"/>
      <c r="BA475" s="4"/>
      <c r="BB475" s="4"/>
      <c r="BC475" s="4"/>
      <c r="BD475" s="4"/>
      <c r="BE475" s="4"/>
      <c r="BF475" s="4"/>
      <c r="BG475" s="4"/>
      <c r="BH475" s="4"/>
      <c r="BI475" s="4"/>
      <c r="BJ475" s="4"/>
      <c r="BK475" s="4"/>
      <c r="BL475" s="4"/>
      <c r="BM475" s="4"/>
      <c r="BN475" s="4"/>
    </row>
    <row r="476" ht="13.5" customHeight="1" spans="1:66" x14ac:dyDescent="0.25">
      <c r="A476" s="4"/>
      <c r="B476" s="4"/>
      <c r="C476" s="533"/>
      <c r="D476" s="4"/>
      <c r="E476" s="4"/>
      <c r="F476" s="4"/>
      <c r="G476" s="4"/>
      <c r="H476" s="4"/>
      <c r="I476" s="4"/>
      <c r="J476" s="4"/>
      <c r="K476" s="4"/>
      <c r="L476" s="4"/>
      <c r="M476" s="4"/>
      <c r="N476" s="4"/>
      <c r="O476" s="4"/>
      <c r="P476" s="4"/>
      <c r="Q476" s="4"/>
      <c r="R476" s="4"/>
      <c r="S476" s="4"/>
      <c r="T476" s="4"/>
      <c r="U476" s="4"/>
      <c r="V476" s="4"/>
      <c r="W476" s="4"/>
      <c r="X476" s="4"/>
      <c r="Y476" s="4"/>
      <c r="Z476" s="4"/>
      <c r="AA476" s="4"/>
      <c r="AB476" s="4"/>
      <c r="AC476" s="4"/>
      <c r="AD476" s="4"/>
      <c r="AE476" s="4"/>
      <c r="AF476" s="4"/>
      <c r="AG476" s="4"/>
      <c r="AH476" s="4"/>
      <c r="AI476" s="4"/>
      <c r="AJ476" s="4"/>
      <c r="AK476" s="4"/>
      <c r="AL476" s="4"/>
      <c r="AM476" s="4"/>
      <c r="AN476" s="4"/>
      <c r="AO476" s="4"/>
      <c r="AP476" s="4"/>
      <c r="AQ476" s="4"/>
      <c r="AR476" s="4"/>
      <c r="AS476" s="4"/>
      <c r="AT476" s="4"/>
      <c r="AU476" s="4"/>
      <c r="AV476" s="4"/>
      <c r="AW476" s="4"/>
      <c r="AX476" s="4"/>
      <c r="AY476" s="4"/>
      <c r="AZ476" s="4"/>
      <c r="BA476" s="4"/>
      <c r="BB476" s="4"/>
      <c r="BC476" s="4"/>
      <c r="BD476" s="4"/>
      <c r="BE476" s="4"/>
      <c r="BF476" s="4"/>
      <c r="BG476" s="4"/>
      <c r="BH476" s="4"/>
      <c r="BI476" s="4"/>
      <c r="BJ476" s="4"/>
      <c r="BK476" s="4"/>
      <c r="BL476" s="4"/>
      <c r="BM476" s="4"/>
      <c r="BN476" s="4"/>
    </row>
    <row r="477" ht="13.5" customHeight="1" spans="1:66" x14ac:dyDescent="0.25">
      <c r="A477" s="4"/>
      <c r="B477" s="4"/>
      <c r="C477" s="533"/>
      <c r="D477" s="4"/>
      <c r="E477" s="4"/>
      <c r="F477" s="4"/>
      <c r="G477" s="4"/>
      <c r="H477" s="4"/>
      <c r="I477" s="4"/>
      <c r="J477" s="4"/>
      <c r="K477" s="4"/>
      <c r="L477" s="4"/>
      <c r="M477" s="4"/>
      <c r="N477" s="4"/>
      <c r="O477" s="4"/>
      <c r="P477" s="4"/>
      <c r="Q477" s="4"/>
      <c r="R477" s="4"/>
      <c r="S477" s="4"/>
      <c r="T477" s="4"/>
      <c r="U477" s="4"/>
      <c r="V477" s="4"/>
      <c r="W477" s="4"/>
      <c r="X477" s="4"/>
      <c r="Y477" s="4"/>
      <c r="Z477" s="4"/>
      <c r="AA477" s="4"/>
      <c r="AB477" s="4"/>
      <c r="AC477" s="4"/>
      <c r="AD477" s="4"/>
      <c r="AE477" s="4"/>
      <c r="AF477" s="4"/>
      <c r="AG477" s="4"/>
      <c r="AH477" s="4"/>
      <c r="AI477" s="4"/>
      <c r="AJ477" s="4"/>
      <c r="AK477" s="4"/>
      <c r="AL477" s="4"/>
      <c r="AM477" s="4"/>
      <c r="AN477" s="4"/>
      <c r="AO477" s="4"/>
      <c r="AP477" s="4"/>
      <c r="AQ477" s="4"/>
      <c r="AR477" s="4"/>
      <c r="AS477" s="4"/>
      <c r="AT477" s="4"/>
      <c r="AU477" s="4"/>
      <c r="AV477" s="4"/>
      <c r="AW477" s="4"/>
      <c r="AX477" s="4"/>
      <c r="AY477" s="4"/>
      <c r="AZ477" s="4"/>
      <c r="BA477" s="4"/>
      <c r="BB477" s="4"/>
      <c r="BC477" s="4"/>
      <c r="BD477" s="4"/>
      <c r="BE477" s="4"/>
      <c r="BF477" s="4"/>
      <c r="BG477" s="4"/>
      <c r="BH477" s="4"/>
      <c r="BI477" s="4"/>
      <c r="BJ477" s="4"/>
      <c r="BK477" s="4"/>
      <c r="BL477" s="4"/>
      <c r="BM477" s="4"/>
      <c r="BN477" s="4"/>
    </row>
    <row r="478" ht="13.5" customHeight="1" spans="1:66" x14ac:dyDescent="0.25">
      <c r="A478" s="4"/>
      <c r="B478" s="4"/>
      <c r="C478" s="533"/>
      <c r="D478" s="4"/>
      <c r="E478" s="4"/>
      <c r="F478" s="4"/>
      <c r="G478" s="4"/>
      <c r="H478" s="4"/>
      <c r="I478" s="4"/>
      <c r="J478" s="4"/>
      <c r="K478" s="4"/>
      <c r="L478" s="4"/>
      <c r="M478" s="4"/>
      <c r="N478" s="4"/>
      <c r="O478" s="4"/>
      <c r="P478" s="4"/>
      <c r="Q478" s="4"/>
      <c r="R478" s="4"/>
      <c r="S478" s="4"/>
      <c r="T478" s="4"/>
      <c r="U478" s="4"/>
      <c r="V478" s="4"/>
      <c r="W478" s="4"/>
      <c r="X478" s="4"/>
      <c r="Y478" s="4"/>
      <c r="Z478" s="4"/>
      <c r="AA478" s="4"/>
      <c r="AB478" s="4"/>
      <c r="AC478" s="4"/>
      <c r="AD478" s="4"/>
      <c r="AE478" s="4"/>
      <c r="AF478" s="4"/>
      <c r="AG478" s="4"/>
      <c r="AH478" s="4"/>
      <c r="AI478" s="4"/>
      <c r="AJ478" s="4"/>
      <c r="AK478" s="4"/>
      <c r="AL478" s="4"/>
      <c r="AM478" s="4"/>
      <c r="AN478" s="4"/>
      <c r="AO478" s="4"/>
      <c r="AP478" s="4"/>
      <c r="AQ478" s="4"/>
      <c r="AR478" s="4"/>
      <c r="AS478" s="4"/>
      <c r="AT478" s="4"/>
      <c r="AU478" s="4"/>
      <c r="AV478" s="4"/>
      <c r="AW478" s="4"/>
      <c r="AX478" s="4"/>
      <c r="AY478" s="4"/>
      <c r="AZ478" s="4"/>
      <c r="BA478" s="4"/>
      <c r="BB478" s="4"/>
      <c r="BC478" s="4"/>
      <c r="BD478" s="4"/>
      <c r="BE478" s="4"/>
      <c r="BF478" s="4"/>
      <c r="BG478" s="4"/>
      <c r="BH478" s="4"/>
      <c r="BI478" s="4"/>
      <c r="BJ478" s="4"/>
      <c r="BK478" s="4"/>
      <c r="BL478" s="4"/>
      <c r="BM478" s="4"/>
      <c r="BN478" s="4"/>
    </row>
    <row r="479" ht="13.5" customHeight="1" spans="1:66" x14ac:dyDescent="0.25">
      <c r="A479" s="4"/>
      <c r="B479" s="4"/>
      <c r="C479" s="533"/>
      <c r="D479" s="4"/>
      <c r="E479" s="4"/>
      <c r="F479" s="4"/>
      <c r="G479" s="4"/>
      <c r="H479" s="4"/>
      <c r="I479" s="4"/>
      <c r="J479" s="4"/>
      <c r="K479" s="4"/>
      <c r="L479" s="4"/>
      <c r="M479" s="4"/>
      <c r="N479" s="4"/>
      <c r="O479" s="4"/>
      <c r="P479" s="4"/>
      <c r="Q479" s="4"/>
      <c r="R479" s="4"/>
      <c r="S479" s="4"/>
      <c r="T479" s="4"/>
      <c r="U479" s="4"/>
      <c r="V479" s="4"/>
      <c r="W479" s="4"/>
      <c r="X479" s="4"/>
      <c r="Y479" s="4"/>
      <c r="Z479" s="4"/>
      <c r="AA479" s="4"/>
      <c r="AB479" s="4"/>
      <c r="AC479" s="4"/>
      <c r="AD479" s="4"/>
      <c r="AE479" s="4"/>
      <c r="AF479" s="4"/>
      <c r="AG479" s="4"/>
      <c r="AH479" s="4"/>
      <c r="AI479" s="4"/>
      <c r="AJ479" s="4"/>
      <c r="AK479" s="4"/>
      <c r="AL479" s="4"/>
      <c r="AM479" s="4"/>
      <c r="AN479" s="4"/>
      <c r="AO479" s="4"/>
      <c r="AP479" s="4"/>
      <c r="AQ479" s="4"/>
      <c r="AR479" s="4"/>
      <c r="AS479" s="4"/>
      <c r="AT479" s="4"/>
      <c r="AU479" s="4"/>
      <c r="AV479" s="4"/>
      <c r="AW479" s="4"/>
      <c r="AX479" s="4"/>
      <c r="AY479" s="4"/>
      <c r="AZ479" s="4"/>
      <c r="BA479" s="4"/>
      <c r="BB479" s="4"/>
      <c r="BC479" s="4"/>
      <c r="BD479" s="4"/>
      <c r="BE479" s="4"/>
      <c r="BF479" s="4"/>
      <c r="BG479" s="4"/>
      <c r="BH479" s="4"/>
      <c r="BI479" s="4"/>
      <c r="BJ479" s="4"/>
      <c r="BK479" s="4"/>
      <c r="BL479" s="4"/>
      <c r="BM479" s="4"/>
      <c r="BN479" s="4"/>
    </row>
    <row r="480" ht="13.5" customHeight="1" spans="1:66" x14ac:dyDescent="0.25">
      <c r="A480" s="4"/>
      <c r="B480" s="4"/>
      <c r="C480" s="533"/>
      <c r="D480" s="4"/>
      <c r="E480" s="4"/>
      <c r="F480" s="4"/>
      <c r="G480" s="4"/>
      <c r="H480" s="4"/>
      <c r="I480" s="4"/>
      <c r="J480" s="4"/>
      <c r="K480" s="4"/>
      <c r="L480" s="4"/>
      <c r="M480" s="4"/>
      <c r="N480" s="4"/>
      <c r="O480" s="4"/>
      <c r="P480" s="4"/>
      <c r="Q480" s="4"/>
      <c r="R480" s="4"/>
      <c r="S480" s="4"/>
      <c r="T480" s="4"/>
      <c r="U480" s="4"/>
      <c r="V480" s="4"/>
      <c r="W480" s="4"/>
      <c r="X480" s="4"/>
      <c r="Y480" s="4"/>
      <c r="Z480" s="4"/>
      <c r="AA480" s="4"/>
      <c r="AB480" s="4"/>
      <c r="AC480" s="4"/>
      <c r="AD480" s="4"/>
      <c r="AE480" s="4"/>
      <c r="AF480" s="4"/>
      <c r="AG480" s="4"/>
      <c r="AH480" s="4"/>
      <c r="AI480" s="4"/>
      <c r="AJ480" s="4"/>
      <c r="AK480" s="4"/>
      <c r="AL480" s="4"/>
      <c r="AM480" s="4"/>
      <c r="AN480" s="4"/>
      <c r="AO480" s="4"/>
      <c r="AP480" s="4"/>
      <c r="AQ480" s="4"/>
      <c r="AR480" s="4"/>
      <c r="AS480" s="4"/>
      <c r="AT480" s="4"/>
      <c r="AU480" s="4"/>
      <c r="AV480" s="4"/>
      <c r="AW480" s="4"/>
      <c r="AX480" s="4"/>
      <c r="AY480" s="4"/>
      <c r="AZ480" s="4"/>
      <c r="BA480" s="4"/>
      <c r="BB480" s="4"/>
      <c r="BC480" s="4"/>
      <c r="BD480" s="4"/>
      <c r="BE480" s="4"/>
      <c r="BF480" s="4"/>
      <c r="BG480" s="4"/>
      <c r="BH480" s="4"/>
      <c r="BI480" s="4"/>
      <c r="BJ480" s="4"/>
      <c r="BK480" s="4"/>
      <c r="BL480" s="4"/>
      <c r="BM480" s="4"/>
      <c r="BN480" s="4"/>
    </row>
    <row r="481" ht="13.5" customHeight="1" spans="1:66" x14ac:dyDescent="0.25">
      <c r="A481" s="4"/>
      <c r="B481" s="4"/>
      <c r="C481" s="533"/>
      <c r="D481" s="4"/>
      <c r="E481" s="4"/>
      <c r="F481" s="4"/>
      <c r="G481" s="4"/>
      <c r="H481" s="4"/>
      <c r="I481" s="4"/>
      <c r="J481" s="4"/>
      <c r="K481" s="4"/>
      <c r="L481" s="4"/>
      <c r="M481" s="4"/>
      <c r="N481" s="4"/>
      <c r="O481" s="4"/>
      <c r="P481" s="4"/>
      <c r="Q481" s="4"/>
      <c r="R481" s="4"/>
      <c r="S481" s="4"/>
      <c r="T481" s="4"/>
      <c r="U481" s="4"/>
      <c r="V481" s="4"/>
      <c r="W481" s="4"/>
      <c r="X481" s="4"/>
      <c r="Y481" s="4"/>
      <c r="Z481" s="4"/>
      <c r="AA481" s="4"/>
      <c r="AB481" s="4"/>
      <c r="AC481" s="4"/>
      <c r="AD481" s="4"/>
      <c r="AE481" s="4"/>
      <c r="AF481" s="4"/>
      <c r="AG481" s="4"/>
      <c r="AH481" s="4"/>
      <c r="AI481" s="4"/>
      <c r="AJ481" s="4"/>
      <c r="AK481" s="4"/>
      <c r="AL481" s="4"/>
      <c r="AM481" s="4"/>
      <c r="AN481" s="4"/>
      <c r="AO481" s="4"/>
      <c r="AP481" s="4"/>
      <c r="AQ481" s="4"/>
      <c r="AR481" s="4"/>
      <c r="AS481" s="4"/>
      <c r="AT481" s="4"/>
      <c r="AU481" s="4"/>
      <c r="AV481" s="4"/>
      <c r="AW481" s="4"/>
      <c r="AX481" s="4"/>
      <c r="AY481" s="4"/>
      <c r="AZ481" s="4"/>
      <c r="BA481" s="4"/>
      <c r="BB481" s="4"/>
      <c r="BC481" s="4"/>
      <c r="BD481" s="4"/>
      <c r="BE481" s="4"/>
      <c r="BF481" s="4"/>
      <c r="BG481" s="4"/>
      <c r="BH481" s="4"/>
      <c r="BI481" s="4"/>
      <c r="BJ481" s="4"/>
      <c r="BK481" s="4"/>
      <c r="BL481" s="4"/>
      <c r="BM481" s="4"/>
      <c r="BN481" s="4"/>
    </row>
    <row r="482" ht="13.5" customHeight="1" spans="1:66" x14ac:dyDescent="0.25">
      <c r="A482" s="4"/>
      <c r="B482" s="4"/>
      <c r="C482" s="533"/>
      <c r="D482" s="4"/>
      <c r="E482" s="4"/>
      <c r="F482" s="4"/>
      <c r="G482" s="4"/>
      <c r="H482" s="4"/>
      <c r="I482" s="4"/>
      <c r="J482" s="4"/>
      <c r="K482" s="4"/>
      <c r="L482" s="4"/>
      <c r="M482" s="4"/>
      <c r="N482" s="4"/>
      <c r="O482" s="4"/>
      <c r="P482" s="4"/>
      <c r="Q482" s="4"/>
      <c r="R482" s="4"/>
      <c r="S482" s="4"/>
      <c r="T482" s="4"/>
      <c r="U482" s="4"/>
      <c r="V482" s="4"/>
      <c r="W482" s="4"/>
      <c r="X482" s="4"/>
      <c r="Y482" s="4"/>
      <c r="Z482" s="4"/>
      <c r="AA482" s="4"/>
      <c r="AB482" s="4"/>
      <c r="AC482" s="4"/>
      <c r="AD482" s="4"/>
      <c r="AE482" s="4"/>
      <c r="AF482" s="4"/>
      <c r="AG482" s="4"/>
      <c r="AH482" s="4"/>
      <c r="AI482" s="4"/>
      <c r="AJ482" s="4"/>
      <c r="AK482" s="4"/>
      <c r="AL482" s="4"/>
      <c r="AM482" s="4"/>
      <c r="AN482" s="4"/>
      <c r="AO482" s="4"/>
      <c r="AP482" s="4"/>
      <c r="AQ482" s="4"/>
      <c r="AR482" s="4"/>
      <c r="AS482" s="4"/>
      <c r="AT482" s="4"/>
      <c r="AU482" s="4"/>
      <c r="AV482" s="4"/>
      <c r="AW482" s="4"/>
      <c r="AX482" s="4"/>
      <c r="AY482" s="4"/>
      <c r="AZ482" s="4"/>
      <c r="BA482" s="4"/>
      <c r="BB482" s="4"/>
      <c r="BC482" s="4"/>
      <c r="BD482" s="4"/>
      <c r="BE482" s="4"/>
      <c r="BF482" s="4"/>
      <c r="BG482" s="4"/>
      <c r="BH482" s="4"/>
      <c r="BI482" s="4"/>
      <c r="BJ482" s="4"/>
      <c r="BK482" s="4"/>
      <c r="BL482" s="4"/>
      <c r="BM482" s="4"/>
      <c r="BN482" s="4"/>
    </row>
    <row r="483" ht="13.5" customHeight="1" spans="1:66" x14ac:dyDescent="0.25">
      <c r="A483" s="4"/>
      <c r="B483" s="4"/>
      <c r="C483" s="533"/>
      <c r="D483" s="4"/>
      <c r="E483" s="4"/>
      <c r="F483" s="4"/>
      <c r="G483" s="4"/>
      <c r="H483" s="4"/>
      <c r="I483" s="4"/>
      <c r="J483" s="4"/>
      <c r="K483" s="4"/>
      <c r="L483" s="4"/>
      <c r="M483" s="4"/>
      <c r="N483" s="4"/>
      <c r="O483" s="4"/>
      <c r="P483" s="4"/>
      <c r="Q483" s="4"/>
      <c r="R483" s="4"/>
      <c r="S483" s="4"/>
      <c r="T483" s="4"/>
      <c r="U483" s="4"/>
      <c r="V483" s="4"/>
      <c r="W483" s="4"/>
      <c r="X483" s="4"/>
      <c r="Y483" s="4"/>
      <c r="Z483" s="4"/>
      <c r="AA483" s="4"/>
      <c r="AB483" s="4"/>
      <c r="AC483" s="4"/>
      <c r="AD483" s="4"/>
      <c r="AE483" s="4"/>
      <c r="AF483" s="4"/>
      <c r="AG483" s="4"/>
      <c r="AH483" s="4"/>
      <c r="AI483" s="4"/>
      <c r="AJ483" s="4"/>
      <c r="AK483" s="4"/>
      <c r="AL483" s="4"/>
      <c r="AM483" s="4"/>
      <c r="AN483" s="4"/>
      <c r="AO483" s="4"/>
      <c r="AP483" s="4"/>
      <c r="AQ483" s="4"/>
      <c r="AR483" s="4"/>
      <c r="AS483" s="4"/>
      <c r="AT483" s="4"/>
      <c r="AU483" s="4"/>
      <c r="AV483" s="4"/>
      <c r="AW483" s="4"/>
      <c r="AX483" s="4"/>
      <c r="AY483" s="4"/>
      <c r="AZ483" s="4"/>
      <c r="BA483" s="4"/>
      <c r="BB483" s="4"/>
      <c r="BC483" s="4"/>
      <c r="BD483" s="4"/>
      <c r="BE483" s="4"/>
      <c r="BF483" s="4"/>
      <c r="BG483" s="4"/>
      <c r="BH483" s="4"/>
      <c r="BI483" s="4"/>
      <c r="BJ483" s="4"/>
      <c r="BK483" s="4"/>
      <c r="BL483" s="4"/>
      <c r="BM483" s="4"/>
      <c r="BN483" s="4"/>
    </row>
    <row r="484" ht="13.5" customHeight="1" spans="1:66" x14ac:dyDescent="0.25">
      <c r="A484" s="4"/>
      <c r="B484" s="4"/>
      <c r="C484" s="533"/>
      <c r="D484" s="4"/>
      <c r="E484" s="4"/>
      <c r="F484" s="4"/>
      <c r="G484" s="4"/>
      <c r="H484" s="4"/>
      <c r="I484" s="4"/>
      <c r="J484" s="4"/>
      <c r="K484" s="4"/>
      <c r="L484" s="4"/>
      <c r="M484" s="4"/>
      <c r="N484" s="4"/>
      <c r="O484" s="4"/>
      <c r="P484" s="4"/>
      <c r="Q484" s="4"/>
      <c r="R484" s="4"/>
      <c r="S484" s="4"/>
      <c r="T484" s="4"/>
      <c r="U484" s="4"/>
      <c r="V484" s="4"/>
      <c r="W484" s="4"/>
      <c r="X484" s="4"/>
      <c r="Y484" s="4"/>
      <c r="Z484" s="4"/>
      <c r="AA484" s="4"/>
      <c r="AB484" s="4"/>
      <c r="AC484" s="4"/>
      <c r="AD484" s="4"/>
      <c r="AE484" s="4"/>
      <c r="AF484" s="4"/>
      <c r="AG484" s="4"/>
      <c r="AH484" s="4"/>
      <c r="AI484" s="4"/>
      <c r="AJ484" s="4"/>
      <c r="AK484" s="4"/>
      <c r="AL484" s="4"/>
      <c r="AM484" s="4"/>
      <c r="AN484" s="4"/>
      <c r="AO484" s="4"/>
      <c r="AP484" s="4"/>
      <c r="AQ484" s="4"/>
      <c r="AR484" s="4"/>
      <c r="AS484" s="4"/>
      <c r="AT484" s="4"/>
      <c r="AU484" s="4"/>
      <c r="AV484" s="4"/>
      <c r="AW484" s="4"/>
      <c r="AX484" s="4"/>
      <c r="AY484" s="4"/>
      <c r="AZ484" s="4"/>
      <c r="BA484" s="4"/>
      <c r="BB484" s="4"/>
      <c r="BC484" s="4"/>
      <c r="BD484" s="4"/>
      <c r="BE484" s="4"/>
      <c r="BF484" s="4"/>
      <c r="BG484" s="4"/>
      <c r="BH484" s="4"/>
      <c r="BI484" s="4"/>
      <c r="BJ484" s="4"/>
      <c r="BK484" s="4"/>
      <c r="BL484" s="4"/>
      <c r="BM484" s="4"/>
      <c r="BN484" s="4"/>
    </row>
    <row r="485" ht="13.5" customHeight="1" spans="1:66" x14ac:dyDescent="0.25">
      <c r="A485" s="4"/>
      <c r="B485" s="4"/>
      <c r="C485" s="533"/>
      <c r="D485" s="4"/>
      <c r="E485" s="4"/>
      <c r="F485" s="4"/>
      <c r="G485" s="4"/>
      <c r="H485" s="4"/>
      <c r="I485" s="4"/>
      <c r="J485" s="4"/>
      <c r="K485" s="4"/>
      <c r="L485" s="4"/>
      <c r="M485" s="4"/>
      <c r="N485" s="4"/>
      <c r="O485" s="4"/>
      <c r="P485" s="4"/>
      <c r="Q485" s="4"/>
      <c r="R485" s="4"/>
      <c r="S485" s="4"/>
      <c r="T485" s="4"/>
      <c r="U485" s="4"/>
      <c r="V485" s="4"/>
      <c r="W485" s="4"/>
      <c r="X485" s="4"/>
      <c r="Y485" s="4"/>
      <c r="Z485" s="4"/>
      <c r="AA485" s="4"/>
      <c r="AB485" s="4"/>
      <c r="AC485" s="4"/>
      <c r="AD485" s="4"/>
      <c r="AE485" s="4"/>
      <c r="AF485" s="4"/>
      <c r="AG485" s="4"/>
      <c r="AH485" s="4"/>
      <c r="AI485" s="4"/>
      <c r="AJ485" s="4"/>
      <c r="AK485" s="4"/>
      <c r="AL485" s="4"/>
      <c r="AM485" s="4"/>
      <c r="AN485" s="4"/>
      <c r="AO485" s="4"/>
      <c r="AP485" s="4"/>
      <c r="AQ485" s="4"/>
      <c r="AR485" s="4"/>
      <c r="AS485" s="4"/>
      <c r="AT485" s="4"/>
      <c r="AU485" s="4"/>
      <c r="AV485" s="4"/>
      <c r="AW485" s="4"/>
      <c r="AX485" s="4"/>
      <c r="AY485" s="4"/>
      <c r="AZ485" s="4"/>
      <c r="BA485" s="4"/>
      <c r="BB485" s="4"/>
      <c r="BC485" s="4"/>
      <c r="BD485" s="4"/>
      <c r="BE485" s="4"/>
      <c r="BF485" s="4"/>
      <c r="BG485" s="4"/>
      <c r="BH485" s="4"/>
      <c r="BI485" s="4"/>
      <c r="BJ485" s="4"/>
      <c r="BK485" s="4"/>
      <c r="BL485" s="4"/>
      <c r="BM485" s="4"/>
      <c r="BN485" s="4"/>
    </row>
    <row r="486" ht="13.5" customHeight="1" spans="1:66" x14ac:dyDescent="0.25">
      <c r="A486" s="4"/>
      <c r="B486" s="4"/>
      <c r="C486" s="533"/>
      <c r="D486" s="4"/>
      <c r="E486" s="4"/>
      <c r="F486" s="4"/>
      <c r="G486" s="4"/>
      <c r="H486" s="4"/>
      <c r="I486" s="4"/>
      <c r="J486" s="4"/>
      <c r="K486" s="4"/>
      <c r="L486" s="4"/>
      <c r="M486" s="4"/>
      <c r="N486" s="4"/>
      <c r="O486" s="4"/>
      <c r="P486" s="4"/>
      <c r="Q486" s="4"/>
      <c r="R486" s="4"/>
      <c r="S486" s="4"/>
      <c r="T486" s="4"/>
      <c r="U486" s="4"/>
      <c r="V486" s="4"/>
      <c r="W486" s="4"/>
      <c r="X486" s="4"/>
      <c r="Y486" s="4"/>
      <c r="Z486" s="4"/>
      <c r="AA486" s="4"/>
      <c r="AB486" s="4"/>
      <c r="AC486" s="4"/>
      <c r="AD486" s="4"/>
      <c r="AE486" s="4"/>
      <c r="AF486" s="4"/>
      <c r="AG486" s="4"/>
      <c r="AH486" s="4"/>
      <c r="AI486" s="4"/>
      <c r="AJ486" s="4"/>
      <c r="AK486" s="4"/>
      <c r="AL486" s="4"/>
      <c r="AM486" s="4"/>
      <c r="AN486" s="4"/>
      <c r="AO486" s="4"/>
      <c r="AP486" s="4"/>
      <c r="AQ486" s="4"/>
      <c r="AR486" s="4"/>
      <c r="AS486" s="4"/>
      <c r="AT486" s="4"/>
      <c r="AU486" s="4"/>
      <c r="AV486" s="4"/>
      <c r="AW486" s="4"/>
      <c r="AX486" s="4"/>
      <c r="AY486" s="4"/>
      <c r="AZ486" s="4"/>
      <c r="BA486" s="4"/>
      <c r="BB486" s="4"/>
      <c r="BC486" s="4"/>
      <c r="BD486" s="4"/>
      <c r="BE486" s="4"/>
      <c r="BF486" s="4"/>
      <c r="BG486" s="4"/>
      <c r="BH486" s="4"/>
      <c r="BI486" s="4"/>
      <c r="BJ486" s="4"/>
      <c r="BK486" s="4"/>
      <c r="BL486" s="4"/>
      <c r="BM486" s="4"/>
      <c r="BN486" s="4"/>
    </row>
    <row r="487" ht="13.5" customHeight="1" spans="1:66" x14ac:dyDescent="0.25">
      <c r="A487" s="4"/>
      <c r="B487" s="4"/>
      <c r="C487" s="533"/>
      <c r="D487" s="4"/>
      <c r="E487" s="4"/>
      <c r="F487" s="4"/>
      <c r="G487" s="4"/>
      <c r="H487" s="4"/>
      <c r="I487" s="4"/>
      <c r="J487" s="4"/>
      <c r="K487" s="4"/>
      <c r="L487" s="4"/>
      <c r="M487" s="4"/>
      <c r="N487" s="4"/>
      <c r="O487" s="4"/>
      <c r="P487" s="4"/>
      <c r="Q487" s="4"/>
      <c r="R487" s="4"/>
      <c r="S487" s="4"/>
      <c r="T487" s="4"/>
      <c r="U487" s="4"/>
      <c r="V487" s="4"/>
      <c r="W487" s="4"/>
      <c r="X487" s="4"/>
      <c r="Y487" s="4"/>
      <c r="Z487" s="4"/>
      <c r="AA487" s="4"/>
      <c r="AB487" s="4"/>
      <c r="AC487" s="4"/>
      <c r="AD487" s="4"/>
      <c r="AE487" s="4"/>
      <c r="AF487" s="4"/>
      <c r="AG487" s="4"/>
      <c r="AH487" s="4"/>
      <c r="AI487" s="4"/>
      <c r="AJ487" s="4"/>
      <c r="AK487" s="4"/>
      <c r="AL487" s="4"/>
      <c r="AM487" s="4"/>
      <c r="AN487" s="4"/>
      <c r="AO487" s="4"/>
      <c r="AP487" s="4"/>
      <c r="AQ487" s="4"/>
      <c r="AR487" s="4"/>
      <c r="AS487" s="4"/>
      <c r="AT487" s="4"/>
      <c r="AU487" s="4"/>
      <c r="AV487" s="4"/>
      <c r="AW487" s="4"/>
      <c r="AX487" s="4"/>
      <c r="AY487" s="4"/>
      <c r="AZ487" s="4"/>
      <c r="BA487" s="4"/>
      <c r="BB487" s="4"/>
      <c r="BC487" s="4"/>
      <c r="BD487" s="4"/>
      <c r="BE487" s="4"/>
      <c r="BF487" s="4"/>
      <c r="BG487" s="4"/>
      <c r="BH487" s="4"/>
      <c r="BI487" s="4"/>
      <c r="BJ487" s="4"/>
      <c r="BK487" s="4"/>
      <c r="BL487" s="4"/>
      <c r="BM487" s="4"/>
      <c r="BN487" s="4"/>
    </row>
    <row r="488" ht="13.5" customHeight="1" spans="1:66" x14ac:dyDescent="0.25">
      <c r="A488" s="4"/>
      <c r="B488" s="4"/>
      <c r="C488" s="533"/>
      <c r="D488" s="4"/>
      <c r="E488" s="4"/>
      <c r="F488" s="4"/>
      <c r="G488" s="4"/>
      <c r="H488" s="4"/>
      <c r="I488" s="4"/>
      <c r="J488" s="4"/>
      <c r="K488" s="4"/>
      <c r="L488" s="4"/>
      <c r="M488" s="4"/>
      <c r="N488" s="4"/>
      <c r="O488" s="4"/>
      <c r="P488" s="4"/>
      <c r="Q488" s="4"/>
      <c r="R488" s="4"/>
      <c r="S488" s="4"/>
      <c r="T488" s="4"/>
      <c r="U488" s="4"/>
      <c r="V488" s="4"/>
      <c r="W488" s="4"/>
      <c r="X488" s="4"/>
      <c r="Y488" s="4"/>
      <c r="Z488" s="4"/>
      <c r="AA488" s="4"/>
      <c r="AB488" s="4"/>
      <c r="AC488" s="4"/>
      <c r="AD488" s="4"/>
      <c r="AE488" s="4"/>
      <c r="AF488" s="4"/>
      <c r="AG488" s="4"/>
      <c r="AH488" s="4"/>
      <c r="AI488" s="4"/>
      <c r="AJ488" s="4"/>
      <c r="AK488" s="4"/>
      <c r="AL488" s="4"/>
      <c r="AM488" s="4"/>
      <c r="AN488" s="4"/>
      <c r="AO488" s="4"/>
      <c r="AP488" s="4"/>
      <c r="AQ488" s="4"/>
      <c r="AR488" s="4"/>
      <c r="AS488" s="4"/>
      <c r="AT488" s="4"/>
      <c r="AU488" s="4"/>
      <c r="AV488" s="4"/>
      <c r="AW488" s="4"/>
      <c r="AX488" s="4"/>
      <c r="AY488" s="4"/>
      <c r="AZ488" s="4"/>
      <c r="BA488" s="4"/>
      <c r="BB488" s="4"/>
      <c r="BC488" s="4"/>
      <c r="BD488" s="4"/>
      <c r="BE488" s="4"/>
      <c r="BF488" s="4"/>
      <c r="BG488" s="4"/>
      <c r="BH488" s="4"/>
      <c r="BI488" s="4"/>
      <c r="BJ488" s="4"/>
      <c r="BK488" s="4"/>
      <c r="BL488" s="4"/>
      <c r="BM488" s="4"/>
      <c r="BN488" s="4"/>
    </row>
    <row r="489" ht="13.5" customHeight="1" spans="1:66" x14ac:dyDescent="0.25">
      <c r="A489" s="4"/>
      <c r="B489" s="4"/>
      <c r="C489" s="533"/>
      <c r="D489" s="4"/>
      <c r="E489" s="4"/>
      <c r="F489" s="4"/>
      <c r="G489" s="4"/>
      <c r="H489" s="4"/>
      <c r="I489" s="4"/>
      <c r="J489" s="4"/>
      <c r="K489" s="4"/>
      <c r="L489" s="4"/>
      <c r="M489" s="4"/>
      <c r="N489" s="4"/>
      <c r="O489" s="4"/>
      <c r="P489" s="4"/>
      <c r="Q489" s="4"/>
      <c r="R489" s="4"/>
      <c r="S489" s="4"/>
      <c r="T489" s="4"/>
      <c r="U489" s="4"/>
      <c r="V489" s="4"/>
      <c r="W489" s="4"/>
      <c r="X489" s="4"/>
      <c r="Y489" s="4"/>
      <c r="Z489" s="4"/>
      <c r="AA489" s="4"/>
      <c r="AB489" s="4"/>
      <c r="AC489" s="4"/>
      <c r="AD489" s="4"/>
      <c r="AE489" s="4"/>
      <c r="AF489" s="4"/>
      <c r="AG489" s="4"/>
      <c r="AH489" s="4"/>
      <c r="AI489" s="4"/>
      <c r="AJ489" s="4"/>
      <c r="AK489" s="4"/>
      <c r="AL489" s="4"/>
      <c r="AM489" s="4"/>
      <c r="AN489" s="4"/>
      <c r="AO489" s="4"/>
      <c r="AP489" s="4"/>
      <c r="AQ489" s="4"/>
      <c r="AR489" s="4"/>
      <c r="AS489" s="4"/>
      <c r="AT489" s="4"/>
      <c r="AU489" s="4"/>
      <c r="AV489" s="4"/>
      <c r="AW489" s="4"/>
      <c r="AX489" s="4"/>
      <c r="AY489" s="4"/>
      <c r="AZ489" s="4"/>
      <c r="BA489" s="4"/>
      <c r="BB489" s="4"/>
      <c r="BC489" s="4"/>
      <c r="BD489" s="4"/>
      <c r="BE489" s="4"/>
      <c r="BF489" s="4"/>
      <c r="BG489" s="4"/>
      <c r="BH489" s="4"/>
      <c r="BI489" s="4"/>
      <c r="BJ489" s="4"/>
      <c r="BK489" s="4"/>
      <c r="BL489" s="4"/>
      <c r="BM489" s="4"/>
      <c r="BN489" s="4"/>
    </row>
    <row r="490" ht="13.5" customHeight="1" spans="1:66" x14ac:dyDescent="0.25">
      <c r="A490" s="4"/>
      <c r="B490" s="4"/>
      <c r="C490" s="533"/>
      <c r="D490" s="4"/>
      <c r="E490" s="4"/>
      <c r="F490" s="4"/>
      <c r="G490" s="4"/>
      <c r="H490" s="4"/>
      <c r="I490" s="4"/>
      <c r="J490" s="4"/>
      <c r="K490" s="4"/>
      <c r="L490" s="4"/>
      <c r="M490" s="4"/>
      <c r="N490" s="4"/>
      <c r="O490" s="4"/>
      <c r="P490" s="4"/>
      <c r="Q490" s="4"/>
      <c r="R490" s="4"/>
      <c r="S490" s="4"/>
      <c r="T490" s="4"/>
      <c r="U490" s="4"/>
      <c r="V490" s="4"/>
      <c r="W490" s="4"/>
      <c r="X490" s="4"/>
      <c r="Y490" s="4"/>
      <c r="Z490" s="4"/>
      <c r="AA490" s="4"/>
      <c r="AB490" s="4"/>
      <c r="AC490" s="4"/>
      <c r="AD490" s="4"/>
      <c r="AE490" s="4"/>
      <c r="AF490" s="4"/>
      <c r="AG490" s="4"/>
      <c r="AH490" s="4"/>
      <c r="AI490" s="4"/>
      <c r="AJ490" s="4"/>
      <c r="AK490" s="4"/>
      <c r="AL490" s="4"/>
      <c r="AM490" s="4"/>
      <c r="AN490" s="4"/>
      <c r="AO490" s="4"/>
      <c r="AP490" s="4"/>
      <c r="AQ490" s="4"/>
      <c r="AR490" s="4"/>
      <c r="AS490" s="4"/>
      <c r="AT490" s="4"/>
      <c r="AU490" s="4"/>
      <c r="AV490" s="4"/>
      <c r="AW490" s="4"/>
      <c r="AX490" s="4"/>
      <c r="AY490" s="4"/>
      <c r="AZ490" s="4"/>
      <c r="BA490" s="4"/>
      <c r="BB490" s="4"/>
      <c r="BC490" s="4"/>
      <c r="BD490" s="4"/>
      <c r="BE490" s="4"/>
      <c r="BF490" s="4"/>
      <c r="BG490" s="4"/>
      <c r="BH490" s="4"/>
      <c r="BI490" s="4"/>
      <c r="BJ490" s="4"/>
      <c r="BK490" s="4"/>
      <c r="BL490" s="4"/>
      <c r="BM490" s="4"/>
      <c r="BN490" s="4"/>
    </row>
    <row r="491" ht="13.5" customHeight="1" spans="1:66" x14ac:dyDescent="0.25">
      <c r="A491" s="4"/>
      <c r="B491" s="4"/>
      <c r="C491" s="533"/>
      <c r="D491" s="4"/>
      <c r="E491" s="4"/>
      <c r="F491" s="4"/>
      <c r="G491" s="4"/>
      <c r="H491" s="4"/>
      <c r="I491" s="4"/>
      <c r="J491" s="4"/>
      <c r="K491" s="4"/>
      <c r="L491" s="4"/>
      <c r="M491" s="4"/>
      <c r="N491" s="4"/>
      <c r="O491" s="4"/>
      <c r="P491" s="4"/>
      <c r="Q491" s="4"/>
      <c r="R491" s="4"/>
      <c r="S491" s="4"/>
      <c r="T491" s="4"/>
      <c r="U491" s="4"/>
      <c r="V491" s="4"/>
      <c r="W491" s="4"/>
      <c r="X491" s="4"/>
      <c r="Y491" s="4"/>
      <c r="Z491" s="4"/>
      <c r="AA491" s="4"/>
      <c r="AB491" s="4"/>
      <c r="AC491" s="4"/>
      <c r="AD491" s="4"/>
      <c r="AE491" s="4"/>
      <c r="AF491" s="4"/>
      <c r="AG491" s="4"/>
      <c r="AH491" s="4"/>
      <c r="AI491" s="4"/>
      <c r="AJ491" s="4"/>
      <c r="AK491" s="4"/>
      <c r="AL491" s="4"/>
      <c r="AM491" s="4"/>
      <c r="AN491" s="4"/>
      <c r="AO491" s="4"/>
      <c r="AP491" s="4"/>
      <c r="AQ491" s="4"/>
      <c r="AR491" s="4"/>
      <c r="AS491" s="4"/>
      <c r="AT491" s="4"/>
      <c r="AU491" s="4"/>
      <c r="AV491" s="4"/>
      <c r="AW491" s="4"/>
      <c r="AX491" s="4"/>
      <c r="AY491" s="4"/>
      <c r="AZ491" s="4"/>
      <c r="BA491" s="4"/>
      <c r="BB491" s="4"/>
      <c r="BC491" s="4"/>
      <c r="BD491" s="4"/>
      <c r="BE491" s="4"/>
      <c r="BF491" s="4"/>
      <c r="BG491" s="4"/>
      <c r="BH491" s="4"/>
      <c r="BI491" s="4"/>
      <c r="BJ491" s="4"/>
      <c r="BK491" s="4"/>
      <c r="BL491" s="4"/>
      <c r="BM491" s="4"/>
      <c r="BN491" s="4"/>
    </row>
    <row r="492" ht="13.5" customHeight="1" spans="1:66" x14ac:dyDescent="0.25">
      <c r="A492" s="4"/>
      <c r="B492" s="4"/>
      <c r="C492" s="533"/>
      <c r="D492" s="4"/>
      <c r="E492" s="4"/>
      <c r="F492" s="4"/>
      <c r="G492" s="4"/>
      <c r="H492" s="4"/>
      <c r="I492" s="4"/>
      <c r="J492" s="4"/>
      <c r="K492" s="4"/>
      <c r="L492" s="4"/>
      <c r="M492" s="4"/>
      <c r="N492" s="4"/>
      <c r="O492" s="4"/>
      <c r="P492" s="4"/>
      <c r="Q492" s="4"/>
      <c r="R492" s="4"/>
      <c r="S492" s="4"/>
      <c r="T492" s="4"/>
      <c r="U492" s="4"/>
      <c r="V492" s="4"/>
      <c r="W492" s="4"/>
      <c r="X492" s="4"/>
      <c r="Y492" s="4"/>
      <c r="Z492" s="4"/>
      <c r="AA492" s="4"/>
      <c r="AB492" s="4"/>
      <c r="AC492" s="4"/>
      <c r="AD492" s="4"/>
      <c r="AE492" s="4"/>
      <c r="AF492" s="4"/>
      <c r="AG492" s="4"/>
      <c r="AH492" s="4"/>
      <c r="AI492" s="4"/>
      <c r="AJ492" s="4"/>
      <c r="AK492" s="4"/>
      <c r="AL492" s="4"/>
      <c r="AM492" s="4"/>
      <c r="AN492" s="4"/>
      <c r="AO492" s="4"/>
      <c r="AP492" s="4"/>
      <c r="AQ492" s="4"/>
      <c r="AR492" s="4"/>
      <c r="AS492" s="4"/>
      <c r="AT492" s="4"/>
      <c r="AU492" s="4"/>
      <c r="AV492" s="4"/>
      <c r="AW492" s="4"/>
      <c r="AX492" s="4"/>
      <c r="AY492" s="4"/>
      <c r="AZ492" s="4"/>
      <c r="BA492" s="4"/>
      <c r="BB492" s="4"/>
      <c r="BC492" s="4"/>
      <c r="BD492" s="4"/>
      <c r="BE492" s="4"/>
      <c r="BF492" s="4"/>
      <c r="BG492" s="4"/>
      <c r="BH492" s="4"/>
      <c r="BI492" s="4"/>
      <c r="BJ492" s="4"/>
      <c r="BK492" s="4"/>
      <c r="BL492" s="4"/>
      <c r="BM492" s="4"/>
      <c r="BN492" s="4"/>
    </row>
    <row r="493" ht="13.5" customHeight="1" spans="1:66" x14ac:dyDescent="0.25">
      <c r="A493" s="4"/>
      <c r="B493" s="4"/>
      <c r="C493" s="533"/>
      <c r="D493" s="4"/>
      <c r="E493" s="4"/>
      <c r="F493" s="4"/>
      <c r="G493" s="4"/>
      <c r="H493" s="4"/>
      <c r="I493" s="4"/>
      <c r="J493" s="4"/>
      <c r="K493" s="4"/>
      <c r="L493" s="4"/>
      <c r="M493" s="4"/>
      <c r="N493" s="4"/>
      <c r="O493" s="4"/>
      <c r="P493" s="4"/>
      <c r="Q493" s="4"/>
      <c r="R493" s="4"/>
      <c r="S493" s="4"/>
      <c r="T493" s="4"/>
      <c r="U493" s="4"/>
      <c r="V493" s="4"/>
      <c r="W493" s="4"/>
      <c r="X493" s="4"/>
      <c r="Y493" s="4"/>
      <c r="Z493" s="4"/>
      <c r="AA493" s="4"/>
      <c r="AB493" s="4"/>
      <c r="AC493" s="4"/>
      <c r="AD493" s="4"/>
      <c r="AE493" s="4"/>
      <c r="AF493" s="4"/>
      <c r="AG493" s="4"/>
      <c r="AH493" s="4"/>
      <c r="AI493" s="4"/>
      <c r="AJ493" s="4"/>
      <c r="AK493" s="4"/>
      <c r="AL493" s="4"/>
      <c r="AM493" s="4"/>
      <c r="AN493" s="4"/>
      <c r="AO493" s="4"/>
      <c r="AP493" s="4"/>
      <c r="AQ493" s="4"/>
      <c r="AR493" s="4"/>
      <c r="AS493" s="4"/>
      <c r="AT493" s="4"/>
      <c r="AU493" s="4"/>
      <c r="AV493" s="4"/>
      <c r="AW493" s="4"/>
      <c r="AX493" s="4"/>
      <c r="AY493" s="4"/>
      <c r="AZ493" s="4"/>
      <c r="BA493" s="4"/>
      <c r="BB493" s="4"/>
      <c r="BC493" s="4"/>
      <c r="BD493" s="4"/>
      <c r="BE493" s="4"/>
      <c r="BF493" s="4"/>
      <c r="BG493" s="4"/>
      <c r="BH493" s="4"/>
      <c r="BI493" s="4"/>
      <c r="BJ493" s="4"/>
      <c r="BK493" s="4"/>
      <c r="BL493" s="4"/>
      <c r="BM493" s="4"/>
      <c r="BN493" s="4"/>
    </row>
    <row r="494" ht="13.5" customHeight="1" spans="1:66" x14ac:dyDescent="0.25">
      <c r="A494" s="4"/>
      <c r="B494" s="4"/>
      <c r="C494" s="533"/>
      <c r="D494" s="4"/>
      <c r="E494" s="4"/>
      <c r="F494" s="4"/>
      <c r="G494" s="4"/>
      <c r="H494" s="4"/>
      <c r="I494" s="4"/>
      <c r="J494" s="4"/>
      <c r="K494" s="4"/>
      <c r="L494" s="4"/>
      <c r="M494" s="4"/>
      <c r="N494" s="4"/>
      <c r="O494" s="4"/>
      <c r="P494" s="4"/>
      <c r="Q494" s="4"/>
      <c r="R494" s="4"/>
      <c r="S494" s="4"/>
      <c r="T494" s="4"/>
      <c r="U494" s="4"/>
      <c r="V494" s="4"/>
      <c r="W494" s="4"/>
      <c r="X494" s="4"/>
      <c r="Y494" s="4"/>
      <c r="Z494" s="4"/>
      <c r="AA494" s="4"/>
      <c r="AB494" s="4"/>
      <c r="AC494" s="4"/>
      <c r="AD494" s="4"/>
      <c r="AE494" s="4"/>
      <c r="AF494" s="4"/>
      <c r="AG494" s="4"/>
      <c r="AH494" s="4"/>
      <c r="AI494" s="4"/>
      <c r="AJ494" s="4"/>
      <c r="AK494" s="4"/>
      <c r="AL494" s="4"/>
      <c r="AM494" s="4"/>
      <c r="AN494" s="4"/>
      <c r="AO494" s="4"/>
      <c r="AP494" s="4"/>
      <c r="AQ494" s="4"/>
      <c r="AR494" s="4"/>
      <c r="AS494" s="4"/>
      <c r="AT494" s="4"/>
      <c r="AU494" s="4"/>
      <c r="AV494" s="4"/>
      <c r="AW494" s="4"/>
      <c r="AX494" s="4"/>
      <c r="AY494" s="4"/>
      <c r="AZ494" s="4"/>
      <c r="BA494" s="4"/>
      <c r="BB494" s="4"/>
      <c r="BC494" s="4"/>
      <c r="BD494" s="4"/>
      <c r="BE494" s="4"/>
      <c r="BF494" s="4"/>
      <c r="BG494" s="4"/>
      <c r="BH494" s="4"/>
      <c r="BI494" s="4"/>
      <c r="BJ494" s="4"/>
      <c r="BK494" s="4"/>
      <c r="BL494" s="4"/>
      <c r="BM494" s="4"/>
      <c r="BN494" s="4"/>
    </row>
    <row r="495" ht="13.5" customHeight="1" spans="1:66" x14ac:dyDescent="0.25">
      <c r="A495" s="4"/>
      <c r="B495" s="4"/>
      <c r="C495" s="533"/>
      <c r="D495" s="4"/>
      <c r="E495" s="4"/>
      <c r="F495" s="4"/>
      <c r="G495" s="4"/>
      <c r="H495" s="4"/>
      <c r="I495" s="4"/>
      <c r="J495" s="4"/>
      <c r="K495" s="4"/>
      <c r="L495" s="4"/>
      <c r="M495" s="4"/>
      <c r="N495" s="4"/>
      <c r="O495" s="4"/>
      <c r="P495" s="4"/>
      <c r="Q495" s="4"/>
      <c r="R495" s="4"/>
      <c r="S495" s="4"/>
      <c r="T495" s="4"/>
      <c r="U495" s="4"/>
      <c r="V495" s="4"/>
      <c r="W495" s="4"/>
      <c r="X495" s="4"/>
      <c r="Y495" s="4"/>
      <c r="Z495" s="4"/>
      <c r="AA495" s="4"/>
      <c r="AB495" s="4"/>
      <c r="AC495" s="4"/>
      <c r="AD495" s="4"/>
      <c r="AE495" s="4"/>
      <c r="AF495" s="4"/>
      <c r="AG495" s="4"/>
      <c r="AH495" s="4"/>
      <c r="AI495" s="4"/>
      <c r="AJ495" s="4"/>
      <c r="AK495" s="4"/>
      <c r="AL495" s="4"/>
      <c r="AM495" s="4"/>
      <c r="AN495" s="4"/>
      <c r="AO495" s="4"/>
      <c r="AP495" s="4"/>
      <c r="AQ495" s="4"/>
      <c r="AR495" s="4"/>
      <c r="AS495" s="4"/>
      <c r="AT495" s="4"/>
      <c r="AU495" s="4"/>
      <c r="AV495" s="4"/>
      <c r="AW495" s="4"/>
      <c r="AX495" s="4"/>
      <c r="AY495" s="4"/>
      <c r="AZ495" s="4"/>
      <c r="BA495" s="4"/>
      <c r="BB495" s="4"/>
      <c r="BC495" s="4"/>
      <c r="BD495" s="4"/>
      <c r="BE495" s="4"/>
      <c r="BF495" s="4"/>
      <c r="BG495" s="4"/>
      <c r="BH495" s="4"/>
      <c r="BI495" s="4"/>
      <c r="BJ495" s="4"/>
      <c r="BK495" s="4"/>
      <c r="BL495" s="4"/>
      <c r="BM495" s="4"/>
      <c r="BN495" s="4"/>
    </row>
    <row r="496" ht="13.5" customHeight="1" spans="1:66" x14ac:dyDescent="0.25">
      <c r="A496" s="4"/>
      <c r="B496" s="4"/>
      <c r="C496" s="533"/>
      <c r="D496" s="4"/>
      <c r="E496" s="4"/>
      <c r="F496" s="4"/>
      <c r="G496" s="4"/>
      <c r="H496" s="4"/>
      <c r="I496" s="4"/>
      <c r="J496" s="4"/>
      <c r="K496" s="4"/>
      <c r="L496" s="4"/>
      <c r="M496" s="4"/>
      <c r="N496" s="4"/>
      <c r="O496" s="4"/>
      <c r="P496" s="4"/>
      <c r="Q496" s="4"/>
      <c r="R496" s="4"/>
      <c r="S496" s="4"/>
      <c r="T496" s="4"/>
      <c r="U496" s="4"/>
      <c r="V496" s="4"/>
      <c r="W496" s="4"/>
      <c r="X496" s="4"/>
      <c r="Y496" s="4"/>
      <c r="Z496" s="4"/>
      <c r="AA496" s="4"/>
      <c r="AB496" s="4"/>
      <c r="AC496" s="4"/>
      <c r="AD496" s="4"/>
      <c r="AE496" s="4"/>
      <c r="AF496" s="4"/>
      <c r="AG496" s="4"/>
      <c r="AH496" s="4"/>
      <c r="AI496" s="4"/>
      <c r="AJ496" s="4"/>
      <c r="AK496" s="4"/>
      <c r="AL496" s="4"/>
      <c r="AM496" s="4"/>
      <c r="AN496" s="4"/>
      <c r="AO496" s="4"/>
      <c r="AP496" s="4"/>
      <c r="AQ496" s="4"/>
      <c r="AR496" s="4"/>
      <c r="AS496" s="4"/>
      <c r="AT496" s="4"/>
      <c r="AU496" s="4"/>
      <c r="AV496" s="4"/>
      <c r="AW496" s="4"/>
      <c r="AX496" s="4"/>
      <c r="AY496" s="4"/>
      <c r="AZ496" s="4"/>
      <c r="BA496" s="4"/>
      <c r="BB496" s="4"/>
      <c r="BC496" s="4"/>
      <c r="BD496" s="4"/>
      <c r="BE496" s="4"/>
      <c r="BF496" s="4"/>
      <c r="BG496" s="4"/>
      <c r="BH496" s="4"/>
      <c r="BI496" s="4"/>
      <c r="BJ496" s="4"/>
      <c r="BK496" s="4"/>
      <c r="BL496" s="4"/>
      <c r="BM496" s="4"/>
      <c r="BN496" s="4"/>
    </row>
    <row r="497" ht="13.5" customHeight="1" spans="1:66" x14ac:dyDescent="0.25">
      <c r="A497" s="4"/>
      <c r="B497" s="4"/>
      <c r="C497" s="533"/>
      <c r="D497" s="4"/>
      <c r="E497" s="4"/>
      <c r="F497" s="4"/>
      <c r="G497" s="4"/>
      <c r="H497" s="4"/>
      <c r="I497" s="4"/>
      <c r="J497" s="4"/>
      <c r="K497" s="4"/>
      <c r="L497" s="4"/>
      <c r="M497" s="4"/>
      <c r="N497" s="4"/>
      <c r="O497" s="4"/>
      <c r="P497" s="4"/>
      <c r="Q497" s="4"/>
      <c r="R497" s="4"/>
      <c r="S497" s="4"/>
      <c r="T497" s="4"/>
      <c r="U497" s="4"/>
      <c r="V497" s="4"/>
      <c r="W497" s="4"/>
      <c r="X497" s="4"/>
      <c r="Y497" s="4"/>
      <c r="Z497" s="4"/>
      <c r="AA497" s="4"/>
      <c r="AB497" s="4"/>
      <c r="AC497" s="4"/>
      <c r="AD497" s="4"/>
      <c r="AE497" s="4"/>
      <c r="AF497" s="4"/>
      <c r="AG497" s="4"/>
      <c r="AH497" s="4"/>
      <c r="AI497" s="4"/>
      <c r="AJ497" s="4"/>
      <c r="AK497" s="4"/>
      <c r="AL497" s="4"/>
      <c r="AM497" s="4"/>
      <c r="AN497" s="4"/>
      <c r="AO497" s="4"/>
      <c r="AP497" s="4"/>
      <c r="AQ497" s="4"/>
      <c r="AR497" s="4"/>
      <c r="AS497" s="4"/>
      <c r="AT497" s="4"/>
      <c r="AU497" s="4"/>
      <c r="AV497" s="4"/>
      <c r="AW497" s="4"/>
      <c r="AX497" s="4"/>
      <c r="AY497" s="4"/>
      <c r="AZ497" s="4"/>
      <c r="BA497" s="4"/>
      <c r="BB497" s="4"/>
      <c r="BC497" s="4"/>
      <c r="BD497" s="4"/>
      <c r="BE497" s="4"/>
      <c r="BF497" s="4"/>
      <c r="BG497" s="4"/>
      <c r="BH497" s="4"/>
      <c r="BI497" s="4"/>
      <c r="BJ497" s="4"/>
      <c r="BK497" s="4"/>
      <c r="BL497" s="4"/>
      <c r="BM497" s="4"/>
      <c r="BN497" s="4"/>
    </row>
    <row r="498" ht="13.5" customHeight="1" spans="1:66" x14ac:dyDescent="0.25">
      <c r="A498" s="4"/>
      <c r="B498" s="4"/>
      <c r="C498" s="533"/>
      <c r="D498" s="4"/>
      <c r="E498" s="4"/>
      <c r="F498" s="4"/>
      <c r="G498" s="4"/>
      <c r="H498" s="4"/>
      <c r="I498" s="4"/>
      <c r="J498" s="4"/>
      <c r="K498" s="4"/>
      <c r="L498" s="4"/>
      <c r="M498" s="4"/>
      <c r="N498" s="4"/>
      <c r="O498" s="4"/>
      <c r="P498" s="4"/>
      <c r="Q498" s="4"/>
      <c r="R498" s="4"/>
      <c r="S498" s="4"/>
      <c r="T498" s="4"/>
      <c r="U498" s="4"/>
      <c r="V498" s="4"/>
      <c r="W498" s="4"/>
      <c r="X498" s="4"/>
      <c r="Y498" s="4"/>
      <c r="Z498" s="4"/>
      <c r="AA498" s="4"/>
      <c r="AB498" s="4"/>
      <c r="AC498" s="4"/>
      <c r="AD498" s="4"/>
      <c r="AE498" s="4"/>
      <c r="AF498" s="4"/>
      <c r="AG498" s="4"/>
      <c r="AH498" s="4"/>
      <c r="AI498" s="4"/>
      <c r="AJ498" s="4"/>
      <c r="AK498" s="4"/>
      <c r="AL498" s="4"/>
      <c r="AM498" s="4"/>
      <c r="AN498" s="4"/>
      <c r="AO498" s="4"/>
      <c r="AP498" s="4"/>
      <c r="AQ498" s="4"/>
      <c r="AR498" s="4"/>
      <c r="AS498" s="4"/>
      <c r="AT498" s="4"/>
      <c r="AU498" s="4"/>
      <c r="AV498" s="4"/>
      <c r="AW498" s="4"/>
      <c r="AX498" s="4"/>
      <c r="AY498" s="4"/>
      <c r="AZ498" s="4"/>
      <c r="BA498" s="4"/>
      <c r="BB498" s="4"/>
      <c r="BC498" s="4"/>
      <c r="BD498" s="4"/>
      <c r="BE498" s="4"/>
      <c r="BF498" s="4"/>
      <c r="BG498" s="4"/>
      <c r="BH498" s="4"/>
      <c r="BI498" s="4"/>
      <c r="BJ498" s="4"/>
      <c r="BK498" s="4"/>
      <c r="BL498" s="4"/>
      <c r="BM498" s="4"/>
      <c r="BN498" s="4"/>
    </row>
    <row r="499" ht="13.5" customHeight="1" spans="1:66" x14ac:dyDescent="0.25">
      <c r="A499" s="4"/>
      <c r="B499" s="4"/>
      <c r="C499" s="533"/>
      <c r="D499" s="4"/>
      <c r="E499" s="4"/>
      <c r="F499" s="4"/>
      <c r="G499" s="4"/>
      <c r="H499" s="4"/>
      <c r="I499" s="4"/>
      <c r="J499" s="4"/>
      <c r="K499" s="4"/>
      <c r="L499" s="4"/>
      <c r="M499" s="4"/>
      <c r="N499" s="4"/>
      <c r="O499" s="4"/>
      <c r="P499" s="4"/>
      <c r="Q499" s="4"/>
      <c r="R499" s="4"/>
      <c r="S499" s="4"/>
      <c r="T499" s="4"/>
      <c r="U499" s="4"/>
      <c r="V499" s="4"/>
      <c r="W499" s="4"/>
      <c r="X499" s="4"/>
      <c r="Y499" s="4"/>
      <c r="Z499" s="4"/>
      <c r="AA499" s="4"/>
      <c r="AB499" s="4"/>
      <c r="AC499" s="4"/>
      <c r="AD499" s="4"/>
      <c r="AE499" s="4"/>
      <c r="AF499" s="4"/>
      <c r="AG499" s="4"/>
      <c r="AH499" s="4"/>
      <c r="AI499" s="4"/>
      <c r="AJ499" s="4"/>
      <c r="AK499" s="4"/>
      <c r="AL499" s="4"/>
      <c r="AM499" s="4"/>
      <c r="AN499" s="4"/>
      <c r="AO499" s="4"/>
      <c r="AP499" s="4"/>
      <c r="AQ499" s="4"/>
      <c r="AR499" s="4"/>
      <c r="AS499" s="4"/>
      <c r="AT499" s="4"/>
      <c r="AU499" s="4"/>
      <c r="AV499" s="4"/>
      <c r="AW499" s="4"/>
      <c r="AX499" s="4"/>
      <c r="AY499" s="4"/>
      <c r="AZ499" s="4"/>
      <c r="BA499" s="4"/>
      <c r="BB499" s="4"/>
      <c r="BC499" s="4"/>
      <c r="BD499" s="4"/>
      <c r="BE499" s="4"/>
      <c r="BF499" s="4"/>
      <c r="BG499" s="4"/>
      <c r="BH499" s="4"/>
      <c r="BI499" s="4"/>
      <c r="BJ499" s="4"/>
      <c r="BK499" s="4"/>
      <c r="BL499" s="4"/>
      <c r="BM499" s="4"/>
      <c r="BN499" s="4"/>
    </row>
    <row r="500" ht="13.5" customHeight="1" spans="1:66" x14ac:dyDescent="0.25">
      <c r="A500" s="4"/>
      <c r="B500" s="4"/>
      <c r="C500" s="533"/>
      <c r="D500" s="4"/>
      <c r="E500" s="4"/>
      <c r="F500" s="4"/>
      <c r="G500" s="4"/>
      <c r="H500" s="4"/>
      <c r="I500" s="4"/>
      <c r="J500" s="4"/>
      <c r="K500" s="4"/>
      <c r="L500" s="4"/>
      <c r="M500" s="4"/>
      <c r="N500" s="4"/>
      <c r="O500" s="4"/>
      <c r="P500" s="4"/>
      <c r="Q500" s="4"/>
      <c r="R500" s="4"/>
      <c r="S500" s="4"/>
      <c r="T500" s="4"/>
      <c r="U500" s="4"/>
      <c r="V500" s="4"/>
      <c r="W500" s="4"/>
      <c r="X500" s="4"/>
      <c r="Y500" s="4"/>
      <c r="Z500" s="4"/>
      <c r="AA500" s="4"/>
      <c r="AB500" s="4"/>
      <c r="AC500" s="4"/>
      <c r="AD500" s="4"/>
      <c r="AE500" s="4"/>
      <c r="AF500" s="4"/>
      <c r="AG500" s="4"/>
      <c r="AH500" s="4"/>
      <c r="AI500" s="4"/>
      <c r="AJ500" s="4"/>
      <c r="AK500" s="4"/>
      <c r="AL500" s="4"/>
      <c r="AM500" s="4"/>
      <c r="AN500" s="4"/>
      <c r="AO500" s="4"/>
      <c r="AP500" s="4"/>
      <c r="AQ500" s="4"/>
      <c r="AR500" s="4"/>
      <c r="AS500" s="4"/>
      <c r="AT500" s="4"/>
      <c r="AU500" s="4"/>
      <c r="AV500" s="4"/>
      <c r="AW500" s="4"/>
      <c r="AX500" s="4"/>
      <c r="AY500" s="4"/>
      <c r="AZ500" s="4"/>
      <c r="BA500" s="4"/>
      <c r="BB500" s="4"/>
      <c r="BC500" s="4"/>
      <c r="BD500" s="4"/>
      <c r="BE500" s="4"/>
      <c r="BF500" s="4"/>
      <c r="BG500" s="4"/>
      <c r="BH500" s="4"/>
      <c r="BI500" s="4"/>
      <c r="BJ500" s="4"/>
      <c r="BK500" s="4"/>
      <c r="BL500" s="4"/>
      <c r="BM500" s="4"/>
      <c r="BN500" s="4"/>
    </row>
    <row r="501" ht="13.5" customHeight="1" spans="1:66" x14ac:dyDescent="0.25">
      <c r="A501" s="4"/>
      <c r="B501" s="4"/>
      <c r="C501" s="533"/>
      <c r="D501" s="4"/>
      <c r="E501" s="4"/>
      <c r="F501" s="4"/>
      <c r="G501" s="4"/>
      <c r="H501" s="4"/>
      <c r="I501" s="4"/>
      <c r="J501" s="4"/>
      <c r="K501" s="4"/>
      <c r="L501" s="4"/>
      <c r="M501" s="4"/>
      <c r="N501" s="4"/>
      <c r="O501" s="4"/>
      <c r="P501" s="4"/>
      <c r="Q501" s="4"/>
      <c r="R501" s="4"/>
      <c r="S501" s="4"/>
      <c r="T501" s="4"/>
      <c r="U501" s="4"/>
      <c r="V501" s="4"/>
      <c r="W501" s="4"/>
      <c r="X501" s="4"/>
      <c r="Y501" s="4"/>
      <c r="Z501" s="4"/>
      <c r="AA501" s="4"/>
      <c r="AB501" s="4"/>
      <c r="AC501" s="4"/>
      <c r="AD501" s="4"/>
      <c r="AE501" s="4"/>
      <c r="AF501" s="4"/>
      <c r="AG501" s="4"/>
      <c r="AH501" s="4"/>
      <c r="AI501" s="4"/>
      <c r="AJ501" s="4"/>
      <c r="AK501" s="4"/>
      <c r="AL501" s="4"/>
      <c r="AM501" s="4"/>
      <c r="AN501" s="4"/>
      <c r="AO501" s="4"/>
      <c r="AP501" s="4"/>
      <c r="AQ501" s="4"/>
      <c r="AR501" s="4"/>
      <c r="AS501" s="4"/>
      <c r="AT501" s="4"/>
      <c r="AU501" s="4"/>
      <c r="AV501" s="4"/>
      <c r="AW501" s="4"/>
      <c r="AX501" s="4"/>
      <c r="AY501" s="4"/>
      <c r="AZ501" s="4"/>
      <c r="BA501" s="4"/>
      <c r="BB501" s="4"/>
      <c r="BC501" s="4"/>
      <c r="BD501" s="4"/>
      <c r="BE501" s="4"/>
      <c r="BF501" s="4"/>
      <c r="BG501" s="4"/>
      <c r="BH501" s="4"/>
      <c r="BI501" s="4"/>
      <c r="BJ501" s="4"/>
      <c r="BK501" s="4"/>
      <c r="BL501" s="4"/>
      <c r="BM501" s="4"/>
      <c r="BN501" s="4"/>
    </row>
    <row r="502" ht="13.5" customHeight="1" spans="1:66" x14ac:dyDescent="0.25">
      <c r="A502" s="4"/>
      <c r="B502" s="4"/>
      <c r="C502" s="533"/>
      <c r="D502" s="4"/>
      <c r="E502" s="4"/>
      <c r="F502" s="4"/>
      <c r="G502" s="4"/>
      <c r="H502" s="4"/>
      <c r="I502" s="4"/>
      <c r="J502" s="4"/>
      <c r="K502" s="4"/>
      <c r="L502" s="4"/>
      <c r="M502" s="4"/>
      <c r="N502" s="4"/>
      <c r="O502" s="4"/>
      <c r="P502" s="4"/>
      <c r="Q502" s="4"/>
      <c r="R502" s="4"/>
      <c r="S502" s="4"/>
      <c r="T502" s="4"/>
      <c r="U502" s="4"/>
      <c r="V502" s="4"/>
      <c r="W502" s="4"/>
      <c r="X502" s="4"/>
      <c r="Y502" s="4"/>
      <c r="Z502" s="4"/>
      <c r="AA502" s="4"/>
      <c r="AB502" s="4"/>
      <c r="AC502" s="4"/>
      <c r="AD502" s="4"/>
      <c r="AE502" s="4"/>
      <c r="AF502" s="4"/>
      <c r="AG502" s="4"/>
      <c r="AH502" s="4"/>
      <c r="AI502" s="4"/>
      <c r="AJ502" s="4"/>
      <c r="AK502" s="4"/>
      <c r="AL502" s="4"/>
      <c r="AM502" s="4"/>
      <c r="AN502" s="4"/>
      <c r="AO502" s="4"/>
      <c r="AP502" s="4"/>
      <c r="AQ502" s="4"/>
      <c r="AR502" s="4"/>
      <c r="AS502" s="4"/>
      <c r="AT502" s="4"/>
      <c r="AU502" s="4"/>
      <c r="AV502" s="4"/>
      <c r="AW502" s="4"/>
      <c r="AX502" s="4"/>
      <c r="AY502" s="4"/>
      <c r="AZ502" s="4"/>
      <c r="BA502" s="4"/>
      <c r="BB502" s="4"/>
      <c r="BC502" s="4"/>
      <c r="BD502" s="4"/>
      <c r="BE502" s="4"/>
      <c r="BF502" s="4"/>
      <c r="BG502" s="4"/>
      <c r="BH502" s="4"/>
      <c r="BI502" s="4"/>
      <c r="BJ502" s="4"/>
      <c r="BK502" s="4"/>
      <c r="BL502" s="4"/>
      <c r="BM502" s="4"/>
      <c r="BN502" s="4"/>
    </row>
    <row r="503" ht="13.5" customHeight="1" spans="1:66" x14ac:dyDescent="0.25">
      <c r="A503" s="4"/>
      <c r="B503" s="4"/>
      <c r="C503" s="533"/>
      <c r="D503" s="4"/>
      <c r="E503" s="4"/>
      <c r="F503" s="4"/>
      <c r="G503" s="4"/>
      <c r="H503" s="4"/>
      <c r="I503" s="4"/>
      <c r="J503" s="4"/>
      <c r="K503" s="4"/>
      <c r="L503" s="4"/>
      <c r="M503" s="4"/>
      <c r="N503" s="4"/>
      <c r="O503" s="4"/>
      <c r="P503" s="4"/>
      <c r="Q503" s="4"/>
      <c r="R503" s="4"/>
      <c r="S503" s="4"/>
      <c r="T503" s="4"/>
      <c r="U503" s="4"/>
      <c r="V503" s="4"/>
      <c r="W503" s="4"/>
      <c r="X503" s="4"/>
      <c r="Y503" s="4"/>
      <c r="Z503" s="4"/>
      <c r="AA503" s="4"/>
      <c r="AB503" s="4"/>
      <c r="AC503" s="4"/>
      <c r="AD503" s="4"/>
      <c r="AE503" s="4"/>
      <c r="AF503" s="4"/>
      <c r="AG503" s="4"/>
      <c r="AH503" s="4"/>
      <c r="AI503" s="4"/>
      <c r="AJ503" s="4"/>
      <c r="AK503" s="4"/>
      <c r="AL503" s="4"/>
      <c r="AM503" s="4"/>
      <c r="AN503" s="4"/>
      <c r="AO503" s="4"/>
      <c r="AP503" s="4"/>
      <c r="AQ503" s="4"/>
      <c r="AR503" s="4"/>
      <c r="AS503" s="4"/>
      <c r="AT503" s="4"/>
      <c r="AU503" s="4"/>
      <c r="AV503" s="4"/>
      <c r="AW503" s="4"/>
      <c r="AX503" s="4"/>
      <c r="AY503" s="4"/>
      <c r="AZ503" s="4"/>
      <c r="BA503" s="4"/>
      <c r="BB503" s="4"/>
      <c r="BC503" s="4"/>
      <c r="BD503" s="4"/>
      <c r="BE503" s="4"/>
      <c r="BF503" s="4"/>
      <c r="BG503" s="4"/>
      <c r="BH503" s="4"/>
      <c r="BI503" s="4"/>
      <c r="BJ503" s="4"/>
      <c r="BK503" s="4"/>
      <c r="BL503" s="4"/>
      <c r="BM503" s="4"/>
      <c r="BN503" s="4"/>
    </row>
    <row r="504" ht="13.5" customHeight="1" spans="1:66" x14ac:dyDescent="0.25">
      <c r="A504" s="4"/>
      <c r="B504" s="4"/>
      <c r="C504" s="533"/>
      <c r="D504" s="4"/>
      <c r="E504" s="4"/>
      <c r="F504" s="4"/>
      <c r="G504" s="4"/>
      <c r="H504" s="4"/>
      <c r="I504" s="4"/>
      <c r="J504" s="4"/>
      <c r="K504" s="4"/>
      <c r="L504" s="4"/>
      <c r="M504" s="4"/>
      <c r="N504" s="4"/>
      <c r="O504" s="4"/>
      <c r="P504" s="4"/>
      <c r="Q504" s="4"/>
      <c r="R504" s="4"/>
      <c r="S504" s="4"/>
      <c r="T504" s="4"/>
      <c r="U504" s="4"/>
      <c r="V504" s="4"/>
      <c r="W504" s="4"/>
      <c r="X504" s="4"/>
      <c r="Y504" s="4"/>
      <c r="Z504" s="4"/>
      <c r="AA504" s="4"/>
      <c r="AB504" s="4"/>
      <c r="AC504" s="4"/>
      <c r="AD504" s="4"/>
      <c r="AE504" s="4"/>
      <c r="AF504" s="4"/>
      <c r="AG504" s="4"/>
      <c r="AH504" s="4"/>
      <c r="AI504" s="4"/>
      <c r="AJ504" s="4"/>
      <c r="AK504" s="4"/>
      <c r="AL504" s="4"/>
      <c r="AM504" s="4"/>
      <c r="AN504" s="4"/>
      <c r="AO504" s="4"/>
      <c r="AP504" s="4"/>
      <c r="AQ504" s="4"/>
      <c r="AR504" s="4"/>
      <c r="AS504" s="4"/>
      <c r="AT504" s="4"/>
      <c r="AU504" s="4"/>
      <c r="AV504" s="4"/>
      <c r="AW504" s="4"/>
      <c r="AX504" s="4"/>
      <c r="AY504" s="4"/>
      <c r="AZ504" s="4"/>
      <c r="BA504" s="4"/>
      <c r="BB504" s="4"/>
      <c r="BC504" s="4"/>
      <c r="BD504" s="4"/>
      <c r="BE504" s="4"/>
      <c r="BF504" s="4"/>
      <c r="BG504" s="4"/>
      <c r="BH504" s="4"/>
      <c r="BI504" s="4"/>
      <c r="BJ504" s="4"/>
      <c r="BK504" s="4"/>
      <c r="BL504" s="4"/>
      <c r="BM504" s="4"/>
      <c r="BN504" s="4"/>
    </row>
    <row r="505" ht="13.5" customHeight="1" spans="1:66" x14ac:dyDescent="0.25">
      <c r="A505" s="4"/>
      <c r="B505" s="4"/>
      <c r="C505" s="533"/>
      <c r="D505" s="4"/>
      <c r="E505" s="4"/>
      <c r="F505" s="4"/>
      <c r="G505" s="4"/>
      <c r="H505" s="4"/>
      <c r="I505" s="4"/>
      <c r="J505" s="4"/>
      <c r="K505" s="4"/>
      <c r="L505" s="4"/>
      <c r="M505" s="4"/>
      <c r="N505" s="4"/>
      <c r="O505" s="4"/>
      <c r="P505" s="4"/>
      <c r="Q505" s="4"/>
      <c r="R505" s="4"/>
      <c r="S505" s="4"/>
      <c r="T505" s="4"/>
      <c r="U505" s="4"/>
      <c r="V505" s="4"/>
      <c r="W505" s="4"/>
      <c r="X505" s="4"/>
      <c r="Y505" s="4"/>
      <c r="Z505" s="4"/>
      <c r="AA505" s="4"/>
      <c r="AB505" s="4"/>
      <c r="AC505" s="4"/>
      <c r="AD505" s="4"/>
      <c r="AE505" s="4"/>
      <c r="AF505" s="4"/>
      <c r="AG505" s="4"/>
      <c r="AH505" s="4"/>
      <c r="AI505" s="4"/>
      <c r="AJ505" s="4"/>
      <c r="AK505" s="4"/>
      <c r="AL505" s="4"/>
      <c r="AM505" s="4"/>
      <c r="AN505" s="4"/>
      <c r="AO505" s="4"/>
      <c r="AP505" s="4"/>
      <c r="AQ505" s="4"/>
      <c r="AR505" s="4"/>
      <c r="AS505" s="4"/>
      <c r="AT505" s="4"/>
      <c r="AU505" s="4"/>
      <c r="AV505" s="4"/>
      <c r="AW505" s="4"/>
      <c r="AX505" s="4"/>
      <c r="AY505" s="4"/>
      <c r="AZ505" s="4"/>
      <c r="BA505" s="4"/>
      <c r="BB505" s="4"/>
      <c r="BC505" s="4"/>
      <c r="BD505" s="4"/>
      <c r="BE505" s="4"/>
      <c r="BF505" s="4"/>
      <c r="BG505" s="4"/>
      <c r="BH505" s="4"/>
      <c r="BI505" s="4"/>
      <c r="BJ505" s="4"/>
      <c r="BK505" s="4"/>
      <c r="BL505" s="4"/>
      <c r="BM505" s="4"/>
      <c r="BN505" s="4"/>
    </row>
    <row r="506" ht="13.5" customHeight="1" spans="1:66" x14ac:dyDescent="0.25">
      <c r="A506" s="4"/>
      <c r="B506" s="4"/>
      <c r="C506" s="533"/>
      <c r="D506" s="4"/>
      <c r="E506" s="4"/>
      <c r="F506" s="4"/>
      <c r="G506" s="4"/>
      <c r="H506" s="4"/>
      <c r="I506" s="4"/>
      <c r="J506" s="4"/>
      <c r="K506" s="4"/>
      <c r="L506" s="4"/>
      <c r="M506" s="4"/>
      <c r="N506" s="4"/>
      <c r="O506" s="4"/>
      <c r="P506" s="4"/>
      <c r="Q506" s="4"/>
      <c r="R506" s="4"/>
      <c r="S506" s="4"/>
      <c r="T506" s="4"/>
      <c r="U506" s="4"/>
      <c r="V506" s="4"/>
      <c r="W506" s="4"/>
      <c r="X506" s="4"/>
      <c r="Y506" s="4"/>
      <c r="Z506" s="4"/>
      <c r="AA506" s="4"/>
      <c r="AB506" s="4"/>
      <c r="AC506" s="4"/>
      <c r="AD506" s="4"/>
      <c r="AE506" s="4"/>
      <c r="AF506" s="4"/>
      <c r="AG506" s="4"/>
      <c r="AH506" s="4"/>
      <c r="AI506" s="4"/>
      <c r="AJ506" s="4"/>
      <c r="AK506" s="4"/>
      <c r="AL506" s="4"/>
      <c r="AM506" s="4"/>
      <c r="AN506" s="4"/>
      <c r="AO506" s="4"/>
      <c r="AP506" s="4"/>
      <c r="AQ506" s="4"/>
      <c r="AR506" s="4"/>
      <c r="AS506" s="4"/>
      <c r="AT506" s="4"/>
      <c r="AU506" s="4"/>
      <c r="AV506" s="4"/>
      <c r="AW506" s="4"/>
      <c r="AX506" s="4"/>
      <c r="AY506" s="4"/>
      <c r="AZ506" s="4"/>
      <c r="BA506" s="4"/>
      <c r="BB506" s="4"/>
      <c r="BC506" s="4"/>
      <c r="BD506" s="4"/>
      <c r="BE506" s="4"/>
      <c r="BF506" s="4"/>
      <c r="BG506" s="4"/>
      <c r="BH506" s="4"/>
      <c r="BI506" s="4"/>
      <c r="BJ506" s="4"/>
      <c r="BK506" s="4"/>
      <c r="BL506" s="4"/>
      <c r="BM506" s="4"/>
      <c r="BN506" s="4"/>
    </row>
    <row r="507" ht="13.5" customHeight="1" spans="1:66" x14ac:dyDescent="0.25">
      <c r="A507" s="4"/>
      <c r="B507" s="4"/>
      <c r="C507" s="533"/>
      <c r="D507" s="4"/>
      <c r="E507" s="4"/>
      <c r="F507" s="4"/>
      <c r="G507" s="4"/>
      <c r="H507" s="4"/>
      <c r="I507" s="4"/>
      <c r="J507" s="4"/>
      <c r="K507" s="4"/>
      <c r="L507" s="4"/>
      <c r="M507" s="4"/>
      <c r="N507" s="4"/>
      <c r="O507" s="4"/>
      <c r="P507" s="4"/>
      <c r="Q507" s="4"/>
      <c r="R507" s="4"/>
      <c r="S507" s="4"/>
      <c r="T507" s="4"/>
      <c r="U507" s="4"/>
      <c r="V507" s="4"/>
      <c r="W507" s="4"/>
      <c r="X507" s="4"/>
      <c r="Y507" s="4"/>
      <c r="Z507" s="4"/>
      <c r="AA507" s="4"/>
      <c r="AB507" s="4"/>
      <c r="AC507" s="4"/>
      <c r="AD507" s="4"/>
      <c r="AE507" s="4"/>
      <c r="AF507" s="4"/>
      <c r="AG507" s="4"/>
      <c r="AH507" s="4"/>
      <c r="AI507" s="4"/>
      <c r="AJ507" s="4"/>
      <c r="AK507" s="4"/>
      <c r="AL507" s="4"/>
      <c r="AM507" s="4"/>
      <c r="AN507" s="4"/>
      <c r="AO507" s="4"/>
      <c r="AP507" s="4"/>
      <c r="AQ507" s="4"/>
      <c r="AR507" s="4"/>
      <c r="AS507" s="4"/>
      <c r="AT507" s="4"/>
      <c r="AU507" s="4"/>
      <c r="AV507" s="4"/>
      <c r="AW507" s="4"/>
      <c r="AX507" s="4"/>
      <c r="AY507" s="4"/>
      <c r="AZ507" s="4"/>
      <c r="BA507" s="4"/>
      <c r="BB507" s="4"/>
      <c r="BC507" s="4"/>
      <c r="BD507" s="4"/>
      <c r="BE507" s="4"/>
      <c r="BF507" s="4"/>
      <c r="BG507" s="4"/>
      <c r="BH507" s="4"/>
      <c r="BI507" s="4"/>
      <c r="BJ507" s="4"/>
      <c r="BK507" s="4"/>
      <c r="BL507" s="4"/>
      <c r="BM507" s="4"/>
      <c r="BN507" s="4"/>
    </row>
    <row r="508" ht="13.5" customHeight="1" spans="1:66" x14ac:dyDescent="0.25">
      <c r="A508" s="4"/>
      <c r="B508" s="4"/>
      <c r="C508" s="533"/>
      <c r="D508" s="4"/>
      <c r="E508" s="4"/>
      <c r="F508" s="4"/>
      <c r="G508" s="4"/>
      <c r="H508" s="4"/>
      <c r="I508" s="4"/>
      <c r="J508" s="4"/>
      <c r="K508" s="4"/>
      <c r="L508" s="4"/>
      <c r="M508" s="4"/>
      <c r="N508" s="4"/>
      <c r="O508" s="4"/>
      <c r="P508" s="4"/>
      <c r="Q508" s="4"/>
      <c r="R508" s="4"/>
      <c r="S508" s="4"/>
      <c r="T508" s="4"/>
      <c r="U508" s="4"/>
      <c r="V508" s="4"/>
      <c r="W508" s="4"/>
      <c r="X508" s="4"/>
      <c r="Y508" s="4"/>
      <c r="Z508" s="4"/>
      <c r="AA508" s="4"/>
      <c r="AB508" s="4"/>
      <c r="AC508" s="4"/>
      <c r="AD508" s="4"/>
      <c r="AE508" s="4"/>
      <c r="AF508" s="4"/>
      <c r="AG508" s="4"/>
      <c r="AH508" s="4"/>
      <c r="AI508" s="4"/>
      <c r="AJ508" s="4"/>
      <c r="AK508" s="4"/>
      <c r="AL508" s="4"/>
      <c r="AM508" s="4"/>
      <c r="AN508" s="4"/>
      <c r="AO508" s="4"/>
      <c r="AP508" s="4"/>
      <c r="AQ508" s="4"/>
      <c r="AR508" s="4"/>
      <c r="AS508" s="4"/>
      <c r="AT508" s="4"/>
      <c r="AU508" s="4"/>
      <c r="AV508" s="4"/>
      <c r="AW508" s="4"/>
      <c r="AX508" s="4"/>
      <c r="AY508" s="4"/>
      <c r="AZ508" s="4"/>
      <c r="BA508" s="4"/>
      <c r="BB508" s="4"/>
      <c r="BC508" s="4"/>
      <c r="BD508" s="4"/>
      <c r="BE508" s="4"/>
      <c r="BF508" s="4"/>
      <c r="BG508" s="4"/>
      <c r="BH508" s="4"/>
      <c r="BI508" s="4"/>
      <c r="BJ508" s="4"/>
      <c r="BK508" s="4"/>
      <c r="BL508" s="4"/>
      <c r="BM508" s="4"/>
      <c r="BN508" s="4"/>
    </row>
    <row r="509" ht="13.5" customHeight="1" spans="1:66" x14ac:dyDescent="0.25">
      <c r="A509" s="4"/>
      <c r="B509" s="4"/>
      <c r="C509" s="533"/>
      <c r="D509" s="4"/>
      <c r="E509" s="4"/>
      <c r="F509" s="4"/>
      <c r="G509" s="4"/>
      <c r="H509" s="4"/>
      <c r="I509" s="4"/>
      <c r="J509" s="4"/>
      <c r="K509" s="4"/>
      <c r="L509" s="4"/>
      <c r="M509" s="4"/>
      <c r="N509" s="4"/>
      <c r="O509" s="4"/>
      <c r="P509" s="4"/>
      <c r="Q509" s="4"/>
      <c r="R509" s="4"/>
      <c r="S509" s="4"/>
      <c r="T509" s="4"/>
      <c r="U509" s="4"/>
      <c r="V509" s="4"/>
      <c r="W509" s="4"/>
      <c r="X509" s="4"/>
      <c r="Y509" s="4"/>
      <c r="Z509" s="4"/>
      <c r="AA509" s="4"/>
      <c r="AB509" s="4"/>
      <c r="AC509" s="4"/>
      <c r="AD509" s="4"/>
      <c r="AE509" s="4"/>
      <c r="AF509" s="4"/>
      <c r="AG509" s="4"/>
      <c r="AH509" s="4"/>
      <c r="AI509" s="4"/>
      <c r="AJ509" s="4"/>
      <c r="AK509" s="4"/>
      <c r="AL509" s="4"/>
      <c r="AM509" s="4"/>
      <c r="AN509" s="4"/>
      <c r="AO509" s="4"/>
      <c r="AP509" s="4"/>
      <c r="AQ509" s="4"/>
      <c r="AR509" s="4"/>
      <c r="AS509" s="4"/>
      <c r="AT509" s="4"/>
      <c r="AU509" s="4"/>
      <c r="AV509" s="4"/>
      <c r="AW509" s="4"/>
      <c r="AX509" s="4"/>
      <c r="AY509" s="4"/>
      <c r="AZ509" s="4"/>
      <c r="BA509" s="4"/>
      <c r="BB509" s="4"/>
      <c r="BC509" s="4"/>
      <c r="BD509" s="4"/>
      <c r="BE509" s="4"/>
      <c r="BF509" s="4"/>
      <c r="BG509" s="4"/>
      <c r="BH509" s="4"/>
      <c r="BI509" s="4"/>
      <c r="BJ509" s="4"/>
      <c r="BK509" s="4"/>
      <c r="BL509" s="4"/>
      <c r="BM509" s="4"/>
      <c r="BN509" s="4"/>
    </row>
    <row r="510" ht="13.5" customHeight="1" spans="1:66" x14ac:dyDescent="0.25">
      <c r="A510" s="4"/>
      <c r="B510" s="4"/>
      <c r="C510" s="533"/>
      <c r="D510" s="4"/>
      <c r="E510" s="4"/>
      <c r="F510" s="4"/>
      <c r="G510" s="4"/>
      <c r="H510" s="4"/>
      <c r="I510" s="4"/>
      <c r="J510" s="4"/>
      <c r="K510" s="4"/>
      <c r="L510" s="4"/>
      <c r="M510" s="4"/>
      <c r="N510" s="4"/>
      <c r="O510" s="4"/>
      <c r="P510" s="4"/>
      <c r="Q510" s="4"/>
      <c r="R510" s="4"/>
      <c r="S510" s="4"/>
      <c r="T510" s="4"/>
      <c r="U510" s="4"/>
      <c r="V510" s="4"/>
      <c r="W510" s="4"/>
      <c r="X510" s="4"/>
      <c r="Y510" s="4"/>
      <c r="Z510" s="4"/>
      <c r="AA510" s="4"/>
      <c r="AB510" s="4"/>
      <c r="AC510" s="4"/>
      <c r="AD510" s="4"/>
      <c r="AE510" s="4"/>
      <c r="AF510" s="4"/>
      <c r="AG510" s="4"/>
      <c r="AH510" s="4"/>
      <c r="AI510" s="4"/>
      <c r="AJ510" s="4"/>
      <c r="AK510" s="4"/>
      <c r="AL510" s="4"/>
      <c r="AM510" s="4"/>
      <c r="AN510" s="4"/>
      <c r="AO510" s="4"/>
      <c r="AP510" s="4"/>
      <c r="AQ510" s="4"/>
      <c r="AR510" s="4"/>
      <c r="AS510" s="4"/>
      <c r="AT510" s="4"/>
      <c r="AU510" s="4"/>
      <c r="AV510" s="4"/>
      <c r="AW510" s="4"/>
      <c r="AX510" s="4"/>
      <c r="AY510" s="4"/>
      <c r="AZ510" s="4"/>
      <c r="BA510" s="4"/>
      <c r="BB510" s="4"/>
      <c r="BC510" s="4"/>
      <c r="BD510" s="4"/>
      <c r="BE510" s="4"/>
      <c r="BF510" s="4"/>
      <c r="BG510" s="4"/>
      <c r="BH510" s="4"/>
      <c r="BI510" s="4"/>
      <c r="BJ510" s="4"/>
      <c r="BK510" s="4"/>
      <c r="BL510" s="4"/>
      <c r="BM510" s="4"/>
      <c r="BN510" s="4"/>
    </row>
    <row r="511" ht="13.5" customHeight="1" spans="1:66" x14ac:dyDescent="0.25">
      <c r="A511" s="4"/>
      <c r="B511" s="4"/>
      <c r="C511" s="533"/>
      <c r="D511" s="4"/>
      <c r="E511" s="4"/>
      <c r="F511" s="4"/>
      <c r="G511" s="4"/>
      <c r="H511" s="4"/>
      <c r="I511" s="4"/>
      <c r="J511" s="4"/>
      <c r="K511" s="4"/>
      <c r="L511" s="4"/>
      <c r="M511" s="4"/>
      <c r="N511" s="4"/>
      <c r="O511" s="4"/>
      <c r="P511" s="4"/>
      <c r="Q511" s="4"/>
      <c r="R511" s="4"/>
      <c r="S511" s="4"/>
      <c r="T511" s="4"/>
      <c r="U511" s="4"/>
      <c r="V511" s="4"/>
      <c r="W511" s="4"/>
      <c r="X511" s="4"/>
      <c r="Y511" s="4"/>
      <c r="Z511" s="4"/>
      <c r="AA511" s="4"/>
      <c r="AB511" s="4"/>
      <c r="AC511" s="4"/>
      <c r="AD511" s="4"/>
      <c r="AE511" s="4"/>
      <c r="AF511" s="4"/>
      <c r="AG511" s="4"/>
      <c r="AH511" s="4"/>
      <c r="AI511" s="4"/>
      <c r="AJ511" s="4"/>
      <c r="AK511" s="4"/>
      <c r="AL511" s="4"/>
      <c r="AM511" s="4"/>
      <c r="AN511" s="4"/>
      <c r="AO511" s="4"/>
      <c r="AP511" s="4"/>
      <c r="AQ511" s="4"/>
      <c r="AR511" s="4"/>
      <c r="AS511" s="4"/>
      <c r="AT511" s="4"/>
      <c r="AU511" s="4"/>
      <c r="AV511" s="4"/>
      <c r="AW511" s="4"/>
      <c r="AX511" s="4"/>
      <c r="AY511" s="4"/>
      <c r="AZ511" s="4"/>
      <c r="BA511" s="4"/>
      <c r="BB511" s="4"/>
      <c r="BC511" s="4"/>
      <c r="BD511" s="4"/>
      <c r="BE511" s="4"/>
      <c r="BF511" s="4"/>
      <c r="BG511" s="4"/>
      <c r="BH511" s="4"/>
      <c r="BI511" s="4"/>
      <c r="BJ511" s="4"/>
      <c r="BK511" s="4"/>
      <c r="BL511" s="4"/>
      <c r="BM511" s="4"/>
      <c r="BN511" s="4"/>
    </row>
    <row r="512" ht="13.5" customHeight="1" spans="1:66" x14ac:dyDescent="0.25">
      <c r="A512" s="4"/>
      <c r="B512" s="4"/>
      <c r="C512" s="533"/>
      <c r="D512" s="4"/>
      <c r="E512" s="4"/>
      <c r="F512" s="4"/>
      <c r="G512" s="4"/>
      <c r="H512" s="4"/>
      <c r="I512" s="4"/>
      <c r="J512" s="4"/>
      <c r="K512" s="4"/>
      <c r="L512" s="4"/>
      <c r="M512" s="4"/>
      <c r="N512" s="4"/>
      <c r="O512" s="4"/>
      <c r="P512" s="4"/>
      <c r="Q512" s="4"/>
      <c r="R512" s="4"/>
      <c r="S512" s="4"/>
      <c r="T512" s="4"/>
      <c r="U512" s="4"/>
      <c r="V512" s="4"/>
      <c r="W512" s="4"/>
      <c r="X512" s="4"/>
      <c r="Y512" s="4"/>
      <c r="Z512" s="4"/>
      <c r="AA512" s="4"/>
      <c r="AB512" s="4"/>
      <c r="AC512" s="4"/>
      <c r="AD512" s="4"/>
      <c r="AE512" s="4"/>
      <c r="AF512" s="4"/>
      <c r="AG512" s="4"/>
      <c r="AH512" s="4"/>
      <c r="AI512" s="4"/>
      <c r="AJ512" s="4"/>
      <c r="AK512" s="4"/>
      <c r="AL512" s="4"/>
      <c r="AM512" s="4"/>
      <c r="AN512" s="4"/>
      <c r="AO512" s="4"/>
      <c r="AP512" s="4"/>
      <c r="AQ512" s="4"/>
      <c r="AR512" s="4"/>
      <c r="AS512" s="4"/>
      <c r="AT512" s="4"/>
      <c r="AU512" s="4"/>
      <c r="AV512" s="4"/>
      <c r="AW512" s="4"/>
      <c r="AX512" s="4"/>
      <c r="AY512" s="4"/>
      <c r="AZ512" s="4"/>
      <c r="BA512" s="4"/>
      <c r="BB512" s="4"/>
      <c r="BC512" s="4"/>
      <c r="BD512" s="4"/>
      <c r="BE512" s="4"/>
      <c r="BF512" s="4"/>
      <c r="BG512" s="4"/>
      <c r="BH512" s="4"/>
      <c r="BI512" s="4"/>
      <c r="BJ512" s="4"/>
      <c r="BK512" s="4"/>
      <c r="BL512" s="4"/>
      <c r="BM512" s="4"/>
      <c r="BN512" s="4"/>
    </row>
    <row r="513" ht="13.5" customHeight="1" spans="1:66" x14ac:dyDescent="0.25">
      <c r="A513" s="4"/>
      <c r="B513" s="4"/>
      <c r="C513" s="533"/>
      <c r="D513" s="4"/>
      <c r="E513" s="4"/>
      <c r="F513" s="4"/>
      <c r="G513" s="4"/>
      <c r="H513" s="4"/>
      <c r="I513" s="4"/>
      <c r="J513" s="4"/>
      <c r="K513" s="4"/>
      <c r="L513" s="4"/>
      <c r="M513" s="4"/>
      <c r="N513" s="4"/>
      <c r="O513" s="4"/>
      <c r="P513" s="4"/>
      <c r="Q513" s="4"/>
      <c r="R513" s="4"/>
      <c r="S513" s="4"/>
      <c r="T513" s="4"/>
      <c r="U513" s="4"/>
      <c r="V513" s="4"/>
      <c r="W513" s="4"/>
      <c r="X513" s="4"/>
      <c r="Y513" s="4"/>
      <c r="Z513" s="4"/>
      <c r="AA513" s="4"/>
      <c r="AB513" s="4"/>
      <c r="AC513" s="4"/>
      <c r="AD513" s="4"/>
      <c r="AE513" s="4"/>
      <c r="AF513" s="4"/>
      <c r="AG513" s="4"/>
      <c r="AH513" s="4"/>
      <c r="AI513" s="4"/>
      <c r="AJ513" s="4"/>
      <c r="AK513" s="4"/>
      <c r="AL513" s="4"/>
      <c r="AM513" s="4"/>
      <c r="AN513" s="4"/>
      <c r="AO513" s="4"/>
      <c r="AP513" s="4"/>
      <c r="AQ513" s="4"/>
      <c r="AR513" s="4"/>
      <c r="AS513" s="4"/>
      <c r="AT513" s="4"/>
      <c r="AU513" s="4"/>
      <c r="AV513" s="4"/>
      <c r="AW513" s="4"/>
      <c r="AX513" s="4"/>
      <c r="AY513" s="4"/>
      <c r="AZ513" s="4"/>
      <c r="BA513" s="4"/>
      <c r="BB513" s="4"/>
      <c r="BC513" s="4"/>
      <c r="BD513" s="4"/>
      <c r="BE513" s="4"/>
      <c r="BF513" s="4"/>
      <c r="BG513" s="4"/>
      <c r="BH513" s="4"/>
      <c r="BI513" s="4"/>
      <c r="BJ513" s="4"/>
      <c r="BK513" s="4"/>
      <c r="BL513" s="4"/>
      <c r="BM513" s="4"/>
      <c r="BN513" s="4"/>
    </row>
    <row r="514" ht="13.5" customHeight="1" spans="1:66" x14ac:dyDescent="0.25">
      <c r="A514" s="4"/>
      <c r="B514" s="4"/>
      <c r="C514" s="533"/>
      <c r="D514" s="4"/>
      <c r="E514" s="4"/>
      <c r="F514" s="4"/>
      <c r="G514" s="4"/>
      <c r="H514" s="4"/>
      <c r="I514" s="4"/>
      <c r="J514" s="4"/>
      <c r="K514" s="4"/>
      <c r="L514" s="4"/>
      <c r="M514" s="4"/>
      <c r="N514" s="4"/>
      <c r="O514" s="4"/>
      <c r="P514" s="4"/>
      <c r="Q514" s="4"/>
      <c r="R514" s="4"/>
      <c r="S514" s="4"/>
      <c r="T514" s="4"/>
      <c r="U514" s="4"/>
      <c r="V514" s="4"/>
      <c r="W514" s="4"/>
      <c r="X514" s="4"/>
      <c r="Y514" s="4"/>
      <c r="Z514" s="4"/>
      <c r="AA514" s="4"/>
      <c r="AB514" s="4"/>
      <c r="AC514" s="4"/>
      <c r="AD514" s="4"/>
      <c r="AE514" s="4"/>
      <c r="AF514" s="4"/>
      <c r="AG514" s="4"/>
      <c r="AH514" s="4"/>
      <c r="AI514" s="4"/>
      <c r="AJ514" s="4"/>
      <c r="AK514" s="4"/>
      <c r="AL514" s="4"/>
      <c r="AM514" s="4"/>
      <c r="AN514" s="4"/>
      <c r="AO514" s="4"/>
      <c r="AP514" s="4"/>
      <c r="AQ514" s="4"/>
      <c r="AR514" s="4"/>
      <c r="AS514" s="4"/>
      <c r="AT514" s="4"/>
      <c r="AU514" s="4"/>
      <c r="AV514" s="4"/>
      <c r="AW514" s="4"/>
      <c r="AX514" s="4"/>
      <c r="AY514" s="4"/>
      <c r="AZ514" s="4"/>
      <c r="BA514" s="4"/>
      <c r="BB514" s="4"/>
      <c r="BC514" s="4"/>
      <c r="BD514" s="4"/>
      <c r="BE514" s="4"/>
      <c r="BF514" s="4"/>
      <c r="BG514" s="4"/>
      <c r="BH514" s="4"/>
      <c r="BI514" s="4"/>
      <c r="BJ514" s="4"/>
      <c r="BK514" s="4"/>
      <c r="BL514" s="4"/>
      <c r="BM514" s="4"/>
      <c r="BN514" s="4"/>
    </row>
    <row r="515" ht="13.5" customHeight="1" spans="1:66" x14ac:dyDescent="0.25">
      <c r="A515" s="4"/>
      <c r="B515" s="4"/>
      <c r="C515" s="533"/>
      <c r="D515" s="4"/>
      <c r="E515" s="4"/>
      <c r="F515" s="4"/>
      <c r="G515" s="4"/>
      <c r="H515" s="4"/>
      <c r="I515" s="4"/>
      <c r="J515" s="4"/>
      <c r="K515" s="4"/>
      <c r="L515" s="4"/>
      <c r="M515" s="4"/>
      <c r="N515" s="4"/>
      <c r="O515" s="4"/>
      <c r="P515" s="4"/>
      <c r="Q515" s="4"/>
      <c r="R515" s="4"/>
      <c r="S515" s="4"/>
      <c r="T515" s="4"/>
      <c r="U515" s="4"/>
      <c r="V515" s="4"/>
      <c r="W515" s="4"/>
      <c r="X515" s="4"/>
      <c r="Y515" s="4"/>
      <c r="Z515" s="4"/>
      <c r="AA515" s="4"/>
      <c r="AB515" s="4"/>
      <c r="AC515" s="4"/>
      <c r="AD515" s="4"/>
      <c r="AE515" s="4"/>
      <c r="AF515" s="4"/>
      <c r="AG515" s="4"/>
      <c r="AH515" s="4"/>
      <c r="AI515" s="4"/>
      <c r="AJ515" s="4"/>
      <c r="AK515" s="4"/>
      <c r="AL515" s="4"/>
      <c r="AM515" s="4"/>
      <c r="AN515" s="4"/>
      <c r="AO515" s="4"/>
      <c r="AP515" s="4"/>
      <c r="AQ515" s="4"/>
      <c r="AR515" s="4"/>
      <c r="AS515" s="4"/>
      <c r="AT515" s="4"/>
      <c r="AU515" s="4"/>
      <c r="AV515" s="4"/>
      <c r="AW515" s="4"/>
      <c r="AX515" s="4"/>
      <c r="AY515" s="4"/>
      <c r="AZ515" s="4"/>
      <c r="BA515" s="4"/>
      <c r="BB515" s="4"/>
      <c r="BC515" s="4"/>
      <c r="BD515" s="4"/>
      <c r="BE515" s="4"/>
      <c r="BF515" s="4"/>
      <c r="BG515" s="4"/>
      <c r="BH515" s="4"/>
      <c r="BI515" s="4"/>
      <c r="BJ515" s="4"/>
      <c r="BK515" s="4"/>
      <c r="BL515" s="4"/>
      <c r="BM515" s="4"/>
      <c r="BN515" s="4"/>
    </row>
    <row r="516" ht="13.5" customHeight="1" spans="1:66" x14ac:dyDescent="0.25">
      <c r="A516" s="4"/>
      <c r="B516" s="4"/>
      <c r="C516" s="533"/>
      <c r="D516" s="4"/>
      <c r="E516" s="4"/>
      <c r="F516" s="4"/>
      <c r="G516" s="4"/>
      <c r="H516" s="4"/>
      <c r="I516" s="4"/>
      <c r="J516" s="4"/>
      <c r="K516" s="4"/>
      <c r="L516" s="4"/>
      <c r="M516" s="4"/>
      <c r="N516" s="4"/>
      <c r="O516" s="4"/>
      <c r="P516" s="4"/>
      <c r="Q516" s="4"/>
      <c r="R516" s="4"/>
      <c r="S516" s="4"/>
      <c r="T516" s="4"/>
      <c r="U516" s="4"/>
      <c r="V516" s="4"/>
      <c r="W516" s="4"/>
      <c r="X516" s="4"/>
      <c r="Y516" s="4"/>
      <c r="Z516" s="4"/>
      <c r="AA516" s="4"/>
      <c r="AB516" s="4"/>
      <c r="AC516" s="4"/>
      <c r="AD516" s="4"/>
      <c r="AE516" s="4"/>
      <c r="AF516" s="4"/>
      <c r="AG516" s="4"/>
      <c r="AH516" s="4"/>
      <c r="AI516" s="4"/>
      <c r="AJ516" s="4"/>
      <c r="AK516" s="4"/>
      <c r="AL516" s="4"/>
      <c r="AM516" s="4"/>
      <c r="AN516" s="4"/>
      <c r="AO516" s="4"/>
      <c r="AP516" s="4"/>
      <c r="AQ516" s="4"/>
      <c r="AR516" s="4"/>
      <c r="AS516" s="4"/>
      <c r="AT516" s="4"/>
      <c r="AU516" s="4"/>
      <c r="AV516" s="4"/>
      <c r="AW516" s="4"/>
      <c r="AX516" s="4"/>
      <c r="AY516" s="4"/>
      <c r="AZ516" s="4"/>
      <c r="BA516" s="4"/>
      <c r="BB516" s="4"/>
      <c r="BC516" s="4"/>
      <c r="BD516" s="4"/>
      <c r="BE516" s="4"/>
      <c r="BF516" s="4"/>
      <c r="BG516" s="4"/>
      <c r="BH516" s="4"/>
      <c r="BI516" s="4"/>
      <c r="BJ516" s="4"/>
      <c r="BK516" s="4"/>
      <c r="BL516" s="4"/>
      <c r="BM516" s="4"/>
      <c r="BN516" s="4"/>
    </row>
    <row r="517" ht="13.5" customHeight="1" spans="1:66" x14ac:dyDescent="0.25">
      <c r="A517" s="4"/>
      <c r="B517" s="4"/>
      <c r="C517" s="533"/>
      <c r="D517" s="4"/>
      <c r="E517" s="4"/>
      <c r="F517" s="4"/>
      <c r="G517" s="4"/>
      <c r="H517" s="4"/>
      <c r="I517" s="4"/>
      <c r="J517" s="4"/>
      <c r="K517" s="4"/>
      <c r="L517" s="4"/>
      <c r="M517" s="4"/>
      <c r="N517" s="4"/>
      <c r="O517" s="4"/>
      <c r="P517" s="4"/>
      <c r="Q517" s="4"/>
      <c r="R517" s="4"/>
      <c r="S517" s="4"/>
      <c r="T517" s="4"/>
      <c r="U517" s="4"/>
      <c r="V517" s="4"/>
      <c r="W517" s="4"/>
      <c r="X517" s="4"/>
      <c r="Y517" s="4"/>
      <c r="Z517" s="4"/>
      <c r="AA517" s="4"/>
      <c r="AB517" s="4"/>
      <c r="AC517" s="4"/>
      <c r="AD517" s="4"/>
      <c r="AE517" s="4"/>
      <c r="AF517" s="4"/>
      <c r="AG517" s="4"/>
      <c r="AH517" s="4"/>
      <c r="AI517" s="4"/>
      <c r="AJ517" s="4"/>
      <c r="AK517" s="4"/>
      <c r="AL517" s="4"/>
      <c r="AM517" s="4"/>
      <c r="AN517" s="4"/>
      <c r="AO517" s="4"/>
      <c r="AP517" s="4"/>
      <c r="AQ517" s="4"/>
      <c r="AR517" s="4"/>
      <c r="AS517" s="4"/>
      <c r="AT517" s="4"/>
      <c r="AU517" s="4"/>
      <c r="AV517" s="4"/>
      <c r="AW517" s="4"/>
      <c r="AX517" s="4"/>
      <c r="AY517" s="4"/>
      <c r="AZ517" s="4"/>
      <c r="BA517" s="4"/>
      <c r="BB517" s="4"/>
      <c r="BC517" s="4"/>
      <c r="BD517" s="4"/>
      <c r="BE517" s="4"/>
      <c r="BF517" s="4"/>
      <c r="BG517" s="4"/>
      <c r="BH517" s="4"/>
      <c r="BI517" s="4"/>
      <c r="BJ517" s="4"/>
      <c r="BK517" s="4"/>
      <c r="BL517" s="4"/>
      <c r="BM517" s="4"/>
      <c r="BN517" s="4"/>
    </row>
    <row r="518" ht="13.5" customHeight="1" spans="1:66" x14ac:dyDescent="0.25">
      <c r="A518" s="4"/>
      <c r="B518" s="4"/>
      <c r="C518" s="533"/>
      <c r="D518" s="4"/>
      <c r="E518" s="4"/>
      <c r="F518" s="4"/>
      <c r="G518" s="4"/>
      <c r="H518" s="4"/>
      <c r="I518" s="4"/>
      <c r="J518" s="4"/>
      <c r="K518" s="4"/>
      <c r="L518" s="4"/>
      <c r="M518" s="4"/>
      <c r="N518" s="4"/>
      <c r="O518" s="4"/>
      <c r="P518" s="4"/>
      <c r="Q518" s="4"/>
      <c r="R518" s="4"/>
      <c r="S518" s="4"/>
      <c r="T518" s="4"/>
      <c r="U518" s="4"/>
      <c r="V518" s="4"/>
      <c r="W518" s="4"/>
      <c r="X518" s="4"/>
      <c r="Y518" s="4"/>
      <c r="Z518" s="4"/>
      <c r="AA518" s="4"/>
      <c r="AB518" s="4"/>
      <c r="AC518" s="4"/>
      <c r="AD518" s="4"/>
      <c r="AE518" s="4"/>
      <c r="AF518" s="4"/>
      <c r="AG518" s="4"/>
      <c r="AH518" s="4"/>
      <c r="AI518" s="4"/>
      <c r="AJ518" s="4"/>
      <c r="AK518" s="4"/>
      <c r="AL518" s="4"/>
      <c r="AM518" s="4"/>
      <c r="AN518" s="4"/>
      <c r="AO518" s="4"/>
      <c r="AP518" s="4"/>
      <c r="AQ518" s="4"/>
      <c r="AR518" s="4"/>
      <c r="AS518" s="4"/>
      <c r="AT518" s="4"/>
      <c r="AU518" s="4"/>
      <c r="AV518" s="4"/>
      <c r="AW518" s="4"/>
      <c r="AX518" s="4"/>
      <c r="AY518" s="4"/>
      <c r="AZ518" s="4"/>
      <c r="BA518" s="4"/>
      <c r="BB518" s="4"/>
      <c r="BC518" s="4"/>
      <c r="BD518" s="4"/>
      <c r="BE518" s="4"/>
      <c r="BF518" s="4"/>
      <c r="BG518" s="4"/>
      <c r="BH518" s="4"/>
      <c r="BI518" s="4"/>
      <c r="BJ518" s="4"/>
      <c r="BK518" s="4"/>
      <c r="BL518" s="4"/>
      <c r="BM518" s="4"/>
      <c r="BN518" s="4"/>
    </row>
    <row r="519" ht="13.5" customHeight="1" spans="1:66" x14ac:dyDescent="0.25">
      <c r="A519" s="4"/>
      <c r="B519" s="4"/>
      <c r="C519" s="533"/>
      <c r="D519" s="4"/>
      <c r="E519" s="4"/>
      <c r="F519" s="4"/>
      <c r="G519" s="4"/>
      <c r="H519" s="4"/>
      <c r="I519" s="4"/>
      <c r="J519" s="4"/>
      <c r="K519" s="4"/>
      <c r="L519" s="4"/>
      <c r="M519" s="4"/>
      <c r="N519" s="4"/>
      <c r="O519" s="4"/>
      <c r="P519" s="4"/>
      <c r="Q519" s="4"/>
      <c r="R519" s="4"/>
      <c r="S519" s="4"/>
      <c r="T519" s="4"/>
      <c r="U519" s="4"/>
      <c r="V519" s="4"/>
      <c r="W519" s="4"/>
      <c r="X519" s="4"/>
      <c r="Y519" s="4"/>
      <c r="Z519" s="4"/>
      <c r="AA519" s="4"/>
      <c r="AB519" s="4"/>
      <c r="AC519" s="4"/>
      <c r="AD519" s="4"/>
      <c r="AE519" s="4"/>
      <c r="AF519" s="4"/>
      <c r="AG519" s="4"/>
      <c r="AH519" s="4"/>
      <c r="AI519" s="4"/>
      <c r="AJ519" s="4"/>
      <c r="AK519" s="4"/>
      <c r="AL519" s="4"/>
      <c r="AM519" s="4"/>
      <c r="AN519" s="4"/>
      <c r="AO519" s="4"/>
      <c r="AP519" s="4"/>
      <c r="AQ519" s="4"/>
      <c r="AR519" s="4"/>
      <c r="AS519" s="4"/>
      <c r="AT519" s="4"/>
      <c r="AU519" s="4"/>
      <c r="AV519" s="4"/>
      <c r="AW519" s="4"/>
      <c r="AX519" s="4"/>
      <c r="AY519" s="4"/>
      <c r="AZ519" s="4"/>
      <c r="BA519" s="4"/>
      <c r="BB519" s="4"/>
      <c r="BC519" s="4"/>
      <c r="BD519" s="4"/>
      <c r="BE519" s="4"/>
      <c r="BF519" s="4"/>
      <c r="BG519" s="4"/>
      <c r="BH519" s="4"/>
      <c r="BI519" s="4"/>
      <c r="BJ519" s="4"/>
      <c r="BK519" s="4"/>
      <c r="BL519" s="4"/>
      <c r="BM519" s="4"/>
      <c r="BN519" s="4"/>
    </row>
    <row r="520" ht="13.5" customHeight="1" spans="1:66" x14ac:dyDescent="0.25">
      <c r="A520" s="4"/>
      <c r="B520" s="4"/>
      <c r="C520" s="533"/>
      <c r="D520" s="4"/>
      <c r="E520" s="4"/>
      <c r="F520" s="4"/>
      <c r="G520" s="4"/>
      <c r="H520" s="4"/>
      <c r="I520" s="4"/>
      <c r="J520" s="4"/>
      <c r="K520" s="4"/>
      <c r="L520" s="4"/>
      <c r="M520" s="4"/>
      <c r="N520" s="4"/>
      <c r="O520" s="4"/>
      <c r="P520" s="4"/>
      <c r="Q520" s="4"/>
      <c r="R520" s="4"/>
      <c r="S520" s="4"/>
      <c r="T520" s="4"/>
      <c r="U520" s="4"/>
      <c r="V520" s="4"/>
      <c r="W520" s="4"/>
      <c r="X520" s="4"/>
      <c r="Y520" s="4"/>
      <c r="Z520" s="4"/>
      <c r="AA520" s="4"/>
      <c r="AB520" s="4"/>
      <c r="AC520" s="4"/>
      <c r="AD520" s="4"/>
      <c r="AE520" s="4"/>
      <c r="AF520" s="4"/>
      <c r="AG520" s="4"/>
      <c r="AH520" s="4"/>
      <c r="AI520" s="4"/>
      <c r="AJ520" s="4"/>
      <c r="AK520" s="4"/>
      <c r="AL520" s="4"/>
      <c r="AM520" s="4"/>
      <c r="AN520" s="4"/>
      <c r="AO520" s="4"/>
      <c r="AP520" s="4"/>
      <c r="AQ520" s="4"/>
      <c r="AR520" s="4"/>
      <c r="AS520" s="4"/>
      <c r="AT520" s="4"/>
      <c r="AU520" s="4"/>
      <c r="AV520" s="4"/>
      <c r="AW520" s="4"/>
      <c r="AX520" s="4"/>
      <c r="AY520" s="4"/>
      <c r="AZ520" s="4"/>
      <c r="BA520" s="4"/>
      <c r="BB520" s="4"/>
      <c r="BC520" s="4"/>
      <c r="BD520" s="4"/>
      <c r="BE520" s="4"/>
      <c r="BF520" s="4"/>
      <c r="BG520" s="4"/>
      <c r="BH520" s="4"/>
      <c r="BI520" s="4"/>
      <c r="BJ520" s="4"/>
      <c r="BK520" s="4"/>
      <c r="BL520" s="4"/>
      <c r="BM520" s="4"/>
      <c r="BN520" s="4"/>
    </row>
    <row r="521" ht="13.5" customHeight="1" spans="1:66" x14ac:dyDescent="0.25">
      <c r="A521" s="4"/>
      <c r="B521" s="4"/>
      <c r="C521" s="533"/>
      <c r="D521" s="4"/>
      <c r="E521" s="4"/>
      <c r="F521" s="4"/>
      <c r="G521" s="4"/>
      <c r="H521" s="4"/>
      <c r="I521" s="4"/>
      <c r="J521" s="4"/>
      <c r="K521" s="4"/>
      <c r="L521" s="4"/>
      <c r="M521" s="4"/>
      <c r="N521" s="4"/>
      <c r="O521" s="4"/>
      <c r="P521" s="4"/>
      <c r="Q521" s="4"/>
      <c r="R521" s="4"/>
      <c r="S521" s="4"/>
      <c r="T521" s="4"/>
      <c r="U521" s="4"/>
      <c r="V521" s="4"/>
      <c r="W521" s="4"/>
      <c r="X521" s="4"/>
      <c r="Y521" s="4"/>
      <c r="Z521" s="4"/>
      <c r="AA521" s="4"/>
      <c r="AB521" s="4"/>
      <c r="AC521" s="4"/>
      <c r="AD521" s="4"/>
      <c r="AE521" s="4"/>
      <c r="AF521" s="4"/>
      <c r="AG521" s="4"/>
      <c r="AH521" s="4"/>
      <c r="AI521" s="4"/>
      <c r="AJ521" s="4"/>
      <c r="AK521" s="4"/>
      <c r="AL521" s="4"/>
      <c r="AM521" s="4"/>
      <c r="AN521" s="4"/>
      <c r="AO521" s="4"/>
      <c r="AP521" s="4"/>
      <c r="AQ521" s="4"/>
      <c r="AR521" s="4"/>
      <c r="AS521" s="4"/>
      <c r="AT521" s="4"/>
      <c r="AU521" s="4"/>
      <c r="AV521" s="4"/>
      <c r="AW521" s="4"/>
      <c r="AX521" s="4"/>
      <c r="AY521" s="4"/>
      <c r="AZ521" s="4"/>
      <c r="BA521" s="4"/>
      <c r="BB521" s="4"/>
      <c r="BC521" s="4"/>
      <c r="BD521" s="4"/>
      <c r="BE521" s="4"/>
      <c r="BF521" s="4"/>
      <c r="BG521" s="4"/>
      <c r="BH521" s="4"/>
      <c r="BI521" s="4"/>
      <c r="BJ521" s="4"/>
      <c r="BK521" s="4"/>
      <c r="BL521" s="4"/>
      <c r="BM521" s="4"/>
      <c r="BN521" s="4"/>
    </row>
    <row r="522" ht="13.5" customHeight="1" spans="1:66" x14ac:dyDescent="0.25">
      <c r="A522" s="4"/>
      <c r="B522" s="4"/>
      <c r="C522" s="533"/>
      <c r="D522" s="4"/>
      <c r="E522" s="4"/>
      <c r="F522" s="4"/>
      <c r="G522" s="4"/>
      <c r="H522" s="4"/>
      <c r="I522" s="4"/>
      <c r="J522" s="4"/>
      <c r="K522" s="4"/>
      <c r="L522" s="4"/>
      <c r="M522" s="4"/>
      <c r="N522" s="4"/>
      <c r="O522" s="4"/>
      <c r="P522" s="4"/>
      <c r="Q522" s="4"/>
      <c r="R522" s="4"/>
      <c r="S522" s="4"/>
      <c r="T522" s="4"/>
      <c r="U522" s="4"/>
      <c r="V522" s="4"/>
      <c r="W522" s="4"/>
      <c r="X522" s="4"/>
      <c r="Y522" s="4"/>
      <c r="Z522" s="4"/>
      <c r="AA522" s="4"/>
      <c r="AB522" s="4"/>
      <c r="AC522" s="4"/>
      <c r="AD522" s="4"/>
      <c r="AE522" s="4"/>
      <c r="AF522" s="4"/>
      <c r="AG522" s="4"/>
      <c r="AH522" s="4"/>
      <c r="AI522" s="4"/>
      <c r="AJ522" s="4"/>
      <c r="AK522" s="4"/>
      <c r="AL522" s="4"/>
      <c r="AM522" s="4"/>
      <c r="AN522" s="4"/>
      <c r="AO522" s="4"/>
      <c r="AP522" s="4"/>
      <c r="AQ522" s="4"/>
      <c r="AR522" s="4"/>
      <c r="AS522" s="4"/>
      <c r="AT522" s="4"/>
      <c r="AU522" s="4"/>
      <c r="AV522" s="4"/>
      <c r="AW522" s="4"/>
      <c r="AX522" s="4"/>
      <c r="AY522" s="4"/>
      <c r="AZ522" s="4"/>
      <c r="BA522" s="4"/>
      <c r="BB522" s="4"/>
      <c r="BC522" s="4"/>
      <c r="BD522" s="4"/>
      <c r="BE522" s="4"/>
      <c r="BF522" s="4"/>
      <c r="BG522" s="4"/>
      <c r="BH522" s="4"/>
      <c r="BI522" s="4"/>
      <c r="BJ522" s="4"/>
      <c r="BK522" s="4"/>
      <c r="BL522" s="4"/>
      <c r="BM522" s="4"/>
      <c r="BN522" s="4"/>
    </row>
    <row r="523" ht="13.5" customHeight="1" spans="1:66" x14ac:dyDescent="0.25">
      <c r="A523" s="4"/>
      <c r="B523" s="4"/>
      <c r="C523" s="533"/>
      <c r="D523" s="4"/>
      <c r="E523" s="4"/>
      <c r="F523" s="4"/>
      <c r="G523" s="4"/>
      <c r="H523" s="4"/>
      <c r="I523" s="4"/>
      <c r="J523" s="4"/>
      <c r="K523" s="4"/>
      <c r="L523" s="4"/>
      <c r="M523" s="4"/>
      <c r="N523" s="4"/>
      <c r="O523" s="4"/>
      <c r="P523" s="4"/>
      <c r="Q523" s="4"/>
      <c r="R523" s="4"/>
      <c r="S523" s="4"/>
      <c r="T523" s="4"/>
      <c r="U523" s="4"/>
      <c r="V523" s="4"/>
      <c r="W523" s="4"/>
      <c r="X523" s="4"/>
      <c r="Y523" s="4"/>
      <c r="Z523" s="4"/>
      <c r="AA523" s="4"/>
      <c r="AB523" s="4"/>
      <c r="AC523" s="4"/>
      <c r="AD523" s="4"/>
      <c r="AE523" s="4"/>
      <c r="AF523" s="4"/>
      <c r="AG523" s="4"/>
      <c r="AH523" s="4"/>
      <c r="AI523" s="4"/>
      <c r="AJ523" s="4"/>
      <c r="AK523" s="4"/>
      <c r="AL523" s="4"/>
      <c r="AM523" s="4"/>
      <c r="AN523" s="4"/>
      <c r="AO523" s="4"/>
      <c r="AP523" s="4"/>
      <c r="AQ523" s="4"/>
      <c r="AR523" s="4"/>
      <c r="AS523" s="4"/>
      <c r="AT523" s="4"/>
      <c r="AU523" s="4"/>
      <c r="AV523" s="4"/>
      <c r="AW523" s="4"/>
      <c r="AX523" s="4"/>
      <c r="AY523" s="4"/>
      <c r="AZ523" s="4"/>
      <c r="BA523" s="4"/>
      <c r="BB523" s="4"/>
      <c r="BC523" s="4"/>
      <c r="BD523" s="4"/>
      <c r="BE523" s="4"/>
      <c r="BF523" s="4"/>
      <c r="BG523" s="4"/>
      <c r="BH523" s="4"/>
      <c r="BI523" s="4"/>
      <c r="BJ523" s="4"/>
      <c r="BK523" s="4"/>
      <c r="BL523" s="4"/>
      <c r="BM523" s="4"/>
      <c r="BN523" s="4"/>
    </row>
    <row r="524" ht="13.5" customHeight="1" spans="1:66" x14ac:dyDescent="0.25">
      <c r="A524" s="4"/>
      <c r="B524" s="4"/>
      <c r="C524" s="533"/>
      <c r="D524" s="4"/>
      <c r="E524" s="4"/>
      <c r="F524" s="4"/>
      <c r="G524" s="4"/>
      <c r="H524" s="4"/>
      <c r="I524" s="4"/>
      <c r="J524" s="4"/>
      <c r="K524" s="4"/>
      <c r="L524" s="4"/>
      <c r="M524" s="4"/>
      <c r="N524" s="4"/>
      <c r="O524" s="4"/>
      <c r="P524" s="4"/>
      <c r="Q524" s="4"/>
      <c r="R524" s="4"/>
      <c r="S524" s="4"/>
      <c r="T524" s="4"/>
      <c r="U524" s="4"/>
      <c r="V524" s="4"/>
      <c r="W524" s="4"/>
      <c r="X524" s="4"/>
      <c r="Y524" s="4"/>
      <c r="Z524" s="4"/>
      <c r="AA524" s="4"/>
      <c r="AB524" s="4"/>
      <c r="AC524" s="4"/>
      <c r="AD524" s="4"/>
      <c r="AE524" s="4"/>
      <c r="AF524" s="4"/>
      <c r="AG524" s="4"/>
      <c r="AH524" s="4"/>
      <c r="AI524" s="4"/>
      <c r="AJ524" s="4"/>
      <c r="AK524" s="4"/>
      <c r="AL524" s="4"/>
      <c r="AM524" s="4"/>
      <c r="AN524" s="4"/>
      <c r="AO524" s="4"/>
      <c r="AP524" s="4"/>
      <c r="AQ524" s="4"/>
      <c r="AR524" s="4"/>
      <c r="AS524" s="4"/>
      <c r="AT524" s="4"/>
      <c r="AU524" s="4"/>
      <c r="AV524" s="4"/>
      <c r="AW524" s="4"/>
      <c r="AX524" s="4"/>
      <c r="AY524" s="4"/>
      <c r="AZ524" s="4"/>
      <c r="BA524" s="4"/>
      <c r="BB524" s="4"/>
      <c r="BC524" s="4"/>
      <c r="BD524" s="4"/>
      <c r="BE524" s="4"/>
      <c r="BF524" s="4"/>
      <c r="BG524" s="4"/>
      <c r="BH524" s="4"/>
      <c r="BI524" s="4"/>
      <c r="BJ524" s="4"/>
      <c r="BK524" s="4"/>
      <c r="BL524" s="4"/>
      <c r="BM524" s="4"/>
      <c r="BN524" s="4"/>
    </row>
    <row r="525" ht="13.5" customHeight="1" spans="1:66" x14ac:dyDescent="0.25">
      <c r="A525" s="4"/>
      <c r="B525" s="4"/>
      <c r="C525" s="533"/>
      <c r="D525" s="4"/>
      <c r="E525" s="4"/>
      <c r="F525" s="4"/>
      <c r="G525" s="4"/>
      <c r="H525" s="4"/>
      <c r="I525" s="4"/>
      <c r="J525" s="4"/>
      <c r="K525" s="4"/>
      <c r="L525" s="4"/>
      <c r="M525" s="4"/>
      <c r="N525" s="4"/>
      <c r="O525" s="4"/>
      <c r="P525" s="4"/>
      <c r="Q525" s="4"/>
      <c r="R525" s="4"/>
      <c r="S525" s="4"/>
      <c r="T525" s="4"/>
      <c r="U525" s="4"/>
      <c r="V525" s="4"/>
      <c r="W525" s="4"/>
      <c r="X525" s="4"/>
      <c r="Y525" s="4"/>
      <c r="Z525" s="4"/>
      <c r="AA525" s="4"/>
      <c r="AB525" s="4"/>
      <c r="AC525" s="4"/>
      <c r="AD525" s="4"/>
      <c r="AE525" s="4"/>
      <c r="AF525" s="4"/>
      <c r="AG525" s="4"/>
      <c r="AH525" s="4"/>
      <c r="AI525" s="4"/>
      <c r="AJ525" s="4"/>
      <c r="AK525" s="4"/>
      <c r="AL525" s="4"/>
      <c r="AM525" s="4"/>
      <c r="AN525" s="4"/>
      <c r="AO525" s="4"/>
      <c r="AP525" s="4"/>
      <c r="AQ525" s="4"/>
      <c r="AR525" s="4"/>
      <c r="AS525" s="4"/>
      <c r="AT525" s="4"/>
      <c r="AU525" s="4"/>
      <c r="AV525" s="4"/>
      <c r="AW525" s="4"/>
      <c r="AX525" s="4"/>
      <c r="AY525" s="4"/>
      <c r="AZ525" s="4"/>
      <c r="BA525" s="4"/>
      <c r="BB525" s="4"/>
      <c r="BC525" s="4"/>
      <c r="BD525" s="4"/>
      <c r="BE525" s="4"/>
      <c r="BF525" s="4"/>
      <c r="BG525" s="4"/>
      <c r="BH525" s="4"/>
      <c r="BI525" s="4"/>
      <c r="BJ525" s="4"/>
      <c r="BK525" s="4"/>
      <c r="BL525" s="4"/>
      <c r="BM525" s="4"/>
      <c r="BN525" s="4"/>
    </row>
    <row r="526" ht="13.5" customHeight="1" spans="1:66" x14ac:dyDescent="0.25">
      <c r="A526" s="4"/>
      <c r="B526" s="4"/>
      <c r="C526" s="533"/>
      <c r="D526" s="4"/>
      <c r="E526" s="4"/>
      <c r="F526" s="4"/>
      <c r="G526" s="4"/>
      <c r="H526" s="4"/>
      <c r="I526" s="4"/>
      <c r="J526" s="4"/>
      <c r="K526" s="4"/>
      <c r="L526" s="4"/>
      <c r="M526" s="4"/>
      <c r="N526" s="4"/>
      <c r="O526" s="4"/>
      <c r="P526" s="4"/>
      <c r="Q526" s="4"/>
      <c r="R526" s="4"/>
      <c r="S526" s="4"/>
      <c r="T526" s="4"/>
      <c r="U526" s="4"/>
      <c r="V526" s="4"/>
      <c r="W526" s="4"/>
      <c r="X526" s="4"/>
      <c r="Y526" s="4"/>
      <c r="Z526" s="4"/>
      <c r="AA526" s="4"/>
      <c r="AB526" s="4"/>
      <c r="AC526" s="4"/>
      <c r="AD526" s="4"/>
      <c r="AE526" s="4"/>
      <c r="AF526" s="4"/>
      <c r="AG526" s="4"/>
      <c r="AH526" s="4"/>
      <c r="AI526" s="4"/>
      <c r="AJ526" s="4"/>
      <c r="AK526" s="4"/>
      <c r="AL526" s="4"/>
      <c r="AM526" s="4"/>
      <c r="AN526" s="4"/>
      <c r="AO526" s="4"/>
      <c r="AP526" s="4"/>
      <c r="AQ526" s="4"/>
      <c r="AR526" s="4"/>
      <c r="AS526" s="4"/>
      <c r="AT526" s="4"/>
      <c r="AU526" s="4"/>
      <c r="AV526" s="4"/>
      <c r="AW526" s="4"/>
      <c r="AX526" s="4"/>
      <c r="AY526" s="4"/>
      <c r="AZ526" s="4"/>
      <c r="BA526" s="4"/>
      <c r="BB526" s="4"/>
      <c r="BC526" s="4"/>
      <c r="BD526" s="4"/>
      <c r="BE526" s="4"/>
      <c r="BF526" s="4"/>
      <c r="BG526" s="4"/>
      <c r="BH526" s="4"/>
      <c r="BI526" s="4"/>
      <c r="BJ526" s="4"/>
      <c r="BK526" s="4"/>
      <c r="BL526" s="4"/>
      <c r="BM526" s="4"/>
      <c r="BN526" s="4"/>
    </row>
    <row r="527" ht="13.5" customHeight="1" spans="1:66" x14ac:dyDescent="0.25">
      <c r="A527" s="4"/>
      <c r="B527" s="4"/>
      <c r="C527" s="533"/>
      <c r="D527" s="4"/>
      <c r="E527" s="4"/>
      <c r="F527" s="4"/>
      <c r="G527" s="4"/>
      <c r="H527" s="4"/>
      <c r="I527" s="4"/>
      <c r="J527" s="4"/>
      <c r="K527" s="4"/>
      <c r="L527" s="4"/>
      <c r="M527" s="4"/>
      <c r="N527" s="4"/>
      <c r="O527" s="4"/>
      <c r="P527" s="4"/>
      <c r="Q527" s="4"/>
      <c r="R527" s="4"/>
      <c r="S527" s="4"/>
      <c r="T527" s="4"/>
      <c r="U527" s="4"/>
      <c r="V527" s="4"/>
      <c r="W527" s="4"/>
      <c r="X527" s="4"/>
      <c r="Y527" s="4"/>
      <c r="Z527" s="4"/>
      <c r="AA527" s="4"/>
      <c r="AB527" s="4"/>
      <c r="AC527" s="4"/>
      <c r="AD527" s="4"/>
      <c r="AE527" s="4"/>
      <c r="AF527" s="4"/>
      <c r="AG527" s="4"/>
      <c r="AH527" s="4"/>
      <c r="AI527" s="4"/>
      <c r="AJ527" s="4"/>
      <c r="AK527" s="4"/>
      <c r="AL527" s="4"/>
      <c r="AM527" s="4"/>
      <c r="AN527" s="4"/>
      <c r="AO527" s="4"/>
      <c r="AP527" s="4"/>
      <c r="AQ527" s="4"/>
      <c r="AR527" s="4"/>
      <c r="AS527" s="4"/>
      <c r="AT527" s="4"/>
      <c r="AU527" s="4"/>
      <c r="AV527" s="4"/>
      <c r="AW527" s="4"/>
      <c r="AX527" s="4"/>
      <c r="AY527" s="4"/>
      <c r="AZ527" s="4"/>
      <c r="BA527" s="4"/>
      <c r="BB527" s="4"/>
      <c r="BC527" s="4"/>
      <c r="BD527" s="4"/>
      <c r="BE527" s="4"/>
      <c r="BF527" s="4"/>
      <c r="BG527" s="4"/>
      <c r="BH527" s="4"/>
      <c r="BI527" s="4"/>
      <c r="BJ527" s="4"/>
      <c r="BK527" s="4"/>
      <c r="BL527" s="4"/>
      <c r="BM527" s="4"/>
      <c r="BN527" s="4"/>
    </row>
    <row r="528" ht="13.5" customHeight="1" spans="1:66" x14ac:dyDescent="0.25">
      <c r="A528" s="4"/>
      <c r="B528" s="4"/>
      <c r="C528" s="533"/>
      <c r="D528" s="4"/>
      <c r="E528" s="4"/>
      <c r="F528" s="4"/>
      <c r="G528" s="4"/>
      <c r="H528" s="4"/>
      <c r="I528" s="4"/>
      <c r="J528" s="4"/>
      <c r="K528" s="4"/>
      <c r="L528" s="4"/>
      <c r="M528" s="4"/>
      <c r="N528" s="4"/>
      <c r="O528" s="4"/>
      <c r="P528" s="4"/>
      <c r="Q528" s="4"/>
      <c r="R528" s="4"/>
      <c r="S528" s="4"/>
      <c r="T528" s="4"/>
      <c r="U528" s="4"/>
      <c r="V528" s="4"/>
      <c r="W528" s="4"/>
      <c r="X528" s="4"/>
      <c r="Y528" s="4"/>
      <c r="Z528" s="4"/>
      <c r="AA528" s="4"/>
      <c r="AB528" s="4"/>
      <c r="AC528" s="4"/>
      <c r="AD528" s="4"/>
      <c r="AE528" s="4"/>
      <c r="AF528" s="4"/>
      <c r="AG528" s="4"/>
      <c r="AH528" s="4"/>
      <c r="AI528" s="4"/>
      <c r="AJ528" s="4"/>
      <c r="AK528" s="4"/>
      <c r="AL528" s="4"/>
      <c r="AM528" s="4"/>
      <c r="AN528" s="4"/>
      <c r="AO528" s="4"/>
      <c r="AP528" s="4"/>
      <c r="AQ528" s="4"/>
      <c r="AR528" s="4"/>
      <c r="AS528" s="4"/>
      <c r="AT528" s="4"/>
      <c r="AU528" s="4"/>
      <c r="AV528" s="4"/>
      <c r="AW528" s="4"/>
      <c r="AX528" s="4"/>
      <c r="AY528" s="4"/>
      <c r="AZ528" s="4"/>
      <c r="BA528" s="4"/>
      <c r="BB528" s="4"/>
      <c r="BC528" s="4"/>
      <c r="BD528" s="4"/>
      <c r="BE528" s="4"/>
      <c r="BF528" s="4"/>
      <c r="BG528" s="4"/>
      <c r="BH528" s="4"/>
      <c r="BI528" s="4"/>
      <c r="BJ528" s="4"/>
      <c r="BK528" s="4"/>
      <c r="BL528" s="4"/>
      <c r="BM528" s="4"/>
      <c r="BN528" s="4"/>
    </row>
    <row r="529" ht="13.5" customHeight="1" spans="1:66" x14ac:dyDescent="0.25">
      <c r="A529" s="4"/>
      <c r="B529" s="4"/>
      <c r="C529" s="533"/>
      <c r="D529" s="4"/>
      <c r="E529" s="4"/>
      <c r="F529" s="4"/>
      <c r="G529" s="4"/>
      <c r="H529" s="4"/>
      <c r="I529" s="4"/>
      <c r="J529" s="4"/>
      <c r="K529" s="4"/>
      <c r="L529" s="4"/>
      <c r="M529" s="4"/>
      <c r="N529" s="4"/>
      <c r="O529" s="4"/>
      <c r="P529" s="4"/>
      <c r="Q529" s="4"/>
      <c r="R529" s="4"/>
      <c r="S529" s="4"/>
      <c r="T529" s="4"/>
      <c r="U529" s="4"/>
      <c r="V529" s="4"/>
      <c r="W529" s="4"/>
      <c r="X529" s="4"/>
      <c r="Y529" s="4"/>
      <c r="Z529" s="4"/>
      <c r="AA529" s="4"/>
      <c r="AB529" s="4"/>
      <c r="AC529" s="4"/>
      <c r="AD529" s="4"/>
      <c r="AE529" s="4"/>
      <c r="AF529" s="4"/>
      <c r="AG529" s="4"/>
      <c r="AH529" s="4"/>
      <c r="AI529" s="4"/>
      <c r="AJ529" s="4"/>
      <c r="AK529" s="4"/>
      <c r="AL529" s="4"/>
      <c r="AM529" s="4"/>
      <c r="AN529" s="4"/>
      <c r="AO529" s="4"/>
      <c r="AP529" s="4"/>
      <c r="AQ529" s="4"/>
      <c r="AR529" s="4"/>
      <c r="AS529" s="4"/>
      <c r="AT529" s="4"/>
      <c r="AU529" s="4"/>
      <c r="AV529" s="4"/>
      <c r="AW529" s="4"/>
      <c r="AX529" s="4"/>
      <c r="AY529" s="4"/>
      <c r="AZ529" s="4"/>
      <c r="BA529" s="4"/>
      <c r="BB529" s="4"/>
      <c r="BC529" s="4"/>
      <c r="BD529" s="4"/>
      <c r="BE529" s="4"/>
      <c r="BF529" s="4"/>
      <c r="BG529" s="4"/>
      <c r="BH529" s="4"/>
      <c r="BI529" s="4"/>
      <c r="BJ529" s="4"/>
      <c r="BK529" s="4"/>
      <c r="BL529" s="4"/>
      <c r="BM529" s="4"/>
      <c r="BN529" s="4"/>
    </row>
    <row r="530" ht="13.5" customHeight="1" spans="1:66" x14ac:dyDescent="0.25">
      <c r="A530" s="4"/>
      <c r="B530" s="4"/>
      <c r="C530" s="533"/>
      <c r="D530" s="4"/>
      <c r="E530" s="4"/>
      <c r="F530" s="4"/>
      <c r="G530" s="4"/>
      <c r="H530" s="4"/>
      <c r="I530" s="4"/>
      <c r="J530" s="4"/>
      <c r="K530" s="4"/>
      <c r="L530" s="4"/>
      <c r="M530" s="4"/>
      <c r="N530" s="4"/>
      <c r="O530" s="4"/>
      <c r="P530" s="4"/>
      <c r="Q530" s="4"/>
      <c r="R530" s="4"/>
      <c r="S530" s="4"/>
      <c r="T530" s="4"/>
      <c r="U530" s="4"/>
      <c r="V530" s="4"/>
      <c r="W530" s="4"/>
      <c r="X530" s="4"/>
      <c r="Y530" s="4"/>
      <c r="Z530" s="4"/>
      <c r="AA530" s="4"/>
      <c r="AB530" s="4"/>
      <c r="AC530" s="4"/>
      <c r="AD530" s="4"/>
      <c r="AE530" s="4"/>
      <c r="AF530" s="4"/>
      <c r="AG530" s="4"/>
      <c r="AH530" s="4"/>
      <c r="AI530" s="4"/>
      <c r="AJ530" s="4"/>
      <c r="AK530" s="4"/>
      <c r="AL530" s="4"/>
      <c r="AM530" s="4"/>
      <c r="AN530" s="4"/>
      <c r="AO530" s="4"/>
      <c r="AP530" s="4"/>
      <c r="AQ530" s="4"/>
      <c r="AR530" s="4"/>
      <c r="AS530" s="4"/>
      <c r="AT530" s="4"/>
      <c r="AU530" s="4"/>
      <c r="AV530" s="4"/>
      <c r="AW530" s="4"/>
      <c r="AX530" s="4"/>
      <c r="AY530" s="4"/>
      <c r="AZ530" s="4"/>
      <c r="BA530" s="4"/>
      <c r="BB530" s="4"/>
      <c r="BC530" s="4"/>
      <c r="BD530" s="4"/>
      <c r="BE530" s="4"/>
      <c r="BF530" s="4"/>
      <c r="BG530" s="4"/>
      <c r="BH530" s="4"/>
      <c r="BI530" s="4"/>
      <c r="BJ530" s="4"/>
      <c r="BK530" s="4"/>
      <c r="BL530" s="4"/>
      <c r="BM530" s="4"/>
      <c r="BN530" s="4"/>
    </row>
    <row r="531" ht="13.5" customHeight="1" spans="1:66" x14ac:dyDescent="0.25">
      <c r="A531" s="4"/>
      <c r="B531" s="4"/>
      <c r="C531" s="533"/>
      <c r="D531" s="4"/>
      <c r="E531" s="4"/>
      <c r="F531" s="4"/>
      <c r="G531" s="4"/>
      <c r="H531" s="4"/>
      <c r="I531" s="4"/>
      <c r="J531" s="4"/>
      <c r="K531" s="4"/>
      <c r="L531" s="4"/>
      <c r="M531" s="4"/>
      <c r="N531" s="4"/>
      <c r="O531" s="4"/>
      <c r="P531" s="4"/>
      <c r="Q531" s="4"/>
      <c r="R531" s="4"/>
      <c r="S531" s="4"/>
      <c r="T531" s="4"/>
      <c r="U531" s="4"/>
      <c r="V531" s="4"/>
      <c r="W531" s="4"/>
      <c r="X531" s="4"/>
      <c r="Y531" s="4"/>
      <c r="Z531" s="4"/>
      <c r="AA531" s="4"/>
      <c r="AB531" s="4"/>
      <c r="AC531" s="4"/>
      <c r="AD531" s="4"/>
      <c r="AE531" s="4"/>
      <c r="AF531" s="4"/>
      <c r="AG531" s="4"/>
      <c r="AH531" s="4"/>
      <c r="AI531" s="4"/>
      <c r="AJ531" s="4"/>
      <c r="AK531" s="4"/>
      <c r="AL531" s="4"/>
      <c r="AM531" s="4"/>
      <c r="AN531" s="4"/>
      <c r="AO531" s="4"/>
      <c r="AP531" s="4"/>
      <c r="AQ531" s="4"/>
      <c r="AR531" s="4"/>
      <c r="AS531" s="4"/>
      <c r="AT531" s="4"/>
      <c r="AU531" s="4"/>
      <c r="AV531" s="4"/>
      <c r="AW531" s="4"/>
      <c r="AX531" s="4"/>
      <c r="AY531" s="4"/>
      <c r="AZ531" s="4"/>
      <c r="BA531" s="4"/>
      <c r="BB531" s="4"/>
      <c r="BC531" s="4"/>
      <c r="BD531" s="4"/>
      <c r="BE531" s="4"/>
      <c r="BF531" s="4"/>
      <c r="BG531" s="4"/>
      <c r="BH531" s="4"/>
      <c r="BI531" s="4"/>
      <c r="BJ531" s="4"/>
      <c r="BK531" s="4"/>
      <c r="BL531" s="4"/>
      <c r="BM531" s="4"/>
      <c r="BN531" s="4"/>
    </row>
    <row r="532" ht="13.5" customHeight="1" spans="1:66" x14ac:dyDescent="0.25">
      <c r="A532" s="4"/>
      <c r="B532" s="4"/>
      <c r="C532" s="533"/>
      <c r="D532" s="4"/>
      <c r="E532" s="4"/>
      <c r="F532" s="4"/>
      <c r="G532" s="4"/>
      <c r="H532" s="4"/>
      <c r="I532" s="4"/>
      <c r="J532" s="4"/>
      <c r="K532" s="4"/>
      <c r="L532" s="4"/>
      <c r="M532" s="4"/>
      <c r="N532" s="4"/>
      <c r="O532" s="4"/>
      <c r="P532" s="4"/>
      <c r="Q532" s="4"/>
      <c r="R532" s="4"/>
      <c r="S532" s="4"/>
      <c r="T532" s="4"/>
      <c r="U532" s="4"/>
      <c r="V532" s="4"/>
      <c r="W532" s="4"/>
      <c r="X532" s="4"/>
      <c r="Y532" s="4"/>
      <c r="Z532" s="4"/>
      <c r="AA532" s="4"/>
      <c r="AB532" s="4"/>
      <c r="AC532" s="4"/>
      <c r="AD532" s="4"/>
      <c r="AE532" s="4"/>
      <c r="AF532" s="4"/>
      <c r="AG532" s="4"/>
      <c r="AH532" s="4"/>
      <c r="AI532" s="4"/>
      <c r="AJ532" s="4"/>
      <c r="AK532" s="4"/>
      <c r="AL532" s="4"/>
      <c r="AM532" s="4"/>
      <c r="AN532" s="4"/>
      <c r="AO532" s="4"/>
      <c r="AP532" s="4"/>
      <c r="AQ532" s="4"/>
      <c r="AR532" s="4"/>
      <c r="AS532" s="4"/>
      <c r="AT532" s="4"/>
      <c r="AU532" s="4"/>
      <c r="AV532" s="4"/>
      <c r="AW532" s="4"/>
      <c r="AX532" s="4"/>
      <c r="AY532" s="4"/>
      <c r="AZ532" s="4"/>
      <c r="BA532" s="4"/>
      <c r="BB532" s="4"/>
      <c r="BC532" s="4"/>
      <c r="BD532" s="4"/>
      <c r="BE532" s="4"/>
      <c r="BF532" s="4"/>
      <c r="BG532" s="4"/>
      <c r="BH532" s="4"/>
      <c r="BI532" s="4"/>
      <c r="BJ532" s="4"/>
      <c r="BK532" s="4"/>
      <c r="BL532" s="4"/>
      <c r="BM532" s="4"/>
      <c r="BN532" s="4"/>
    </row>
    <row r="533" ht="13.5" customHeight="1" spans="1:66" x14ac:dyDescent="0.25">
      <c r="A533" s="4"/>
      <c r="B533" s="4"/>
      <c r="C533" s="533"/>
      <c r="D533" s="4"/>
      <c r="E533" s="4"/>
      <c r="F533" s="4"/>
      <c r="G533" s="4"/>
      <c r="H533" s="4"/>
      <c r="I533" s="4"/>
      <c r="J533" s="4"/>
      <c r="K533" s="4"/>
      <c r="L533" s="4"/>
      <c r="M533" s="4"/>
      <c r="N533" s="4"/>
      <c r="O533" s="4"/>
      <c r="P533" s="4"/>
      <c r="Q533" s="4"/>
      <c r="R533" s="4"/>
      <c r="S533" s="4"/>
      <c r="T533" s="4"/>
      <c r="U533" s="4"/>
      <c r="V533" s="4"/>
      <c r="W533" s="4"/>
      <c r="X533" s="4"/>
      <c r="Y533" s="4"/>
      <c r="Z533" s="4"/>
      <c r="AA533" s="4"/>
      <c r="AB533" s="4"/>
      <c r="AC533" s="4"/>
      <c r="AD533" s="4"/>
      <c r="AE533" s="4"/>
      <c r="AF533" s="4"/>
      <c r="AG533" s="4"/>
      <c r="AH533" s="4"/>
      <c r="AI533" s="4"/>
      <c r="AJ533" s="4"/>
      <c r="AK533" s="4"/>
      <c r="AL533" s="4"/>
      <c r="AM533" s="4"/>
      <c r="AN533" s="4"/>
      <c r="AO533" s="4"/>
      <c r="AP533" s="4"/>
      <c r="AQ533" s="4"/>
      <c r="AR533" s="4"/>
      <c r="AS533" s="4"/>
      <c r="AT533" s="4"/>
      <c r="AU533" s="4"/>
      <c r="AV533" s="4"/>
      <c r="AW533" s="4"/>
      <c r="AX533" s="4"/>
      <c r="AY533" s="4"/>
      <c r="AZ533" s="4"/>
      <c r="BA533" s="4"/>
      <c r="BB533" s="4"/>
      <c r="BC533" s="4"/>
      <c r="BD533" s="4"/>
      <c r="BE533" s="4"/>
      <c r="BF533" s="4"/>
      <c r="BG533" s="4"/>
      <c r="BH533" s="4"/>
      <c r="BI533" s="4"/>
      <c r="BJ533" s="4"/>
      <c r="BK533" s="4"/>
      <c r="BL533" s="4"/>
      <c r="BM533" s="4"/>
      <c r="BN533" s="4"/>
    </row>
    <row r="534" ht="13.5" customHeight="1" spans="1:66" x14ac:dyDescent="0.25">
      <c r="A534" s="4"/>
      <c r="B534" s="4"/>
      <c r="C534" s="533"/>
      <c r="D534" s="4"/>
      <c r="E534" s="4"/>
      <c r="F534" s="4"/>
      <c r="G534" s="4"/>
      <c r="H534" s="4"/>
      <c r="I534" s="4"/>
      <c r="J534" s="4"/>
      <c r="K534" s="4"/>
      <c r="L534" s="4"/>
      <c r="M534" s="4"/>
      <c r="N534" s="4"/>
      <c r="O534" s="4"/>
      <c r="P534" s="4"/>
      <c r="Q534" s="4"/>
      <c r="R534" s="4"/>
      <c r="S534" s="4"/>
      <c r="T534" s="4"/>
      <c r="U534" s="4"/>
      <c r="V534" s="4"/>
      <c r="W534" s="4"/>
      <c r="X534" s="4"/>
      <c r="Y534" s="4"/>
      <c r="Z534" s="4"/>
      <c r="AA534" s="4"/>
      <c r="AB534" s="4"/>
      <c r="AC534" s="4"/>
      <c r="AD534" s="4"/>
      <c r="AE534" s="4"/>
      <c r="AF534" s="4"/>
      <c r="AG534" s="4"/>
      <c r="AH534" s="4"/>
      <c r="AI534" s="4"/>
      <c r="AJ534" s="4"/>
      <c r="AK534" s="4"/>
      <c r="AL534" s="4"/>
      <c r="AM534" s="4"/>
      <c r="AN534" s="4"/>
      <c r="AO534" s="4"/>
      <c r="AP534" s="4"/>
      <c r="AQ534" s="4"/>
      <c r="AR534" s="4"/>
      <c r="AS534" s="4"/>
      <c r="AT534" s="4"/>
      <c r="AU534" s="4"/>
      <c r="AV534" s="4"/>
      <c r="AW534" s="4"/>
      <c r="AX534" s="4"/>
      <c r="AY534" s="4"/>
      <c r="AZ534" s="4"/>
      <c r="BA534" s="4"/>
      <c r="BB534" s="4"/>
      <c r="BC534" s="4"/>
      <c r="BD534" s="4"/>
      <c r="BE534" s="4"/>
      <c r="BF534" s="4"/>
      <c r="BG534" s="4"/>
      <c r="BH534" s="4"/>
      <c r="BI534" s="4"/>
      <c r="BJ534" s="4"/>
      <c r="BK534" s="4"/>
      <c r="BL534" s="4"/>
      <c r="BM534" s="4"/>
      <c r="BN534" s="4"/>
    </row>
    <row r="535" ht="13.5" customHeight="1" spans="1:66" x14ac:dyDescent="0.25">
      <c r="A535" s="4"/>
      <c r="B535" s="4"/>
      <c r="C535" s="533"/>
      <c r="D535" s="4"/>
      <c r="E535" s="4"/>
      <c r="F535" s="4"/>
      <c r="G535" s="4"/>
      <c r="H535" s="4"/>
      <c r="I535" s="4"/>
      <c r="J535" s="4"/>
      <c r="K535" s="4"/>
      <c r="L535" s="4"/>
      <c r="M535" s="4"/>
      <c r="N535" s="4"/>
      <c r="O535" s="4"/>
      <c r="P535" s="4"/>
      <c r="Q535" s="4"/>
      <c r="R535" s="4"/>
      <c r="S535" s="4"/>
      <c r="T535" s="4"/>
      <c r="U535" s="4"/>
      <c r="V535" s="4"/>
      <c r="W535" s="4"/>
      <c r="X535" s="4"/>
      <c r="Y535" s="4"/>
      <c r="Z535" s="4"/>
      <c r="AA535" s="4"/>
      <c r="AB535" s="4"/>
      <c r="AC535" s="4"/>
      <c r="AD535" s="4"/>
      <c r="AE535" s="4"/>
      <c r="AF535" s="4"/>
      <c r="AG535" s="4"/>
      <c r="AH535" s="4"/>
      <c r="AI535" s="4"/>
      <c r="AJ535" s="4"/>
      <c r="AK535" s="4"/>
      <c r="AL535" s="4"/>
      <c r="AM535" s="4"/>
      <c r="AN535" s="4"/>
      <c r="AO535" s="4"/>
      <c r="AP535" s="4"/>
      <c r="AQ535" s="4"/>
      <c r="AR535" s="4"/>
      <c r="AS535" s="4"/>
      <c r="AT535" s="4"/>
      <c r="AU535" s="4"/>
      <c r="AV535" s="4"/>
      <c r="AW535" s="4"/>
      <c r="AX535" s="4"/>
      <c r="AY535" s="4"/>
      <c r="AZ535" s="4"/>
      <c r="BA535" s="4"/>
      <c r="BB535" s="4"/>
      <c r="BC535" s="4"/>
      <c r="BD535" s="4"/>
      <c r="BE535" s="4"/>
      <c r="BF535" s="4"/>
      <c r="BG535" s="4"/>
      <c r="BH535" s="4"/>
      <c r="BI535" s="4"/>
      <c r="BJ535" s="4"/>
      <c r="BK535" s="4"/>
      <c r="BL535" s="4"/>
      <c r="BM535" s="4"/>
      <c r="BN535" s="4"/>
    </row>
    <row r="536" ht="13.5" customHeight="1" spans="1:66" x14ac:dyDescent="0.25">
      <c r="A536" s="4"/>
      <c r="B536" s="4"/>
      <c r="C536" s="533"/>
      <c r="D536" s="4"/>
      <c r="E536" s="4"/>
      <c r="F536" s="4"/>
      <c r="G536" s="4"/>
      <c r="H536" s="4"/>
      <c r="I536" s="4"/>
      <c r="J536" s="4"/>
      <c r="K536" s="4"/>
      <c r="L536" s="4"/>
      <c r="M536" s="4"/>
      <c r="N536" s="4"/>
      <c r="O536" s="4"/>
      <c r="P536" s="4"/>
      <c r="Q536" s="4"/>
      <c r="R536" s="4"/>
      <c r="S536" s="4"/>
      <c r="T536" s="4"/>
      <c r="U536" s="4"/>
      <c r="V536" s="4"/>
      <c r="W536" s="4"/>
      <c r="X536" s="4"/>
      <c r="Y536" s="4"/>
      <c r="Z536" s="4"/>
      <c r="AA536" s="4"/>
      <c r="AB536" s="4"/>
      <c r="AC536" s="4"/>
      <c r="AD536" s="4"/>
      <c r="AE536" s="4"/>
      <c r="AF536" s="4"/>
      <c r="AG536" s="4"/>
      <c r="AH536" s="4"/>
      <c r="AI536" s="4"/>
      <c r="AJ536" s="4"/>
      <c r="AK536" s="4"/>
      <c r="AL536" s="4"/>
      <c r="AM536" s="4"/>
      <c r="AN536" s="4"/>
      <c r="AO536" s="4"/>
      <c r="AP536" s="4"/>
      <c r="AQ536" s="4"/>
      <c r="AR536" s="4"/>
      <c r="AS536" s="4"/>
      <c r="AT536" s="4"/>
      <c r="AU536" s="4"/>
      <c r="AV536" s="4"/>
      <c r="AW536" s="4"/>
      <c r="AX536" s="4"/>
      <c r="AY536" s="4"/>
      <c r="AZ536" s="4"/>
      <c r="BA536" s="4"/>
      <c r="BB536" s="4"/>
      <c r="BC536" s="4"/>
      <c r="BD536" s="4"/>
      <c r="BE536" s="4"/>
      <c r="BF536" s="4"/>
      <c r="BG536" s="4"/>
      <c r="BH536" s="4"/>
      <c r="BI536" s="4"/>
      <c r="BJ536" s="4"/>
      <c r="BK536" s="4"/>
      <c r="BL536" s="4"/>
      <c r="BM536" s="4"/>
      <c r="BN536" s="4"/>
    </row>
    <row r="537" ht="13.5" customHeight="1" spans="1:66" x14ac:dyDescent="0.25">
      <c r="A537" s="4"/>
      <c r="B537" s="4"/>
      <c r="C537" s="533"/>
      <c r="D537" s="4"/>
      <c r="E537" s="4"/>
      <c r="F537" s="4"/>
      <c r="G537" s="4"/>
      <c r="H537" s="4"/>
      <c r="I537" s="4"/>
      <c r="J537" s="4"/>
      <c r="K537" s="4"/>
      <c r="L537" s="4"/>
      <c r="M537" s="4"/>
      <c r="N537" s="4"/>
      <c r="O537" s="4"/>
      <c r="P537" s="4"/>
      <c r="Q537" s="4"/>
      <c r="R537" s="4"/>
      <c r="S537" s="4"/>
      <c r="T537" s="4"/>
      <c r="U537" s="4"/>
      <c r="V537" s="4"/>
      <c r="W537" s="4"/>
      <c r="X537" s="4"/>
      <c r="Y537" s="4"/>
      <c r="Z537" s="4"/>
      <c r="AA537" s="4"/>
      <c r="AB537" s="4"/>
      <c r="AC537" s="4"/>
      <c r="AD537" s="4"/>
      <c r="AE537" s="4"/>
      <c r="AF537" s="4"/>
      <c r="AG537" s="4"/>
      <c r="AH537" s="4"/>
      <c r="AI537" s="4"/>
      <c r="AJ537" s="4"/>
      <c r="AK537" s="4"/>
      <c r="AL537" s="4"/>
      <c r="AM537" s="4"/>
      <c r="AN537" s="4"/>
      <c r="AO537" s="4"/>
      <c r="AP537" s="4"/>
      <c r="AQ537" s="4"/>
      <c r="AR537" s="4"/>
      <c r="AS537" s="4"/>
      <c r="AT537" s="4"/>
      <c r="AU537" s="4"/>
      <c r="AV537" s="4"/>
      <c r="AW537" s="4"/>
      <c r="AX537" s="4"/>
      <c r="AY537" s="4"/>
      <c r="AZ537" s="4"/>
      <c r="BA537" s="4"/>
      <c r="BB537" s="4"/>
      <c r="BC537" s="4"/>
      <c r="BD537" s="4"/>
      <c r="BE537" s="4"/>
      <c r="BF537" s="4"/>
      <c r="BG537" s="4"/>
      <c r="BH537" s="4"/>
      <c r="BI537" s="4"/>
      <c r="BJ537" s="4"/>
      <c r="BK537" s="4"/>
      <c r="BL537" s="4"/>
      <c r="BM537" s="4"/>
      <c r="BN537" s="4"/>
    </row>
    <row r="538" ht="13.5" customHeight="1" spans="1:66" x14ac:dyDescent="0.25">
      <c r="A538" s="4"/>
      <c r="B538" s="4"/>
      <c r="C538" s="533"/>
      <c r="D538" s="4"/>
      <c r="E538" s="4"/>
      <c r="F538" s="4"/>
      <c r="G538" s="4"/>
      <c r="H538" s="4"/>
      <c r="I538" s="4"/>
      <c r="J538" s="4"/>
      <c r="K538" s="4"/>
      <c r="L538" s="4"/>
      <c r="M538" s="4"/>
      <c r="N538" s="4"/>
      <c r="O538" s="4"/>
      <c r="P538" s="4"/>
      <c r="Q538" s="4"/>
      <c r="R538" s="4"/>
      <c r="S538" s="4"/>
      <c r="T538" s="4"/>
      <c r="U538" s="4"/>
      <c r="V538" s="4"/>
      <c r="W538" s="4"/>
      <c r="X538" s="4"/>
      <c r="Y538" s="4"/>
      <c r="Z538" s="4"/>
      <c r="AA538" s="4"/>
      <c r="AB538" s="4"/>
      <c r="AC538" s="4"/>
      <c r="AD538" s="4"/>
      <c r="AE538" s="4"/>
      <c r="AF538" s="4"/>
      <c r="AG538" s="4"/>
      <c r="AH538" s="4"/>
      <c r="AI538" s="4"/>
      <c r="AJ538" s="4"/>
      <c r="AK538" s="4"/>
      <c r="AL538" s="4"/>
      <c r="AM538" s="4"/>
      <c r="AN538" s="4"/>
      <c r="AO538" s="4"/>
      <c r="AP538" s="4"/>
      <c r="AQ538" s="4"/>
      <c r="AR538" s="4"/>
      <c r="AS538" s="4"/>
      <c r="AT538" s="4"/>
      <c r="AU538" s="4"/>
      <c r="AV538" s="4"/>
      <c r="AW538" s="4"/>
      <c r="AX538" s="4"/>
      <c r="AY538" s="4"/>
      <c r="AZ538" s="4"/>
      <c r="BA538" s="4"/>
      <c r="BB538" s="4"/>
      <c r="BC538" s="4"/>
      <c r="BD538" s="4"/>
      <c r="BE538" s="4"/>
      <c r="BF538" s="4"/>
      <c r="BG538" s="4"/>
      <c r="BH538" s="4"/>
      <c r="BI538" s="4"/>
      <c r="BJ538" s="4"/>
      <c r="BK538" s="4"/>
      <c r="BL538" s="4"/>
      <c r="BM538" s="4"/>
      <c r="BN538" s="4"/>
    </row>
    <row r="539" ht="13.5" customHeight="1" spans="1:66" x14ac:dyDescent="0.25">
      <c r="A539" s="4"/>
      <c r="B539" s="4"/>
      <c r="C539" s="533"/>
      <c r="D539" s="4"/>
      <c r="E539" s="4"/>
      <c r="F539" s="4"/>
      <c r="G539" s="4"/>
      <c r="H539" s="4"/>
      <c r="I539" s="4"/>
      <c r="J539" s="4"/>
      <c r="K539" s="4"/>
      <c r="L539" s="4"/>
      <c r="M539" s="4"/>
      <c r="N539" s="4"/>
      <c r="O539" s="4"/>
      <c r="P539" s="4"/>
      <c r="Q539" s="4"/>
      <c r="R539" s="4"/>
      <c r="S539" s="4"/>
      <c r="T539" s="4"/>
      <c r="U539" s="4"/>
      <c r="V539" s="4"/>
      <c r="W539" s="4"/>
      <c r="X539" s="4"/>
      <c r="Y539" s="4"/>
      <c r="Z539" s="4"/>
      <c r="AA539" s="4"/>
      <c r="AB539" s="4"/>
      <c r="AC539" s="4"/>
      <c r="AD539" s="4"/>
      <c r="AE539" s="4"/>
      <c r="AF539" s="4"/>
      <c r="AG539" s="4"/>
      <c r="AH539" s="4"/>
      <c r="AI539" s="4"/>
      <c r="AJ539" s="4"/>
      <c r="AK539" s="4"/>
      <c r="AL539" s="4"/>
      <c r="AM539" s="4"/>
      <c r="AN539" s="4"/>
      <c r="AO539" s="4"/>
      <c r="AP539" s="4"/>
      <c r="AQ539" s="4"/>
      <c r="AR539" s="4"/>
      <c r="AS539" s="4"/>
      <c r="AT539" s="4"/>
      <c r="AU539" s="4"/>
      <c r="AV539" s="4"/>
      <c r="AW539" s="4"/>
      <c r="AX539" s="4"/>
      <c r="AY539" s="4"/>
      <c r="AZ539" s="4"/>
      <c r="BA539" s="4"/>
      <c r="BB539" s="4"/>
      <c r="BC539" s="4"/>
      <c r="BD539" s="4"/>
      <c r="BE539" s="4"/>
      <c r="BF539" s="4"/>
      <c r="BG539" s="4"/>
      <c r="BH539" s="4"/>
      <c r="BI539" s="4"/>
      <c r="BJ539" s="4"/>
      <c r="BK539" s="4"/>
      <c r="BL539" s="4"/>
      <c r="BM539" s="4"/>
      <c r="BN539" s="4"/>
    </row>
    <row r="540" ht="13.5" customHeight="1" spans="1:66" x14ac:dyDescent="0.25">
      <c r="A540" s="4"/>
      <c r="B540" s="4"/>
      <c r="C540" s="533"/>
      <c r="D540" s="4"/>
      <c r="E540" s="4"/>
      <c r="F540" s="4"/>
      <c r="G540" s="4"/>
      <c r="H540" s="4"/>
      <c r="I540" s="4"/>
      <c r="J540" s="4"/>
      <c r="K540" s="4"/>
      <c r="L540" s="4"/>
      <c r="M540" s="4"/>
      <c r="N540" s="4"/>
      <c r="O540" s="4"/>
      <c r="P540" s="4"/>
      <c r="Q540" s="4"/>
      <c r="R540" s="4"/>
      <c r="S540" s="4"/>
      <c r="T540" s="4"/>
      <c r="U540" s="4"/>
      <c r="V540" s="4"/>
      <c r="W540" s="4"/>
      <c r="X540" s="4"/>
      <c r="Y540" s="4"/>
      <c r="Z540" s="4"/>
      <c r="AA540" s="4"/>
      <c r="AB540" s="4"/>
      <c r="AC540" s="4"/>
      <c r="AD540" s="4"/>
      <c r="AE540" s="4"/>
      <c r="AF540" s="4"/>
      <c r="AG540" s="4"/>
      <c r="AH540" s="4"/>
      <c r="AI540" s="4"/>
      <c r="AJ540" s="4"/>
      <c r="AK540" s="4"/>
      <c r="AL540" s="4"/>
      <c r="AM540" s="4"/>
      <c r="AN540" s="4"/>
      <c r="AO540" s="4"/>
      <c r="AP540" s="4"/>
      <c r="AQ540" s="4"/>
      <c r="AR540" s="4"/>
      <c r="AS540" s="4"/>
      <c r="AT540" s="4"/>
      <c r="AU540" s="4"/>
      <c r="AV540" s="4"/>
      <c r="AW540" s="4"/>
      <c r="AX540" s="4"/>
      <c r="AY540" s="4"/>
      <c r="AZ540" s="4"/>
      <c r="BA540" s="4"/>
      <c r="BB540" s="4"/>
      <c r="BC540" s="4"/>
      <c r="BD540" s="4"/>
      <c r="BE540" s="4"/>
      <c r="BF540" s="4"/>
      <c r="BG540" s="4"/>
      <c r="BH540" s="4"/>
      <c r="BI540" s="4"/>
      <c r="BJ540" s="4"/>
      <c r="BK540" s="4"/>
      <c r="BL540" s="4"/>
      <c r="BM540" s="4"/>
      <c r="BN540" s="4"/>
    </row>
    <row r="541" ht="13.5" customHeight="1" spans="1:66" x14ac:dyDescent="0.25">
      <c r="A541" s="4"/>
      <c r="B541" s="4"/>
      <c r="C541" s="533"/>
      <c r="D541" s="4"/>
      <c r="E541" s="4"/>
      <c r="F541" s="4"/>
      <c r="G541" s="4"/>
      <c r="H541" s="4"/>
      <c r="I541" s="4"/>
      <c r="J541" s="4"/>
      <c r="K541" s="4"/>
      <c r="L541" s="4"/>
      <c r="M541" s="4"/>
      <c r="N541" s="4"/>
      <c r="O541" s="4"/>
      <c r="P541" s="4"/>
      <c r="Q541" s="4"/>
      <c r="R541" s="4"/>
      <c r="S541" s="4"/>
      <c r="T541" s="4"/>
      <c r="U541" s="4"/>
      <c r="V541" s="4"/>
      <c r="W541" s="4"/>
      <c r="X541" s="4"/>
      <c r="Y541" s="4"/>
      <c r="Z541" s="4"/>
      <c r="AA541" s="4"/>
      <c r="AB541" s="4"/>
      <c r="AC541" s="4"/>
      <c r="AD541" s="4"/>
      <c r="AE541" s="4"/>
      <c r="AF541" s="4"/>
      <c r="AG541" s="4"/>
      <c r="AH541" s="4"/>
      <c r="AI541" s="4"/>
      <c r="AJ541" s="4"/>
      <c r="AK541" s="4"/>
      <c r="AL541" s="4"/>
      <c r="AM541" s="4"/>
      <c r="AN541" s="4"/>
      <c r="AO541" s="4"/>
      <c r="AP541" s="4"/>
      <c r="AQ541" s="4"/>
      <c r="AR541" s="4"/>
      <c r="AS541" s="4"/>
      <c r="AT541" s="4"/>
      <c r="AU541" s="4"/>
      <c r="AV541" s="4"/>
      <c r="AW541" s="4"/>
      <c r="AX541" s="4"/>
      <c r="AY541" s="4"/>
      <c r="AZ541" s="4"/>
      <c r="BA541" s="4"/>
      <c r="BB541" s="4"/>
      <c r="BC541" s="4"/>
      <c r="BD541" s="4"/>
      <c r="BE541" s="4"/>
      <c r="BF541" s="4"/>
      <c r="BG541" s="4"/>
      <c r="BH541" s="4"/>
      <c r="BI541" s="4"/>
      <c r="BJ541" s="4"/>
      <c r="BK541" s="4"/>
      <c r="BL541" s="4"/>
      <c r="BM541" s="4"/>
      <c r="BN541" s="4"/>
    </row>
    <row r="542" ht="13.5" customHeight="1" spans="1:66" x14ac:dyDescent="0.25">
      <c r="A542" s="4"/>
      <c r="B542" s="4"/>
      <c r="C542" s="533"/>
      <c r="D542" s="4"/>
      <c r="E542" s="4"/>
      <c r="F542" s="4"/>
      <c r="G542" s="4"/>
      <c r="H542" s="4"/>
      <c r="I542" s="4"/>
      <c r="J542" s="4"/>
      <c r="K542" s="4"/>
      <c r="L542" s="4"/>
      <c r="M542" s="4"/>
      <c r="N542" s="4"/>
      <c r="O542" s="4"/>
      <c r="P542" s="4"/>
      <c r="Q542" s="4"/>
      <c r="R542" s="4"/>
      <c r="S542" s="4"/>
      <c r="T542" s="4"/>
      <c r="U542" s="4"/>
      <c r="V542" s="4"/>
      <c r="W542" s="4"/>
      <c r="X542" s="4"/>
      <c r="Y542" s="4"/>
      <c r="Z542" s="4"/>
      <c r="AA542" s="4"/>
      <c r="AB542" s="4"/>
      <c r="AC542" s="4"/>
      <c r="AD542" s="4"/>
      <c r="AE542" s="4"/>
      <c r="AF542" s="4"/>
      <c r="AG542" s="4"/>
      <c r="AH542" s="4"/>
      <c r="AI542" s="4"/>
      <c r="AJ542" s="4"/>
      <c r="AK542" s="4"/>
      <c r="AL542" s="4"/>
      <c r="AM542" s="4"/>
      <c r="AN542" s="4"/>
      <c r="AO542" s="4"/>
      <c r="AP542" s="4"/>
      <c r="AQ542" s="4"/>
      <c r="AR542" s="4"/>
      <c r="AS542" s="4"/>
      <c r="AT542" s="4"/>
      <c r="AU542" s="4"/>
      <c r="AV542" s="4"/>
      <c r="AW542" s="4"/>
      <c r="AX542" s="4"/>
      <c r="AY542" s="4"/>
      <c r="AZ542" s="4"/>
      <c r="BA542" s="4"/>
      <c r="BB542" s="4"/>
      <c r="BC542" s="4"/>
      <c r="BD542" s="4"/>
      <c r="BE542" s="4"/>
      <c r="BF542" s="4"/>
      <c r="BG542" s="4"/>
      <c r="BH542" s="4"/>
      <c r="BI542" s="4"/>
      <c r="BJ542" s="4"/>
      <c r="BK542" s="4"/>
      <c r="BL542" s="4"/>
      <c r="BM542" s="4"/>
      <c r="BN542" s="4"/>
    </row>
    <row r="543" ht="13.5" customHeight="1" spans="1:66" x14ac:dyDescent="0.25">
      <c r="A543" s="4"/>
      <c r="B543" s="4"/>
      <c r="C543" s="533"/>
      <c r="D543" s="4"/>
      <c r="E543" s="4"/>
      <c r="F543" s="4"/>
      <c r="G543" s="4"/>
      <c r="H543" s="4"/>
      <c r="I543" s="4"/>
      <c r="J543" s="4"/>
      <c r="K543" s="4"/>
      <c r="L543" s="4"/>
      <c r="M543" s="4"/>
      <c r="N543" s="4"/>
      <c r="O543" s="4"/>
      <c r="P543" s="4"/>
      <c r="Q543" s="4"/>
      <c r="R543" s="4"/>
      <c r="S543" s="4"/>
      <c r="T543" s="4"/>
      <c r="U543" s="4"/>
      <c r="V543" s="4"/>
      <c r="W543" s="4"/>
      <c r="X543" s="4"/>
      <c r="Y543" s="4"/>
      <c r="Z543" s="4"/>
      <c r="AA543" s="4"/>
      <c r="AB543" s="4"/>
      <c r="AC543" s="4"/>
      <c r="AD543" s="4"/>
      <c r="AE543" s="4"/>
      <c r="AF543" s="4"/>
      <c r="AG543" s="4"/>
      <c r="AH543" s="4"/>
      <c r="AI543" s="4"/>
      <c r="AJ543" s="4"/>
      <c r="AK543" s="4"/>
      <c r="AL543" s="4"/>
      <c r="AM543" s="4"/>
      <c r="AN543" s="4"/>
      <c r="AO543" s="4"/>
      <c r="AP543" s="4"/>
      <c r="AQ543" s="4"/>
      <c r="AR543" s="4"/>
      <c r="AS543" s="4"/>
      <c r="AT543" s="4"/>
      <c r="AU543" s="4"/>
      <c r="AV543" s="4"/>
      <c r="AW543" s="4"/>
      <c r="AX543" s="4"/>
      <c r="AY543" s="4"/>
      <c r="AZ543" s="4"/>
      <c r="BA543" s="4"/>
      <c r="BB543" s="4"/>
      <c r="BC543" s="4"/>
      <c r="BD543" s="4"/>
      <c r="BE543" s="4"/>
      <c r="BF543" s="4"/>
      <c r="BG543" s="4"/>
      <c r="BH543" s="4"/>
      <c r="BI543" s="4"/>
      <c r="BJ543" s="4"/>
      <c r="BK543" s="4"/>
      <c r="BL543" s="4"/>
      <c r="BM543" s="4"/>
      <c r="BN543" s="4"/>
    </row>
    <row r="544" ht="13.5" customHeight="1" spans="1:66" x14ac:dyDescent="0.25">
      <c r="A544" s="4"/>
      <c r="B544" s="4"/>
      <c r="C544" s="533"/>
      <c r="D544" s="4"/>
      <c r="E544" s="4"/>
      <c r="F544" s="4"/>
      <c r="G544" s="4"/>
      <c r="H544" s="4"/>
      <c r="I544" s="4"/>
      <c r="J544" s="4"/>
      <c r="K544" s="4"/>
      <c r="L544" s="4"/>
      <c r="M544" s="4"/>
      <c r="N544" s="4"/>
      <c r="O544" s="4"/>
      <c r="P544" s="4"/>
      <c r="Q544" s="4"/>
      <c r="R544" s="4"/>
      <c r="S544" s="4"/>
      <c r="T544" s="4"/>
      <c r="U544" s="4"/>
      <c r="V544" s="4"/>
      <c r="W544" s="4"/>
      <c r="X544" s="4"/>
      <c r="Y544" s="4"/>
      <c r="Z544" s="4"/>
      <c r="AA544" s="4"/>
      <c r="AB544" s="4"/>
      <c r="AC544" s="4"/>
      <c r="AD544" s="4"/>
      <c r="AE544" s="4"/>
      <c r="AF544" s="4"/>
      <c r="AG544" s="4"/>
      <c r="AH544" s="4"/>
      <c r="AI544" s="4"/>
      <c r="AJ544" s="4"/>
      <c r="AK544" s="4"/>
      <c r="AL544" s="4"/>
      <c r="AM544" s="4"/>
      <c r="AN544" s="4"/>
      <c r="AO544" s="4"/>
      <c r="AP544" s="4"/>
      <c r="AQ544" s="4"/>
      <c r="AR544" s="4"/>
      <c r="AS544" s="4"/>
      <c r="AT544" s="4"/>
      <c r="AU544" s="4"/>
      <c r="AV544" s="4"/>
      <c r="AW544" s="4"/>
      <c r="AX544" s="4"/>
      <c r="AY544" s="4"/>
      <c r="AZ544" s="4"/>
      <c r="BA544" s="4"/>
      <c r="BB544" s="4"/>
      <c r="BC544" s="4"/>
      <c r="BD544" s="4"/>
      <c r="BE544" s="4"/>
      <c r="BF544" s="4"/>
      <c r="BG544" s="4"/>
      <c r="BH544" s="4"/>
      <c r="BI544" s="4"/>
      <c r="BJ544" s="4"/>
      <c r="BK544" s="4"/>
      <c r="BL544" s="4"/>
      <c r="BM544" s="4"/>
      <c r="BN544" s="4"/>
    </row>
    <row r="545" ht="13.5" customHeight="1" spans="1:66" x14ac:dyDescent="0.25">
      <c r="A545" s="4"/>
      <c r="B545" s="4"/>
      <c r="C545" s="533"/>
      <c r="D545" s="4"/>
      <c r="E545" s="4"/>
      <c r="F545" s="4"/>
      <c r="G545" s="4"/>
      <c r="H545" s="4"/>
      <c r="I545" s="4"/>
      <c r="J545" s="4"/>
      <c r="K545" s="4"/>
      <c r="L545" s="4"/>
      <c r="M545" s="4"/>
      <c r="N545" s="4"/>
      <c r="O545" s="4"/>
      <c r="P545" s="4"/>
      <c r="Q545" s="4"/>
      <c r="R545" s="4"/>
      <c r="S545" s="4"/>
      <c r="T545" s="4"/>
      <c r="U545" s="4"/>
      <c r="V545" s="4"/>
      <c r="W545" s="4"/>
      <c r="X545" s="4"/>
      <c r="Y545" s="4"/>
      <c r="Z545" s="4"/>
      <c r="AA545" s="4"/>
      <c r="AB545" s="4"/>
      <c r="AC545" s="4"/>
      <c r="AD545" s="4"/>
      <c r="AE545" s="4"/>
      <c r="AF545" s="4"/>
      <c r="AG545" s="4"/>
      <c r="AH545" s="4"/>
      <c r="AI545" s="4"/>
      <c r="AJ545" s="4"/>
      <c r="AK545" s="4"/>
      <c r="AL545" s="4"/>
      <c r="AM545" s="4"/>
      <c r="AN545" s="4"/>
      <c r="AO545" s="4"/>
      <c r="AP545" s="4"/>
      <c r="AQ545" s="4"/>
      <c r="AR545" s="4"/>
      <c r="AS545" s="4"/>
      <c r="AT545" s="4"/>
      <c r="AU545" s="4"/>
      <c r="AV545" s="4"/>
      <c r="AW545" s="4"/>
      <c r="AX545" s="4"/>
      <c r="AY545" s="4"/>
      <c r="AZ545" s="4"/>
      <c r="BA545" s="4"/>
      <c r="BB545" s="4"/>
      <c r="BC545" s="4"/>
      <c r="BD545" s="4"/>
      <c r="BE545" s="4"/>
      <c r="BF545" s="4"/>
      <c r="BG545" s="4"/>
      <c r="BH545" s="4"/>
      <c r="BI545" s="4"/>
      <c r="BJ545" s="4"/>
      <c r="BK545" s="4"/>
      <c r="BL545" s="4"/>
      <c r="BM545" s="4"/>
      <c r="BN545" s="4"/>
    </row>
    <row r="546" ht="13.5" customHeight="1" spans="1:66" x14ac:dyDescent="0.25">
      <c r="A546" s="4"/>
      <c r="B546" s="4"/>
      <c r="C546" s="533"/>
      <c r="D546" s="4"/>
      <c r="E546" s="4"/>
      <c r="F546" s="4"/>
      <c r="G546" s="4"/>
      <c r="H546" s="4"/>
      <c r="I546" s="4"/>
      <c r="J546" s="4"/>
      <c r="K546" s="4"/>
      <c r="L546" s="4"/>
      <c r="M546" s="4"/>
      <c r="N546" s="4"/>
      <c r="O546" s="4"/>
      <c r="P546" s="4"/>
      <c r="Q546" s="4"/>
      <c r="R546" s="4"/>
      <c r="S546" s="4"/>
      <c r="T546" s="4"/>
      <c r="U546" s="4"/>
      <c r="V546" s="4"/>
      <c r="W546" s="4"/>
      <c r="X546" s="4"/>
      <c r="Y546" s="4"/>
      <c r="Z546" s="4"/>
      <c r="AA546" s="4"/>
      <c r="AB546" s="4"/>
      <c r="AC546" s="4"/>
      <c r="AD546" s="4"/>
      <c r="AE546" s="4"/>
      <c r="AF546" s="4"/>
      <c r="AG546" s="4"/>
      <c r="AH546" s="4"/>
      <c r="AI546" s="4"/>
      <c r="AJ546" s="4"/>
      <c r="AK546" s="4"/>
      <c r="AL546" s="4"/>
      <c r="AM546" s="4"/>
      <c r="AN546" s="4"/>
      <c r="AO546" s="4"/>
      <c r="AP546" s="4"/>
      <c r="AQ546" s="4"/>
      <c r="AR546" s="4"/>
      <c r="AS546" s="4"/>
      <c r="AT546" s="4"/>
      <c r="AU546" s="4"/>
      <c r="AV546" s="4"/>
      <c r="AW546" s="4"/>
      <c r="AX546" s="4"/>
      <c r="AY546" s="4"/>
      <c r="AZ546" s="4"/>
      <c r="BA546" s="4"/>
      <c r="BB546" s="4"/>
      <c r="BC546" s="4"/>
      <c r="BD546" s="4"/>
      <c r="BE546" s="4"/>
      <c r="BF546" s="4"/>
      <c r="BG546" s="4"/>
      <c r="BH546" s="4"/>
      <c r="BI546" s="4"/>
      <c r="BJ546" s="4"/>
      <c r="BK546" s="4"/>
      <c r="BL546" s="4"/>
      <c r="BM546" s="4"/>
      <c r="BN546" s="4"/>
    </row>
    <row r="547" ht="13.5" customHeight="1" spans="1:66" x14ac:dyDescent="0.25">
      <c r="A547" s="4"/>
      <c r="B547" s="4"/>
      <c r="C547" s="533"/>
      <c r="D547" s="4"/>
      <c r="E547" s="4"/>
      <c r="F547" s="4"/>
      <c r="G547" s="4"/>
      <c r="H547" s="4"/>
      <c r="I547" s="4"/>
      <c r="J547" s="4"/>
      <c r="K547" s="4"/>
      <c r="L547" s="4"/>
      <c r="M547" s="4"/>
      <c r="N547" s="4"/>
      <c r="O547" s="4"/>
      <c r="P547" s="4"/>
      <c r="Q547" s="4"/>
      <c r="R547" s="4"/>
      <c r="S547" s="4"/>
      <c r="T547" s="4"/>
      <c r="U547" s="4"/>
      <c r="V547" s="4"/>
      <c r="W547" s="4"/>
      <c r="X547" s="4"/>
      <c r="Y547" s="4"/>
      <c r="Z547" s="4"/>
      <c r="AA547" s="4"/>
      <c r="AB547" s="4"/>
      <c r="AC547" s="4"/>
      <c r="AD547" s="4"/>
      <c r="AE547" s="4"/>
      <c r="AF547" s="4"/>
      <c r="AG547" s="4"/>
      <c r="AH547" s="4"/>
      <c r="AI547" s="4"/>
      <c r="AJ547" s="4"/>
      <c r="AK547" s="4"/>
      <c r="AL547" s="4"/>
      <c r="AM547" s="4"/>
      <c r="AN547" s="4"/>
      <c r="AO547" s="4"/>
      <c r="AP547" s="4"/>
      <c r="AQ547" s="4"/>
      <c r="AR547" s="4"/>
      <c r="AS547" s="4"/>
      <c r="AT547" s="4"/>
      <c r="AU547" s="4"/>
      <c r="AV547" s="4"/>
      <c r="AW547" s="4"/>
      <c r="AX547" s="4"/>
      <c r="AY547" s="4"/>
      <c r="AZ547" s="4"/>
      <c r="BA547" s="4"/>
      <c r="BB547" s="4"/>
      <c r="BC547" s="4"/>
      <c r="BD547" s="4"/>
      <c r="BE547" s="4"/>
      <c r="BF547" s="4"/>
      <c r="BG547" s="4"/>
      <c r="BH547" s="4"/>
      <c r="BI547" s="4"/>
      <c r="BJ547" s="4"/>
      <c r="BK547" s="4"/>
      <c r="BL547" s="4"/>
      <c r="BM547" s="4"/>
      <c r="BN547" s="4"/>
    </row>
    <row r="548" ht="13.5" customHeight="1" spans="1:66" x14ac:dyDescent="0.25">
      <c r="A548" s="4"/>
      <c r="B548" s="4"/>
      <c r="C548" s="533"/>
      <c r="D548" s="4"/>
      <c r="E548" s="4"/>
      <c r="F548" s="4"/>
      <c r="G548" s="4"/>
      <c r="H548" s="4"/>
      <c r="I548" s="4"/>
      <c r="J548" s="4"/>
      <c r="K548" s="4"/>
      <c r="L548" s="4"/>
      <c r="M548" s="4"/>
      <c r="N548" s="4"/>
      <c r="O548" s="4"/>
      <c r="P548" s="4"/>
      <c r="Q548" s="4"/>
      <c r="R548" s="4"/>
      <c r="S548" s="4"/>
      <c r="T548" s="4"/>
      <c r="U548" s="4"/>
      <c r="V548" s="4"/>
      <c r="W548" s="4"/>
      <c r="X548" s="4"/>
      <c r="Y548" s="4"/>
      <c r="Z548" s="4"/>
      <c r="AA548" s="4"/>
      <c r="AB548" s="4"/>
      <c r="AC548" s="4"/>
      <c r="AD548" s="4"/>
      <c r="AE548" s="4"/>
      <c r="AF548" s="4"/>
      <c r="AG548" s="4"/>
      <c r="AH548" s="4"/>
      <c r="AI548" s="4"/>
      <c r="AJ548" s="4"/>
      <c r="AK548" s="4"/>
      <c r="AL548" s="4"/>
      <c r="AM548" s="4"/>
      <c r="AN548" s="4"/>
      <c r="AO548" s="4"/>
      <c r="AP548" s="4"/>
      <c r="AQ548" s="4"/>
      <c r="AR548" s="4"/>
      <c r="AS548" s="4"/>
      <c r="AT548" s="4"/>
      <c r="AU548" s="4"/>
      <c r="AV548" s="4"/>
      <c r="AW548" s="4"/>
      <c r="AX548" s="4"/>
      <c r="AY548" s="4"/>
      <c r="AZ548" s="4"/>
      <c r="BA548" s="4"/>
      <c r="BB548" s="4"/>
      <c r="BC548" s="4"/>
      <c r="BD548" s="4"/>
      <c r="BE548" s="4"/>
      <c r="BF548" s="4"/>
      <c r="BG548" s="4"/>
      <c r="BH548" s="4"/>
      <c r="BI548" s="4"/>
      <c r="BJ548" s="4"/>
      <c r="BK548" s="4"/>
      <c r="BL548" s="4"/>
      <c r="BM548" s="4"/>
      <c r="BN548" s="4"/>
    </row>
    <row r="549" ht="13.5" customHeight="1" spans="1:66" x14ac:dyDescent="0.25">
      <c r="A549" s="4"/>
      <c r="B549" s="4"/>
      <c r="C549" s="533"/>
      <c r="D549" s="4"/>
      <c r="E549" s="4"/>
      <c r="F549" s="4"/>
      <c r="G549" s="4"/>
      <c r="H549" s="4"/>
      <c r="I549" s="4"/>
      <c r="J549" s="4"/>
      <c r="K549" s="4"/>
      <c r="L549" s="4"/>
      <c r="M549" s="4"/>
      <c r="N549" s="4"/>
      <c r="O549" s="4"/>
      <c r="P549" s="4"/>
      <c r="Q549" s="4"/>
      <c r="R549" s="4"/>
      <c r="S549" s="4"/>
      <c r="T549" s="4"/>
      <c r="U549" s="4"/>
      <c r="V549" s="4"/>
      <c r="W549" s="4"/>
      <c r="X549" s="4"/>
      <c r="Y549" s="4"/>
      <c r="Z549" s="4"/>
      <c r="AA549" s="4"/>
      <c r="AB549" s="4"/>
      <c r="AC549" s="4"/>
      <c r="AD549" s="4"/>
      <c r="AE549" s="4"/>
      <c r="AF549" s="4"/>
      <c r="AG549" s="4"/>
      <c r="AH549" s="4"/>
      <c r="AI549" s="4"/>
      <c r="AJ549" s="4"/>
      <c r="AK549" s="4"/>
      <c r="AL549" s="4"/>
      <c r="AM549" s="4"/>
      <c r="AN549" s="4"/>
      <c r="AO549" s="4"/>
      <c r="AP549" s="4"/>
      <c r="AQ549" s="4"/>
      <c r="AR549" s="4"/>
      <c r="AS549" s="4"/>
      <c r="AT549" s="4"/>
      <c r="AU549" s="4"/>
      <c r="AV549" s="4"/>
      <c r="AW549" s="4"/>
      <c r="AX549" s="4"/>
      <c r="AY549" s="4"/>
      <c r="AZ549" s="4"/>
      <c r="BA549" s="4"/>
      <c r="BB549" s="4"/>
      <c r="BC549" s="4"/>
      <c r="BD549" s="4"/>
      <c r="BE549" s="4"/>
      <c r="BF549" s="4"/>
      <c r="BG549" s="4"/>
      <c r="BH549" s="4"/>
      <c r="BI549" s="4"/>
      <c r="BJ549" s="4"/>
      <c r="BK549" s="4"/>
      <c r="BL549" s="4"/>
      <c r="BM549" s="4"/>
      <c r="BN549" s="4"/>
    </row>
    <row r="550" ht="13.5" customHeight="1" spans="1:66" x14ac:dyDescent="0.25">
      <c r="A550" s="4"/>
      <c r="B550" s="4"/>
      <c r="C550" s="533"/>
      <c r="D550" s="4"/>
      <c r="E550" s="4"/>
      <c r="F550" s="4"/>
      <c r="G550" s="4"/>
      <c r="H550" s="4"/>
      <c r="I550" s="4"/>
      <c r="J550" s="4"/>
      <c r="K550" s="4"/>
      <c r="L550" s="4"/>
      <c r="M550" s="4"/>
      <c r="N550" s="4"/>
      <c r="O550" s="4"/>
      <c r="P550" s="4"/>
      <c r="Q550" s="4"/>
      <c r="R550" s="4"/>
      <c r="S550" s="4"/>
      <c r="T550" s="4"/>
      <c r="U550" s="4"/>
      <c r="V550" s="4"/>
      <c r="W550" s="4"/>
      <c r="X550" s="4"/>
      <c r="Y550" s="4"/>
      <c r="Z550" s="4"/>
      <c r="AA550" s="4"/>
      <c r="AB550" s="4"/>
      <c r="AC550" s="4"/>
      <c r="AD550" s="4"/>
      <c r="AE550" s="4"/>
      <c r="AF550" s="4"/>
      <c r="AG550" s="4"/>
      <c r="AH550" s="4"/>
      <c r="AI550" s="4"/>
      <c r="AJ550" s="4"/>
      <c r="AK550" s="4"/>
      <c r="AL550" s="4"/>
      <c r="AM550" s="4"/>
      <c r="AN550" s="4"/>
      <c r="AO550" s="4"/>
      <c r="AP550" s="4"/>
      <c r="AQ550" s="4"/>
      <c r="AR550" s="4"/>
      <c r="AS550" s="4"/>
      <c r="AT550" s="4"/>
      <c r="AU550" s="4"/>
      <c r="AV550" s="4"/>
      <c r="AW550" s="4"/>
      <c r="AX550" s="4"/>
      <c r="AY550" s="4"/>
      <c r="AZ550" s="4"/>
      <c r="BA550" s="4"/>
      <c r="BB550" s="4"/>
      <c r="BC550" s="4"/>
      <c r="BD550" s="4"/>
      <c r="BE550" s="4"/>
      <c r="BF550" s="4"/>
      <c r="BG550" s="4"/>
      <c r="BH550" s="4"/>
      <c r="BI550" s="4"/>
      <c r="BJ550" s="4"/>
      <c r="BK550" s="4"/>
      <c r="BL550" s="4"/>
      <c r="BM550" s="4"/>
      <c r="BN550" s="4"/>
    </row>
    <row r="551" ht="13.5" customHeight="1" spans="1:66" x14ac:dyDescent="0.25">
      <c r="A551" s="4"/>
      <c r="B551" s="4"/>
      <c r="C551" s="533"/>
      <c r="D551" s="4"/>
      <c r="E551" s="4"/>
      <c r="F551" s="4"/>
      <c r="G551" s="4"/>
      <c r="H551" s="4"/>
      <c r="I551" s="4"/>
      <c r="J551" s="4"/>
      <c r="K551" s="4"/>
      <c r="L551" s="4"/>
      <c r="M551" s="4"/>
      <c r="N551" s="4"/>
      <c r="O551" s="4"/>
      <c r="P551" s="4"/>
      <c r="Q551" s="4"/>
      <c r="R551" s="4"/>
      <c r="S551" s="4"/>
      <c r="T551" s="4"/>
      <c r="U551" s="4"/>
      <c r="V551" s="4"/>
      <c r="W551" s="4"/>
      <c r="X551" s="4"/>
      <c r="Y551" s="4"/>
      <c r="Z551" s="4"/>
      <c r="AA551" s="4"/>
      <c r="AB551" s="4"/>
      <c r="AC551" s="4"/>
      <c r="AD551" s="4"/>
      <c r="AE551" s="4"/>
      <c r="AF551" s="4"/>
      <c r="AG551" s="4"/>
      <c r="AH551" s="4"/>
      <c r="AI551" s="4"/>
      <c r="AJ551" s="4"/>
      <c r="AK551" s="4"/>
      <c r="AL551" s="4"/>
      <c r="AM551" s="4"/>
      <c r="AN551" s="4"/>
      <c r="AO551" s="4"/>
      <c r="AP551" s="4"/>
      <c r="AQ551" s="4"/>
      <c r="AR551" s="4"/>
      <c r="AS551" s="4"/>
      <c r="AT551" s="4"/>
      <c r="AU551" s="4"/>
      <c r="AV551" s="4"/>
      <c r="AW551" s="4"/>
      <c r="AX551" s="4"/>
      <c r="AY551" s="4"/>
      <c r="AZ551" s="4"/>
      <c r="BA551" s="4"/>
      <c r="BB551" s="4"/>
      <c r="BC551" s="4"/>
      <c r="BD551" s="4"/>
      <c r="BE551" s="4"/>
      <c r="BF551" s="4"/>
      <c r="BG551" s="4"/>
      <c r="BH551" s="4"/>
      <c r="BI551" s="4"/>
      <c r="BJ551" s="4"/>
      <c r="BK551" s="4"/>
      <c r="BL551" s="4"/>
      <c r="BM551" s="4"/>
      <c r="BN551" s="4"/>
    </row>
    <row r="552" ht="13.5" customHeight="1" spans="1:66" x14ac:dyDescent="0.25">
      <c r="A552" s="4"/>
      <c r="B552" s="4"/>
      <c r="C552" s="533"/>
      <c r="D552" s="4"/>
      <c r="E552" s="4"/>
      <c r="F552" s="4"/>
      <c r="G552" s="4"/>
      <c r="H552" s="4"/>
      <c r="I552" s="4"/>
      <c r="J552" s="4"/>
      <c r="K552" s="4"/>
      <c r="L552" s="4"/>
      <c r="M552" s="4"/>
      <c r="N552" s="4"/>
      <c r="O552" s="4"/>
      <c r="P552" s="4"/>
      <c r="Q552" s="4"/>
      <c r="R552" s="4"/>
      <c r="S552" s="4"/>
      <c r="T552" s="4"/>
      <c r="U552" s="4"/>
      <c r="V552" s="4"/>
      <c r="W552" s="4"/>
      <c r="X552" s="4"/>
      <c r="Y552" s="4"/>
      <c r="Z552" s="4"/>
      <c r="AA552" s="4"/>
      <c r="AB552" s="4"/>
      <c r="AC552" s="4"/>
      <c r="AD552" s="4"/>
      <c r="AE552" s="4"/>
      <c r="AF552" s="4"/>
      <c r="AG552" s="4"/>
      <c r="AH552" s="4"/>
      <c r="AI552" s="4"/>
      <c r="AJ552" s="4"/>
      <c r="AK552" s="4"/>
      <c r="AL552" s="4"/>
      <c r="AM552" s="4"/>
      <c r="AN552" s="4"/>
      <c r="AO552" s="4"/>
      <c r="AP552" s="4"/>
      <c r="AQ552" s="4"/>
      <c r="AR552" s="4"/>
      <c r="AS552" s="4"/>
      <c r="AT552" s="4"/>
      <c r="AU552" s="4"/>
      <c r="AV552" s="4"/>
      <c r="AW552" s="4"/>
      <c r="AX552" s="4"/>
      <c r="AY552" s="4"/>
      <c r="AZ552" s="4"/>
      <c r="BA552" s="4"/>
      <c r="BB552" s="4"/>
      <c r="BC552" s="4"/>
      <c r="BD552" s="4"/>
      <c r="BE552" s="4"/>
      <c r="BF552" s="4"/>
      <c r="BG552" s="4"/>
      <c r="BH552" s="4"/>
      <c r="BI552" s="4"/>
      <c r="BJ552" s="4"/>
      <c r="BK552" s="4"/>
      <c r="BL552" s="4"/>
      <c r="BM552" s="4"/>
      <c r="BN552" s="4"/>
    </row>
    <row r="553" ht="13.5" customHeight="1" spans="1:66" x14ac:dyDescent="0.25">
      <c r="A553" s="4"/>
      <c r="B553" s="4"/>
      <c r="C553" s="533"/>
      <c r="D553" s="4"/>
      <c r="E553" s="4"/>
      <c r="F553" s="4"/>
      <c r="G553" s="4"/>
      <c r="H553" s="4"/>
      <c r="I553" s="4"/>
      <c r="J553" s="4"/>
      <c r="K553" s="4"/>
      <c r="L553" s="4"/>
      <c r="M553" s="4"/>
      <c r="N553" s="4"/>
      <c r="O553" s="4"/>
      <c r="P553" s="4"/>
      <c r="Q553" s="4"/>
      <c r="R553" s="4"/>
      <c r="S553" s="4"/>
      <c r="T553" s="4"/>
      <c r="U553" s="4"/>
      <c r="V553" s="4"/>
      <c r="W553" s="4"/>
      <c r="X553" s="4"/>
      <c r="Y553" s="4"/>
      <c r="Z553" s="4"/>
      <c r="AA553" s="4"/>
      <c r="AB553" s="4"/>
      <c r="AC553" s="4"/>
      <c r="AD553" s="4"/>
      <c r="AE553" s="4"/>
      <c r="AF553" s="4"/>
      <c r="AG553" s="4"/>
      <c r="AH553" s="4"/>
      <c r="AI553" s="4"/>
      <c r="AJ553" s="4"/>
      <c r="AK553" s="4"/>
      <c r="AL553" s="4"/>
      <c r="AM553" s="4"/>
      <c r="AN553" s="4"/>
      <c r="AO553" s="4"/>
      <c r="AP553" s="4"/>
      <c r="AQ553" s="4"/>
      <c r="AR553" s="4"/>
      <c r="AS553" s="4"/>
      <c r="AT553" s="4"/>
      <c r="AU553" s="4"/>
      <c r="AV553" s="4"/>
      <c r="AW553" s="4"/>
      <c r="AX553" s="4"/>
      <c r="AY553" s="4"/>
      <c r="AZ553" s="4"/>
      <c r="BA553" s="4"/>
      <c r="BB553" s="4"/>
      <c r="BC553" s="4"/>
      <c r="BD553" s="4"/>
      <c r="BE553" s="4"/>
      <c r="BF553" s="4"/>
      <c r="BG553" s="4"/>
      <c r="BH553" s="4"/>
      <c r="BI553" s="4"/>
      <c r="BJ553" s="4"/>
      <c r="BK553" s="4"/>
      <c r="BL553" s="4"/>
      <c r="BM553" s="4"/>
      <c r="BN553" s="4"/>
    </row>
    <row r="554" ht="13.5" customHeight="1" spans="1:66" x14ac:dyDescent="0.25">
      <c r="A554" s="4"/>
      <c r="B554" s="4"/>
      <c r="C554" s="533"/>
      <c r="D554" s="4"/>
      <c r="E554" s="4"/>
      <c r="F554" s="4"/>
      <c r="G554" s="4"/>
      <c r="H554" s="4"/>
      <c r="I554" s="4"/>
      <c r="J554" s="4"/>
      <c r="K554" s="4"/>
      <c r="L554" s="4"/>
      <c r="M554" s="4"/>
      <c r="N554" s="4"/>
      <c r="O554" s="4"/>
      <c r="P554" s="4"/>
      <c r="Q554" s="4"/>
      <c r="R554" s="4"/>
      <c r="S554" s="4"/>
      <c r="T554" s="4"/>
      <c r="U554" s="4"/>
      <c r="V554" s="4"/>
      <c r="W554" s="4"/>
      <c r="X554" s="4"/>
      <c r="Y554" s="4"/>
      <c r="Z554" s="4"/>
      <c r="AA554" s="4"/>
      <c r="AB554" s="4"/>
      <c r="AC554" s="4"/>
      <c r="AD554" s="4"/>
      <c r="AE554" s="4"/>
      <c r="AF554" s="4"/>
      <c r="AG554" s="4"/>
      <c r="AH554" s="4"/>
      <c r="AI554" s="4"/>
      <c r="AJ554" s="4"/>
      <c r="AK554" s="4"/>
      <c r="AL554" s="4"/>
      <c r="AM554" s="4"/>
      <c r="AN554" s="4"/>
      <c r="AO554" s="4"/>
      <c r="AP554" s="4"/>
      <c r="AQ554" s="4"/>
      <c r="AR554" s="4"/>
      <c r="AS554" s="4"/>
      <c r="AT554" s="4"/>
      <c r="AU554" s="4"/>
      <c r="AV554" s="4"/>
      <c r="AW554" s="4"/>
      <c r="AX554" s="4"/>
      <c r="AY554" s="4"/>
      <c r="AZ554" s="4"/>
      <c r="BA554" s="4"/>
      <c r="BB554" s="4"/>
      <c r="BC554" s="4"/>
      <c r="BD554" s="4"/>
      <c r="BE554" s="4"/>
      <c r="BF554" s="4"/>
      <c r="BG554" s="4"/>
      <c r="BH554" s="4"/>
      <c r="BI554" s="4"/>
      <c r="BJ554" s="4"/>
      <c r="BK554" s="4"/>
      <c r="BL554" s="4"/>
      <c r="BM554" s="4"/>
      <c r="BN554" s="4"/>
    </row>
    <row r="555" ht="13.5" customHeight="1" spans="1:66" x14ac:dyDescent="0.25">
      <c r="A555" s="4"/>
      <c r="B555" s="4"/>
      <c r="C555" s="533"/>
      <c r="D555" s="4"/>
      <c r="E555" s="4"/>
      <c r="F555" s="4"/>
      <c r="G555" s="4"/>
      <c r="H555" s="4"/>
      <c r="I555" s="4"/>
      <c r="J555" s="4"/>
      <c r="K555" s="4"/>
      <c r="L555" s="4"/>
      <c r="M555" s="4"/>
      <c r="N555" s="4"/>
      <c r="O555" s="4"/>
      <c r="P555" s="4"/>
      <c r="Q555" s="4"/>
      <c r="R555" s="4"/>
      <c r="S555" s="4"/>
      <c r="T555" s="4"/>
      <c r="U555" s="4"/>
      <c r="V555" s="4"/>
      <c r="W555" s="4"/>
      <c r="X555" s="4"/>
      <c r="Y555" s="4"/>
      <c r="Z555" s="4"/>
      <c r="AA555" s="4"/>
      <c r="AB555" s="4"/>
      <c r="AC555" s="4"/>
      <c r="AD555" s="4"/>
      <c r="AE555" s="4"/>
      <c r="AF555" s="4"/>
      <c r="AG555" s="4"/>
      <c r="AH555" s="4"/>
      <c r="AI555" s="4"/>
      <c r="AJ555" s="4"/>
      <c r="AK555" s="4"/>
      <c r="AL555" s="4"/>
      <c r="AM555" s="4"/>
      <c r="AN555" s="4"/>
      <c r="AO555" s="4"/>
      <c r="AP555" s="4"/>
      <c r="AQ555" s="4"/>
      <c r="AR555" s="4"/>
      <c r="AS555" s="4"/>
      <c r="AT555" s="4"/>
      <c r="AU555" s="4"/>
      <c r="AV555" s="4"/>
      <c r="AW555" s="4"/>
      <c r="AX555" s="4"/>
      <c r="AY555" s="4"/>
      <c r="AZ555" s="4"/>
      <c r="BA555" s="4"/>
      <c r="BB555" s="4"/>
      <c r="BC555" s="4"/>
      <c r="BD555" s="4"/>
      <c r="BE555" s="4"/>
      <c r="BF555" s="4"/>
      <c r="BG555" s="4"/>
      <c r="BH555" s="4"/>
      <c r="BI555" s="4"/>
      <c r="BJ555" s="4"/>
      <c r="BK555" s="4"/>
      <c r="BL555" s="4"/>
      <c r="BM555" s="4"/>
      <c r="BN555" s="4"/>
    </row>
    <row r="556" ht="13.5" customHeight="1" spans="1:66" x14ac:dyDescent="0.25">
      <c r="A556" s="4"/>
      <c r="B556" s="4"/>
      <c r="C556" s="533"/>
      <c r="D556" s="4"/>
      <c r="E556" s="4"/>
      <c r="F556" s="4"/>
      <c r="G556" s="4"/>
      <c r="H556" s="4"/>
      <c r="I556" s="4"/>
      <c r="J556" s="4"/>
      <c r="K556" s="4"/>
      <c r="L556" s="4"/>
      <c r="M556" s="4"/>
      <c r="N556" s="4"/>
      <c r="O556" s="4"/>
      <c r="P556" s="4"/>
      <c r="Q556" s="4"/>
      <c r="R556" s="4"/>
      <c r="S556" s="4"/>
      <c r="T556" s="4"/>
      <c r="U556" s="4"/>
      <c r="V556" s="4"/>
      <c r="W556" s="4"/>
      <c r="X556" s="4"/>
      <c r="Y556" s="4"/>
      <c r="Z556" s="4"/>
      <c r="AA556" s="4"/>
      <c r="AB556" s="4"/>
      <c r="AC556" s="4"/>
      <c r="AD556" s="4"/>
      <c r="AE556" s="4"/>
      <c r="AF556" s="4"/>
      <c r="AG556" s="4"/>
      <c r="AH556" s="4"/>
      <c r="AI556" s="4"/>
      <c r="AJ556" s="4"/>
      <c r="AK556" s="4"/>
      <c r="AL556" s="4"/>
      <c r="AM556" s="4"/>
      <c r="AN556" s="4"/>
      <c r="AO556" s="4"/>
      <c r="AP556" s="4"/>
      <c r="AQ556" s="4"/>
      <c r="AR556" s="4"/>
      <c r="AS556" s="4"/>
      <c r="AT556" s="4"/>
      <c r="AU556" s="4"/>
      <c r="AV556" s="4"/>
      <c r="AW556" s="4"/>
      <c r="AX556" s="4"/>
      <c r="AY556" s="4"/>
      <c r="AZ556" s="4"/>
      <c r="BA556" s="4"/>
      <c r="BB556" s="4"/>
      <c r="BC556" s="4"/>
      <c r="BD556" s="4"/>
      <c r="BE556" s="4"/>
      <c r="BF556" s="4"/>
      <c r="BG556" s="4"/>
      <c r="BH556" s="4"/>
      <c r="BI556" s="4"/>
      <c r="BJ556" s="4"/>
      <c r="BK556" s="4"/>
      <c r="BL556" s="4"/>
      <c r="BM556" s="4"/>
      <c r="BN556" s="4"/>
    </row>
    <row r="557" ht="13.5" customHeight="1" spans="1:66" x14ac:dyDescent="0.25">
      <c r="A557" s="4"/>
      <c r="B557" s="4"/>
      <c r="C557" s="533"/>
      <c r="D557" s="4"/>
      <c r="E557" s="4"/>
      <c r="F557" s="4"/>
      <c r="G557" s="4"/>
      <c r="H557" s="4"/>
      <c r="I557" s="4"/>
      <c r="J557" s="4"/>
      <c r="K557" s="4"/>
      <c r="L557" s="4"/>
      <c r="M557" s="4"/>
      <c r="N557" s="4"/>
      <c r="O557" s="4"/>
      <c r="P557" s="4"/>
      <c r="Q557" s="4"/>
      <c r="R557" s="4"/>
      <c r="S557" s="4"/>
      <c r="T557" s="4"/>
      <c r="U557" s="4"/>
      <c r="V557" s="4"/>
      <c r="W557" s="4"/>
      <c r="X557" s="4"/>
      <c r="Y557" s="4"/>
      <c r="Z557" s="4"/>
      <c r="AA557" s="4"/>
      <c r="AB557" s="4"/>
      <c r="AC557" s="4"/>
      <c r="AD557" s="4"/>
      <c r="AE557" s="4"/>
      <c r="AF557" s="4"/>
      <c r="AG557" s="4"/>
      <c r="AH557" s="4"/>
      <c r="AI557" s="4"/>
      <c r="AJ557" s="4"/>
      <c r="AK557" s="4"/>
      <c r="AL557" s="4"/>
      <c r="AM557" s="4"/>
      <c r="AN557" s="4"/>
      <c r="AO557" s="4"/>
      <c r="AP557" s="4"/>
      <c r="AQ557" s="4"/>
      <c r="AR557" s="4"/>
      <c r="AS557" s="4"/>
      <c r="AT557" s="4"/>
      <c r="AU557" s="4"/>
      <c r="AV557" s="4"/>
      <c r="AW557" s="4"/>
      <c r="AX557" s="4"/>
      <c r="AY557" s="4"/>
      <c r="AZ557" s="4"/>
      <c r="BA557" s="4"/>
      <c r="BB557" s="4"/>
      <c r="BC557" s="4"/>
      <c r="BD557" s="4"/>
      <c r="BE557" s="4"/>
      <c r="BF557" s="4"/>
      <c r="BG557" s="4"/>
      <c r="BH557" s="4"/>
      <c r="BI557" s="4"/>
      <c r="BJ557" s="4"/>
      <c r="BK557" s="4"/>
      <c r="BL557" s="4"/>
      <c r="BM557" s="4"/>
      <c r="BN557" s="4"/>
    </row>
    <row r="558" ht="13.5" customHeight="1" spans="1:66" x14ac:dyDescent="0.25">
      <c r="A558" s="4"/>
      <c r="B558" s="4"/>
      <c r="C558" s="533"/>
      <c r="D558" s="4"/>
      <c r="E558" s="4"/>
      <c r="F558" s="4"/>
      <c r="G558" s="4"/>
      <c r="H558" s="4"/>
      <c r="I558" s="4"/>
      <c r="J558" s="4"/>
      <c r="K558" s="4"/>
      <c r="L558" s="4"/>
      <c r="M558" s="4"/>
      <c r="N558" s="4"/>
      <c r="O558" s="4"/>
      <c r="P558" s="4"/>
      <c r="Q558" s="4"/>
      <c r="R558" s="4"/>
      <c r="S558" s="4"/>
      <c r="T558" s="4"/>
      <c r="U558" s="4"/>
      <c r="V558" s="4"/>
      <c r="W558" s="4"/>
      <c r="X558" s="4"/>
      <c r="Y558" s="4"/>
      <c r="Z558" s="4"/>
      <c r="AA558" s="4"/>
      <c r="AB558" s="4"/>
      <c r="AC558" s="4"/>
      <c r="AD558" s="4"/>
      <c r="AE558" s="4"/>
      <c r="AF558" s="4"/>
      <c r="AG558" s="4"/>
      <c r="AH558" s="4"/>
      <c r="AI558" s="4"/>
      <c r="AJ558" s="4"/>
      <c r="AK558" s="4"/>
      <c r="AL558" s="4"/>
      <c r="AM558" s="4"/>
      <c r="AN558" s="4"/>
      <c r="AO558" s="4"/>
      <c r="AP558" s="4"/>
      <c r="AQ558" s="4"/>
      <c r="AR558" s="4"/>
      <c r="AS558" s="4"/>
      <c r="AT558" s="4"/>
      <c r="AU558" s="4"/>
      <c r="AV558" s="4"/>
      <c r="AW558" s="4"/>
      <c r="AX558" s="4"/>
      <c r="AY558" s="4"/>
      <c r="AZ558" s="4"/>
      <c r="BA558" s="4"/>
      <c r="BB558" s="4"/>
      <c r="BC558" s="4"/>
      <c r="BD558" s="4"/>
      <c r="BE558" s="4"/>
      <c r="BF558" s="4"/>
      <c r="BG558" s="4"/>
      <c r="BH558" s="4"/>
      <c r="BI558" s="4"/>
      <c r="BJ558" s="4"/>
      <c r="BK558" s="4"/>
      <c r="BL558" s="4"/>
      <c r="BM558" s="4"/>
      <c r="BN558" s="4"/>
    </row>
    <row r="559" ht="13.5" customHeight="1" spans="1:66" x14ac:dyDescent="0.25">
      <c r="A559" s="4"/>
      <c r="B559" s="4"/>
      <c r="C559" s="533"/>
      <c r="D559" s="4"/>
      <c r="E559" s="4"/>
      <c r="F559" s="4"/>
      <c r="G559" s="4"/>
      <c r="H559" s="4"/>
      <c r="I559" s="4"/>
      <c r="J559" s="4"/>
      <c r="K559" s="4"/>
      <c r="L559" s="4"/>
      <c r="M559" s="4"/>
      <c r="N559" s="4"/>
      <c r="O559" s="4"/>
      <c r="P559" s="4"/>
      <c r="Q559" s="4"/>
      <c r="R559" s="4"/>
      <c r="S559" s="4"/>
      <c r="T559" s="4"/>
      <c r="U559" s="4"/>
      <c r="V559" s="4"/>
      <c r="W559" s="4"/>
      <c r="X559" s="4"/>
      <c r="Y559" s="4"/>
      <c r="Z559" s="4"/>
      <c r="AA559" s="4"/>
      <c r="AB559" s="4"/>
      <c r="AC559" s="4"/>
      <c r="AD559" s="4"/>
      <c r="AE559" s="4"/>
      <c r="AF559" s="4"/>
      <c r="AG559" s="4"/>
      <c r="AH559" s="4"/>
      <c r="AI559" s="4"/>
      <c r="AJ559" s="4"/>
      <c r="AK559" s="4"/>
      <c r="AL559" s="4"/>
      <c r="AM559" s="4"/>
      <c r="AN559" s="4"/>
      <c r="AO559" s="4"/>
      <c r="AP559" s="4"/>
      <c r="AQ559" s="4"/>
      <c r="AR559" s="4"/>
      <c r="AS559" s="4"/>
      <c r="AT559" s="4"/>
      <c r="AU559" s="4"/>
      <c r="AV559" s="4"/>
      <c r="AW559" s="4"/>
      <c r="AX559" s="4"/>
      <c r="AY559" s="4"/>
      <c r="AZ559" s="4"/>
      <c r="BA559" s="4"/>
      <c r="BB559" s="4"/>
      <c r="BC559" s="4"/>
      <c r="BD559" s="4"/>
      <c r="BE559" s="4"/>
      <c r="BF559" s="4"/>
      <c r="BG559" s="4"/>
      <c r="BH559" s="4"/>
      <c r="BI559" s="4"/>
      <c r="BJ559" s="4"/>
      <c r="BK559" s="4"/>
      <c r="BL559" s="4"/>
      <c r="BM559" s="4"/>
      <c r="BN559" s="4"/>
    </row>
    <row r="560" ht="13.5" customHeight="1" spans="1:66" x14ac:dyDescent="0.25">
      <c r="A560" s="4"/>
      <c r="B560" s="4"/>
      <c r="C560" s="533"/>
      <c r="D560" s="4"/>
      <c r="E560" s="4"/>
      <c r="F560" s="4"/>
      <c r="G560" s="4"/>
      <c r="H560" s="4"/>
      <c r="I560" s="4"/>
      <c r="J560" s="4"/>
      <c r="K560" s="4"/>
      <c r="L560" s="4"/>
      <c r="M560" s="4"/>
      <c r="N560" s="4"/>
      <c r="O560" s="4"/>
      <c r="P560" s="4"/>
      <c r="Q560" s="4"/>
      <c r="R560" s="4"/>
      <c r="S560" s="4"/>
      <c r="T560" s="4"/>
      <c r="U560" s="4"/>
      <c r="V560" s="4"/>
      <c r="W560" s="4"/>
      <c r="X560" s="4"/>
      <c r="Y560" s="4"/>
      <c r="Z560" s="4"/>
      <c r="AA560" s="4"/>
      <c r="AB560" s="4"/>
      <c r="AC560" s="4"/>
      <c r="AD560" s="4"/>
      <c r="AE560" s="4"/>
      <c r="AF560" s="4"/>
      <c r="AG560" s="4"/>
      <c r="AH560" s="4"/>
      <c r="AI560" s="4"/>
      <c r="AJ560" s="4"/>
      <c r="AK560" s="4"/>
      <c r="AL560" s="4"/>
      <c r="AM560" s="4"/>
      <c r="AN560" s="4"/>
      <c r="AO560" s="4"/>
      <c r="AP560" s="4"/>
      <c r="AQ560" s="4"/>
      <c r="AR560" s="4"/>
      <c r="AS560" s="4"/>
      <c r="AT560" s="4"/>
      <c r="AU560" s="4"/>
      <c r="AV560" s="4"/>
      <c r="AW560" s="4"/>
      <c r="AX560" s="4"/>
      <c r="AY560" s="4"/>
      <c r="AZ560" s="4"/>
      <c r="BA560" s="4"/>
      <c r="BB560" s="4"/>
      <c r="BC560" s="4"/>
      <c r="BD560" s="4"/>
      <c r="BE560" s="4"/>
      <c r="BF560" s="4"/>
      <c r="BG560" s="4"/>
      <c r="BH560" s="4"/>
      <c r="BI560" s="4"/>
      <c r="BJ560" s="4"/>
      <c r="BK560" s="4"/>
      <c r="BL560" s="4"/>
      <c r="BM560" s="4"/>
      <c r="BN560" s="4"/>
    </row>
    <row r="561" ht="13.5" customHeight="1" spans="1:66" x14ac:dyDescent="0.25">
      <c r="A561" s="4"/>
      <c r="B561" s="4"/>
      <c r="C561" s="533"/>
      <c r="D561" s="4"/>
      <c r="E561" s="4"/>
      <c r="F561" s="4"/>
      <c r="G561" s="4"/>
      <c r="H561" s="4"/>
      <c r="I561" s="4"/>
      <c r="J561" s="4"/>
      <c r="K561" s="4"/>
      <c r="L561" s="4"/>
      <c r="M561" s="4"/>
      <c r="N561" s="4"/>
      <c r="O561" s="4"/>
      <c r="P561" s="4"/>
      <c r="Q561" s="4"/>
      <c r="R561" s="4"/>
      <c r="S561" s="4"/>
      <c r="T561" s="4"/>
      <c r="U561" s="4"/>
      <c r="V561" s="4"/>
      <c r="W561" s="4"/>
      <c r="X561" s="4"/>
      <c r="Y561" s="4"/>
      <c r="Z561" s="4"/>
      <c r="AA561" s="4"/>
      <c r="AB561" s="4"/>
      <c r="AC561" s="4"/>
      <c r="AD561" s="4"/>
      <c r="AE561" s="4"/>
      <c r="AF561" s="4"/>
      <c r="AG561" s="4"/>
      <c r="AH561" s="4"/>
      <c r="AI561" s="4"/>
      <c r="AJ561" s="4"/>
      <c r="AK561" s="4"/>
      <c r="AL561" s="4"/>
      <c r="AM561" s="4"/>
      <c r="AN561" s="4"/>
      <c r="AO561" s="4"/>
      <c r="AP561" s="4"/>
      <c r="AQ561" s="4"/>
      <c r="AR561" s="4"/>
      <c r="AS561" s="4"/>
      <c r="AT561" s="4"/>
      <c r="AU561" s="4"/>
      <c r="AV561" s="4"/>
      <c r="AW561" s="4"/>
      <c r="AX561" s="4"/>
      <c r="AY561" s="4"/>
      <c r="AZ561" s="4"/>
      <c r="BA561" s="4"/>
      <c r="BB561" s="4"/>
      <c r="BC561" s="4"/>
      <c r="BD561" s="4"/>
      <c r="BE561" s="4"/>
      <c r="BF561" s="4"/>
      <c r="BG561" s="4"/>
      <c r="BH561" s="4"/>
      <c r="BI561" s="4"/>
      <c r="BJ561" s="4"/>
      <c r="BK561" s="4"/>
      <c r="BL561" s="4"/>
      <c r="BM561" s="4"/>
      <c r="BN561" s="4"/>
    </row>
    <row r="562" ht="13.5" customHeight="1" spans="1:66" x14ac:dyDescent="0.25">
      <c r="A562" s="4"/>
      <c r="B562" s="4"/>
      <c r="C562" s="533"/>
      <c r="D562" s="4"/>
      <c r="E562" s="4"/>
      <c r="F562" s="4"/>
      <c r="G562" s="4"/>
      <c r="H562" s="4"/>
      <c r="I562" s="4"/>
      <c r="J562" s="4"/>
      <c r="K562" s="4"/>
      <c r="L562" s="4"/>
      <c r="M562" s="4"/>
      <c r="N562" s="4"/>
      <c r="O562" s="4"/>
      <c r="P562" s="4"/>
      <c r="Q562" s="4"/>
      <c r="R562" s="4"/>
      <c r="S562" s="4"/>
      <c r="T562" s="4"/>
      <c r="U562" s="4"/>
      <c r="V562" s="4"/>
      <c r="W562" s="4"/>
      <c r="X562" s="4"/>
      <c r="Y562" s="4"/>
      <c r="Z562" s="4"/>
      <c r="AA562" s="4"/>
      <c r="AB562" s="4"/>
      <c r="AC562" s="4"/>
      <c r="AD562" s="4"/>
      <c r="AE562" s="4"/>
      <c r="AF562" s="4"/>
      <c r="AG562" s="4"/>
      <c r="AH562" s="4"/>
      <c r="AI562" s="4"/>
      <c r="AJ562" s="4"/>
      <c r="AK562" s="4"/>
      <c r="AL562" s="4"/>
      <c r="AM562" s="4"/>
      <c r="AN562" s="4"/>
      <c r="AO562" s="4"/>
      <c r="AP562" s="4"/>
      <c r="AQ562" s="4"/>
      <c r="AR562" s="4"/>
      <c r="AS562" s="4"/>
      <c r="AT562" s="4"/>
      <c r="AU562" s="4"/>
      <c r="AV562" s="4"/>
      <c r="AW562" s="4"/>
      <c r="AX562" s="4"/>
      <c r="AY562" s="4"/>
      <c r="AZ562" s="4"/>
      <c r="BA562" s="4"/>
      <c r="BB562" s="4"/>
      <c r="BC562" s="4"/>
      <c r="BD562" s="4"/>
      <c r="BE562" s="4"/>
      <c r="BF562" s="4"/>
      <c r="BG562" s="4"/>
      <c r="BH562" s="4"/>
      <c r="BI562" s="4"/>
      <c r="BJ562" s="4"/>
      <c r="BK562" s="4"/>
      <c r="BL562" s="4"/>
      <c r="BM562" s="4"/>
      <c r="BN562" s="4"/>
    </row>
    <row r="563" ht="13.5" customHeight="1" spans="1:66" x14ac:dyDescent="0.25">
      <c r="A563" s="4"/>
      <c r="B563" s="4"/>
      <c r="C563" s="533"/>
      <c r="D563" s="4"/>
      <c r="E563" s="4"/>
      <c r="F563" s="4"/>
      <c r="G563" s="4"/>
      <c r="H563" s="4"/>
      <c r="I563" s="4"/>
      <c r="J563" s="4"/>
      <c r="K563" s="4"/>
      <c r="L563" s="4"/>
      <c r="M563" s="4"/>
      <c r="N563" s="4"/>
      <c r="O563" s="4"/>
      <c r="P563" s="4"/>
      <c r="Q563" s="4"/>
      <c r="R563" s="4"/>
      <c r="S563" s="4"/>
      <c r="T563" s="4"/>
      <c r="U563" s="4"/>
      <c r="V563" s="4"/>
      <c r="W563" s="4"/>
      <c r="X563" s="4"/>
      <c r="Y563" s="4"/>
      <c r="Z563" s="4"/>
      <c r="AA563" s="4"/>
      <c r="AB563" s="4"/>
      <c r="AC563" s="4"/>
      <c r="AD563" s="4"/>
      <c r="AE563" s="4"/>
      <c r="AF563" s="4"/>
      <c r="AG563" s="4"/>
      <c r="AH563" s="4"/>
      <c r="AI563" s="4"/>
      <c r="AJ563" s="4"/>
      <c r="AK563" s="4"/>
      <c r="AL563" s="4"/>
      <c r="AM563" s="4"/>
      <c r="AN563" s="4"/>
      <c r="AO563" s="4"/>
      <c r="AP563" s="4"/>
      <c r="AQ563" s="4"/>
      <c r="AR563" s="4"/>
      <c r="AS563" s="4"/>
      <c r="AT563" s="4"/>
      <c r="AU563" s="4"/>
      <c r="AV563" s="4"/>
      <c r="AW563" s="4"/>
      <c r="AX563" s="4"/>
      <c r="AY563" s="4"/>
      <c r="AZ563" s="4"/>
      <c r="BA563" s="4"/>
      <c r="BB563" s="4"/>
      <c r="BC563" s="4"/>
      <c r="BD563" s="4"/>
      <c r="BE563" s="4"/>
      <c r="BF563" s="4"/>
      <c r="BG563" s="4"/>
      <c r="BH563" s="4"/>
      <c r="BI563" s="4"/>
      <c r="BJ563" s="4"/>
      <c r="BK563" s="4"/>
      <c r="BL563" s="4"/>
      <c r="BM563" s="4"/>
      <c r="BN563" s="4"/>
    </row>
    <row r="564" ht="13.5" customHeight="1" spans="1:66" x14ac:dyDescent="0.25">
      <c r="A564" s="4"/>
      <c r="B564" s="4"/>
      <c r="C564" s="533"/>
      <c r="D564" s="4"/>
      <c r="E564" s="4"/>
      <c r="F564" s="4"/>
      <c r="G564" s="4"/>
      <c r="H564" s="4"/>
      <c r="I564" s="4"/>
      <c r="J564" s="4"/>
      <c r="K564" s="4"/>
      <c r="L564" s="4"/>
      <c r="M564" s="4"/>
      <c r="N564" s="4"/>
      <c r="O564" s="4"/>
      <c r="P564" s="4"/>
      <c r="Q564" s="4"/>
      <c r="R564" s="4"/>
      <c r="S564" s="4"/>
      <c r="T564" s="4"/>
      <c r="U564" s="4"/>
      <c r="V564" s="4"/>
      <c r="W564" s="4"/>
      <c r="X564" s="4"/>
      <c r="Y564" s="4"/>
      <c r="Z564" s="4"/>
      <c r="AA564" s="4"/>
      <c r="AB564" s="4"/>
      <c r="AC564" s="4"/>
      <c r="AD564" s="4"/>
      <c r="AE564" s="4"/>
      <c r="AF564" s="4"/>
      <c r="AG564" s="4"/>
      <c r="AH564" s="4"/>
      <c r="AI564" s="4"/>
      <c r="AJ564" s="4"/>
      <c r="AK564" s="4"/>
      <c r="AL564" s="4"/>
      <c r="AM564" s="4"/>
      <c r="AN564" s="4"/>
      <c r="AO564" s="4"/>
      <c r="AP564" s="4"/>
      <c r="AQ564" s="4"/>
      <c r="AR564" s="4"/>
      <c r="AS564" s="4"/>
      <c r="AT564" s="4"/>
      <c r="AU564" s="4"/>
      <c r="AV564" s="4"/>
      <c r="AW564" s="4"/>
      <c r="AX564" s="4"/>
      <c r="AY564" s="4"/>
      <c r="AZ564" s="4"/>
      <c r="BA564" s="4"/>
      <c r="BB564" s="4"/>
      <c r="BC564" s="4"/>
      <c r="BD564" s="4"/>
      <c r="BE564" s="4"/>
      <c r="BF564" s="4"/>
      <c r="BG564" s="4"/>
      <c r="BH564" s="4"/>
      <c r="BI564" s="4"/>
      <c r="BJ564" s="4"/>
      <c r="BK564" s="4"/>
      <c r="BL564" s="4"/>
      <c r="BM564" s="4"/>
      <c r="BN564" s="4"/>
    </row>
    <row r="565" ht="13.5" customHeight="1" spans="1:66" x14ac:dyDescent="0.25">
      <c r="A565" s="4"/>
      <c r="B565" s="4"/>
      <c r="C565" s="533"/>
      <c r="D565" s="4"/>
      <c r="E565" s="4"/>
      <c r="F565" s="4"/>
      <c r="G565" s="4"/>
      <c r="H565" s="4"/>
      <c r="I565" s="4"/>
      <c r="J565" s="4"/>
      <c r="K565" s="4"/>
      <c r="L565" s="4"/>
      <c r="M565" s="4"/>
      <c r="N565" s="4"/>
      <c r="O565" s="4"/>
      <c r="P565" s="4"/>
      <c r="Q565" s="4"/>
      <c r="R565" s="4"/>
      <c r="S565" s="4"/>
      <c r="T565" s="4"/>
      <c r="U565" s="4"/>
      <c r="V565" s="4"/>
      <c r="W565" s="4"/>
      <c r="X565" s="4"/>
      <c r="Y565" s="4"/>
      <c r="Z565" s="4"/>
      <c r="AA565" s="4"/>
      <c r="AB565" s="4"/>
      <c r="AC565" s="4"/>
      <c r="AD565" s="4"/>
      <c r="AE565" s="4"/>
      <c r="AF565" s="4"/>
      <c r="AG565" s="4"/>
      <c r="AH565" s="4"/>
      <c r="AI565" s="4"/>
      <c r="AJ565" s="4"/>
      <c r="AK565" s="4"/>
      <c r="AL565" s="4"/>
      <c r="AM565" s="4"/>
      <c r="AN565" s="4"/>
      <c r="AO565" s="4"/>
      <c r="AP565" s="4"/>
      <c r="AQ565" s="4"/>
      <c r="AR565" s="4"/>
      <c r="AS565" s="4"/>
      <c r="AT565" s="4"/>
      <c r="AU565" s="4"/>
      <c r="AV565" s="4"/>
      <c r="AW565" s="4"/>
      <c r="AX565" s="4"/>
      <c r="AY565" s="4"/>
      <c r="AZ565" s="4"/>
      <c r="BA565" s="4"/>
      <c r="BB565" s="4"/>
      <c r="BC565" s="4"/>
      <c r="BD565" s="4"/>
      <c r="BE565" s="4"/>
      <c r="BF565" s="4"/>
      <c r="BG565" s="4"/>
      <c r="BH565" s="4"/>
      <c r="BI565" s="4"/>
      <c r="BJ565" s="4"/>
      <c r="BK565" s="4"/>
      <c r="BL565" s="4"/>
      <c r="BM565" s="4"/>
      <c r="BN565" s="4"/>
    </row>
    <row r="566" ht="13.5" customHeight="1" spans="1:66" x14ac:dyDescent="0.25">
      <c r="A566" s="4"/>
      <c r="B566" s="4"/>
      <c r="C566" s="533"/>
      <c r="D566" s="4"/>
      <c r="E566" s="4"/>
      <c r="F566" s="4"/>
      <c r="G566" s="4"/>
      <c r="H566" s="4"/>
      <c r="I566" s="4"/>
      <c r="J566" s="4"/>
      <c r="K566" s="4"/>
      <c r="L566" s="4"/>
      <c r="M566" s="4"/>
      <c r="N566" s="4"/>
      <c r="O566" s="4"/>
      <c r="P566" s="4"/>
      <c r="Q566" s="4"/>
      <c r="R566" s="4"/>
      <c r="S566" s="4"/>
      <c r="T566" s="4"/>
      <c r="U566" s="4"/>
      <c r="V566" s="4"/>
      <c r="W566" s="4"/>
      <c r="X566" s="4"/>
      <c r="Y566" s="4"/>
      <c r="Z566" s="4"/>
      <c r="AA566" s="4"/>
      <c r="AB566" s="4"/>
      <c r="AC566" s="4"/>
      <c r="AD566" s="4"/>
      <c r="AE566" s="4"/>
      <c r="AF566" s="4"/>
      <c r="AG566" s="4"/>
      <c r="AH566" s="4"/>
      <c r="AI566" s="4"/>
      <c r="AJ566" s="4"/>
      <c r="AK566" s="4"/>
      <c r="AL566" s="4"/>
      <c r="AM566" s="4"/>
      <c r="AN566" s="4"/>
      <c r="AO566" s="4"/>
      <c r="AP566" s="4"/>
      <c r="AQ566" s="4"/>
      <c r="AR566" s="4"/>
      <c r="AS566" s="4"/>
      <c r="AT566" s="4"/>
      <c r="AU566" s="4"/>
      <c r="AV566" s="4"/>
      <c r="AW566" s="4"/>
      <c r="AX566" s="4"/>
      <c r="AY566" s="4"/>
      <c r="AZ566" s="4"/>
      <c r="BA566" s="4"/>
      <c r="BB566" s="4"/>
      <c r="BC566" s="4"/>
      <c r="BD566" s="4"/>
      <c r="BE566" s="4"/>
      <c r="BF566" s="4"/>
      <c r="BG566" s="4"/>
      <c r="BH566" s="4"/>
      <c r="BI566" s="4"/>
      <c r="BJ566" s="4"/>
      <c r="BK566" s="4"/>
      <c r="BL566" s="4"/>
      <c r="BM566" s="4"/>
      <c r="BN566" s="4"/>
    </row>
    <row r="567" ht="13.5" customHeight="1" spans="1:66" x14ac:dyDescent="0.25">
      <c r="A567" s="4"/>
      <c r="B567" s="4"/>
      <c r="C567" s="533"/>
      <c r="D567" s="4"/>
      <c r="E567" s="4"/>
      <c r="F567" s="4"/>
      <c r="G567" s="4"/>
      <c r="H567" s="4"/>
      <c r="I567" s="4"/>
      <c r="J567" s="4"/>
      <c r="K567" s="4"/>
      <c r="L567" s="4"/>
      <c r="M567" s="4"/>
      <c r="N567" s="4"/>
      <c r="O567" s="4"/>
      <c r="P567" s="4"/>
      <c r="Q567" s="4"/>
      <c r="R567" s="4"/>
      <c r="S567" s="4"/>
      <c r="T567" s="4"/>
      <c r="U567" s="4"/>
      <c r="V567" s="4"/>
      <c r="W567" s="4"/>
      <c r="X567" s="4"/>
      <c r="Y567" s="4"/>
      <c r="Z567" s="4"/>
      <c r="AA567" s="4"/>
      <c r="AB567" s="4"/>
      <c r="AC567" s="4"/>
      <c r="AD567" s="4"/>
      <c r="AE567" s="4"/>
      <c r="AF567" s="4"/>
      <c r="AG567" s="4"/>
      <c r="AH567" s="4"/>
      <c r="AI567" s="4"/>
      <c r="AJ567" s="4"/>
      <c r="AK567" s="4"/>
      <c r="AL567" s="4"/>
      <c r="AM567" s="4"/>
      <c r="AN567" s="4"/>
      <c r="AO567" s="4"/>
      <c r="AP567" s="4"/>
      <c r="AQ567" s="4"/>
      <c r="AR567" s="4"/>
      <c r="AS567" s="4"/>
      <c r="AT567" s="4"/>
      <c r="AU567" s="4"/>
      <c r="AV567" s="4"/>
      <c r="AW567" s="4"/>
      <c r="AX567" s="4"/>
      <c r="AY567" s="4"/>
      <c r="AZ567" s="4"/>
      <c r="BA567" s="4"/>
      <c r="BB567" s="4"/>
      <c r="BC567" s="4"/>
      <c r="BD567" s="4"/>
      <c r="BE567" s="4"/>
      <c r="BF567" s="4"/>
      <c r="BG567" s="4"/>
      <c r="BH567" s="4"/>
      <c r="BI567" s="4"/>
      <c r="BJ567" s="4"/>
      <c r="BK567" s="4"/>
      <c r="BL567" s="4"/>
      <c r="BM567" s="4"/>
      <c r="BN567" s="4"/>
    </row>
    <row r="568" ht="13.5" customHeight="1" spans="1:66" x14ac:dyDescent="0.25">
      <c r="A568" s="4"/>
      <c r="B568" s="4"/>
      <c r="C568" s="533"/>
      <c r="D568" s="4"/>
      <c r="E568" s="4"/>
      <c r="F568" s="4"/>
      <c r="G568" s="4"/>
      <c r="H568" s="4"/>
      <c r="I568" s="4"/>
      <c r="J568" s="4"/>
      <c r="K568" s="4"/>
      <c r="L568" s="4"/>
      <c r="M568" s="4"/>
      <c r="N568" s="4"/>
      <c r="O568" s="4"/>
      <c r="P568" s="4"/>
      <c r="Q568" s="4"/>
      <c r="R568" s="4"/>
      <c r="S568" s="4"/>
      <c r="T568" s="4"/>
      <c r="U568" s="4"/>
      <c r="V568" s="4"/>
      <c r="W568" s="4"/>
      <c r="X568" s="4"/>
      <c r="Y568" s="4"/>
      <c r="Z568" s="4"/>
      <c r="AA568" s="4"/>
      <c r="AB568" s="4"/>
      <c r="AC568" s="4"/>
      <c r="AD568" s="4"/>
      <c r="AE568" s="4"/>
      <c r="AF568" s="4"/>
      <c r="AG568" s="4"/>
      <c r="AH568" s="4"/>
      <c r="AI568" s="4"/>
      <c r="AJ568" s="4"/>
      <c r="AK568" s="4"/>
      <c r="AL568" s="4"/>
      <c r="AM568" s="4"/>
      <c r="AN568" s="4"/>
      <c r="AO568" s="4"/>
      <c r="AP568" s="4"/>
      <c r="AQ568" s="4"/>
      <c r="AR568" s="4"/>
      <c r="AS568" s="4"/>
      <c r="AT568" s="4"/>
      <c r="AU568" s="4"/>
      <c r="AV568" s="4"/>
      <c r="AW568" s="4"/>
      <c r="AX568" s="4"/>
      <c r="AY568" s="4"/>
      <c r="AZ568" s="4"/>
      <c r="BA568" s="4"/>
      <c r="BB568" s="4"/>
      <c r="BC568" s="4"/>
      <c r="BD568" s="4"/>
      <c r="BE568" s="4"/>
      <c r="BF568" s="4"/>
      <c r="BG568" s="4"/>
      <c r="BH568" s="4"/>
      <c r="BI568" s="4"/>
      <c r="BJ568" s="4"/>
      <c r="BK568" s="4"/>
      <c r="BL568" s="4"/>
      <c r="BM568" s="4"/>
      <c r="BN568" s="4"/>
    </row>
    <row r="569" ht="13.5" customHeight="1" spans="1:66" x14ac:dyDescent="0.25">
      <c r="A569" s="4"/>
      <c r="B569" s="4"/>
      <c r="C569" s="533"/>
      <c r="D569" s="4"/>
      <c r="E569" s="4"/>
      <c r="F569" s="4"/>
      <c r="G569" s="4"/>
      <c r="H569" s="4"/>
      <c r="I569" s="4"/>
      <c r="J569" s="4"/>
      <c r="K569" s="4"/>
      <c r="L569" s="4"/>
      <c r="M569" s="4"/>
      <c r="N569" s="4"/>
      <c r="O569" s="4"/>
      <c r="P569" s="4"/>
      <c r="Q569" s="4"/>
      <c r="R569" s="4"/>
      <c r="S569" s="4"/>
      <c r="T569" s="4"/>
      <c r="U569" s="4"/>
      <c r="V569" s="4"/>
      <c r="W569" s="4"/>
      <c r="X569" s="4"/>
      <c r="Y569" s="4"/>
      <c r="Z569" s="4"/>
      <c r="AA569" s="4"/>
      <c r="AB569" s="4"/>
      <c r="AC569" s="4"/>
      <c r="AD569" s="4"/>
      <c r="AE569" s="4"/>
      <c r="AF569" s="4"/>
      <c r="AG569" s="4"/>
      <c r="AH569" s="4"/>
      <c r="AI569" s="4"/>
      <c r="AJ569" s="4"/>
      <c r="AK569" s="4"/>
      <c r="AL569" s="4"/>
      <c r="AM569" s="4"/>
      <c r="AN569" s="4"/>
      <c r="AO569" s="4"/>
      <c r="AP569" s="4"/>
      <c r="AQ569" s="4"/>
      <c r="AR569" s="4"/>
      <c r="AS569" s="4"/>
      <c r="AT569" s="4"/>
      <c r="AU569" s="4"/>
      <c r="AV569" s="4"/>
      <c r="AW569" s="4"/>
      <c r="AX569" s="4"/>
      <c r="AY569" s="4"/>
      <c r="AZ569" s="4"/>
      <c r="BA569" s="4"/>
      <c r="BB569" s="4"/>
      <c r="BC569" s="4"/>
      <c r="BD569" s="4"/>
      <c r="BE569" s="4"/>
      <c r="BF569" s="4"/>
      <c r="BG569" s="4"/>
      <c r="BH569" s="4"/>
      <c r="BI569" s="4"/>
      <c r="BJ569" s="4"/>
      <c r="BK569" s="4"/>
      <c r="BL569" s="4"/>
      <c r="BM569" s="4"/>
      <c r="BN569" s="4"/>
    </row>
    <row r="570" ht="13.5" customHeight="1" spans="1:66" x14ac:dyDescent="0.25">
      <c r="A570" s="4"/>
      <c r="B570" s="4"/>
      <c r="C570" s="533"/>
      <c r="D570" s="4"/>
      <c r="E570" s="4"/>
      <c r="F570" s="4"/>
      <c r="G570" s="4"/>
      <c r="H570" s="4"/>
      <c r="I570" s="4"/>
      <c r="J570" s="4"/>
      <c r="K570" s="4"/>
      <c r="L570" s="4"/>
      <c r="M570" s="4"/>
      <c r="N570" s="4"/>
      <c r="O570" s="4"/>
      <c r="P570" s="4"/>
      <c r="Q570" s="4"/>
      <c r="R570" s="4"/>
      <c r="S570" s="4"/>
      <c r="T570" s="4"/>
      <c r="U570" s="4"/>
      <c r="V570" s="4"/>
      <c r="W570" s="4"/>
      <c r="X570" s="4"/>
      <c r="Y570" s="4"/>
      <c r="Z570" s="4"/>
      <c r="AA570" s="4"/>
      <c r="AB570" s="4"/>
      <c r="AC570" s="4"/>
      <c r="AD570" s="4"/>
      <c r="AE570" s="4"/>
      <c r="AF570" s="4"/>
      <c r="AG570" s="4"/>
      <c r="AH570" s="4"/>
      <c r="AI570" s="4"/>
      <c r="AJ570" s="4"/>
      <c r="AK570" s="4"/>
      <c r="AL570" s="4"/>
      <c r="AM570" s="4"/>
      <c r="AN570" s="4"/>
      <c r="AO570" s="4"/>
      <c r="AP570" s="4"/>
      <c r="AQ570" s="4"/>
      <c r="AR570" s="4"/>
      <c r="AS570" s="4"/>
      <c r="AT570" s="4"/>
      <c r="AU570" s="4"/>
      <c r="AV570" s="4"/>
      <c r="AW570" s="4"/>
      <c r="AX570" s="4"/>
      <c r="AY570" s="4"/>
      <c r="AZ570" s="4"/>
      <c r="BA570" s="4"/>
      <c r="BB570" s="4"/>
      <c r="BC570" s="4"/>
      <c r="BD570" s="4"/>
      <c r="BE570" s="4"/>
      <c r="BF570" s="4"/>
      <c r="BG570" s="4"/>
      <c r="BH570" s="4"/>
      <c r="BI570" s="4"/>
      <c r="BJ570" s="4"/>
      <c r="BK570" s="4"/>
      <c r="BL570" s="4"/>
      <c r="BM570" s="4"/>
      <c r="BN570" s="4"/>
    </row>
    <row r="571" ht="13.5" customHeight="1" spans="1:66" x14ac:dyDescent="0.25">
      <c r="A571" s="4"/>
      <c r="B571" s="4"/>
      <c r="C571" s="533"/>
      <c r="D571" s="4"/>
      <c r="E571" s="4"/>
      <c r="F571" s="4"/>
      <c r="G571" s="4"/>
      <c r="H571" s="4"/>
      <c r="I571" s="4"/>
      <c r="J571" s="4"/>
      <c r="K571" s="4"/>
      <c r="L571" s="4"/>
      <c r="M571" s="4"/>
      <c r="N571" s="4"/>
      <c r="O571" s="4"/>
      <c r="P571" s="4"/>
      <c r="Q571" s="4"/>
      <c r="R571" s="4"/>
      <c r="S571" s="4"/>
      <c r="T571" s="4"/>
      <c r="U571" s="4"/>
      <c r="V571" s="4"/>
      <c r="W571" s="4"/>
      <c r="X571" s="4"/>
      <c r="Y571" s="4"/>
      <c r="Z571" s="4"/>
      <c r="AA571" s="4"/>
      <c r="AB571" s="4"/>
      <c r="AC571" s="4"/>
      <c r="AD571" s="4"/>
      <c r="AE571" s="4"/>
      <c r="AF571" s="4"/>
      <c r="AG571" s="4"/>
      <c r="AH571" s="4"/>
      <c r="AI571" s="4"/>
      <c r="AJ571" s="4"/>
      <c r="AK571" s="4"/>
      <c r="AL571" s="4"/>
      <c r="AM571" s="4"/>
      <c r="AN571" s="4"/>
      <c r="AO571" s="4"/>
      <c r="AP571" s="4"/>
      <c r="AQ571" s="4"/>
      <c r="AR571" s="4"/>
      <c r="AS571" s="4"/>
      <c r="AT571" s="4"/>
      <c r="AU571" s="4"/>
      <c r="AV571" s="4"/>
      <c r="AW571" s="4"/>
      <c r="AX571" s="4"/>
      <c r="AY571" s="4"/>
      <c r="AZ571" s="4"/>
      <c r="BA571" s="4"/>
      <c r="BB571" s="4"/>
      <c r="BC571" s="4"/>
      <c r="BD571" s="4"/>
      <c r="BE571" s="4"/>
      <c r="BF571" s="4"/>
      <c r="BG571" s="4"/>
      <c r="BH571" s="4"/>
      <c r="BI571" s="4"/>
      <c r="BJ571" s="4"/>
      <c r="BK571" s="4"/>
      <c r="BL571" s="4"/>
      <c r="BM571" s="4"/>
      <c r="BN571" s="4"/>
    </row>
    <row r="572" ht="13.5" customHeight="1" spans="1:66" x14ac:dyDescent="0.25">
      <c r="A572" s="4"/>
      <c r="B572" s="4"/>
      <c r="C572" s="533"/>
      <c r="D572" s="4"/>
      <c r="E572" s="4"/>
      <c r="F572" s="4"/>
      <c r="G572" s="4"/>
      <c r="H572" s="4"/>
      <c r="I572" s="4"/>
      <c r="J572" s="4"/>
      <c r="K572" s="4"/>
      <c r="L572" s="4"/>
      <c r="M572" s="4"/>
      <c r="N572" s="4"/>
      <c r="O572" s="4"/>
      <c r="P572" s="4"/>
      <c r="Q572" s="4"/>
      <c r="R572" s="4"/>
      <c r="S572" s="4"/>
      <c r="T572" s="4"/>
      <c r="U572" s="4"/>
      <c r="V572" s="4"/>
      <c r="W572" s="4"/>
      <c r="X572" s="4"/>
      <c r="Y572" s="4"/>
      <c r="Z572" s="4"/>
      <c r="AA572" s="4"/>
      <c r="AB572" s="4"/>
      <c r="AC572" s="4"/>
      <c r="AD572" s="4"/>
      <c r="AE572" s="4"/>
      <c r="AF572" s="4"/>
      <c r="AG572" s="4"/>
      <c r="AH572" s="4"/>
      <c r="AI572" s="4"/>
      <c r="AJ572" s="4"/>
      <c r="AK572" s="4"/>
      <c r="AL572" s="4"/>
      <c r="AM572" s="4"/>
      <c r="AN572" s="4"/>
      <c r="AO572" s="4"/>
      <c r="AP572" s="4"/>
      <c r="AQ572" s="4"/>
      <c r="AR572" s="4"/>
      <c r="AS572" s="4"/>
      <c r="AT572" s="4"/>
      <c r="AU572" s="4"/>
      <c r="AV572" s="4"/>
      <c r="AW572" s="4"/>
      <c r="AX572" s="4"/>
      <c r="AY572" s="4"/>
      <c r="AZ572" s="4"/>
      <c r="BA572" s="4"/>
      <c r="BB572" s="4"/>
      <c r="BC572" s="4"/>
      <c r="BD572" s="4"/>
      <c r="BE572" s="4"/>
      <c r="BF572" s="4"/>
      <c r="BG572" s="4"/>
      <c r="BH572" s="4"/>
      <c r="BI572" s="4"/>
      <c r="BJ572" s="4"/>
      <c r="BK572" s="4"/>
      <c r="BL572" s="4"/>
      <c r="BM572" s="4"/>
      <c r="BN572" s="4"/>
    </row>
    <row r="573" ht="13.5" customHeight="1" spans="1:66" x14ac:dyDescent="0.25">
      <c r="A573" s="4"/>
      <c r="B573" s="4"/>
      <c r="C573" s="533"/>
      <c r="D573" s="4"/>
      <c r="E573" s="4"/>
      <c r="F573" s="4"/>
      <c r="G573" s="4"/>
      <c r="H573" s="4"/>
      <c r="I573" s="4"/>
      <c r="J573" s="4"/>
      <c r="K573" s="4"/>
      <c r="L573" s="4"/>
      <c r="M573" s="4"/>
      <c r="N573" s="4"/>
      <c r="O573" s="4"/>
      <c r="P573" s="4"/>
      <c r="Q573" s="4"/>
      <c r="R573" s="4"/>
      <c r="S573" s="4"/>
      <c r="T573" s="4"/>
      <c r="U573" s="4"/>
      <c r="V573" s="4"/>
      <c r="W573" s="4"/>
      <c r="X573" s="4"/>
      <c r="Y573" s="4"/>
      <c r="Z573" s="4"/>
      <c r="AA573" s="4"/>
      <c r="AB573" s="4"/>
      <c r="AC573" s="4"/>
      <c r="AD573" s="4"/>
      <c r="AE573" s="4"/>
      <c r="AF573" s="4"/>
      <c r="AG573" s="4"/>
      <c r="AH573" s="4"/>
      <c r="AI573" s="4"/>
      <c r="AJ573" s="4"/>
      <c r="AK573" s="4"/>
      <c r="AL573" s="4"/>
      <c r="AM573" s="4"/>
      <c r="AN573" s="4"/>
      <c r="AO573" s="4"/>
      <c r="AP573" s="4"/>
      <c r="AQ573" s="4"/>
      <c r="AR573" s="4"/>
      <c r="AS573" s="4"/>
      <c r="AT573" s="4"/>
      <c r="AU573" s="4"/>
      <c r="AV573" s="4"/>
      <c r="AW573" s="4"/>
      <c r="AX573" s="4"/>
      <c r="AY573" s="4"/>
      <c r="AZ573" s="4"/>
      <c r="BA573" s="4"/>
      <c r="BB573" s="4"/>
      <c r="BC573" s="4"/>
      <c r="BD573" s="4"/>
      <c r="BE573" s="4"/>
      <c r="BF573" s="4"/>
      <c r="BG573" s="4"/>
      <c r="BH573" s="4"/>
      <c r="BI573" s="4"/>
      <c r="BJ573" s="4"/>
      <c r="BK573" s="4"/>
      <c r="BL573" s="4"/>
      <c r="BM573" s="4"/>
      <c r="BN573" s="4"/>
    </row>
    <row r="574" ht="13.5" customHeight="1" spans="1:66" x14ac:dyDescent="0.25">
      <c r="A574" s="4"/>
      <c r="B574" s="4"/>
      <c r="C574" s="533"/>
      <c r="D574" s="4"/>
      <c r="E574" s="4"/>
      <c r="F574" s="4"/>
      <c r="G574" s="4"/>
      <c r="H574" s="4"/>
      <c r="I574" s="4"/>
      <c r="J574" s="4"/>
      <c r="K574" s="4"/>
      <c r="L574" s="4"/>
      <c r="M574" s="4"/>
      <c r="N574" s="4"/>
      <c r="O574" s="4"/>
      <c r="P574" s="4"/>
      <c r="Q574" s="4"/>
      <c r="R574" s="4"/>
      <c r="S574" s="4"/>
      <c r="T574" s="4"/>
      <c r="U574" s="4"/>
      <c r="V574" s="4"/>
      <c r="W574" s="4"/>
      <c r="X574" s="4"/>
      <c r="Y574" s="4"/>
      <c r="Z574" s="4"/>
      <c r="AA574" s="4"/>
      <c r="AB574" s="4"/>
      <c r="AC574" s="4"/>
      <c r="AD574" s="4"/>
      <c r="AE574" s="4"/>
      <c r="AF574" s="4"/>
      <c r="AG574" s="4"/>
      <c r="AH574" s="4"/>
      <c r="AI574" s="4"/>
      <c r="AJ574" s="4"/>
      <c r="AK574" s="4"/>
      <c r="AL574" s="4"/>
      <c r="AM574" s="4"/>
      <c r="AN574" s="4"/>
      <c r="AO574" s="4"/>
      <c r="AP574" s="4"/>
      <c r="AQ574" s="4"/>
      <c r="AR574" s="4"/>
      <c r="AS574" s="4"/>
      <c r="AT574" s="4"/>
      <c r="AU574" s="4"/>
      <c r="AV574" s="4"/>
      <c r="AW574" s="4"/>
      <c r="AX574" s="4"/>
      <c r="AY574" s="4"/>
      <c r="AZ574" s="4"/>
      <c r="BA574" s="4"/>
      <c r="BB574" s="4"/>
      <c r="BC574" s="4"/>
      <c r="BD574" s="4"/>
      <c r="BE574" s="4"/>
      <c r="BF574" s="4"/>
      <c r="BG574" s="4"/>
      <c r="BH574" s="4"/>
      <c r="BI574" s="4"/>
      <c r="BJ574" s="4"/>
      <c r="BK574" s="4"/>
      <c r="BL574" s="4"/>
      <c r="BM574" s="4"/>
      <c r="BN574" s="4"/>
    </row>
    <row r="575" ht="13.5" customHeight="1" spans="1:66" x14ac:dyDescent="0.25">
      <c r="A575" s="4"/>
      <c r="B575" s="4"/>
      <c r="C575" s="533"/>
      <c r="D575" s="4"/>
      <c r="E575" s="4"/>
      <c r="F575" s="4"/>
      <c r="G575" s="4"/>
      <c r="H575" s="4"/>
      <c r="I575" s="4"/>
      <c r="J575" s="4"/>
      <c r="K575" s="4"/>
      <c r="L575" s="4"/>
      <c r="M575" s="4"/>
      <c r="N575" s="4"/>
      <c r="O575" s="4"/>
      <c r="P575" s="4"/>
      <c r="Q575" s="4"/>
      <c r="R575" s="4"/>
      <c r="S575" s="4"/>
      <c r="T575" s="4"/>
      <c r="U575" s="4"/>
      <c r="V575" s="4"/>
      <c r="W575" s="4"/>
      <c r="X575" s="4"/>
      <c r="Y575" s="4"/>
      <c r="Z575" s="4"/>
      <c r="AA575" s="4"/>
      <c r="AB575" s="4"/>
      <c r="AC575" s="4"/>
      <c r="AD575" s="4"/>
      <c r="AE575" s="4"/>
      <c r="AF575" s="4"/>
      <c r="AG575" s="4"/>
      <c r="AH575" s="4"/>
      <c r="AI575" s="4"/>
      <c r="AJ575" s="4"/>
      <c r="AK575" s="4"/>
      <c r="AL575" s="4"/>
      <c r="AM575" s="4"/>
      <c r="AN575" s="4"/>
      <c r="AO575" s="4"/>
      <c r="AP575" s="4"/>
      <c r="AQ575" s="4"/>
      <c r="AR575" s="4"/>
      <c r="AS575" s="4"/>
      <c r="AT575" s="4"/>
      <c r="AU575" s="4"/>
      <c r="AV575" s="4"/>
      <c r="AW575" s="4"/>
      <c r="AX575" s="4"/>
      <c r="AY575" s="4"/>
      <c r="AZ575" s="4"/>
      <c r="BA575" s="4"/>
      <c r="BB575" s="4"/>
      <c r="BC575" s="4"/>
      <c r="BD575" s="4"/>
      <c r="BE575" s="4"/>
      <c r="BF575" s="4"/>
      <c r="BG575" s="4"/>
      <c r="BH575" s="4"/>
      <c r="BI575" s="4"/>
      <c r="BJ575" s="4"/>
      <c r="BK575" s="4"/>
      <c r="BL575" s="4"/>
      <c r="BM575" s="4"/>
      <c r="BN575" s="4"/>
    </row>
    <row r="576" ht="13.5" customHeight="1" spans="1:66" x14ac:dyDescent="0.25">
      <c r="A576" s="4"/>
      <c r="B576" s="4"/>
      <c r="C576" s="533"/>
      <c r="D576" s="4"/>
      <c r="E576" s="4"/>
      <c r="F576" s="4"/>
      <c r="G576" s="4"/>
      <c r="H576" s="4"/>
      <c r="I576" s="4"/>
      <c r="J576" s="4"/>
      <c r="K576" s="4"/>
      <c r="L576" s="4"/>
      <c r="M576" s="4"/>
      <c r="N576" s="4"/>
      <c r="O576" s="4"/>
      <c r="P576" s="4"/>
      <c r="Q576" s="4"/>
      <c r="R576" s="4"/>
      <c r="S576" s="4"/>
      <c r="T576" s="4"/>
      <c r="U576" s="4"/>
      <c r="V576" s="4"/>
      <c r="W576" s="4"/>
      <c r="X576" s="4"/>
      <c r="Y576" s="4"/>
      <c r="Z576" s="4"/>
      <c r="AA576" s="4"/>
      <c r="AB576" s="4"/>
      <c r="AC576" s="4"/>
      <c r="AD576" s="4"/>
      <c r="AE576" s="4"/>
      <c r="AF576" s="4"/>
      <c r="AG576" s="4"/>
      <c r="AH576" s="4"/>
      <c r="AI576" s="4"/>
      <c r="AJ576" s="4"/>
      <c r="AK576" s="4"/>
      <c r="AL576" s="4"/>
      <c r="AM576" s="4"/>
      <c r="AN576" s="4"/>
      <c r="AO576" s="4"/>
      <c r="AP576" s="4"/>
      <c r="AQ576" s="4"/>
      <c r="AR576" s="4"/>
      <c r="AS576" s="4"/>
      <c r="AT576" s="4"/>
      <c r="AU576" s="4"/>
      <c r="AV576" s="4"/>
      <c r="AW576" s="4"/>
      <c r="AX576" s="4"/>
      <c r="AY576" s="4"/>
      <c r="AZ576" s="4"/>
      <c r="BA576" s="4"/>
      <c r="BB576" s="4"/>
      <c r="BC576" s="4"/>
      <c r="BD576" s="4"/>
      <c r="BE576" s="4"/>
      <c r="BF576" s="4"/>
      <c r="BG576" s="4"/>
      <c r="BH576" s="4"/>
      <c r="BI576" s="4"/>
      <c r="BJ576" s="4"/>
      <c r="BK576" s="4"/>
      <c r="BL576" s="4"/>
      <c r="BM576" s="4"/>
      <c r="BN576" s="4"/>
    </row>
    <row r="577" ht="13.5" customHeight="1" spans="1:66" x14ac:dyDescent="0.25">
      <c r="A577" s="4"/>
      <c r="B577" s="4"/>
      <c r="C577" s="533"/>
      <c r="D577" s="4"/>
      <c r="E577" s="4"/>
      <c r="F577" s="4"/>
      <c r="G577" s="4"/>
      <c r="H577" s="4"/>
      <c r="I577" s="4"/>
      <c r="J577" s="4"/>
      <c r="K577" s="4"/>
      <c r="L577" s="4"/>
      <c r="M577" s="4"/>
      <c r="N577" s="4"/>
      <c r="O577" s="4"/>
      <c r="P577" s="4"/>
      <c r="Q577" s="4"/>
      <c r="R577" s="4"/>
      <c r="S577" s="4"/>
      <c r="T577" s="4"/>
      <c r="U577" s="4"/>
      <c r="V577" s="4"/>
      <c r="W577" s="4"/>
      <c r="X577" s="4"/>
      <c r="Y577" s="4"/>
      <c r="Z577" s="4"/>
      <c r="AA577" s="4"/>
      <c r="AB577" s="4"/>
      <c r="AC577" s="4"/>
      <c r="AD577" s="4"/>
      <c r="AE577" s="4"/>
      <c r="AF577" s="4"/>
      <c r="AG577" s="4"/>
      <c r="AH577" s="4"/>
      <c r="AI577" s="4"/>
      <c r="AJ577" s="4"/>
      <c r="AK577" s="4"/>
      <c r="AL577" s="4"/>
      <c r="AM577" s="4"/>
      <c r="AN577" s="4"/>
      <c r="AO577" s="4"/>
      <c r="AP577" s="4"/>
      <c r="AQ577" s="4"/>
      <c r="AR577" s="4"/>
      <c r="AS577" s="4"/>
      <c r="AT577" s="4"/>
      <c r="AU577" s="4"/>
      <c r="AV577" s="4"/>
      <c r="AW577" s="4"/>
      <c r="AX577" s="4"/>
      <c r="AY577" s="4"/>
      <c r="AZ577" s="4"/>
      <c r="BA577" s="4"/>
      <c r="BB577" s="4"/>
      <c r="BC577" s="4"/>
      <c r="BD577" s="4"/>
      <c r="BE577" s="4"/>
      <c r="BF577" s="4"/>
      <c r="BG577" s="4"/>
      <c r="BH577" s="4"/>
      <c r="BI577" s="4"/>
      <c r="BJ577" s="4"/>
      <c r="BK577" s="4"/>
      <c r="BL577" s="4"/>
      <c r="BM577" s="4"/>
      <c r="BN577" s="4"/>
    </row>
    <row r="578" ht="13.5" customHeight="1" spans="1:66" x14ac:dyDescent="0.25">
      <c r="A578" s="4"/>
      <c r="B578" s="4"/>
      <c r="C578" s="533"/>
      <c r="D578" s="4"/>
      <c r="E578" s="4"/>
      <c r="F578" s="4"/>
      <c r="G578" s="4"/>
      <c r="H578" s="4"/>
      <c r="I578" s="4"/>
      <c r="J578" s="4"/>
      <c r="K578" s="4"/>
      <c r="L578" s="4"/>
      <c r="M578" s="4"/>
      <c r="N578" s="4"/>
      <c r="O578" s="4"/>
      <c r="P578" s="4"/>
      <c r="Q578" s="4"/>
      <c r="R578" s="4"/>
      <c r="S578" s="4"/>
      <c r="T578" s="4"/>
      <c r="U578" s="4"/>
      <c r="V578" s="4"/>
      <c r="W578" s="4"/>
      <c r="X578" s="4"/>
      <c r="Y578" s="4"/>
      <c r="Z578" s="4"/>
      <c r="AA578" s="4"/>
      <c r="AB578" s="4"/>
      <c r="AC578" s="4"/>
      <c r="AD578" s="4"/>
      <c r="AE578" s="4"/>
      <c r="AF578" s="4"/>
      <c r="AG578" s="4"/>
      <c r="AH578" s="4"/>
      <c r="AI578" s="4"/>
      <c r="AJ578" s="4"/>
      <c r="AK578" s="4"/>
      <c r="AL578" s="4"/>
      <c r="AM578" s="4"/>
      <c r="AN578" s="4"/>
      <c r="AO578" s="4"/>
      <c r="AP578" s="4"/>
      <c r="AQ578" s="4"/>
      <c r="AR578" s="4"/>
      <c r="AS578" s="4"/>
      <c r="AT578" s="4"/>
      <c r="AU578" s="4"/>
      <c r="AV578" s="4"/>
      <c r="AW578" s="4"/>
      <c r="AX578" s="4"/>
      <c r="AY578" s="4"/>
      <c r="AZ578" s="4"/>
      <c r="BA578" s="4"/>
      <c r="BB578" s="4"/>
      <c r="BC578" s="4"/>
      <c r="BD578" s="4"/>
      <c r="BE578" s="4"/>
      <c r="BF578" s="4"/>
      <c r="BG578" s="4"/>
      <c r="BH578" s="4"/>
      <c r="BI578" s="4"/>
      <c r="BJ578" s="4"/>
      <c r="BK578" s="4"/>
      <c r="BL578" s="4"/>
      <c r="BM578" s="4"/>
      <c r="BN578" s="4"/>
    </row>
    <row r="579" ht="13.5" customHeight="1" spans="1:66" x14ac:dyDescent="0.25">
      <c r="A579" s="4"/>
      <c r="B579" s="4"/>
      <c r="C579" s="533"/>
      <c r="D579" s="4"/>
      <c r="E579" s="4"/>
      <c r="F579" s="4"/>
      <c r="G579" s="4"/>
      <c r="H579" s="4"/>
      <c r="I579" s="4"/>
      <c r="J579" s="4"/>
      <c r="K579" s="4"/>
      <c r="L579" s="4"/>
      <c r="M579" s="4"/>
      <c r="N579" s="4"/>
      <c r="O579" s="4"/>
      <c r="P579" s="4"/>
      <c r="Q579" s="4"/>
      <c r="R579" s="4"/>
      <c r="S579" s="4"/>
      <c r="T579" s="4"/>
      <c r="U579" s="4"/>
      <c r="V579" s="4"/>
      <c r="W579" s="4"/>
      <c r="X579" s="4"/>
      <c r="Y579" s="4"/>
      <c r="Z579" s="4"/>
      <c r="AA579" s="4"/>
      <c r="AB579" s="4"/>
      <c r="AC579" s="4"/>
      <c r="AD579" s="4"/>
      <c r="AE579" s="4"/>
      <c r="AF579" s="4"/>
      <c r="AG579" s="4"/>
      <c r="AH579" s="4"/>
      <c r="AI579" s="4"/>
      <c r="AJ579" s="4"/>
      <c r="AK579" s="4"/>
      <c r="AL579" s="4"/>
      <c r="AM579" s="4"/>
      <c r="AN579" s="4"/>
      <c r="AO579" s="4"/>
      <c r="AP579" s="4"/>
      <c r="AQ579" s="4"/>
      <c r="AR579" s="4"/>
      <c r="AS579" s="4"/>
      <c r="AT579" s="4"/>
      <c r="AU579" s="4"/>
      <c r="AV579" s="4"/>
      <c r="AW579" s="4"/>
      <c r="AX579" s="4"/>
      <c r="AY579" s="4"/>
      <c r="AZ579" s="4"/>
      <c r="BA579" s="4"/>
      <c r="BB579" s="4"/>
      <c r="BC579" s="4"/>
      <c r="BD579" s="4"/>
      <c r="BE579" s="4"/>
      <c r="BF579" s="4"/>
      <c r="BG579" s="4"/>
      <c r="BH579" s="4"/>
      <c r="BI579" s="4"/>
      <c r="BJ579" s="4"/>
      <c r="BK579" s="4"/>
      <c r="BL579" s="4"/>
      <c r="BM579" s="4"/>
      <c r="BN579" s="4"/>
    </row>
    <row r="580" ht="13.5" customHeight="1" spans="1:66" x14ac:dyDescent="0.25">
      <c r="A580" s="4"/>
      <c r="B580" s="4"/>
      <c r="C580" s="533"/>
      <c r="D580" s="4"/>
      <c r="E580" s="4"/>
      <c r="F580" s="4"/>
      <c r="G580" s="4"/>
      <c r="H580" s="4"/>
      <c r="I580" s="4"/>
      <c r="J580" s="4"/>
      <c r="K580" s="4"/>
      <c r="L580" s="4"/>
      <c r="M580" s="4"/>
      <c r="N580" s="4"/>
      <c r="O580" s="4"/>
      <c r="P580" s="4"/>
      <c r="Q580" s="4"/>
      <c r="R580" s="4"/>
      <c r="S580" s="4"/>
      <c r="T580" s="4"/>
      <c r="U580" s="4"/>
      <c r="V580" s="4"/>
      <c r="W580" s="4"/>
      <c r="X580" s="4"/>
      <c r="Y580" s="4"/>
      <c r="Z580" s="4"/>
      <c r="AA580" s="4"/>
      <c r="AB580" s="4"/>
      <c r="AC580" s="4"/>
      <c r="AD580" s="4"/>
      <c r="AE580" s="4"/>
      <c r="AF580" s="4"/>
      <c r="AG580" s="4"/>
      <c r="AH580" s="4"/>
      <c r="AI580" s="4"/>
      <c r="AJ580" s="4"/>
      <c r="AK580" s="4"/>
      <c r="AL580" s="4"/>
      <c r="AM580" s="4"/>
      <c r="AN580" s="4"/>
      <c r="AO580" s="4"/>
      <c r="AP580" s="4"/>
      <c r="AQ580" s="4"/>
      <c r="AR580" s="4"/>
      <c r="AS580" s="4"/>
      <c r="AT580" s="4"/>
      <c r="AU580" s="4"/>
      <c r="AV580" s="4"/>
      <c r="AW580" s="4"/>
      <c r="AX580" s="4"/>
      <c r="AY580" s="4"/>
      <c r="AZ580" s="4"/>
      <c r="BA580" s="4"/>
      <c r="BB580" s="4"/>
      <c r="BC580" s="4"/>
      <c r="BD580" s="4"/>
      <c r="BE580" s="4"/>
      <c r="BF580" s="4"/>
      <c r="BG580" s="4"/>
      <c r="BH580" s="4"/>
      <c r="BI580" s="4"/>
      <c r="BJ580" s="4"/>
      <c r="BK580" s="4"/>
      <c r="BL580" s="4"/>
      <c r="BM580" s="4"/>
      <c r="BN580" s="4"/>
    </row>
    <row r="581" ht="13.5" customHeight="1" spans="1:66" x14ac:dyDescent="0.25">
      <c r="A581" s="4"/>
      <c r="B581" s="4"/>
      <c r="C581" s="533"/>
      <c r="D581" s="4"/>
      <c r="E581" s="4"/>
      <c r="F581" s="4"/>
      <c r="G581" s="4"/>
      <c r="H581" s="4"/>
      <c r="I581" s="4"/>
      <c r="J581" s="4"/>
      <c r="K581" s="4"/>
      <c r="L581" s="4"/>
      <c r="M581" s="4"/>
      <c r="N581" s="4"/>
      <c r="O581" s="4"/>
      <c r="P581" s="4"/>
      <c r="Q581" s="4"/>
      <c r="R581" s="4"/>
      <c r="S581" s="4"/>
      <c r="T581" s="4"/>
      <c r="U581" s="4"/>
      <c r="V581" s="4"/>
      <c r="W581" s="4"/>
      <c r="X581" s="4"/>
      <c r="Y581" s="4"/>
      <c r="Z581" s="4"/>
      <c r="AA581" s="4"/>
      <c r="AB581" s="4"/>
      <c r="AC581" s="4"/>
      <c r="AD581" s="4"/>
      <c r="AE581" s="4"/>
      <c r="AF581" s="4"/>
      <c r="AG581" s="4"/>
      <c r="AH581" s="4"/>
      <c r="AI581" s="4"/>
      <c r="AJ581" s="4"/>
      <c r="AK581" s="4"/>
      <c r="AL581" s="4"/>
      <c r="AM581" s="4"/>
      <c r="AN581" s="4"/>
      <c r="AO581" s="4"/>
      <c r="AP581" s="4"/>
      <c r="AQ581" s="4"/>
      <c r="AR581" s="4"/>
      <c r="AS581" s="4"/>
      <c r="AT581" s="4"/>
      <c r="AU581" s="4"/>
      <c r="AV581" s="4"/>
      <c r="AW581" s="4"/>
      <c r="AX581" s="4"/>
      <c r="AY581" s="4"/>
      <c r="AZ581" s="4"/>
      <c r="BA581" s="4"/>
      <c r="BB581" s="4"/>
      <c r="BC581" s="4"/>
      <c r="BD581" s="4"/>
      <c r="BE581" s="4"/>
      <c r="BF581" s="4"/>
      <c r="BG581" s="4"/>
      <c r="BH581" s="4"/>
      <c r="BI581" s="4"/>
      <c r="BJ581" s="4"/>
      <c r="BK581" s="4"/>
      <c r="BL581" s="4"/>
      <c r="BM581" s="4"/>
      <c r="BN581" s="4"/>
    </row>
    <row r="582" ht="13.5" customHeight="1" spans="1:66" x14ac:dyDescent="0.25">
      <c r="A582" s="4"/>
      <c r="B582" s="4"/>
      <c r="C582" s="533"/>
      <c r="D582" s="4"/>
      <c r="E582" s="4"/>
      <c r="F582" s="4"/>
      <c r="G582" s="4"/>
      <c r="H582" s="4"/>
      <c r="I582" s="4"/>
      <c r="J582" s="4"/>
      <c r="K582" s="4"/>
      <c r="L582" s="4"/>
      <c r="M582" s="4"/>
      <c r="N582" s="4"/>
      <c r="O582" s="4"/>
      <c r="P582" s="4"/>
      <c r="Q582" s="4"/>
      <c r="R582" s="4"/>
      <c r="S582" s="4"/>
      <c r="T582" s="4"/>
      <c r="U582" s="4"/>
      <c r="V582" s="4"/>
      <c r="W582" s="4"/>
      <c r="X582" s="4"/>
      <c r="Y582" s="4"/>
      <c r="Z582" s="4"/>
      <c r="AA582" s="4"/>
      <c r="AB582" s="4"/>
      <c r="AC582" s="4"/>
      <c r="AD582" s="4"/>
      <c r="AE582" s="4"/>
      <c r="AF582" s="4"/>
      <c r="AG582" s="4"/>
      <c r="AH582" s="4"/>
      <c r="AI582" s="4"/>
      <c r="AJ582" s="4"/>
      <c r="AK582" s="4"/>
      <c r="AL582" s="4"/>
      <c r="AM582" s="4"/>
      <c r="AN582" s="4"/>
      <c r="AO582" s="4"/>
      <c r="AP582" s="4"/>
      <c r="AQ582" s="4"/>
      <c r="AR582" s="4"/>
      <c r="AS582" s="4"/>
      <c r="AT582" s="4"/>
      <c r="AU582" s="4"/>
      <c r="AV582" s="4"/>
      <c r="AW582" s="4"/>
      <c r="AX582" s="4"/>
      <c r="AY582" s="4"/>
      <c r="AZ582" s="4"/>
      <c r="BA582" s="4"/>
      <c r="BB582" s="4"/>
      <c r="BC582" s="4"/>
      <c r="BD582" s="4"/>
      <c r="BE582" s="4"/>
      <c r="BF582" s="4"/>
      <c r="BG582" s="4"/>
      <c r="BH582" s="4"/>
      <c r="BI582" s="4"/>
      <c r="BJ582" s="4"/>
      <c r="BK582" s="4"/>
      <c r="BL582" s="4"/>
      <c r="BM582" s="4"/>
      <c r="BN582" s="4"/>
    </row>
    <row r="583" ht="13.5" customHeight="1" spans="1:66" x14ac:dyDescent="0.25">
      <c r="A583" s="4"/>
      <c r="B583" s="4"/>
      <c r="C583" s="533"/>
      <c r="D583" s="4"/>
      <c r="E583" s="4"/>
      <c r="F583" s="4"/>
      <c r="G583" s="4"/>
      <c r="H583" s="4"/>
      <c r="I583" s="4"/>
      <c r="J583" s="4"/>
      <c r="K583" s="4"/>
      <c r="L583" s="4"/>
      <c r="M583" s="4"/>
      <c r="N583" s="4"/>
      <c r="O583" s="4"/>
      <c r="P583" s="4"/>
      <c r="Q583" s="4"/>
      <c r="R583" s="4"/>
      <c r="S583" s="4"/>
      <c r="T583" s="4"/>
      <c r="U583" s="4"/>
      <c r="V583" s="4"/>
      <c r="W583" s="4"/>
      <c r="X583" s="4"/>
      <c r="Y583" s="4"/>
      <c r="Z583" s="4"/>
      <c r="AA583" s="4"/>
      <c r="AB583" s="4"/>
      <c r="AC583" s="4"/>
      <c r="AD583" s="4"/>
      <c r="AE583" s="4"/>
      <c r="AF583" s="4"/>
      <c r="AG583" s="4"/>
      <c r="AH583" s="4"/>
      <c r="AI583" s="4"/>
      <c r="AJ583" s="4"/>
      <c r="AK583" s="4"/>
      <c r="AL583" s="4"/>
      <c r="AM583" s="4"/>
      <c r="AN583" s="4"/>
      <c r="AO583" s="4"/>
      <c r="AP583" s="4"/>
      <c r="AQ583" s="4"/>
      <c r="AR583" s="4"/>
      <c r="AS583" s="4"/>
      <c r="AT583" s="4"/>
      <c r="AU583" s="4"/>
      <c r="AV583" s="4"/>
      <c r="AW583" s="4"/>
      <c r="AX583" s="4"/>
      <c r="AY583" s="4"/>
      <c r="AZ583" s="4"/>
      <c r="BA583" s="4"/>
      <c r="BB583" s="4"/>
      <c r="BC583" s="4"/>
      <c r="BD583" s="4"/>
      <c r="BE583" s="4"/>
      <c r="BF583" s="4"/>
      <c r="BG583" s="4"/>
      <c r="BH583" s="4"/>
      <c r="BI583" s="4"/>
      <c r="BJ583" s="4"/>
      <c r="BK583" s="4"/>
      <c r="BL583" s="4"/>
      <c r="BM583" s="4"/>
      <c r="BN583" s="4"/>
    </row>
    <row r="584" ht="13.5" customHeight="1" spans="1:66" x14ac:dyDescent="0.25">
      <c r="A584" s="4"/>
      <c r="B584" s="4"/>
      <c r="C584" s="533"/>
      <c r="D584" s="4"/>
      <c r="E584" s="4"/>
      <c r="F584" s="4"/>
      <c r="G584" s="4"/>
      <c r="H584" s="4"/>
      <c r="I584" s="4"/>
      <c r="J584" s="4"/>
      <c r="K584" s="4"/>
      <c r="L584" s="4"/>
      <c r="M584" s="4"/>
      <c r="N584" s="4"/>
      <c r="O584" s="4"/>
      <c r="P584" s="4"/>
      <c r="Q584" s="4"/>
      <c r="R584" s="4"/>
      <c r="S584" s="4"/>
      <c r="T584" s="4"/>
      <c r="U584" s="4"/>
      <c r="V584" s="4"/>
      <c r="W584" s="4"/>
      <c r="X584" s="4"/>
      <c r="Y584" s="4"/>
      <c r="Z584" s="4"/>
      <c r="AA584" s="4"/>
      <c r="AB584" s="4"/>
      <c r="AC584" s="4"/>
      <c r="AD584" s="4"/>
      <c r="AE584" s="4"/>
      <c r="AF584" s="4"/>
      <c r="AG584" s="4"/>
      <c r="AH584" s="4"/>
      <c r="AI584" s="4"/>
      <c r="AJ584" s="4"/>
      <c r="AK584" s="4"/>
      <c r="AL584" s="4"/>
      <c r="AM584" s="4"/>
      <c r="AN584" s="4"/>
      <c r="AO584" s="4"/>
      <c r="AP584" s="4"/>
      <c r="AQ584" s="4"/>
      <c r="AR584" s="4"/>
      <c r="AS584" s="4"/>
      <c r="AT584" s="4"/>
      <c r="AU584" s="4"/>
      <c r="AV584" s="4"/>
      <c r="AW584" s="4"/>
      <c r="AX584" s="4"/>
      <c r="AY584" s="4"/>
      <c r="AZ584" s="4"/>
      <c r="BA584" s="4"/>
      <c r="BB584" s="4"/>
      <c r="BC584" s="4"/>
      <c r="BD584" s="4"/>
      <c r="BE584" s="4"/>
      <c r="BF584" s="4"/>
      <c r="BG584" s="4"/>
      <c r="BH584" s="4"/>
      <c r="BI584" s="4"/>
      <c r="BJ584" s="4"/>
      <c r="BK584" s="4"/>
      <c r="BL584" s="4"/>
      <c r="BM584" s="4"/>
      <c r="BN584" s="4"/>
    </row>
    <row r="585" ht="13.5" customHeight="1" spans="1:66" x14ac:dyDescent="0.25">
      <c r="A585" s="4"/>
      <c r="B585" s="4"/>
      <c r="C585" s="533"/>
      <c r="D585" s="4"/>
      <c r="E585" s="4"/>
      <c r="F585" s="4"/>
      <c r="G585" s="4"/>
      <c r="H585" s="4"/>
      <c r="I585" s="4"/>
      <c r="J585" s="4"/>
      <c r="K585" s="4"/>
      <c r="L585" s="4"/>
      <c r="M585" s="4"/>
      <c r="N585" s="4"/>
      <c r="O585" s="4"/>
      <c r="P585" s="4"/>
      <c r="Q585" s="4"/>
      <c r="R585" s="4"/>
      <c r="S585" s="4"/>
      <c r="T585" s="4"/>
      <c r="U585" s="4"/>
      <c r="V585" s="4"/>
      <c r="W585" s="4"/>
      <c r="X585" s="4"/>
      <c r="Y585" s="4"/>
      <c r="Z585" s="4"/>
      <c r="AA585" s="4"/>
      <c r="AB585" s="4"/>
      <c r="AC585" s="4"/>
      <c r="AD585" s="4"/>
      <c r="AE585" s="4"/>
      <c r="AF585" s="4"/>
      <c r="AG585" s="4"/>
      <c r="AH585" s="4"/>
      <c r="AI585" s="4"/>
      <c r="AJ585" s="4"/>
      <c r="AK585" s="4"/>
      <c r="AL585" s="4"/>
      <c r="AM585" s="4"/>
      <c r="AN585" s="4"/>
      <c r="AO585" s="4"/>
      <c r="AP585" s="4"/>
      <c r="AQ585" s="4"/>
      <c r="AR585" s="4"/>
      <c r="AS585" s="4"/>
      <c r="AT585" s="4"/>
      <c r="AU585" s="4"/>
      <c r="AV585" s="4"/>
      <c r="AW585" s="4"/>
      <c r="AX585" s="4"/>
      <c r="AY585" s="4"/>
      <c r="AZ585" s="4"/>
      <c r="BA585" s="4"/>
      <c r="BB585" s="4"/>
      <c r="BC585" s="4"/>
      <c r="BD585" s="4"/>
      <c r="BE585" s="4"/>
      <c r="BF585" s="4"/>
      <c r="BG585" s="4"/>
      <c r="BH585" s="4"/>
      <c r="BI585" s="4"/>
      <c r="BJ585" s="4"/>
      <c r="BK585" s="4"/>
      <c r="BL585" s="4"/>
      <c r="BM585" s="4"/>
      <c r="BN585" s="4"/>
    </row>
    <row r="586" ht="13.5" customHeight="1" spans="1:66" x14ac:dyDescent="0.25">
      <c r="A586" s="4"/>
      <c r="B586" s="4"/>
      <c r="C586" s="533"/>
      <c r="D586" s="4"/>
      <c r="E586" s="4"/>
      <c r="F586" s="4"/>
      <c r="G586" s="4"/>
      <c r="H586" s="4"/>
      <c r="I586" s="4"/>
      <c r="J586" s="4"/>
      <c r="K586" s="4"/>
      <c r="L586" s="4"/>
      <c r="M586" s="4"/>
      <c r="N586" s="4"/>
      <c r="O586" s="4"/>
      <c r="P586" s="4"/>
      <c r="Q586" s="4"/>
      <c r="R586" s="4"/>
      <c r="S586" s="4"/>
      <c r="T586" s="4"/>
      <c r="U586" s="4"/>
      <c r="V586" s="4"/>
      <c r="W586" s="4"/>
      <c r="X586" s="4"/>
      <c r="Y586" s="4"/>
      <c r="Z586" s="4"/>
      <c r="AA586" s="4"/>
      <c r="AB586" s="4"/>
      <c r="AC586" s="4"/>
      <c r="AD586" s="4"/>
      <c r="AE586" s="4"/>
      <c r="AF586" s="4"/>
      <c r="AG586" s="4"/>
      <c r="AH586" s="4"/>
      <c r="AI586" s="4"/>
      <c r="AJ586" s="4"/>
      <c r="AK586" s="4"/>
      <c r="AL586" s="4"/>
      <c r="AM586" s="4"/>
      <c r="AN586" s="4"/>
      <c r="AO586" s="4"/>
      <c r="AP586" s="4"/>
      <c r="AQ586" s="4"/>
      <c r="AR586" s="4"/>
      <c r="AS586" s="4"/>
      <c r="AT586" s="4"/>
      <c r="AU586" s="4"/>
      <c r="AV586" s="4"/>
      <c r="AW586" s="4"/>
      <c r="AX586" s="4"/>
      <c r="AY586" s="4"/>
      <c r="AZ586" s="4"/>
      <c r="BA586" s="4"/>
      <c r="BB586" s="4"/>
      <c r="BC586" s="4"/>
      <c r="BD586" s="4"/>
      <c r="BE586" s="4"/>
      <c r="BF586" s="4"/>
      <c r="BG586" s="4"/>
      <c r="BH586" s="4"/>
      <c r="BI586" s="4"/>
      <c r="BJ586" s="4"/>
      <c r="BK586" s="4"/>
      <c r="BL586" s="4"/>
      <c r="BM586" s="4"/>
      <c r="BN586" s="4"/>
    </row>
    <row r="587" ht="13.5" customHeight="1" spans="1:66" x14ac:dyDescent="0.25">
      <c r="A587" s="4"/>
      <c r="B587" s="4"/>
      <c r="C587" s="533"/>
      <c r="D587" s="4"/>
      <c r="E587" s="4"/>
      <c r="F587" s="4"/>
      <c r="G587" s="4"/>
      <c r="H587" s="4"/>
      <c r="I587" s="4"/>
      <c r="J587" s="4"/>
      <c r="K587" s="4"/>
      <c r="L587" s="4"/>
      <c r="M587" s="4"/>
      <c r="N587" s="4"/>
      <c r="O587" s="4"/>
      <c r="P587" s="4"/>
      <c r="Q587" s="4"/>
      <c r="R587" s="4"/>
      <c r="S587" s="4"/>
      <c r="T587" s="4"/>
      <c r="U587" s="4"/>
      <c r="V587" s="4"/>
      <c r="W587" s="4"/>
      <c r="X587" s="4"/>
      <c r="Y587" s="4"/>
      <c r="Z587" s="4"/>
      <c r="AA587" s="4"/>
      <c r="AB587" s="4"/>
      <c r="AC587" s="4"/>
      <c r="AD587" s="4"/>
      <c r="AE587" s="4"/>
      <c r="AF587" s="4"/>
      <c r="AG587" s="4"/>
      <c r="AH587" s="4"/>
      <c r="AI587" s="4"/>
      <c r="AJ587" s="4"/>
      <c r="AK587" s="4"/>
      <c r="AL587" s="4"/>
      <c r="AM587" s="4"/>
      <c r="AN587" s="4"/>
      <c r="AO587" s="4"/>
      <c r="AP587" s="4"/>
      <c r="AQ587" s="4"/>
      <c r="AR587" s="4"/>
      <c r="AS587" s="4"/>
      <c r="AT587" s="4"/>
      <c r="AU587" s="4"/>
      <c r="AV587" s="4"/>
      <c r="AW587" s="4"/>
      <c r="AX587" s="4"/>
      <c r="AY587" s="4"/>
      <c r="AZ587" s="4"/>
      <c r="BA587" s="4"/>
      <c r="BB587" s="4"/>
      <c r="BC587" s="4"/>
      <c r="BD587" s="4"/>
      <c r="BE587" s="4"/>
      <c r="BF587" s="4"/>
      <c r="BG587" s="4"/>
      <c r="BH587" s="4"/>
      <c r="BI587" s="4"/>
      <c r="BJ587" s="4"/>
      <c r="BK587" s="4"/>
      <c r="BL587" s="4"/>
      <c r="BM587" s="4"/>
      <c r="BN587" s="4"/>
    </row>
    <row r="588" ht="13.5" customHeight="1" spans="1:66" x14ac:dyDescent="0.25">
      <c r="A588" s="4"/>
      <c r="B588" s="4"/>
      <c r="C588" s="533"/>
      <c r="D588" s="4"/>
      <c r="E588" s="4"/>
      <c r="F588" s="4"/>
      <c r="G588" s="4"/>
      <c r="H588" s="4"/>
      <c r="I588" s="4"/>
      <c r="J588" s="4"/>
      <c r="K588" s="4"/>
      <c r="L588" s="4"/>
      <c r="M588" s="4"/>
      <c r="N588" s="4"/>
      <c r="O588" s="4"/>
      <c r="P588" s="4"/>
      <c r="Q588" s="4"/>
      <c r="R588" s="4"/>
      <c r="S588" s="4"/>
      <c r="T588" s="4"/>
      <c r="U588" s="4"/>
      <c r="V588" s="4"/>
      <c r="W588" s="4"/>
      <c r="X588" s="4"/>
      <c r="Y588" s="4"/>
      <c r="Z588" s="4"/>
      <c r="AA588" s="4"/>
      <c r="AB588" s="4"/>
      <c r="AC588" s="4"/>
      <c r="AD588" s="4"/>
      <c r="AE588" s="4"/>
      <c r="AF588" s="4"/>
      <c r="AG588" s="4"/>
      <c r="AH588" s="4"/>
      <c r="AI588" s="4"/>
      <c r="AJ588" s="4"/>
      <c r="AK588" s="4"/>
      <c r="AL588" s="4"/>
      <c r="AM588" s="4"/>
      <c r="AN588" s="4"/>
      <c r="AO588" s="4"/>
      <c r="AP588" s="4"/>
      <c r="AQ588" s="4"/>
      <c r="AR588" s="4"/>
      <c r="AS588" s="4"/>
      <c r="AT588" s="4"/>
      <c r="AU588" s="4"/>
      <c r="AV588" s="4"/>
      <c r="AW588" s="4"/>
      <c r="AX588" s="4"/>
      <c r="AY588" s="4"/>
      <c r="AZ588" s="4"/>
      <c r="BA588" s="4"/>
      <c r="BB588" s="4"/>
      <c r="BC588" s="4"/>
      <c r="BD588" s="4"/>
      <c r="BE588" s="4"/>
      <c r="BF588" s="4"/>
      <c r="BG588" s="4"/>
      <c r="BH588" s="4"/>
      <c r="BI588" s="4"/>
      <c r="BJ588" s="4"/>
      <c r="BK588" s="4"/>
      <c r="BL588" s="4"/>
      <c r="BM588" s="4"/>
      <c r="BN588" s="4"/>
    </row>
    <row r="589" ht="13.5" customHeight="1" spans="1:66" x14ac:dyDescent="0.25">
      <c r="A589" s="4"/>
      <c r="B589" s="4"/>
      <c r="C589" s="533"/>
      <c r="D589" s="4"/>
      <c r="E589" s="4"/>
      <c r="F589" s="4"/>
      <c r="G589" s="4"/>
      <c r="H589" s="4"/>
      <c r="I589" s="4"/>
      <c r="J589" s="4"/>
      <c r="K589" s="4"/>
      <c r="L589" s="4"/>
      <c r="M589" s="4"/>
      <c r="N589" s="4"/>
      <c r="O589" s="4"/>
      <c r="P589" s="4"/>
      <c r="Q589" s="4"/>
      <c r="R589" s="4"/>
      <c r="S589" s="4"/>
      <c r="T589" s="4"/>
      <c r="U589" s="4"/>
      <c r="V589" s="4"/>
      <c r="W589" s="4"/>
      <c r="X589" s="4"/>
      <c r="Y589" s="4"/>
      <c r="Z589" s="4"/>
      <c r="AA589" s="4"/>
      <c r="AB589" s="4"/>
      <c r="AC589" s="4"/>
      <c r="AD589" s="4"/>
      <c r="AE589" s="4"/>
      <c r="AF589" s="4"/>
      <c r="AG589" s="4"/>
      <c r="AH589" s="4"/>
      <c r="AI589" s="4"/>
      <c r="AJ589" s="4"/>
      <c r="AK589" s="4"/>
      <c r="AL589" s="4"/>
      <c r="AM589" s="4"/>
      <c r="AN589" s="4"/>
      <c r="AO589" s="4"/>
      <c r="AP589" s="4"/>
      <c r="AQ589" s="4"/>
      <c r="AR589" s="4"/>
      <c r="AS589" s="4"/>
      <c r="AT589" s="4"/>
      <c r="AU589" s="4"/>
      <c r="AV589" s="4"/>
      <c r="AW589" s="4"/>
      <c r="AX589" s="4"/>
      <c r="AY589" s="4"/>
      <c r="AZ589" s="4"/>
      <c r="BA589" s="4"/>
      <c r="BB589" s="4"/>
      <c r="BC589" s="4"/>
      <c r="BD589" s="4"/>
      <c r="BE589" s="4"/>
      <c r="BF589" s="4"/>
      <c r="BG589" s="4"/>
      <c r="BH589" s="4"/>
      <c r="BI589" s="4"/>
      <c r="BJ589" s="4"/>
      <c r="BK589" s="4"/>
      <c r="BL589" s="4"/>
      <c r="BM589" s="4"/>
      <c r="BN589" s="4"/>
    </row>
    <row r="590" ht="13.5" customHeight="1" spans="1:66" x14ac:dyDescent="0.25">
      <c r="A590" s="4"/>
      <c r="B590" s="4"/>
      <c r="C590" s="533"/>
      <c r="D590" s="4"/>
      <c r="E590" s="4"/>
      <c r="F590" s="4"/>
      <c r="G590" s="4"/>
      <c r="H590" s="4"/>
      <c r="I590" s="4"/>
      <c r="J590" s="4"/>
      <c r="K590" s="4"/>
      <c r="L590" s="4"/>
      <c r="M590" s="4"/>
      <c r="N590" s="4"/>
      <c r="O590" s="4"/>
      <c r="P590" s="4"/>
      <c r="Q590" s="4"/>
      <c r="R590" s="4"/>
      <c r="S590" s="4"/>
      <c r="T590" s="4"/>
      <c r="U590" s="4"/>
      <c r="V590" s="4"/>
      <c r="W590" s="4"/>
      <c r="X590" s="4"/>
      <c r="Y590" s="4"/>
      <c r="Z590" s="4"/>
      <c r="AA590" s="4"/>
      <c r="AB590" s="4"/>
      <c r="AC590" s="4"/>
      <c r="AD590" s="4"/>
      <c r="AE590" s="4"/>
      <c r="AF590" s="4"/>
      <c r="AG590" s="4"/>
      <c r="AH590" s="4"/>
      <c r="AI590" s="4"/>
      <c r="AJ590" s="4"/>
      <c r="AK590" s="4"/>
      <c r="AL590" s="4"/>
      <c r="AM590" s="4"/>
      <c r="AN590" s="4"/>
      <c r="AO590" s="4"/>
      <c r="AP590" s="4"/>
      <c r="AQ590" s="4"/>
      <c r="AR590" s="4"/>
      <c r="AS590" s="4"/>
      <c r="AT590" s="4"/>
      <c r="AU590" s="4"/>
      <c r="AV590" s="4"/>
      <c r="AW590" s="4"/>
      <c r="AX590" s="4"/>
      <c r="AY590" s="4"/>
      <c r="AZ590" s="4"/>
      <c r="BA590" s="4"/>
      <c r="BB590" s="4"/>
      <c r="BC590" s="4"/>
      <c r="BD590" s="4"/>
      <c r="BE590" s="4"/>
      <c r="BF590" s="4"/>
      <c r="BG590" s="4"/>
      <c r="BH590" s="4"/>
      <c r="BI590" s="4"/>
      <c r="BJ590" s="4"/>
      <c r="BK590" s="4"/>
      <c r="BL590" s="4"/>
      <c r="BM590" s="4"/>
      <c r="BN590" s="4"/>
    </row>
    <row r="591" ht="13.5" customHeight="1" spans="1:66" x14ac:dyDescent="0.25">
      <c r="A591" s="4"/>
      <c r="B591" s="4"/>
      <c r="C591" s="533"/>
      <c r="D591" s="4"/>
      <c r="E591" s="4"/>
      <c r="F591" s="4"/>
      <c r="G591" s="4"/>
      <c r="H591" s="4"/>
      <c r="I591" s="4"/>
      <c r="J591" s="4"/>
      <c r="K591" s="4"/>
      <c r="L591" s="4"/>
      <c r="M591" s="4"/>
      <c r="N591" s="4"/>
      <c r="O591" s="4"/>
      <c r="P591" s="4"/>
      <c r="Q591" s="4"/>
      <c r="R591" s="4"/>
      <c r="S591" s="4"/>
      <c r="T591" s="4"/>
      <c r="U591" s="4"/>
      <c r="V591" s="4"/>
      <c r="W591" s="4"/>
      <c r="X591" s="4"/>
      <c r="Y591" s="4"/>
      <c r="Z591" s="4"/>
      <c r="AA591" s="4"/>
      <c r="AB591" s="4"/>
      <c r="AC591" s="4"/>
      <c r="AD591" s="4"/>
      <c r="AE591" s="4"/>
      <c r="AF591" s="4"/>
      <c r="AG591" s="4"/>
      <c r="AH591" s="4"/>
      <c r="AI591" s="4"/>
      <c r="AJ591" s="4"/>
      <c r="AK591" s="4"/>
      <c r="AL591" s="4"/>
      <c r="AM591" s="4"/>
      <c r="AN591" s="4"/>
      <c r="AO591" s="4"/>
      <c r="AP591" s="4"/>
      <c r="AQ591" s="4"/>
      <c r="AR591" s="4"/>
      <c r="AS591" s="4"/>
      <c r="AT591" s="4"/>
      <c r="AU591" s="4"/>
      <c r="AV591" s="4"/>
      <c r="AW591" s="4"/>
      <c r="AX591" s="4"/>
      <c r="AY591" s="4"/>
      <c r="AZ591" s="4"/>
      <c r="BA591" s="4"/>
      <c r="BB591" s="4"/>
      <c r="BC591" s="4"/>
      <c r="BD591" s="4"/>
      <c r="BE591" s="4"/>
      <c r="BF591" s="4"/>
      <c r="BG591" s="4"/>
      <c r="BH591" s="4"/>
      <c r="BI591" s="4"/>
      <c r="BJ591" s="4"/>
      <c r="BK591" s="4"/>
      <c r="BL591" s="4"/>
      <c r="BM591" s="4"/>
      <c r="BN591" s="4"/>
    </row>
    <row r="592" ht="13.5" customHeight="1" spans="1:66" x14ac:dyDescent="0.25">
      <c r="A592" s="4"/>
      <c r="B592" s="4"/>
      <c r="C592" s="533"/>
      <c r="D592" s="4"/>
      <c r="E592" s="4"/>
      <c r="F592" s="4"/>
      <c r="G592" s="4"/>
      <c r="H592" s="4"/>
      <c r="I592" s="4"/>
      <c r="J592" s="4"/>
      <c r="K592" s="4"/>
      <c r="L592" s="4"/>
      <c r="M592" s="4"/>
      <c r="N592" s="4"/>
      <c r="O592" s="4"/>
      <c r="P592" s="4"/>
      <c r="Q592" s="4"/>
      <c r="R592" s="4"/>
      <c r="S592" s="4"/>
      <c r="T592" s="4"/>
      <c r="U592" s="4"/>
      <c r="V592" s="4"/>
      <c r="W592" s="4"/>
      <c r="X592" s="4"/>
      <c r="Y592" s="4"/>
      <c r="Z592" s="4"/>
      <c r="AA592" s="4"/>
      <c r="AB592" s="4"/>
      <c r="AC592" s="4"/>
      <c r="AD592" s="4"/>
      <c r="AE592" s="4"/>
      <c r="AF592" s="4"/>
      <c r="AG592" s="4"/>
      <c r="AH592" s="4"/>
      <c r="AI592" s="4"/>
      <c r="AJ592" s="4"/>
      <c r="AK592" s="4"/>
      <c r="AL592" s="4"/>
      <c r="AM592" s="4"/>
      <c r="AN592" s="4"/>
      <c r="AO592" s="4"/>
      <c r="AP592" s="4"/>
      <c r="AQ592" s="4"/>
      <c r="AR592" s="4"/>
      <c r="AS592" s="4"/>
      <c r="AT592" s="4"/>
      <c r="AU592" s="4"/>
      <c r="AV592" s="4"/>
      <c r="AW592" s="4"/>
      <c r="AX592" s="4"/>
      <c r="AY592" s="4"/>
      <c r="AZ592" s="4"/>
      <c r="BA592" s="4"/>
      <c r="BB592" s="4"/>
      <c r="BC592" s="4"/>
      <c r="BD592" s="4"/>
      <c r="BE592" s="4"/>
      <c r="BF592" s="4"/>
      <c r="BG592" s="4"/>
      <c r="BH592" s="4"/>
      <c r="BI592" s="4"/>
      <c r="BJ592" s="4"/>
      <c r="BK592" s="4"/>
      <c r="BL592" s="4"/>
      <c r="BM592" s="4"/>
      <c r="BN592" s="4"/>
    </row>
    <row r="593" ht="13.5" customHeight="1" spans="1:66" x14ac:dyDescent="0.25">
      <c r="A593" s="4"/>
      <c r="B593" s="4"/>
      <c r="C593" s="533"/>
      <c r="D593" s="4"/>
      <c r="E593" s="4"/>
      <c r="F593" s="4"/>
      <c r="G593" s="4"/>
      <c r="H593" s="4"/>
      <c r="I593" s="4"/>
      <c r="J593" s="4"/>
      <c r="K593" s="4"/>
      <c r="L593" s="4"/>
      <c r="M593" s="4"/>
      <c r="N593" s="4"/>
      <c r="O593" s="4"/>
      <c r="P593" s="4"/>
      <c r="Q593" s="4"/>
      <c r="R593" s="4"/>
      <c r="S593" s="4"/>
      <c r="T593" s="4"/>
      <c r="U593" s="4"/>
      <c r="V593" s="4"/>
      <c r="W593" s="4"/>
      <c r="X593" s="4"/>
      <c r="Y593" s="4"/>
      <c r="Z593" s="4"/>
      <c r="AA593" s="4"/>
      <c r="AB593" s="4"/>
      <c r="AC593" s="4"/>
      <c r="AD593" s="4"/>
      <c r="AE593" s="4"/>
      <c r="AF593" s="4"/>
      <c r="AG593" s="4"/>
      <c r="AH593" s="4"/>
      <c r="AI593" s="4"/>
      <c r="AJ593" s="4"/>
      <c r="AK593" s="4"/>
      <c r="AL593" s="4"/>
      <c r="AM593" s="4"/>
      <c r="AN593" s="4"/>
      <c r="AO593" s="4"/>
      <c r="AP593" s="4"/>
      <c r="AQ593" s="4"/>
      <c r="AR593" s="4"/>
      <c r="AS593" s="4"/>
      <c r="AT593" s="4"/>
      <c r="AU593" s="4"/>
      <c r="AV593" s="4"/>
      <c r="AW593" s="4"/>
      <c r="AX593" s="4"/>
      <c r="AY593" s="4"/>
      <c r="AZ593" s="4"/>
      <c r="BA593" s="4"/>
      <c r="BB593" s="4"/>
      <c r="BC593" s="4"/>
      <c r="BD593" s="4"/>
      <c r="BE593" s="4"/>
      <c r="BF593" s="4"/>
      <c r="BG593" s="4"/>
      <c r="BH593" s="4"/>
      <c r="BI593" s="4"/>
      <c r="BJ593" s="4"/>
      <c r="BK593" s="4"/>
      <c r="BL593" s="4"/>
      <c r="BM593" s="4"/>
      <c r="BN593" s="4"/>
    </row>
    <row r="594" ht="13.5" customHeight="1" spans="1:66" x14ac:dyDescent="0.25">
      <c r="A594" s="4"/>
      <c r="B594" s="4"/>
      <c r="C594" s="533"/>
      <c r="D594" s="4"/>
      <c r="E594" s="4"/>
      <c r="F594" s="4"/>
      <c r="G594" s="4"/>
      <c r="H594" s="4"/>
      <c r="I594" s="4"/>
      <c r="J594" s="4"/>
      <c r="K594" s="4"/>
      <c r="L594" s="4"/>
      <c r="M594" s="4"/>
      <c r="N594" s="4"/>
      <c r="O594" s="4"/>
      <c r="P594" s="4"/>
      <c r="Q594" s="4"/>
      <c r="R594" s="4"/>
      <c r="S594" s="4"/>
      <c r="T594" s="4"/>
      <c r="U594" s="4"/>
      <c r="V594" s="4"/>
      <c r="W594" s="4"/>
      <c r="X594" s="4"/>
      <c r="Y594" s="4"/>
      <c r="Z594" s="4"/>
      <c r="AA594" s="4"/>
      <c r="AB594" s="4"/>
      <c r="AC594" s="4"/>
      <c r="AD594" s="4"/>
      <c r="AE594" s="4"/>
      <c r="AF594" s="4"/>
      <c r="AG594" s="4"/>
      <c r="AH594" s="4"/>
      <c r="AI594" s="4"/>
      <c r="AJ594" s="4"/>
      <c r="AK594" s="4"/>
      <c r="AL594" s="4"/>
      <c r="AM594" s="4"/>
      <c r="AN594" s="4"/>
      <c r="AO594" s="4"/>
      <c r="AP594" s="4"/>
      <c r="AQ594" s="4"/>
      <c r="AR594" s="4"/>
      <c r="AS594" s="4"/>
      <c r="AT594" s="4"/>
      <c r="AU594" s="4"/>
      <c r="AV594" s="4"/>
      <c r="AW594" s="4"/>
      <c r="AX594" s="4"/>
      <c r="AY594" s="4"/>
      <c r="AZ594" s="4"/>
      <c r="BA594" s="4"/>
      <c r="BB594" s="4"/>
      <c r="BC594" s="4"/>
      <c r="BD594" s="4"/>
      <c r="BE594" s="4"/>
      <c r="BF594" s="4"/>
      <c r="BG594" s="4"/>
      <c r="BH594" s="4"/>
      <c r="BI594" s="4"/>
      <c r="BJ594" s="4"/>
      <c r="BK594" s="4"/>
      <c r="BL594" s="4"/>
      <c r="BM594" s="4"/>
      <c r="BN594" s="4"/>
    </row>
    <row r="595" ht="13.5" customHeight="1" spans="1:66" x14ac:dyDescent="0.25">
      <c r="A595" s="4"/>
      <c r="B595" s="4"/>
      <c r="C595" s="533"/>
      <c r="D595" s="4"/>
      <c r="E595" s="4"/>
      <c r="F595" s="4"/>
      <c r="G595" s="4"/>
      <c r="H595" s="4"/>
      <c r="I595" s="4"/>
      <c r="J595" s="4"/>
      <c r="K595" s="4"/>
      <c r="L595" s="4"/>
      <c r="M595" s="4"/>
      <c r="N595" s="4"/>
      <c r="O595" s="4"/>
      <c r="P595" s="4"/>
      <c r="Q595" s="4"/>
      <c r="R595" s="4"/>
      <c r="S595" s="4"/>
      <c r="T595" s="4"/>
      <c r="U595" s="4"/>
      <c r="V595" s="4"/>
      <c r="W595" s="4"/>
      <c r="X595" s="4"/>
      <c r="Y595" s="4"/>
      <c r="Z595" s="4"/>
      <c r="AA595" s="4"/>
      <c r="AB595" s="4"/>
      <c r="AC595" s="4"/>
      <c r="AD595" s="4"/>
      <c r="AE595" s="4"/>
      <c r="AF595" s="4"/>
      <c r="AG595" s="4"/>
      <c r="AH595" s="4"/>
      <c r="AI595" s="4"/>
      <c r="AJ595" s="4"/>
      <c r="AK595" s="4"/>
      <c r="AL595" s="4"/>
      <c r="AM595" s="4"/>
      <c r="AN595" s="4"/>
      <c r="AO595" s="4"/>
      <c r="AP595" s="4"/>
      <c r="AQ595" s="4"/>
      <c r="AR595" s="4"/>
      <c r="AS595" s="4"/>
      <c r="AT595" s="4"/>
      <c r="AU595" s="4"/>
      <c r="AV595" s="4"/>
      <c r="AW595" s="4"/>
      <c r="AX595" s="4"/>
      <c r="AY595" s="4"/>
      <c r="AZ595" s="4"/>
      <c r="BA595" s="4"/>
      <c r="BB595" s="4"/>
      <c r="BC595" s="4"/>
      <c r="BD595" s="4"/>
      <c r="BE595" s="4"/>
      <c r="BF595" s="4"/>
      <c r="BG595" s="4"/>
      <c r="BH595" s="4"/>
      <c r="BI595" s="4"/>
      <c r="BJ595" s="4"/>
      <c r="BK595" s="4"/>
      <c r="BL595" s="4"/>
      <c r="BM595" s="4"/>
      <c r="BN595" s="4"/>
    </row>
    <row r="596" ht="13.5" customHeight="1" spans="1:66" x14ac:dyDescent="0.25">
      <c r="A596" s="4"/>
      <c r="B596" s="4"/>
      <c r="C596" s="533"/>
      <c r="D596" s="4"/>
      <c r="E596" s="4"/>
      <c r="F596" s="4"/>
      <c r="G596" s="4"/>
      <c r="H596" s="4"/>
      <c r="I596" s="4"/>
      <c r="J596" s="4"/>
      <c r="K596" s="4"/>
      <c r="L596" s="4"/>
      <c r="M596" s="4"/>
      <c r="N596" s="4"/>
      <c r="O596" s="4"/>
      <c r="P596" s="4"/>
      <c r="Q596" s="4"/>
      <c r="R596" s="4"/>
      <c r="S596" s="4"/>
      <c r="T596" s="4"/>
      <c r="U596" s="4"/>
      <c r="V596" s="4"/>
      <c r="W596" s="4"/>
      <c r="X596" s="4"/>
      <c r="Y596" s="4"/>
      <c r="Z596" s="4"/>
      <c r="AA596" s="4"/>
      <c r="AB596" s="4"/>
      <c r="AC596" s="4"/>
      <c r="AD596" s="4"/>
      <c r="AE596" s="4"/>
      <c r="AF596" s="4"/>
      <c r="AG596" s="4"/>
      <c r="AH596" s="4"/>
      <c r="AI596" s="4"/>
      <c r="AJ596" s="4"/>
      <c r="AK596" s="4"/>
      <c r="AL596" s="4"/>
      <c r="AM596" s="4"/>
      <c r="AN596" s="4"/>
      <c r="AO596" s="4"/>
      <c r="AP596" s="4"/>
      <c r="AQ596" s="4"/>
      <c r="AR596" s="4"/>
      <c r="AS596" s="4"/>
      <c r="AT596" s="4"/>
      <c r="AU596" s="4"/>
      <c r="AV596" s="4"/>
      <c r="AW596" s="4"/>
      <c r="AX596" s="4"/>
      <c r="AY596" s="4"/>
      <c r="AZ596" s="4"/>
      <c r="BA596" s="4"/>
      <c r="BB596" s="4"/>
      <c r="BC596" s="4"/>
      <c r="BD596" s="4"/>
      <c r="BE596" s="4"/>
      <c r="BF596" s="4"/>
      <c r="BG596" s="4"/>
      <c r="BH596" s="4"/>
      <c r="BI596" s="4"/>
      <c r="BJ596" s="4"/>
      <c r="BK596" s="4"/>
      <c r="BL596" s="4"/>
      <c r="BM596" s="4"/>
      <c r="BN596" s="4"/>
    </row>
    <row r="597" ht="13.5" customHeight="1" spans="1:66" x14ac:dyDescent="0.25">
      <c r="A597" s="4"/>
      <c r="B597" s="4"/>
      <c r="C597" s="533"/>
      <c r="D597" s="4"/>
      <c r="E597" s="4"/>
      <c r="F597" s="4"/>
      <c r="G597" s="4"/>
      <c r="H597" s="4"/>
      <c r="I597" s="4"/>
      <c r="J597" s="4"/>
      <c r="K597" s="4"/>
      <c r="L597" s="4"/>
      <c r="M597" s="4"/>
      <c r="N597" s="4"/>
      <c r="O597" s="4"/>
      <c r="P597" s="4"/>
      <c r="Q597" s="4"/>
      <c r="R597" s="4"/>
      <c r="S597" s="4"/>
      <c r="T597" s="4"/>
      <c r="U597" s="4"/>
      <c r="V597" s="4"/>
      <c r="W597" s="4"/>
      <c r="X597" s="4"/>
      <c r="Y597" s="4"/>
      <c r="Z597" s="4"/>
      <c r="AA597" s="4"/>
      <c r="AB597" s="4"/>
      <c r="AC597" s="4"/>
      <c r="AD597" s="4"/>
      <c r="AE597" s="4"/>
      <c r="AF597" s="4"/>
      <c r="AG597" s="4"/>
      <c r="AH597" s="4"/>
      <c r="AI597" s="4"/>
      <c r="AJ597" s="4"/>
      <c r="AK597" s="4"/>
      <c r="AL597" s="4"/>
      <c r="AM597" s="4"/>
      <c r="AN597" s="4"/>
      <c r="AO597" s="4"/>
      <c r="AP597" s="4"/>
      <c r="AQ597" s="4"/>
      <c r="AR597" s="4"/>
      <c r="AS597" s="4"/>
      <c r="AT597" s="4"/>
      <c r="AU597" s="4"/>
      <c r="AV597" s="4"/>
      <c r="AW597" s="4"/>
      <c r="AX597" s="4"/>
      <c r="AY597" s="4"/>
      <c r="AZ597" s="4"/>
      <c r="BA597" s="4"/>
      <c r="BB597" s="4"/>
      <c r="BC597" s="4"/>
      <c r="BD597" s="4"/>
      <c r="BE597" s="4"/>
      <c r="BF597" s="4"/>
      <c r="BG597" s="4"/>
      <c r="BH597" s="4"/>
      <c r="BI597" s="4"/>
      <c r="BJ597" s="4"/>
      <c r="BK597" s="4"/>
      <c r="BL597" s="4"/>
      <c r="BM597" s="4"/>
      <c r="BN597" s="4"/>
    </row>
    <row r="598" ht="13.5" customHeight="1" spans="1:66" x14ac:dyDescent="0.25">
      <c r="A598" s="4"/>
      <c r="B598" s="4"/>
      <c r="C598" s="533"/>
      <c r="D598" s="4"/>
      <c r="E598" s="4"/>
      <c r="F598" s="4"/>
      <c r="G598" s="4"/>
      <c r="H598" s="4"/>
      <c r="I598" s="4"/>
      <c r="J598" s="4"/>
      <c r="K598" s="4"/>
      <c r="L598" s="4"/>
      <c r="M598" s="4"/>
      <c r="N598" s="4"/>
      <c r="O598" s="4"/>
      <c r="P598" s="4"/>
      <c r="Q598" s="4"/>
      <c r="R598" s="4"/>
      <c r="S598" s="4"/>
      <c r="T598" s="4"/>
      <c r="U598" s="4"/>
      <c r="V598" s="4"/>
      <c r="W598" s="4"/>
      <c r="X598" s="4"/>
      <c r="Y598" s="4"/>
      <c r="Z598" s="4"/>
      <c r="AA598" s="4"/>
      <c r="AB598" s="4"/>
      <c r="AC598" s="4"/>
      <c r="AD598" s="4"/>
      <c r="AE598" s="4"/>
      <c r="AF598" s="4"/>
      <c r="AG598" s="4"/>
      <c r="AH598" s="4"/>
      <c r="AI598" s="4"/>
      <c r="AJ598" s="4"/>
      <c r="AK598" s="4"/>
      <c r="AL598" s="4"/>
      <c r="AM598" s="4"/>
      <c r="AN598" s="4"/>
      <c r="AO598" s="4"/>
      <c r="AP598" s="4"/>
      <c r="AQ598" s="4"/>
      <c r="AR598" s="4"/>
      <c r="AS598" s="4"/>
      <c r="AT598" s="4"/>
      <c r="AU598" s="4"/>
      <c r="AV598" s="4"/>
      <c r="AW598" s="4"/>
      <c r="AX598" s="4"/>
      <c r="AY598" s="4"/>
      <c r="AZ598" s="4"/>
      <c r="BA598" s="4"/>
      <c r="BB598" s="4"/>
      <c r="BC598" s="4"/>
      <c r="BD598" s="4"/>
      <c r="BE598" s="4"/>
      <c r="BF598" s="4"/>
      <c r="BG598" s="4"/>
      <c r="BH598" s="4"/>
      <c r="BI598" s="4"/>
      <c r="BJ598" s="4"/>
      <c r="BK598" s="4"/>
      <c r="BL598" s="4"/>
      <c r="BM598" s="4"/>
      <c r="BN598" s="4"/>
    </row>
    <row r="599" ht="13.5" customHeight="1" spans="1:66" x14ac:dyDescent="0.25">
      <c r="A599" s="4"/>
      <c r="B599" s="4"/>
      <c r="C599" s="533"/>
      <c r="D599" s="4"/>
      <c r="E599" s="4"/>
      <c r="F599" s="4"/>
      <c r="G599" s="4"/>
      <c r="H599" s="4"/>
      <c r="I599" s="4"/>
      <c r="J599" s="4"/>
      <c r="K599" s="4"/>
      <c r="L599" s="4"/>
      <c r="M599" s="4"/>
      <c r="N599" s="4"/>
      <c r="O599" s="4"/>
      <c r="P599" s="4"/>
      <c r="Q599" s="4"/>
      <c r="R599" s="4"/>
      <c r="S599" s="4"/>
      <c r="T599" s="4"/>
      <c r="U599" s="4"/>
      <c r="V599" s="4"/>
      <c r="W599" s="4"/>
      <c r="X599" s="4"/>
      <c r="Y599" s="4"/>
      <c r="Z599" s="4"/>
      <c r="AA599" s="4"/>
      <c r="AB599" s="4"/>
      <c r="AC599" s="4"/>
      <c r="AD599" s="4"/>
      <c r="AE599" s="4"/>
      <c r="AF599" s="4"/>
      <c r="AG599" s="4"/>
      <c r="AH599" s="4"/>
      <c r="AI599" s="4"/>
      <c r="AJ599" s="4"/>
      <c r="AK599" s="4"/>
      <c r="AL599" s="4"/>
      <c r="AM599" s="4"/>
      <c r="AN599" s="4"/>
      <c r="AO599" s="4"/>
      <c r="AP599" s="4"/>
      <c r="AQ599" s="4"/>
      <c r="AR599" s="4"/>
      <c r="AS599" s="4"/>
      <c r="AT599" s="4"/>
      <c r="AU599" s="4"/>
      <c r="AV599" s="4"/>
      <c r="AW599" s="4"/>
      <c r="AX599" s="4"/>
      <c r="AY599" s="4"/>
      <c r="AZ599" s="4"/>
      <c r="BA599" s="4"/>
      <c r="BB599" s="4"/>
      <c r="BC599" s="4"/>
      <c r="BD599" s="4"/>
      <c r="BE599" s="4"/>
      <c r="BF599" s="4"/>
      <c r="BG599" s="4"/>
      <c r="BH599" s="4"/>
      <c r="BI599" s="4"/>
      <c r="BJ599" s="4"/>
      <c r="BK599" s="4"/>
      <c r="BL599" s="4"/>
      <c r="BM599" s="4"/>
      <c r="BN599" s="4"/>
    </row>
    <row r="600" ht="13.5" customHeight="1" spans="1:66" x14ac:dyDescent="0.25">
      <c r="A600" s="4"/>
      <c r="B600" s="4"/>
      <c r="C600" s="533"/>
      <c r="D600" s="4"/>
      <c r="E600" s="4"/>
      <c r="F600" s="4"/>
      <c r="G600" s="4"/>
      <c r="H600" s="4"/>
      <c r="I600" s="4"/>
      <c r="J600" s="4"/>
      <c r="K600" s="4"/>
      <c r="L600" s="4"/>
      <c r="M600" s="4"/>
      <c r="N600" s="4"/>
      <c r="O600" s="4"/>
      <c r="P600" s="4"/>
      <c r="Q600" s="4"/>
      <c r="R600" s="4"/>
      <c r="S600" s="4"/>
      <c r="T600" s="4"/>
      <c r="U600" s="4"/>
      <c r="V600" s="4"/>
      <c r="W600" s="4"/>
      <c r="X600" s="4"/>
      <c r="Y600" s="4"/>
      <c r="Z600" s="4"/>
      <c r="AA600" s="4"/>
      <c r="AB600" s="4"/>
      <c r="AC600" s="4"/>
      <c r="AD600" s="4"/>
      <c r="AE600" s="4"/>
      <c r="AF600" s="4"/>
      <c r="AG600" s="4"/>
      <c r="AH600" s="4"/>
      <c r="AI600" s="4"/>
      <c r="AJ600" s="4"/>
      <c r="AK600" s="4"/>
      <c r="AL600" s="4"/>
      <c r="AM600" s="4"/>
      <c r="AN600" s="4"/>
      <c r="AO600" s="4"/>
      <c r="AP600" s="4"/>
      <c r="AQ600" s="4"/>
      <c r="AR600" s="4"/>
      <c r="AS600" s="4"/>
      <c r="AT600" s="4"/>
      <c r="AU600" s="4"/>
      <c r="AV600" s="4"/>
      <c r="AW600" s="4"/>
      <c r="AX600" s="4"/>
      <c r="AY600" s="4"/>
      <c r="AZ600" s="4"/>
      <c r="BA600" s="4"/>
      <c r="BB600" s="4"/>
      <c r="BC600" s="4"/>
      <c r="BD600" s="4"/>
      <c r="BE600" s="4"/>
      <c r="BF600" s="4"/>
      <c r="BG600" s="4"/>
      <c r="BH600" s="4"/>
      <c r="BI600" s="4"/>
      <c r="BJ600" s="4"/>
      <c r="BK600" s="4"/>
      <c r="BL600" s="4"/>
      <c r="BM600" s="4"/>
      <c r="BN600" s="4"/>
    </row>
    <row r="601" ht="13.5" customHeight="1" spans="1:66" x14ac:dyDescent="0.25">
      <c r="A601" s="4"/>
      <c r="B601" s="4"/>
      <c r="C601" s="533"/>
      <c r="D601" s="4"/>
      <c r="E601" s="4"/>
      <c r="F601" s="4"/>
      <c r="G601" s="4"/>
      <c r="H601" s="4"/>
      <c r="I601" s="4"/>
      <c r="J601" s="4"/>
      <c r="K601" s="4"/>
      <c r="L601" s="4"/>
      <c r="M601" s="4"/>
      <c r="N601" s="4"/>
      <c r="O601" s="4"/>
      <c r="P601" s="4"/>
      <c r="Q601" s="4"/>
      <c r="R601" s="4"/>
      <c r="S601" s="4"/>
      <c r="T601" s="4"/>
      <c r="U601" s="4"/>
      <c r="V601" s="4"/>
      <c r="W601" s="4"/>
      <c r="X601" s="4"/>
      <c r="Y601" s="4"/>
      <c r="Z601" s="4"/>
      <c r="AA601" s="4"/>
      <c r="AB601" s="4"/>
      <c r="AC601" s="4"/>
      <c r="AD601" s="4"/>
      <c r="AE601" s="4"/>
      <c r="AF601" s="4"/>
      <c r="AG601" s="4"/>
      <c r="AH601" s="4"/>
      <c r="AI601" s="4"/>
      <c r="AJ601" s="4"/>
      <c r="AK601" s="4"/>
      <c r="AL601" s="4"/>
      <c r="AM601" s="4"/>
      <c r="AN601" s="4"/>
      <c r="AO601" s="4"/>
      <c r="AP601" s="4"/>
      <c r="AQ601" s="4"/>
      <c r="AR601" s="4"/>
      <c r="AS601" s="4"/>
      <c r="AT601" s="4"/>
      <c r="AU601" s="4"/>
      <c r="AV601" s="4"/>
      <c r="AW601" s="4"/>
      <c r="AX601" s="4"/>
      <c r="AY601" s="4"/>
      <c r="AZ601" s="4"/>
      <c r="BA601" s="4"/>
      <c r="BB601" s="4"/>
      <c r="BC601" s="4"/>
      <c r="BD601" s="4"/>
      <c r="BE601" s="4"/>
      <c r="BF601" s="4"/>
      <c r="BG601" s="4"/>
      <c r="BH601" s="4"/>
      <c r="BI601" s="4"/>
      <c r="BJ601" s="4"/>
      <c r="BK601" s="4"/>
      <c r="BL601" s="4"/>
      <c r="BM601" s="4"/>
      <c r="BN601" s="4"/>
    </row>
    <row r="602" ht="13.5" customHeight="1" spans="1:66" x14ac:dyDescent="0.25">
      <c r="A602" s="4"/>
      <c r="B602" s="4"/>
      <c r="C602" s="533"/>
      <c r="D602" s="4"/>
      <c r="E602" s="4"/>
      <c r="F602" s="4"/>
      <c r="G602" s="4"/>
      <c r="H602" s="4"/>
      <c r="I602" s="4"/>
      <c r="J602" s="4"/>
      <c r="K602" s="4"/>
      <c r="L602" s="4"/>
      <c r="M602" s="4"/>
      <c r="N602" s="4"/>
      <c r="O602" s="4"/>
      <c r="P602" s="4"/>
      <c r="Q602" s="4"/>
      <c r="R602" s="4"/>
      <c r="S602" s="4"/>
      <c r="T602" s="4"/>
      <c r="U602" s="4"/>
      <c r="V602" s="4"/>
      <c r="W602" s="4"/>
      <c r="X602" s="4"/>
      <c r="Y602" s="4"/>
      <c r="Z602" s="4"/>
      <c r="AA602" s="4"/>
      <c r="AB602" s="4"/>
      <c r="AC602" s="4"/>
      <c r="AD602" s="4"/>
      <c r="AE602" s="4"/>
      <c r="AF602" s="4"/>
      <c r="AG602" s="4"/>
      <c r="AH602" s="4"/>
      <c r="AI602" s="4"/>
      <c r="AJ602" s="4"/>
      <c r="AK602" s="4"/>
      <c r="AL602" s="4"/>
      <c r="AM602" s="4"/>
      <c r="AN602" s="4"/>
      <c r="AO602" s="4"/>
      <c r="AP602" s="4"/>
      <c r="AQ602" s="4"/>
      <c r="AR602" s="4"/>
      <c r="AS602" s="4"/>
      <c r="AT602" s="4"/>
      <c r="AU602" s="4"/>
      <c r="AV602" s="4"/>
      <c r="AW602" s="4"/>
      <c r="AX602" s="4"/>
      <c r="AY602" s="4"/>
      <c r="AZ602" s="4"/>
      <c r="BA602" s="4"/>
      <c r="BB602" s="4"/>
      <c r="BC602" s="4"/>
      <c r="BD602" s="4"/>
      <c r="BE602" s="4"/>
      <c r="BF602" s="4"/>
      <c r="BG602" s="4"/>
      <c r="BH602" s="4"/>
      <c r="BI602" s="4"/>
      <c r="BJ602" s="4"/>
      <c r="BK602" s="4"/>
      <c r="BL602" s="4"/>
      <c r="BM602" s="4"/>
      <c r="BN602" s="4"/>
    </row>
    <row r="603" ht="13.5" customHeight="1" spans="1:66" x14ac:dyDescent="0.25">
      <c r="A603" s="4"/>
      <c r="B603" s="4"/>
      <c r="C603" s="533"/>
      <c r="D603" s="4"/>
      <c r="E603" s="4"/>
      <c r="F603" s="4"/>
      <c r="G603" s="4"/>
      <c r="H603" s="4"/>
      <c r="I603" s="4"/>
      <c r="J603" s="4"/>
      <c r="K603" s="4"/>
      <c r="L603" s="4"/>
      <c r="M603" s="4"/>
      <c r="N603" s="4"/>
      <c r="O603" s="4"/>
      <c r="P603" s="4"/>
      <c r="Q603" s="4"/>
      <c r="R603" s="4"/>
      <c r="S603" s="4"/>
      <c r="T603" s="4"/>
      <c r="U603" s="4"/>
      <c r="V603" s="4"/>
      <c r="W603" s="4"/>
      <c r="X603" s="4"/>
      <c r="Y603" s="4"/>
      <c r="Z603" s="4"/>
      <c r="AA603" s="4"/>
      <c r="AB603" s="4"/>
      <c r="AC603" s="4"/>
      <c r="AD603" s="4"/>
      <c r="AE603" s="4"/>
      <c r="AF603" s="4"/>
      <c r="AG603" s="4"/>
      <c r="AH603" s="4"/>
      <c r="AI603" s="4"/>
      <c r="AJ603" s="4"/>
      <c r="AK603" s="4"/>
      <c r="AL603" s="4"/>
      <c r="AM603" s="4"/>
      <c r="AN603" s="4"/>
      <c r="AO603" s="4"/>
      <c r="AP603" s="4"/>
      <c r="AQ603" s="4"/>
      <c r="AR603" s="4"/>
      <c r="AS603" s="4"/>
      <c r="AT603" s="4"/>
      <c r="AU603" s="4"/>
      <c r="AV603" s="4"/>
      <c r="AW603" s="4"/>
      <c r="AX603" s="4"/>
      <c r="AY603" s="4"/>
      <c r="AZ603" s="4"/>
      <c r="BA603" s="4"/>
      <c r="BB603" s="4"/>
      <c r="BC603" s="4"/>
      <c r="BD603" s="4"/>
      <c r="BE603" s="4"/>
      <c r="BF603" s="4"/>
      <c r="BG603" s="4"/>
      <c r="BH603" s="4"/>
      <c r="BI603" s="4"/>
      <c r="BJ603" s="4"/>
      <c r="BK603" s="4"/>
      <c r="BL603" s="4"/>
      <c r="BM603" s="4"/>
      <c r="BN603" s="4"/>
    </row>
    <row r="604" ht="13.5" customHeight="1" spans="1:66" x14ac:dyDescent="0.25">
      <c r="A604" s="4"/>
      <c r="B604" s="4"/>
      <c r="C604" s="533"/>
      <c r="D604" s="4"/>
      <c r="E604" s="4"/>
      <c r="F604" s="4"/>
      <c r="G604" s="4"/>
      <c r="H604" s="4"/>
      <c r="I604" s="4"/>
      <c r="J604" s="4"/>
      <c r="K604" s="4"/>
      <c r="L604" s="4"/>
      <c r="M604" s="4"/>
      <c r="N604" s="4"/>
      <c r="O604" s="4"/>
      <c r="P604" s="4"/>
      <c r="Q604" s="4"/>
      <c r="R604" s="4"/>
      <c r="S604" s="4"/>
      <c r="T604" s="4"/>
      <c r="U604" s="4"/>
      <c r="V604" s="4"/>
      <c r="W604" s="4"/>
      <c r="X604" s="4"/>
      <c r="Y604" s="4"/>
      <c r="Z604" s="4"/>
      <c r="AA604" s="4"/>
      <c r="AB604" s="4"/>
      <c r="AC604" s="4"/>
      <c r="AD604" s="4"/>
      <c r="AE604" s="4"/>
      <c r="AF604" s="4"/>
      <c r="AG604" s="4"/>
      <c r="AH604" s="4"/>
      <c r="AI604" s="4"/>
      <c r="AJ604" s="4"/>
      <c r="AK604" s="4"/>
      <c r="AL604" s="4"/>
      <c r="AM604" s="4"/>
      <c r="AN604" s="4"/>
      <c r="AO604" s="4"/>
      <c r="AP604" s="4"/>
      <c r="AQ604" s="4"/>
      <c r="AR604" s="4"/>
      <c r="AS604" s="4"/>
      <c r="AT604" s="4"/>
      <c r="AU604" s="4"/>
      <c r="AV604" s="4"/>
      <c r="AW604" s="4"/>
      <c r="AX604" s="4"/>
      <c r="AY604" s="4"/>
      <c r="AZ604" s="4"/>
      <c r="BA604" s="4"/>
      <c r="BB604" s="4"/>
      <c r="BC604" s="4"/>
      <c r="BD604" s="4"/>
      <c r="BE604" s="4"/>
      <c r="BF604" s="4"/>
      <c r="BG604" s="4"/>
      <c r="BH604" s="4"/>
      <c r="BI604" s="4"/>
      <c r="BJ604" s="4"/>
      <c r="BK604" s="4"/>
      <c r="BL604" s="4"/>
      <c r="BM604" s="4"/>
      <c r="BN604" s="4"/>
    </row>
    <row r="605" ht="13.5" customHeight="1" spans="1:66" x14ac:dyDescent="0.25">
      <c r="A605" s="4"/>
      <c r="B605" s="4"/>
      <c r="C605" s="533"/>
      <c r="D605" s="4"/>
      <c r="E605" s="4"/>
      <c r="F605" s="4"/>
      <c r="G605" s="4"/>
      <c r="H605" s="4"/>
      <c r="I605" s="4"/>
      <c r="J605" s="4"/>
      <c r="K605" s="4"/>
      <c r="L605" s="4"/>
      <c r="M605" s="4"/>
      <c r="N605" s="4"/>
      <c r="O605" s="4"/>
      <c r="P605" s="4"/>
      <c r="Q605" s="4"/>
      <c r="R605" s="4"/>
      <c r="S605" s="4"/>
      <c r="T605" s="4"/>
      <c r="U605" s="4"/>
      <c r="V605" s="4"/>
      <c r="W605" s="4"/>
      <c r="X605" s="4"/>
      <c r="Y605" s="4"/>
      <c r="Z605" s="4"/>
      <c r="AA605" s="4"/>
      <c r="AB605" s="4"/>
      <c r="AC605" s="4"/>
      <c r="AD605" s="4"/>
      <c r="AE605" s="4"/>
      <c r="AF605" s="4"/>
      <c r="AG605" s="4"/>
      <c r="AH605" s="4"/>
      <c r="AI605" s="4"/>
      <c r="AJ605" s="4"/>
      <c r="AK605" s="4"/>
      <c r="AL605" s="4"/>
      <c r="AM605" s="4"/>
      <c r="AN605" s="4"/>
      <c r="AO605" s="4"/>
      <c r="AP605" s="4"/>
      <c r="AQ605" s="4"/>
      <c r="AR605" s="4"/>
      <c r="AS605" s="4"/>
      <c r="AT605" s="4"/>
      <c r="AU605" s="4"/>
      <c r="AV605" s="4"/>
      <c r="AW605" s="4"/>
      <c r="AX605" s="4"/>
      <c r="AY605" s="4"/>
      <c r="AZ605" s="4"/>
      <c r="BA605" s="4"/>
      <c r="BB605" s="4"/>
      <c r="BC605" s="4"/>
      <c r="BD605" s="4"/>
      <c r="BE605" s="4"/>
      <c r="BF605" s="4"/>
      <c r="BG605" s="4"/>
      <c r="BH605" s="4"/>
      <c r="BI605" s="4"/>
      <c r="BJ605" s="4"/>
      <c r="BK605" s="4"/>
      <c r="BL605" s="4"/>
      <c r="BM605" s="4"/>
      <c r="BN605" s="4"/>
    </row>
    <row r="606" ht="13.5" customHeight="1" spans="1:66" x14ac:dyDescent="0.25">
      <c r="A606" s="4"/>
      <c r="B606" s="4"/>
      <c r="C606" s="533"/>
      <c r="D606" s="4"/>
      <c r="E606" s="4"/>
      <c r="F606" s="4"/>
      <c r="G606" s="4"/>
      <c r="H606" s="4"/>
      <c r="I606" s="4"/>
      <c r="J606" s="4"/>
      <c r="K606" s="4"/>
      <c r="L606" s="4"/>
      <c r="M606" s="4"/>
      <c r="N606" s="4"/>
      <c r="O606" s="4"/>
      <c r="P606" s="4"/>
      <c r="Q606" s="4"/>
      <c r="R606" s="4"/>
      <c r="S606" s="4"/>
      <c r="T606" s="4"/>
      <c r="U606" s="4"/>
      <c r="V606" s="4"/>
      <c r="W606" s="4"/>
      <c r="X606" s="4"/>
      <c r="Y606" s="4"/>
      <c r="Z606" s="4"/>
      <c r="AA606" s="4"/>
      <c r="AB606" s="4"/>
      <c r="AC606" s="4"/>
      <c r="AD606" s="4"/>
      <c r="AE606" s="4"/>
      <c r="AF606" s="4"/>
      <c r="AG606" s="4"/>
      <c r="AH606" s="4"/>
      <c r="AI606" s="4"/>
      <c r="AJ606" s="4"/>
      <c r="AK606" s="4"/>
      <c r="AL606" s="4"/>
      <c r="AM606" s="4"/>
      <c r="AN606" s="4"/>
      <c r="AO606" s="4"/>
      <c r="AP606" s="4"/>
      <c r="AQ606" s="4"/>
      <c r="AR606" s="4"/>
      <c r="AS606" s="4"/>
      <c r="AT606" s="4"/>
      <c r="AU606" s="4"/>
      <c r="AV606" s="4"/>
      <c r="AW606" s="4"/>
      <c r="AX606" s="4"/>
      <c r="AY606" s="4"/>
      <c r="AZ606" s="4"/>
      <c r="BA606" s="4"/>
      <c r="BB606" s="4"/>
      <c r="BC606" s="4"/>
      <c r="BD606" s="4"/>
      <c r="BE606" s="4"/>
      <c r="BF606" s="4"/>
      <c r="BG606" s="4"/>
      <c r="BH606" s="4"/>
      <c r="BI606" s="4"/>
      <c r="BJ606" s="4"/>
      <c r="BK606" s="4"/>
      <c r="BL606" s="4"/>
      <c r="BM606" s="4"/>
      <c r="BN606" s="4"/>
    </row>
    <row r="607" ht="13.5" customHeight="1" spans="1:66" x14ac:dyDescent="0.25">
      <c r="A607" s="4"/>
      <c r="B607" s="4"/>
      <c r="C607" s="533"/>
      <c r="D607" s="4"/>
      <c r="E607" s="4"/>
      <c r="F607" s="4"/>
      <c r="G607" s="4"/>
      <c r="H607" s="4"/>
      <c r="I607" s="4"/>
      <c r="J607" s="4"/>
      <c r="K607" s="4"/>
      <c r="L607" s="4"/>
      <c r="M607" s="4"/>
      <c r="N607" s="4"/>
      <c r="O607" s="4"/>
      <c r="P607" s="4"/>
      <c r="Q607" s="4"/>
      <c r="R607" s="4"/>
      <c r="S607" s="4"/>
      <c r="T607" s="4"/>
      <c r="U607" s="4"/>
      <c r="V607" s="4"/>
      <c r="W607" s="4"/>
      <c r="X607" s="4"/>
      <c r="Y607" s="4"/>
      <c r="Z607" s="4"/>
      <c r="AA607" s="4"/>
      <c r="AB607" s="4"/>
      <c r="AC607" s="4"/>
      <c r="AD607" s="4"/>
      <c r="AE607" s="4"/>
      <c r="AF607" s="4"/>
      <c r="AG607" s="4"/>
      <c r="AH607" s="4"/>
      <c r="AI607" s="4"/>
      <c r="AJ607" s="4"/>
      <c r="AK607" s="4"/>
      <c r="AL607" s="4"/>
      <c r="AM607" s="4"/>
      <c r="AN607" s="4"/>
      <c r="AO607" s="4"/>
      <c r="AP607" s="4"/>
      <c r="AQ607" s="4"/>
      <c r="AR607" s="4"/>
      <c r="AS607" s="4"/>
      <c r="AT607" s="4"/>
      <c r="AU607" s="4"/>
      <c r="AV607" s="4"/>
      <c r="AW607" s="4"/>
      <c r="AX607" s="4"/>
      <c r="AY607" s="4"/>
      <c r="AZ607" s="4"/>
      <c r="BA607" s="4"/>
      <c r="BB607" s="4"/>
      <c r="BC607" s="4"/>
      <c r="BD607" s="4"/>
      <c r="BE607" s="4"/>
      <c r="BF607" s="4"/>
      <c r="BG607" s="4"/>
      <c r="BH607" s="4"/>
      <c r="BI607" s="4"/>
      <c r="BJ607" s="4"/>
      <c r="BK607" s="4"/>
      <c r="BL607" s="4"/>
      <c r="BM607" s="4"/>
      <c r="BN607" s="4"/>
    </row>
    <row r="608" ht="13.5" customHeight="1" spans="1:66" x14ac:dyDescent="0.25">
      <c r="A608" s="4"/>
      <c r="B608" s="4"/>
      <c r="C608" s="533"/>
      <c r="D608" s="4"/>
      <c r="E608" s="4"/>
      <c r="F608" s="4"/>
      <c r="G608" s="4"/>
      <c r="H608" s="4"/>
      <c r="I608" s="4"/>
      <c r="J608" s="4"/>
      <c r="K608" s="4"/>
      <c r="L608" s="4"/>
      <c r="M608" s="4"/>
      <c r="N608" s="4"/>
      <c r="O608" s="4"/>
      <c r="P608" s="4"/>
      <c r="Q608" s="4"/>
      <c r="R608" s="4"/>
      <c r="S608" s="4"/>
      <c r="T608" s="4"/>
      <c r="U608" s="4"/>
      <c r="V608" s="4"/>
      <c r="W608" s="4"/>
      <c r="X608" s="4"/>
      <c r="Y608" s="4"/>
      <c r="Z608" s="4"/>
      <c r="AA608" s="4"/>
      <c r="AB608" s="4"/>
      <c r="AC608" s="4"/>
      <c r="AD608" s="4"/>
      <c r="AE608" s="4"/>
      <c r="AF608" s="4"/>
      <c r="AG608" s="4"/>
      <c r="AH608" s="4"/>
      <c r="AI608" s="4"/>
      <c r="AJ608" s="4"/>
      <c r="AK608" s="4"/>
      <c r="AL608" s="4"/>
      <c r="AM608" s="4"/>
      <c r="AN608" s="4"/>
      <c r="AO608" s="4"/>
      <c r="AP608" s="4"/>
      <c r="AQ608" s="4"/>
      <c r="AR608" s="4"/>
      <c r="AS608" s="4"/>
      <c r="AT608" s="4"/>
      <c r="AU608" s="4"/>
      <c r="AV608" s="4"/>
      <c r="AW608" s="4"/>
      <c r="AX608" s="4"/>
      <c r="AY608" s="4"/>
      <c r="AZ608" s="4"/>
      <c r="BA608" s="4"/>
      <c r="BB608" s="4"/>
      <c r="BC608" s="4"/>
      <c r="BD608" s="4"/>
      <c r="BE608" s="4"/>
      <c r="BF608" s="4"/>
      <c r="BG608" s="4"/>
      <c r="BH608" s="4"/>
      <c r="BI608" s="4"/>
      <c r="BJ608" s="4"/>
      <c r="BK608" s="4"/>
      <c r="BL608" s="4"/>
      <c r="BM608" s="4"/>
      <c r="BN608" s="4"/>
    </row>
    <row r="609" ht="13.5" customHeight="1" spans="1:66" x14ac:dyDescent="0.25">
      <c r="A609" s="4"/>
      <c r="B609" s="4"/>
      <c r="C609" s="533"/>
      <c r="D609" s="4"/>
      <c r="E609" s="4"/>
      <c r="F609" s="4"/>
      <c r="G609" s="4"/>
      <c r="H609" s="4"/>
      <c r="I609" s="4"/>
      <c r="J609" s="4"/>
      <c r="K609" s="4"/>
      <c r="L609" s="4"/>
      <c r="M609" s="4"/>
      <c r="N609" s="4"/>
      <c r="O609" s="4"/>
      <c r="P609" s="4"/>
      <c r="Q609" s="4"/>
      <c r="R609" s="4"/>
      <c r="S609" s="4"/>
      <c r="T609" s="4"/>
      <c r="U609" s="4"/>
      <c r="V609" s="4"/>
      <c r="W609" s="4"/>
      <c r="X609" s="4"/>
      <c r="Y609" s="4"/>
      <c r="Z609" s="4"/>
      <c r="AA609" s="4"/>
      <c r="AB609" s="4"/>
      <c r="AC609" s="4"/>
      <c r="AD609" s="4"/>
      <c r="AE609" s="4"/>
      <c r="AF609" s="4"/>
      <c r="AG609" s="4"/>
      <c r="AH609" s="4"/>
      <c r="AI609" s="4"/>
      <c r="AJ609" s="4"/>
      <c r="AK609" s="4"/>
      <c r="AL609" s="4"/>
      <c r="AM609" s="4"/>
      <c r="AN609" s="4"/>
      <c r="AO609" s="4"/>
      <c r="AP609" s="4"/>
      <c r="AQ609" s="4"/>
      <c r="AR609" s="4"/>
      <c r="AS609" s="4"/>
      <c r="AT609" s="4"/>
      <c r="AU609" s="4"/>
      <c r="AV609" s="4"/>
      <c r="AW609" s="4"/>
      <c r="AX609" s="4"/>
      <c r="AY609" s="4"/>
      <c r="AZ609" s="4"/>
      <c r="BA609" s="4"/>
      <c r="BB609" s="4"/>
      <c r="BC609" s="4"/>
      <c r="BD609" s="4"/>
      <c r="BE609" s="4"/>
      <c r="BF609" s="4"/>
      <c r="BG609" s="4"/>
      <c r="BH609" s="4"/>
      <c r="BI609" s="4"/>
      <c r="BJ609" s="4"/>
      <c r="BK609" s="4"/>
      <c r="BL609" s="4"/>
      <c r="BM609" s="4"/>
      <c r="BN609" s="4"/>
    </row>
    <row r="610" ht="13.5" customHeight="1" spans="1:66" x14ac:dyDescent="0.25">
      <c r="A610" s="4"/>
      <c r="B610" s="4"/>
      <c r="C610" s="533"/>
      <c r="D610" s="4"/>
      <c r="E610" s="4"/>
      <c r="F610" s="4"/>
      <c r="G610" s="4"/>
      <c r="H610" s="4"/>
      <c r="I610" s="4"/>
      <c r="J610" s="4"/>
      <c r="K610" s="4"/>
      <c r="L610" s="4"/>
      <c r="M610" s="4"/>
      <c r="N610" s="4"/>
      <c r="O610" s="4"/>
      <c r="P610" s="4"/>
      <c r="Q610" s="4"/>
      <c r="R610" s="4"/>
      <c r="S610" s="4"/>
      <c r="T610" s="4"/>
      <c r="U610" s="4"/>
      <c r="V610" s="4"/>
      <c r="W610" s="4"/>
      <c r="X610" s="4"/>
      <c r="Y610" s="4"/>
      <c r="Z610" s="4"/>
      <c r="AA610" s="4"/>
      <c r="AB610" s="4"/>
      <c r="AC610" s="4"/>
      <c r="AD610" s="4"/>
      <c r="AE610" s="4"/>
      <c r="AF610" s="4"/>
      <c r="AG610" s="4"/>
      <c r="AH610" s="4"/>
      <c r="AI610" s="4"/>
      <c r="AJ610" s="4"/>
      <c r="AK610" s="4"/>
      <c r="AL610" s="4"/>
      <c r="AM610" s="4"/>
      <c r="AN610" s="4"/>
      <c r="AO610" s="4"/>
      <c r="AP610" s="4"/>
      <c r="AQ610" s="4"/>
      <c r="AR610" s="4"/>
      <c r="AS610" s="4"/>
      <c r="AT610" s="4"/>
      <c r="AU610" s="4"/>
      <c r="AV610" s="4"/>
      <c r="AW610" s="4"/>
      <c r="AX610" s="4"/>
      <c r="AY610" s="4"/>
      <c r="AZ610" s="4"/>
      <c r="BA610" s="4"/>
      <c r="BB610" s="4"/>
      <c r="BC610" s="4"/>
      <c r="BD610" s="4"/>
      <c r="BE610" s="4"/>
      <c r="BF610" s="4"/>
      <c r="BG610" s="4"/>
      <c r="BH610" s="4"/>
      <c r="BI610" s="4"/>
      <c r="BJ610" s="4"/>
      <c r="BK610" s="4"/>
      <c r="BL610" s="4"/>
      <c r="BM610" s="4"/>
      <c r="BN610" s="4"/>
    </row>
    <row r="611" ht="13.5" customHeight="1" spans="1:66" x14ac:dyDescent="0.25">
      <c r="A611" s="4"/>
      <c r="B611" s="4"/>
      <c r="C611" s="533"/>
      <c r="D611" s="4"/>
      <c r="E611" s="4"/>
      <c r="F611" s="4"/>
      <c r="G611" s="4"/>
      <c r="H611" s="4"/>
      <c r="I611" s="4"/>
      <c r="J611" s="4"/>
      <c r="K611" s="4"/>
      <c r="L611" s="4"/>
      <c r="M611" s="4"/>
      <c r="N611" s="4"/>
      <c r="O611" s="4"/>
      <c r="P611" s="4"/>
      <c r="Q611" s="4"/>
      <c r="R611" s="4"/>
      <c r="S611" s="4"/>
      <c r="T611" s="4"/>
      <c r="U611" s="4"/>
      <c r="V611" s="4"/>
      <c r="W611" s="4"/>
      <c r="X611" s="4"/>
      <c r="Y611" s="4"/>
      <c r="Z611" s="4"/>
      <c r="AA611" s="4"/>
      <c r="AB611" s="4"/>
      <c r="AC611" s="4"/>
      <c r="AD611" s="4"/>
      <c r="AE611" s="4"/>
      <c r="AF611" s="4"/>
      <c r="AG611" s="4"/>
      <c r="AH611" s="4"/>
      <c r="AI611" s="4"/>
      <c r="AJ611" s="4"/>
      <c r="AK611" s="4"/>
      <c r="AL611" s="4"/>
      <c r="AM611" s="4"/>
      <c r="AN611" s="4"/>
      <c r="AO611" s="4"/>
      <c r="AP611" s="4"/>
      <c r="AQ611" s="4"/>
      <c r="AR611" s="4"/>
      <c r="AS611" s="4"/>
      <c r="AT611" s="4"/>
      <c r="AU611" s="4"/>
      <c r="AV611" s="4"/>
      <c r="AW611" s="4"/>
      <c r="AX611" s="4"/>
      <c r="AY611" s="4"/>
      <c r="AZ611" s="4"/>
      <c r="BA611" s="4"/>
      <c r="BB611" s="4"/>
      <c r="BC611" s="4"/>
      <c r="BD611" s="4"/>
      <c r="BE611" s="4"/>
      <c r="BF611" s="4"/>
      <c r="BG611" s="4"/>
      <c r="BH611" s="4"/>
      <c r="BI611" s="4"/>
      <c r="BJ611" s="4"/>
      <c r="BK611" s="4"/>
      <c r="BL611" s="4"/>
      <c r="BM611" s="4"/>
      <c r="BN611" s="4"/>
    </row>
    <row r="612" ht="13.5" customHeight="1" spans="1:66" x14ac:dyDescent="0.25">
      <c r="A612" s="4"/>
      <c r="B612" s="4"/>
      <c r="C612" s="533"/>
      <c r="D612" s="4"/>
      <c r="E612" s="4"/>
      <c r="F612" s="4"/>
      <c r="G612" s="4"/>
      <c r="H612" s="4"/>
      <c r="I612" s="4"/>
      <c r="J612" s="4"/>
      <c r="K612" s="4"/>
      <c r="L612" s="4"/>
      <c r="M612" s="4"/>
      <c r="N612" s="4"/>
      <c r="O612" s="4"/>
      <c r="P612" s="4"/>
      <c r="Q612" s="4"/>
      <c r="R612" s="4"/>
      <c r="S612" s="4"/>
      <c r="T612" s="4"/>
      <c r="U612" s="4"/>
      <c r="V612" s="4"/>
      <c r="W612" s="4"/>
      <c r="X612" s="4"/>
      <c r="Y612" s="4"/>
      <c r="Z612" s="4"/>
      <c r="AA612" s="4"/>
      <c r="AB612" s="4"/>
      <c r="AC612" s="4"/>
      <c r="AD612" s="4"/>
      <c r="AE612" s="4"/>
      <c r="AF612" s="4"/>
      <c r="AG612" s="4"/>
      <c r="AH612" s="4"/>
      <c r="AI612" s="4"/>
      <c r="AJ612" s="4"/>
      <c r="AK612" s="4"/>
      <c r="AL612" s="4"/>
      <c r="AM612" s="4"/>
      <c r="AN612" s="4"/>
      <c r="AO612" s="4"/>
      <c r="AP612" s="4"/>
      <c r="AQ612" s="4"/>
      <c r="AR612" s="4"/>
      <c r="AS612" s="4"/>
      <c r="AT612" s="4"/>
      <c r="AU612" s="4"/>
      <c r="AV612" s="4"/>
      <c r="AW612" s="4"/>
      <c r="AX612" s="4"/>
      <c r="AY612" s="4"/>
      <c r="AZ612" s="4"/>
      <c r="BA612" s="4"/>
      <c r="BB612" s="4"/>
      <c r="BC612" s="4"/>
      <c r="BD612" s="4"/>
      <c r="BE612" s="4"/>
      <c r="BF612" s="4"/>
      <c r="BG612" s="4"/>
      <c r="BH612" s="4"/>
      <c r="BI612" s="4"/>
      <c r="BJ612" s="4"/>
      <c r="BK612" s="4"/>
      <c r="BL612" s="4"/>
      <c r="BM612" s="4"/>
      <c r="BN612" s="4"/>
    </row>
    <row r="613" ht="13.5" customHeight="1" spans="1:66" x14ac:dyDescent="0.25">
      <c r="A613" s="4"/>
      <c r="B613" s="4"/>
      <c r="C613" s="533"/>
      <c r="D613" s="4"/>
      <c r="E613" s="4"/>
      <c r="F613" s="4"/>
      <c r="G613" s="4"/>
      <c r="H613" s="4"/>
      <c r="I613" s="4"/>
      <c r="J613" s="4"/>
      <c r="K613" s="4"/>
      <c r="L613" s="4"/>
      <c r="M613" s="4"/>
      <c r="N613" s="4"/>
      <c r="O613" s="4"/>
      <c r="P613" s="4"/>
      <c r="Q613" s="4"/>
      <c r="R613" s="4"/>
      <c r="S613" s="4"/>
      <c r="T613" s="4"/>
      <c r="U613" s="4"/>
      <c r="V613" s="4"/>
      <c r="W613" s="4"/>
      <c r="X613" s="4"/>
      <c r="Y613" s="4"/>
      <c r="Z613" s="4"/>
      <c r="AA613" s="4"/>
      <c r="AB613" s="4"/>
      <c r="AC613" s="4"/>
      <c r="AD613" s="4"/>
      <c r="AE613" s="4"/>
      <c r="AF613" s="4"/>
      <c r="AG613" s="4"/>
      <c r="AH613" s="4"/>
      <c r="AI613" s="4"/>
      <c r="AJ613" s="4"/>
      <c r="AK613" s="4"/>
      <c r="AL613" s="4"/>
      <c r="AM613" s="4"/>
      <c r="AN613" s="4"/>
      <c r="AO613" s="4"/>
      <c r="AP613" s="4"/>
      <c r="AQ613" s="4"/>
      <c r="AR613" s="4"/>
      <c r="AS613" s="4"/>
      <c r="AT613" s="4"/>
      <c r="AU613" s="4"/>
      <c r="AV613" s="4"/>
      <c r="AW613" s="4"/>
      <c r="AX613" s="4"/>
      <c r="AY613" s="4"/>
      <c r="AZ613" s="4"/>
      <c r="BA613" s="4"/>
      <c r="BB613" s="4"/>
      <c r="BC613" s="4"/>
      <c r="BD613" s="4"/>
      <c r="BE613" s="4"/>
      <c r="BF613" s="4"/>
      <c r="BG613" s="4"/>
      <c r="BH613" s="4"/>
      <c r="BI613" s="4"/>
      <c r="BJ613" s="4"/>
      <c r="BK613" s="4"/>
      <c r="BL613" s="4"/>
      <c r="BM613" s="4"/>
      <c r="BN613" s="4"/>
    </row>
    <row r="614" ht="13.5" customHeight="1" spans="1:66" x14ac:dyDescent="0.25">
      <c r="A614" s="4"/>
      <c r="B614" s="4"/>
      <c r="C614" s="533"/>
      <c r="D614" s="4"/>
      <c r="E614" s="4"/>
      <c r="F614" s="4"/>
      <c r="G614" s="4"/>
      <c r="H614" s="4"/>
      <c r="I614" s="4"/>
      <c r="J614" s="4"/>
      <c r="K614" s="4"/>
      <c r="L614" s="4"/>
      <c r="M614" s="4"/>
      <c r="N614" s="4"/>
      <c r="O614" s="4"/>
      <c r="P614" s="4"/>
      <c r="Q614" s="4"/>
      <c r="R614" s="4"/>
      <c r="S614" s="4"/>
      <c r="T614" s="4"/>
      <c r="U614" s="4"/>
      <c r="V614" s="4"/>
      <c r="W614" s="4"/>
      <c r="X614" s="4"/>
      <c r="Y614" s="4"/>
      <c r="Z614" s="4"/>
      <c r="AA614" s="4"/>
      <c r="AB614" s="4"/>
      <c r="AC614" s="4"/>
      <c r="AD614" s="4"/>
      <c r="AE614" s="4"/>
      <c r="AF614" s="4"/>
      <c r="AG614" s="4"/>
      <c r="AH614" s="4"/>
      <c r="AI614" s="4"/>
      <c r="AJ614" s="4"/>
      <c r="AK614" s="4"/>
      <c r="AL614" s="4"/>
      <c r="AM614" s="4"/>
      <c r="AN614" s="4"/>
      <c r="AO614" s="4"/>
      <c r="AP614" s="4"/>
      <c r="AQ614" s="4"/>
      <c r="AR614" s="4"/>
      <c r="AS614" s="4"/>
      <c r="AT614" s="4"/>
      <c r="AU614" s="4"/>
      <c r="AV614" s="4"/>
      <c r="AW614" s="4"/>
      <c r="AX614" s="4"/>
      <c r="AY614" s="4"/>
      <c r="AZ614" s="4"/>
      <c r="BA614" s="4"/>
      <c r="BB614" s="4"/>
      <c r="BC614" s="4"/>
      <c r="BD614" s="4"/>
      <c r="BE614" s="4"/>
      <c r="BF614" s="4"/>
      <c r="BG614" s="4"/>
      <c r="BH614" s="4"/>
      <c r="BI614" s="4"/>
      <c r="BJ614" s="4"/>
      <c r="BK614" s="4"/>
      <c r="BL614" s="4"/>
      <c r="BM614" s="4"/>
      <c r="BN614" s="4"/>
    </row>
    <row r="615" ht="13.5" customHeight="1" spans="1:66" x14ac:dyDescent="0.25">
      <c r="A615" s="4"/>
      <c r="B615" s="4"/>
      <c r="C615" s="533"/>
      <c r="D615" s="4"/>
      <c r="E615" s="4"/>
      <c r="F615" s="4"/>
      <c r="G615" s="4"/>
      <c r="H615" s="4"/>
      <c r="I615" s="4"/>
      <c r="J615" s="4"/>
      <c r="K615" s="4"/>
      <c r="L615" s="4"/>
      <c r="M615" s="4"/>
      <c r="N615" s="4"/>
      <c r="O615" s="4"/>
      <c r="P615" s="4"/>
      <c r="Q615" s="4"/>
      <c r="R615" s="4"/>
      <c r="S615" s="4"/>
      <c r="T615" s="4"/>
      <c r="U615" s="4"/>
      <c r="V615" s="4"/>
      <c r="W615" s="4"/>
      <c r="X615" s="4"/>
      <c r="Y615" s="4"/>
      <c r="Z615" s="4"/>
      <c r="AA615" s="4"/>
      <c r="AB615" s="4"/>
      <c r="AC615" s="4"/>
      <c r="AD615" s="4"/>
      <c r="AE615" s="4"/>
      <c r="AF615" s="4"/>
      <c r="AG615" s="4"/>
      <c r="AH615" s="4"/>
      <c r="AI615" s="4"/>
      <c r="AJ615" s="4"/>
      <c r="AK615" s="4"/>
      <c r="AL615" s="4"/>
      <c r="AM615" s="4"/>
      <c r="AN615" s="4"/>
      <c r="AO615" s="4"/>
      <c r="AP615" s="4"/>
      <c r="AQ615" s="4"/>
      <c r="AR615" s="4"/>
      <c r="AS615" s="4"/>
      <c r="AT615" s="4"/>
      <c r="AU615" s="4"/>
      <c r="AV615" s="4"/>
      <c r="AW615" s="4"/>
      <c r="AX615" s="4"/>
      <c r="AY615" s="4"/>
      <c r="AZ615" s="4"/>
      <c r="BA615" s="4"/>
      <c r="BB615" s="4"/>
      <c r="BC615" s="4"/>
      <c r="BD615" s="4"/>
      <c r="BE615" s="4"/>
      <c r="BF615" s="4"/>
      <c r="BG615" s="4"/>
      <c r="BH615" s="4"/>
      <c r="BI615" s="4"/>
      <c r="BJ615" s="4"/>
      <c r="BK615" s="4"/>
      <c r="BL615" s="4"/>
      <c r="BM615" s="4"/>
      <c r="BN615" s="4"/>
    </row>
    <row r="616" ht="13.5" customHeight="1" spans="1:66" x14ac:dyDescent="0.25">
      <c r="A616" s="4"/>
      <c r="B616" s="4"/>
      <c r="C616" s="533"/>
      <c r="D616" s="4"/>
      <c r="E616" s="4"/>
      <c r="F616" s="4"/>
      <c r="G616" s="4"/>
      <c r="H616" s="4"/>
      <c r="I616" s="4"/>
      <c r="J616" s="4"/>
      <c r="K616" s="4"/>
      <c r="L616" s="4"/>
      <c r="M616" s="4"/>
      <c r="N616" s="4"/>
      <c r="O616" s="4"/>
      <c r="P616" s="4"/>
      <c r="Q616" s="4"/>
      <c r="R616" s="4"/>
      <c r="S616" s="4"/>
      <c r="T616" s="4"/>
      <c r="U616" s="4"/>
      <c r="V616" s="4"/>
      <c r="W616" s="4"/>
      <c r="X616" s="4"/>
      <c r="Y616" s="4"/>
      <c r="Z616" s="4"/>
      <c r="AA616" s="4"/>
      <c r="AB616" s="4"/>
      <c r="AC616" s="4"/>
      <c r="AD616" s="4"/>
      <c r="AE616" s="4"/>
      <c r="AF616" s="4"/>
      <c r="AG616" s="4"/>
      <c r="AH616" s="4"/>
      <c r="AI616" s="4"/>
      <c r="AJ616" s="4"/>
      <c r="AK616" s="4"/>
      <c r="AL616" s="4"/>
      <c r="AM616" s="4"/>
      <c r="AN616" s="4"/>
      <c r="AO616" s="4"/>
      <c r="AP616" s="4"/>
      <c r="AQ616" s="4"/>
      <c r="AR616" s="4"/>
      <c r="AS616" s="4"/>
      <c r="AT616" s="4"/>
      <c r="AU616" s="4"/>
      <c r="AV616" s="4"/>
      <c r="AW616" s="4"/>
      <c r="AX616" s="4"/>
      <c r="AY616" s="4"/>
      <c r="AZ616" s="4"/>
      <c r="BA616" s="4"/>
      <c r="BB616" s="4"/>
      <c r="BC616" s="4"/>
      <c r="BD616" s="4"/>
      <c r="BE616" s="4"/>
      <c r="BF616" s="4"/>
      <c r="BG616" s="4"/>
      <c r="BH616" s="4"/>
      <c r="BI616" s="4"/>
      <c r="BJ616" s="4"/>
      <c r="BK616" s="4"/>
      <c r="BL616" s="4"/>
      <c r="BM616" s="4"/>
      <c r="BN616" s="4"/>
    </row>
    <row r="617" ht="13.5" customHeight="1" spans="1:66" x14ac:dyDescent="0.25">
      <c r="A617" s="4"/>
      <c r="B617" s="4"/>
      <c r="C617" s="533"/>
      <c r="D617" s="4"/>
      <c r="E617" s="4"/>
      <c r="F617" s="4"/>
      <c r="G617" s="4"/>
      <c r="H617" s="4"/>
      <c r="I617" s="4"/>
      <c r="J617" s="4"/>
      <c r="K617" s="4"/>
      <c r="L617" s="4"/>
      <c r="M617" s="4"/>
      <c r="N617" s="4"/>
      <c r="O617" s="4"/>
      <c r="P617" s="4"/>
      <c r="Q617" s="4"/>
      <c r="R617" s="4"/>
      <c r="S617" s="4"/>
      <c r="T617" s="4"/>
      <c r="U617" s="4"/>
      <c r="V617" s="4"/>
      <c r="W617" s="4"/>
      <c r="X617" s="4"/>
      <c r="Y617" s="4"/>
      <c r="Z617" s="4"/>
      <c r="AA617" s="4"/>
      <c r="AB617" s="4"/>
      <c r="AC617" s="4"/>
      <c r="AD617" s="4"/>
      <c r="AE617" s="4"/>
      <c r="AF617" s="4"/>
      <c r="AG617" s="4"/>
      <c r="AH617" s="4"/>
      <c r="AI617" s="4"/>
      <c r="AJ617" s="4"/>
      <c r="AK617" s="4"/>
      <c r="AL617" s="4"/>
      <c r="AM617" s="4"/>
      <c r="AN617" s="4"/>
      <c r="AO617" s="4"/>
      <c r="AP617" s="4"/>
      <c r="AQ617" s="4"/>
      <c r="AR617" s="4"/>
      <c r="AS617" s="4"/>
      <c r="AT617" s="4"/>
      <c r="AU617" s="4"/>
      <c r="AV617" s="4"/>
      <c r="AW617" s="4"/>
      <c r="AX617" s="4"/>
      <c r="AY617" s="4"/>
      <c r="AZ617" s="4"/>
      <c r="BA617" s="4"/>
      <c r="BB617" s="4"/>
      <c r="BC617" s="4"/>
      <c r="BD617" s="4"/>
      <c r="BE617" s="4"/>
      <c r="BF617" s="4"/>
      <c r="BG617" s="4"/>
      <c r="BH617" s="4"/>
      <c r="BI617" s="4"/>
      <c r="BJ617" s="4"/>
      <c r="BK617" s="4"/>
      <c r="BL617" s="4"/>
      <c r="BM617" s="4"/>
      <c r="BN617" s="4"/>
    </row>
    <row r="618" ht="13.5" customHeight="1" spans="1:66" x14ac:dyDescent="0.25">
      <c r="A618" s="4"/>
      <c r="B618" s="4"/>
      <c r="C618" s="533"/>
      <c r="D618" s="4"/>
      <c r="E618" s="4"/>
      <c r="F618" s="4"/>
      <c r="G618" s="4"/>
      <c r="H618" s="4"/>
      <c r="I618" s="4"/>
      <c r="J618" s="4"/>
      <c r="K618" s="4"/>
      <c r="L618" s="4"/>
      <c r="M618" s="4"/>
      <c r="N618" s="4"/>
      <c r="O618" s="4"/>
      <c r="P618" s="4"/>
      <c r="Q618" s="4"/>
      <c r="R618" s="4"/>
      <c r="S618" s="4"/>
      <c r="T618" s="4"/>
      <c r="U618" s="4"/>
      <c r="V618" s="4"/>
      <c r="W618" s="4"/>
      <c r="X618" s="4"/>
      <c r="Y618" s="4"/>
      <c r="Z618" s="4"/>
      <c r="AA618" s="4"/>
      <c r="AB618" s="4"/>
      <c r="AC618" s="4"/>
      <c r="AD618" s="4"/>
      <c r="AE618" s="4"/>
      <c r="AF618" s="4"/>
      <c r="AG618" s="4"/>
      <c r="AH618" s="4"/>
      <c r="AI618" s="4"/>
      <c r="AJ618" s="4"/>
      <c r="AK618" s="4"/>
      <c r="AL618" s="4"/>
      <c r="AM618" s="4"/>
      <c r="AN618" s="4"/>
      <c r="AO618" s="4"/>
      <c r="AP618" s="4"/>
      <c r="AQ618" s="4"/>
      <c r="AR618" s="4"/>
      <c r="AS618" s="4"/>
      <c r="AT618" s="4"/>
      <c r="AU618" s="4"/>
      <c r="AV618" s="4"/>
      <c r="AW618" s="4"/>
      <c r="AX618" s="4"/>
      <c r="AY618" s="4"/>
      <c r="AZ618" s="4"/>
      <c r="BA618" s="4"/>
      <c r="BB618" s="4"/>
      <c r="BC618" s="4"/>
      <c r="BD618" s="4"/>
      <c r="BE618" s="4"/>
      <c r="BF618" s="4"/>
      <c r="BG618" s="4"/>
      <c r="BH618" s="4"/>
      <c r="BI618" s="4"/>
      <c r="BJ618" s="4"/>
      <c r="BK618" s="4"/>
      <c r="BL618" s="4"/>
      <c r="BM618" s="4"/>
      <c r="BN618" s="4"/>
    </row>
    <row r="619" ht="13.5" customHeight="1" spans="1:66" x14ac:dyDescent="0.25">
      <c r="A619" s="4"/>
      <c r="B619" s="4"/>
      <c r="C619" s="533"/>
      <c r="D619" s="4"/>
      <c r="E619" s="4"/>
      <c r="F619" s="4"/>
      <c r="G619" s="4"/>
      <c r="H619" s="4"/>
      <c r="I619" s="4"/>
      <c r="J619" s="4"/>
      <c r="K619" s="4"/>
      <c r="L619" s="4"/>
      <c r="M619" s="4"/>
      <c r="N619" s="4"/>
      <c r="O619" s="4"/>
      <c r="P619" s="4"/>
      <c r="Q619" s="4"/>
      <c r="R619" s="4"/>
      <c r="S619" s="4"/>
      <c r="T619" s="4"/>
      <c r="U619" s="4"/>
      <c r="V619" s="4"/>
      <c r="W619" s="4"/>
      <c r="X619" s="4"/>
      <c r="Y619" s="4"/>
      <c r="Z619" s="4"/>
      <c r="AA619" s="4"/>
      <c r="AB619" s="4"/>
      <c r="AC619" s="4"/>
      <c r="AD619" s="4"/>
      <c r="AE619" s="4"/>
      <c r="AF619" s="4"/>
      <c r="AG619" s="4"/>
      <c r="AH619" s="4"/>
      <c r="AI619" s="4"/>
      <c r="AJ619" s="4"/>
      <c r="AK619" s="4"/>
      <c r="AL619" s="4"/>
      <c r="AM619" s="4"/>
      <c r="AN619" s="4"/>
      <c r="AO619" s="4"/>
      <c r="AP619" s="4"/>
      <c r="AQ619" s="4"/>
      <c r="AR619" s="4"/>
      <c r="AS619" s="4"/>
      <c r="AT619" s="4"/>
      <c r="AU619" s="4"/>
      <c r="AV619" s="4"/>
      <c r="AW619" s="4"/>
      <c r="AX619" s="4"/>
      <c r="AY619" s="4"/>
      <c r="AZ619" s="4"/>
      <c r="BA619" s="4"/>
      <c r="BB619" s="4"/>
      <c r="BC619" s="4"/>
      <c r="BD619" s="4"/>
      <c r="BE619" s="4"/>
      <c r="BF619" s="4"/>
      <c r="BG619" s="4"/>
      <c r="BH619" s="4"/>
      <c r="BI619" s="4"/>
      <c r="BJ619" s="4"/>
      <c r="BK619" s="4"/>
      <c r="BL619" s="4"/>
      <c r="BM619" s="4"/>
      <c r="BN619" s="4"/>
    </row>
    <row r="620" ht="13.5" customHeight="1" spans="1:66" x14ac:dyDescent="0.25">
      <c r="A620" s="4"/>
      <c r="B620" s="4"/>
      <c r="C620" s="533"/>
      <c r="D620" s="4"/>
      <c r="E620" s="4"/>
      <c r="F620" s="4"/>
      <c r="G620" s="4"/>
      <c r="H620" s="4"/>
      <c r="I620" s="4"/>
      <c r="J620" s="4"/>
      <c r="K620" s="4"/>
      <c r="L620" s="4"/>
      <c r="M620" s="4"/>
      <c r="N620" s="4"/>
      <c r="O620" s="4"/>
      <c r="P620" s="4"/>
      <c r="Q620" s="4"/>
      <c r="R620" s="4"/>
      <c r="S620" s="4"/>
      <c r="T620" s="4"/>
      <c r="U620" s="4"/>
      <c r="V620" s="4"/>
      <c r="W620" s="4"/>
      <c r="X620" s="4"/>
      <c r="Y620" s="4"/>
      <c r="Z620" s="4"/>
      <c r="AA620" s="4"/>
      <c r="AB620" s="4"/>
      <c r="AC620" s="4"/>
      <c r="AD620" s="4"/>
      <c r="AE620" s="4"/>
      <c r="AF620" s="4"/>
      <c r="AG620" s="4"/>
      <c r="AH620" s="4"/>
      <c r="AI620" s="4"/>
      <c r="AJ620" s="4"/>
      <c r="AK620" s="4"/>
      <c r="AL620" s="4"/>
      <c r="AM620" s="4"/>
      <c r="AN620" s="4"/>
      <c r="AO620" s="4"/>
      <c r="AP620" s="4"/>
      <c r="AQ620" s="4"/>
      <c r="AR620" s="4"/>
      <c r="AS620" s="4"/>
      <c r="AT620" s="4"/>
      <c r="AU620" s="4"/>
      <c r="AV620" s="4"/>
      <c r="AW620" s="4"/>
      <c r="AX620" s="4"/>
      <c r="AY620" s="4"/>
      <c r="AZ620" s="4"/>
      <c r="BA620" s="4"/>
      <c r="BB620" s="4"/>
      <c r="BC620" s="4"/>
      <c r="BD620" s="4"/>
      <c r="BE620" s="4"/>
      <c r="BF620" s="4"/>
      <c r="BG620" s="4"/>
      <c r="BH620" s="4"/>
      <c r="BI620" s="4"/>
      <c r="BJ620" s="4"/>
      <c r="BK620" s="4"/>
      <c r="BL620" s="4"/>
      <c r="BM620" s="4"/>
      <c r="BN620" s="4"/>
    </row>
    <row r="621" ht="13.5" customHeight="1" spans="1:66" x14ac:dyDescent="0.25">
      <c r="A621" s="4"/>
      <c r="B621" s="4"/>
      <c r="C621" s="533"/>
      <c r="D621" s="4"/>
      <c r="E621" s="4"/>
      <c r="F621" s="4"/>
      <c r="G621" s="4"/>
      <c r="H621" s="4"/>
      <c r="I621" s="4"/>
      <c r="J621" s="4"/>
      <c r="K621" s="4"/>
      <c r="L621" s="4"/>
      <c r="M621" s="4"/>
      <c r="N621" s="4"/>
      <c r="O621" s="4"/>
      <c r="P621" s="4"/>
      <c r="Q621" s="4"/>
      <c r="R621" s="4"/>
      <c r="S621" s="4"/>
      <c r="T621" s="4"/>
      <c r="U621" s="4"/>
      <c r="V621" s="4"/>
      <c r="W621" s="4"/>
      <c r="X621" s="4"/>
      <c r="Y621" s="4"/>
      <c r="Z621" s="4"/>
      <c r="AA621" s="4"/>
      <c r="AB621" s="4"/>
      <c r="AC621" s="4"/>
      <c r="AD621" s="4"/>
      <c r="AE621" s="4"/>
      <c r="AF621" s="4"/>
      <c r="AG621" s="4"/>
      <c r="AH621" s="4"/>
      <c r="AI621" s="4"/>
      <c r="AJ621" s="4"/>
      <c r="AK621" s="4"/>
      <c r="AL621" s="4"/>
      <c r="AM621" s="4"/>
      <c r="AN621" s="4"/>
      <c r="AO621" s="4"/>
      <c r="AP621" s="4"/>
      <c r="AQ621" s="4"/>
      <c r="AR621" s="4"/>
      <c r="AS621" s="4"/>
      <c r="AT621" s="4"/>
      <c r="AU621" s="4"/>
      <c r="AV621" s="4"/>
      <c r="AW621" s="4"/>
      <c r="AX621" s="4"/>
      <c r="AY621" s="4"/>
      <c r="AZ621" s="4"/>
      <c r="BA621" s="4"/>
      <c r="BB621" s="4"/>
      <c r="BC621" s="4"/>
      <c r="BD621" s="4"/>
      <c r="BE621" s="4"/>
      <c r="BF621" s="4"/>
      <c r="BG621" s="4"/>
      <c r="BH621" s="4"/>
      <c r="BI621" s="4"/>
      <c r="BJ621" s="4"/>
      <c r="BK621" s="4"/>
      <c r="BL621" s="4"/>
      <c r="BM621" s="4"/>
      <c r="BN621" s="4"/>
    </row>
    <row r="622" ht="13.5" customHeight="1" spans="1:66" x14ac:dyDescent="0.25">
      <c r="A622" s="4"/>
      <c r="B622" s="4"/>
      <c r="C622" s="533"/>
      <c r="D622" s="4"/>
      <c r="E622" s="4"/>
      <c r="F622" s="4"/>
      <c r="G622" s="4"/>
      <c r="H622" s="4"/>
      <c r="I622" s="4"/>
      <c r="J622" s="4"/>
      <c r="K622" s="4"/>
      <c r="L622" s="4"/>
      <c r="M622" s="4"/>
      <c r="N622" s="4"/>
      <c r="O622" s="4"/>
      <c r="P622" s="4"/>
      <c r="Q622" s="4"/>
      <c r="R622" s="4"/>
      <c r="S622" s="4"/>
      <c r="T622" s="4"/>
      <c r="U622" s="4"/>
      <c r="V622" s="4"/>
      <c r="W622" s="4"/>
      <c r="X622" s="4"/>
      <c r="Y622" s="4"/>
      <c r="Z622" s="4"/>
      <c r="AA622" s="4"/>
      <c r="AB622" s="4"/>
      <c r="AC622" s="4"/>
      <c r="AD622" s="4"/>
      <c r="AE622" s="4"/>
      <c r="AF622" s="4"/>
      <c r="AG622" s="4"/>
      <c r="AH622" s="4"/>
      <c r="AI622" s="4"/>
      <c r="AJ622" s="4"/>
      <c r="AK622" s="4"/>
      <c r="AL622" s="4"/>
      <c r="AM622" s="4"/>
      <c r="AN622" s="4"/>
      <c r="AO622" s="4"/>
      <c r="AP622" s="4"/>
      <c r="AQ622" s="4"/>
      <c r="AR622" s="4"/>
      <c r="AS622" s="4"/>
      <c r="AT622" s="4"/>
      <c r="AU622" s="4"/>
      <c r="AV622" s="4"/>
      <c r="AW622" s="4"/>
      <c r="AX622" s="4"/>
      <c r="AY622" s="4"/>
      <c r="AZ622" s="4"/>
      <c r="BA622" s="4"/>
      <c r="BB622" s="4"/>
      <c r="BC622" s="4"/>
      <c r="BD622" s="4"/>
      <c r="BE622" s="4"/>
      <c r="BF622" s="4"/>
      <c r="BG622" s="4"/>
      <c r="BH622" s="4"/>
      <c r="BI622" s="4"/>
      <c r="BJ622" s="4"/>
      <c r="BK622" s="4"/>
      <c r="BL622" s="4"/>
      <c r="BM622" s="4"/>
      <c r="BN622" s="4"/>
    </row>
    <row r="623" ht="13.5" customHeight="1" spans="1:66" x14ac:dyDescent="0.25">
      <c r="A623" s="4"/>
      <c r="B623" s="4"/>
      <c r="C623" s="533"/>
      <c r="D623" s="4"/>
      <c r="E623" s="4"/>
      <c r="F623" s="4"/>
      <c r="G623" s="4"/>
      <c r="H623" s="4"/>
      <c r="I623" s="4"/>
      <c r="J623" s="4"/>
      <c r="K623" s="4"/>
      <c r="L623" s="4"/>
      <c r="M623" s="4"/>
      <c r="N623" s="4"/>
      <c r="O623" s="4"/>
      <c r="P623" s="4"/>
      <c r="Q623" s="4"/>
      <c r="R623" s="4"/>
      <c r="S623" s="4"/>
      <c r="T623" s="4"/>
      <c r="U623" s="4"/>
      <c r="V623" s="4"/>
      <c r="W623" s="4"/>
      <c r="X623" s="4"/>
      <c r="Y623" s="4"/>
      <c r="Z623" s="4"/>
      <c r="AA623" s="4"/>
      <c r="AB623" s="4"/>
      <c r="AC623" s="4"/>
      <c r="AD623" s="4"/>
      <c r="AE623" s="4"/>
      <c r="AF623" s="4"/>
      <c r="AG623" s="4"/>
      <c r="AH623" s="4"/>
      <c r="AI623" s="4"/>
      <c r="AJ623" s="4"/>
      <c r="AK623" s="4"/>
      <c r="AL623" s="4"/>
      <c r="AM623" s="4"/>
      <c r="AN623" s="4"/>
      <c r="AO623" s="4"/>
      <c r="AP623" s="4"/>
      <c r="AQ623" s="4"/>
      <c r="AR623" s="4"/>
      <c r="AS623" s="4"/>
      <c r="AT623" s="4"/>
      <c r="AU623" s="4"/>
      <c r="AV623" s="4"/>
      <c r="AW623" s="4"/>
      <c r="AX623" s="4"/>
      <c r="AY623" s="4"/>
      <c r="AZ623" s="4"/>
      <c r="BA623" s="4"/>
      <c r="BB623" s="4"/>
      <c r="BC623" s="4"/>
      <c r="BD623" s="4"/>
      <c r="BE623" s="4"/>
      <c r="BF623" s="4"/>
      <c r="BG623" s="4"/>
      <c r="BH623" s="4"/>
      <c r="BI623" s="4"/>
      <c r="BJ623" s="4"/>
      <c r="BK623" s="4"/>
      <c r="BL623" s="4"/>
      <c r="BM623" s="4"/>
      <c r="BN623" s="4"/>
    </row>
    <row r="624" ht="13.5" customHeight="1" spans="1:66" x14ac:dyDescent="0.25">
      <c r="A624" s="4"/>
      <c r="B624" s="4"/>
      <c r="C624" s="533"/>
      <c r="D624" s="4"/>
      <c r="E624" s="4"/>
      <c r="F624" s="4"/>
      <c r="G624" s="4"/>
      <c r="H624" s="4"/>
      <c r="I624" s="4"/>
      <c r="J624" s="4"/>
      <c r="K624" s="4"/>
      <c r="L624" s="4"/>
      <c r="M624" s="4"/>
      <c r="N624" s="4"/>
      <c r="O624" s="4"/>
      <c r="P624" s="4"/>
      <c r="Q624" s="4"/>
      <c r="R624" s="4"/>
      <c r="S624" s="4"/>
      <c r="T624" s="4"/>
      <c r="U624" s="4"/>
      <c r="V624" s="4"/>
      <c r="W624" s="4"/>
      <c r="X624" s="4"/>
      <c r="Y624" s="4"/>
      <c r="Z624" s="4"/>
      <c r="AA624" s="4"/>
      <c r="AB624" s="4"/>
      <c r="AC624" s="4"/>
      <c r="AD624" s="4"/>
      <c r="AE624" s="4"/>
      <c r="AF624" s="4"/>
      <c r="AG624" s="4"/>
      <c r="AH624" s="4"/>
      <c r="AI624" s="4"/>
      <c r="AJ624" s="4"/>
      <c r="AK624" s="4"/>
      <c r="AL624" s="4"/>
      <c r="AM624" s="4"/>
      <c r="AN624" s="4"/>
      <c r="AO624" s="4"/>
      <c r="AP624" s="4"/>
      <c r="AQ624" s="4"/>
      <c r="AR624" s="4"/>
      <c r="AS624" s="4"/>
      <c r="AT624" s="4"/>
      <c r="AU624" s="4"/>
      <c r="AV624" s="4"/>
      <c r="AW624" s="4"/>
      <c r="AX624" s="4"/>
      <c r="AY624" s="4"/>
      <c r="AZ624" s="4"/>
      <c r="BA624" s="4"/>
      <c r="BB624" s="4"/>
      <c r="BC624" s="4"/>
      <c r="BD624" s="4"/>
      <c r="BE624" s="4"/>
      <c r="BF624" s="4"/>
      <c r="BG624" s="4"/>
      <c r="BH624" s="4"/>
      <c r="BI624" s="4"/>
      <c r="BJ624" s="4"/>
      <c r="BK624" s="4"/>
      <c r="BL624" s="4"/>
      <c r="BM624" s="4"/>
      <c r="BN624" s="4"/>
    </row>
    <row r="625" ht="13.5" customHeight="1" spans="1:66" x14ac:dyDescent="0.25">
      <c r="A625" s="4"/>
      <c r="B625" s="4"/>
      <c r="C625" s="533"/>
      <c r="D625" s="4"/>
      <c r="E625" s="4"/>
      <c r="F625" s="4"/>
      <c r="G625" s="4"/>
      <c r="H625" s="4"/>
      <c r="I625" s="4"/>
      <c r="J625" s="4"/>
      <c r="K625" s="4"/>
      <c r="L625" s="4"/>
      <c r="M625" s="4"/>
      <c r="N625" s="4"/>
      <c r="O625" s="4"/>
      <c r="P625" s="4"/>
      <c r="Q625" s="4"/>
      <c r="R625" s="4"/>
      <c r="S625" s="4"/>
      <c r="T625" s="4"/>
      <c r="U625" s="4"/>
      <c r="V625" s="4"/>
      <c r="W625" s="4"/>
      <c r="X625" s="4"/>
      <c r="Y625" s="4"/>
      <c r="Z625" s="4"/>
      <c r="AA625" s="4"/>
      <c r="AB625" s="4"/>
      <c r="AC625" s="4"/>
      <c r="AD625" s="4"/>
      <c r="AE625" s="4"/>
      <c r="AF625" s="4"/>
      <c r="AG625" s="4"/>
      <c r="AH625" s="4"/>
      <c r="AI625" s="4"/>
      <c r="AJ625" s="4"/>
      <c r="AK625" s="4"/>
      <c r="AL625" s="4"/>
      <c r="AM625" s="4"/>
      <c r="AN625" s="4"/>
      <c r="AO625" s="4"/>
      <c r="AP625" s="4"/>
      <c r="AQ625" s="4"/>
      <c r="AR625" s="4"/>
      <c r="AS625" s="4"/>
      <c r="AT625" s="4"/>
      <c r="AU625" s="4"/>
      <c r="AV625" s="4"/>
      <c r="AW625" s="4"/>
      <c r="AX625" s="4"/>
      <c r="AY625" s="4"/>
      <c r="AZ625" s="4"/>
      <c r="BA625" s="4"/>
      <c r="BB625" s="4"/>
      <c r="BC625" s="4"/>
      <c r="BD625" s="4"/>
      <c r="BE625" s="4"/>
      <c r="BF625" s="4"/>
      <c r="BG625" s="4"/>
      <c r="BH625" s="4"/>
      <c r="BI625" s="4"/>
      <c r="BJ625" s="4"/>
      <c r="BK625" s="4"/>
      <c r="BL625" s="4"/>
      <c r="BM625" s="4"/>
      <c r="BN625" s="4"/>
    </row>
    <row r="626" ht="13.5" customHeight="1" spans="1:66" x14ac:dyDescent="0.25">
      <c r="A626" s="4"/>
      <c r="B626" s="4"/>
      <c r="C626" s="533"/>
      <c r="D626" s="4"/>
      <c r="E626" s="4"/>
      <c r="F626" s="4"/>
      <c r="G626" s="4"/>
      <c r="H626" s="4"/>
      <c r="I626" s="4"/>
      <c r="J626" s="4"/>
      <c r="K626" s="4"/>
      <c r="L626" s="4"/>
      <c r="M626" s="4"/>
      <c r="N626" s="4"/>
      <c r="O626" s="4"/>
      <c r="P626" s="4"/>
      <c r="Q626" s="4"/>
      <c r="R626" s="4"/>
      <c r="S626" s="4"/>
      <c r="T626" s="4"/>
      <c r="U626" s="4"/>
      <c r="V626" s="4"/>
      <c r="W626" s="4"/>
      <c r="X626" s="4"/>
      <c r="Y626" s="4"/>
      <c r="Z626" s="4"/>
      <c r="AA626" s="4"/>
      <c r="AB626" s="4"/>
      <c r="AC626" s="4"/>
      <c r="AD626" s="4"/>
      <c r="AE626" s="4"/>
      <c r="AF626" s="4"/>
      <c r="AG626" s="4"/>
      <c r="AH626" s="4"/>
      <c r="AI626" s="4"/>
      <c r="AJ626" s="4"/>
      <c r="AK626" s="4"/>
      <c r="AL626" s="4"/>
      <c r="AM626" s="4"/>
      <c r="AN626" s="4"/>
      <c r="AO626" s="4"/>
      <c r="AP626" s="4"/>
      <c r="AQ626" s="4"/>
      <c r="AR626" s="4"/>
      <c r="AS626" s="4"/>
      <c r="AT626" s="4"/>
      <c r="AU626" s="4"/>
      <c r="AV626" s="4"/>
      <c r="AW626" s="4"/>
      <c r="AX626" s="4"/>
      <c r="AY626" s="4"/>
      <c r="AZ626" s="4"/>
      <c r="BA626" s="4"/>
      <c r="BB626" s="4"/>
      <c r="BC626" s="4"/>
      <c r="BD626" s="4"/>
      <c r="BE626" s="4"/>
      <c r="BF626" s="4"/>
      <c r="BG626" s="4"/>
      <c r="BH626" s="4"/>
      <c r="BI626" s="4"/>
      <c r="BJ626" s="4"/>
      <c r="BK626" s="4"/>
      <c r="BL626" s="4"/>
      <c r="BM626" s="4"/>
      <c r="BN626" s="4"/>
    </row>
    <row r="627" ht="13.5" customHeight="1" spans="1:66" x14ac:dyDescent="0.25">
      <c r="A627" s="4"/>
      <c r="B627" s="4"/>
      <c r="C627" s="533"/>
      <c r="D627" s="4"/>
      <c r="E627" s="4"/>
      <c r="F627" s="4"/>
      <c r="G627" s="4"/>
      <c r="H627" s="4"/>
      <c r="I627" s="4"/>
      <c r="J627" s="4"/>
      <c r="K627" s="4"/>
      <c r="L627" s="4"/>
      <c r="M627" s="4"/>
      <c r="N627" s="4"/>
      <c r="O627" s="4"/>
      <c r="P627" s="4"/>
      <c r="Q627" s="4"/>
      <c r="R627" s="4"/>
      <c r="S627" s="4"/>
      <c r="T627" s="4"/>
      <c r="U627" s="4"/>
      <c r="V627" s="4"/>
      <c r="W627" s="4"/>
      <c r="X627" s="4"/>
      <c r="Y627" s="4"/>
      <c r="Z627" s="4"/>
      <c r="AA627" s="4"/>
      <c r="AB627" s="4"/>
      <c r="AC627" s="4"/>
      <c r="AD627" s="4"/>
      <c r="AE627" s="4"/>
      <c r="AF627" s="4"/>
      <c r="AG627" s="4"/>
      <c r="AH627" s="4"/>
      <c r="AI627" s="4"/>
      <c r="AJ627" s="4"/>
      <c r="AK627" s="4"/>
      <c r="AL627" s="4"/>
      <c r="AM627" s="4"/>
      <c r="AN627" s="4"/>
      <c r="AO627" s="4"/>
      <c r="AP627" s="4"/>
      <c r="AQ627" s="4"/>
      <c r="AR627" s="4"/>
      <c r="AS627" s="4"/>
      <c r="AT627" s="4"/>
      <c r="AU627" s="4"/>
      <c r="AV627" s="4"/>
      <c r="AW627" s="4"/>
      <c r="AX627" s="4"/>
      <c r="AY627" s="4"/>
      <c r="AZ627" s="4"/>
      <c r="BA627" s="4"/>
      <c r="BB627" s="4"/>
      <c r="BC627" s="4"/>
      <c r="BD627" s="4"/>
      <c r="BE627" s="4"/>
      <c r="BF627" s="4"/>
      <c r="BG627" s="4"/>
      <c r="BH627" s="4"/>
      <c r="BI627" s="4"/>
      <c r="BJ627" s="4"/>
      <c r="BK627" s="4"/>
      <c r="BL627" s="4"/>
      <c r="BM627" s="4"/>
      <c r="BN627" s="4"/>
    </row>
    <row r="628" ht="13.5" customHeight="1" spans="1:66" x14ac:dyDescent="0.25">
      <c r="A628" s="4"/>
      <c r="B628" s="4"/>
      <c r="C628" s="533"/>
      <c r="D628" s="4"/>
      <c r="E628" s="4"/>
      <c r="F628" s="4"/>
      <c r="G628" s="4"/>
      <c r="H628" s="4"/>
      <c r="I628" s="4"/>
      <c r="J628" s="4"/>
      <c r="K628" s="4"/>
      <c r="L628" s="4"/>
      <c r="M628" s="4"/>
      <c r="N628" s="4"/>
      <c r="O628" s="4"/>
      <c r="P628" s="4"/>
      <c r="Q628" s="4"/>
      <c r="R628" s="4"/>
      <c r="S628" s="4"/>
      <c r="T628" s="4"/>
      <c r="U628" s="4"/>
      <c r="V628" s="4"/>
      <c r="W628" s="4"/>
      <c r="X628" s="4"/>
      <c r="Y628" s="4"/>
      <c r="Z628" s="4"/>
      <c r="AA628" s="4"/>
      <c r="AB628" s="4"/>
      <c r="AC628" s="4"/>
      <c r="AD628" s="4"/>
      <c r="AE628" s="4"/>
      <c r="AF628" s="4"/>
      <c r="AG628" s="4"/>
      <c r="AH628" s="4"/>
      <c r="AI628" s="4"/>
      <c r="AJ628" s="4"/>
      <c r="AK628" s="4"/>
      <c r="AL628" s="4"/>
      <c r="AM628" s="4"/>
      <c r="AN628" s="4"/>
      <c r="AO628" s="4"/>
      <c r="AP628" s="4"/>
      <c r="AQ628" s="4"/>
      <c r="AR628" s="4"/>
      <c r="AS628" s="4"/>
      <c r="AT628" s="4"/>
      <c r="AU628" s="4"/>
      <c r="AV628" s="4"/>
      <c r="AW628" s="4"/>
      <c r="AX628" s="4"/>
      <c r="AY628" s="4"/>
      <c r="AZ628" s="4"/>
      <c r="BA628" s="4"/>
      <c r="BB628" s="4"/>
      <c r="BC628" s="4"/>
      <c r="BD628" s="4"/>
      <c r="BE628" s="4"/>
      <c r="BF628" s="4"/>
      <c r="BG628" s="4"/>
      <c r="BH628" s="4"/>
      <c r="BI628" s="4"/>
      <c r="BJ628" s="4"/>
      <c r="BK628" s="4"/>
      <c r="BL628" s="4"/>
      <c r="BM628" s="4"/>
      <c r="BN628" s="4"/>
    </row>
    <row r="629" ht="13.5" customHeight="1" spans="1:66" x14ac:dyDescent="0.25">
      <c r="A629" s="4"/>
      <c r="B629" s="4"/>
      <c r="C629" s="533"/>
      <c r="D629" s="4"/>
      <c r="E629" s="4"/>
      <c r="F629" s="4"/>
      <c r="G629" s="4"/>
      <c r="H629" s="4"/>
      <c r="I629" s="4"/>
      <c r="J629" s="4"/>
      <c r="K629" s="4"/>
      <c r="L629" s="4"/>
      <c r="M629" s="4"/>
      <c r="N629" s="4"/>
      <c r="O629" s="4"/>
      <c r="P629" s="4"/>
      <c r="Q629" s="4"/>
      <c r="R629" s="4"/>
      <c r="S629" s="4"/>
      <c r="T629" s="4"/>
      <c r="U629" s="4"/>
      <c r="V629" s="4"/>
      <c r="W629" s="4"/>
      <c r="X629" s="4"/>
      <c r="Y629" s="4"/>
      <c r="Z629" s="4"/>
      <c r="AA629" s="4"/>
      <c r="AB629" s="4"/>
      <c r="AC629" s="4"/>
      <c r="AD629" s="4"/>
      <c r="AE629" s="4"/>
      <c r="AF629" s="4"/>
      <c r="AG629" s="4"/>
      <c r="AH629" s="4"/>
      <c r="AI629" s="4"/>
      <c r="AJ629" s="4"/>
      <c r="AK629" s="4"/>
      <c r="AL629" s="4"/>
      <c r="AM629" s="4"/>
      <c r="AN629" s="4"/>
      <c r="AO629" s="4"/>
      <c r="AP629" s="4"/>
      <c r="AQ629" s="4"/>
      <c r="AR629" s="4"/>
      <c r="AS629" s="4"/>
      <c r="AT629" s="4"/>
      <c r="AU629" s="4"/>
      <c r="AV629" s="4"/>
      <c r="AW629" s="4"/>
      <c r="AX629" s="4"/>
      <c r="AY629" s="4"/>
      <c r="AZ629" s="4"/>
      <c r="BA629" s="4"/>
      <c r="BB629" s="4"/>
      <c r="BC629" s="4"/>
      <c r="BD629" s="4"/>
      <c r="BE629" s="4"/>
      <c r="BF629" s="4"/>
      <c r="BG629" s="4"/>
      <c r="BH629" s="4"/>
      <c r="BI629" s="4"/>
      <c r="BJ629" s="4"/>
      <c r="BK629" s="4"/>
      <c r="BL629" s="4"/>
      <c r="BM629" s="4"/>
      <c r="BN629" s="4"/>
    </row>
    <row r="630" ht="13.5" customHeight="1" spans="1:66" x14ac:dyDescent="0.25">
      <c r="A630" s="4"/>
      <c r="B630" s="4"/>
      <c r="C630" s="533"/>
      <c r="D630" s="4"/>
      <c r="E630" s="4"/>
      <c r="F630" s="4"/>
      <c r="G630" s="4"/>
      <c r="H630" s="4"/>
      <c r="I630" s="4"/>
      <c r="J630" s="4"/>
      <c r="K630" s="4"/>
      <c r="L630" s="4"/>
      <c r="M630" s="4"/>
      <c r="N630" s="4"/>
      <c r="O630" s="4"/>
      <c r="P630" s="4"/>
      <c r="Q630" s="4"/>
      <c r="R630" s="4"/>
      <c r="S630" s="4"/>
      <c r="T630" s="4"/>
      <c r="U630" s="4"/>
      <c r="V630" s="4"/>
      <c r="W630" s="4"/>
      <c r="X630" s="4"/>
      <c r="Y630" s="4"/>
      <c r="Z630" s="4"/>
      <c r="AA630" s="4"/>
      <c r="AB630" s="4"/>
      <c r="AC630" s="4"/>
      <c r="AD630" s="4"/>
      <c r="AE630" s="4"/>
      <c r="AF630" s="4"/>
      <c r="AG630" s="4"/>
      <c r="AH630" s="4"/>
      <c r="AI630" s="4"/>
      <c r="AJ630" s="4"/>
      <c r="AK630" s="4"/>
      <c r="AL630" s="4"/>
      <c r="AM630" s="4"/>
      <c r="AN630" s="4"/>
      <c r="AO630" s="4"/>
      <c r="AP630" s="4"/>
      <c r="AQ630" s="4"/>
      <c r="AR630" s="4"/>
      <c r="AS630" s="4"/>
      <c r="AT630" s="4"/>
      <c r="AU630" s="4"/>
      <c r="AV630" s="4"/>
      <c r="AW630" s="4"/>
      <c r="AX630" s="4"/>
      <c r="AY630" s="4"/>
      <c r="AZ630" s="4"/>
      <c r="BA630" s="4"/>
      <c r="BB630" s="4"/>
      <c r="BC630" s="4"/>
      <c r="BD630" s="4"/>
      <c r="BE630" s="4"/>
      <c r="BF630" s="4"/>
      <c r="BG630" s="4"/>
      <c r="BH630" s="4"/>
      <c r="BI630" s="4"/>
      <c r="BJ630" s="4"/>
      <c r="BK630" s="4"/>
      <c r="BL630" s="4"/>
      <c r="BM630" s="4"/>
      <c r="BN630" s="4"/>
    </row>
    <row r="631" ht="13.5" customHeight="1" spans="1:66" x14ac:dyDescent="0.25">
      <c r="A631" s="4"/>
      <c r="B631" s="4"/>
      <c r="C631" s="533"/>
      <c r="D631" s="4"/>
      <c r="E631" s="4"/>
      <c r="F631" s="4"/>
      <c r="G631" s="4"/>
      <c r="H631" s="4"/>
      <c r="I631" s="4"/>
      <c r="J631" s="4"/>
      <c r="K631" s="4"/>
      <c r="L631" s="4"/>
      <c r="M631" s="4"/>
      <c r="N631" s="4"/>
      <c r="O631" s="4"/>
      <c r="P631" s="4"/>
      <c r="Q631" s="4"/>
      <c r="R631" s="4"/>
      <c r="S631" s="4"/>
      <c r="T631" s="4"/>
      <c r="U631" s="4"/>
      <c r="V631" s="4"/>
      <c r="W631" s="4"/>
      <c r="X631" s="4"/>
      <c r="Y631" s="4"/>
      <c r="Z631" s="4"/>
      <c r="AA631" s="4"/>
      <c r="AB631" s="4"/>
      <c r="AC631" s="4"/>
      <c r="AD631" s="4"/>
      <c r="AE631" s="4"/>
      <c r="AF631" s="4"/>
      <c r="AG631" s="4"/>
      <c r="AH631" s="4"/>
      <c r="AI631" s="4"/>
      <c r="AJ631" s="4"/>
      <c r="AK631" s="4"/>
      <c r="AL631" s="4"/>
      <c r="AM631" s="4"/>
      <c r="AN631" s="4"/>
      <c r="AO631" s="4"/>
      <c r="AP631" s="4"/>
      <c r="AQ631" s="4"/>
      <c r="AR631" s="4"/>
      <c r="AS631" s="4"/>
      <c r="AT631" s="4"/>
      <c r="AU631" s="4"/>
      <c r="AV631" s="4"/>
      <c r="AW631" s="4"/>
      <c r="AX631" s="4"/>
      <c r="AY631" s="4"/>
      <c r="AZ631" s="4"/>
      <c r="BA631" s="4"/>
      <c r="BB631" s="4"/>
      <c r="BC631" s="4"/>
      <c r="BD631" s="4"/>
      <c r="BE631" s="4"/>
      <c r="BF631" s="4"/>
      <c r="BG631" s="4"/>
      <c r="BH631" s="4"/>
      <c r="BI631" s="4"/>
      <c r="BJ631" s="4"/>
      <c r="BK631" s="4"/>
      <c r="BL631" s="4"/>
      <c r="BM631" s="4"/>
      <c r="BN631" s="4"/>
    </row>
    <row r="632" ht="13.5" customHeight="1" spans="1:66" x14ac:dyDescent="0.25">
      <c r="A632" s="4"/>
      <c r="B632" s="4"/>
      <c r="C632" s="533"/>
      <c r="D632" s="4"/>
      <c r="E632" s="4"/>
      <c r="F632" s="4"/>
      <c r="G632" s="4"/>
      <c r="H632" s="4"/>
      <c r="I632" s="4"/>
      <c r="J632" s="4"/>
      <c r="K632" s="4"/>
      <c r="L632" s="4"/>
      <c r="M632" s="4"/>
      <c r="N632" s="4"/>
      <c r="O632" s="4"/>
      <c r="P632" s="4"/>
      <c r="Q632" s="4"/>
      <c r="R632" s="4"/>
      <c r="S632" s="4"/>
      <c r="T632" s="4"/>
      <c r="U632" s="4"/>
      <c r="V632" s="4"/>
      <c r="W632" s="4"/>
      <c r="X632" s="4"/>
      <c r="Y632" s="4"/>
      <c r="Z632" s="4"/>
      <c r="AA632" s="4"/>
      <c r="AB632" s="4"/>
      <c r="AC632" s="4"/>
      <c r="AD632" s="4"/>
      <c r="AE632" s="4"/>
      <c r="AF632" s="4"/>
      <c r="AG632" s="4"/>
      <c r="AH632" s="4"/>
      <c r="AI632" s="4"/>
      <c r="AJ632" s="4"/>
      <c r="AK632" s="4"/>
      <c r="AL632" s="4"/>
      <c r="AM632" s="4"/>
      <c r="AN632" s="4"/>
      <c r="AO632" s="4"/>
      <c r="AP632" s="4"/>
      <c r="AQ632" s="4"/>
      <c r="AR632" s="4"/>
      <c r="AS632" s="4"/>
      <c r="AT632" s="4"/>
      <c r="AU632" s="4"/>
      <c r="AV632" s="4"/>
      <c r="AW632" s="4"/>
      <c r="AX632" s="4"/>
      <c r="AY632" s="4"/>
      <c r="AZ632" s="4"/>
      <c r="BA632" s="4"/>
      <c r="BB632" s="4"/>
      <c r="BC632" s="4"/>
      <c r="BD632" s="4"/>
      <c r="BE632" s="4"/>
      <c r="BF632" s="4"/>
      <c r="BG632" s="4"/>
      <c r="BH632" s="4"/>
      <c r="BI632" s="4"/>
      <c r="BJ632" s="4"/>
      <c r="BK632" s="4"/>
      <c r="BL632" s="4"/>
      <c r="BM632" s="4"/>
      <c r="BN632" s="4"/>
    </row>
    <row r="633" ht="13.5" customHeight="1" spans="1:66" x14ac:dyDescent="0.25">
      <c r="A633" s="4"/>
      <c r="B633" s="4"/>
      <c r="C633" s="533"/>
      <c r="D633" s="4"/>
      <c r="E633" s="4"/>
      <c r="F633" s="4"/>
      <c r="G633" s="4"/>
      <c r="H633" s="4"/>
      <c r="I633" s="4"/>
      <c r="J633" s="4"/>
      <c r="K633" s="4"/>
      <c r="L633" s="4"/>
      <c r="M633" s="4"/>
      <c r="N633" s="4"/>
      <c r="O633" s="4"/>
      <c r="P633" s="4"/>
      <c r="Q633" s="4"/>
      <c r="R633" s="4"/>
      <c r="S633" s="4"/>
      <c r="T633" s="4"/>
      <c r="U633" s="4"/>
      <c r="V633" s="4"/>
      <c r="W633" s="4"/>
      <c r="X633" s="4"/>
      <c r="Y633" s="4"/>
      <c r="Z633" s="4"/>
      <c r="AA633" s="4"/>
      <c r="AB633" s="4"/>
      <c r="AC633" s="4"/>
      <c r="AD633" s="4"/>
      <c r="AE633" s="4"/>
      <c r="AF633" s="4"/>
      <c r="AG633" s="4"/>
      <c r="AH633" s="4"/>
      <c r="AI633" s="4"/>
      <c r="AJ633" s="4"/>
      <c r="AK633" s="4"/>
      <c r="AL633" s="4"/>
      <c r="AM633" s="4"/>
      <c r="AN633" s="4"/>
      <c r="AO633" s="4"/>
      <c r="AP633" s="4"/>
      <c r="AQ633" s="4"/>
      <c r="AR633" s="4"/>
      <c r="AS633" s="4"/>
      <c r="AT633" s="4"/>
      <c r="AU633" s="4"/>
      <c r="AV633" s="4"/>
      <c r="AW633" s="4"/>
      <c r="AX633" s="4"/>
      <c r="AY633" s="4"/>
      <c r="AZ633" s="4"/>
      <c r="BA633" s="4"/>
      <c r="BB633" s="4"/>
      <c r="BC633" s="4"/>
      <c r="BD633" s="4"/>
      <c r="BE633" s="4"/>
      <c r="BF633" s="4"/>
      <c r="BG633" s="4"/>
      <c r="BH633" s="4"/>
      <c r="BI633" s="4"/>
      <c r="BJ633" s="4"/>
      <c r="BK633" s="4"/>
      <c r="BL633" s="4"/>
      <c r="BM633" s="4"/>
      <c r="BN633" s="4"/>
    </row>
    <row r="634" ht="13.5" customHeight="1" spans="1:66" x14ac:dyDescent="0.25">
      <c r="A634" s="4"/>
      <c r="B634" s="4"/>
      <c r="C634" s="533"/>
      <c r="D634" s="4"/>
      <c r="E634" s="4"/>
      <c r="F634" s="4"/>
      <c r="G634" s="4"/>
      <c r="H634" s="4"/>
      <c r="I634" s="4"/>
      <c r="J634" s="4"/>
      <c r="K634" s="4"/>
      <c r="L634" s="4"/>
      <c r="M634" s="4"/>
      <c r="N634" s="4"/>
      <c r="O634" s="4"/>
      <c r="P634" s="4"/>
      <c r="Q634" s="4"/>
      <c r="R634" s="4"/>
      <c r="S634" s="4"/>
      <c r="T634" s="4"/>
      <c r="U634" s="4"/>
      <c r="V634" s="4"/>
      <c r="W634" s="4"/>
      <c r="X634" s="4"/>
      <c r="Y634" s="4"/>
      <c r="Z634" s="4"/>
      <c r="AA634" s="4"/>
      <c r="AB634" s="4"/>
      <c r="AC634" s="4"/>
      <c r="AD634" s="4"/>
      <c r="AE634" s="4"/>
      <c r="AF634" s="4"/>
      <c r="AG634" s="4"/>
      <c r="AH634" s="4"/>
      <c r="AI634" s="4"/>
      <c r="AJ634" s="4"/>
      <c r="AK634" s="4"/>
      <c r="AL634" s="4"/>
      <c r="AM634" s="4"/>
      <c r="AN634" s="4"/>
      <c r="AO634" s="4"/>
      <c r="AP634" s="4"/>
      <c r="AQ634" s="4"/>
      <c r="AR634" s="4"/>
      <c r="AS634" s="4"/>
      <c r="AT634" s="4"/>
      <c r="AU634" s="4"/>
      <c r="AV634" s="4"/>
      <c r="AW634" s="4"/>
      <c r="AX634" s="4"/>
      <c r="AY634" s="4"/>
      <c r="AZ634" s="4"/>
      <c r="BA634" s="4"/>
      <c r="BB634" s="4"/>
      <c r="BC634" s="4"/>
      <c r="BD634" s="4"/>
      <c r="BE634" s="4"/>
      <c r="BF634" s="4"/>
      <c r="BG634" s="4"/>
      <c r="BH634" s="4"/>
      <c r="BI634" s="4"/>
      <c r="BJ634" s="4"/>
      <c r="BK634" s="4"/>
      <c r="BL634" s="4"/>
      <c r="BM634" s="4"/>
      <c r="BN634" s="4"/>
    </row>
    <row r="635" ht="13.5" customHeight="1" spans="1:66" x14ac:dyDescent="0.25">
      <c r="A635" s="4"/>
      <c r="B635" s="4"/>
      <c r="C635" s="533"/>
      <c r="D635" s="4"/>
      <c r="E635" s="4"/>
      <c r="F635" s="4"/>
      <c r="G635" s="4"/>
      <c r="H635" s="4"/>
      <c r="I635" s="4"/>
      <c r="J635" s="4"/>
      <c r="K635" s="4"/>
      <c r="L635" s="4"/>
      <c r="M635" s="4"/>
      <c r="N635" s="4"/>
      <c r="O635" s="4"/>
      <c r="P635" s="4"/>
      <c r="Q635" s="4"/>
      <c r="R635" s="4"/>
      <c r="S635" s="4"/>
      <c r="T635" s="4"/>
      <c r="U635" s="4"/>
      <c r="V635" s="4"/>
      <c r="W635" s="4"/>
      <c r="X635" s="4"/>
      <c r="Y635" s="4"/>
      <c r="Z635" s="4"/>
      <c r="AA635" s="4"/>
      <c r="AB635" s="4"/>
      <c r="AC635" s="4"/>
      <c r="AD635" s="4"/>
      <c r="AE635" s="4"/>
      <c r="AF635" s="4"/>
      <c r="AG635" s="4"/>
      <c r="AH635" s="4"/>
      <c r="AI635" s="4"/>
      <c r="AJ635" s="4"/>
      <c r="AK635" s="4"/>
      <c r="AL635" s="4"/>
      <c r="AM635" s="4"/>
      <c r="AN635" s="4"/>
      <c r="AO635" s="4"/>
      <c r="AP635" s="4"/>
      <c r="AQ635" s="4"/>
      <c r="AR635" s="4"/>
      <c r="AS635" s="4"/>
      <c r="AT635" s="4"/>
      <c r="AU635" s="4"/>
      <c r="AV635" s="4"/>
      <c r="AW635" s="4"/>
      <c r="AX635" s="4"/>
      <c r="AY635" s="4"/>
      <c r="AZ635" s="4"/>
      <c r="BA635" s="4"/>
      <c r="BB635" s="4"/>
      <c r="BC635" s="4"/>
      <c r="BD635" s="4"/>
      <c r="BE635" s="4"/>
      <c r="BF635" s="4"/>
      <c r="BG635" s="4"/>
      <c r="BH635" s="4"/>
      <c r="BI635" s="4"/>
      <c r="BJ635" s="4"/>
      <c r="BK635" s="4"/>
      <c r="BL635" s="4"/>
      <c r="BM635" s="4"/>
      <c r="BN635" s="4"/>
    </row>
    <row r="636" ht="13.5" customHeight="1" spans="1:66" x14ac:dyDescent="0.25">
      <c r="A636" s="4"/>
      <c r="B636" s="4"/>
      <c r="C636" s="533"/>
      <c r="D636" s="4"/>
      <c r="E636" s="4"/>
      <c r="F636" s="4"/>
      <c r="G636" s="4"/>
      <c r="H636" s="4"/>
      <c r="I636" s="4"/>
      <c r="J636" s="4"/>
      <c r="K636" s="4"/>
      <c r="L636" s="4"/>
      <c r="M636" s="4"/>
      <c r="N636" s="4"/>
      <c r="O636" s="4"/>
      <c r="P636" s="4"/>
      <c r="Q636" s="4"/>
      <c r="R636" s="4"/>
      <c r="S636" s="4"/>
      <c r="T636" s="4"/>
      <c r="U636" s="4"/>
      <c r="V636" s="4"/>
      <c r="W636" s="4"/>
      <c r="X636" s="4"/>
      <c r="Y636" s="4"/>
      <c r="Z636" s="4"/>
      <c r="AA636" s="4"/>
      <c r="AB636" s="4"/>
      <c r="AC636" s="4"/>
      <c r="AD636" s="4"/>
      <c r="AE636" s="4"/>
      <c r="AF636" s="4"/>
      <c r="AG636" s="4"/>
      <c r="AH636" s="4"/>
      <c r="AI636" s="4"/>
      <c r="AJ636" s="4"/>
      <c r="AK636" s="4"/>
      <c r="AL636" s="4"/>
      <c r="AM636" s="4"/>
      <c r="AN636" s="4"/>
      <c r="AO636" s="4"/>
      <c r="AP636" s="4"/>
      <c r="AQ636" s="4"/>
      <c r="AR636" s="4"/>
      <c r="AS636" s="4"/>
      <c r="AT636" s="4"/>
      <c r="AU636" s="4"/>
      <c r="AV636" s="4"/>
      <c r="AW636" s="4"/>
      <c r="AX636" s="4"/>
      <c r="AY636" s="4"/>
      <c r="AZ636" s="4"/>
      <c r="BA636" s="4"/>
      <c r="BB636" s="4"/>
      <c r="BC636" s="4"/>
      <c r="BD636" s="4"/>
      <c r="BE636" s="4"/>
      <c r="BF636" s="4"/>
      <c r="BG636" s="4"/>
      <c r="BH636" s="4"/>
      <c r="BI636" s="4"/>
      <c r="BJ636" s="4"/>
      <c r="BK636" s="4"/>
      <c r="BL636" s="4"/>
      <c r="BM636" s="4"/>
      <c r="BN636" s="4"/>
    </row>
    <row r="637" ht="13.5" customHeight="1" spans="1:66" x14ac:dyDescent="0.25">
      <c r="A637" s="4"/>
      <c r="B637" s="4"/>
      <c r="C637" s="533"/>
      <c r="D637" s="4"/>
      <c r="E637" s="4"/>
      <c r="F637" s="4"/>
      <c r="G637" s="4"/>
      <c r="H637" s="4"/>
      <c r="I637" s="4"/>
      <c r="J637" s="4"/>
      <c r="K637" s="4"/>
      <c r="L637" s="4"/>
      <c r="M637" s="4"/>
      <c r="N637" s="4"/>
      <c r="O637" s="4"/>
      <c r="P637" s="4"/>
      <c r="Q637" s="4"/>
      <c r="R637" s="4"/>
      <c r="S637" s="4"/>
      <c r="T637" s="4"/>
      <c r="U637" s="4"/>
      <c r="V637" s="4"/>
      <c r="W637" s="4"/>
      <c r="X637" s="4"/>
      <c r="Y637" s="4"/>
      <c r="Z637" s="4"/>
      <c r="AA637" s="4"/>
      <c r="AB637" s="4"/>
      <c r="AC637" s="4"/>
      <c r="AD637" s="4"/>
      <c r="AE637" s="4"/>
      <c r="AF637" s="4"/>
      <c r="AG637" s="4"/>
      <c r="AH637" s="4"/>
      <c r="AI637" s="4"/>
      <c r="AJ637" s="4"/>
      <c r="AK637" s="4"/>
      <c r="AL637" s="4"/>
      <c r="AM637" s="4"/>
      <c r="AN637" s="4"/>
      <c r="AO637" s="4"/>
      <c r="AP637" s="4"/>
      <c r="AQ637" s="4"/>
      <c r="AR637" s="4"/>
      <c r="AS637" s="4"/>
      <c r="AT637" s="4"/>
      <c r="AU637" s="4"/>
      <c r="AV637" s="4"/>
      <c r="AW637" s="4"/>
      <c r="AX637" s="4"/>
      <c r="AY637" s="4"/>
      <c r="AZ637" s="4"/>
      <c r="BA637" s="4"/>
      <c r="BB637" s="4"/>
      <c r="BC637" s="4"/>
      <c r="BD637" s="4"/>
      <c r="BE637" s="4"/>
      <c r="BF637" s="4"/>
      <c r="BG637" s="4"/>
      <c r="BH637" s="4"/>
      <c r="BI637" s="4"/>
      <c r="BJ637" s="4"/>
      <c r="BK637" s="4"/>
      <c r="BL637" s="4"/>
      <c r="BM637" s="4"/>
      <c r="BN637" s="4"/>
    </row>
    <row r="638" ht="13.5" customHeight="1" spans="1:66" x14ac:dyDescent="0.25">
      <c r="A638" s="4"/>
      <c r="B638" s="4"/>
      <c r="C638" s="533"/>
      <c r="D638" s="4"/>
      <c r="E638" s="4"/>
      <c r="F638" s="4"/>
      <c r="G638" s="4"/>
      <c r="H638" s="4"/>
      <c r="I638" s="4"/>
      <c r="J638" s="4"/>
      <c r="K638" s="4"/>
      <c r="L638" s="4"/>
      <c r="M638" s="4"/>
      <c r="N638" s="4"/>
      <c r="O638" s="4"/>
      <c r="P638" s="4"/>
      <c r="Q638" s="4"/>
      <c r="R638" s="4"/>
      <c r="S638" s="4"/>
      <c r="T638" s="4"/>
      <c r="U638" s="4"/>
      <c r="V638" s="4"/>
      <c r="W638" s="4"/>
      <c r="X638" s="4"/>
      <c r="Y638" s="4"/>
      <c r="Z638" s="4"/>
      <c r="AA638" s="4"/>
      <c r="AB638" s="4"/>
      <c r="AC638" s="4"/>
      <c r="AD638" s="4"/>
      <c r="AE638" s="4"/>
      <c r="AF638" s="4"/>
      <c r="AG638" s="4"/>
      <c r="AH638" s="4"/>
      <c r="AI638" s="4"/>
      <c r="AJ638" s="4"/>
      <c r="AK638" s="4"/>
      <c r="AL638" s="4"/>
      <c r="AM638" s="4"/>
      <c r="AN638" s="4"/>
      <c r="AO638" s="4"/>
      <c r="AP638" s="4"/>
      <c r="AQ638" s="4"/>
      <c r="AR638" s="4"/>
      <c r="AS638" s="4"/>
      <c r="AT638" s="4"/>
      <c r="AU638" s="4"/>
      <c r="AV638" s="4"/>
      <c r="AW638" s="4"/>
      <c r="AX638" s="4"/>
      <c r="AY638" s="4"/>
      <c r="AZ638" s="4"/>
      <c r="BA638" s="4"/>
      <c r="BB638" s="4"/>
      <c r="BC638" s="4"/>
      <c r="BD638" s="4"/>
      <c r="BE638" s="4"/>
      <c r="BF638" s="4"/>
      <c r="BG638" s="4"/>
      <c r="BH638" s="4"/>
      <c r="BI638" s="4"/>
      <c r="BJ638" s="4"/>
      <c r="BK638" s="4"/>
      <c r="BL638" s="4"/>
      <c r="BM638" s="4"/>
      <c r="BN638" s="4"/>
    </row>
    <row r="639" ht="13.5" customHeight="1" spans="1:66" x14ac:dyDescent="0.25">
      <c r="A639" s="4"/>
      <c r="B639" s="4"/>
      <c r="C639" s="533"/>
      <c r="D639" s="4"/>
      <c r="E639" s="4"/>
      <c r="F639" s="4"/>
      <c r="G639" s="4"/>
      <c r="H639" s="4"/>
      <c r="I639" s="4"/>
      <c r="J639" s="4"/>
      <c r="K639" s="4"/>
      <c r="L639" s="4"/>
      <c r="M639" s="4"/>
      <c r="N639" s="4"/>
      <c r="O639" s="4"/>
      <c r="P639" s="4"/>
      <c r="Q639" s="4"/>
      <c r="R639" s="4"/>
      <c r="S639" s="4"/>
      <c r="T639" s="4"/>
      <c r="U639" s="4"/>
      <c r="V639" s="4"/>
      <c r="W639" s="4"/>
      <c r="X639" s="4"/>
      <c r="Y639" s="4"/>
      <c r="Z639" s="4"/>
      <c r="AA639" s="4"/>
      <c r="AB639" s="4"/>
      <c r="AC639" s="4"/>
      <c r="AD639" s="4"/>
      <c r="AE639" s="4"/>
      <c r="AF639" s="4"/>
      <c r="AG639" s="4"/>
      <c r="AH639" s="4"/>
      <c r="AI639" s="4"/>
      <c r="AJ639" s="4"/>
      <c r="AK639" s="4"/>
      <c r="AL639" s="4"/>
      <c r="AM639" s="4"/>
      <c r="AN639" s="4"/>
      <c r="AO639" s="4"/>
      <c r="AP639" s="4"/>
      <c r="AQ639" s="4"/>
      <c r="AR639" s="4"/>
      <c r="AS639" s="4"/>
      <c r="AT639" s="4"/>
      <c r="AU639" s="4"/>
      <c r="AV639" s="4"/>
      <c r="AW639" s="4"/>
      <c r="AX639" s="4"/>
      <c r="AY639" s="4"/>
      <c r="AZ639" s="4"/>
      <c r="BA639" s="4"/>
      <c r="BB639" s="4"/>
      <c r="BC639" s="4"/>
      <c r="BD639" s="4"/>
      <c r="BE639" s="4"/>
      <c r="BF639" s="4"/>
      <c r="BG639" s="4"/>
      <c r="BH639" s="4"/>
      <c r="BI639" s="4"/>
      <c r="BJ639" s="4"/>
      <c r="BK639" s="4"/>
      <c r="BL639" s="4"/>
      <c r="BM639" s="4"/>
      <c r="BN639" s="4"/>
    </row>
    <row r="640" ht="13.5" customHeight="1" spans="1:66" x14ac:dyDescent="0.25">
      <c r="A640" s="4"/>
      <c r="B640" s="4"/>
      <c r="C640" s="533"/>
      <c r="D640" s="4"/>
      <c r="E640" s="4"/>
      <c r="F640" s="4"/>
      <c r="G640" s="4"/>
      <c r="H640" s="4"/>
      <c r="I640" s="4"/>
      <c r="J640" s="4"/>
      <c r="K640" s="4"/>
      <c r="L640" s="4"/>
      <c r="M640" s="4"/>
      <c r="N640" s="4"/>
      <c r="O640" s="4"/>
      <c r="P640" s="4"/>
      <c r="Q640" s="4"/>
      <c r="R640" s="4"/>
      <c r="S640" s="4"/>
      <c r="T640" s="4"/>
      <c r="U640" s="4"/>
      <c r="V640" s="4"/>
      <c r="W640" s="4"/>
      <c r="X640" s="4"/>
      <c r="Y640" s="4"/>
      <c r="Z640" s="4"/>
      <c r="AA640" s="4"/>
      <c r="AB640" s="4"/>
      <c r="AC640" s="4"/>
      <c r="AD640" s="4"/>
      <c r="AE640" s="4"/>
      <c r="AF640" s="4"/>
      <c r="AG640" s="4"/>
      <c r="AH640" s="4"/>
      <c r="AI640" s="4"/>
      <c r="AJ640" s="4"/>
      <c r="AK640" s="4"/>
      <c r="AL640" s="4"/>
      <c r="AM640" s="4"/>
      <c r="AN640" s="4"/>
      <c r="AO640" s="4"/>
      <c r="AP640" s="4"/>
      <c r="AQ640" s="4"/>
      <c r="AR640" s="4"/>
      <c r="AS640" s="4"/>
      <c r="AT640" s="4"/>
      <c r="AU640" s="4"/>
      <c r="AV640" s="4"/>
      <c r="AW640" s="4"/>
      <c r="AX640" s="4"/>
      <c r="AY640" s="4"/>
      <c r="AZ640" s="4"/>
      <c r="BA640" s="4"/>
      <c r="BB640" s="4"/>
      <c r="BC640" s="4"/>
      <c r="BD640" s="4"/>
      <c r="BE640" s="4"/>
      <c r="BF640" s="4"/>
      <c r="BG640" s="4"/>
      <c r="BH640" s="4"/>
      <c r="BI640" s="4"/>
      <c r="BJ640" s="4"/>
      <c r="BK640" s="4"/>
      <c r="BL640" s="4"/>
      <c r="BM640" s="4"/>
      <c r="BN640" s="4"/>
    </row>
    <row r="641" ht="13.5" customHeight="1" spans="1:66" x14ac:dyDescent="0.25">
      <c r="A641" s="4"/>
      <c r="B641" s="4"/>
      <c r="C641" s="533"/>
      <c r="D641" s="4"/>
      <c r="E641" s="4"/>
      <c r="F641" s="4"/>
      <c r="G641" s="4"/>
      <c r="H641" s="4"/>
      <c r="I641" s="4"/>
      <c r="J641" s="4"/>
      <c r="K641" s="4"/>
      <c r="L641" s="4"/>
      <c r="M641" s="4"/>
      <c r="N641" s="4"/>
      <c r="O641" s="4"/>
      <c r="P641" s="4"/>
      <c r="Q641" s="4"/>
      <c r="R641" s="4"/>
      <c r="S641" s="4"/>
      <c r="T641" s="4"/>
      <c r="U641" s="4"/>
      <c r="V641" s="4"/>
      <c r="W641" s="4"/>
      <c r="X641" s="4"/>
      <c r="Y641" s="4"/>
      <c r="Z641" s="4"/>
      <c r="AA641" s="4"/>
      <c r="AB641" s="4"/>
      <c r="AC641" s="4"/>
      <c r="AD641" s="4"/>
      <c r="AE641" s="4"/>
      <c r="AF641" s="4"/>
      <c r="AG641" s="4"/>
      <c r="AH641" s="4"/>
      <c r="AI641" s="4"/>
      <c r="AJ641" s="4"/>
      <c r="AK641" s="4"/>
      <c r="AL641" s="4"/>
      <c r="AM641" s="4"/>
      <c r="AN641" s="4"/>
      <c r="AO641" s="4"/>
      <c r="AP641" s="4"/>
      <c r="AQ641" s="4"/>
      <c r="AR641" s="4"/>
      <c r="AS641" s="4"/>
      <c r="AT641" s="4"/>
      <c r="AU641" s="4"/>
      <c r="AV641" s="4"/>
      <c r="AW641" s="4"/>
      <c r="AX641" s="4"/>
      <c r="AY641" s="4"/>
      <c r="AZ641" s="4"/>
      <c r="BA641" s="4"/>
      <c r="BB641" s="4"/>
      <c r="BC641" s="4"/>
      <c r="BD641" s="4"/>
      <c r="BE641" s="4"/>
      <c r="BF641" s="4"/>
      <c r="BG641" s="4"/>
      <c r="BH641" s="4"/>
      <c r="BI641" s="4"/>
      <c r="BJ641" s="4"/>
      <c r="BK641" s="4"/>
      <c r="BL641" s="4"/>
      <c r="BM641" s="4"/>
      <c r="BN641" s="4"/>
    </row>
    <row r="642" ht="13.5" customHeight="1" spans="1:66" x14ac:dyDescent="0.25">
      <c r="A642" s="4"/>
      <c r="B642" s="4"/>
      <c r="C642" s="533"/>
      <c r="D642" s="4"/>
      <c r="E642" s="4"/>
      <c r="F642" s="4"/>
      <c r="G642" s="4"/>
      <c r="H642" s="4"/>
      <c r="I642" s="4"/>
      <c r="J642" s="4"/>
      <c r="K642" s="4"/>
      <c r="L642" s="4"/>
      <c r="M642" s="4"/>
      <c r="N642" s="4"/>
      <c r="O642" s="4"/>
      <c r="P642" s="4"/>
      <c r="Q642" s="4"/>
      <c r="R642" s="4"/>
      <c r="S642" s="4"/>
      <c r="T642" s="4"/>
      <c r="U642" s="4"/>
      <c r="V642" s="4"/>
      <c r="W642" s="4"/>
      <c r="X642" s="4"/>
      <c r="Y642" s="4"/>
      <c r="Z642" s="4"/>
      <c r="AA642" s="4"/>
      <c r="AB642" s="4"/>
      <c r="AC642" s="4"/>
      <c r="AD642" s="4"/>
      <c r="AE642" s="4"/>
      <c r="AF642" s="4"/>
      <c r="AG642" s="4"/>
      <c r="AH642" s="4"/>
      <c r="AI642" s="4"/>
      <c r="AJ642" s="4"/>
      <c r="AK642" s="4"/>
      <c r="AL642" s="4"/>
      <c r="AM642" s="4"/>
      <c r="AN642" s="4"/>
      <c r="AO642" s="4"/>
      <c r="AP642" s="4"/>
      <c r="AQ642" s="4"/>
      <c r="AR642" s="4"/>
      <c r="AS642" s="4"/>
      <c r="AT642" s="4"/>
      <c r="AU642" s="4"/>
      <c r="AV642" s="4"/>
      <c r="AW642" s="4"/>
      <c r="AX642" s="4"/>
      <c r="AY642" s="4"/>
      <c r="AZ642" s="4"/>
      <c r="BA642" s="4"/>
      <c r="BB642" s="4"/>
      <c r="BC642" s="4"/>
      <c r="BD642" s="4"/>
      <c r="BE642" s="4"/>
      <c r="BF642" s="4"/>
      <c r="BG642" s="4"/>
      <c r="BH642" s="4"/>
      <c r="BI642" s="4"/>
      <c r="BJ642" s="4"/>
      <c r="BK642" s="4"/>
      <c r="BL642" s="4"/>
      <c r="BM642" s="4"/>
      <c r="BN642" s="4"/>
    </row>
    <row r="643" ht="13.5" customHeight="1" spans="1:66" x14ac:dyDescent="0.25">
      <c r="A643" s="4"/>
      <c r="B643" s="4"/>
      <c r="C643" s="533"/>
      <c r="D643" s="4"/>
      <c r="E643" s="4"/>
      <c r="F643" s="4"/>
      <c r="G643" s="4"/>
      <c r="H643" s="4"/>
      <c r="I643" s="4"/>
      <c r="J643" s="4"/>
      <c r="K643" s="4"/>
      <c r="L643" s="4"/>
      <c r="M643" s="4"/>
      <c r="N643" s="4"/>
      <c r="O643" s="4"/>
      <c r="P643" s="4"/>
      <c r="Q643" s="4"/>
      <c r="R643" s="4"/>
      <c r="S643" s="4"/>
      <c r="T643" s="4"/>
      <c r="U643" s="4"/>
      <c r="V643" s="4"/>
      <c r="W643" s="4"/>
      <c r="X643" s="4"/>
      <c r="Y643" s="4"/>
      <c r="Z643" s="4"/>
      <c r="AA643" s="4"/>
      <c r="AB643" s="4"/>
      <c r="AC643" s="4"/>
      <c r="AD643" s="4"/>
      <c r="AE643" s="4"/>
      <c r="AF643" s="4"/>
      <c r="AG643" s="4"/>
      <c r="AH643" s="4"/>
      <c r="AI643" s="4"/>
      <c r="AJ643" s="4"/>
      <c r="AK643" s="4"/>
      <c r="AL643" s="4"/>
      <c r="AM643" s="4"/>
      <c r="AN643" s="4"/>
      <c r="AO643" s="4"/>
      <c r="AP643" s="4"/>
      <c r="AQ643" s="4"/>
      <c r="AR643" s="4"/>
      <c r="AS643" s="4"/>
      <c r="AT643" s="4"/>
      <c r="AU643" s="4"/>
      <c r="AV643" s="4"/>
      <c r="AW643" s="4"/>
      <c r="AX643" s="4"/>
      <c r="AY643" s="4"/>
      <c r="AZ643" s="4"/>
      <c r="BA643" s="4"/>
      <c r="BB643" s="4"/>
      <c r="BC643" s="4"/>
      <c r="BD643" s="4"/>
      <c r="BE643" s="4"/>
      <c r="BF643" s="4"/>
      <c r="BG643" s="4"/>
      <c r="BH643" s="4"/>
      <c r="BI643" s="4"/>
      <c r="BJ643" s="4"/>
      <c r="BK643" s="4"/>
      <c r="BL643" s="4"/>
      <c r="BM643" s="4"/>
      <c r="BN643" s="4"/>
    </row>
    <row r="644" ht="13.5" customHeight="1" spans="1:66" x14ac:dyDescent="0.25">
      <c r="A644" s="4"/>
      <c r="B644" s="4"/>
      <c r="C644" s="533"/>
      <c r="D644" s="4"/>
      <c r="E644" s="4"/>
      <c r="F644" s="4"/>
      <c r="G644" s="4"/>
      <c r="H644" s="4"/>
      <c r="I644" s="4"/>
      <c r="J644" s="4"/>
      <c r="K644" s="4"/>
      <c r="L644" s="4"/>
      <c r="M644" s="4"/>
      <c r="N644" s="4"/>
      <c r="O644" s="4"/>
      <c r="P644" s="4"/>
      <c r="Q644" s="4"/>
      <c r="R644" s="4"/>
      <c r="S644" s="4"/>
      <c r="T644" s="4"/>
      <c r="U644" s="4"/>
      <c r="V644" s="4"/>
      <c r="W644" s="4"/>
      <c r="X644" s="4"/>
      <c r="Y644" s="4"/>
      <c r="Z644" s="4"/>
      <c r="AA644" s="4"/>
      <c r="AB644" s="4"/>
      <c r="AC644" s="4"/>
      <c r="AD644" s="4"/>
      <c r="AE644" s="4"/>
      <c r="AF644" s="4"/>
      <c r="AG644" s="4"/>
      <c r="AH644" s="4"/>
      <c r="AI644" s="4"/>
      <c r="AJ644" s="4"/>
      <c r="AK644" s="4"/>
      <c r="AL644" s="4"/>
      <c r="AM644" s="4"/>
      <c r="AN644" s="4"/>
      <c r="AO644" s="4"/>
      <c r="AP644" s="4"/>
      <c r="AQ644" s="4"/>
      <c r="AR644" s="4"/>
      <c r="AS644" s="4"/>
      <c r="AT644" s="4"/>
      <c r="AU644" s="4"/>
      <c r="AV644" s="4"/>
      <c r="AW644" s="4"/>
      <c r="AX644" s="4"/>
      <c r="AY644" s="4"/>
      <c r="AZ644" s="4"/>
      <c r="BA644" s="4"/>
      <c r="BB644" s="4"/>
      <c r="BC644" s="4"/>
      <c r="BD644" s="4"/>
      <c r="BE644" s="4"/>
      <c r="BF644" s="4"/>
      <c r="BG644" s="4"/>
      <c r="BH644" s="4"/>
      <c r="BI644" s="4"/>
      <c r="BJ644" s="4"/>
      <c r="BK644" s="4"/>
      <c r="BL644" s="4"/>
      <c r="BM644" s="4"/>
      <c r="BN644" s="4"/>
    </row>
    <row r="645" ht="13.5" customHeight="1" spans="1:66" x14ac:dyDescent="0.25">
      <c r="A645" s="4"/>
      <c r="B645" s="4"/>
      <c r="C645" s="533"/>
      <c r="D645" s="4"/>
      <c r="E645" s="4"/>
      <c r="F645" s="4"/>
      <c r="G645" s="4"/>
      <c r="H645" s="4"/>
      <c r="I645" s="4"/>
      <c r="J645" s="4"/>
      <c r="K645" s="4"/>
      <c r="L645" s="4"/>
      <c r="M645" s="4"/>
      <c r="N645" s="4"/>
      <c r="O645" s="4"/>
      <c r="P645" s="4"/>
      <c r="Q645" s="4"/>
      <c r="R645" s="4"/>
      <c r="S645" s="4"/>
      <c r="T645" s="4"/>
      <c r="U645" s="4"/>
      <c r="V645" s="4"/>
      <c r="W645" s="4"/>
      <c r="X645" s="4"/>
      <c r="Y645" s="4"/>
      <c r="Z645" s="4"/>
      <c r="AA645" s="4"/>
      <c r="AB645" s="4"/>
      <c r="AC645" s="4"/>
      <c r="AD645" s="4"/>
      <c r="AE645" s="4"/>
      <c r="AF645" s="4"/>
      <c r="AG645" s="4"/>
      <c r="AH645" s="4"/>
      <c r="AI645" s="4"/>
      <c r="AJ645" s="4"/>
      <c r="AK645" s="4"/>
      <c r="AL645" s="4"/>
      <c r="AM645" s="4"/>
      <c r="AN645" s="4"/>
      <c r="AO645" s="4"/>
      <c r="AP645" s="4"/>
      <c r="AQ645" s="4"/>
      <c r="AR645" s="4"/>
      <c r="AS645" s="4"/>
      <c r="AT645" s="4"/>
      <c r="AU645" s="4"/>
      <c r="AV645" s="4"/>
      <c r="AW645" s="4"/>
      <c r="AX645" s="4"/>
      <c r="AY645" s="4"/>
      <c r="AZ645" s="4"/>
      <c r="BA645" s="4"/>
      <c r="BB645" s="4"/>
      <c r="BC645" s="4"/>
      <c r="BD645" s="4"/>
      <c r="BE645" s="4"/>
      <c r="BF645" s="4"/>
      <c r="BG645" s="4"/>
      <c r="BH645" s="4"/>
      <c r="BI645" s="4"/>
      <c r="BJ645" s="4"/>
      <c r="BK645" s="4"/>
      <c r="BL645" s="4"/>
      <c r="BM645" s="4"/>
      <c r="BN645" s="4"/>
    </row>
    <row r="646" ht="13.5" customHeight="1" spans="1:66" x14ac:dyDescent="0.25">
      <c r="A646" s="4"/>
      <c r="B646" s="4"/>
      <c r="C646" s="533"/>
      <c r="D646" s="4"/>
      <c r="E646" s="4"/>
      <c r="F646" s="4"/>
      <c r="G646" s="4"/>
      <c r="H646" s="4"/>
      <c r="I646" s="4"/>
      <c r="J646" s="4"/>
      <c r="K646" s="4"/>
      <c r="L646" s="4"/>
      <c r="M646" s="4"/>
      <c r="N646" s="4"/>
      <c r="O646" s="4"/>
      <c r="P646" s="4"/>
      <c r="Q646" s="4"/>
      <c r="R646" s="4"/>
      <c r="S646" s="4"/>
      <c r="T646" s="4"/>
      <c r="U646" s="4"/>
      <c r="V646" s="4"/>
      <c r="W646" s="4"/>
      <c r="X646" s="4"/>
      <c r="Y646" s="4"/>
      <c r="Z646" s="4"/>
      <c r="AA646" s="4"/>
      <c r="AB646" s="4"/>
      <c r="AC646" s="4"/>
      <c r="AD646" s="4"/>
      <c r="AE646" s="4"/>
      <c r="AF646" s="4"/>
      <c r="AG646" s="4"/>
      <c r="AH646" s="4"/>
      <c r="AI646" s="4"/>
      <c r="AJ646" s="4"/>
      <c r="AK646" s="4"/>
      <c r="AL646" s="4"/>
      <c r="AM646" s="4"/>
      <c r="AN646" s="4"/>
      <c r="AO646" s="4"/>
      <c r="AP646" s="4"/>
      <c r="AQ646" s="4"/>
      <c r="AR646" s="4"/>
      <c r="AS646" s="4"/>
      <c r="AT646" s="4"/>
      <c r="AU646" s="4"/>
      <c r="AV646" s="4"/>
      <c r="AW646" s="4"/>
      <c r="AX646" s="4"/>
      <c r="AY646" s="4"/>
      <c r="AZ646" s="4"/>
      <c r="BA646" s="4"/>
      <c r="BB646" s="4"/>
      <c r="BC646" s="4"/>
      <c r="BD646" s="4"/>
      <c r="BE646" s="4"/>
      <c r="BF646" s="4"/>
      <c r="BG646" s="4"/>
      <c r="BH646" s="4"/>
      <c r="BI646" s="4"/>
      <c r="BJ646" s="4"/>
      <c r="BK646" s="4"/>
      <c r="BL646" s="4"/>
      <c r="BM646" s="4"/>
      <c r="BN646" s="4"/>
    </row>
    <row r="647" ht="13.5" customHeight="1" spans="1:66" x14ac:dyDescent="0.25">
      <c r="A647" s="4"/>
      <c r="B647" s="4"/>
      <c r="C647" s="533"/>
      <c r="D647" s="4"/>
      <c r="E647" s="4"/>
      <c r="F647" s="4"/>
      <c r="G647" s="4"/>
      <c r="H647" s="4"/>
      <c r="I647" s="4"/>
      <c r="J647" s="4"/>
      <c r="K647" s="4"/>
      <c r="L647" s="4"/>
      <c r="M647" s="4"/>
      <c r="N647" s="4"/>
      <c r="O647" s="4"/>
      <c r="P647" s="4"/>
      <c r="Q647" s="4"/>
      <c r="R647" s="4"/>
      <c r="S647" s="4"/>
      <c r="T647" s="4"/>
      <c r="U647" s="4"/>
      <c r="V647" s="4"/>
      <c r="W647" s="4"/>
      <c r="X647" s="4"/>
      <c r="Y647" s="4"/>
      <c r="Z647" s="4"/>
      <c r="AA647" s="4"/>
      <c r="AB647" s="4"/>
      <c r="AC647" s="4"/>
      <c r="AD647" s="4"/>
      <c r="AE647" s="4"/>
      <c r="AF647" s="4"/>
      <c r="AG647" s="4"/>
      <c r="AH647" s="4"/>
      <c r="AI647" s="4"/>
      <c r="AJ647" s="4"/>
      <c r="AK647" s="4"/>
      <c r="AL647" s="4"/>
      <c r="AM647" s="4"/>
      <c r="AN647" s="4"/>
      <c r="AO647" s="4"/>
      <c r="AP647" s="4"/>
      <c r="AQ647" s="4"/>
      <c r="AR647" s="4"/>
      <c r="AS647" s="4"/>
      <c r="AT647" s="4"/>
      <c r="AU647" s="4"/>
      <c r="AV647" s="4"/>
      <c r="AW647" s="4"/>
      <c r="AX647" s="4"/>
      <c r="AY647" s="4"/>
      <c r="AZ647" s="4"/>
      <c r="BA647" s="4"/>
      <c r="BB647" s="4"/>
      <c r="BC647" s="4"/>
      <c r="BD647" s="4"/>
      <c r="BE647" s="4"/>
      <c r="BF647" s="4"/>
      <c r="BG647" s="4"/>
      <c r="BH647" s="4"/>
      <c r="BI647" s="4"/>
      <c r="BJ647" s="4"/>
      <c r="BK647" s="4"/>
      <c r="BL647" s="4"/>
      <c r="BM647" s="4"/>
      <c r="BN647" s="4"/>
    </row>
    <row r="648" ht="13.5" customHeight="1" spans="1:66" x14ac:dyDescent="0.25">
      <c r="A648" s="4"/>
      <c r="B648" s="4"/>
      <c r="C648" s="533"/>
      <c r="D648" s="4"/>
      <c r="E648" s="4"/>
      <c r="F648" s="4"/>
      <c r="G648" s="4"/>
      <c r="H648" s="4"/>
      <c r="I648" s="4"/>
      <c r="J648" s="4"/>
      <c r="K648" s="4"/>
      <c r="L648" s="4"/>
      <c r="M648" s="4"/>
      <c r="N648" s="4"/>
      <c r="O648" s="4"/>
      <c r="P648" s="4"/>
      <c r="Q648" s="4"/>
      <c r="R648" s="4"/>
      <c r="S648" s="4"/>
      <c r="T648" s="4"/>
      <c r="U648" s="4"/>
      <c r="V648" s="4"/>
      <c r="W648" s="4"/>
      <c r="X648" s="4"/>
      <c r="Y648" s="4"/>
      <c r="Z648" s="4"/>
      <c r="AA648" s="4"/>
      <c r="AB648" s="4"/>
      <c r="AC648" s="4"/>
      <c r="AD648" s="4"/>
      <c r="AE648" s="4"/>
      <c r="AF648" s="4"/>
      <c r="AG648" s="4"/>
      <c r="AH648" s="4"/>
      <c r="AI648" s="4"/>
      <c r="AJ648" s="4"/>
      <c r="AK648" s="4"/>
      <c r="AL648" s="4"/>
      <c r="AM648" s="4"/>
      <c r="AN648" s="4"/>
      <c r="AO648" s="4"/>
      <c r="AP648" s="4"/>
      <c r="AQ648" s="4"/>
      <c r="AR648" s="4"/>
      <c r="AS648" s="4"/>
      <c r="AT648" s="4"/>
      <c r="AU648" s="4"/>
      <c r="AV648" s="4"/>
      <c r="AW648" s="4"/>
      <c r="AX648" s="4"/>
      <c r="AY648" s="4"/>
      <c r="AZ648" s="4"/>
      <c r="BA648" s="4"/>
      <c r="BB648" s="4"/>
      <c r="BC648" s="4"/>
      <c r="BD648" s="4"/>
      <c r="BE648" s="4"/>
      <c r="BF648" s="4"/>
      <c r="BG648" s="4"/>
      <c r="BH648" s="4"/>
      <c r="BI648" s="4"/>
      <c r="BJ648" s="4"/>
      <c r="BK648" s="4"/>
      <c r="BL648" s="4"/>
      <c r="BM648" s="4"/>
      <c r="BN648" s="4"/>
    </row>
    <row r="649" ht="13.5" customHeight="1" spans="1:66" x14ac:dyDescent="0.25">
      <c r="A649" s="4"/>
      <c r="B649" s="4"/>
      <c r="C649" s="533"/>
      <c r="D649" s="4"/>
      <c r="E649" s="4"/>
      <c r="F649" s="4"/>
      <c r="G649" s="4"/>
      <c r="H649" s="4"/>
      <c r="I649" s="4"/>
      <c r="J649" s="4"/>
      <c r="K649" s="4"/>
      <c r="L649" s="4"/>
      <c r="M649" s="4"/>
      <c r="N649" s="4"/>
      <c r="O649" s="4"/>
      <c r="P649" s="4"/>
      <c r="Q649" s="4"/>
      <c r="R649" s="4"/>
      <c r="S649" s="4"/>
      <c r="T649" s="4"/>
      <c r="U649" s="4"/>
      <c r="V649" s="4"/>
      <c r="W649" s="4"/>
      <c r="X649" s="4"/>
      <c r="Y649" s="4"/>
      <c r="Z649" s="4"/>
      <c r="AA649" s="4"/>
      <c r="AB649" s="4"/>
      <c r="AC649" s="4"/>
      <c r="AD649" s="4"/>
      <c r="AE649" s="4"/>
      <c r="AF649" s="4"/>
      <c r="AG649" s="4"/>
      <c r="AH649" s="4"/>
      <c r="AI649" s="4"/>
      <c r="AJ649" s="4"/>
      <c r="AK649" s="4"/>
      <c r="AL649" s="4"/>
      <c r="AM649" s="4"/>
      <c r="AN649" s="4"/>
      <c r="AO649" s="4"/>
      <c r="AP649" s="4"/>
      <c r="AQ649" s="4"/>
      <c r="AR649" s="4"/>
      <c r="AS649" s="4"/>
      <c r="AT649" s="4"/>
      <c r="AU649" s="4"/>
      <c r="AV649" s="4"/>
      <c r="AW649" s="4"/>
      <c r="AX649" s="4"/>
      <c r="AY649" s="4"/>
      <c r="AZ649" s="4"/>
      <c r="BA649" s="4"/>
      <c r="BB649" s="4"/>
      <c r="BC649" s="4"/>
      <c r="BD649" s="4"/>
      <c r="BE649" s="4"/>
      <c r="BF649" s="4"/>
      <c r="BG649" s="4"/>
      <c r="BH649" s="4"/>
      <c r="BI649" s="4"/>
      <c r="BJ649" s="4"/>
      <c r="BK649" s="4"/>
      <c r="BL649" s="4"/>
      <c r="BM649" s="4"/>
      <c r="BN649" s="4"/>
    </row>
    <row r="650" ht="13.5" customHeight="1" spans="1:66" x14ac:dyDescent="0.25">
      <c r="A650" s="4"/>
      <c r="B650" s="4"/>
      <c r="C650" s="533"/>
      <c r="D650" s="4"/>
      <c r="E650" s="4"/>
      <c r="F650" s="4"/>
      <c r="G650" s="4"/>
      <c r="H650" s="4"/>
      <c r="I650" s="4"/>
      <c r="J650" s="4"/>
      <c r="K650" s="4"/>
      <c r="L650" s="4"/>
      <c r="M650" s="4"/>
      <c r="N650" s="4"/>
      <c r="O650" s="4"/>
      <c r="P650" s="4"/>
      <c r="Q650" s="4"/>
      <c r="R650" s="4"/>
      <c r="S650" s="4"/>
      <c r="T650" s="4"/>
      <c r="U650" s="4"/>
      <c r="V650" s="4"/>
      <c r="W650" s="4"/>
      <c r="X650" s="4"/>
      <c r="Y650" s="4"/>
      <c r="Z650" s="4"/>
      <c r="AA650" s="4"/>
      <c r="AB650" s="4"/>
      <c r="AC650" s="4"/>
      <c r="AD650" s="4"/>
      <c r="AE650" s="4"/>
      <c r="AF650" s="4"/>
      <c r="AG650" s="4"/>
      <c r="AH650" s="4"/>
      <c r="AI650" s="4"/>
      <c r="AJ650" s="4"/>
      <c r="AK650" s="4"/>
      <c r="AL650" s="4"/>
      <c r="AM650" s="4"/>
      <c r="AN650" s="4"/>
      <c r="AO650" s="4"/>
      <c r="AP650" s="4"/>
      <c r="AQ650" s="4"/>
      <c r="AR650" s="4"/>
      <c r="AS650" s="4"/>
      <c r="AT650" s="4"/>
      <c r="AU650" s="4"/>
      <c r="AV650" s="4"/>
      <c r="AW650" s="4"/>
      <c r="AX650" s="4"/>
      <c r="AY650" s="4"/>
      <c r="AZ650" s="4"/>
      <c r="BA650" s="4"/>
      <c r="BB650" s="4"/>
      <c r="BC650" s="4"/>
      <c r="BD650" s="4"/>
      <c r="BE650" s="4"/>
      <c r="BF650" s="4"/>
      <c r="BG650" s="4"/>
      <c r="BH650" s="4"/>
      <c r="BI650" s="4"/>
      <c r="BJ650" s="4"/>
      <c r="BK650" s="4"/>
      <c r="BL650" s="4"/>
      <c r="BM650" s="4"/>
      <c r="BN650" s="4"/>
    </row>
    <row r="651" ht="13.5" customHeight="1" spans="1:66" x14ac:dyDescent="0.25">
      <c r="A651" s="4"/>
      <c r="B651" s="4"/>
      <c r="C651" s="533"/>
      <c r="D651" s="4"/>
      <c r="E651" s="4"/>
      <c r="F651" s="4"/>
      <c r="G651" s="4"/>
      <c r="H651" s="4"/>
      <c r="I651" s="4"/>
      <c r="J651" s="4"/>
      <c r="K651" s="4"/>
      <c r="L651" s="4"/>
      <c r="M651" s="4"/>
      <c r="N651" s="4"/>
      <c r="O651" s="4"/>
      <c r="P651" s="4"/>
      <c r="Q651" s="4"/>
      <c r="R651" s="4"/>
      <c r="S651" s="4"/>
      <c r="T651" s="4"/>
      <c r="U651" s="4"/>
      <c r="V651" s="4"/>
      <c r="W651" s="4"/>
      <c r="X651" s="4"/>
      <c r="Y651" s="4"/>
      <c r="Z651" s="4"/>
      <c r="AA651" s="4"/>
      <c r="AB651" s="4"/>
      <c r="AC651" s="4"/>
      <c r="AD651" s="4"/>
      <c r="AE651" s="4"/>
      <c r="AF651" s="4"/>
      <c r="AG651" s="4"/>
      <c r="AH651" s="4"/>
      <c r="AI651" s="4"/>
      <c r="AJ651" s="4"/>
      <c r="AK651" s="4"/>
      <c r="AL651" s="4"/>
      <c r="AM651" s="4"/>
      <c r="AN651" s="4"/>
      <c r="AO651" s="4"/>
      <c r="AP651" s="4"/>
      <c r="AQ651" s="4"/>
      <c r="AR651" s="4"/>
      <c r="AS651" s="4"/>
      <c r="AT651" s="4"/>
      <c r="AU651" s="4"/>
      <c r="AV651" s="4"/>
      <c r="AW651" s="4"/>
      <c r="AX651" s="4"/>
      <c r="AY651" s="4"/>
      <c r="AZ651" s="4"/>
      <c r="BA651" s="4"/>
      <c r="BB651" s="4"/>
      <c r="BC651" s="4"/>
      <c r="BD651" s="4"/>
      <c r="BE651" s="4"/>
      <c r="BF651" s="4"/>
      <c r="BG651" s="4"/>
      <c r="BH651" s="4"/>
      <c r="BI651" s="4"/>
      <c r="BJ651" s="4"/>
      <c r="BK651" s="4"/>
      <c r="BL651" s="4"/>
      <c r="BM651" s="4"/>
      <c r="BN651" s="4"/>
    </row>
    <row r="652" ht="13.5" customHeight="1" spans="1:66" x14ac:dyDescent="0.25">
      <c r="A652" s="4"/>
      <c r="B652" s="4"/>
      <c r="C652" s="533"/>
      <c r="D652" s="4"/>
      <c r="E652" s="4"/>
      <c r="F652" s="4"/>
      <c r="G652" s="4"/>
      <c r="H652" s="4"/>
      <c r="I652" s="4"/>
      <c r="J652" s="4"/>
      <c r="K652" s="4"/>
      <c r="L652" s="4"/>
      <c r="M652" s="4"/>
      <c r="N652" s="4"/>
      <c r="O652" s="4"/>
      <c r="P652" s="4"/>
      <c r="Q652" s="4"/>
      <c r="R652" s="4"/>
      <c r="S652" s="4"/>
      <c r="T652" s="4"/>
      <c r="U652" s="4"/>
      <c r="V652" s="4"/>
      <c r="W652" s="4"/>
      <c r="X652" s="4"/>
      <c r="Y652" s="4"/>
      <c r="Z652" s="4"/>
      <c r="AA652" s="4"/>
      <c r="AB652" s="4"/>
      <c r="AC652" s="4"/>
      <c r="AD652" s="4"/>
      <c r="AE652" s="4"/>
      <c r="AF652" s="4"/>
      <c r="AG652" s="4"/>
      <c r="AH652" s="4"/>
      <c r="AI652" s="4"/>
      <c r="AJ652" s="4"/>
      <c r="AK652" s="4"/>
      <c r="AL652" s="4"/>
      <c r="AM652" s="4"/>
      <c r="AN652" s="4"/>
      <c r="AO652" s="4"/>
      <c r="AP652" s="4"/>
      <c r="AQ652" s="4"/>
      <c r="AR652" s="4"/>
      <c r="AS652" s="4"/>
      <c r="AT652" s="4"/>
      <c r="AU652" s="4"/>
      <c r="AV652" s="4"/>
      <c r="AW652" s="4"/>
      <c r="AX652" s="4"/>
      <c r="AY652" s="4"/>
      <c r="AZ652" s="4"/>
      <c r="BA652" s="4"/>
      <c r="BB652" s="4"/>
      <c r="BC652" s="4"/>
      <c r="BD652" s="4"/>
      <c r="BE652" s="4"/>
      <c r="BF652" s="4"/>
      <c r="BG652" s="4"/>
      <c r="BH652" s="4"/>
      <c r="BI652" s="4"/>
      <c r="BJ652" s="4"/>
      <c r="BK652" s="4"/>
      <c r="BL652" s="4"/>
      <c r="BM652" s="4"/>
      <c r="BN652" s="4"/>
    </row>
    <row r="653" ht="13.5" customHeight="1" spans="1:66" x14ac:dyDescent="0.25">
      <c r="A653" s="4"/>
      <c r="B653" s="4"/>
      <c r="C653" s="533"/>
      <c r="D653" s="4"/>
      <c r="E653" s="4"/>
      <c r="F653" s="4"/>
      <c r="G653" s="4"/>
      <c r="H653" s="4"/>
      <c r="I653" s="4"/>
      <c r="J653" s="4"/>
      <c r="K653" s="4"/>
      <c r="L653" s="4"/>
      <c r="M653" s="4"/>
      <c r="N653" s="4"/>
      <c r="O653" s="4"/>
      <c r="P653" s="4"/>
      <c r="Q653" s="4"/>
      <c r="R653" s="4"/>
      <c r="S653" s="4"/>
      <c r="T653" s="4"/>
      <c r="U653" s="4"/>
      <c r="V653" s="4"/>
      <c r="W653" s="4"/>
      <c r="X653" s="4"/>
      <c r="Y653" s="4"/>
      <c r="Z653" s="4"/>
      <c r="AA653" s="4"/>
      <c r="AB653" s="4"/>
      <c r="AC653" s="4"/>
      <c r="AD653" s="4"/>
      <c r="AE653" s="4"/>
      <c r="AF653" s="4"/>
      <c r="AG653" s="4"/>
      <c r="AH653" s="4"/>
      <c r="AI653" s="4"/>
      <c r="AJ653" s="4"/>
      <c r="AK653" s="4"/>
      <c r="AL653" s="4"/>
      <c r="AM653" s="4"/>
      <c r="AN653" s="4"/>
      <c r="AO653" s="4"/>
      <c r="AP653" s="4"/>
      <c r="AQ653" s="4"/>
      <c r="AR653" s="4"/>
      <c r="AS653" s="4"/>
      <c r="AT653" s="4"/>
      <c r="AU653" s="4"/>
      <c r="AV653" s="4"/>
      <c r="AW653" s="4"/>
      <c r="AX653" s="4"/>
      <c r="AY653" s="4"/>
      <c r="AZ653" s="4"/>
      <c r="BA653" s="4"/>
      <c r="BB653" s="4"/>
      <c r="BC653" s="4"/>
      <c r="BD653" s="4"/>
      <c r="BE653" s="4"/>
      <c r="BF653" s="4"/>
      <c r="BG653" s="4"/>
      <c r="BH653" s="4"/>
      <c r="BI653" s="4"/>
      <c r="BJ653" s="4"/>
      <c r="BK653" s="4"/>
      <c r="BL653" s="4"/>
      <c r="BM653" s="4"/>
      <c r="BN653" s="4"/>
    </row>
    <row r="654" ht="13.5" customHeight="1" spans="1:66" x14ac:dyDescent="0.25">
      <c r="A654" s="4"/>
      <c r="B654" s="4"/>
      <c r="C654" s="533"/>
      <c r="D654" s="4"/>
      <c r="E654" s="4"/>
      <c r="F654" s="4"/>
      <c r="G654" s="4"/>
      <c r="H654" s="4"/>
      <c r="I654" s="4"/>
      <c r="J654" s="4"/>
      <c r="K654" s="4"/>
      <c r="L654" s="4"/>
      <c r="M654" s="4"/>
      <c r="N654" s="4"/>
      <c r="O654" s="4"/>
      <c r="P654" s="4"/>
      <c r="Q654" s="4"/>
      <c r="R654" s="4"/>
      <c r="S654" s="4"/>
      <c r="T654" s="4"/>
      <c r="U654" s="4"/>
      <c r="V654" s="4"/>
      <c r="W654" s="4"/>
      <c r="X654" s="4"/>
      <c r="Y654" s="4"/>
      <c r="Z654" s="4"/>
      <c r="AA654" s="4"/>
      <c r="AB654" s="4"/>
      <c r="AC654" s="4"/>
      <c r="AD654" s="4"/>
      <c r="AE654" s="4"/>
      <c r="AF654" s="4"/>
      <c r="AG654" s="4"/>
      <c r="AH654" s="4"/>
      <c r="AI654" s="4"/>
      <c r="AJ654" s="4"/>
      <c r="AK654" s="4"/>
      <c r="AL654" s="4"/>
      <c r="AM654" s="4"/>
      <c r="AN654" s="4"/>
      <c r="AO654" s="4"/>
      <c r="AP654" s="4"/>
      <c r="AQ654" s="4"/>
      <c r="AR654" s="4"/>
      <c r="AS654" s="4"/>
      <c r="AT654" s="4"/>
      <c r="AU654" s="4"/>
      <c r="AV654" s="4"/>
      <c r="AW654" s="4"/>
      <c r="AX654" s="4"/>
      <c r="AY654" s="4"/>
      <c r="AZ654" s="4"/>
      <c r="BA654" s="4"/>
      <c r="BB654" s="4"/>
      <c r="BC654" s="4"/>
      <c r="BD654" s="4"/>
      <c r="BE654" s="4"/>
      <c r="BF654" s="4"/>
      <c r="BG654" s="4"/>
      <c r="BH654" s="4"/>
      <c r="BI654" s="4"/>
      <c r="BJ654" s="4"/>
      <c r="BK654" s="4"/>
      <c r="BL654" s="4"/>
      <c r="BM654" s="4"/>
      <c r="BN654" s="4"/>
    </row>
    <row r="655" ht="13.5" customHeight="1" spans="1:66" x14ac:dyDescent="0.25">
      <c r="A655" s="4"/>
      <c r="B655" s="4"/>
      <c r="C655" s="533"/>
      <c r="D655" s="4"/>
      <c r="E655" s="4"/>
      <c r="F655" s="4"/>
      <c r="G655" s="4"/>
      <c r="H655" s="4"/>
      <c r="I655" s="4"/>
      <c r="J655" s="4"/>
      <c r="K655" s="4"/>
      <c r="L655" s="4"/>
      <c r="M655" s="4"/>
      <c r="N655" s="4"/>
      <c r="O655" s="4"/>
      <c r="P655" s="4"/>
      <c r="Q655" s="4"/>
      <c r="R655" s="4"/>
      <c r="S655" s="4"/>
      <c r="T655" s="4"/>
      <c r="U655" s="4"/>
      <c r="V655" s="4"/>
      <c r="W655" s="4"/>
      <c r="X655" s="4"/>
      <c r="Y655" s="4"/>
      <c r="Z655" s="4"/>
      <c r="AA655" s="4"/>
      <c r="AB655" s="4"/>
      <c r="AC655" s="4"/>
      <c r="AD655" s="4"/>
      <c r="AE655" s="4"/>
      <c r="AF655" s="4"/>
      <c r="AG655" s="4"/>
      <c r="AH655" s="4"/>
      <c r="AI655" s="4"/>
      <c r="AJ655" s="4"/>
      <c r="AK655" s="4"/>
      <c r="AL655" s="4"/>
      <c r="AM655" s="4"/>
      <c r="AN655" s="4"/>
      <c r="AO655" s="4"/>
      <c r="AP655" s="4"/>
      <c r="AQ655" s="4"/>
      <c r="AR655" s="4"/>
      <c r="AS655" s="4"/>
      <c r="AT655" s="4"/>
      <c r="AU655" s="4"/>
      <c r="AV655" s="4"/>
      <c r="AW655" s="4"/>
      <c r="AX655" s="4"/>
      <c r="AY655" s="4"/>
      <c r="AZ655" s="4"/>
      <c r="BA655" s="4"/>
      <c r="BB655" s="4"/>
      <c r="BC655" s="4"/>
      <c r="BD655" s="4"/>
      <c r="BE655" s="4"/>
      <c r="BF655" s="4"/>
      <c r="BG655" s="4"/>
      <c r="BH655" s="4"/>
      <c r="BI655" s="4"/>
      <c r="BJ655" s="4"/>
      <c r="BK655" s="4"/>
      <c r="BL655" s="4"/>
      <c r="BM655" s="4"/>
      <c r="BN655" s="4"/>
    </row>
    <row r="656" ht="13.5" customHeight="1" spans="1:66" x14ac:dyDescent="0.25">
      <c r="A656" s="4"/>
      <c r="B656" s="4"/>
      <c r="C656" s="533"/>
      <c r="D656" s="4"/>
      <c r="E656" s="4"/>
      <c r="F656" s="4"/>
      <c r="G656" s="4"/>
      <c r="H656" s="4"/>
      <c r="I656" s="4"/>
      <c r="J656" s="4"/>
      <c r="K656" s="4"/>
      <c r="L656" s="4"/>
      <c r="M656" s="4"/>
      <c r="N656" s="4"/>
      <c r="O656" s="4"/>
      <c r="P656" s="4"/>
      <c r="Q656" s="4"/>
      <c r="R656" s="4"/>
      <c r="S656" s="4"/>
      <c r="T656" s="4"/>
      <c r="U656" s="4"/>
      <c r="V656" s="4"/>
      <c r="W656" s="4"/>
      <c r="X656" s="4"/>
      <c r="Y656" s="4"/>
      <c r="Z656" s="4"/>
      <c r="AA656" s="4"/>
      <c r="AB656" s="4"/>
      <c r="AC656" s="4"/>
      <c r="AD656" s="4"/>
      <c r="AE656" s="4"/>
      <c r="AF656" s="4"/>
      <c r="AG656" s="4"/>
      <c r="AH656" s="4"/>
      <c r="AI656" s="4"/>
      <c r="AJ656" s="4"/>
      <c r="AK656" s="4"/>
      <c r="AL656" s="4"/>
      <c r="AM656" s="4"/>
      <c r="AN656" s="4"/>
      <c r="AO656" s="4"/>
      <c r="AP656" s="4"/>
      <c r="AQ656" s="4"/>
      <c r="AR656" s="4"/>
      <c r="AS656" s="4"/>
      <c r="AT656" s="4"/>
      <c r="AU656" s="4"/>
      <c r="AV656" s="4"/>
      <c r="AW656" s="4"/>
      <c r="AX656" s="4"/>
      <c r="AY656" s="4"/>
      <c r="AZ656" s="4"/>
      <c r="BA656" s="4"/>
      <c r="BB656" s="4"/>
      <c r="BC656" s="4"/>
      <c r="BD656" s="4"/>
      <c r="BE656" s="4"/>
      <c r="BF656" s="4"/>
      <c r="BG656" s="4"/>
      <c r="BH656" s="4"/>
      <c r="BI656" s="4"/>
      <c r="BJ656" s="4"/>
      <c r="BK656" s="4"/>
      <c r="BL656" s="4"/>
      <c r="BM656" s="4"/>
      <c r="BN656" s="4"/>
    </row>
    <row r="657" ht="13.5" customHeight="1" spans="1:66" x14ac:dyDescent="0.25">
      <c r="A657" s="4"/>
      <c r="B657" s="4"/>
      <c r="C657" s="533"/>
      <c r="D657" s="4"/>
      <c r="E657" s="4"/>
      <c r="F657" s="4"/>
      <c r="G657" s="4"/>
      <c r="H657" s="4"/>
      <c r="I657" s="4"/>
      <c r="J657" s="4"/>
      <c r="K657" s="4"/>
      <c r="L657" s="4"/>
      <c r="M657" s="4"/>
      <c r="N657" s="4"/>
      <c r="O657" s="4"/>
      <c r="P657" s="4"/>
      <c r="Q657" s="4"/>
      <c r="R657" s="4"/>
      <c r="S657" s="4"/>
      <c r="T657" s="4"/>
      <c r="U657" s="4"/>
      <c r="V657" s="4"/>
      <c r="W657" s="4"/>
      <c r="X657" s="4"/>
      <c r="Y657" s="4"/>
      <c r="Z657" s="4"/>
      <c r="AA657" s="4"/>
      <c r="AB657" s="4"/>
      <c r="AC657" s="4"/>
      <c r="AD657" s="4"/>
      <c r="AE657" s="4"/>
      <c r="AF657" s="4"/>
      <c r="AG657" s="4"/>
      <c r="AH657" s="4"/>
      <c r="AI657" s="4"/>
      <c r="AJ657" s="4"/>
      <c r="AK657" s="4"/>
      <c r="AL657" s="4"/>
      <c r="AM657" s="4"/>
      <c r="AN657" s="4"/>
      <c r="AO657" s="4"/>
      <c r="AP657" s="4"/>
      <c r="AQ657" s="4"/>
      <c r="AR657" s="4"/>
      <c r="AS657" s="4"/>
      <c r="AT657" s="4"/>
      <c r="AU657" s="4"/>
      <c r="AV657" s="4"/>
      <c r="AW657" s="4"/>
      <c r="AX657" s="4"/>
      <c r="AY657" s="4"/>
      <c r="AZ657" s="4"/>
      <c r="BA657" s="4"/>
      <c r="BB657" s="4"/>
      <c r="BC657" s="4"/>
      <c r="BD657" s="4"/>
      <c r="BE657" s="4"/>
      <c r="BF657" s="4"/>
      <c r="BG657" s="4"/>
      <c r="BH657" s="4"/>
      <c r="BI657" s="4"/>
      <c r="BJ657" s="4"/>
      <c r="BK657" s="4"/>
      <c r="BL657" s="4"/>
      <c r="BM657" s="4"/>
      <c r="BN657" s="4"/>
    </row>
    <row r="658" ht="13.5" customHeight="1" spans="1:66" x14ac:dyDescent="0.25">
      <c r="A658" s="4"/>
      <c r="B658" s="4"/>
      <c r="C658" s="533"/>
      <c r="D658" s="4"/>
      <c r="E658" s="4"/>
      <c r="F658" s="4"/>
      <c r="G658" s="4"/>
      <c r="H658" s="4"/>
      <c r="I658" s="4"/>
      <c r="J658" s="4"/>
      <c r="K658" s="4"/>
      <c r="L658" s="4"/>
      <c r="M658" s="4"/>
      <c r="N658" s="4"/>
      <c r="O658" s="4"/>
      <c r="P658" s="4"/>
      <c r="Q658" s="4"/>
      <c r="R658" s="4"/>
      <c r="S658" s="4"/>
      <c r="T658" s="4"/>
      <c r="U658" s="4"/>
      <c r="V658" s="4"/>
      <c r="W658" s="4"/>
      <c r="X658" s="4"/>
      <c r="Y658" s="4"/>
      <c r="Z658" s="4"/>
      <c r="AA658" s="4"/>
      <c r="AB658" s="4"/>
      <c r="AC658" s="4"/>
      <c r="AD658" s="4"/>
      <c r="AE658" s="4"/>
      <c r="AF658" s="4"/>
      <c r="AG658" s="4"/>
      <c r="AH658" s="4"/>
      <c r="AI658" s="4"/>
      <c r="AJ658" s="4"/>
      <c r="AK658" s="4"/>
      <c r="AL658" s="4"/>
      <c r="AM658" s="4"/>
      <c r="AN658" s="4"/>
      <c r="AO658" s="4"/>
      <c r="AP658" s="4"/>
      <c r="AQ658" s="4"/>
      <c r="AR658" s="4"/>
      <c r="AS658" s="4"/>
      <c r="AT658" s="4"/>
      <c r="AU658" s="4"/>
      <c r="AV658" s="4"/>
      <c r="AW658" s="4"/>
      <c r="AX658" s="4"/>
      <c r="AY658" s="4"/>
      <c r="AZ658" s="4"/>
      <c r="BA658" s="4"/>
      <c r="BB658" s="4"/>
      <c r="BC658" s="4"/>
      <c r="BD658" s="4"/>
      <c r="BE658" s="4"/>
      <c r="BF658" s="4"/>
      <c r="BG658" s="4"/>
      <c r="BH658" s="4"/>
      <c r="BI658" s="4"/>
      <c r="BJ658" s="4"/>
      <c r="BK658" s="4"/>
      <c r="BL658" s="4"/>
      <c r="BM658" s="4"/>
      <c r="BN658" s="4"/>
    </row>
    <row r="659" ht="13.5" customHeight="1" spans="1:66" x14ac:dyDescent="0.25">
      <c r="A659" s="4"/>
      <c r="B659" s="4"/>
      <c r="C659" s="533"/>
      <c r="D659" s="4"/>
      <c r="E659" s="4"/>
      <c r="F659" s="4"/>
      <c r="G659" s="4"/>
      <c r="H659" s="4"/>
      <c r="I659" s="4"/>
      <c r="J659" s="4"/>
      <c r="K659" s="4"/>
      <c r="L659" s="4"/>
      <c r="M659" s="4"/>
      <c r="N659" s="4"/>
      <c r="O659" s="4"/>
      <c r="P659" s="4"/>
      <c r="Q659" s="4"/>
      <c r="R659" s="4"/>
      <c r="S659" s="4"/>
      <c r="T659" s="4"/>
      <c r="U659" s="4"/>
      <c r="V659" s="4"/>
      <c r="W659" s="4"/>
      <c r="X659" s="4"/>
      <c r="Y659" s="4"/>
      <c r="Z659" s="4"/>
      <c r="AA659" s="4"/>
      <c r="AB659" s="4"/>
      <c r="AC659" s="4"/>
      <c r="AD659" s="4"/>
      <c r="AE659" s="4"/>
      <c r="AF659" s="4"/>
      <c r="AG659" s="4"/>
      <c r="AH659" s="4"/>
      <c r="AI659" s="4"/>
      <c r="AJ659" s="4"/>
      <c r="AK659" s="4"/>
      <c r="AL659" s="4"/>
      <c r="AM659" s="4"/>
      <c r="AN659" s="4"/>
      <c r="AO659" s="4"/>
      <c r="AP659" s="4"/>
      <c r="AQ659" s="4"/>
      <c r="AR659" s="4"/>
      <c r="AS659" s="4"/>
      <c r="AT659" s="4"/>
      <c r="AU659" s="4"/>
      <c r="AV659" s="4"/>
      <c r="AW659" s="4"/>
      <c r="AX659" s="4"/>
      <c r="AY659" s="4"/>
      <c r="AZ659" s="4"/>
      <c r="BA659" s="4"/>
      <c r="BB659" s="4"/>
      <c r="BC659" s="4"/>
      <c r="BD659" s="4"/>
      <c r="BE659" s="4"/>
      <c r="BF659" s="4"/>
      <c r="BG659" s="4"/>
      <c r="BH659" s="4"/>
      <c r="BI659" s="4"/>
      <c r="BJ659" s="4"/>
      <c r="BK659" s="4"/>
      <c r="BL659" s="4"/>
      <c r="BM659" s="4"/>
      <c r="BN659" s="4"/>
    </row>
    <row r="660" ht="13.5" customHeight="1" spans="1:66" x14ac:dyDescent="0.25">
      <c r="A660" s="4"/>
      <c r="B660" s="4"/>
      <c r="C660" s="533"/>
      <c r="D660" s="4"/>
      <c r="E660" s="4"/>
      <c r="F660" s="4"/>
      <c r="G660" s="4"/>
      <c r="H660" s="4"/>
      <c r="I660" s="4"/>
      <c r="J660" s="4"/>
      <c r="K660" s="4"/>
      <c r="L660" s="4"/>
      <c r="M660" s="4"/>
      <c r="N660" s="4"/>
      <c r="O660" s="4"/>
      <c r="P660" s="4"/>
      <c r="Q660" s="4"/>
      <c r="R660" s="4"/>
      <c r="S660" s="4"/>
      <c r="T660" s="4"/>
      <c r="U660" s="4"/>
      <c r="V660" s="4"/>
      <c r="W660" s="4"/>
      <c r="X660" s="4"/>
      <c r="Y660" s="4"/>
      <c r="Z660" s="4"/>
      <c r="AA660" s="4"/>
      <c r="AB660" s="4"/>
      <c r="AC660" s="4"/>
      <c r="AD660" s="4"/>
      <c r="AE660" s="4"/>
      <c r="AF660" s="4"/>
      <c r="AG660" s="4"/>
      <c r="AH660" s="4"/>
      <c r="AI660" s="4"/>
      <c r="AJ660" s="4"/>
      <c r="AK660" s="4"/>
      <c r="AL660" s="4"/>
      <c r="AM660" s="4"/>
      <c r="AN660" s="4"/>
      <c r="AO660" s="4"/>
      <c r="AP660" s="4"/>
      <c r="AQ660" s="4"/>
      <c r="AR660" s="4"/>
      <c r="AS660" s="4"/>
      <c r="AT660" s="4"/>
      <c r="AU660" s="4"/>
      <c r="AV660" s="4"/>
      <c r="AW660" s="4"/>
      <c r="AX660" s="4"/>
      <c r="AY660" s="4"/>
      <c r="AZ660" s="4"/>
      <c r="BA660" s="4"/>
      <c r="BB660" s="4"/>
      <c r="BC660" s="4"/>
      <c r="BD660" s="4"/>
      <c r="BE660" s="4"/>
      <c r="BF660" s="4"/>
      <c r="BG660" s="4"/>
      <c r="BH660" s="4"/>
      <c r="BI660" s="4"/>
      <c r="BJ660" s="4"/>
      <c r="BK660" s="4"/>
      <c r="BL660" s="4"/>
      <c r="BM660" s="4"/>
      <c r="BN660" s="4"/>
    </row>
    <row r="661" ht="13.5" customHeight="1" spans="1:66" x14ac:dyDescent="0.25">
      <c r="A661" s="4"/>
      <c r="B661" s="4"/>
      <c r="C661" s="533"/>
      <c r="D661" s="4"/>
      <c r="E661" s="4"/>
      <c r="F661" s="4"/>
      <c r="G661" s="4"/>
      <c r="H661" s="4"/>
      <c r="I661" s="4"/>
      <c r="J661" s="4"/>
      <c r="K661" s="4"/>
      <c r="L661" s="4"/>
      <c r="M661" s="4"/>
      <c r="N661" s="4"/>
      <c r="O661" s="4"/>
      <c r="P661" s="4"/>
      <c r="Q661" s="4"/>
      <c r="R661" s="4"/>
      <c r="S661" s="4"/>
      <c r="T661" s="4"/>
      <c r="U661" s="4"/>
      <c r="V661" s="4"/>
      <c r="W661" s="4"/>
      <c r="X661" s="4"/>
      <c r="Y661" s="4"/>
      <c r="Z661" s="4"/>
      <c r="AA661" s="4"/>
      <c r="AB661" s="4"/>
      <c r="AC661" s="4"/>
      <c r="AD661" s="4"/>
      <c r="AE661" s="4"/>
      <c r="AF661" s="4"/>
      <c r="AG661" s="4"/>
      <c r="AH661" s="4"/>
      <c r="AI661" s="4"/>
      <c r="AJ661" s="4"/>
      <c r="AK661" s="4"/>
      <c r="AL661" s="4"/>
      <c r="AM661" s="4"/>
      <c r="AN661" s="4"/>
      <c r="AO661" s="4"/>
      <c r="AP661" s="4"/>
      <c r="AQ661" s="4"/>
      <c r="AR661" s="4"/>
      <c r="AS661" s="4"/>
      <c r="AT661" s="4"/>
      <c r="AU661" s="4"/>
      <c r="AV661" s="4"/>
      <c r="AW661" s="4"/>
      <c r="AX661" s="4"/>
      <c r="AY661" s="4"/>
      <c r="AZ661" s="4"/>
      <c r="BA661" s="4"/>
      <c r="BB661" s="4"/>
      <c r="BC661" s="4"/>
      <c r="BD661" s="4"/>
      <c r="BE661" s="4"/>
      <c r="BF661" s="4"/>
      <c r="BG661" s="4"/>
      <c r="BH661" s="4"/>
      <c r="BI661" s="4"/>
      <c r="BJ661" s="4"/>
      <c r="BK661" s="4"/>
      <c r="BL661" s="4"/>
      <c r="BM661" s="4"/>
      <c r="BN661" s="4"/>
    </row>
    <row r="662" ht="13.5" customHeight="1" spans="1:66" x14ac:dyDescent="0.25">
      <c r="A662" s="4"/>
      <c r="B662" s="4"/>
      <c r="C662" s="533"/>
      <c r="D662" s="4"/>
      <c r="E662" s="4"/>
      <c r="F662" s="4"/>
      <c r="G662" s="4"/>
      <c r="H662" s="4"/>
      <c r="I662" s="4"/>
      <c r="J662" s="4"/>
      <c r="K662" s="4"/>
      <c r="L662" s="4"/>
      <c r="M662" s="4"/>
      <c r="N662" s="4"/>
      <c r="O662" s="4"/>
      <c r="P662" s="4"/>
      <c r="Q662" s="4"/>
      <c r="R662" s="4"/>
      <c r="S662" s="4"/>
      <c r="T662" s="4"/>
      <c r="U662" s="4"/>
      <c r="V662" s="4"/>
      <c r="W662" s="4"/>
      <c r="X662" s="4"/>
      <c r="Y662" s="4"/>
      <c r="Z662" s="4"/>
      <c r="AA662" s="4"/>
      <c r="AB662" s="4"/>
      <c r="AC662" s="4"/>
      <c r="AD662" s="4"/>
      <c r="AE662" s="4"/>
      <c r="AF662" s="4"/>
      <c r="AG662" s="4"/>
      <c r="AH662" s="4"/>
      <c r="AI662" s="4"/>
      <c r="AJ662" s="4"/>
      <c r="AK662" s="4"/>
      <c r="AL662" s="4"/>
      <c r="AM662" s="4"/>
      <c r="AN662" s="4"/>
      <c r="AO662" s="4"/>
      <c r="AP662" s="4"/>
      <c r="AQ662" s="4"/>
      <c r="AR662" s="4"/>
      <c r="AS662" s="4"/>
      <c r="AT662" s="4"/>
      <c r="AU662" s="4"/>
      <c r="AV662" s="4"/>
      <c r="AW662" s="4"/>
      <c r="AX662" s="4"/>
      <c r="AY662" s="4"/>
      <c r="AZ662" s="4"/>
      <c r="BA662" s="4"/>
      <c r="BB662" s="4"/>
      <c r="BC662" s="4"/>
      <c r="BD662" s="4"/>
      <c r="BE662" s="4"/>
      <c r="BF662" s="4"/>
      <c r="BG662" s="4"/>
      <c r="BH662" s="4"/>
      <c r="BI662" s="4"/>
      <c r="BJ662" s="4"/>
      <c r="BK662" s="4"/>
      <c r="BL662" s="4"/>
      <c r="BM662" s="4"/>
      <c r="BN662" s="4"/>
    </row>
    <row r="663" ht="13.5" customHeight="1" spans="1:66" x14ac:dyDescent="0.25">
      <c r="A663" s="4"/>
      <c r="B663" s="4"/>
      <c r="C663" s="533"/>
      <c r="D663" s="4"/>
      <c r="E663" s="4"/>
      <c r="F663" s="4"/>
      <c r="G663" s="4"/>
      <c r="H663" s="4"/>
      <c r="I663" s="4"/>
      <c r="J663" s="4"/>
      <c r="K663" s="4"/>
      <c r="L663" s="4"/>
      <c r="M663" s="4"/>
      <c r="N663" s="4"/>
      <c r="O663" s="4"/>
      <c r="P663" s="4"/>
      <c r="Q663" s="4"/>
      <c r="R663" s="4"/>
      <c r="S663" s="4"/>
      <c r="T663" s="4"/>
      <c r="U663" s="4"/>
      <c r="V663" s="4"/>
      <c r="W663" s="4"/>
      <c r="X663" s="4"/>
      <c r="Y663" s="4"/>
      <c r="Z663" s="4"/>
      <c r="AA663" s="4"/>
      <c r="AB663" s="4"/>
      <c r="AC663" s="4"/>
      <c r="AD663" s="4"/>
      <c r="AE663" s="4"/>
      <c r="AF663" s="4"/>
      <c r="AG663" s="4"/>
      <c r="AH663" s="4"/>
      <c r="AI663" s="4"/>
      <c r="AJ663" s="4"/>
      <c r="AK663" s="4"/>
      <c r="AL663" s="4"/>
      <c r="AM663" s="4"/>
      <c r="AN663" s="4"/>
      <c r="AO663" s="4"/>
      <c r="AP663" s="4"/>
      <c r="AQ663" s="4"/>
      <c r="AR663" s="4"/>
      <c r="AS663" s="4"/>
      <c r="AT663" s="4"/>
      <c r="AU663" s="4"/>
      <c r="AV663" s="4"/>
      <c r="AW663" s="4"/>
      <c r="AX663" s="4"/>
      <c r="AY663" s="4"/>
      <c r="AZ663" s="4"/>
      <c r="BA663" s="4"/>
      <c r="BB663" s="4"/>
      <c r="BC663" s="4"/>
      <c r="BD663" s="4"/>
      <c r="BE663" s="4"/>
      <c r="BF663" s="4"/>
      <c r="BG663" s="4"/>
      <c r="BH663" s="4"/>
      <c r="BI663" s="4"/>
      <c r="BJ663" s="4"/>
      <c r="BK663" s="4"/>
      <c r="BL663" s="4"/>
      <c r="BM663" s="4"/>
      <c r="BN663" s="4"/>
    </row>
    <row r="664" ht="13.5" customHeight="1" spans="1:66" x14ac:dyDescent="0.25">
      <c r="A664" s="4"/>
      <c r="B664" s="4"/>
      <c r="C664" s="533"/>
      <c r="D664" s="4"/>
      <c r="E664" s="4"/>
      <c r="F664" s="4"/>
      <c r="G664" s="4"/>
      <c r="H664" s="4"/>
      <c r="I664" s="4"/>
      <c r="J664" s="4"/>
      <c r="K664" s="4"/>
      <c r="L664" s="4"/>
      <c r="M664" s="4"/>
      <c r="N664" s="4"/>
      <c r="O664" s="4"/>
      <c r="P664" s="4"/>
      <c r="Q664" s="4"/>
      <c r="R664" s="4"/>
      <c r="S664" s="4"/>
      <c r="T664" s="4"/>
      <c r="U664" s="4"/>
      <c r="V664" s="4"/>
      <c r="W664" s="4"/>
      <c r="X664" s="4"/>
      <c r="Y664" s="4"/>
      <c r="Z664" s="4"/>
      <c r="AA664" s="4"/>
      <c r="AB664" s="4"/>
      <c r="AC664" s="4"/>
      <c r="AD664" s="4"/>
      <c r="AE664" s="4"/>
      <c r="AF664" s="4"/>
      <c r="AG664" s="4"/>
      <c r="AH664" s="4"/>
      <c r="AI664" s="4"/>
      <c r="AJ664" s="4"/>
      <c r="AK664" s="4"/>
      <c r="AL664" s="4"/>
      <c r="AM664" s="4"/>
      <c r="AN664" s="4"/>
      <c r="AO664" s="4"/>
      <c r="AP664" s="4"/>
      <c r="AQ664" s="4"/>
      <c r="AR664" s="4"/>
      <c r="AS664" s="4"/>
      <c r="AT664" s="4"/>
      <c r="AU664" s="4"/>
      <c r="AV664" s="4"/>
      <c r="AW664" s="4"/>
      <c r="AX664" s="4"/>
      <c r="AY664" s="4"/>
      <c r="AZ664" s="4"/>
      <c r="BA664" s="4"/>
      <c r="BB664" s="4"/>
      <c r="BC664" s="4"/>
      <c r="BD664" s="4"/>
      <c r="BE664" s="4"/>
      <c r="BF664" s="4"/>
      <c r="BG664" s="4"/>
      <c r="BH664" s="4"/>
      <c r="BI664" s="4"/>
      <c r="BJ664" s="4"/>
      <c r="BK664" s="4"/>
      <c r="BL664" s="4"/>
      <c r="BM664" s="4"/>
      <c r="BN664" s="4"/>
    </row>
    <row r="665" ht="13.5" customHeight="1" spans="1:66" x14ac:dyDescent="0.25">
      <c r="A665" s="4"/>
      <c r="B665" s="4"/>
      <c r="C665" s="533"/>
      <c r="D665" s="4"/>
      <c r="E665" s="4"/>
      <c r="F665" s="4"/>
      <c r="G665" s="4"/>
      <c r="H665" s="4"/>
      <c r="I665" s="4"/>
      <c r="J665" s="4"/>
      <c r="K665" s="4"/>
      <c r="L665" s="4"/>
      <c r="M665" s="4"/>
      <c r="N665" s="4"/>
      <c r="O665" s="4"/>
      <c r="P665" s="4"/>
      <c r="Q665" s="4"/>
      <c r="R665" s="4"/>
      <c r="S665" s="4"/>
      <c r="T665" s="4"/>
      <c r="U665" s="4"/>
      <c r="V665" s="4"/>
      <c r="W665" s="4"/>
      <c r="X665" s="4"/>
      <c r="Y665" s="4"/>
      <c r="Z665" s="4"/>
      <c r="AA665" s="4"/>
      <c r="AB665" s="4"/>
      <c r="AC665" s="4"/>
      <c r="AD665" s="4"/>
      <c r="AE665" s="4"/>
      <c r="AF665" s="4"/>
      <c r="AG665" s="4"/>
      <c r="AH665" s="4"/>
      <c r="AI665" s="4"/>
      <c r="AJ665" s="4"/>
      <c r="AK665" s="4"/>
      <c r="AL665" s="4"/>
      <c r="AM665" s="4"/>
      <c r="AN665" s="4"/>
      <c r="AO665" s="4"/>
      <c r="AP665" s="4"/>
      <c r="AQ665" s="4"/>
      <c r="AR665" s="4"/>
      <c r="AS665" s="4"/>
      <c r="AT665" s="4"/>
      <c r="AU665" s="4"/>
      <c r="AV665" s="4"/>
      <c r="AW665" s="4"/>
      <c r="AX665" s="4"/>
      <c r="AY665" s="4"/>
      <c r="AZ665" s="4"/>
      <c r="BA665" s="4"/>
      <c r="BB665" s="4"/>
      <c r="BC665" s="4"/>
      <c r="BD665" s="4"/>
      <c r="BE665" s="4"/>
      <c r="BF665" s="4"/>
      <c r="BG665" s="4"/>
      <c r="BH665" s="4"/>
      <c r="BI665" s="4"/>
      <c r="BJ665" s="4"/>
      <c r="BK665" s="4"/>
      <c r="BL665" s="4"/>
      <c r="BM665" s="4"/>
      <c r="BN665" s="4"/>
    </row>
    <row r="666" ht="13.5" customHeight="1" spans="1:66" x14ac:dyDescent="0.25">
      <c r="A666" s="4"/>
      <c r="B666" s="4"/>
      <c r="C666" s="533"/>
      <c r="D666" s="4"/>
      <c r="E666" s="4"/>
      <c r="F666" s="4"/>
      <c r="G666" s="4"/>
      <c r="H666" s="4"/>
      <c r="I666" s="4"/>
      <c r="J666" s="4"/>
      <c r="K666" s="4"/>
      <c r="L666" s="4"/>
      <c r="M666" s="4"/>
      <c r="N666" s="4"/>
      <c r="O666" s="4"/>
      <c r="P666" s="4"/>
      <c r="Q666" s="4"/>
      <c r="R666" s="4"/>
      <c r="S666" s="4"/>
      <c r="T666" s="4"/>
      <c r="U666" s="4"/>
      <c r="V666" s="4"/>
      <c r="W666" s="4"/>
      <c r="X666" s="4"/>
      <c r="Y666" s="4"/>
      <c r="Z666" s="4"/>
      <c r="AA666" s="4"/>
      <c r="AB666" s="4"/>
      <c r="AC666" s="4"/>
      <c r="AD666" s="4"/>
      <c r="AE666" s="4"/>
      <c r="AF666" s="4"/>
      <c r="AG666" s="4"/>
      <c r="AH666" s="4"/>
      <c r="AI666" s="4"/>
      <c r="AJ666" s="4"/>
      <c r="AK666" s="4"/>
      <c r="AL666" s="4"/>
      <c r="AM666" s="4"/>
      <c r="AN666" s="4"/>
      <c r="AO666" s="4"/>
      <c r="AP666" s="4"/>
      <c r="AQ666" s="4"/>
      <c r="AR666" s="4"/>
      <c r="AS666" s="4"/>
      <c r="AT666" s="4"/>
      <c r="AU666" s="4"/>
      <c r="AV666" s="4"/>
      <c r="AW666" s="4"/>
      <c r="AX666" s="4"/>
      <c r="AY666" s="4"/>
      <c r="AZ666" s="4"/>
      <c r="BA666" s="4"/>
      <c r="BB666" s="4"/>
      <c r="BC666" s="4"/>
      <c r="BD666" s="4"/>
      <c r="BE666" s="4"/>
      <c r="BF666" s="4"/>
      <c r="BG666" s="4"/>
      <c r="BH666" s="4"/>
      <c r="BI666" s="4"/>
      <c r="BJ666" s="4"/>
      <c r="BK666" s="4"/>
      <c r="BL666" s="4"/>
      <c r="BM666" s="4"/>
      <c r="BN666" s="4"/>
    </row>
    <row r="667" ht="13.5" customHeight="1" spans="1:66" x14ac:dyDescent="0.25">
      <c r="A667" s="4"/>
      <c r="B667" s="4"/>
      <c r="C667" s="533"/>
      <c r="D667" s="4"/>
      <c r="E667" s="4"/>
      <c r="F667" s="4"/>
      <c r="G667" s="4"/>
      <c r="H667" s="4"/>
      <c r="I667" s="4"/>
      <c r="J667" s="4"/>
      <c r="K667" s="4"/>
      <c r="L667" s="4"/>
      <c r="M667" s="4"/>
      <c r="N667" s="4"/>
      <c r="O667" s="4"/>
      <c r="P667" s="4"/>
      <c r="Q667" s="4"/>
      <c r="R667" s="4"/>
      <c r="S667" s="4"/>
      <c r="T667" s="4"/>
      <c r="U667" s="4"/>
      <c r="V667" s="4"/>
      <c r="W667" s="4"/>
      <c r="X667" s="4"/>
      <c r="Y667" s="4"/>
      <c r="Z667" s="4"/>
      <c r="AA667" s="4"/>
      <c r="AB667" s="4"/>
      <c r="AC667" s="4"/>
      <c r="AD667" s="4"/>
      <c r="AE667" s="4"/>
      <c r="AF667" s="4"/>
      <c r="AG667" s="4"/>
      <c r="AH667" s="4"/>
      <c r="AI667" s="4"/>
      <c r="AJ667" s="4"/>
      <c r="AK667" s="4"/>
      <c r="AL667" s="4"/>
      <c r="AM667" s="4"/>
      <c r="AN667" s="4"/>
      <c r="AO667" s="4"/>
      <c r="AP667" s="4"/>
      <c r="AQ667" s="4"/>
      <c r="AR667" s="4"/>
      <c r="AS667" s="4"/>
      <c r="AT667" s="4"/>
      <c r="AU667" s="4"/>
      <c r="AV667" s="4"/>
      <c r="AW667" s="4"/>
      <c r="AX667" s="4"/>
      <c r="AY667" s="4"/>
      <c r="AZ667" s="4"/>
      <c r="BA667" s="4"/>
      <c r="BB667" s="4"/>
      <c r="BC667" s="4"/>
      <c r="BD667" s="4"/>
      <c r="BE667" s="4"/>
      <c r="BF667" s="4"/>
      <c r="BG667" s="4"/>
      <c r="BH667" s="4"/>
      <c r="BI667" s="4"/>
      <c r="BJ667" s="4"/>
      <c r="BK667" s="4"/>
      <c r="BL667" s="4"/>
      <c r="BM667" s="4"/>
      <c r="BN667" s="4"/>
    </row>
    <row r="668" ht="13.5" customHeight="1" spans="1:66" x14ac:dyDescent="0.25">
      <c r="A668" s="4"/>
      <c r="B668" s="4"/>
      <c r="C668" s="533"/>
      <c r="D668" s="4"/>
      <c r="E668" s="4"/>
      <c r="F668" s="4"/>
      <c r="G668" s="4"/>
      <c r="H668" s="4"/>
      <c r="I668" s="4"/>
      <c r="J668" s="4"/>
      <c r="K668" s="4"/>
      <c r="L668" s="4"/>
      <c r="M668" s="4"/>
      <c r="N668" s="4"/>
      <c r="O668" s="4"/>
      <c r="P668" s="4"/>
      <c r="Q668" s="4"/>
      <c r="R668" s="4"/>
      <c r="S668" s="4"/>
      <c r="T668" s="4"/>
      <c r="U668" s="4"/>
      <c r="V668" s="4"/>
      <c r="W668" s="4"/>
      <c r="X668" s="4"/>
      <c r="Y668" s="4"/>
      <c r="Z668" s="4"/>
      <c r="AA668" s="4"/>
      <c r="AB668" s="4"/>
      <c r="AC668" s="4"/>
      <c r="AD668" s="4"/>
      <c r="AE668" s="4"/>
      <c r="AF668" s="4"/>
      <c r="AG668" s="4"/>
      <c r="AH668" s="4"/>
      <c r="AI668" s="4"/>
      <c r="AJ668" s="4"/>
      <c r="AK668" s="4"/>
      <c r="AL668" s="4"/>
      <c r="AM668" s="4"/>
      <c r="AN668" s="4"/>
      <c r="AO668" s="4"/>
      <c r="AP668" s="4"/>
      <c r="AQ668" s="4"/>
      <c r="AR668" s="4"/>
      <c r="AS668" s="4"/>
      <c r="AT668" s="4"/>
      <c r="AU668" s="4"/>
      <c r="AV668" s="4"/>
      <c r="AW668" s="4"/>
      <c r="AX668" s="4"/>
      <c r="AY668" s="4"/>
      <c r="AZ668" s="4"/>
      <c r="BA668" s="4"/>
      <c r="BB668" s="4"/>
      <c r="BC668" s="4"/>
      <c r="BD668" s="4"/>
      <c r="BE668" s="4"/>
      <c r="BF668" s="4"/>
      <c r="BG668" s="4"/>
      <c r="BH668" s="4"/>
      <c r="BI668" s="4"/>
      <c r="BJ668" s="4"/>
      <c r="BK668" s="4"/>
      <c r="BL668" s="4"/>
      <c r="BM668" s="4"/>
      <c r="BN668" s="4"/>
    </row>
    <row r="669" ht="13.5" customHeight="1" spans="1:66" x14ac:dyDescent="0.25">
      <c r="A669" s="4"/>
      <c r="B669" s="4"/>
      <c r="C669" s="533"/>
      <c r="D669" s="4"/>
      <c r="E669" s="4"/>
      <c r="F669" s="4"/>
      <c r="G669" s="4"/>
      <c r="H669" s="4"/>
      <c r="I669" s="4"/>
      <c r="J669" s="4"/>
      <c r="K669" s="4"/>
      <c r="L669" s="4"/>
      <c r="M669" s="4"/>
      <c r="N669" s="4"/>
      <c r="O669" s="4"/>
      <c r="P669" s="4"/>
      <c r="Q669" s="4"/>
      <c r="R669" s="4"/>
      <c r="S669" s="4"/>
      <c r="T669" s="4"/>
      <c r="U669" s="4"/>
      <c r="V669" s="4"/>
      <c r="W669" s="4"/>
      <c r="X669" s="4"/>
      <c r="Y669" s="4"/>
      <c r="Z669" s="4"/>
      <c r="AA669" s="4"/>
      <c r="AB669" s="4"/>
      <c r="AC669" s="4"/>
      <c r="AD669" s="4"/>
      <c r="AE669" s="4"/>
      <c r="AF669" s="4"/>
      <c r="AG669" s="4"/>
      <c r="AH669" s="4"/>
      <c r="AI669" s="4"/>
      <c r="AJ669" s="4"/>
      <c r="AK669" s="4"/>
      <c r="AL669" s="4"/>
      <c r="AM669" s="4"/>
      <c r="AN669" s="4"/>
      <c r="AO669" s="4"/>
      <c r="AP669" s="4"/>
      <c r="AQ669" s="4"/>
      <c r="AR669" s="4"/>
      <c r="AS669" s="4"/>
      <c r="AT669" s="4"/>
      <c r="AU669" s="4"/>
      <c r="AV669" s="4"/>
      <c r="AW669" s="4"/>
      <c r="AX669" s="4"/>
      <c r="AY669" s="4"/>
      <c r="AZ669" s="4"/>
      <c r="BA669" s="4"/>
      <c r="BB669" s="4"/>
      <c r="BC669" s="4"/>
      <c r="BD669" s="4"/>
      <c r="BE669" s="4"/>
      <c r="BF669" s="4"/>
      <c r="BG669" s="4"/>
      <c r="BH669" s="4"/>
      <c r="BI669" s="4"/>
      <c r="BJ669" s="4"/>
      <c r="BK669" s="4"/>
      <c r="BL669" s="4"/>
      <c r="BM669" s="4"/>
      <c r="BN669" s="4"/>
    </row>
    <row r="670" ht="13.5" customHeight="1" spans="1:66" x14ac:dyDescent="0.25">
      <c r="A670" s="4"/>
      <c r="B670" s="4"/>
      <c r="C670" s="533"/>
      <c r="D670" s="4"/>
      <c r="E670" s="4"/>
      <c r="F670" s="4"/>
      <c r="G670" s="4"/>
      <c r="H670" s="4"/>
      <c r="I670" s="4"/>
      <c r="J670" s="4"/>
      <c r="K670" s="4"/>
      <c r="L670" s="4"/>
      <c r="M670" s="4"/>
      <c r="N670" s="4"/>
      <c r="O670" s="4"/>
      <c r="P670" s="4"/>
      <c r="Q670" s="4"/>
      <c r="R670" s="4"/>
      <c r="S670" s="4"/>
      <c r="T670" s="4"/>
      <c r="U670" s="4"/>
      <c r="V670" s="4"/>
      <c r="W670" s="4"/>
      <c r="X670" s="4"/>
      <c r="Y670" s="4"/>
      <c r="Z670" s="4"/>
      <c r="AA670" s="4"/>
      <c r="AB670" s="4"/>
      <c r="AC670" s="4"/>
      <c r="AD670" s="4"/>
      <c r="AE670" s="4"/>
      <c r="AF670" s="4"/>
      <c r="AG670" s="4"/>
      <c r="AH670" s="4"/>
      <c r="AI670" s="4"/>
      <c r="AJ670" s="4"/>
      <c r="AK670" s="4"/>
      <c r="AL670" s="4"/>
      <c r="AM670" s="4"/>
      <c r="AN670" s="4"/>
      <c r="AO670" s="4"/>
      <c r="AP670" s="4"/>
      <c r="AQ670" s="4"/>
      <c r="AR670" s="4"/>
      <c r="AS670" s="4"/>
      <c r="AT670" s="4"/>
      <c r="AU670" s="4"/>
      <c r="AV670" s="4"/>
      <c r="AW670" s="4"/>
      <c r="AX670" s="4"/>
      <c r="AY670" s="4"/>
      <c r="AZ670" s="4"/>
      <c r="BA670" s="4"/>
      <c r="BB670" s="4"/>
      <c r="BC670" s="4"/>
      <c r="BD670" s="4"/>
      <c r="BE670" s="4"/>
      <c r="BF670" s="4"/>
      <c r="BG670" s="4"/>
      <c r="BH670" s="4"/>
      <c r="BI670" s="4"/>
      <c r="BJ670" s="4"/>
      <c r="BK670" s="4"/>
      <c r="BL670" s="4"/>
      <c r="BM670" s="4"/>
      <c r="BN670" s="4"/>
    </row>
    <row r="671" ht="13.5" customHeight="1" spans="1:66" x14ac:dyDescent="0.25">
      <c r="A671" s="4"/>
      <c r="B671" s="4"/>
      <c r="C671" s="533"/>
      <c r="D671" s="4"/>
      <c r="E671" s="4"/>
      <c r="F671" s="4"/>
      <c r="G671" s="4"/>
      <c r="H671" s="4"/>
      <c r="I671" s="4"/>
      <c r="J671" s="4"/>
      <c r="K671" s="4"/>
      <c r="L671" s="4"/>
      <c r="M671" s="4"/>
      <c r="N671" s="4"/>
      <c r="O671" s="4"/>
      <c r="P671" s="4"/>
      <c r="Q671" s="4"/>
      <c r="R671" s="4"/>
      <c r="S671" s="4"/>
      <c r="T671" s="4"/>
      <c r="U671" s="4"/>
      <c r="V671" s="4"/>
      <c r="W671" s="4"/>
      <c r="X671" s="4"/>
      <c r="Y671" s="4"/>
      <c r="Z671" s="4"/>
      <c r="AA671" s="4"/>
      <c r="AB671" s="4"/>
      <c r="AC671" s="4"/>
      <c r="AD671" s="4"/>
      <c r="AE671" s="4"/>
      <c r="AF671" s="4"/>
      <c r="AG671" s="4"/>
      <c r="AH671" s="4"/>
      <c r="AI671" s="4"/>
      <c r="AJ671" s="4"/>
      <c r="AK671" s="4"/>
      <c r="AL671" s="4"/>
      <c r="AM671" s="4"/>
      <c r="AN671" s="4"/>
      <c r="AO671" s="4"/>
      <c r="AP671" s="4"/>
      <c r="AQ671" s="4"/>
      <c r="AR671" s="4"/>
      <c r="AS671" s="4"/>
      <c r="AT671" s="4"/>
      <c r="AU671" s="4"/>
      <c r="AV671" s="4"/>
      <c r="AW671" s="4"/>
      <c r="AX671" s="4"/>
      <c r="AY671" s="4"/>
      <c r="AZ671" s="4"/>
      <c r="BA671" s="4"/>
      <c r="BB671" s="4"/>
      <c r="BC671" s="4"/>
      <c r="BD671" s="4"/>
      <c r="BE671" s="4"/>
      <c r="BF671" s="4"/>
      <c r="BG671" s="4"/>
      <c r="BH671" s="4"/>
      <c r="BI671" s="4"/>
      <c r="BJ671" s="4"/>
      <c r="BK671" s="4"/>
      <c r="BL671" s="4"/>
      <c r="BM671" s="4"/>
      <c r="BN671" s="4"/>
    </row>
    <row r="672" ht="13.5" customHeight="1" spans="1:66" x14ac:dyDescent="0.25">
      <c r="A672" s="4"/>
      <c r="B672" s="4"/>
      <c r="C672" s="533"/>
      <c r="D672" s="4"/>
      <c r="E672" s="4"/>
      <c r="F672" s="4"/>
      <c r="G672" s="4"/>
      <c r="H672" s="4"/>
      <c r="I672" s="4"/>
      <c r="J672" s="4"/>
      <c r="K672" s="4"/>
      <c r="L672" s="4"/>
      <c r="M672" s="4"/>
      <c r="N672" s="4"/>
      <c r="O672" s="4"/>
      <c r="P672" s="4"/>
      <c r="Q672" s="4"/>
      <c r="R672" s="4"/>
      <c r="S672" s="4"/>
      <c r="T672" s="4"/>
      <c r="U672" s="4"/>
      <c r="V672" s="4"/>
      <c r="W672" s="4"/>
      <c r="X672" s="4"/>
      <c r="Y672" s="4"/>
      <c r="Z672" s="4"/>
      <c r="AA672" s="4"/>
      <c r="AB672" s="4"/>
      <c r="AC672" s="4"/>
      <c r="AD672" s="4"/>
      <c r="AE672" s="4"/>
      <c r="AF672" s="4"/>
      <c r="AG672" s="4"/>
      <c r="AH672" s="4"/>
      <c r="AI672" s="4"/>
      <c r="AJ672" s="4"/>
      <c r="AK672" s="4"/>
      <c r="AL672" s="4"/>
      <c r="AM672" s="4"/>
      <c r="AN672" s="4"/>
      <c r="AO672" s="4"/>
      <c r="AP672" s="4"/>
      <c r="AQ672" s="4"/>
      <c r="AR672" s="4"/>
      <c r="AS672" s="4"/>
      <c r="AT672" s="4"/>
      <c r="AU672" s="4"/>
      <c r="AV672" s="4"/>
      <c r="AW672" s="4"/>
      <c r="AX672" s="4"/>
      <c r="AY672" s="4"/>
      <c r="AZ672" s="4"/>
      <c r="BA672" s="4"/>
      <c r="BB672" s="4"/>
      <c r="BC672" s="4"/>
      <c r="BD672" s="4"/>
      <c r="BE672" s="4"/>
      <c r="BF672" s="4"/>
      <c r="BG672" s="4"/>
      <c r="BH672" s="4"/>
      <c r="BI672" s="4"/>
      <c r="BJ672" s="4"/>
      <c r="BK672" s="4"/>
      <c r="BL672" s="4"/>
      <c r="BM672" s="4"/>
      <c r="BN672" s="4"/>
    </row>
    <row r="673" ht="13.5" customHeight="1" spans="1:66" x14ac:dyDescent="0.25">
      <c r="A673" s="4"/>
      <c r="B673" s="4"/>
      <c r="C673" s="533"/>
      <c r="D673" s="4"/>
      <c r="E673" s="4"/>
      <c r="F673" s="4"/>
      <c r="G673" s="4"/>
      <c r="H673" s="4"/>
      <c r="I673" s="4"/>
      <c r="J673" s="4"/>
      <c r="K673" s="4"/>
      <c r="L673" s="4"/>
      <c r="M673" s="4"/>
      <c r="N673" s="4"/>
      <c r="O673" s="4"/>
      <c r="P673" s="4"/>
      <c r="Q673" s="4"/>
      <c r="R673" s="4"/>
      <c r="S673" s="4"/>
      <c r="T673" s="4"/>
      <c r="U673" s="4"/>
      <c r="V673" s="4"/>
      <c r="W673" s="4"/>
      <c r="X673" s="4"/>
      <c r="Y673" s="4"/>
      <c r="Z673" s="4"/>
      <c r="AA673" s="4"/>
      <c r="AB673" s="4"/>
      <c r="AC673" s="4"/>
      <c r="AD673" s="4"/>
      <c r="AE673" s="4"/>
      <c r="AF673" s="4"/>
      <c r="AG673" s="4"/>
      <c r="AH673" s="4"/>
      <c r="AI673" s="4"/>
      <c r="AJ673" s="4"/>
      <c r="AK673" s="4"/>
      <c r="AL673" s="4"/>
      <c r="AM673" s="4"/>
      <c r="AN673" s="4"/>
      <c r="AO673" s="4"/>
      <c r="AP673" s="4"/>
      <c r="AQ673" s="4"/>
      <c r="AR673" s="4"/>
      <c r="AS673" s="4"/>
      <c r="AT673" s="4"/>
      <c r="AU673" s="4"/>
      <c r="AV673" s="4"/>
      <c r="AW673" s="4"/>
      <c r="AX673" s="4"/>
      <c r="AY673" s="4"/>
      <c r="AZ673" s="4"/>
      <c r="BA673" s="4"/>
      <c r="BB673" s="4"/>
      <c r="BC673" s="4"/>
      <c r="BD673" s="4"/>
      <c r="BE673" s="4"/>
      <c r="BF673" s="4"/>
      <c r="BG673" s="4"/>
      <c r="BH673" s="4"/>
      <c r="BI673" s="4"/>
      <c r="BJ673" s="4"/>
      <c r="BK673" s="4"/>
      <c r="BL673" s="4"/>
      <c r="BM673" s="4"/>
      <c r="BN673" s="4"/>
    </row>
    <row r="674" ht="13.5" customHeight="1" spans="1:66" x14ac:dyDescent="0.25">
      <c r="A674" s="4"/>
      <c r="B674" s="4"/>
      <c r="C674" s="533"/>
      <c r="D674" s="4"/>
      <c r="E674" s="4"/>
      <c r="F674" s="4"/>
      <c r="G674" s="4"/>
      <c r="H674" s="4"/>
      <c r="I674" s="4"/>
      <c r="J674" s="4"/>
      <c r="K674" s="4"/>
      <c r="L674" s="4"/>
      <c r="M674" s="4"/>
      <c r="N674" s="4"/>
      <c r="O674" s="4"/>
      <c r="P674" s="4"/>
      <c r="Q674" s="4"/>
      <c r="R674" s="4"/>
      <c r="S674" s="4"/>
      <c r="T674" s="4"/>
      <c r="U674" s="4"/>
      <c r="V674" s="4"/>
      <c r="W674" s="4"/>
      <c r="X674" s="4"/>
      <c r="Y674" s="4"/>
      <c r="Z674" s="4"/>
      <c r="AA674" s="4"/>
      <c r="AB674" s="4"/>
      <c r="AC674" s="4"/>
      <c r="AD674" s="4"/>
      <c r="AE674" s="4"/>
      <c r="AF674" s="4"/>
      <c r="AG674" s="4"/>
      <c r="AH674" s="4"/>
      <c r="AI674" s="4"/>
      <c r="AJ674" s="4"/>
      <c r="AK674" s="4"/>
      <c r="AL674" s="4"/>
      <c r="AM674" s="4"/>
      <c r="AN674" s="4"/>
      <c r="AO674" s="4"/>
      <c r="AP674" s="4"/>
      <c r="AQ674" s="4"/>
      <c r="AR674" s="4"/>
      <c r="AS674" s="4"/>
      <c r="AT674" s="4"/>
      <c r="AU674" s="4"/>
      <c r="AV674" s="4"/>
      <c r="AW674" s="4"/>
      <c r="AX674" s="4"/>
      <c r="AY674" s="4"/>
      <c r="AZ674" s="4"/>
      <c r="BA674" s="4"/>
      <c r="BB674" s="4"/>
      <c r="BC674" s="4"/>
      <c r="BD674" s="4"/>
      <c r="BE674" s="4"/>
      <c r="BF674" s="4"/>
      <c r="BG674" s="4"/>
      <c r="BH674" s="4"/>
      <c r="BI674" s="4"/>
      <c r="BJ674" s="4"/>
      <c r="BK674" s="4"/>
      <c r="BL674" s="4"/>
      <c r="BM674" s="4"/>
      <c r="BN674" s="4"/>
    </row>
    <row r="675" ht="13.5" customHeight="1" spans="1:66" x14ac:dyDescent="0.25">
      <c r="A675" s="4"/>
      <c r="B675" s="4"/>
      <c r="C675" s="533"/>
      <c r="D675" s="4"/>
      <c r="E675" s="4"/>
      <c r="F675" s="4"/>
      <c r="G675" s="4"/>
      <c r="H675" s="4"/>
      <c r="I675" s="4"/>
      <c r="J675" s="4"/>
      <c r="K675" s="4"/>
      <c r="L675" s="4"/>
      <c r="M675" s="4"/>
      <c r="N675" s="4"/>
      <c r="O675" s="4"/>
      <c r="P675" s="4"/>
      <c r="Q675" s="4"/>
      <c r="R675" s="4"/>
      <c r="S675" s="4"/>
      <c r="T675" s="4"/>
      <c r="U675" s="4"/>
      <c r="V675" s="4"/>
      <c r="W675" s="4"/>
      <c r="X675" s="4"/>
      <c r="Y675" s="4"/>
      <c r="Z675" s="4"/>
      <c r="AA675" s="4"/>
      <c r="AB675" s="4"/>
      <c r="AC675" s="4"/>
      <c r="AD675" s="4"/>
      <c r="AE675" s="4"/>
      <c r="AF675" s="4"/>
      <c r="AG675" s="4"/>
      <c r="AH675" s="4"/>
      <c r="AI675" s="4"/>
      <c r="AJ675" s="4"/>
      <c r="AK675" s="4"/>
      <c r="AL675" s="4"/>
      <c r="AM675" s="4"/>
      <c r="AN675" s="4"/>
      <c r="AO675" s="4"/>
      <c r="AP675" s="4"/>
      <c r="AQ675" s="4"/>
      <c r="AR675" s="4"/>
      <c r="AS675" s="4"/>
      <c r="AT675" s="4"/>
      <c r="AU675" s="4"/>
      <c r="AV675" s="4"/>
      <c r="AW675" s="4"/>
      <c r="AX675" s="4"/>
      <c r="AY675" s="4"/>
      <c r="AZ675" s="4"/>
      <c r="BA675" s="4"/>
      <c r="BB675" s="4"/>
      <c r="BC675" s="4"/>
      <c r="BD675" s="4"/>
      <c r="BE675" s="4"/>
      <c r="BF675" s="4"/>
      <c r="BG675" s="4"/>
      <c r="BH675" s="4"/>
      <c r="BI675" s="4"/>
      <c r="BJ675" s="4"/>
      <c r="BK675" s="4"/>
      <c r="BL675" s="4"/>
      <c r="BM675" s="4"/>
      <c r="BN675" s="4"/>
    </row>
    <row r="676" ht="13.5" customHeight="1" spans="1:66" x14ac:dyDescent="0.25">
      <c r="A676" s="4"/>
      <c r="B676" s="4"/>
      <c r="C676" s="533"/>
      <c r="D676" s="4"/>
      <c r="E676" s="4"/>
      <c r="F676" s="4"/>
      <c r="G676" s="4"/>
      <c r="H676" s="4"/>
      <c r="I676" s="4"/>
      <c r="J676" s="4"/>
      <c r="K676" s="4"/>
      <c r="L676" s="4"/>
      <c r="M676" s="4"/>
      <c r="N676" s="4"/>
      <c r="O676" s="4"/>
      <c r="P676" s="4"/>
      <c r="Q676" s="4"/>
      <c r="R676" s="4"/>
      <c r="S676" s="4"/>
      <c r="T676" s="4"/>
      <c r="U676" s="4"/>
      <c r="V676" s="4"/>
      <c r="W676" s="4"/>
      <c r="X676" s="4"/>
      <c r="Y676" s="4"/>
      <c r="Z676" s="4"/>
      <c r="AA676" s="4"/>
      <c r="AB676" s="4"/>
      <c r="AC676" s="4"/>
      <c r="AD676" s="4"/>
      <c r="AE676" s="4"/>
      <c r="AF676" s="4"/>
      <c r="AG676" s="4"/>
      <c r="AH676" s="4"/>
      <c r="AI676" s="4"/>
      <c r="AJ676" s="4"/>
      <c r="AK676" s="4"/>
      <c r="AL676" s="4"/>
      <c r="AM676" s="4"/>
      <c r="AN676" s="4"/>
      <c r="AO676" s="4"/>
      <c r="AP676" s="4"/>
      <c r="AQ676" s="4"/>
      <c r="AR676" s="4"/>
      <c r="AS676" s="4"/>
      <c r="AT676" s="4"/>
      <c r="AU676" s="4"/>
      <c r="AV676" s="4"/>
      <c r="AW676" s="4"/>
      <c r="AX676" s="4"/>
      <c r="AY676" s="4"/>
      <c r="AZ676" s="4"/>
      <c r="BA676" s="4"/>
      <c r="BB676" s="4"/>
      <c r="BC676" s="4"/>
      <c r="BD676" s="4"/>
      <c r="BE676" s="4"/>
      <c r="BF676" s="4"/>
      <c r="BG676" s="4"/>
      <c r="BH676" s="4"/>
      <c r="BI676" s="4"/>
      <c r="BJ676" s="4"/>
      <c r="BK676" s="4"/>
      <c r="BL676" s="4"/>
      <c r="BM676" s="4"/>
      <c r="BN676" s="4"/>
    </row>
    <row r="677" ht="13.5" customHeight="1" spans="1:66" x14ac:dyDescent="0.25">
      <c r="A677" s="4"/>
      <c r="B677" s="4"/>
      <c r="C677" s="533"/>
      <c r="D677" s="4"/>
      <c r="E677" s="4"/>
      <c r="F677" s="4"/>
      <c r="G677" s="4"/>
      <c r="H677" s="4"/>
      <c r="I677" s="4"/>
      <c r="J677" s="4"/>
      <c r="K677" s="4"/>
      <c r="L677" s="4"/>
      <c r="M677" s="4"/>
      <c r="N677" s="4"/>
      <c r="O677" s="4"/>
      <c r="P677" s="4"/>
      <c r="Q677" s="4"/>
      <c r="R677" s="4"/>
      <c r="S677" s="4"/>
      <c r="T677" s="4"/>
      <c r="U677" s="4"/>
      <c r="V677" s="4"/>
      <c r="W677" s="4"/>
      <c r="X677" s="4"/>
      <c r="Y677" s="4"/>
      <c r="Z677" s="4"/>
      <c r="AA677" s="4"/>
      <c r="AB677" s="4"/>
      <c r="AC677" s="4"/>
      <c r="AD677" s="4"/>
      <c r="AE677" s="4"/>
      <c r="AF677" s="4"/>
      <c r="AG677" s="4"/>
      <c r="AH677" s="4"/>
      <c r="AI677" s="4"/>
      <c r="AJ677" s="4"/>
      <c r="AK677" s="4"/>
      <c r="AL677" s="4"/>
      <c r="AM677" s="4"/>
      <c r="AN677" s="4"/>
      <c r="AO677" s="4"/>
      <c r="AP677" s="4"/>
      <c r="AQ677" s="4"/>
      <c r="AR677" s="4"/>
      <c r="AS677" s="4"/>
      <c r="AT677" s="4"/>
      <c r="AU677" s="4"/>
      <c r="AV677" s="4"/>
      <c r="AW677" s="4"/>
      <c r="AX677" s="4"/>
      <c r="AY677" s="4"/>
      <c r="AZ677" s="4"/>
      <c r="BA677" s="4"/>
      <c r="BB677" s="4"/>
      <c r="BC677" s="4"/>
      <c r="BD677" s="4"/>
      <c r="BE677" s="4"/>
      <c r="BF677" s="4"/>
      <c r="BG677" s="4"/>
      <c r="BH677" s="4"/>
      <c r="BI677" s="4"/>
      <c r="BJ677" s="4"/>
      <c r="BK677" s="4"/>
      <c r="BL677" s="4"/>
      <c r="BM677" s="4"/>
      <c r="BN677" s="4"/>
    </row>
    <row r="678" ht="13.5" customHeight="1" spans="1:66" x14ac:dyDescent="0.25">
      <c r="A678" s="4"/>
      <c r="B678" s="4"/>
      <c r="C678" s="533"/>
      <c r="D678" s="4"/>
      <c r="E678" s="4"/>
      <c r="F678" s="4"/>
      <c r="G678" s="4"/>
      <c r="H678" s="4"/>
      <c r="I678" s="4"/>
      <c r="J678" s="4"/>
      <c r="K678" s="4"/>
      <c r="L678" s="4"/>
      <c r="M678" s="4"/>
      <c r="N678" s="4"/>
      <c r="O678" s="4"/>
      <c r="P678" s="4"/>
      <c r="Q678" s="4"/>
      <c r="R678" s="4"/>
      <c r="S678" s="4"/>
      <c r="T678" s="4"/>
      <c r="U678" s="4"/>
      <c r="V678" s="4"/>
      <c r="W678" s="4"/>
      <c r="X678" s="4"/>
      <c r="Y678" s="4"/>
      <c r="Z678" s="4"/>
      <c r="AA678" s="4"/>
      <c r="AB678" s="4"/>
      <c r="AC678" s="4"/>
      <c r="AD678" s="4"/>
      <c r="AE678" s="4"/>
      <c r="AF678" s="4"/>
      <c r="AG678" s="4"/>
      <c r="AH678" s="4"/>
      <c r="AI678" s="4"/>
      <c r="AJ678" s="4"/>
      <c r="AK678" s="4"/>
      <c r="AL678" s="4"/>
      <c r="AM678" s="4"/>
      <c r="AN678" s="4"/>
      <c r="AO678" s="4"/>
      <c r="AP678" s="4"/>
      <c r="AQ678" s="4"/>
      <c r="AR678" s="4"/>
      <c r="AS678" s="4"/>
      <c r="AT678" s="4"/>
      <c r="AU678" s="4"/>
      <c r="AV678" s="4"/>
      <c r="AW678" s="4"/>
      <c r="AX678" s="4"/>
      <c r="AY678" s="4"/>
      <c r="AZ678" s="4"/>
      <c r="BA678" s="4"/>
      <c r="BB678" s="4"/>
      <c r="BC678" s="4"/>
      <c r="BD678" s="4"/>
      <c r="BE678" s="4"/>
      <c r="BF678" s="4"/>
      <c r="BG678" s="4"/>
      <c r="BH678" s="4"/>
      <c r="BI678" s="4"/>
      <c r="BJ678" s="4"/>
      <c r="BK678" s="4"/>
      <c r="BL678" s="4"/>
      <c r="BM678" s="4"/>
      <c r="BN678" s="4"/>
    </row>
    <row r="679" ht="13.5" customHeight="1" spans="1:66" x14ac:dyDescent="0.25">
      <c r="A679" s="4"/>
      <c r="B679" s="4"/>
      <c r="C679" s="533"/>
      <c r="D679" s="4"/>
      <c r="E679" s="4"/>
      <c r="F679" s="4"/>
      <c r="G679" s="4"/>
      <c r="H679" s="4"/>
      <c r="I679" s="4"/>
      <c r="J679" s="4"/>
      <c r="K679" s="4"/>
      <c r="L679" s="4"/>
      <c r="M679" s="4"/>
      <c r="N679" s="4"/>
      <c r="O679" s="4"/>
      <c r="P679" s="4"/>
      <c r="Q679" s="4"/>
      <c r="R679" s="4"/>
      <c r="S679" s="4"/>
      <c r="T679" s="4"/>
      <c r="U679" s="4"/>
      <c r="V679" s="4"/>
      <c r="W679" s="4"/>
      <c r="X679" s="4"/>
      <c r="Y679" s="4"/>
      <c r="Z679" s="4"/>
      <c r="AA679" s="4"/>
      <c r="AB679" s="4"/>
      <c r="AC679" s="4"/>
      <c r="AD679" s="4"/>
      <c r="AE679" s="4"/>
      <c r="AF679" s="4"/>
      <c r="AG679" s="4"/>
      <c r="AH679" s="4"/>
      <c r="AI679" s="4"/>
      <c r="AJ679" s="4"/>
      <c r="AK679" s="4"/>
      <c r="AL679" s="4"/>
      <c r="AM679" s="4"/>
      <c r="AN679" s="4"/>
      <c r="AO679" s="4"/>
      <c r="AP679" s="4"/>
      <c r="AQ679" s="4"/>
      <c r="AR679" s="4"/>
      <c r="AS679" s="4"/>
      <c r="AT679" s="4"/>
      <c r="AU679" s="4"/>
      <c r="AV679" s="4"/>
      <c r="AW679" s="4"/>
      <c r="AX679" s="4"/>
      <c r="AY679" s="4"/>
      <c r="AZ679" s="4"/>
      <c r="BA679" s="4"/>
      <c r="BB679" s="4"/>
      <c r="BC679" s="4"/>
      <c r="BD679" s="4"/>
      <c r="BE679" s="4"/>
      <c r="BF679" s="4"/>
      <c r="BG679" s="4"/>
      <c r="BH679" s="4"/>
      <c r="BI679" s="4"/>
      <c r="BJ679" s="4"/>
      <c r="BK679" s="4"/>
      <c r="BL679" s="4"/>
      <c r="BM679" s="4"/>
      <c r="BN679" s="4"/>
    </row>
    <row r="680" ht="13.5" customHeight="1" spans="1:66" x14ac:dyDescent="0.25">
      <c r="A680" s="4"/>
      <c r="B680" s="4"/>
      <c r="C680" s="533"/>
      <c r="D680" s="4"/>
      <c r="E680" s="4"/>
      <c r="F680" s="4"/>
      <c r="G680" s="4"/>
      <c r="H680" s="4"/>
      <c r="I680" s="4"/>
      <c r="J680" s="4"/>
      <c r="K680" s="4"/>
      <c r="L680" s="4"/>
      <c r="M680" s="4"/>
      <c r="N680" s="4"/>
      <c r="O680" s="4"/>
      <c r="P680" s="4"/>
      <c r="Q680" s="4"/>
      <c r="R680" s="4"/>
      <c r="S680" s="4"/>
      <c r="T680" s="4"/>
      <c r="U680" s="4"/>
      <c r="V680" s="4"/>
      <c r="W680" s="4"/>
      <c r="X680" s="4"/>
      <c r="Y680" s="4"/>
      <c r="Z680" s="4"/>
      <c r="AA680" s="4"/>
      <c r="AB680" s="4"/>
      <c r="AC680" s="4"/>
      <c r="AD680" s="4"/>
      <c r="AE680" s="4"/>
      <c r="AF680" s="4"/>
      <c r="AG680" s="4"/>
      <c r="AH680" s="4"/>
      <c r="AI680" s="4"/>
      <c r="AJ680" s="4"/>
      <c r="AK680" s="4"/>
      <c r="AL680" s="4"/>
      <c r="AM680" s="4"/>
      <c r="AN680" s="4"/>
      <c r="AO680" s="4"/>
      <c r="AP680" s="4"/>
      <c r="AQ680" s="4"/>
      <c r="AR680" s="4"/>
      <c r="AS680" s="4"/>
      <c r="AT680" s="4"/>
      <c r="AU680" s="4"/>
      <c r="AV680" s="4"/>
      <c r="AW680" s="4"/>
      <c r="AX680" s="4"/>
      <c r="AY680" s="4"/>
      <c r="AZ680" s="4"/>
      <c r="BA680" s="4"/>
      <c r="BB680" s="4"/>
      <c r="BC680" s="4"/>
      <c r="BD680" s="4"/>
      <c r="BE680" s="4"/>
      <c r="BF680" s="4"/>
      <c r="BG680" s="4"/>
      <c r="BH680" s="4"/>
      <c r="BI680" s="4"/>
      <c r="BJ680" s="4"/>
      <c r="BK680" s="4"/>
      <c r="BL680" s="4"/>
      <c r="BM680" s="4"/>
      <c r="BN680" s="4"/>
    </row>
    <row r="681" ht="13.5" customHeight="1" spans="1:66" x14ac:dyDescent="0.25">
      <c r="A681" s="4"/>
      <c r="B681" s="4"/>
      <c r="C681" s="533"/>
      <c r="D681" s="4"/>
      <c r="E681" s="4"/>
      <c r="F681" s="4"/>
      <c r="G681" s="4"/>
      <c r="H681" s="4"/>
      <c r="I681" s="4"/>
      <c r="J681" s="4"/>
      <c r="K681" s="4"/>
      <c r="L681" s="4"/>
      <c r="M681" s="4"/>
      <c r="N681" s="4"/>
      <c r="O681" s="4"/>
      <c r="P681" s="4"/>
      <c r="Q681" s="4"/>
      <c r="R681" s="4"/>
      <c r="S681" s="4"/>
      <c r="T681" s="4"/>
      <c r="U681" s="4"/>
      <c r="V681" s="4"/>
      <c r="W681" s="4"/>
      <c r="X681" s="4"/>
      <c r="Y681" s="4"/>
      <c r="Z681" s="4"/>
      <c r="AA681" s="4"/>
      <c r="AB681" s="4"/>
      <c r="AC681" s="4"/>
      <c r="AD681" s="4"/>
      <c r="AE681" s="4"/>
      <c r="AF681" s="4"/>
      <c r="AG681" s="4"/>
      <c r="AH681" s="4"/>
      <c r="AI681" s="4"/>
      <c r="AJ681" s="4"/>
      <c r="AK681" s="4"/>
      <c r="AL681" s="4"/>
      <c r="AM681" s="4"/>
      <c r="AN681" s="4"/>
      <c r="AO681" s="4"/>
      <c r="AP681" s="4"/>
      <c r="AQ681" s="4"/>
      <c r="AR681" s="4"/>
      <c r="AS681" s="4"/>
      <c r="AT681" s="4"/>
      <c r="AU681" s="4"/>
      <c r="AV681" s="4"/>
      <c r="AW681" s="4"/>
      <c r="AX681" s="4"/>
      <c r="AY681" s="4"/>
      <c r="AZ681" s="4"/>
      <c r="BA681" s="4"/>
      <c r="BB681" s="4"/>
      <c r="BC681" s="4"/>
      <c r="BD681" s="4"/>
      <c r="BE681" s="4"/>
      <c r="BF681" s="4"/>
      <c r="BG681" s="4"/>
      <c r="BH681" s="4"/>
      <c r="BI681" s="4"/>
      <c r="BJ681" s="4"/>
      <c r="BK681" s="4"/>
      <c r="BL681" s="4"/>
      <c r="BM681" s="4"/>
      <c r="BN681" s="4"/>
    </row>
    <row r="682" ht="13.5" customHeight="1" spans="1:66" x14ac:dyDescent="0.25">
      <c r="A682" s="4"/>
      <c r="B682" s="4"/>
      <c r="C682" s="533"/>
      <c r="D682" s="4"/>
      <c r="E682" s="4"/>
      <c r="F682" s="4"/>
      <c r="G682" s="4"/>
      <c r="H682" s="4"/>
      <c r="I682" s="4"/>
      <c r="J682" s="4"/>
      <c r="K682" s="4"/>
      <c r="L682" s="4"/>
      <c r="M682" s="4"/>
      <c r="N682" s="4"/>
      <c r="O682" s="4"/>
      <c r="P682" s="4"/>
      <c r="Q682" s="4"/>
      <c r="R682" s="4"/>
      <c r="S682" s="4"/>
      <c r="T682" s="4"/>
      <c r="U682" s="4"/>
      <c r="V682" s="4"/>
      <c r="W682" s="4"/>
      <c r="X682" s="4"/>
      <c r="Y682" s="4"/>
      <c r="Z682" s="4"/>
      <c r="AA682" s="4"/>
      <c r="AB682" s="4"/>
      <c r="AC682" s="4"/>
      <c r="AD682" s="4"/>
      <c r="AE682" s="4"/>
      <c r="AF682" s="4"/>
      <c r="AG682" s="4"/>
      <c r="AH682" s="4"/>
      <c r="AI682" s="4"/>
      <c r="AJ682" s="4"/>
      <c r="AK682" s="4"/>
      <c r="AL682" s="4"/>
      <c r="AM682" s="4"/>
      <c r="AN682" s="4"/>
      <c r="AO682" s="4"/>
      <c r="AP682" s="4"/>
      <c r="AQ682" s="4"/>
      <c r="AR682" s="4"/>
      <c r="AS682" s="4"/>
      <c r="AT682" s="4"/>
      <c r="AU682" s="4"/>
      <c r="AV682" s="4"/>
      <c r="AW682" s="4"/>
      <c r="AX682" s="4"/>
      <c r="AY682" s="4"/>
      <c r="AZ682" s="4"/>
      <c r="BA682" s="4"/>
      <c r="BB682" s="4"/>
      <c r="BC682" s="4"/>
      <c r="BD682" s="4"/>
      <c r="BE682" s="4"/>
      <c r="BF682" s="4"/>
      <c r="BG682" s="4"/>
      <c r="BH682" s="4"/>
      <c r="BI682" s="4"/>
      <c r="BJ682" s="4"/>
      <c r="BK682" s="4"/>
      <c r="BL682" s="4"/>
      <c r="BM682" s="4"/>
      <c r="BN682" s="4"/>
    </row>
    <row r="683" ht="13.5" customHeight="1" spans="1:66" x14ac:dyDescent="0.25">
      <c r="A683" s="4"/>
      <c r="B683" s="4"/>
      <c r="C683" s="533"/>
      <c r="D683" s="4"/>
      <c r="E683" s="4"/>
      <c r="F683" s="4"/>
      <c r="G683" s="4"/>
      <c r="H683" s="4"/>
      <c r="I683" s="4"/>
      <c r="J683" s="4"/>
      <c r="K683" s="4"/>
      <c r="L683" s="4"/>
      <c r="M683" s="4"/>
      <c r="N683" s="4"/>
      <c r="O683" s="4"/>
      <c r="P683" s="4"/>
      <c r="Q683" s="4"/>
      <c r="R683" s="4"/>
      <c r="S683" s="4"/>
      <c r="T683" s="4"/>
      <c r="U683" s="4"/>
      <c r="V683" s="4"/>
      <c r="W683" s="4"/>
      <c r="X683" s="4"/>
      <c r="Y683" s="4"/>
      <c r="Z683" s="4"/>
      <c r="AA683" s="4"/>
      <c r="AB683" s="4"/>
      <c r="AC683" s="4"/>
      <c r="AD683" s="4"/>
      <c r="AE683" s="4"/>
      <c r="AF683" s="4"/>
      <c r="AG683" s="4"/>
      <c r="AH683" s="4"/>
      <c r="AI683" s="4"/>
      <c r="AJ683" s="4"/>
      <c r="AK683" s="4"/>
      <c r="AL683" s="4"/>
      <c r="AM683" s="4"/>
      <c r="AN683" s="4"/>
      <c r="AO683" s="4"/>
      <c r="AP683" s="4"/>
      <c r="AQ683" s="4"/>
      <c r="AR683" s="4"/>
      <c r="AS683" s="4"/>
      <c r="AT683" s="4"/>
      <c r="AU683" s="4"/>
      <c r="AV683" s="4"/>
      <c r="AW683" s="4"/>
      <c r="AX683" s="4"/>
      <c r="AY683" s="4"/>
      <c r="AZ683" s="4"/>
      <c r="BA683" s="4"/>
      <c r="BB683" s="4"/>
      <c r="BC683" s="4"/>
      <c r="BD683" s="4"/>
      <c r="BE683" s="4"/>
      <c r="BF683" s="4"/>
      <c r="BG683" s="4"/>
      <c r="BH683" s="4"/>
      <c r="BI683" s="4"/>
      <c r="BJ683" s="4"/>
      <c r="BK683" s="4"/>
      <c r="BL683" s="4"/>
      <c r="BM683" s="4"/>
      <c r="BN683" s="4"/>
    </row>
    <row r="684" ht="13.5" customHeight="1" spans="1:66" x14ac:dyDescent="0.25">
      <c r="A684" s="4"/>
      <c r="B684" s="4"/>
      <c r="C684" s="533"/>
      <c r="D684" s="4"/>
      <c r="E684" s="4"/>
      <c r="F684" s="4"/>
      <c r="G684" s="4"/>
      <c r="H684" s="4"/>
      <c r="I684" s="4"/>
      <c r="J684" s="4"/>
      <c r="K684" s="4"/>
      <c r="L684" s="4"/>
      <c r="M684" s="4"/>
      <c r="N684" s="4"/>
      <c r="O684" s="4"/>
      <c r="P684" s="4"/>
      <c r="Q684" s="4"/>
      <c r="R684" s="4"/>
      <c r="S684" s="4"/>
      <c r="T684" s="4"/>
      <c r="U684" s="4"/>
      <c r="V684" s="4"/>
      <c r="W684" s="4"/>
      <c r="X684" s="4"/>
      <c r="Y684" s="4"/>
      <c r="Z684" s="4"/>
      <c r="AA684" s="4"/>
      <c r="AB684" s="4"/>
      <c r="AC684" s="4"/>
      <c r="AD684" s="4"/>
      <c r="AE684" s="4"/>
      <c r="AF684" s="4"/>
      <c r="AG684" s="4"/>
      <c r="AH684" s="4"/>
      <c r="AI684" s="4"/>
      <c r="AJ684" s="4"/>
      <c r="AK684" s="4"/>
      <c r="AL684" s="4"/>
      <c r="AM684" s="4"/>
      <c r="AN684" s="4"/>
      <c r="AO684" s="4"/>
      <c r="AP684" s="4"/>
      <c r="AQ684" s="4"/>
      <c r="AR684" s="4"/>
      <c r="AS684" s="4"/>
      <c r="AT684" s="4"/>
      <c r="AU684" s="4"/>
      <c r="AV684" s="4"/>
      <c r="AW684" s="4"/>
      <c r="AX684" s="4"/>
      <c r="AY684" s="4"/>
      <c r="AZ684" s="4"/>
      <c r="BA684" s="4"/>
      <c r="BB684" s="4"/>
      <c r="BC684" s="4"/>
      <c r="BD684" s="4"/>
      <c r="BE684" s="4"/>
      <c r="BF684" s="4"/>
      <c r="BG684" s="4"/>
      <c r="BH684" s="4"/>
      <c r="BI684" s="4"/>
      <c r="BJ684" s="4"/>
      <c r="BK684" s="4"/>
      <c r="BL684" s="4"/>
      <c r="BM684" s="4"/>
      <c r="BN684" s="4"/>
    </row>
    <row r="685" ht="13.5" customHeight="1" spans="1:66" x14ac:dyDescent="0.25">
      <c r="A685" s="4"/>
      <c r="B685" s="4"/>
      <c r="C685" s="533"/>
      <c r="D685" s="4"/>
      <c r="E685" s="4"/>
      <c r="F685" s="4"/>
      <c r="G685" s="4"/>
      <c r="H685" s="4"/>
      <c r="I685" s="4"/>
      <c r="J685" s="4"/>
      <c r="K685" s="4"/>
      <c r="L685" s="4"/>
      <c r="M685" s="4"/>
      <c r="N685" s="4"/>
      <c r="O685" s="4"/>
      <c r="P685" s="4"/>
      <c r="Q685" s="4"/>
      <c r="R685" s="4"/>
      <c r="S685" s="4"/>
      <c r="T685" s="4"/>
      <c r="U685" s="4"/>
      <c r="V685" s="4"/>
      <c r="W685" s="4"/>
      <c r="X685" s="4"/>
      <c r="Y685" s="4"/>
      <c r="Z685" s="4"/>
      <c r="AA685" s="4"/>
      <c r="AB685" s="4"/>
      <c r="AC685" s="4"/>
      <c r="AD685" s="4"/>
      <c r="AE685" s="4"/>
      <c r="AF685" s="4"/>
      <c r="AG685" s="4"/>
      <c r="AH685" s="4"/>
      <c r="AI685" s="4"/>
      <c r="AJ685" s="4"/>
      <c r="AK685" s="4"/>
      <c r="AL685" s="4"/>
      <c r="AM685" s="4"/>
      <c r="AN685" s="4"/>
      <c r="AO685" s="4"/>
      <c r="AP685" s="4"/>
      <c r="AQ685" s="4"/>
      <c r="AR685" s="4"/>
      <c r="AS685" s="4"/>
      <c r="AT685" s="4"/>
      <c r="AU685" s="4"/>
      <c r="AV685" s="4"/>
      <c r="AW685" s="4"/>
      <c r="AX685" s="4"/>
      <c r="AY685" s="4"/>
      <c r="AZ685" s="4"/>
      <c r="BA685" s="4"/>
      <c r="BB685" s="4"/>
      <c r="BC685" s="4"/>
      <c r="BD685" s="4"/>
      <c r="BE685" s="4"/>
      <c r="BF685" s="4"/>
      <c r="BG685" s="4"/>
      <c r="BH685" s="4"/>
      <c r="BI685" s="4"/>
      <c r="BJ685" s="4"/>
      <c r="BK685" s="4"/>
      <c r="BL685" s="4"/>
      <c r="BM685" s="4"/>
      <c r="BN685" s="4"/>
    </row>
    <row r="686" ht="13.5" customHeight="1" spans="1:66" x14ac:dyDescent="0.25">
      <c r="A686" s="4"/>
      <c r="B686" s="4"/>
      <c r="C686" s="533"/>
      <c r="D686" s="4"/>
      <c r="E686" s="4"/>
      <c r="F686" s="4"/>
      <c r="G686" s="4"/>
      <c r="H686" s="4"/>
      <c r="I686" s="4"/>
      <c r="J686" s="4"/>
      <c r="K686" s="4"/>
      <c r="L686" s="4"/>
      <c r="M686" s="4"/>
      <c r="N686" s="4"/>
      <c r="O686" s="4"/>
      <c r="P686" s="4"/>
      <c r="Q686" s="4"/>
      <c r="R686" s="4"/>
      <c r="S686" s="4"/>
      <c r="T686" s="4"/>
      <c r="U686" s="4"/>
      <c r="V686" s="4"/>
      <c r="W686" s="4"/>
      <c r="X686" s="4"/>
      <c r="Y686" s="4"/>
      <c r="Z686" s="4"/>
      <c r="AA686" s="4"/>
      <c r="AB686" s="4"/>
      <c r="AC686" s="4"/>
      <c r="AD686" s="4"/>
      <c r="AE686" s="4"/>
      <c r="AF686" s="4"/>
      <c r="AG686" s="4"/>
      <c r="AH686" s="4"/>
      <c r="AI686" s="4"/>
      <c r="AJ686" s="4"/>
      <c r="AK686" s="4"/>
      <c r="AL686" s="4"/>
      <c r="AM686" s="4"/>
      <c r="AN686" s="4"/>
      <c r="AO686" s="4"/>
      <c r="AP686" s="4"/>
      <c r="AQ686" s="4"/>
      <c r="AR686" s="4"/>
      <c r="AS686" s="4"/>
      <c r="AT686" s="4"/>
      <c r="AU686" s="4"/>
      <c r="AV686" s="4"/>
      <c r="AW686" s="4"/>
      <c r="AX686" s="4"/>
      <c r="AY686" s="4"/>
      <c r="AZ686" s="4"/>
      <c r="BA686" s="4"/>
      <c r="BB686" s="4"/>
      <c r="BC686" s="4"/>
      <c r="BD686" s="4"/>
      <c r="BE686" s="4"/>
      <c r="BF686" s="4"/>
      <c r="BG686" s="4"/>
      <c r="BH686" s="4"/>
      <c r="BI686" s="4"/>
      <c r="BJ686" s="4"/>
      <c r="BK686" s="4"/>
      <c r="BL686" s="4"/>
      <c r="BM686" s="4"/>
      <c r="BN686" s="4"/>
    </row>
    <row r="687" ht="13.5" customHeight="1" spans="1:66" x14ac:dyDescent="0.25">
      <c r="A687" s="4"/>
      <c r="B687" s="4"/>
      <c r="C687" s="533"/>
      <c r="D687" s="4"/>
      <c r="E687" s="4"/>
      <c r="F687" s="4"/>
      <c r="G687" s="4"/>
      <c r="H687" s="4"/>
      <c r="I687" s="4"/>
      <c r="J687" s="4"/>
      <c r="K687" s="4"/>
      <c r="L687" s="4"/>
      <c r="M687" s="4"/>
      <c r="N687" s="4"/>
      <c r="O687" s="4"/>
      <c r="P687" s="4"/>
      <c r="Q687" s="4"/>
      <c r="R687" s="4"/>
      <c r="S687" s="4"/>
      <c r="T687" s="4"/>
      <c r="U687" s="4"/>
      <c r="V687" s="4"/>
      <c r="W687" s="4"/>
      <c r="X687" s="4"/>
      <c r="Y687" s="4"/>
      <c r="Z687" s="4"/>
      <c r="AA687" s="4"/>
      <c r="AB687" s="4"/>
      <c r="AC687" s="4"/>
      <c r="AD687" s="4"/>
      <c r="AE687" s="4"/>
      <c r="AF687" s="4"/>
      <c r="AG687" s="4"/>
      <c r="AH687" s="4"/>
      <c r="AI687" s="4"/>
      <c r="AJ687" s="4"/>
      <c r="AK687" s="4"/>
      <c r="AL687" s="4"/>
      <c r="AM687" s="4"/>
      <c r="AN687" s="4"/>
      <c r="AO687" s="4"/>
      <c r="AP687" s="4"/>
      <c r="AQ687" s="4"/>
      <c r="AR687" s="4"/>
      <c r="AS687" s="4"/>
      <c r="AT687" s="4"/>
      <c r="AU687" s="4"/>
      <c r="AV687" s="4"/>
      <c r="AW687" s="4"/>
      <c r="AX687" s="4"/>
      <c r="AY687" s="4"/>
      <c r="AZ687" s="4"/>
      <c r="BA687" s="4"/>
      <c r="BB687" s="4"/>
      <c r="BC687" s="4"/>
      <c r="BD687" s="4"/>
      <c r="BE687" s="4"/>
      <c r="BF687" s="4"/>
      <c r="BG687" s="4"/>
      <c r="BH687" s="4"/>
      <c r="BI687" s="4"/>
      <c r="BJ687" s="4"/>
      <c r="BK687" s="4"/>
      <c r="BL687" s="4"/>
      <c r="BM687" s="4"/>
      <c r="BN687" s="4"/>
    </row>
    <row r="688" ht="13.5" customHeight="1" spans="1:66" x14ac:dyDescent="0.25">
      <c r="A688" s="4"/>
      <c r="B688" s="4"/>
      <c r="C688" s="533"/>
      <c r="D688" s="4"/>
      <c r="E688" s="4"/>
      <c r="F688" s="4"/>
      <c r="G688" s="4"/>
      <c r="H688" s="4"/>
      <c r="I688" s="4"/>
      <c r="J688" s="4"/>
      <c r="K688" s="4"/>
      <c r="L688" s="4"/>
      <c r="M688" s="4"/>
      <c r="N688" s="4"/>
      <c r="O688" s="4"/>
      <c r="P688" s="4"/>
      <c r="Q688" s="4"/>
      <c r="R688" s="4"/>
      <c r="S688" s="4"/>
      <c r="T688" s="4"/>
      <c r="U688" s="4"/>
      <c r="V688" s="4"/>
      <c r="W688" s="4"/>
      <c r="X688" s="4"/>
      <c r="Y688" s="4"/>
      <c r="Z688" s="4"/>
      <c r="AA688" s="4"/>
      <c r="AB688" s="4"/>
      <c r="AC688" s="4"/>
      <c r="AD688" s="4"/>
      <c r="AE688" s="4"/>
      <c r="AF688" s="4"/>
      <c r="AG688" s="4"/>
      <c r="AH688" s="4"/>
      <c r="AI688" s="4"/>
      <c r="AJ688" s="4"/>
      <c r="AK688" s="4"/>
      <c r="AL688" s="4"/>
      <c r="AM688" s="4"/>
      <c r="AN688" s="4"/>
      <c r="AO688" s="4"/>
      <c r="AP688" s="4"/>
      <c r="AQ688" s="4"/>
      <c r="AR688" s="4"/>
      <c r="AS688" s="4"/>
      <c r="AT688" s="4"/>
      <c r="AU688" s="4"/>
      <c r="AV688" s="4"/>
      <c r="AW688" s="4"/>
      <c r="AX688" s="4"/>
      <c r="AY688" s="4"/>
      <c r="AZ688" s="4"/>
      <c r="BA688" s="4"/>
      <c r="BB688" s="4"/>
      <c r="BC688" s="4"/>
      <c r="BD688" s="4"/>
      <c r="BE688" s="4"/>
      <c r="BF688" s="4"/>
      <c r="BG688" s="4"/>
      <c r="BH688" s="4"/>
      <c r="BI688" s="4"/>
      <c r="BJ688" s="4"/>
      <c r="BK688" s="4"/>
      <c r="BL688" s="4"/>
      <c r="BM688" s="4"/>
      <c r="BN688" s="4"/>
    </row>
    <row r="689" ht="13.5" customHeight="1" spans="1:66" x14ac:dyDescent="0.25">
      <c r="A689" s="4"/>
      <c r="B689" s="4"/>
      <c r="C689" s="533"/>
      <c r="D689" s="4"/>
      <c r="E689" s="4"/>
      <c r="F689" s="4"/>
      <c r="G689" s="4"/>
      <c r="H689" s="4"/>
      <c r="I689" s="4"/>
      <c r="J689" s="4"/>
      <c r="K689" s="4"/>
      <c r="L689" s="4"/>
      <c r="M689" s="4"/>
      <c r="N689" s="4"/>
      <c r="O689" s="4"/>
      <c r="P689" s="4"/>
      <c r="Q689" s="4"/>
      <c r="R689" s="4"/>
      <c r="S689" s="4"/>
      <c r="T689" s="4"/>
      <c r="U689" s="4"/>
      <c r="V689" s="4"/>
      <c r="W689" s="4"/>
      <c r="X689" s="4"/>
      <c r="Y689" s="4"/>
      <c r="Z689" s="4"/>
      <c r="AA689" s="4"/>
      <c r="AB689" s="4"/>
      <c r="AC689" s="4"/>
      <c r="AD689" s="4"/>
      <c r="AE689" s="4"/>
      <c r="AF689" s="4"/>
      <c r="AG689" s="4"/>
      <c r="AH689" s="4"/>
      <c r="AI689" s="4"/>
      <c r="AJ689" s="4"/>
      <c r="AK689" s="4"/>
      <c r="AL689" s="4"/>
      <c r="AM689" s="4"/>
      <c r="AN689" s="4"/>
      <c r="AO689" s="4"/>
      <c r="AP689" s="4"/>
      <c r="AQ689" s="4"/>
      <c r="AR689" s="4"/>
      <c r="AS689" s="4"/>
      <c r="AT689" s="4"/>
      <c r="AU689" s="4"/>
      <c r="AV689" s="4"/>
      <c r="AW689" s="4"/>
      <c r="AX689" s="4"/>
      <c r="AY689" s="4"/>
      <c r="AZ689" s="4"/>
      <c r="BA689" s="4"/>
      <c r="BB689" s="4"/>
      <c r="BC689" s="4"/>
      <c r="BD689" s="4"/>
      <c r="BE689" s="4"/>
      <c r="BF689" s="4"/>
      <c r="BG689" s="4"/>
      <c r="BH689" s="4"/>
      <c r="BI689" s="4"/>
      <c r="BJ689" s="4"/>
      <c r="BK689" s="4"/>
      <c r="BL689" s="4"/>
      <c r="BM689" s="4"/>
      <c r="BN689" s="4"/>
    </row>
    <row r="690" ht="13.5" customHeight="1" spans="1:66" x14ac:dyDescent="0.25">
      <c r="A690" s="4"/>
      <c r="B690" s="4"/>
      <c r="C690" s="533"/>
      <c r="D690" s="4"/>
      <c r="E690" s="4"/>
      <c r="F690" s="4"/>
      <c r="G690" s="4"/>
      <c r="H690" s="4"/>
      <c r="I690" s="4"/>
      <c r="J690" s="4"/>
      <c r="K690" s="4"/>
      <c r="L690" s="4"/>
      <c r="M690" s="4"/>
      <c r="N690" s="4"/>
      <c r="O690" s="4"/>
      <c r="P690" s="4"/>
      <c r="Q690" s="4"/>
      <c r="R690" s="4"/>
      <c r="S690" s="4"/>
      <c r="T690" s="4"/>
      <c r="U690" s="4"/>
      <c r="V690" s="4"/>
      <c r="W690" s="4"/>
      <c r="X690" s="4"/>
      <c r="Y690" s="4"/>
      <c r="Z690" s="4"/>
      <c r="AA690" s="4"/>
      <c r="AB690" s="4"/>
      <c r="AC690" s="4"/>
      <c r="AD690" s="4"/>
      <c r="AE690" s="4"/>
      <c r="AF690" s="4"/>
      <c r="AG690" s="4"/>
      <c r="AH690" s="4"/>
      <c r="AI690" s="4"/>
      <c r="AJ690" s="4"/>
      <c r="AK690" s="4"/>
      <c r="AL690" s="4"/>
      <c r="AM690" s="4"/>
      <c r="AN690" s="4"/>
      <c r="AO690" s="4"/>
      <c r="AP690" s="4"/>
      <c r="AQ690" s="4"/>
      <c r="AR690" s="4"/>
      <c r="AS690" s="4"/>
      <c r="AT690" s="4"/>
      <c r="AU690" s="4"/>
      <c r="AV690" s="4"/>
      <c r="AW690" s="4"/>
      <c r="AX690" s="4"/>
      <c r="AY690" s="4"/>
      <c r="AZ690" s="4"/>
      <c r="BA690" s="4"/>
      <c r="BB690" s="4"/>
      <c r="BC690" s="4"/>
      <c r="BD690" s="4"/>
      <c r="BE690" s="4"/>
      <c r="BF690" s="4"/>
      <c r="BG690" s="4"/>
      <c r="BH690" s="4"/>
      <c r="BI690" s="4"/>
      <c r="BJ690" s="4"/>
      <c r="BK690" s="4"/>
      <c r="BL690" s="4"/>
      <c r="BM690" s="4"/>
      <c r="BN690" s="4"/>
    </row>
    <row r="691" ht="13.5" customHeight="1" spans="1:66" x14ac:dyDescent="0.25">
      <c r="A691" s="4"/>
      <c r="B691" s="4"/>
      <c r="C691" s="533"/>
      <c r="D691" s="4"/>
      <c r="E691" s="4"/>
      <c r="F691" s="4"/>
      <c r="G691" s="4"/>
      <c r="H691" s="4"/>
      <c r="I691" s="4"/>
      <c r="J691" s="4"/>
      <c r="K691" s="4"/>
      <c r="L691" s="4"/>
      <c r="M691" s="4"/>
      <c r="N691" s="4"/>
      <c r="O691" s="4"/>
      <c r="P691" s="4"/>
      <c r="Q691" s="4"/>
      <c r="R691" s="4"/>
      <c r="S691" s="4"/>
      <c r="T691" s="4"/>
      <c r="U691" s="4"/>
      <c r="V691" s="4"/>
      <c r="W691" s="4"/>
      <c r="X691" s="4"/>
      <c r="Y691" s="4"/>
      <c r="Z691" s="4"/>
      <c r="AA691" s="4"/>
      <c r="AB691" s="4"/>
      <c r="AC691" s="4"/>
      <c r="AD691" s="4"/>
      <c r="AE691" s="4"/>
      <c r="AF691" s="4"/>
      <c r="AG691" s="4"/>
      <c r="AH691" s="4"/>
      <c r="AI691" s="4"/>
      <c r="AJ691" s="4"/>
      <c r="AK691" s="4"/>
      <c r="AL691" s="4"/>
      <c r="AM691" s="4"/>
      <c r="AN691" s="4"/>
      <c r="AO691" s="4"/>
      <c r="AP691" s="4"/>
      <c r="AQ691" s="4"/>
      <c r="AR691" s="4"/>
      <c r="AS691" s="4"/>
      <c r="AT691" s="4"/>
      <c r="AU691" s="4"/>
      <c r="AV691" s="4"/>
      <c r="AW691" s="4"/>
      <c r="AX691" s="4"/>
      <c r="AY691" s="4"/>
      <c r="AZ691" s="4"/>
      <c r="BA691" s="4"/>
      <c r="BB691" s="4"/>
      <c r="BC691" s="4"/>
      <c r="BD691" s="4"/>
      <c r="BE691" s="4"/>
      <c r="BF691" s="4"/>
      <c r="BG691" s="4"/>
      <c r="BH691" s="4"/>
      <c r="BI691" s="4"/>
      <c r="BJ691" s="4"/>
      <c r="BK691" s="4"/>
      <c r="BL691" s="4"/>
      <c r="BM691" s="4"/>
      <c r="BN691" s="4"/>
    </row>
    <row r="692" ht="13.5" customHeight="1" spans="1:66" x14ac:dyDescent="0.25">
      <c r="A692" s="4"/>
      <c r="B692" s="4"/>
      <c r="C692" s="533"/>
      <c r="D692" s="4"/>
      <c r="E692" s="4"/>
      <c r="F692" s="4"/>
      <c r="G692" s="4"/>
      <c r="H692" s="4"/>
      <c r="I692" s="4"/>
      <c r="J692" s="4"/>
      <c r="K692" s="4"/>
      <c r="L692" s="4"/>
      <c r="M692" s="4"/>
      <c r="N692" s="4"/>
      <c r="O692" s="4"/>
      <c r="P692" s="4"/>
      <c r="Q692" s="4"/>
      <c r="R692" s="4"/>
      <c r="S692" s="4"/>
      <c r="T692" s="4"/>
      <c r="U692" s="4"/>
      <c r="V692" s="4"/>
      <c r="W692" s="4"/>
      <c r="X692" s="4"/>
      <c r="Y692" s="4"/>
      <c r="Z692" s="4"/>
      <c r="AA692" s="4"/>
      <c r="AB692" s="4"/>
      <c r="AC692" s="4"/>
      <c r="AD692" s="4"/>
      <c r="AE692" s="4"/>
      <c r="AF692" s="4"/>
      <c r="AG692" s="4"/>
      <c r="AH692" s="4"/>
      <c r="AI692" s="4"/>
      <c r="AJ692" s="4"/>
      <c r="AK692" s="4"/>
      <c r="AL692" s="4"/>
      <c r="AM692" s="4"/>
      <c r="AN692" s="4"/>
      <c r="AO692" s="4"/>
      <c r="AP692" s="4"/>
      <c r="AQ692" s="4"/>
      <c r="AR692" s="4"/>
      <c r="AS692" s="4"/>
      <c r="AT692" s="4"/>
      <c r="AU692" s="4"/>
      <c r="AV692" s="4"/>
      <c r="AW692" s="4"/>
      <c r="AX692" s="4"/>
      <c r="AY692" s="4"/>
      <c r="AZ692" s="4"/>
      <c r="BA692" s="4"/>
      <c r="BB692" s="4"/>
      <c r="BC692" s="4"/>
      <c r="BD692" s="4"/>
      <c r="BE692" s="4"/>
      <c r="BF692" s="4"/>
      <c r="BG692" s="4"/>
      <c r="BH692" s="4"/>
      <c r="BI692" s="4"/>
      <c r="BJ692" s="4"/>
      <c r="BK692" s="4"/>
      <c r="BL692" s="4"/>
      <c r="BM692" s="4"/>
      <c r="BN692" s="4"/>
    </row>
    <row r="693" ht="13.5" customHeight="1" spans="1:66" x14ac:dyDescent="0.25">
      <c r="A693" s="4"/>
      <c r="B693" s="4"/>
      <c r="C693" s="533"/>
      <c r="D693" s="4"/>
      <c r="E693" s="4"/>
      <c r="F693" s="4"/>
      <c r="G693" s="4"/>
      <c r="H693" s="4"/>
      <c r="I693" s="4"/>
      <c r="J693" s="4"/>
      <c r="K693" s="4"/>
      <c r="L693" s="4"/>
      <c r="M693" s="4"/>
      <c r="N693" s="4"/>
      <c r="O693" s="4"/>
      <c r="P693" s="4"/>
      <c r="Q693" s="4"/>
      <c r="R693" s="4"/>
      <c r="S693" s="4"/>
      <c r="T693" s="4"/>
      <c r="U693" s="4"/>
      <c r="V693" s="4"/>
      <c r="W693" s="4"/>
      <c r="X693" s="4"/>
      <c r="Y693" s="4"/>
      <c r="Z693" s="4"/>
      <c r="AA693" s="4"/>
      <c r="AB693" s="4"/>
      <c r="AC693" s="4"/>
      <c r="AD693" s="4"/>
      <c r="AE693" s="4"/>
      <c r="AF693" s="4"/>
      <c r="AG693" s="4"/>
      <c r="AH693" s="4"/>
      <c r="AI693" s="4"/>
      <c r="AJ693" s="4"/>
      <c r="AK693" s="4"/>
      <c r="AL693" s="4"/>
      <c r="AM693" s="4"/>
      <c r="AN693" s="4"/>
      <c r="AO693" s="4"/>
      <c r="AP693" s="4"/>
      <c r="AQ693" s="4"/>
      <c r="AR693" s="4"/>
      <c r="AS693" s="4"/>
      <c r="AT693" s="4"/>
      <c r="AU693" s="4"/>
      <c r="AV693" s="4"/>
      <c r="AW693" s="4"/>
      <c r="AX693" s="4"/>
      <c r="AY693" s="4"/>
      <c r="AZ693" s="4"/>
      <c r="BA693" s="4"/>
      <c r="BB693" s="4"/>
      <c r="BC693" s="4"/>
      <c r="BD693" s="4"/>
      <c r="BE693" s="4"/>
      <c r="BF693" s="4"/>
      <c r="BG693" s="4"/>
      <c r="BH693" s="4"/>
      <c r="BI693" s="4"/>
      <c r="BJ693" s="4"/>
      <c r="BK693" s="4"/>
      <c r="BL693" s="4"/>
      <c r="BM693" s="4"/>
      <c r="BN693" s="4"/>
    </row>
    <row r="694" ht="13.5" customHeight="1" spans="1:66" x14ac:dyDescent="0.25">
      <c r="A694" s="4"/>
      <c r="B694" s="4"/>
      <c r="C694" s="533"/>
      <c r="D694" s="4"/>
      <c r="E694" s="4"/>
      <c r="F694" s="4"/>
      <c r="G694" s="4"/>
      <c r="H694" s="4"/>
      <c r="I694" s="4"/>
      <c r="J694" s="4"/>
      <c r="K694" s="4"/>
      <c r="L694" s="4"/>
      <c r="M694" s="4"/>
      <c r="N694" s="4"/>
      <c r="O694" s="4"/>
      <c r="P694" s="4"/>
      <c r="Q694" s="4"/>
      <c r="R694" s="4"/>
      <c r="S694" s="4"/>
      <c r="T694" s="4"/>
      <c r="U694" s="4"/>
      <c r="V694" s="4"/>
      <c r="W694" s="4"/>
      <c r="X694" s="4"/>
      <c r="Y694" s="4"/>
      <c r="Z694" s="4"/>
      <c r="AA694" s="4"/>
      <c r="AB694" s="4"/>
      <c r="AC694" s="4"/>
      <c r="AD694" s="4"/>
      <c r="AE694" s="4"/>
      <c r="AF694" s="4"/>
      <c r="AG694" s="4"/>
      <c r="AH694" s="4"/>
      <c r="AI694" s="4"/>
      <c r="AJ694" s="4"/>
      <c r="AK694" s="4"/>
      <c r="AL694" s="4"/>
      <c r="AM694" s="4"/>
      <c r="AN694" s="4"/>
      <c r="AO694" s="4"/>
      <c r="AP694" s="4"/>
      <c r="AQ694" s="4"/>
      <c r="AR694" s="4"/>
      <c r="AS694" s="4"/>
      <c r="AT694" s="4"/>
      <c r="AU694" s="4"/>
      <c r="AV694" s="4"/>
      <c r="AW694" s="4"/>
      <c r="AX694" s="4"/>
      <c r="AY694" s="4"/>
      <c r="AZ694" s="4"/>
      <c r="BA694" s="4"/>
      <c r="BB694" s="4"/>
      <c r="BC694" s="4"/>
      <c r="BD694" s="4"/>
      <c r="BE694" s="4"/>
      <c r="BF694" s="4"/>
      <c r="BG694" s="4"/>
      <c r="BH694" s="4"/>
      <c r="BI694" s="4"/>
      <c r="BJ694" s="4"/>
      <c r="BK694" s="4"/>
      <c r="BL694" s="4"/>
      <c r="BM694" s="4"/>
      <c r="BN694" s="4"/>
    </row>
    <row r="695" ht="13.5" customHeight="1" spans="1:66" x14ac:dyDescent="0.25">
      <c r="A695" s="4"/>
      <c r="B695" s="4"/>
      <c r="C695" s="533"/>
      <c r="D695" s="4"/>
      <c r="E695" s="4"/>
      <c r="F695" s="4"/>
      <c r="G695" s="4"/>
      <c r="H695" s="4"/>
      <c r="I695" s="4"/>
      <c r="J695" s="4"/>
      <c r="K695" s="4"/>
      <c r="L695" s="4"/>
      <c r="M695" s="4"/>
      <c r="N695" s="4"/>
      <c r="O695" s="4"/>
      <c r="P695" s="4"/>
      <c r="Q695" s="4"/>
      <c r="R695" s="4"/>
      <c r="S695" s="4"/>
      <c r="T695" s="4"/>
      <c r="U695" s="4"/>
      <c r="V695" s="4"/>
      <c r="W695" s="4"/>
      <c r="X695" s="4"/>
      <c r="Y695" s="4"/>
      <c r="Z695" s="4"/>
      <c r="AA695" s="4"/>
      <c r="AB695" s="4"/>
      <c r="AC695" s="4"/>
      <c r="AD695" s="4"/>
      <c r="AE695" s="4"/>
      <c r="AF695" s="4"/>
      <c r="AG695" s="4"/>
      <c r="AH695" s="4"/>
      <c r="AI695" s="4"/>
      <c r="AJ695" s="4"/>
      <c r="AK695" s="4"/>
      <c r="AL695" s="4"/>
      <c r="AM695" s="4"/>
      <c r="AN695" s="4"/>
      <c r="AO695" s="4"/>
      <c r="AP695" s="4"/>
      <c r="AQ695" s="4"/>
      <c r="AR695" s="4"/>
      <c r="AS695" s="4"/>
      <c r="AT695" s="4"/>
      <c r="AU695" s="4"/>
      <c r="AV695" s="4"/>
      <c r="AW695" s="4"/>
      <c r="AX695" s="4"/>
      <c r="AY695" s="4"/>
      <c r="AZ695" s="4"/>
      <c r="BA695" s="4"/>
      <c r="BB695" s="4"/>
      <c r="BC695" s="4"/>
      <c r="BD695" s="4"/>
      <c r="BE695" s="4"/>
      <c r="BF695" s="4"/>
      <c r="BG695" s="4"/>
      <c r="BH695" s="4"/>
      <c r="BI695" s="4"/>
      <c r="BJ695" s="4"/>
      <c r="BK695" s="4"/>
      <c r="BL695" s="4"/>
      <c r="BM695" s="4"/>
      <c r="BN695" s="4"/>
    </row>
    <row r="696" ht="13.5" customHeight="1" spans="1:66" x14ac:dyDescent="0.25">
      <c r="A696" s="4"/>
      <c r="B696" s="4"/>
      <c r="C696" s="533"/>
      <c r="D696" s="4"/>
      <c r="E696" s="4"/>
      <c r="F696" s="4"/>
      <c r="G696" s="4"/>
      <c r="H696" s="4"/>
      <c r="I696" s="4"/>
      <c r="J696" s="4"/>
      <c r="K696" s="4"/>
      <c r="L696" s="4"/>
      <c r="M696" s="4"/>
      <c r="N696" s="4"/>
      <c r="O696" s="4"/>
      <c r="P696" s="4"/>
      <c r="Q696" s="4"/>
      <c r="R696" s="4"/>
      <c r="S696" s="4"/>
      <c r="T696" s="4"/>
      <c r="U696" s="4"/>
      <c r="V696" s="4"/>
      <c r="W696" s="4"/>
      <c r="X696" s="4"/>
      <c r="Y696" s="4"/>
      <c r="Z696" s="4"/>
      <c r="AA696" s="4"/>
      <c r="AB696" s="4"/>
      <c r="AC696" s="4"/>
      <c r="AD696" s="4"/>
      <c r="AE696" s="4"/>
      <c r="AF696" s="4"/>
      <c r="AG696" s="4"/>
      <c r="AH696" s="4"/>
      <c r="AI696" s="4"/>
      <c r="AJ696" s="4"/>
      <c r="AK696" s="4"/>
      <c r="AL696" s="4"/>
      <c r="AM696" s="4"/>
      <c r="AN696" s="4"/>
      <c r="AO696" s="4"/>
      <c r="AP696" s="4"/>
      <c r="AQ696" s="4"/>
      <c r="AR696" s="4"/>
      <c r="AS696" s="4"/>
      <c r="AT696" s="4"/>
      <c r="AU696" s="4"/>
      <c r="AV696" s="4"/>
      <c r="AW696" s="4"/>
      <c r="AX696" s="4"/>
      <c r="AY696" s="4"/>
      <c r="AZ696" s="4"/>
      <c r="BA696" s="4"/>
      <c r="BB696" s="4"/>
      <c r="BC696" s="4"/>
      <c r="BD696" s="4"/>
      <c r="BE696" s="4"/>
      <c r="BF696" s="4"/>
      <c r="BG696" s="4"/>
      <c r="BH696" s="4"/>
      <c r="BI696" s="4"/>
      <c r="BJ696" s="4"/>
      <c r="BK696" s="4"/>
      <c r="BL696" s="4"/>
      <c r="BM696" s="4"/>
      <c r="BN696" s="4"/>
    </row>
    <row r="697" ht="13.5" customHeight="1" spans="1:66" x14ac:dyDescent="0.25">
      <c r="A697" s="4"/>
      <c r="B697" s="4"/>
      <c r="C697" s="533"/>
      <c r="D697" s="4"/>
      <c r="E697" s="4"/>
      <c r="F697" s="4"/>
      <c r="G697" s="4"/>
      <c r="H697" s="4"/>
      <c r="I697" s="4"/>
      <c r="J697" s="4"/>
      <c r="K697" s="4"/>
      <c r="L697" s="4"/>
      <c r="M697" s="4"/>
      <c r="N697" s="4"/>
      <c r="O697" s="4"/>
      <c r="P697" s="4"/>
      <c r="Q697" s="4"/>
      <c r="R697" s="4"/>
      <c r="S697" s="4"/>
      <c r="T697" s="4"/>
      <c r="U697" s="4"/>
      <c r="V697" s="4"/>
      <c r="W697" s="4"/>
      <c r="X697" s="4"/>
      <c r="Y697" s="4"/>
      <c r="Z697" s="4"/>
      <c r="AA697" s="4"/>
      <c r="AB697" s="4"/>
      <c r="AC697" s="4"/>
      <c r="AD697" s="4"/>
      <c r="AE697" s="4"/>
      <c r="AF697" s="4"/>
      <c r="AG697" s="4"/>
      <c r="AH697" s="4"/>
      <c r="AI697" s="4"/>
      <c r="AJ697" s="4"/>
      <c r="AK697" s="4"/>
      <c r="AL697" s="4"/>
      <c r="AM697" s="4"/>
      <c r="AN697" s="4"/>
      <c r="AO697" s="4"/>
      <c r="AP697" s="4"/>
      <c r="AQ697" s="4"/>
      <c r="AR697" s="4"/>
      <c r="AS697" s="4"/>
      <c r="AT697" s="4"/>
      <c r="AU697" s="4"/>
      <c r="AV697" s="4"/>
      <c r="AW697" s="4"/>
      <c r="AX697" s="4"/>
      <c r="AY697" s="4"/>
      <c r="AZ697" s="4"/>
      <c r="BA697" s="4"/>
      <c r="BB697" s="4"/>
      <c r="BC697" s="4"/>
      <c r="BD697" s="4"/>
      <c r="BE697" s="4"/>
      <c r="BF697" s="4"/>
      <c r="BG697" s="4"/>
      <c r="BH697" s="4"/>
      <c r="BI697" s="4"/>
      <c r="BJ697" s="4"/>
      <c r="BK697" s="4"/>
      <c r="BL697" s="4"/>
      <c r="BM697" s="4"/>
      <c r="BN697" s="4"/>
    </row>
    <row r="698" ht="13.5" customHeight="1" spans="1:66" x14ac:dyDescent="0.25">
      <c r="A698" s="4"/>
      <c r="B698" s="4"/>
      <c r="C698" s="533"/>
      <c r="D698" s="4"/>
      <c r="E698" s="4"/>
      <c r="F698" s="4"/>
      <c r="G698" s="4"/>
      <c r="H698" s="4"/>
      <c r="I698" s="4"/>
      <c r="J698" s="4"/>
      <c r="K698" s="4"/>
      <c r="L698" s="4"/>
      <c r="M698" s="4"/>
      <c r="N698" s="4"/>
      <c r="O698" s="4"/>
      <c r="P698" s="4"/>
      <c r="Q698" s="4"/>
      <c r="R698" s="4"/>
      <c r="S698" s="4"/>
      <c r="T698" s="4"/>
      <c r="U698" s="4"/>
      <c r="V698" s="4"/>
      <c r="W698" s="4"/>
      <c r="X698" s="4"/>
      <c r="Y698" s="4"/>
      <c r="Z698" s="4"/>
      <c r="AA698" s="4"/>
      <c r="AB698" s="4"/>
      <c r="AC698" s="4"/>
      <c r="AD698" s="4"/>
      <c r="AE698" s="4"/>
      <c r="AF698" s="4"/>
      <c r="AG698" s="4"/>
      <c r="AH698" s="4"/>
      <c r="AI698" s="4"/>
      <c r="AJ698" s="4"/>
      <c r="AK698" s="4"/>
      <c r="AL698" s="4"/>
      <c r="AM698" s="4"/>
      <c r="AN698" s="4"/>
      <c r="AO698" s="4"/>
      <c r="AP698" s="4"/>
      <c r="AQ698" s="4"/>
      <c r="AR698" s="4"/>
      <c r="AS698" s="4"/>
      <c r="AT698" s="4"/>
      <c r="AU698" s="4"/>
      <c r="AV698" s="4"/>
      <c r="AW698" s="4"/>
      <c r="AX698" s="4"/>
      <c r="AY698" s="4"/>
      <c r="AZ698" s="4"/>
      <c r="BA698" s="4"/>
      <c r="BB698" s="4"/>
      <c r="BC698" s="4"/>
      <c r="BD698" s="4"/>
      <c r="BE698" s="4"/>
      <c r="BF698" s="4"/>
      <c r="BG698" s="4"/>
      <c r="BH698" s="4"/>
      <c r="BI698" s="4"/>
      <c r="BJ698" s="4"/>
      <c r="BK698" s="4"/>
      <c r="BL698" s="4"/>
      <c r="BM698" s="4"/>
      <c r="BN698" s="4"/>
    </row>
    <row r="699" ht="13.5" customHeight="1" spans="1:66" x14ac:dyDescent="0.25">
      <c r="A699" s="4"/>
      <c r="B699" s="4"/>
      <c r="C699" s="533"/>
      <c r="D699" s="4"/>
      <c r="E699" s="4"/>
      <c r="F699" s="4"/>
      <c r="G699" s="4"/>
      <c r="H699" s="4"/>
      <c r="I699" s="4"/>
      <c r="J699" s="4"/>
      <c r="K699" s="4"/>
      <c r="L699" s="4"/>
      <c r="M699" s="4"/>
      <c r="N699" s="4"/>
      <c r="O699" s="4"/>
      <c r="P699" s="4"/>
      <c r="Q699" s="4"/>
      <c r="R699" s="4"/>
      <c r="S699" s="4"/>
      <c r="T699" s="4"/>
      <c r="U699" s="4"/>
      <c r="V699" s="4"/>
      <c r="W699" s="4"/>
      <c r="X699" s="4"/>
      <c r="Y699" s="4"/>
      <c r="Z699" s="4"/>
      <c r="AA699" s="4"/>
      <c r="AB699" s="4"/>
      <c r="AC699" s="4"/>
      <c r="AD699" s="4"/>
      <c r="AE699" s="4"/>
      <c r="AF699" s="4"/>
      <c r="AG699" s="4"/>
      <c r="AH699" s="4"/>
      <c r="AI699" s="4"/>
      <c r="AJ699" s="4"/>
      <c r="AK699" s="4"/>
      <c r="AL699" s="4"/>
      <c r="AM699" s="4"/>
      <c r="AN699" s="4"/>
      <c r="AO699" s="4"/>
      <c r="AP699" s="4"/>
      <c r="AQ699" s="4"/>
      <c r="AR699" s="4"/>
      <c r="AS699" s="4"/>
      <c r="AT699" s="4"/>
      <c r="AU699" s="4"/>
      <c r="AV699" s="4"/>
      <c r="AW699" s="4"/>
      <c r="AX699" s="4"/>
      <c r="AY699" s="4"/>
      <c r="AZ699" s="4"/>
      <c r="BA699" s="4"/>
      <c r="BB699" s="4"/>
      <c r="BC699" s="4"/>
      <c r="BD699" s="4"/>
      <c r="BE699" s="4"/>
      <c r="BF699" s="4"/>
      <c r="BG699" s="4"/>
      <c r="BH699" s="4"/>
      <c r="BI699" s="4"/>
      <c r="BJ699" s="4"/>
      <c r="BK699" s="4"/>
      <c r="BL699" s="4"/>
      <c r="BM699" s="4"/>
      <c r="BN699" s="4"/>
    </row>
    <row r="700" ht="13.5" customHeight="1" spans="1:66" x14ac:dyDescent="0.25">
      <c r="A700" s="4"/>
      <c r="B700" s="4"/>
      <c r="C700" s="533"/>
      <c r="D700" s="4"/>
      <c r="E700" s="4"/>
      <c r="F700" s="4"/>
      <c r="G700" s="4"/>
      <c r="H700" s="4"/>
      <c r="I700" s="4"/>
      <c r="J700" s="4"/>
      <c r="K700" s="4"/>
      <c r="L700" s="4"/>
      <c r="M700" s="4"/>
      <c r="N700" s="4"/>
      <c r="O700" s="4"/>
      <c r="P700" s="4"/>
      <c r="Q700" s="4"/>
      <c r="R700" s="4"/>
      <c r="S700" s="4"/>
      <c r="T700" s="4"/>
      <c r="U700" s="4"/>
      <c r="V700" s="4"/>
      <c r="W700" s="4"/>
      <c r="X700" s="4"/>
      <c r="Y700" s="4"/>
      <c r="Z700" s="4"/>
      <c r="AA700" s="4"/>
      <c r="AB700" s="4"/>
      <c r="AC700" s="4"/>
      <c r="AD700" s="4"/>
      <c r="AE700" s="4"/>
      <c r="AF700" s="4"/>
      <c r="AG700" s="4"/>
      <c r="AH700" s="4"/>
      <c r="AI700" s="4"/>
      <c r="AJ700" s="4"/>
      <c r="AK700" s="4"/>
      <c r="AL700" s="4"/>
      <c r="AM700" s="4"/>
      <c r="AN700" s="4"/>
      <c r="AO700" s="4"/>
      <c r="AP700" s="4"/>
      <c r="AQ700" s="4"/>
      <c r="AR700" s="4"/>
      <c r="AS700" s="4"/>
      <c r="AT700" s="4"/>
      <c r="AU700" s="4"/>
      <c r="AV700" s="4"/>
      <c r="AW700" s="4"/>
      <c r="AX700" s="4"/>
      <c r="AY700" s="4"/>
      <c r="AZ700" s="4"/>
      <c r="BA700" s="4"/>
      <c r="BB700" s="4"/>
      <c r="BC700" s="4"/>
      <c r="BD700" s="4"/>
      <c r="BE700" s="4"/>
      <c r="BF700" s="4"/>
      <c r="BG700" s="4"/>
      <c r="BH700" s="4"/>
      <c r="BI700" s="4"/>
      <c r="BJ700" s="4"/>
      <c r="BK700" s="4"/>
      <c r="BL700" s="4"/>
      <c r="BM700" s="4"/>
      <c r="BN700" s="4"/>
    </row>
    <row r="701" ht="13.5" customHeight="1" spans="1:66" x14ac:dyDescent="0.25">
      <c r="A701" s="4"/>
      <c r="B701" s="4"/>
      <c r="C701" s="533"/>
      <c r="D701" s="4"/>
      <c r="E701" s="4"/>
      <c r="F701" s="4"/>
      <c r="G701" s="4"/>
      <c r="H701" s="4"/>
      <c r="I701" s="4"/>
      <c r="J701" s="4"/>
      <c r="K701" s="4"/>
      <c r="L701" s="4"/>
      <c r="M701" s="4"/>
      <c r="N701" s="4"/>
      <c r="O701" s="4"/>
      <c r="P701" s="4"/>
      <c r="Q701" s="4"/>
      <c r="R701" s="4"/>
      <c r="S701" s="4"/>
      <c r="T701" s="4"/>
      <c r="U701" s="4"/>
      <c r="V701" s="4"/>
      <c r="W701" s="4"/>
      <c r="X701" s="4"/>
      <c r="Y701" s="4"/>
      <c r="Z701" s="4"/>
      <c r="AA701" s="4"/>
      <c r="AB701" s="4"/>
      <c r="AC701" s="4"/>
      <c r="AD701" s="4"/>
      <c r="AE701" s="4"/>
      <c r="AF701" s="4"/>
      <c r="AG701" s="4"/>
      <c r="AH701" s="4"/>
      <c r="AI701" s="4"/>
      <c r="AJ701" s="4"/>
      <c r="AK701" s="4"/>
      <c r="AL701" s="4"/>
      <c r="AM701" s="4"/>
      <c r="AN701" s="4"/>
      <c r="AO701" s="4"/>
      <c r="AP701" s="4"/>
      <c r="AQ701" s="4"/>
      <c r="AR701" s="4"/>
      <c r="AS701" s="4"/>
      <c r="AT701" s="4"/>
      <c r="AU701" s="4"/>
      <c r="AV701" s="4"/>
      <c r="AW701" s="4"/>
      <c r="AX701" s="4"/>
      <c r="AY701" s="4"/>
      <c r="AZ701" s="4"/>
      <c r="BA701" s="4"/>
      <c r="BB701" s="4"/>
      <c r="BC701" s="4"/>
      <c r="BD701" s="4"/>
      <c r="BE701" s="4"/>
      <c r="BF701" s="4"/>
      <c r="BG701" s="4"/>
      <c r="BH701" s="4"/>
      <c r="BI701" s="4"/>
      <c r="BJ701" s="4"/>
      <c r="BK701" s="4"/>
      <c r="BL701" s="4"/>
      <c r="BM701" s="4"/>
      <c r="BN701" s="4"/>
    </row>
    <row r="702" ht="13.5" customHeight="1" spans="1:66" x14ac:dyDescent="0.25">
      <c r="A702" s="4"/>
      <c r="B702" s="4"/>
      <c r="C702" s="533"/>
      <c r="D702" s="4"/>
      <c r="E702" s="4"/>
      <c r="F702" s="4"/>
      <c r="G702" s="4"/>
      <c r="H702" s="4"/>
      <c r="I702" s="4"/>
      <c r="J702" s="4"/>
      <c r="K702" s="4"/>
      <c r="L702" s="4"/>
      <c r="M702" s="4"/>
      <c r="N702" s="4"/>
      <c r="O702" s="4"/>
      <c r="P702" s="4"/>
      <c r="Q702" s="4"/>
      <c r="R702" s="4"/>
      <c r="S702" s="4"/>
      <c r="T702" s="4"/>
      <c r="U702" s="4"/>
      <c r="V702" s="4"/>
      <c r="W702" s="4"/>
      <c r="X702" s="4"/>
      <c r="Y702" s="4"/>
      <c r="Z702" s="4"/>
      <c r="AA702" s="4"/>
      <c r="AB702" s="4"/>
      <c r="AC702" s="4"/>
      <c r="AD702" s="4"/>
      <c r="AE702" s="4"/>
      <c r="AF702" s="4"/>
      <c r="AG702" s="4"/>
      <c r="AH702" s="4"/>
      <c r="AI702" s="4"/>
      <c r="AJ702" s="4"/>
      <c r="AK702" s="4"/>
      <c r="AL702" s="4"/>
      <c r="AM702" s="4"/>
      <c r="AN702" s="4"/>
      <c r="AO702" s="4"/>
      <c r="AP702" s="4"/>
      <c r="AQ702" s="4"/>
      <c r="AR702" s="4"/>
      <c r="AS702" s="4"/>
      <c r="AT702" s="4"/>
      <c r="AU702" s="4"/>
      <c r="AV702" s="4"/>
      <c r="AW702" s="4"/>
      <c r="AX702" s="4"/>
      <c r="AY702" s="4"/>
      <c r="AZ702" s="4"/>
      <c r="BA702" s="4"/>
      <c r="BB702" s="4"/>
      <c r="BC702" s="4"/>
      <c r="BD702" s="4"/>
      <c r="BE702" s="4"/>
      <c r="BF702" s="4"/>
      <c r="BG702" s="4"/>
      <c r="BH702" s="4"/>
      <c r="BI702" s="4"/>
      <c r="BJ702" s="4"/>
      <c r="BK702" s="4"/>
      <c r="BL702" s="4"/>
      <c r="BM702" s="4"/>
      <c r="BN702" s="4"/>
    </row>
    <row r="703" ht="13.5" customHeight="1" spans="1:66" x14ac:dyDescent="0.25">
      <c r="A703" s="4"/>
      <c r="B703" s="4"/>
      <c r="C703" s="533"/>
      <c r="D703" s="4"/>
      <c r="E703" s="4"/>
      <c r="F703" s="4"/>
      <c r="G703" s="4"/>
      <c r="H703" s="4"/>
      <c r="I703" s="4"/>
      <c r="J703" s="4"/>
      <c r="K703" s="4"/>
      <c r="L703" s="4"/>
      <c r="M703" s="4"/>
      <c r="N703" s="4"/>
      <c r="O703" s="4"/>
      <c r="P703" s="4"/>
      <c r="Q703" s="4"/>
      <c r="R703" s="4"/>
      <c r="S703" s="4"/>
      <c r="T703" s="4"/>
      <c r="U703" s="4"/>
      <c r="V703" s="4"/>
      <c r="W703" s="4"/>
      <c r="X703" s="4"/>
      <c r="Y703" s="4"/>
      <c r="Z703" s="4"/>
      <c r="AA703" s="4"/>
      <c r="AB703" s="4"/>
      <c r="AC703" s="4"/>
      <c r="AD703" s="4"/>
      <c r="AE703" s="4"/>
      <c r="AF703" s="4"/>
      <c r="AG703" s="4"/>
      <c r="AH703" s="4"/>
      <c r="AI703" s="4"/>
      <c r="AJ703" s="4"/>
      <c r="AK703" s="4"/>
      <c r="AL703" s="4"/>
      <c r="AM703" s="4"/>
      <c r="AN703" s="4"/>
      <c r="AO703" s="4"/>
      <c r="AP703" s="4"/>
      <c r="AQ703" s="4"/>
      <c r="AR703" s="4"/>
      <c r="AS703" s="4"/>
      <c r="AT703" s="4"/>
      <c r="AU703" s="4"/>
      <c r="AV703" s="4"/>
      <c r="AW703" s="4"/>
      <c r="AX703" s="4"/>
      <c r="AY703" s="4"/>
      <c r="AZ703" s="4"/>
      <c r="BA703" s="4"/>
      <c r="BB703" s="4"/>
      <c r="BC703" s="4"/>
      <c r="BD703" s="4"/>
      <c r="BE703" s="4"/>
      <c r="BF703" s="4"/>
      <c r="BG703" s="4"/>
      <c r="BH703" s="4"/>
      <c r="BI703" s="4"/>
      <c r="BJ703" s="4"/>
      <c r="BK703" s="4"/>
      <c r="BL703" s="4"/>
      <c r="BM703" s="4"/>
      <c r="BN703" s="4"/>
    </row>
    <row r="704" ht="13.5" customHeight="1" spans="1:66" x14ac:dyDescent="0.25">
      <c r="A704" s="4"/>
      <c r="B704" s="4"/>
      <c r="C704" s="533"/>
      <c r="D704" s="4"/>
      <c r="E704" s="4"/>
      <c r="F704" s="4"/>
      <c r="G704" s="4"/>
      <c r="H704" s="4"/>
      <c r="I704" s="4"/>
      <c r="J704" s="4"/>
      <c r="K704" s="4"/>
      <c r="L704" s="4"/>
      <c r="M704" s="4"/>
      <c r="N704" s="4"/>
      <c r="O704" s="4"/>
      <c r="P704" s="4"/>
      <c r="Q704" s="4"/>
      <c r="R704" s="4"/>
      <c r="S704" s="4"/>
      <c r="T704" s="4"/>
      <c r="U704" s="4"/>
      <c r="V704" s="4"/>
      <c r="W704" s="4"/>
      <c r="X704" s="4"/>
      <c r="Y704" s="4"/>
      <c r="Z704" s="4"/>
      <c r="AA704" s="4"/>
      <c r="AB704" s="4"/>
      <c r="AC704" s="4"/>
      <c r="AD704" s="4"/>
      <c r="AE704" s="4"/>
      <c r="AF704" s="4"/>
      <c r="AG704" s="4"/>
      <c r="AH704" s="4"/>
      <c r="AI704" s="4"/>
      <c r="AJ704" s="4"/>
      <c r="AK704" s="4"/>
      <c r="AL704" s="4"/>
      <c r="AM704" s="4"/>
      <c r="AN704" s="4"/>
      <c r="AO704" s="4"/>
      <c r="AP704" s="4"/>
      <c r="AQ704" s="4"/>
      <c r="AR704" s="4"/>
      <c r="AS704" s="4"/>
      <c r="AT704" s="4"/>
      <c r="AU704" s="4"/>
      <c r="AV704" s="4"/>
      <c r="AW704" s="4"/>
      <c r="AX704" s="4"/>
      <c r="AY704" s="4"/>
      <c r="AZ704" s="4"/>
      <c r="BA704" s="4"/>
      <c r="BB704" s="4"/>
      <c r="BC704" s="4"/>
      <c r="BD704" s="4"/>
      <c r="BE704" s="4"/>
      <c r="BF704" s="4"/>
      <c r="BG704" s="4"/>
      <c r="BH704" s="4"/>
      <c r="BI704" s="4"/>
      <c r="BJ704" s="4"/>
      <c r="BK704" s="4"/>
      <c r="BL704" s="4"/>
      <c r="BM704" s="4"/>
      <c r="BN704" s="4"/>
    </row>
    <row r="705" ht="13.5" customHeight="1" spans="1:66" x14ac:dyDescent="0.25">
      <c r="A705" s="4"/>
      <c r="B705" s="4"/>
      <c r="C705" s="533"/>
      <c r="D705" s="4"/>
      <c r="E705" s="4"/>
      <c r="F705" s="4"/>
      <c r="G705" s="4"/>
      <c r="H705" s="4"/>
      <c r="I705" s="4"/>
      <c r="J705" s="4"/>
      <c r="K705" s="4"/>
      <c r="L705" s="4"/>
      <c r="M705" s="4"/>
      <c r="N705" s="4"/>
      <c r="O705" s="4"/>
      <c r="P705" s="4"/>
      <c r="Q705" s="4"/>
      <c r="R705" s="4"/>
      <c r="S705" s="4"/>
      <c r="T705" s="4"/>
      <c r="U705" s="4"/>
      <c r="V705" s="4"/>
      <c r="W705" s="4"/>
      <c r="X705" s="4"/>
      <c r="Y705" s="4"/>
      <c r="Z705" s="4"/>
      <c r="AA705" s="4"/>
      <c r="AB705" s="4"/>
      <c r="AC705" s="4"/>
      <c r="AD705" s="4"/>
      <c r="AE705" s="4"/>
      <c r="AF705" s="4"/>
      <c r="AG705" s="4"/>
      <c r="AH705" s="4"/>
      <c r="AI705" s="4"/>
      <c r="AJ705" s="4"/>
      <c r="AK705" s="4"/>
      <c r="AL705" s="4"/>
      <c r="AM705" s="4"/>
      <c r="AN705" s="4"/>
      <c r="AO705" s="4"/>
      <c r="AP705" s="4"/>
      <c r="AQ705" s="4"/>
      <c r="AR705" s="4"/>
      <c r="AS705" s="4"/>
      <c r="AT705" s="4"/>
      <c r="AU705" s="4"/>
      <c r="AV705" s="4"/>
      <c r="AW705" s="4"/>
      <c r="AX705" s="4"/>
      <c r="AY705" s="4"/>
      <c r="AZ705" s="4"/>
      <c r="BA705" s="4"/>
      <c r="BB705" s="4"/>
      <c r="BC705" s="4"/>
      <c r="BD705" s="4"/>
      <c r="BE705" s="4"/>
      <c r="BF705" s="4"/>
      <c r="BG705" s="4"/>
      <c r="BH705" s="4"/>
      <c r="BI705" s="4"/>
      <c r="BJ705" s="4"/>
      <c r="BK705" s="4"/>
      <c r="BL705" s="4"/>
      <c r="BM705" s="4"/>
      <c r="BN705" s="4"/>
    </row>
    <row r="706" ht="13.5" customHeight="1" spans="1:66" x14ac:dyDescent="0.25">
      <c r="A706" s="4"/>
      <c r="B706" s="4"/>
      <c r="C706" s="533"/>
      <c r="D706" s="4"/>
      <c r="E706" s="4"/>
      <c r="F706" s="4"/>
      <c r="G706" s="4"/>
      <c r="H706" s="4"/>
      <c r="I706" s="4"/>
      <c r="J706" s="4"/>
      <c r="K706" s="4"/>
      <c r="L706" s="4"/>
      <c r="M706" s="4"/>
      <c r="N706" s="4"/>
      <c r="O706" s="4"/>
      <c r="P706" s="4"/>
      <c r="Q706" s="4"/>
      <c r="R706" s="4"/>
      <c r="S706" s="4"/>
      <c r="T706" s="4"/>
      <c r="U706" s="4"/>
      <c r="V706" s="4"/>
      <c r="W706" s="4"/>
      <c r="X706" s="4"/>
      <c r="Y706" s="4"/>
      <c r="Z706" s="4"/>
      <c r="AA706" s="4"/>
      <c r="AB706" s="4"/>
      <c r="AC706" s="4"/>
      <c r="AD706" s="4"/>
      <c r="AE706" s="4"/>
      <c r="AF706" s="4"/>
      <c r="AG706" s="4"/>
      <c r="AH706" s="4"/>
      <c r="AI706" s="4"/>
      <c r="AJ706" s="4"/>
      <c r="AK706" s="4"/>
      <c r="AL706" s="4"/>
      <c r="AM706" s="4"/>
      <c r="AN706" s="4"/>
      <c r="AO706" s="4"/>
      <c r="AP706" s="4"/>
      <c r="AQ706" s="4"/>
      <c r="AR706" s="4"/>
      <c r="AS706" s="4"/>
      <c r="AT706" s="4"/>
      <c r="AU706" s="4"/>
      <c r="AV706" s="4"/>
      <c r="AW706" s="4"/>
      <c r="AX706" s="4"/>
      <c r="AY706" s="4"/>
      <c r="AZ706" s="4"/>
      <c r="BA706" s="4"/>
      <c r="BB706" s="4"/>
      <c r="BC706" s="4"/>
      <c r="BD706" s="4"/>
      <c r="BE706" s="4"/>
      <c r="BF706" s="4"/>
      <c r="BG706" s="4"/>
      <c r="BH706" s="4"/>
      <c r="BI706" s="4"/>
      <c r="BJ706" s="4"/>
      <c r="BK706" s="4"/>
      <c r="BL706" s="4"/>
      <c r="BM706" s="4"/>
      <c r="BN706" s="4"/>
    </row>
    <row r="707" ht="13.5" customHeight="1" spans="1:66" x14ac:dyDescent="0.25">
      <c r="A707" s="4"/>
      <c r="B707" s="4"/>
      <c r="C707" s="533"/>
      <c r="D707" s="4"/>
      <c r="E707" s="4"/>
      <c r="F707" s="4"/>
      <c r="G707" s="4"/>
      <c r="H707" s="4"/>
      <c r="I707" s="4"/>
      <c r="J707" s="4"/>
      <c r="K707" s="4"/>
      <c r="L707" s="4"/>
      <c r="M707" s="4"/>
      <c r="N707" s="4"/>
      <c r="O707" s="4"/>
      <c r="P707" s="4"/>
      <c r="Q707" s="4"/>
      <c r="R707" s="4"/>
      <c r="S707" s="4"/>
      <c r="T707" s="4"/>
      <c r="U707" s="4"/>
      <c r="V707" s="4"/>
      <c r="W707" s="4"/>
      <c r="X707" s="4"/>
      <c r="Y707" s="4"/>
      <c r="Z707" s="4"/>
      <c r="AA707" s="4"/>
      <c r="AB707" s="4"/>
      <c r="AC707" s="4"/>
      <c r="AD707" s="4"/>
      <c r="AE707" s="4"/>
      <c r="AF707" s="4"/>
      <c r="AG707" s="4"/>
      <c r="AH707" s="4"/>
      <c r="AI707" s="4"/>
      <c r="AJ707" s="4"/>
      <c r="AK707" s="4"/>
      <c r="AL707" s="4"/>
      <c r="AM707" s="4"/>
      <c r="AN707" s="4"/>
      <c r="AO707" s="4"/>
      <c r="AP707" s="4"/>
      <c r="AQ707" s="4"/>
      <c r="AR707" s="4"/>
      <c r="AS707" s="4"/>
      <c r="AT707" s="4"/>
      <c r="AU707" s="4"/>
      <c r="AV707" s="4"/>
      <c r="AW707" s="4"/>
      <c r="AX707" s="4"/>
      <c r="AY707" s="4"/>
      <c r="AZ707" s="4"/>
      <c r="BA707" s="4"/>
      <c r="BB707" s="4"/>
      <c r="BC707" s="4"/>
      <c r="BD707" s="4"/>
      <c r="BE707" s="4"/>
      <c r="BF707" s="4"/>
      <c r="BG707" s="4"/>
      <c r="BH707" s="4"/>
      <c r="BI707" s="4"/>
      <c r="BJ707" s="4"/>
      <c r="BK707" s="4"/>
      <c r="BL707" s="4"/>
      <c r="BM707" s="4"/>
      <c r="BN707" s="4"/>
    </row>
    <row r="708" ht="13.5" customHeight="1" spans="1:66" x14ac:dyDescent="0.25">
      <c r="A708" s="4"/>
      <c r="B708" s="4"/>
      <c r="C708" s="533"/>
      <c r="D708" s="4"/>
      <c r="E708" s="4"/>
      <c r="F708" s="4"/>
      <c r="G708" s="4"/>
      <c r="H708" s="4"/>
      <c r="I708" s="4"/>
      <c r="J708" s="4"/>
      <c r="K708" s="4"/>
      <c r="L708" s="4"/>
      <c r="M708" s="4"/>
      <c r="N708" s="4"/>
      <c r="O708" s="4"/>
      <c r="P708" s="4"/>
      <c r="Q708" s="4"/>
      <c r="R708" s="4"/>
      <c r="S708" s="4"/>
      <c r="T708" s="4"/>
      <c r="U708" s="4"/>
      <c r="V708" s="4"/>
      <c r="W708" s="4"/>
      <c r="X708" s="4"/>
      <c r="Y708" s="4"/>
      <c r="Z708" s="4"/>
      <c r="AA708" s="4"/>
      <c r="AB708" s="4"/>
      <c r="AC708" s="4"/>
      <c r="AD708" s="4"/>
      <c r="AE708" s="4"/>
      <c r="AF708" s="4"/>
      <c r="AG708" s="4"/>
      <c r="AH708" s="4"/>
      <c r="AI708" s="4"/>
      <c r="AJ708" s="4"/>
      <c r="AK708" s="4"/>
      <c r="AL708" s="4"/>
      <c r="AM708" s="4"/>
      <c r="AN708" s="4"/>
      <c r="AO708" s="4"/>
      <c r="AP708" s="4"/>
      <c r="AQ708" s="4"/>
      <c r="AR708" s="4"/>
      <c r="AS708" s="4"/>
      <c r="AT708" s="4"/>
      <c r="AU708" s="4"/>
      <c r="AV708" s="4"/>
      <c r="AW708" s="4"/>
      <c r="AX708" s="4"/>
      <c r="AY708" s="4"/>
      <c r="AZ708" s="4"/>
      <c r="BA708" s="4"/>
      <c r="BB708" s="4"/>
      <c r="BC708" s="4"/>
      <c r="BD708" s="4"/>
      <c r="BE708" s="4"/>
      <c r="BF708" s="4"/>
      <c r="BG708" s="4"/>
      <c r="BH708" s="4"/>
      <c r="BI708" s="4"/>
      <c r="BJ708" s="4"/>
      <c r="BK708" s="4"/>
      <c r="BL708" s="4"/>
      <c r="BM708" s="4"/>
      <c r="BN708" s="4"/>
    </row>
    <row r="709" ht="13.5" customHeight="1" spans="1:66" x14ac:dyDescent="0.25">
      <c r="A709" s="4"/>
      <c r="B709" s="4"/>
      <c r="C709" s="533"/>
      <c r="D709" s="4"/>
      <c r="E709" s="4"/>
      <c r="F709" s="4"/>
      <c r="G709" s="4"/>
      <c r="H709" s="4"/>
      <c r="I709" s="4"/>
      <c r="J709" s="4"/>
      <c r="K709" s="4"/>
      <c r="L709" s="4"/>
      <c r="M709" s="4"/>
      <c r="N709" s="4"/>
      <c r="O709" s="4"/>
      <c r="P709" s="4"/>
      <c r="Q709" s="4"/>
      <c r="R709" s="4"/>
      <c r="S709" s="4"/>
      <c r="T709" s="4"/>
      <c r="U709" s="4"/>
      <c r="V709" s="4"/>
      <c r="W709" s="4"/>
      <c r="X709" s="4"/>
      <c r="Y709" s="4"/>
      <c r="Z709" s="4"/>
      <c r="AA709" s="4"/>
      <c r="AB709" s="4"/>
      <c r="AC709" s="4"/>
      <c r="AD709" s="4"/>
      <c r="AE709" s="4"/>
      <c r="AF709" s="4"/>
      <c r="AG709" s="4"/>
      <c r="AH709" s="4"/>
      <c r="AI709" s="4"/>
      <c r="AJ709" s="4"/>
      <c r="AK709" s="4"/>
      <c r="AL709" s="4"/>
      <c r="AM709" s="4"/>
      <c r="AN709" s="4"/>
      <c r="AO709" s="4"/>
      <c r="AP709" s="4"/>
      <c r="AQ709" s="4"/>
      <c r="AR709" s="4"/>
      <c r="AS709" s="4"/>
      <c r="AT709" s="4"/>
      <c r="AU709" s="4"/>
      <c r="AV709" s="4"/>
      <c r="AW709" s="4"/>
      <c r="AX709" s="4"/>
      <c r="AY709" s="4"/>
      <c r="AZ709" s="4"/>
      <c r="BA709" s="4"/>
      <c r="BB709" s="4"/>
      <c r="BC709" s="4"/>
      <c r="BD709" s="4"/>
      <c r="BE709" s="4"/>
      <c r="BF709" s="4"/>
      <c r="BG709" s="4"/>
      <c r="BH709" s="4"/>
      <c r="BI709" s="4"/>
      <c r="BJ709" s="4"/>
      <c r="BK709" s="4"/>
      <c r="BL709" s="4"/>
      <c r="BM709" s="4"/>
      <c r="BN709" s="4"/>
    </row>
    <row r="710" ht="13.5" customHeight="1" spans="1:66" x14ac:dyDescent="0.25">
      <c r="A710" s="4"/>
      <c r="B710" s="4"/>
      <c r="C710" s="533"/>
      <c r="D710" s="4"/>
      <c r="E710" s="4"/>
      <c r="F710" s="4"/>
      <c r="G710" s="4"/>
      <c r="H710" s="4"/>
      <c r="I710" s="4"/>
      <c r="J710" s="4"/>
      <c r="K710" s="4"/>
      <c r="L710" s="4"/>
      <c r="M710" s="4"/>
      <c r="N710" s="4"/>
      <c r="O710" s="4"/>
      <c r="P710" s="4"/>
      <c r="Q710" s="4"/>
      <c r="R710" s="4"/>
      <c r="S710" s="4"/>
      <c r="T710" s="4"/>
      <c r="U710" s="4"/>
      <c r="V710" s="4"/>
      <c r="W710" s="4"/>
      <c r="X710" s="4"/>
      <c r="Y710" s="4"/>
      <c r="Z710" s="4"/>
      <c r="AA710" s="4"/>
      <c r="AB710" s="4"/>
      <c r="AC710" s="4"/>
      <c r="AD710" s="4"/>
      <c r="AE710" s="4"/>
      <c r="AF710" s="4"/>
      <c r="AG710" s="4"/>
      <c r="AH710" s="4"/>
      <c r="AI710" s="4"/>
      <c r="AJ710" s="4"/>
      <c r="AK710" s="4"/>
      <c r="AL710" s="4"/>
      <c r="AM710" s="4"/>
      <c r="AN710" s="4"/>
      <c r="AO710" s="4"/>
      <c r="AP710" s="4"/>
      <c r="AQ710" s="4"/>
      <c r="AR710" s="4"/>
      <c r="AS710" s="4"/>
      <c r="AT710" s="4"/>
      <c r="AU710" s="4"/>
      <c r="AV710" s="4"/>
      <c r="AW710" s="4"/>
      <c r="AX710" s="4"/>
      <c r="AY710" s="4"/>
      <c r="AZ710" s="4"/>
      <c r="BA710" s="4"/>
      <c r="BB710" s="4"/>
      <c r="BC710" s="4"/>
      <c r="BD710" s="4"/>
      <c r="BE710" s="4"/>
      <c r="BF710" s="4"/>
      <c r="BG710" s="4"/>
      <c r="BH710" s="4"/>
      <c r="BI710" s="4"/>
      <c r="BJ710" s="4"/>
      <c r="BK710" s="4"/>
      <c r="BL710" s="4"/>
      <c r="BM710" s="4"/>
      <c r="BN710" s="4"/>
    </row>
    <row r="711" ht="13.5" customHeight="1" spans="1:66" x14ac:dyDescent="0.25">
      <c r="A711" s="4"/>
      <c r="B711" s="4"/>
      <c r="C711" s="533"/>
      <c r="D711" s="4"/>
      <c r="E711" s="4"/>
      <c r="F711" s="4"/>
      <c r="G711" s="4"/>
      <c r="H711" s="4"/>
      <c r="I711" s="4"/>
      <c r="J711" s="4"/>
      <c r="K711" s="4"/>
      <c r="L711" s="4"/>
      <c r="M711" s="4"/>
      <c r="N711" s="4"/>
      <c r="O711" s="4"/>
      <c r="P711" s="4"/>
      <c r="Q711" s="4"/>
      <c r="R711" s="4"/>
      <c r="S711" s="4"/>
      <c r="T711" s="4"/>
      <c r="U711" s="4"/>
      <c r="V711" s="4"/>
      <c r="W711" s="4"/>
      <c r="X711" s="4"/>
      <c r="Y711" s="4"/>
      <c r="Z711" s="4"/>
      <c r="AA711" s="4"/>
      <c r="AB711" s="4"/>
      <c r="AC711" s="4"/>
      <c r="AD711" s="4"/>
      <c r="AE711" s="4"/>
      <c r="AF711" s="4"/>
      <c r="AG711" s="4"/>
      <c r="AH711" s="4"/>
      <c r="AI711" s="4"/>
      <c r="AJ711" s="4"/>
      <c r="AK711" s="4"/>
      <c r="AL711" s="4"/>
      <c r="AM711" s="4"/>
      <c r="AN711" s="4"/>
      <c r="AO711" s="4"/>
      <c r="AP711" s="4"/>
      <c r="AQ711" s="4"/>
      <c r="AR711" s="4"/>
      <c r="AS711" s="4"/>
      <c r="AT711" s="4"/>
      <c r="AU711" s="4"/>
      <c r="AV711" s="4"/>
      <c r="AW711" s="4"/>
      <c r="AX711" s="4"/>
      <c r="AY711" s="4"/>
      <c r="AZ711" s="4"/>
      <c r="BA711" s="4"/>
      <c r="BB711" s="4"/>
      <c r="BC711" s="4"/>
      <c r="BD711" s="4"/>
      <c r="BE711" s="4"/>
      <c r="BF711" s="4"/>
      <c r="BG711" s="4"/>
      <c r="BH711" s="4"/>
      <c r="BI711" s="4"/>
      <c r="BJ711" s="4"/>
      <c r="BK711" s="4"/>
      <c r="BL711" s="4"/>
      <c r="BM711" s="4"/>
      <c r="BN711" s="4"/>
    </row>
    <row r="712" ht="13.5" customHeight="1" spans="1:66" x14ac:dyDescent="0.25">
      <c r="A712" s="4"/>
      <c r="B712" s="4"/>
      <c r="C712" s="533"/>
      <c r="D712" s="4"/>
      <c r="E712" s="4"/>
      <c r="F712" s="4"/>
      <c r="G712" s="4"/>
      <c r="H712" s="4"/>
      <c r="I712" s="4"/>
      <c r="J712" s="4"/>
      <c r="K712" s="4"/>
      <c r="L712" s="4"/>
      <c r="M712" s="4"/>
      <c r="N712" s="4"/>
      <c r="O712" s="4"/>
      <c r="P712" s="4"/>
      <c r="Q712" s="4"/>
      <c r="R712" s="4"/>
      <c r="S712" s="4"/>
      <c r="T712" s="4"/>
      <c r="U712" s="4"/>
      <c r="V712" s="4"/>
      <c r="W712" s="4"/>
      <c r="X712" s="4"/>
      <c r="Y712" s="4"/>
      <c r="Z712" s="4"/>
      <c r="AA712" s="4"/>
      <c r="AB712" s="4"/>
      <c r="AC712" s="4"/>
      <c r="AD712" s="4"/>
      <c r="AE712" s="4"/>
      <c r="AF712" s="4"/>
      <c r="AG712" s="4"/>
      <c r="AH712" s="4"/>
      <c r="AI712" s="4"/>
      <c r="AJ712" s="4"/>
      <c r="AK712" s="4"/>
      <c r="AL712" s="4"/>
      <c r="AM712" s="4"/>
      <c r="AN712" s="4"/>
      <c r="AO712" s="4"/>
      <c r="AP712" s="4"/>
      <c r="AQ712" s="4"/>
      <c r="AR712" s="4"/>
      <c r="AS712" s="4"/>
      <c r="AT712" s="4"/>
      <c r="AU712" s="4"/>
      <c r="AV712" s="4"/>
      <c r="AW712" s="4"/>
      <c r="AX712" s="4"/>
      <c r="AY712" s="4"/>
      <c r="AZ712" s="4"/>
      <c r="BA712" s="4"/>
      <c r="BB712" s="4"/>
      <c r="BC712" s="4"/>
      <c r="BD712" s="4"/>
      <c r="BE712" s="4"/>
      <c r="BF712" s="4"/>
      <c r="BG712" s="4"/>
      <c r="BH712" s="4"/>
      <c r="BI712" s="4"/>
      <c r="BJ712" s="4"/>
      <c r="BK712" s="4"/>
      <c r="BL712" s="4"/>
      <c r="BM712" s="4"/>
      <c r="BN712" s="4"/>
    </row>
    <row r="713" ht="13.5" customHeight="1" spans="1:66" x14ac:dyDescent="0.25">
      <c r="A713" s="4"/>
      <c r="B713" s="4"/>
      <c r="C713" s="533"/>
      <c r="D713" s="4"/>
      <c r="E713" s="4"/>
      <c r="F713" s="4"/>
      <c r="G713" s="4"/>
      <c r="H713" s="4"/>
      <c r="I713" s="4"/>
      <c r="J713" s="4"/>
      <c r="K713" s="4"/>
      <c r="L713" s="4"/>
      <c r="M713" s="4"/>
      <c r="N713" s="4"/>
      <c r="O713" s="4"/>
      <c r="P713" s="4"/>
      <c r="Q713" s="4"/>
      <c r="R713" s="4"/>
      <c r="S713" s="4"/>
      <c r="T713" s="4"/>
      <c r="U713" s="4"/>
      <c r="V713" s="4"/>
      <c r="W713" s="4"/>
      <c r="X713" s="4"/>
      <c r="Y713" s="4"/>
      <c r="Z713" s="4"/>
      <c r="AA713" s="4"/>
      <c r="AB713" s="4"/>
      <c r="AC713" s="4"/>
      <c r="AD713" s="4"/>
      <c r="AE713" s="4"/>
      <c r="AF713" s="4"/>
      <c r="AG713" s="4"/>
      <c r="AH713" s="4"/>
      <c r="AI713" s="4"/>
      <c r="AJ713" s="4"/>
      <c r="AK713" s="4"/>
      <c r="AL713" s="4"/>
      <c r="AM713" s="4"/>
      <c r="AN713" s="4"/>
      <c r="AO713" s="4"/>
      <c r="AP713" s="4"/>
      <c r="AQ713" s="4"/>
      <c r="AR713" s="4"/>
      <c r="AS713" s="4"/>
      <c r="AT713" s="4"/>
      <c r="AU713" s="4"/>
      <c r="AV713" s="4"/>
      <c r="AW713" s="4"/>
      <c r="AX713" s="4"/>
      <c r="AY713" s="4"/>
      <c r="AZ713" s="4"/>
      <c r="BA713" s="4"/>
      <c r="BB713" s="4"/>
      <c r="BC713" s="4"/>
      <c r="BD713" s="4"/>
      <c r="BE713" s="4"/>
      <c r="BF713" s="4"/>
      <c r="BG713" s="4"/>
      <c r="BH713" s="4"/>
      <c r="BI713" s="4"/>
      <c r="BJ713" s="4"/>
      <c r="BK713" s="4"/>
      <c r="BL713" s="4"/>
      <c r="BM713" s="4"/>
      <c r="BN713" s="4"/>
    </row>
    <row r="714" ht="13.5" customHeight="1" spans="1:66" x14ac:dyDescent="0.25">
      <c r="A714" s="4"/>
      <c r="B714" s="4"/>
      <c r="C714" s="533"/>
      <c r="D714" s="4"/>
      <c r="E714" s="4"/>
      <c r="F714" s="4"/>
      <c r="G714" s="4"/>
      <c r="H714" s="4"/>
      <c r="I714" s="4"/>
      <c r="J714" s="4"/>
      <c r="K714" s="4"/>
      <c r="L714" s="4"/>
      <c r="M714" s="4"/>
      <c r="N714" s="4"/>
      <c r="O714" s="4"/>
      <c r="P714" s="4"/>
      <c r="Q714" s="4"/>
      <c r="R714" s="4"/>
      <c r="S714" s="4"/>
      <c r="T714" s="4"/>
      <c r="U714" s="4"/>
      <c r="V714" s="4"/>
      <c r="W714" s="4"/>
      <c r="X714" s="4"/>
      <c r="Y714" s="4"/>
      <c r="Z714" s="4"/>
      <c r="AA714" s="4"/>
      <c r="AB714" s="4"/>
      <c r="AC714" s="4"/>
      <c r="AD714" s="4"/>
      <c r="AE714" s="4"/>
      <c r="AF714" s="4"/>
      <c r="AG714" s="4"/>
      <c r="AH714" s="4"/>
      <c r="AI714" s="4"/>
      <c r="AJ714" s="4"/>
      <c r="AK714" s="4"/>
      <c r="AL714" s="4"/>
      <c r="AM714" s="4"/>
      <c r="AN714" s="4"/>
      <c r="AO714" s="4"/>
      <c r="AP714" s="4"/>
      <c r="AQ714" s="4"/>
      <c r="AR714" s="4"/>
      <c r="AS714" s="4"/>
      <c r="AT714" s="4"/>
      <c r="AU714" s="4"/>
      <c r="AV714" s="4"/>
      <c r="AW714" s="4"/>
      <c r="AX714" s="4"/>
      <c r="AY714" s="4"/>
      <c r="AZ714" s="4"/>
      <c r="BA714" s="4"/>
      <c r="BB714" s="4"/>
      <c r="BC714" s="4"/>
      <c r="BD714" s="4"/>
      <c r="BE714" s="4"/>
      <c r="BF714" s="4"/>
      <c r="BG714" s="4"/>
      <c r="BH714" s="4"/>
      <c r="BI714" s="4"/>
      <c r="BJ714" s="4"/>
      <c r="BK714" s="4"/>
      <c r="BL714" s="4"/>
      <c r="BM714" s="4"/>
      <c r="BN714" s="4"/>
    </row>
    <row r="715" ht="13.5" customHeight="1" spans="1:66" x14ac:dyDescent="0.25">
      <c r="A715" s="4"/>
      <c r="B715" s="4"/>
      <c r="C715" s="533"/>
      <c r="D715" s="4"/>
      <c r="E715" s="4"/>
      <c r="F715" s="4"/>
      <c r="G715" s="4"/>
      <c r="H715" s="4"/>
      <c r="I715" s="4"/>
      <c r="J715" s="4"/>
      <c r="K715" s="4"/>
      <c r="L715" s="4"/>
      <c r="M715" s="4"/>
      <c r="N715" s="4"/>
      <c r="O715" s="4"/>
      <c r="P715" s="4"/>
      <c r="Q715" s="4"/>
      <c r="R715" s="4"/>
      <c r="S715" s="4"/>
      <c r="T715" s="4"/>
      <c r="U715" s="4"/>
      <c r="V715" s="4"/>
      <c r="W715" s="4"/>
      <c r="X715" s="4"/>
      <c r="Y715" s="4"/>
      <c r="Z715" s="4"/>
      <c r="AA715" s="4"/>
      <c r="AB715" s="4"/>
      <c r="AC715" s="4"/>
      <c r="AD715" s="4"/>
      <c r="AE715" s="4"/>
      <c r="AF715" s="4"/>
      <c r="AG715" s="4"/>
      <c r="AH715" s="4"/>
      <c r="AI715" s="4"/>
      <c r="AJ715" s="4"/>
      <c r="AK715" s="4"/>
      <c r="AL715" s="4"/>
      <c r="AM715" s="4"/>
      <c r="AN715" s="4"/>
      <c r="AO715" s="4"/>
      <c r="AP715" s="4"/>
      <c r="AQ715" s="4"/>
      <c r="AR715" s="4"/>
      <c r="AS715" s="4"/>
      <c r="AT715" s="4"/>
      <c r="AU715" s="4"/>
      <c r="AV715" s="4"/>
      <c r="AW715" s="4"/>
      <c r="AX715" s="4"/>
      <c r="AY715" s="4"/>
      <c r="AZ715" s="4"/>
      <c r="BA715" s="4"/>
      <c r="BB715" s="4"/>
      <c r="BC715" s="4"/>
      <c r="BD715" s="4"/>
      <c r="BE715" s="4"/>
      <c r="BF715" s="4"/>
      <c r="BG715" s="4"/>
      <c r="BH715" s="4"/>
      <c r="BI715" s="4"/>
      <c r="BJ715" s="4"/>
      <c r="BK715" s="4"/>
      <c r="BL715" s="4"/>
      <c r="BM715" s="4"/>
      <c r="BN715" s="4"/>
    </row>
    <row r="716" ht="13.5" customHeight="1" spans="1:66" x14ac:dyDescent="0.25">
      <c r="A716" s="4"/>
      <c r="B716" s="4"/>
      <c r="C716" s="533"/>
      <c r="D716" s="4"/>
      <c r="E716" s="4"/>
      <c r="F716" s="4"/>
      <c r="G716" s="4"/>
      <c r="H716" s="4"/>
      <c r="I716" s="4"/>
      <c r="J716" s="4"/>
      <c r="K716" s="4"/>
      <c r="L716" s="4"/>
      <c r="M716" s="4"/>
      <c r="N716" s="4"/>
      <c r="O716" s="4"/>
      <c r="P716" s="4"/>
      <c r="Q716" s="4"/>
      <c r="R716" s="4"/>
      <c r="S716" s="4"/>
      <c r="T716" s="4"/>
      <c r="U716" s="4"/>
      <c r="V716" s="4"/>
      <c r="W716" s="4"/>
      <c r="X716" s="4"/>
      <c r="Y716" s="4"/>
      <c r="Z716" s="4"/>
      <c r="AA716" s="4"/>
      <c r="AB716" s="4"/>
      <c r="AC716" s="4"/>
      <c r="AD716" s="4"/>
      <c r="AE716" s="4"/>
      <c r="AF716" s="4"/>
      <c r="AG716" s="4"/>
      <c r="AH716" s="4"/>
      <c r="AI716" s="4"/>
      <c r="AJ716" s="4"/>
      <c r="AK716" s="4"/>
      <c r="AL716" s="4"/>
      <c r="AM716" s="4"/>
      <c r="AN716" s="4"/>
      <c r="AO716" s="4"/>
      <c r="AP716" s="4"/>
      <c r="AQ716" s="4"/>
      <c r="AR716" s="4"/>
      <c r="AS716" s="4"/>
      <c r="AT716" s="4"/>
      <c r="AU716" s="4"/>
      <c r="AV716" s="4"/>
      <c r="AW716" s="4"/>
      <c r="AX716" s="4"/>
      <c r="AY716" s="4"/>
      <c r="AZ716" s="4"/>
      <c r="BA716" s="4"/>
      <c r="BB716" s="4"/>
      <c r="BC716" s="4"/>
      <c r="BD716" s="4"/>
      <c r="BE716" s="4"/>
      <c r="BF716" s="4"/>
      <c r="BG716" s="4"/>
      <c r="BH716" s="4"/>
      <c r="BI716" s="4"/>
      <c r="BJ716" s="4"/>
      <c r="BK716" s="4"/>
      <c r="BL716" s="4"/>
      <c r="BM716" s="4"/>
      <c r="BN716" s="4"/>
    </row>
    <row r="717" ht="13.5" customHeight="1" spans="1:66" x14ac:dyDescent="0.25">
      <c r="A717" s="4"/>
      <c r="B717" s="4"/>
      <c r="C717" s="533"/>
      <c r="D717" s="4"/>
      <c r="E717" s="4"/>
      <c r="F717" s="4"/>
      <c r="G717" s="4"/>
      <c r="H717" s="4"/>
      <c r="I717" s="4"/>
      <c r="J717" s="4"/>
      <c r="K717" s="4"/>
      <c r="L717" s="4"/>
      <c r="M717" s="4"/>
      <c r="N717" s="4"/>
      <c r="O717" s="4"/>
      <c r="P717" s="4"/>
      <c r="Q717" s="4"/>
      <c r="R717" s="4"/>
      <c r="S717" s="4"/>
      <c r="T717" s="4"/>
      <c r="U717" s="4"/>
      <c r="V717" s="4"/>
      <c r="W717" s="4"/>
      <c r="X717" s="4"/>
      <c r="Y717" s="4"/>
      <c r="Z717" s="4"/>
      <c r="AA717" s="4"/>
      <c r="AB717" s="4"/>
      <c r="AC717" s="4"/>
      <c r="AD717" s="4"/>
      <c r="AE717" s="4"/>
      <c r="AF717" s="4"/>
      <c r="AG717" s="4"/>
      <c r="AH717" s="4"/>
      <c r="AI717" s="4"/>
      <c r="AJ717" s="4"/>
      <c r="AK717" s="4"/>
      <c r="AL717" s="4"/>
      <c r="AM717" s="4"/>
      <c r="AN717" s="4"/>
      <c r="AO717" s="4"/>
      <c r="AP717" s="4"/>
      <c r="AQ717" s="4"/>
      <c r="AR717" s="4"/>
      <c r="AS717" s="4"/>
      <c r="AT717" s="4"/>
      <c r="AU717" s="4"/>
      <c r="AV717" s="4"/>
      <c r="AW717" s="4"/>
      <c r="AX717" s="4"/>
      <c r="AY717" s="4"/>
      <c r="AZ717" s="4"/>
      <c r="BA717" s="4"/>
      <c r="BB717" s="4"/>
      <c r="BC717" s="4"/>
      <c r="BD717" s="4"/>
      <c r="BE717" s="4"/>
      <c r="BF717" s="4"/>
      <c r="BG717" s="4"/>
      <c r="BH717" s="4"/>
      <c r="BI717" s="4"/>
      <c r="BJ717" s="4"/>
      <c r="BK717" s="4"/>
      <c r="BL717" s="4"/>
      <c r="BM717" s="4"/>
      <c r="BN717" s="4"/>
    </row>
    <row r="718" ht="13.5" customHeight="1" spans="1:66" x14ac:dyDescent="0.25">
      <c r="A718" s="4"/>
      <c r="B718" s="4"/>
      <c r="C718" s="533"/>
      <c r="D718" s="4"/>
      <c r="E718" s="4"/>
      <c r="F718" s="4"/>
      <c r="G718" s="4"/>
      <c r="H718" s="4"/>
      <c r="I718" s="4"/>
      <c r="J718" s="4"/>
      <c r="K718" s="4"/>
      <c r="L718" s="4"/>
      <c r="M718" s="4"/>
      <c r="N718" s="4"/>
      <c r="O718" s="4"/>
      <c r="P718" s="4"/>
      <c r="Q718" s="4"/>
      <c r="R718" s="4"/>
      <c r="S718" s="4"/>
      <c r="T718" s="4"/>
      <c r="U718" s="4"/>
      <c r="V718" s="4"/>
      <c r="W718" s="4"/>
      <c r="X718" s="4"/>
      <c r="Y718" s="4"/>
      <c r="Z718" s="4"/>
      <c r="AA718" s="4"/>
      <c r="AB718" s="4"/>
      <c r="AC718" s="4"/>
      <c r="AD718" s="4"/>
      <c r="AE718" s="4"/>
      <c r="AF718" s="4"/>
      <c r="AG718" s="4"/>
      <c r="AH718" s="4"/>
      <c r="AI718" s="4"/>
      <c r="AJ718" s="4"/>
      <c r="AK718" s="4"/>
      <c r="AL718" s="4"/>
      <c r="AM718" s="4"/>
      <c r="AN718" s="4"/>
      <c r="AO718" s="4"/>
      <c r="AP718" s="4"/>
      <c r="AQ718" s="4"/>
      <c r="AR718" s="4"/>
      <c r="AS718" s="4"/>
      <c r="AT718" s="4"/>
      <c r="AU718" s="4"/>
      <c r="AV718" s="4"/>
      <c r="AW718" s="4"/>
      <c r="AX718" s="4"/>
      <c r="AY718" s="4"/>
      <c r="AZ718" s="4"/>
      <c r="BA718" s="4"/>
      <c r="BB718" s="4"/>
      <c r="BC718" s="4"/>
      <c r="BD718" s="4"/>
      <c r="BE718" s="4"/>
      <c r="BF718" s="4"/>
      <c r="BG718" s="4"/>
      <c r="BH718" s="4"/>
      <c r="BI718" s="4"/>
      <c r="BJ718" s="4"/>
      <c r="BK718" s="4"/>
      <c r="BL718" s="4"/>
      <c r="BM718" s="4"/>
      <c r="BN718" s="4"/>
    </row>
    <row r="719" ht="13.5" customHeight="1" spans="1:66" x14ac:dyDescent="0.25">
      <c r="A719" s="4"/>
      <c r="B719" s="4"/>
      <c r="C719" s="533"/>
      <c r="D719" s="4"/>
      <c r="E719" s="4"/>
      <c r="F719" s="4"/>
      <c r="G719" s="4"/>
      <c r="H719" s="4"/>
      <c r="I719" s="4"/>
      <c r="J719" s="4"/>
      <c r="K719" s="4"/>
      <c r="L719" s="4"/>
      <c r="M719" s="4"/>
      <c r="N719" s="4"/>
      <c r="O719" s="4"/>
      <c r="P719" s="4"/>
      <c r="Q719" s="4"/>
      <c r="R719" s="4"/>
      <c r="S719" s="4"/>
      <c r="T719" s="4"/>
      <c r="U719" s="4"/>
      <c r="V719" s="4"/>
      <c r="W719" s="4"/>
      <c r="X719" s="4"/>
      <c r="Y719" s="4"/>
      <c r="Z719" s="4"/>
      <c r="AA719" s="4"/>
      <c r="AB719" s="4"/>
      <c r="AC719" s="4"/>
      <c r="AD719" s="4"/>
      <c r="AE719" s="4"/>
      <c r="AF719" s="4"/>
      <c r="AG719" s="4"/>
      <c r="AH719" s="4"/>
      <c r="AI719" s="4"/>
      <c r="AJ719" s="4"/>
      <c r="AK719" s="4"/>
      <c r="AL719" s="4"/>
      <c r="AM719" s="4"/>
      <c r="AN719" s="4"/>
      <c r="AO719" s="4"/>
      <c r="AP719" s="4"/>
      <c r="AQ719" s="4"/>
      <c r="AR719" s="4"/>
      <c r="AS719" s="4"/>
      <c r="AT719" s="4"/>
      <c r="AU719" s="4"/>
      <c r="AV719" s="4"/>
      <c r="AW719" s="4"/>
      <c r="AX719" s="4"/>
      <c r="AY719" s="4"/>
      <c r="AZ719" s="4"/>
      <c r="BA719" s="4"/>
      <c r="BB719" s="4"/>
      <c r="BC719" s="4"/>
      <c r="BD719" s="4"/>
      <c r="BE719" s="4"/>
      <c r="BF719" s="4"/>
      <c r="BG719" s="4"/>
      <c r="BH719" s="4"/>
      <c r="BI719" s="4"/>
      <c r="BJ719" s="4"/>
      <c r="BK719" s="4"/>
      <c r="BL719" s="4"/>
      <c r="BM719" s="4"/>
      <c r="BN719" s="4"/>
    </row>
    <row r="720" ht="13.5" customHeight="1" spans="1:66" x14ac:dyDescent="0.25">
      <c r="A720" s="4"/>
      <c r="B720" s="4"/>
      <c r="C720" s="533"/>
      <c r="D720" s="4"/>
      <c r="E720" s="4"/>
      <c r="F720" s="4"/>
      <c r="G720" s="4"/>
      <c r="H720" s="4"/>
      <c r="I720" s="4"/>
      <c r="J720" s="4"/>
      <c r="K720" s="4"/>
      <c r="L720" s="4"/>
      <c r="M720" s="4"/>
      <c r="N720" s="4"/>
      <c r="O720" s="4"/>
      <c r="P720" s="4"/>
      <c r="Q720" s="4"/>
      <c r="R720" s="4"/>
      <c r="S720" s="4"/>
      <c r="T720" s="4"/>
      <c r="U720" s="4"/>
      <c r="V720" s="4"/>
      <c r="W720" s="4"/>
      <c r="X720" s="4"/>
      <c r="Y720" s="4"/>
      <c r="Z720" s="4"/>
      <c r="AA720" s="4"/>
      <c r="AB720" s="4"/>
      <c r="AC720" s="4"/>
      <c r="AD720" s="4"/>
      <c r="AE720" s="4"/>
      <c r="AF720" s="4"/>
      <c r="AG720" s="4"/>
      <c r="AH720" s="4"/>
      <c r="AI720" s="4"/>
      <c r="AJ720" s="4"/>
      <c r="AK720" s="4"/>
      <c r="AL720" s="4"/>
      <c r="AM720" s="4"/>
      <c r="AN720" s="4"/>
      <c r="AO720" s="4"/>
      <c r="AP720" s="4"/>
      <c r="AQ720" s="4"/>
      <c r="AR720" s="4"/>
      <c r="AS720" s="4"/>
      <c r="AT720" s="4"/>
      <c r="AU720" s="4"/>
      <c r="AV720" s="4"/>
      <c r="AW720" s="4"/>
      <c r="AX720" s="4"/>
      <c r="AY720" s="4"/>
      <c r="AZ720" s="4"/>
      <c r="BA720" s="4"/>
      <c r="BB720" s="4"/>
      <c r="BC720" s="4"/>
      <c r="BD720" s="4"/>
      <c r="BE720" s="4"/>
      <c r="BF720" s="4"/>
      <c r="BG720" s="4"/>
      <c r="BH720" s="4"/>
      <c r="BI720" s="4"/>
      <c r="BJ720" s="4"/>
      <c r="BK720" s="4"/>
      <c r="BL720" s="4"/>
      <c r="BM720" s="4"/>
      <c r="BN720" s="4"/>
    </row>
    <row r="721" ht="13.5" customHeight="1" spans="1:66" x14ac:dyDescent="0.25">
      <c r="A721" s="4"/>
      <c r="B721" s="4"/>
      <c r="C721" s="533"/>
      <c r="D721" s="4"/>
      <c r="E721" s="4"/>
      <c r="F721" s="4"/>
      <c r="G721" s="4"/>
      <c r="H721" s="4"/>
      <c r="I721" s="4"/>
      <c r="J721" s="4"/>
      <c r="K721" s="4"/>
      <c r="L721" s="4"/>
      <c r="M721" s="4"/>
      <c r="N721" s="4"/>
      <c r="O721" s="4"/>
      <c r="P721" s="4"/>
      <c r="Q721" s="4"/>
      <c r="R721" s="4"/>
      <c r="S721" s="4"/>
      <c r="T721" s="4"/>
      <c r="U721" s="4"/>
      <c r="V721" s="4"/>
      <c r="W721" s="4"/>
      <c r="X721" s="4"/>
      <c r="Y721" s="4"/>
      <c r="Z721" s="4"/>
      <c r="AA721" s="4"/>
      <c r="AB721" s="4"/>
      <c r="AC721" s="4"/>
      <c r="AD721" s="4"/>
      <c r="AE721" s="4"/>
      <c r="AF721" s="4"/>
      <c r="AG721" s="4"/>
      <c r="AH721" s="4"/>
      <c r="AI721" s="4"/>
      <c r="AJ721" s="4"/>
      <c r="AK721" s="4"/>
      <c r="AL721" s="4"/>
      <c r="AM721" s="4"/>
      <c r="AN721" s="4"/>
      <c r="AO721" s="4"/>
      <c r="AP721" s="4"/>
      <c r="AQ721" s="4"/>
      <c r="AR721" s="4"/>
      <c r="AS721" s="4"/>
      <c r="AT721" s="4"/>
      <c r="AU721" s="4"/>
      <c r="AV721" s="4"/>
      <c r="AW721" s="4"/>
      <c r="AX721" s="4"/>
      <c r="AY721" s="4"/>
      <c r="AZ721" s="4"/>
      <c r="BA721" s="4"/>
      <c r="BB721" s="4"/>
      <c r="BC721" s="4"/>
      <c r="BD721" s="4"/>
      <c r="BE721" s="4"/>
      <c r="BF721" s="4"/>
      <c r="BG721" s="4"/>
      <c r="BH721" s="4"/>
      <c r="BI721" s="4"/>
      <c r="BJ721" s="4"/>
      <c r="BK721" s="4"/>
      <c r="BL721" s="4"/>
      <c r="BM721" s="4"/>
      <c r="BN721" s="4"/>
    </row>
    <row r="722" ht="13.5" customHeight="1" spans="1:66" x14ac:dyDescent="0.25">
      <c r="A722" s="4"/>
      <c r="B722" s="4"/>
      <c r="C722" s="533"/>
      <c r="D722" s="4"/>
      <c r="E722" s="4"/>
      <c r="F722" s="4"/>
      <c r="G722" s="4"/>
      <c r="H722" s="4"/>
      <c r="I722" s="4"/>
      <c r="J722" s="4"/>
      <c r="K722" s="4"/>
      <c r="L722" s="4"/>
      <c r="M722" s="4"/>
      <c r="N722" s="4"/>
      <c r="O722" s="4"/>
      <c r="P722" s="4"/>
      <c r="Q722" s="4"/>
      <c r="R722" s="4"/>
      <c r="S722" s="4"/>
      <c r="T722" s="4"/>
      <c r="U722" s="4"/>
      <c r="V722" s="4"/>
      <c r="W722" s="4"/>
      <c r="X722" s="4"/>
      <c r="Y722" s="4"/>
      <c r="Z722" s="4"/>
      <c r="AA722" s="4"/>
      <c r="AB722" s="4"/>
      <c r="AC722" s="4"/>
      <c r="AD722" s="4"/>
      <c r="AE722" s="4"/>
      <c r="AF722" s="4"/>
      <c r="AG722" s="4"/>
      <c r="AH722" s="4"/>
      <c r="AI722" s="4"/>
      <c r="AJ722" s="4"/>
      <c r="AK722" s="4"/>
      <c r="AL722" s="4"/>
      <c r="AM722" s="4"/>
      <c r="AN722" s="4"/>
      <c r="AO722" s="4"/>
      <c r="AP722" s="4"/>
      <c r="AQ722" s="4"/>
      <c r="AR722" s="4"/>
      <c r="AS722" s="4"/>
      <c r="AT722" s="4"/>
      <c r="AU722" s="4"/>
      <c r="AV722" s="4"/>
      <c r="AW722" s="4"/>
      <c r="AX722" s="4"/>
      <c r="AY722" s="4"/>
      <c r="AZ722" s="4"/>
      <c r="BA722" s="4"/>
      <c r="BB722" s="4"/>
      <c r="BC722" s="4"/>
      <c r="BD722" s="4"/>
      <c r="BE722" s="4"/>
      <c r="BF722" s="4"/>
      <c r="BG722" s="4"/>
      <c r="BH722" s="4"/>
      <c r="BI722" s="4"/>
      <c r="BJ722" s="4"/>
      <c r="BK722" s="4"/>
      <c r="BL722" s="4"/>
      <c r="BM722" s="4"/>
      <c r="BN722" s="4"/>
    </row>
    <row r="723" ht="13.5" customHeight="1" spans="1:66" x14ac:dyDescent="0.25">
      <c r="A723" s="4"/>
      <c r="B723" s="4"/>
      <c r="C723" s="533"/>
      <c r="D723" s="4"/>
      <c r="E723" s="4"/>
      <c r="F723" s="4"/>
      <c r="G723" s="4"/>
      <c r="H723" s="4"/>
      <c r="I723" s="4"/>
      <c r="J723" s="4"/>
      <c r="K723" s="4"/>
      <c r="L723" s="4"/>
      <c r="M723" s="4"/>
      <c r="N723" s="4"/>
      <c r="O723" s="4"/>
      <c r="P723" s="4"/>
      <c r="Q723" s="4"/>
      <c r="R723" s="4"/>
      <c r="S723" s="4"/>
      <c r="T723" s="4"/>
      <c r="U723" s="4"/>
      <c r="V723" s="4"/>
      <c r="W723" s="4"/>
      <c r="X723" s="4"/>
      <c r="Y723" s="4"/>
      <c r="Z723" s="4"/>
      <c r="AA723" s="4"/>
      <c r="AB723" s="4"/>
      <c r="AC723" s="4"/>
      <c r="AD723" s="4"/>
      <c r="AE723" s="4"/>
      <c r="AF723" s="4"/>
      <c r="AG723" s="4"/>
      <c r="AH723" s="4"/>
      <c r="AI723" s="4"/>
      <c r="AJ723" s="4"/>
      <c r="AK723" s="4"/>
      <c r="AL723" s="4"/>
      <c r="AM723" s="4"/>
      <c r="AN723" s="4"/>
      <c r="AO723" s="4"/>
      <c r="AP723" s="4"/>
      <c r="AQ723" s="4"/>
      <c r="AR723" s="4"/>
      <c r="AS723" s="4"/>
      <c r="AT723" s="4"/>
      <c r="AU723" s="4"/>
      <c r="AV723" s="4"/>
      <c r="AW723" s="4"/>
      <c r="AX723" s="4"/>
      <c r="AY723" s="4"/>
      <c r="AZ723" s="4"/>
      <c r="BA723" s="4"/>
      <c r="BB723" s="4"/>
      <c r="BC723" s="4"/>
      <c r="BD723" s="4"/>
      <c r="BE723" s="4"/>
      <c r="BF723" s="4"/>
      <c r="BG723" s="4"/>
      <c r="BH723" s="4"/>
      <c r="BI723" s="4"/>
      <c r="BJ723" s="4"/>
      <c r="BK723" s="4"/>
      <c r="BL723" s="4"/>
      <c r="BM723" s="4"/>
      <c r="BN723" s="4"/>
    </row>
    <row r="724" ht="13.5" customHeight="1" spans="1:66" x14ac:dyDescent="0.25">
      <c r="A724" s="4"/>
      <c r="B724" s="4"/>
      <c r="C724" s="533"/>
      <c r="D724" s="4"/>
      <c r="E724" s="4"/>
      <c r="F724" s="4"/>
      <c r="G724" s="4"/>
      <c r="H724" s="4"/>
      <c r="I724" s="4"/>
      <c r="J724" s="4"/>
      <c r="K724" s="4"/>
      <c r="L724" s="4"/>
      <c r="M724" s="4"/>
      <c r="N724" s="4"/>
      <c r="O724" s="4"/>
      <c r="P724" s="4"/>
      <c r="Q724" s="4"/>
      <c r="R724" s="4"/>
      <c r="S724" s="4"/>
      <c r="T724" s="4"/>
      <c r="U724" s="4"/>
      <c r="V724" s="4"/>
      <c r="W724" s="4"/>
      <c r="X724" s="4"/>
      <c r="Y724" s="4"/>
      <c r="Z724" s="4"/>
      <c r="AA724" s="4"/>
      <c r="AB724" s="4"/>
      <c r="AC724" s="4"/>
      <c r="AD724" s="4"/>
      <c r="AE724" s="4"/>
      <c r="AF724" s="4"/>
      <c r="AG724" s="4"/>
      <c r="AH724" s="4"/>
      <c r="AI724" s="4"/>
      <c r="AJ724" s="4"/>
      <c r="AK724" s="4"/>
      <c r="AL724" s="4"/>
      <c r="AM724" s="4"/>
      <c r="AN724" s="4"/>
      <c r="AO724" s="4"/>
      <c r="AP724" s="4"/>
      <c r="AQ724" s="4"/>
      <c r="AR724" s="4"/>
      <c r="AS724" s="4"/>
      <c r="AT724" s="4"/>
      <c r="AU724" s="4"/>
      <c r="AV724" s="4"/>
      <c r="AW724" s="4"/>
      <c r="AX724" s="4"/>
      <c r="AY724" s="4"/>
      <c r="AZ724" s="4"/>
      <c r="BA724" s="4"/>
      <c r="BB724" s="4"/>
      <c r="BC724" s="4"/>
      <c r="BD724" s="4"/>
      <c r="BE724" s="4"/>
      <c r="BF724" s="4"/>
      <c r="BG724" s="4"/>
      <c r="BH724" s="4"/>
      <c r="BI724" s="4"/>
      <c r="BJ724" s="4"/>
      <c r="BK724" s="4"/>
      <c r="BL724" s="4"/>
      <c r="BM724" s="4"/>
      <c r="BN724" s="4"/>
    </row>
    <row r="725" ht="13.5" customHeight="1" spans="1:66" x14ac:dyDescent="0.25">
      <c r="A725" s="4"/>
      <c r="B725" s="4"/>
      <c r="C725" s="533"/>
      <c r="D725" s="4"/>
      <c r="E725" s="4"/>
      <c r="F725" s="4"/>
      <c r="G725" s="4"/>
      <c r="H725" s="4"/>
      <c r="I725" s="4"/>
      <c r="J725" s="4"/>
      <c r="K725" s="4"/>
      <c r="L725" s="4"/>
      <c r="M725" s="4"/>
      <c r="N725" s="4"/>
      <c r="O725" s="4"/>
      <c r="P725" s="4"/>
      <c r="Q725" s="4"/>
      <c r="R725" s="4"/>
      <c r="S725" s="4"/>
      <c r="T725" s="4"/>
      <c r="U725" s="4"/>
      <c r="V725" s="4"/>
      <c r="W725" s="4"/>
      <c r="X725" s="4"/>
      <c r="Y725" s="4"/>
      <c r="Z725" s="4"/>
      <c r="AA725" s="4"/>
      <c r="AB725" s="4"/>
      <c r="AC725" s="4"/>
      <c r="AD725" s="4"/>
      <c r="AE725" s="4"/>
      <c r="AF725" s="4"/>
      <c r="AG725" s="4"/>
      <c r="AH725" s="4"/>
      <c r="AI725" s="4"/>
      <c r="AJ725" s="4"/>
      <c r="AK725" s="4"/>
      <c r="AL725" s="4"/>
      <c r="AM725" s="4"/>
      <c r="AN725" s="4"/>
      <c r="AO725" s="4"/>
      <c r="AP725" s="4"/>
      <c r="AQ725" s="4"/>
      <c r="AR725" s="4"/>
      <c r="AS725" s="4"/>
      <c r="AT725" s="4"/>
      <c r="AU725" s="4"/>
      <c r="AV725" s="4"/>
      <c r="AW725" s="4"/>
      <c r="AX725" s="4"/>
      <c r="AY725" s="4"/>
      <c r="AZ725" s="4"/>
      <c r="BA725" s="4"/>
      <c r="BB725" s="4"/>
      <c r="BC725" s="4"/>
      <c r="BD725" s="4"/>
      <c r="BE725" s="4"/>
      <c r="BF725" s="4"/>
      <c r="BG725" s="4"/>
      <c r="BH725" s="4"/>
      <c r="BI725" s="4"/>
      <c r="BJ725" s="4"/>
      <c r="BK725" s="4"/>
      <c r="BL725" s="4"/>
      <c r="BM725" s="4"/>
      <c r="BN725" s="4"/>
    </row>
    <row r="726" ht="13.5" customHeight="1" spans="1:66" x14ac:dyDescent="0.25">
      <c r="A726" s="4"/>
      <c r="B726" s="4"/>
      <c r="C726" s="533"/>
      <c r="D726" s="4"/>
      <c r="E726" s="4"/>
      <c r="F726" s="4"/>
      <c r="G726" s="4"/>
      <c r="H726" s="4"/>
      <c r="I726" s="4"/>
      <c r="J726" s="4"/>
      <c r="K726" s="4"/>
      <c r="L726" s="4"/>
      <c r="M726" s="4"/>
      <c r="N726" s="4"/>
      <c r="O726" s="4"/>
      <c r="P726" s="4"/>
      <c r="Q726" s="4"/>
      <c r="R726" s="4"/>
      <c r="S726" s="4"/>
      <c r="T726" s="4"/>
      <c r="U726" s="4"/>
      <c r="V726" s="4"/>
      <c r="W726" s="4"/>
      <c r="X726" s="4"/>
      <c r="Y726" s="4"/>
      <c r="Z726" s="4"/>
      <c r="AA726" s="4"/>
      <c r="AB726" s="4"/>
      <c r="AC726" s="4"/>
      <c r="AD726" s="4"/>
      <c r="AE726" s="4"/>
      <c r="AF726" s="4"/>
      <c r="AG726" s="4"/>
      <c r="AH726" s="4"/>
      <c r="AI726" s="4"/>
      <c r="AJ726" s="4"/>
      <c r="AK726" s="4"/>
      <c r="AL726" s="4"/>
      <c r="AM726" s="4"/>
      <c r="AN726" s="4"/>
      <c r="AO726" s="4"/>
      <c r="AP726" s="4"/>
      <c r="AQ726" s="4"/>
      <c r="AR726" s="4"/>
      <c r="AS726" s="4"/>
      <c r="AT726" s="4"/>
      <c r="AU726" s="4"/>
      <c r="AV726" s="4"/>
      <c r="AW726" s="4"/>
      <c r="AX726" s="4"/>
      <c r="AY726" s="4"/>
      <c r="AZ726" s="4"/>
      <c r="BA726" s="4"/>
      <c r="BB726" s="4"/>
      <c r="BC726" s="4"/>
      <c r="BD726" s="4"/>
      <c r="BE726" s="4"/>
      <c r="BF726" s="4"/>
      <c r="BG726" s="4"/>
      <c r="BH726" s="4"/>
      <c r="BI726" s="4"/>
      <c r="BJ726" s="4"/>
      <c r="BK726" s="4"/>
      <c r="BL726" s="4"/>
      <c r="BM726" s="4"/>
      <c r="BN726" s="4"/>
    </row>
    <row r="727" ht="13.5" customHeight="1" spans="1:66" x14ac:dyDescent="0.25">
      <c r="A727" s="4"/>
      <c r="B727" s="4"/>
      <c r="C727" s="533"/>
      <c r="D727" s="4"/>
      <c r="E727" s="4"/>
      <c r="F727" s="4"/>
      <c r="G727" s="4"/>
      <c r="H727" s="4"/>
      <c r="I727" s="4"/>
      <c r="J727" s="4"/>
      <c r="K727" s="4"/>
      <c r="L727" s="4"/>
      <c r="M727" s="4"/>
      <c r="N727" s="4"/>
      <c r="O727" s="4"/>
      <c r="P727" s="4"/>
      <c r="Q727" s="4"/>
      <c r="R727" s="4"/>
      <c r="S727" s="4"/>
      <c r="T727" s="4"/>
      <c r="U727" s="4"/>
      <c r="V727" s="4"/>
      <c r="W727" s="4"/>
      <c r="X727" s="4"/>
      <c r="Y727" s="4"/>
      <c r="Z727" s="4"/>
      <c r="AA727" s="4"/>
      <c r="AB727" s="4"/>
      <c r="AC727" s="4"/>
      <c r="AD727" s="4"/>
      <c r="AE727" s="4"/>
      <c r="AF727" s="4"/>
      <c r="AG727" s="4"/>
      <c r="AH727" s="4"/>
      <c r="AI727" s="4"/>
      <c r="AJ727" s="4"/>
      <c r="AK727" s="4"/>
      <c r="AL727" s="4"/>
      <c r="AM727" s="4"/>
      <c r="AN727" s="4"/>
      <c r="AO727" s="4"/>
      <c r="AP727" s="4"/>
      <c r="AQ727" s="4"/>
      <c r="AR727" s="4"/>
      <c r="AS727" s="4"/>
      <c r="AT727" s="4"/>
      <c r="AU727" s="4"/>
      <c r="AV727" s="4"/>
      <c r="AW727" s="4"/>
      <c r="AX727" s="4"/>
      <c r="AY727" s="4"/>
      <c r="AZ727" s="4"/>
      <c r="BA727" s="4"/>
      <c r="BB727" s="4"/>
      <c r="BC727" s="4"/>
      <c r="BD727" s="4"/>
      <c r="BE727" s="4"/>
      <c r="BF727" s="4"/>
      <c r="BG727" s="4"/>
      <c r="BH727" s="4"/>
      <c r="BI727" s="4"/>
      <c r="BJ727" s="4"/>
      <c r="BK727" s="4"/>
      <c r="BL727" s="4"/>
      <c r="BM727" s="4"/>
      <c r="BN727" s="4"/>
    </row>
    <row r="728" ht="13.5" customHeight="1" spans="1:66" x14ac:dyDescent="0.25">
      <c r="A728" s="4"/>
      <c r="B728" s="4"/>
      <c r="C728" s="533"/>
      <c r="D728" s="4"/>
      <c r="E728" s="4"/>
      <c r="F728" s="4"/>
      <c r="G728" s="4"/>
      <c r="H728" s="4"/>
      <c r="I728" s="4"/>
      <c r="J728" s="4"/>
      <c r="K728" s="4"/>
      <c r="L728" s="4"/>
      <c r="M728" s="4"/>
      <c r="N728" s="4"/>
      <c r="O728" s="4"/>
      <c r="P728" s="4"/>
      <c r="Q728" s="4"/>
      <c r="R728" s="4"/>
      <c r="S728" s="4"/>
      <c r="T728" s="4"/>
      <c r="U728" s="4"/>
      <c r="V728" s="4"/>
      <c r="W728" s="4"/>
      <c r="X728" s="4"/>
      <c r="Y728" s="4"/>
      <c r="Z728" s="4"/>
      <c r="AA728" s="4"/>
      <c r="AB728" s="4"/>
      <c r="AC728" s="4"/>
      <c r="AD728" s="4"/>
      <c r="AE728" s="4"/>
      <c r="AF728" s="4"/>
      <c r="AG728" s="4"/>
      <c r="AH728" s="4"/>
      <c r="AI728" s="4"/>
      <c r="AJ728" s="4"/>
      <c r="AK728" s="4"/>
      <c r="AL728" s="4"/>
      <c r="AM728" s="4"/>
      <c r="AN728" s="4"/>
      <c r="AO728" s="4"/>
      <c r="AP728" s="4"/>
      <c r="AQ728" s="4"/>
      <c r="AR728" s="4"/>
      <c r="AS728" s="4"/>
      <c r="AT728" s="4"/>
      <c r="AU728" s="4"/>
      <c r="AV728" s="4"/>
      <c r="AW728" s="4"/>
      <c r="AX728" s="4"/>
      <c r="AY728" s="4"/>
      <c r="AZ728" s="4"/>
      <c r="BA728" s="4"/>
      <c r="BB728" s="4"/>
      <c r="BC728" s="4"/>
      <c r="BD728" s="4"/>
      <c r="BE728" s="4"/>
      <c r="BF728" s="4"/>
      <c r="BG728" s="4"/>
      <c r="BH728" s="4"/>
      <c r="BI728" s="4"/>
      <c r="BJ728" s="4"/>
      <c r="BK728" s="4"/>
      <c r="BL728" s="4"/>
      <c r="BM728" s="4"/>
      <c r="BN728" s="4"/>
    </row>
    <row r="729" ht="13.5" customHeight="1" spans="1:66" x14ac:dyDescent="0.25">
      <c r="A729" s="4"/>
      <c r="B729" s="4"/>
      <c r="C729" s="533"/>
      <c r="D729" s="4"/>
      <c r="E729" s="4"/>
      <c r="F729" s="4"/>
      <c r="G729" s="4"/>
      <c r="H729" s="4"/>
      <c r="I729" s="4"/>
      <c r="J729" s="4"/>
      <c r="K729" s="4"/>
      <c r="L729" s="4"/>
      <c r="M729" s="4"/>
      <c r="N729" s="4"/>
      <c r="O729" s="4"/>
      <c r="P729" s="4"/>
      <c r="Q729" s="4"/>
      <c r="R729" s="4"/>
      <c r="S729" s="4"/>
      <c r="T729" s="4"/>
      <c r="U729" s="4"/>
      <c r="V729" s="4"/>
      <c r="W729" s="4"/>
      <c r="X729" s="4"/>
      <c r="Y729" s="4"/>
      <c r="Z729" s="4"/>
      <c r="AA729" s="4"/>
      <c r="AB729" s="4"/>
      <c r="AC729" s="4"/>
      <c r="AD729" s="4"/>
      <c r="AE729" s="4"/>
      <c r="AF729" s="4"/>
      <c r="AG729" s="4"/>
      <c r="AH729" s="4"/>
      <c r="AI729" s="4"/>
      <c r="AJ729" s="4"/>
      <c r="AK729" s="4"/>
      <c r="AL729" s="4"/>
      <c r="AM729" s="4"/>
      <c r="AN729" s="4"/>
      <c r="AO729" s="4"/>
      <c r="AP729" s="4"/>
      <c r="AQ729" s="4"/>
      <c r="AR729" s="4"/>
      <c r="AS729" s="4"/>
      <c r="AT729" s="4"/>
      <c r="AU729" s="4"/>
      <c r="AV729" s="4"/>
      <c r="AW729" s="4"/>
      <c r="AX729" s="4"/>
      <c r="AY729" s="4"/>
      <c r="AZ729" s="4"/>
      <c r="BA729" s="4"/>
      <c r="BB729" s="4"/>
      <c r="BC729" s="4"/>
      <c r="BD729" s="4"/>
      <c r="BE729" s="4"/>
      <c r="BF729" s="4"/>
      <c r="BG729" s="4"/>
      <c r="BH729" s="4"/>
      <c r="BI729" s="4"/>
      <c r="BJ729" s="4"/>
      <c r="BK729" s="4"/>
      <c r="BL729" s="4"/>
      <c r="BM729" s="4"/>
      <c r="BN729" s="4"/>
    </row>
    <row r="730" ht="13.5" customHeight="1" spans="1:66" x14ac:dyDescent="0.25">
      <c r="A730" s="4"/>
      <c r="B730" s="4"/>
      <c r="C730" s="533"/>
      <c r="D730" s="4"/>
      <c r="E730" s="4"/>
      <c r="F730" s="4"/>
      <c r="G730" s="4"/>
      <c r="H730" s="4"/>
      <c r="I730" s="4"/>
      <c r="J730" s="4"/>
      <c r="K730" s="4"/>
      <c r="L730" s="4"/>
      <c r="M730" s="4"/>
      <c r="N730" s="4"/>
      <c r="O730" s="4"/>
      <c r="P730" s="4"/>
      <c r="Q730" s="4"/>
      <c r="R730" s="4"/>
      <c r="S730" s="4"/>
      <c r="T730" s="4"/>
      <c r="U730" s="4"/>
      <c r="V730" s="4"/>
      <c r="W730" s="4"/>
      <c r="X730" s="4"/>
      <c r="Y730" s="4"/>
      <c r="Z730" s="4"/>
      <c r="AA730" s="4"/>
      <c r="AB730" s="4"/>
      <c r="AC730" s="4"/>
      <c r="AD730" s="4"/>
      <c r="AE730" s="4"/>
      <c r="AF730" s="4"/>
      <c r="AG730" s="4"/>
      <c r="AH730" s="4"/>
      <c r="AI730" s="4"/>
      <c r="AJ730" s="4"/>
      <c r="AK730" s="4"/>
      <c r="AL730" s="4"/>
      <c r="AM730" s="4"/>
      <c r="AN730" s="4"/>
      <c r="AO730" s="4"/>
      <c r="AP730" s="4"/>
      <c r="AQ730" s="4"/>
      <c r="AR730" s="4"/>
      <c r="AS730" s="4"/>
      <c r="AT730" s="4"/>
      <c r="AU730" s="4"/>
      <c r="AV730" s="4"/>
      <c r="AW730" s="4"/>
      <c r="AX730" s="4"/>
      <c r="AY730" s="4"/>
      <c r="AZ730" s="4"/>
      <c r="BA730" s="4"/>
      <c r="BB730" s="4"/>
      <c r="BC730" s="4"/>
      <c r="BD730" s="4"/>
      <c r="BE730" s="4"/>
      <c r="BF730" s="4"/>
      <c r="BG730" s="4"/>
      <c r="BH730" s="4"/>
      <c r="BI730" s="4"/>
      <c r="BJ730" s="4"/>
      <c r="BK730" s="4"/>
      <c r="BL730" s="4"/>
      <c r="BM730" s="4"/>
      <c r="BN730" s="4"/>
    </row>
    <row r="731" ht="13.5" customHeight="1" spans="1:66" x14ac:dyDescent="0.25">
      <c r="A731" s="4"/>
      <c r="B731" s="4"/>
      <c r="C731" s="533"/>
      <c r="D731" s="4"/>
      <c r="E731" s="4"/>
      <c r="F731" s="4"/>
      <c r="G731" s="4"/>
      <c r="H731" s="4"/>
      <c r="I731" s="4"/>
      <c r="J731" s="4"/>
      <c r="K731" s="4"/>
      <c r="L731" s="4"/>
      <c r="M731" s="4"/>
      <c r="N731" s="4"/>
      <c r="O731" s="4"/>
      <c r="P731" s="4"/>
      <c r="Q731" s="4"/>
      <c r="R731" s="4"/>
      <c r="S731" s="4"/>
      <c r="T731" s="4"/>
      <c r="U731" s="4"/>
      <c r="V731" s="4"/>
      <c r="W731" s="4"/>
      <c r="X731" s="4"/>
      <c r="Y731" s="4"/>
      <c r="Z731" s="4"/>
      <c r="AA731" s="4"/>
      <c r="AB731" s="4"/>
      <c r="AC731" s="4"/>
      <c r="AD731" s="4"/>
      <c r="AE731" s="4"/>
      <c r="AF731" s="4"/>
      <c r="AG731" s="4"/>
      <c r="AH731" s="4"/>
      <c r="AI731" s="4"/>
      <c r="AJ731" s="4"/>
      <c r="AK731" s="4"/>
      <c r="AL731" s="4"/>
      <c r="AM731" s="4"/>
      <c r="AN731" s="4"/>
      <c r="AO731" s="4"/>
      <c r="AP731" s="4"/>
      <c r="AQ731" s="4"/>
      <c r="AR731" s="4"/>
      <c r="AS731" s="4"/>
      <c r="AT731" s="4"/>
      <c r="AU731" s="4"/>
      <c r="AV731" s="4"/>
      <c r="AW731" s="4"/>
      <c r="AX731" s="4"/>
      <c r="AY731" s="4"/>
      <c r="AZ731" s="4"/>
      <c r="BA731" s="4"/>
      <c r="BB731" s="4"/>
      <c r="BC731" s="4"/>
      <c r="BD731" s="4"/>
      <c r="BE731" s="4"/>
      <c r="BF731" s="4"/>
      <c r="BG731" s="4"/>
      <c r="BH731" s="4"/>
      <c r="BI731" s="4"/>
      <c r="BJ731" s="4"/>
      <c r="BK731" s="4"/>
      <c r="BL731" s="4"/>
      <c r="BM731" s="4"/>
      <c r="BN731" s="4"/>
    </row>
    <row r="732" ht="13.5" customHeight="1" spans="1:66" x14ac:dyDescent="0.25">
      <c r="A732" s="4"/>
      <c r="B732" s="4"/>
      <c r="C732" s="533"/>
      <c r="D732" s="4"/>
      <c r="E732" s="4"/>
      <c r="F732" s="4"/>
      <c r="G732" s="4"/>
      <c r="H732" s="4"/>
      <c r="I732" s="4"/>
      <c r="J732" s="4"/>
      <c r="K732" s="4"/>
      <c r="L732" s="4"/>
      <c r="M732" s="4"/>
      <c r="N732" s="4"/>
      <c r="O732" s="4"/>
      <c r="P732" s="4"/>
      <c r="Q732" s="4"/>
      <c r="R732" s="4"/>
      <c r="S732" s="4"/>
      <c r="T732" s="4"/>
      <c r="U732" s="4"/>
      <c r="V732" s="4"/>
      <c r="W732" s="4"/>
      <c r="X732" s="4"/>
      <c r="Y732" s="4"/>
      <c r="Z732" s="4"/>
      <c r="AA732" s="4"/>
      <c r="AB732" s="4"/>
      <c r="AC732" s="4"/>
      <c r="AD732" s="4"/>
      <c r="AE732" s="4"/>
      <c r="AF732" s="4"/>
      <c r="AG732" s="4"/>
      <c r="AH732" s="4"/>
      <c r="AI732" s="4"/>
      <c r="AJ732" s="4"/>
      <c r="AK732" s="4"/>
      <c r="AL732" s="4"/>
      <c r="AM732" s="4"/>
      <c r="AN732" s="4"/>
      <c r="AO732" s="4"/>
      <c r="AP732" s="4"/>
      <c r="AQ732" s="4"/>
      <c r="AR732" s="4"/>
      <c r="AS732" s="4"/>
      <c r="AT732" s="4"/>
      <c r="AU732" s="4"/>
      <c r="AV732" s="4"/>
      <c r="AW732" s="4"/>
      <c r="AX732" s="4"/>
      <c r="AY732" s="4"/>
      <c r="AZ732" s="4"/>
      <c r="BA732" s="4"/>
      <c r="BB732" s="4"/>
      <c r="BC732" s="4"/>
      <c r="BD732" s="4"/>
      <c r="BE732" s="4"/>
      <c r="BF732" s="4"/>
      <c r="BG732" s="4"/>
      <c r="BH732" s="4"/>
      <c r="BI732" s="4"/>
      <c r="BJ732" s="4"/>
      <c r="BK732" s="4"/>
      <c r="BL732" s="4"/>
      <c r="BM732" s="4"/>
      <c r="BN732" s="4"/>
    </row>
    <row r="733" ht="13.5" customHeight="1" spans="1:66" x14ac:dyDescent="0.25">
      <c r="A733" s="4"/>
      <c r="B733" s="4"/>
      <c r="C733" s="533"/>
      <c r="D733" s="4"/>
      <c r="E733" s="4"/>
      <c r="F733" s="4"/>
      <c r="G733" s="4"/>
      <c r="H733" s="4"/>
      <c r="I733" s="4"/>
      <c r="J733" s="4"/>
      <c r="K733" s="4"/>
      <c r="L733" s="4"/>
      <c r="M733" s="4"/>
      <c r="N733" s="4"/>
      <c r="O733" s="4"/>
      <c r="P733" s="4"/>
      <c r="Q733" s="4"/>
      <c r="R733" s="4"/>
      <c r="S733" s="4"/>
      <c r="T733" s="4"/>
      <c r="U733" s="4"/>
      <c r="V733" s="4"/>
      <c r="W733" s="4"/>
      <c r="X733" s="4"/>
      <c r="Y733" s="4"/>
      <c r="Z733" s="4"/>
      <c r="AA733" s="4"/>
      <c r="AB733" s="4"/>
      <c r="AC733" s="4"/>
      <c r="AD733" s="4"/>
      <c r="AE733" s="4"/>
      <c r="AF733" s="4"/>
      <c r="AG733" s="4"/>
      <c r="AH733" s="4"/>
      <c r="AI733" s="4"/>
      <c r="AJ733" s="4"/>
      <c r="AK733" s="4"/>
      <c r="AL733" s="4"/>
      <c r="AM733" s="4"/>
      <c r="AN733" s="4"/>
      <c r="AO733" s="4"/>
      <c r="AP733" s="4"/>
      <c r="AQ733" s="4"/>
      <c r="AR733" s="4"/>
      <c r="AS733" s="4"/>
      <c r="AT733" s="4"/>
      <c r="AU733" s="4"/>
      <c r="AV733" s="4"/>
      <c r="AW733" s="4"/>
      <c r="AX733" s="4"/>
      <c r="AY733" s="4"/>
      <c r="AZ733" s="4"/>
      <c r="BA733" s="4"/>
      <c r="BB733" s="4"/>
      <c r="BC733" s="4"/>
      <c r="BD733" s="4"/>
      <c r="BE733" s="4"/>
      <c r="BF733" s="4"/>
      <c r="BG733" s="4"/>
      <c r="BH733" s="4"/>
      <c r="BI733" s="4"/>
      <c r="BJ733" s="4"/>
      <c r="BK733" s="4"/>
      <c r="BL733" s="4"/>
      <c r="BM733" s="4"/>
      <c r="BN733" s="4"/>
    </row>
    <row r="734" ht="13.5" customHeight="1" spans="1:66" x14ac:dyDescent="0.25">
      <c r="A734" s="4"/>
      <c r="B734" s="4"/>
      <c r="C734" s="533"/>
      <c r="D734" s="4"/>
      <c r="E734" s="4"/>
      <c r="F734" s="4"/>
      <c r="G734" s="4"/>
      <c r="H734" s="4"/>
      <c r="I734" s="4"/>
      <c r="J734" s="4"/>
      <c r="K734" s="4"/>
      <c r="L734" s="4"/>
      <c r="M734" s="4"/>
      <c r="N734" s="4"/>
      <c r="O734" s="4"/>
      <c r="P734" s="4"/>
      <c r="Q734" s="4"/>
      <c r="R734" s="4"/>
      <c r="S734" s="4"/>
      <c r="T734" s="4"/>
      <c r="U734" s="4"/>
      <c r="V734" s="4"/>
      <c r="W734" s="4"/>
      <c r="X734" s="4"/>
      <c r="Y734" s="4"/>
      <c r="Z734" s="4"/>
      <c r="AA734" s="4"/>
      <c r="AB734" s="4"/>
      <c r="AC734" s="4"/>
      <c r="AD734" s="4"/>
      <c r="AE734" s="4"/>
      <c r="AF734" s="4"/>
      <c r="AG734" s="4"/>
      <c r="AH734" s="4"/>
      <c r="AI734" s="4"/>
      <c r="AJ734" s="4"/>
      <c r="AK734" s="4"/>
      <c r="AL734" s="4"/>
      <c r="AM734" s="4"/>
      <c r="AN734" s="4"/>
      <c r="AO734" s="4"/>
      <c r="AP734" s="4"/>
      <c r="AQ734" s="4"/>
      <c r="AR734" s="4"/>
      <c r="AS734" s="4"/>
      <c r="AT734" s="4"/>
      <c r="AU734" s="4"/>
      <c r="AV734" s="4"/>
      <c r="AW734" s="4"/>
      <c r="AX734" s="4"/>
      <c r="AY734" s="4"/>
      <c r="AZ734" s="4"/>
      <c r="BA734" s="4"/>
      <c r="BB734" s="4"/>
      <c r="BC734" s="4"/>
      <c r="BD734" s="4"/>
      <c r="BE734" s="4"/>
      <c r="BF734" s="4"/>
      <c r="BG734" s="4"/>
      <c r="BH734" s="4"/>
      <c r="BI734" s="4"/>
      <c r="BJ734" s="4"/>
      <c r="BK734" s="4"/>
      <c r="BL734" s="4"/>
      <c r="BM734" s="4"/>
      <c r="BN734" s="4"/>
    </row>
    <row r="735" ht="13.5" customHeight="1" spans="1:66" x14ac:dyDescent="0.25">
      <c r="A735" s="4"/>
      <c r="B735" s="4"/>
      <c r="C735" s="533"/>
      <c r="D735" s="4"/>
      <c r="E735" s="4"/>
      <c r="F735" s="4"/>
      <c r="G735" s="4"/>
      <c r="H735" s="4"/>
      <c r="I735" s="4"/>
      <c r="J735" s="4"/>
      <c r="K735" s="4"/>
      <c r="L735" s="4"/>
      <c r="M735" s="4"/>
      <c r="N735" s="4"/>
      <c r="O735" s="4"/>
      <c r="P735" s="4"/>
      <c r="Q735" s="4"/>
      <c r="R735" s="4"/>
      <c r="S735" s="4"/>
      <c r="T735" s="4"/>
      <c r="U735" s="4"/>
      <c r="V735" s="4"/>
      <c r="W735" s="4"/>
      <c r="X735" s="4"/>
      <c r="Y735" s="4"/>
      <c r="Z735" s="4"/>
      <c r="AA735" s="4"/>
      <c r="AB735" s="4"/>
      <c r="AC735" s="4"/>
      <c r="AD735" s="4"/>
      <c r="AE735" s="4"/>
      <c r="AF735" s="4"/>
      <c r="AG735" s="4"/>
      <c r="AH735" s="4"/>
      <c r="AI735" s="4"/>
      <c r="AJ735" s="4"/>
      <c r="AK735" s="4"/>
      <c r="AL735" s="4"/>
      <c r="AM735" s="4"/>
      <c r="AN735" s="4"/>
      <c r="AO735" s="4"/>
      <c r="AP735" s="4"/>
      <c r="AQ735" s="4"/>
      <c r="AR735" s="4"/>
      <c r="AS735" s="4"/>
      <c r="AT735" s="4"/>
      <c r="AU735" s="4"/>
      <c r="AV735" s="4"/>
      <c r="AW735" s="4"/>
      <c r="AX735" s="4"/>
      <c r="AY735" s="4"/>
      <c r="AZ735" s="4"/>
      <c r="BA735" s="4"/>
      <c r="BB735" s="4"/>
      <c r="BC735" s="4"/>
      <c r="BD735" s="4"/>
      <c r="BE735" s="4"/>
      <c r="BF735" s="4"/>
      <c r="BG735" s="4"/>
      <c r="BH735" s="4"/>
      <c r="BI735" s="4"/>
      <c r="BJ735" s="4"/>
      <c r="BK735" s="4"/>
      <c r="BL735" s="4"/>
      <c r="BM735" s="4"/>
      <c r="BN735" s="4"/>
    </row>
    <row r="736" ht="13.5" customHeight="1" spans="1:66" x14ac:dyDescent="0.25">
      <c r="A736" s="4"/>
      <c r="B736" s="4"/>
      <c r="C736" s="533"/>
      <c r="D736" s="4"/>
      <c r="E736" s="4"/>
      <c r="F736" s="4"/>
      <c r="G736" s="4"/>
      <c r="H736" s="4"/>
      <c r="I736" s="4"/>
      <c r="J736" s="4"/>
      <c r="K736" s="4"/>
      <c r="L736" s="4"/>
      <c r="M736" s="4"/>
      <c r="N736" s="4"/>
      <c r="O736" s="4"/>
      <c r="P736" s="4"/>
      <c r="Q736" s="4"/>
      <c r="R736" s="4"/>
      <c r="S736" s="4"/>
      <c r="T736" s="4"/>
      <c r="U736" s="4"/>
      <c r="V736" s="4"/>
      <c r="W736" s="4"/>
      <c r="X736" s="4"/>
      <c r="Y736" s="4"/>
      <c r="Z736" s="4"/>
      <c r="AA736" s="4"/>
      <c r="AB736" s="4"/>
      <c r="AC736" s="4"/>
      <c r="AD736" s="4"/>
      <c r="AE736" s="4"/>
      <c r="AF736" s="4"/>
      <c r="AG736" s="4"/>
      <c r="AH736" s="4"/>
      <c r="AI736" s="4"/>
      <c r="AJ736" s="4"/>
      <c r="AK736" s="4"/>
      <c r="AL736" s="4"/>
      <c r="AM736" s="4"/>
      <c r="AN736" s="4"/>
      <c r="AO736" s="4"/>
      <c r="AP736" s="4"/>
      <c r="AQ736" s="4"/>
      <c r="AR736" s="4"/>
      <c r="AS736" s="4"/>
      <c r="AT736" s="4"/>
      <c r="AU736" s="4"/>
      <c r="AV736" s="4"/>
      <c r="AW736" s="4"/>
      <c r="AX736" s="4"/>
      <c r="AY736" s="4"/>
      <c r="AZ736" s="4"/>
      <c r="BA736" s="4"/>
      <c r="BB736" s="4"/>
      <c r="BC736" s="4"/>
      <c r="BD736" s="4"/>
      <c r="BE736" s="4"/>
      <c r="BF736" s="4"/>
      <c r="BG736" s="4"/>
      <c r="BH736" s="4"/>
      <c r="BI736" s="4"/>
      <c r="BJ736" s="4"/>
      <c r="BK736" s="4"/>
      <c r="BL736" s="4"/>
      <c r="BM736" s="4"/>
      <c r="BN736" s="4"/>
    </row>
    <row r="737" ht="13.5" customHeight="1" spans="1:66" x14ac:dyDescent="0.25">
      <c r="A737" s="4"/>
      <c r="B737" s="4"/>
      <c r="C737" s="533"/>
      <c r="D737" s="4"/>
      <c r="E737" s="4"/>
      <c r="F737" s="4"/>
      <c r="G737" s="4"/>
      <c r="H737" s="4"/>
      <c r="I737" s="4"/>
      <c r="J737" s="4"/>
      <c r="K737" s="4"/>
      <c r="L737" s="4"/>
      <c r="M737" s="4"/>
      <c r="N737" s="4"/>
      <c r="O737" s="4"/>
      <c r="P737" s="4"/>
      <c r="Q737" s="4"/>
      <c r="R737" s="4"/>
      <c r="S737" s="4"/>
      <c r="T737" s="4"/>
      <c r="U737" s="4"/>
      <c r="V737" s="4"/>
      <c r="W737" s="4"/>
      <c r="X737" s="4"/>
      <c r="Y737" s="4"/>
      <c r="Z737" s="4"/>
      <c r="AA737" s="4"/>
      <c r="AB737" s="4"/>
      <c r="AC737" s="4"/>
      <c r="AD737" s="4"/>
      <c r="AE737" s="4"/>
      <c r="AF737" s="4"/>
      <c r="AG737" s="4"/>
      <c r="AH737" s="4"/>
      <c r="AI737" s="4"/>
      <c r="AJ737" s="4"/>
      <c r="AK737" s="4"/>
      <c r="AL737" s="4"/>
      <c r="AM737" s="4"/>
      <c r="AN737" s="4"/>
      <c r="AO737" s="4"/>
      <c r="AP737" s="4"/>
      <c r="AQ737" s="4"/>
      <c r="AR737" s="4"/>
      <c r="AS737" s="4"/>
      <c r="AT737" s="4"/>
      <c r="AU737" s="4"/>
      <c r="AV737" s="4"/>
      <c r="AW737" s="4"/>
      <c r="AX737" s="4"/>
      <c r="AY737" s="4"/>
      <c r="AZ737" s="4"/>
      <c r="BA737" s="4"/>
      <c r="BB737" s="4"/>
      <c r="BC737" s="4"/>
      <c r="BD737" s="4"/>
      <c r="BE737" s="4"/>
      <c r="BF737" s="4"/>
      <c r="BG737" s="4"/>
      <c r="BH737" s="4"/>
      <c r="BI737" s="4"/>
      <c r="BJ737" s="4"/>
      <c r="BK737" s="4"/>
      <c r="BL737" s="4"/>
      <c r="BM737" s="4"/>
      <c r="BN737" s="4"/>
    </row>
    <row r="738" ht="13.5" customHeight="1" spans="1:66" x14ac:dyDescent="0.25">
      <c r="A738" s="4"/>
      <c r="B738" s="4"/>
      <c r="C738" s="533"/>
      <c r="D738" s="4"/>
      <c r="E738" s="4"/>
      <c r="F738" s="4"/>
      <c r="G738" s="4"/>
      <c r="H738" s="4"/>
      <c r="I738" s="4"/>
      <c r="J738" s="4"/>
      <c r="K738" s="4"/>
      <c r="L738" s="4"/>
      <c r="M738" s="4"/>
      <c r="N738" s="4"/>
      <c r="O738" s="4"/>
      <c r="P738" s="4"/>
      <c r="Q738" s="4"/>
      <c r="R738" s="4"/>
      <c r="S738" s="4"/>
      <c r="T738" s="4"/>
      <c r="U738" s="4"/>
      <c r="V738" s="4"/>
      <c r="W738" s="4"/>
      <c r="X738" s="4"/>
      <c r="Y738" s="4"/>
      <c r="Z738" s="4"/>
      <c r="AA738" s="4"/>
      <c r="AB738" s="4"/>
      <c r="AC738" s="4"/>
      <c r="AD738" s="4"/>
      <c r="AE738" s="4"/>
      <c r="AF738" s="4"/>
      <c r="AG738" s="4"/>
      <c r="AH738" s="4"/>
      <c r="AI738" s="4"/>
      <c r="AJ738" s="4"/>
      <c r="AK738" s="4"/>
      <c r="AL738" s="4"/>
      <c r="AM738" s="4"/>
      <c r="AN738" s="4"/>
      <c r="AO738" s="4"/>
      <c r="AP738" s="4"/>
      <c r="AQ738" s="4"/>
      <c r="AR738" s="4"/>
      <c r="AS738" s="4"/>
      <c r="AT738" s="4"/>
      <c r="AU738" s="4"/>
      <c r="AV738" s="4"/>
      <c r="AW738" s="4"/>
      <c r="AX738" s="4"/>
      <c r="AY738" s="4"/>
      <c r="AZ738" s="4"/>
      <c r="BA738" s="4"/>
      <c r="BB738" s="4"/>
      <c r="BC738" s="4"/>
      <c r="BD738" s="4"/>
      <c r="BE738" s="4"/>
      <c r="BF738" s="4"/>
      <c r="BG738" s="4"/>
      <c r="BH738" s="4"/>
      <c r="BI738" s="4"/>
      <c r="BJ738" s="4"/>
      <c r="BK738" s="4"/>
      <c r="BL738" s="4"/>
      <c r="BM738" s="4"/>
      <c r="BN738" s="4"/>
    </row>
    <row r="739" ht="13.5" customHeight="1" spans="1:66" x14ac:dyDescent="0.25">
      <c r="A739" s="4"/>
      <c r="B739" s="4"/>
      <c r="C739" s="533"/>
      <c r="D739" s="4"/>
      <c r="E739" s="4"/>
      <c r="F739" s="4"/>
      <c r="G739" s="4"/>
      <c r="H739" s="4"/>
      <c r="I739" s="4"/>
      <c r="J739" s="4"/>
      <c r="K739" s="4"/>
      <c r="L739" s="4"/>
      <c r="M739" s="4"/>
      <c r="N739" s="4"/>
      <c r="O739" s="4"/>
      <c r="P739" s="4"/>
      <c r="Q739" s="4"/>
      <c r="R739" s="4"/>
      <c r="S739" s="4"/>
      <c r="T739" s="4"/>
      <c r="U739" s="4"/>
      <c r="V739" s="4"/>
      <c r="W739" s="4"/>
      <c r="X739" s="4"/>
      <c r="Y739" s="4"/>
      <c r="Z739" s="4"/>
      <c r="AA739" s="4"/>
      <c r="AB739" s="4"/>
      <c r="AC739" s="4"/>
      <c r="AD739" s="4"/>
      <c r="AE739" s="4"/>
      <c r="AF739" s="4"/>
      <c r="AG739" s="4"/>
      <c r="AH739" s="4"/>
      <c r="AI739" s="4"/>
      <c r="AJ739" s="4"/>
      <c r="AK739" s="4"/>
      <c r="AL739" s="4"/>
      <c r="AM739" s="4"/>
      <c r="AN739" s="4"/>
      <c r="AO739" s="4"/>
      <c r="AP739" s="4"/>
      <c r="AQ739" s="4"/>
      <c r="AR739" s="4"/>
      <c r="AS739" s="4"/>
      <c r="AT739" s="4"/>
      <c r="AU739" s="4"/>
      <c r="AV739" s="4"/>
      <c r="AW739" s="4"/>
      <c r="AX739" s="4"/>
      <c r="AY739" s="4"/>
      <c r="AZ739" s="4"/>
      <c r="BA739" s="4"/>
      <c r="BB739" s="4"/>
      <c r="BC739" s="4"/>
      <c r="BD739" s="4"/>
      <c r="BE739" s="4"/>
      <c r="BF739" s="4"/>
      <c r="BG739" s="4"/>
      <c r="BH739" s="4"/>
      <c r="BI739" s="4"/>
      <c r="BJ739" s="4"/>
      <c r="BK739" s="4"/>
      <c r="BL739" s="4"/>
      <c r="BM739" s="4"/>
      <c r="BN739" s="4"/>
    </row>
    <row r="740" ht="13.5" customHeight="1" spans="1:66" x14ac:dyDescent="0.25">
      <c r="A740" s="4"/>
      <c r="B740" s="4"/>
      <c r="C740" s="533"/>
      <c r="D740" s="4"/>
      <c r="E740" s="4"/>
      <c r="F740" s="4"/>
      <c r="G740" s="4"/>
      <c r="H740" s="4"/>
      <c r="I740" s="4"/>
      <c r="J740" s="4"/>
      <c r="K740" s="4"/>
      <c r="L740" s="4"/>
      <c r="M740" s="4"/>
      <c r="N740" s="4"/>
      <c r="O740" s="4"/>
      <c r="P740" s="4"/>
      <c r="Q740" s="4"/>
      <c r="R740" s="4"/>
      <c r="S740" s="4"/>
      <c r="T740" s="4"/>
      <c r="U740" s="4"/>
      <c r="V740" s="4"/>
      <c r="W740" s="4"/>
      <c r="X740" s="4"/>
      <c r="Y740" s="4"/>
      <c r="Z740" s="4"/>
      <c r="AA740" s="4"/>
      <c r="AB740" s="4"/>
      <c r="AC740" s="4"/>
      <c r="AD740" s="4"/>
      <c r="AE740" s="4"/>
      <c r="AF740" s="4"/>
      <c r="AG740" s="4"/>
      <c r="AH740" s="4"/>
      <c r="AI740" s="4"/>
      <c r="AJ740" s="4"/>
      <c r="AK740" s="4"/>
      <c r="AL740" s="4"/>
      <c r="AM740" s="4"/>
      <c r="AN740" s="4"/>
      <c r="AO740" s="4"/>
      <c r="AP740" s="4"/>
      <c r="AQ740" s="4"/>
      <c r="AR740" s="4"/>
      <c r="AS740" s="4"/>
      <c r="AT740" s="4"/>
      <c r="AU740" s="4"/>
      <c r="AV740" s="4"/>
      <c r="AW740" s="4"/>
      <c r="AX740" s="4"/>
      <c r="AY740" s="4"/>
      <c r="AZ740" s="4"/>
      <c r="BA740" s="4"/>
      <c r="BB740" s="4"/>
      <c r="BC740" s="4"/>
      <c r="BD740" s="4"/>
      <c r="BE740" s="4"/>
      <c r="BF740" s="4"/>
      <c r="BG740" s="4"/>
      <c r="BH740" s="4"/>
      <c r="BI740" s="4"/>
      <c r="BJ740" s="4"/>
      <c r="BK740" s="4"/>
      <c r="BL740" s="4"/>
      <c r="BM740" s="4"/>
      <c r="BN740" s="4"/>
    </row>
    <row r="741" ht="13.5" customHeight="1" spans="1:66" x14ac:dyDescent="0.25">
      <c r="A741" s="4"/>
      <c r="B741" s="4"/>
      <c r="C741" s="533"/>
      <c r="D741" s="4"/>
      <c r="E741" s="4"/>
      <c r="F741" s="4"/>
      <c r="G741" s="4"/>
      <c r="H741" s="4"/>
      <c r="I741" s="4"/>
      <c r="J741" s="4"/>
      <c r="K741" s="4"/>
      <c r="L741" s="4"/>
      <c r="M741" s="4"/>
      <c r="N741" s="4"/>
      <c r="O741" s="4"/>
      <c r="P741" s="4"/>
      <c r="Q741" s="4"/>
      <c r="R741" s="4"/>
      <c r="S741" s="4"/>
      <c r="T741" s="4"/>
      <c r="U741" s="4"/>
      <c r="V741" s="4"/>
      <c r="W741" s="4"/>
      <c r="X741" s="4"/>
      <c r="Y741" s="4"/>
      <c r="Z741" s="4"/>
      <c r="AA741" s="4"/>
      <c r="AB741" s="4"/>
      <c r="AC741" s="4"/>
      <c r="AD741" s="4"/>
      <c r="AE741" s="4"/>
      <c r="AF741" s="4"/>
      <c r="AG741" s="4"/>
      <c r="AH741" s="4"/>
      <c r="AI741" s="4"/>
      <c r="AJ741" s="4"/>
      <c r="AK741" s="4"/>
      <c r="AL741" s="4"/>
      <c r="AM741" s="4"/>
      <c r="AN741" s="4"/>
      <c r="AO741" s="4"/>
      <c r="AP741" s="4"/>
      <c r="AQ741" s="4"/>
      <c r="AR741" s="4"/>
      <c r="AS741" s="4"/>
      <c r="AT741" s="4"/>
      <c r="AU741" s="4"/>
      <c r="AV741" s="4"/>
      <c r="AW741" s="4"/>
      <c r="AX741" s="4"/>
      <c r="AY741" s="4"/>
      <c r="AZ741" s="4"/>
      <c r="BA741" s="4"/>
      <c r="BB741" s="4"/>
      <c r="BC741" s="4"/>
      <c r="BD741" s="4"/>
      <c r="BE741" s="4"/>
      <c r="BF741" s="4"/>
      <c r="BG741" s="4"/>
      <c r="BH741" s="4"/>
      <c r="BI741" s="4"/>
      <c r="BJ741" s="4"/>
      <c r="BK741" s="4"/>
      <c r="BL741" s="4"/>
      <c r="BM741" s="4"/>
      <c r="BN741" s="4"/>
    </row>
    <row r="742" ht="13.5" customHeight="1" spans="1:66" x14ac:dyDescent="0.25">
      <c r="A742" s="4"/>
      <c r="B742" s="4"/>
      <c r="C742" s="533"/>
      <c r="D742" s="4"/>
      <c r="E742" s="4"/>
      <c r="F742" s="4"/>
      <c r="G742" s="4"/>
      <c r="H742" s="4"/>
      <c r="I742" s="4"/>
      <c r="J742" s="4"/>
      <c r="K742" s="4"/>
      <c r="L742" s="4"/>
      <c r="M742" s="4"/>
      <c r="N742" s="4"/>
      <c r="O742" s="4"/>
      <c r="P742" s="4"/>
      <c r="Q742" s="4"/>
      <c r="R742" s="4"/>
      <c r="S742" s="4"/>
      <c r="T742" s="4"/>
      <c r="U742" s="4"/>
      <c r="V742" s="4"/>
      <c r="W742" s="4"/>
      <c r="X742" s="4"/>
      <c r="Y742" s="4"/>
      <c r="Z742" s="4"/>
      <c r="AA742" s="4"/>
      <c r="AB742" s="4"/>
      <c r="AC742" s="4"/>
      <c r="AD742" s="4"/>
      <c r="AE742" s="4"/>
      <c r="AF742" s="4"/>
      <c r="AG742" s="4"/>
      <c r="AH742" s="4"/>
      <c r="AI742" s="4"/>
      <c r="AJ742" s="4"/>
      <c r="AK742" s="4"/>
      <c r="AL742" s="4"/>
      <c r="AM742" s="4"/>
      <c r="AN742" s="4"/>
      <c r="AO742" s="4"/>
      <c r="AP742" s="4"/>
      <c r="AQ742" s="4"/>
      <c r="AR742" s="4"/>
      <c r="AS742" s="4"/>
      <c r="AT742" s="4"/>
      <c r="AU742" s="4"/>
      <c r="AV742" s="4"/>
      <c r="AW742" s="4"/>
      <c r="AX742" s="4"/>
      <c r="AY742" s="4"/>
      <c r="AZ742" s="4"/>
      <c r="BA742" s="4"/>
      <c r="BB742" s="4"/>
      <c r="BC742" s="4"/>
      <c r="BD742" s="4"/>
      <c r="BE742" s="4"/>
      <c r="BF742" s="4"/>
      <c r="BG742" s="4"/>
      <c r="BH742" s="4"/>
      <c r="BI742" s="4"/>
      <c r="BJ742" s="4"/>
      <c r="BK742" s="4"/>
      <c r="BL742" s="4"/>
      <c r="BM742" s="4"/>
      <c r="BN742" s="4"/>
    </row>
    <row r="743" ht="13.5" customHeight="1" spans="1:66" x14ac:dyDescent="0.25">
      <c r="A743" s="4"/>
      <c r="B743" s="4"/>
      <c r="C743" s="533"/>
      <c r="D743" s="4"/>
      <c r="E743" s="4"/>
      <c r="F743" s="4"/>
      <c r="G743" s="4"/>
      <c r="H743" s="4"/>
      <c r="I743" s="4"/>
      <c r="J743" s="4"/>
      <c r="K743" s="4"/>
      <c r="L743" s="4"/>
      <c r="M743" s="4"/>
      <c r="N743" s="4"/>
      <c r="O743" s="4"/>
      <c r="P743" s="4"/>
      <c r="Q743" s="4"/>
      <c r="R743" s="4"/>
      <c r="S743" s="4"/>
      <c r="T743" s="4"/>
      <c r="U743" s="4"/>
      <c r="V743" s="4"/>
      <c r="W743" s="4"/>
      <c r="X743" s="4"/>
      <c r="Y743" s="4"/>
      <c r="Z743" s="4"/>
      <c r="AA743" s="4"/>
      <c r="AB743" s="4"/>
      <c r="AC743" s="4"/>
      <c r="AD743" s="4"/>
      <c r="AE743" s="4"/>
      <c r="AF743" s="4"/>
      <c r="AG743" s="4"/>
      <c r="AH743" s="4"/>
      <c r="AI743" s="4"/>
      <c r="AJ743" s="4"/>
      <c r="AK743" s="4"/>
      <c r="AL743" s="4"/>
      <c r="AM743" s="4"/>
      <c r="AN743" s="4"/>
      <c r="AO743" s="4"/>
      <c r="AP743" s="4"/>
      <c r="AQ743" s="4"/>
      <c r="AR743" s="4"/>
      <c r="AS743" s="4"/>
      <c r="AT743" s="4"/>
      <c r="AU743" s="4"/>
      <c r="AV743" s="4"/>
      <c r="AW743" s="4"/>
      <c r="AX743" s="4"/>
      <c r="AY743" s="4"/>
      <c r="AZ743" s="4"/>
      <c r="BA743" s="4"/>
      <c r="BB743" s="4"/>
      <c r="BC743" s="4"/>
      <c r="BD743" s="4"/>
      <c r="BE743" s="4"/>
      <c r="BF743" s="4"/>
      <c r="BG743" s="4"/>
      <c r="BH743" s="4"/>
      <c r="BI743" s="4"/>
      <c r="BJ743" s="4"/>
      <c r="BK743" s="4"/>
      <c r="BL743" s="4"/>
      <c r="BM743" s="4"/>
      <c r="BN743" s="4"/>
    </row>
    <row r="744" ht="13.5" customHeight="1" spans="1:66" x14ac:dyDescent="0.25">
      <c r="A744" s="4"/>
      <c r="B744" s="4"/>
      <c r="C744" s="533"/>
      <c r="D744" s="4"/>
      <c r="E744" s="4"/>
      <c r="F744" s="4"/>
      <c r="G744" s="4"/>
      <c r="H744" s="4"/>
      <c r="I744" s="4"/>
      <c r="J744" s="4"/>
      <c r="K744" s="4"/>
      <c r="L744" s="4"/>
      <c r="M744" s="4"/>
      <c r="N744" s="4"/>
      <c r="O744" s="4"/>
      <c r="P744" s="4"/>
      <c r="Q744" s="4"/>
      <c r="R744" s="4"/>
      <c r="S744" s="4"/>
      <c r="T744" s="4"/>
      <c r="U744" s="4"/>
      <c r="V744" s="4"/>
      <c r="W744" s="4"/>
      <c r="X744" s="4"/>
      <c r="Y744" s="4"/>
      <c r="Z744" s="4"/>
      <c r="AA744" s="4"/>
      <c r="AB744" s="4"/>
      <c r="AC744" s="4"/>
      <c r="AD744" s="4"/>
      <c r="AE744" s="4"/>
      <c r="AF744" s="4"/>
      <c r="AG744" s="4"/>
      <c r="AH744" s="4"/>
      <c r="AI744" s="4"/>
      <c r="AJ744" s="4"/>
      <c r="AK744" s="4"/>
      <c r="AL744" s="4"/>
      <c r="AM744" s="4"/>
      <c r="AN744" s="4"/>
      <c r="AO744" s="4"/>
      <c r="AP744" s="4"/>
      <c r="AQ744" s="4"/>
      <c r="AR744" s="4"/>
      <c r="AS744" s="4"/>
      <c r="AT744" s="4"/>
      <c r="AU744" s="4"/>
      <c r="AV744" s="4"/>
      <c r="AW744" s="4"/>
      <c r="AX744" s="4"/>
      <c r="AY744" s="4"/>
      <c r="AZ744" s="4"/>
      <c r="BA744" s="4"/>
      <c r="BB744" s="4"/>
      <c r="BC744" s="4"/>
      <c r="BD744" s="4"/>
      <c r="BE744" s="4"/>
      <c r="BF744" s="4"/>
      <c r="BG744" s="4"/>
      <c r="BH744" s="4"/>
      <c r="BI744" s="4"/>
      <c r="BJ744" s="4"/>
      <c r="BK744" s="4"/>
      <c r="BL744" s="4"/>
      <c r="BM744" s="4"/>
      <c r="BN744" s="4"/>
    </row>
    <row r="745" ht="13.5" customHeight="1" spans="1:66" x14ac:dyDescent="0.25">
      <c r="A745" s="4"/>
      <c r="B745" s="4"/>
      <c r="C745" s="533"/>
      <c r="D745" s="4"/>
      <c r="E745" s="4"/>
      <c r="F745" s="4"/>
      <c r="G745" s="4"/>
      <c r="H745" s="4"/>
      <c r="I745" s="4"/>
      <c r="J745" s="4"/>
      <c r="K745" s="4"/>
      <c r="L745" s="4"/>
      <c r="M745" s="4"/>
      <c r="N745" s="4"/>
      <c r="O745" s="4"/>
      <c r="P745" s="4"/>
      <c r="Q745" s="4"/>
      <c r="R745" s="4"/>
      <c r="S745" s="4"/>
      <c r="T745" s="4"/>
      <c r="U745" s="4"/>
      <c r="V745" s="4"/>
      <c r="W745" s="4"/>
      <c r="X745" s="4"/>
      <c r="Y745" s="4"/>
      <c r="Z745" s="4"/>
      <c r="AA745" s="4"/>
      <c r="AB745" s="4"/>
      <c r="AC745" s="4"/>
      <c r="AD745" s="4"/>
      <c r="AE745" s="4"/>
      <c r="AF745" s="4"/>
      <c r="AG745" s="4"/>
      <c r="AH745" s="4"/>
      <c r="AI745" s="4"/>
      <c r="AJ745" s="4"/>
      <c r="AK745" s="4"/>
      <c r="AL745" s="4"/>
      <c r="AM745" s="4"/>
      <c r="AN745" s="4"/>
      <c r="AO745" s="4"/>
      <c r="AP745" s="4"/>
      <c r="AQ745" s="4"/>
      <c r="AR745" s="4"/>
      <c r="AS745" s="4"/>
      <c r="AT745" s="4"/>
      <c r="AU745" s="4"/>
      <c r="AV745" s="4"/>
      <c r="AW745" s="4"/>
      <c r="AX745" s="4"/>
      <c r="AY745" s="4"/>
      <c r="AZ745" s="4"/>
      <c r="BA745" s="4"/>
      <c r="BB745" s="4"/>
      <c r="BC745" s="4"/>
      <c r="BD745" s="4"/>
      <c r="BE745" s="4"/>
      <c r="BF745" s="4"/>
      <c r="BG745" s="4"/>
      <c r="BH745" s="4"/>
      <c r="BI745" s="4"/>
      <c r="BJ745" s="4"/>
      <c r="BK745" s="4"/>
      <c r="BL745" s="4"/>
      <c r="BM745" s="4"/>
      <c r="BN745" s="4"/>
    </row>
    <row r="746" ht="13.5" customHeight="1" spans="1:66" x14ac:dyDescent="0.25">
      <c r="A746" s="4"/>
      <c r="B746" s="4"/>
      <c r="C746" s="533"/>
      <c r="D746" s="4"/>
      <c r="E746" s="4"/>
      <c r="F746" s="4"/>
      <c r="G746" s="4"/>
      <c r="H746" s="4"/>
      <c r="I746" s="4"/>
      <c r="J746" s="4"/>
      <c r="K746" s="4"/>
      <c r="L746" s="4"/>
      <c r="M746" s="4"/>
      <c r="N746" s="4"/>
      <c r="O746" s="4"/>
      <c r="P746" s="4"/>
      <c r="Q746" s="4"/>
      <c r="R746" s="4"/>
      <c r="S746" s="4"/>
      <c r="T746" s="4"/>
      <c r="U746" s="4"/>
      <c r="V746" s="4"/>
      <c r="W746" s="4"/>
      <c r="X746" s="4"/>
      <c r="Y746" s="4"/>
      <c r="Z746" s="4"/>
      <c r="AA746" s="4"/>
      <c r="AB746" s="4"/>
      <c r="AC746" s="4"/>
      <c r="AD746" s="4"/>
      <c r="AE746" s="4"/>
      <c r="AF746" s="4"/>
      <c r="AG746" s="4"/>
      <c r="AH746" s="4"/>
      <c r="AI746" s="4"/>
      <c r="AJ746" s="4"/>
      <c r="AK746" s="4"/>
      <c r="AL746" s="4"/>
      <c r="AM746" s="4"/>
      <c r="AN746" s="4"/>
      <c r="AO746" s="4"/>
      <c r="AP746" s="4"/>
      <c r="AQ746" s="4"/>
      <c r="AR746" s="4"/>
      <c r="AS746" s="4"/>
      <c r="AT746" s="4"/>
      <c r="AU746" s="4"/>
      <c r="AV746" s="4"/>
      <c r="AW746" s="4"/>
      <c r="AX746" s="4"/>
      <c r="AY746" s="4"/>
      <c r="AZ746" s="4"/>
      <c r="BA746" s="4"/>
      <c r="BB746" s="4"/>
      <c r="BC746" s="4"/>
      <c r="BD746" s="4"/>
      <c r="BE746" s="4"/>
      <c r="BF746" s="4"/>
      <c r="BG746" s="4"/>
      <c r="BH746" s="4"/>
      <c r="BI746" s="4"/>
      <c r="BJ746" s="4"/>
      <c r="BK746" s="4"/>
      <c r="BL746" s="4"/>
      <c r="BM746" s="4"/>
      <c r="BN746" s="4"/>
    </row>
    <row r="747" ht="13.5" customHeight="1" spans="1:66" x14ac:dyDescent="0.25">
      <c r="A747" s="4"/>
      <c r="B747" s="4"/>
      <c r="C747" s="533"/>
      <c r="D747" s="4"/>
      <c r="E747" s="4"/>
      <c r="F747" s="4"/>
      <c r="G747" s="4"/>
      <c r="H747" s="4"/>
      <c r="I747" s="4"/>
      <c r="J747" s="4"/>
      <c r="K747" s="4"/>
      <c r="L747" s="4"/>
      <c r="M747" s="4"/>
      <c r="N747" s="4"/>
      <c r="O747" s="4"/>
      <c r="P747" s="4"/>
      <c r="Q747" s="4"/>
      <c r="R747" s="4"/>
      <c r="S747" s="4"/>
      <c r="T747" s="4"/>
      <c r="U747" s="4"/>
      <c r="V747" s="4"/>
      <c r="W747" s="4"/>
      <c r="X747" s="4"/>
      <c r="Y747" s="4"/>
      <c r="Z747" s="4"/>
      <c r="AA747" s="4"/>
      <c r="AB747" s="4"/>
      <c r="AC747" s="4"/>
      <c r="AD747" s="4"/>
      <c r="AE747" s="4"/>
      <c r="AF747" s="4"/>
      <c r="AG747" s="4"/>
      <c r="AH747" s="4"/>
      <c r="AI747" s="4"/>
      <c r="AJ747" s="4"/>
      <c r="AK747" s="4"/>
      <c r="AL747" s="4"/>
      <c r="AM747" s="4"/>
      <c r="AN747" s="4"/>
      <c r="AO747" s="4"/>
      <c r="AP747" s="4"/>
      <c r="AQ747" s="4"/>
      <c r="AR747" s="4"/>
      <c r="AS747" s="4"/>
      <c r="AT747" s="4"/>
      <c r="AU747" s="4"/>
      <c r="AV747" s="4"/>
      <c r="AW747" s="4"/>
      <c r="AX747" s="4"/>
      <c r="AY747" s="4"/>
      <c r="AZ747" s="4"/>
      <c r="BA747" s="4"/>
      <c r="BB747" s="4"/>
      <c r="BC747" s="4"/>
      <c r="BD747" s="4"/>
      <c r="BE747" s="4"/>
      <c r="BF747" s="4"/>
      <c r="BG747" s="4"/>
      <c r="BH747" s="4"/>
      <c r="BI747" s="4"/>
      <c r="BJ747" s="4"/>
      <c r="BK747" s="4"/>
      <c r="BL747" s="4"/>
      <c r="BM747" s="4"/>
      <c r="BN747" s="4"/>
    </row>
    <row r="748" ht="13.5" customHeight="1" spans="1:66" x14ac:dyDescent="0.25">
      <c r="A748" s="4"/>
      <c r="B748" s="4"/>
      <c r="C748" s="533"/>
      <c r="D748" s="4"/>
      <c r="E748" s="4"/>
      <c r="F748" s="4"/>
      <c r="G748" s="4"/>
      <c r="H748" s="4"/>
      <c r="I748" s="4"/>
      <c r="J748" s="4"/>
      <c r="K748" s="4"/>
      <c r="L748" s="4"/>
      <c r="M748" s="4"/>
      <c r="N748" s="4"/>
      <c r="O748" s="4"/>
      <c r="P748" s="4"/>
      <c r="Q748" s="4"/>
      <c r="R748" s="4"/>
      <c r="S748" s="4"/>
      <c r="T748" s="4"/>
      <c r="U748" s="4"/>
      <c r="V748" s="4"/>
      <c r="W748" s="4"/>
      <c r="X748" s="4"/>
      <c r="Y748" s="4"/>
      <c r="Z748" s="4"/>
      <c r="AA748" s="4"/>
      <c r="AB748" s="4"/>
      <c r="AC748" s="4"/>
      <c r="AD748" s="4"/>
      <c r="AE748" s="4"/>
      <c r="AF748" s="4"/>
      <c r="AG748" s="4"/>
      <c r="AH748" s="4"/>
      <c r="AI748" s="4"/>
      <c r="AJ748" s="4"/>
      <c r="AK748" s="4"/>
      <c r="AL748" s="4"/>
      <c r="AM748" s="4"/>
      <c r="AN748" s="4"/>
      <c r="AO748" s="4"/>
      <c r="AP748" s="4"/>
      <c r="AQ748" s="4"/>
      <c r="AR748" s="4"/>
      <c r="AS748" s="4"/>
      <c r="AT748" s="4"/>
      <c r="AU748" s="4"/>
      <c r="AV748" s="4"/>
      <c r="AW748" s="4"/>
      <c r="AX748" s="4"/>
      <c r="AY748" s="4"/>
      <c r="AZ748" s="4"/>
      <c r="BA748" s="4"/>
      <c r="BB748" s="4"/>
      <c r="BC748" s="4"/>
      <c r="BD748" s="4"/>
      <c r="BE748" s="4"/>
      <c r="BF748" s="4"/>
      <c r="BG748" s="4"/>
      <c r="BH748" s="4"/>
      <c r="BI748" s="4"/>
      <c r="BJ748" s="4"/>
      <c r="BK748" s="4"/>
      <c r="BL748" s="4"/>
      <c r="BM748" s="4"/>
      <c r="BN748" s="4"/>
    </row>
    <row r="749" ht="13.5" customHeight="1" spans="1:66" x14ac:dyDescent="0.25">
      <c r="A749" s="4"/>
      <c r="B749" s="4"/>
      <c r="C749" s="533"/>
      <c r="D749" s="4"/>
      <c r="E749" s="4"/>
      <c r="F749" s="4"/>
      <c r="G749" s="4"/>
      <c r="H749" s="4"/>
      <c r="I749" s="4"/>
      <c r="J749" s="4"/>
      <c r="K749" s="4"/>
      <c r="L749" s="4"/>
      <c r="M749" s="4"/>
      <c r="N749" s="4"/>
      <c r="O749" s="4"/>
      <c r="P749" s="4"/>
      <c r="Q749" s="4"/>
      <c r="R749" s="4"/>
      <c r="S749" s="4"/>
      <c r="T749" s="4"/>
      <c r="U749" s="4"/>
      <c r="V749" s="4"/>
      <c r="W749" s="4"/>
      <c r="X749" s="4"/>
      <c r="Y749" s="4"/>
      <c r="Z749" s="4"/>
      <c r="AA749" s="4"/>
      <c r="AB749" s="4"/>
      <c r="AC749" s="4"/>
      <c r="AD749" s="4"/>
      <c r="AE749" s="4"/>
      <c r="AF749" s="4"/>
      <c r="AG749" s="4"/>
      <c r="AH749" s="4"/>
      <c r="AI749" s="4"/>
      <c r="AJ749" s="4"/>
      <c r="AK749" s="4"/>
      <c r="AL749" s="4"/>
      <c r="AM749" s="4"/>
      <c r="AN749" s="4"/>
      <c r="AO749" s="4"/>
      <c r="AP749" s="4"/>
      <c r="AQ749" s="4"/>
      <c r="AR749" s="4"/>
      <c r="AS749" s="4"/>
      <c r="AT749" s="4"/>
      <c r="AU749" s="4"/>
      <c r="AV749" s="4"/>
      <c r="AW749" s="4"/>
      <c r="AX749" s="4"/>
      <c r="AY749" s="4"/>
      <c r="AZ749" s="4"/>
      <c r="BA749" s="4"/>
      <c r="BB749" s="4"/>
      <c r="BC749" s="4"/>
      <c r="BD749" s="4"/>
      <c r="BE749" s="4"/>
      <c r="BF749" s="4"/>
      <c r="BG749" s="4"/>
      <c r="BH749" s="4"/>
      <c r="BI749" s="4"/>
      <c r="BJ749" s="4"/>
      <c r="BK749" s="4"/>
      <c r="BL749" s="4"/>
      <c r="BM749" s="4"/>
      <c r="BN749" s="4"/>
    </row>
    <row r="750" ht="13.5" customHeight="1" spans="1:66" x14ac:dyDescent="0.25">
      <c r="A750" s="4"/>
      <c r="B750" s="4"/>
      <c r="C750" s="533"/>
      <c r="D750" s="4"/>
      <c r="E750" s="4"/>
      <c r="F750" s="4"/>
      <c r="G750" s="4"/>
      <c r="H750" s="4"/>
      <c r="I750" s="4"/>
      <c r="J750" s="4"/>
      <c r="K750" s="4"/>
      <c r="L750" s="4"/>
      <c r="M750" s="4"/>
      <c r="N750" s="4"/>
      <c r="O750" s="4"/>
      <c r="P750" s="4"/>
      <c r="Q750" s="4"/>
      <c r="R750" s="4"/>
      <c r="S750" s="4"/>
      <c r="T750" s="4"/>
      <c r="U750" s="4"/>
      <c r="V750" s="4"/>
      <c r="W750" s="4"/>
      <c r="X750" s="4"/>
      <c r="Y750" s="4"/>
      <c r="Z750" s="4"/>
      <c r="AA750" s="4"/>
      <c r="AB750" s="4"/>
      <c r="AC750" s="4"/>
      <c r="AD750" s="4"/>
      <c r="AE750" s="4"/>
      <c r="AF750" s="4"/>
      <c r="AG750" s="4"/>
      <c r="AH750" s="4"/>
      <c r="AI750" s="4"/>
      <c r="AJ750" s="4"/>
      <c r="AK750" s="4"/>
      <c r="AL750" s="4"/>
      <c r="AM750" s="4"/>
      <c r="AN750" s="4"/>
      <c r="AO750" s="4"/>
      <c r="AP750" s="4"/>
      <c r="AQ750" s="4"/>
      <c r="AR750" s="4"/>
      <c r="AS750" s="4"/>
      <c r="AT750" s="4"/>
      <c r="AU750" s="4"/>
      <c r="AV750" s="4"/>
      <c r="AW750" s="4"/>
      <c r="AX750" s="4"/>
      <c r="AY750" s="4"/>
      <c r="AZ750" s="4"/>
      <c r="BA750" s="4"/>
      <c r="BB750" s="4"/>
      <c r="BC750" s="4"/>
      <c r="BD750" s="4"/>
      <c r="BE750" s="4"/>
      <c r="BF750" s="4"/>
      <c r="BG750" s="4"/>
      <c r="BH750" s="4"/>
      <c r="BI750" s="4"/>
      <c r="BJ750" s="4"/>
      <c r="BK750" s="4"/>
      <c r="BL750" s="4"/>
      <c r="BM750" s="4"/>
      <c r="BN750" s="4"/>
    </row>
    <row r="751" ht="13.5" customHeight="1" spans="1:66" x14ac:dyDescent="0.25">
      <c r="A751" s="4"/>
      <c r="B751" s="4"/>
      <c r="C751" s="533"/>
      <c r="D751" s="4"/>
      <c r="E751" s="4"/>
      <c r="F751" s="4"/>
      <c r="G751" s="4"/>
      <c r="H751" s="4"/>
      <c r="I751" s="4"/>
      <c r="J751" s="4"/>
      <c r="K751" s="4"/>
      <c r="L751" s="4"/>
      <c r="M751" s="4"/>
      <c r="N751" s="4"/>
      <c r="O751" s="4"/>
      <c r="P751" s="4"/>
      <c r="Q751" s="4"/>
      <c r="R751" s="4"/>
      <c r="S751" s="4"/>
      <c r="T751" s="4"/>
      <c r="U751" s="4"/>
      <c r="V751" s="4"/>
      <c r="W751" s="4"/>
      <c r="X751" s="4"/>
      <c r="Y751" s="4"/>
      <c r="Z751" s="4"/>
      <c r="AA751" s="4"/>
      <c r="AB751" s="4"/>
      <c r="AC751" s="4"/>
      <c r="AD751" s="4"/>
      <c r="AE751" s="4"/>
      <c r="AF751" s="4"/>
      <c r="AG751" s="4"/>
      <c r="AH751" s="4"/>
      <c r="AI751" s="4"/>
      <c r="AJ751" s="4"/>
      <c r="AK751" s="4"/>
      <c r="AL751" s="4"/>
      <c r="AM751" s="4"/>
      <c r="AN751" s="4"/>
      <c r="AO751" s="4"/>
      <c r="AP751" s="4"/>
      <c r="AQ751" s="4"/>
      <c r="AR751" s="4"/>
      <c r="AS751" s="4"/>
      <c r="AT751" s="4"/>
      <c r="AU751" s="4"/>
      <c r="AV751" s="4"/>
      <c r="AW751" s="4"/>
      <c r="AX751" s="4"/>
      <c r="AY751" s="4"/>
      <c r="AZ751" s="4"/>
      <c r="BA751" s="4"/>
      <c r="BB751" s="4"/>
      <c r="BC751" s="4"/>
      <c r="BD751" s="4"/>
      <c r="BE751" s="4"/>
      <c r="BF751" s="4"/>
      <c r="BG751" s="4"/>
      <c r="BH751" s="4"/>
      <c r="BI751" s="4"/>
      <c r="BJ751" s="4"/>
      <c r="BK751" s="4"/>
      <c r="BL751" s="4"/>
      <c r="BM751" s="4"/>
      <c r="BN751" s="4"/>
    </row>
    <row r="752" ht="13.5" customHeight="1" spans="1:66" x14ac:dyDescent="0.25">
      <c r="A752" s="4"/>
      <c r="B752" s="4"/>
      <c r="C752" s="533"/>
      <c r="D752" s="4"/>
      <c r="E752" s="4"/>
      <c r="F752" s="4"/>
      <c r="G752" s="4"/>
      <c r="H752" s="4"/>
      <c r="I752" s="4"/>
      <c r="J752" s="4"/>
      <c r="K752" s="4"/>
      <c r="L752" s="4"/>
      <c r="M752" s="4"/>
      <c r="N752" s="4"/>
      <c r="O752" s="4"/>
      <c r="P752" s="4"/>
      <c r="Q752" s="4"/>
      <c r="R752" s="4"/>
      <c r="S752" s="4"/>
      <c r="T752" s="4"/>
      <c r="U752" s="4"/>
      <c r="V752" s="4"/>
      <c r="W752" s="4"/>
      <c r="X752" s="4"/>
      <c r="Y752" s="4"/>
      <c r="Z752" s="4"/>
      <c r="AA752" s="4"/>
      <c r="AB752" s="4"/>
      <c r="AC752" s="4"/>
      <c r="AD752" s="4"/>
      <c r="AE752" s="4"/>
      <c r="AF752" s="4"/>
      <c r="AG752" s="4"/>
      <c r="AH752" s="4"/>
      <c r="AI752" s="4"/>
      <c r="AJ752" s="4"/>
      <c r="AK752" s="4"/>
      <c r="AL752" s="4"/>
      <c r="AM752" s="4"/>
      <c r="AN752" s="4"/>
      <c r="AO752" s="4"/>
      <c r="AP752" s="4"/>
      <c r="AQ752" s="4"/>
      <c r="AR752" s="4"/>
      <c r="AS752" s="4"/>
      <c r="AT752" s="4"/>
      <c r="AU752" s="4"/>
      <c r="AV752" s="4"/>
      <c r="AW752" s="4"/>
      <c r="AX752" s="4"/>
      <c r="AY752" s="4"/>
      <c r="AZ752" s="4"/>
      <c r="BA752" s="4"/>
      <c r="BB752" s="4"/>
      <c r="BC752" s="4"/>
      <c r="BD752" s="4"/>
      <c r="BE752" s="4"/>
      <c r="BF752" s="4"/>
      <c r="BG752" s="4"/>
      <c r="BH752" s="4"/>
      <c r="BI752" s="4"/>
      <c r="BJ752" s="4"/>
      <c r="BK752" s="4"/>
      <c r="BL752" s="4"/>
      <c r="BM752" s="4"/>
      <c r="BN752" s="4"/>
    </row>
    <row r="753" ht="13.5" customHeight="1" spans="1:66" x14ac:dyDescent="0.25">
      <c r="A753" s="4"/>
      <c r="B753" s="4"/>
      <c r="C753" s="533"/>
      <c r="D753" s="4"/>
      <c r="E753" s="4"/>
      <c r="F753" s="4"/>
      <c r="G753" s="4"/>
      <c r="H753" s="4"/>
      <c r="I753" s="4"/>
      <c r="J753" s="4"/>
      <c r="K753" s="4"/>
      <c r="L753" s="4"/>
      <c r="M753" s="4"/>
      <c r="N753" s="4"/>
      <c r="O753" s="4"/>
      <c r="P753" s="4"/>
      <c r="Q753" s="4"/>
      <c r="R753" s="4"/>
      <c r="S753" s="4"/>
      <c r="T753" s="4"/>
      <c r="U753" s="4"/>
      <c r="V753" s="4"/>
      <c r="W753" s="4"/>
      <c r="X753" s="4"/>
      <c r="Y753" s="4"/>
      <c r="Z753" s="4"/>
      <c r="AA753" s="4"/>
      <c r="AB753" s="4"/>
      <c r="AC753" s="4"/>
      <c r="AD753" s="4"/>
      <c r="AE753" s="4"/>
      <c r="AF753" s="4"/>
      <c r="AG753" s="4"/>
      <c r="AH753" s="4"/>
      <c r="AI753" s="4"/>
      <c r="AJ753" s="4"/>
      <c r="AK753" s="4"/>
      <c r="AL753" s="4"/>
      <c r="AM753" s="4"/>
      <c r="AN753" s="4"/>
      <c r="AO753" s="4"/>
      <c r="AP753" s="4"/>
      <c r="AQ753" s="4"/>
      <c r="AR753" s="4"/>
      <c r="AS753" s="4"/>
      <c r="AT753" s="4"/>
      <c r="AU753" s="4"/>
      <c r="AV753" s="4"/>
      <c r="AW753" s="4"/>
      <c r="AX753" s="4"/>
      <c r="AY753" s="4"/>
      <c r="AZ753" s="4"/>
      <c r="BA753" s="4"/>
      <c r="BB753" s="4"/>
      <c r="BC753" s="4"/>
      <c r="BD753" s="4"/>
      <c r="BE753" s="4"/>
      <c r="BF753" s="4"/>
      <c r="BG753" s="4"/>
      <c r="BH753" s="4"/>
      <c r="BI753" s="4"/>
      <c r="BJ753" s="4"/>
      <c r="BK753" s="4"/>
      <c r="BL753" s="4"/>
      <c r="BM753" s="4"/>
      <c r="BN753" s="4"/>
    </row>
    <row r="754" ht="13.5" customHeight="1" spans="1:66" x14ac:dyDescent="0.25">
      <c r="A754" s="4"/>
      <c r="B754" s="4"/>
      <c r="C754" s="533"/>
      <c r="D754" s="4"/>
      <c r="E754" s="4"/>
      <c r="F754" s="4"/>
      <c r="G754" s="4"/>
      <c r="H754" s="4"/>
      <c r="I754" s="4"/>
      <c r="J754" s="4"/>
      <c r="K754" s="4"/>
      <c r="L754" s="4"/>
      <c r="M754" s="4"/>
      <c r="N754" s="4"/>
      <c r="O754" s="4"/>
      <c r="P754" s="4"/>
      <c r="Q754" s="4"/>
      <c r="R754" s="4"/>
      <c r="S754" s="4"/>
      <c r="T754" s="4"/>
      <c r="U754" s="4"/>
      <c r="V754" s="4"/>
      <c r="W754" s="4"/>
      <c r="X754" s="4"/>
      <c r="Y754" s="4"/>
      <c r="Z754" s="4"/>
      <c r="AA754" s="4"/>
      <c r="AB754" s="4"/>
      <c r="AC754" s="4"/>
      <c r="AD754" s="4"/>
      <c r="AE754" s="4"/>
      <c r="AF754" s="4"/>
      <c r="AG754" s="4"/>
      <c r="AH754" s="4"/>
      <c r="AI754" s="4"/>
      <c r="AJ754" s="4"/>
      <c r="AK754" s="4"/>
      <c r="AL754" s="4"/>
      <c r="AM754" s="4"/>
      <c r="AN754" s="4"/>
      <c r="AO754" s="4"/>
      <c r="AP754" s="4"/>
      <c r="AQ754" s="4"/>
      <c r="AR754" s="4"/>
      <c r="AS754" s="4"/>
      <c r="AT754" s="4"/>
      <c r="AU754" s="4"/>
      <c r="AV754" s="4"/>
      <c r="AW754" s="4"/>
      <c r="AX754" s="4"/>
      <c r="AY754" s="4"/>
      <c r="AZ754" s="4"/>
      <c r="BA754" s="4"/>
      <c r="BB754" s="4"/>
      <c r="BC754" s="4"/>
      <c r="BD754" s="4"/>
      <c r="BE754" s="4"/>
      <c r="BF754" s="4"/>
      <c r="BG754" s="4"/>
      <c r="BH754" s="4"/>
      <c r="BI754" s="4"/>
      <c r="BJ754" s="4"/>
      <c r="BK754" s="4"/>
      <c r="BL754" s="4"/>
      <c r="BM754" s="4"/>
      <c r="BN754" s="4"/>
    </row>
    <row r="755" ht="13.5" customHeight="1" spans="1:66" x14ac:dyDescent="0.25">
      <c r="A755" s="4"/>
      <c r="B755" s="4"/>
      <c r="C755" s="533"/>
      <c r="D755" s="4"/>
      <c r="E755" s="4"/>
      <c r="F755" s="4"/>
      <c r="G755" s="4"/>
      <c r="H755" s="4"/>
      <c r="I755" s="4"/>
      <c r="J755" s="4"/>
      <c r="K755" s="4"/>
      <c r="L755" s="4"/>
      <c r="M755" s="4"/>
      <c r="N755" s="4"/>
      <c r="O755" s="4"/>
      <c r="P755" s="4"/>
      <c r="Q755" s="4"/>
      <c r="R755" s="4"/>
      <c r="S755" s="4"/>
      <c r="T755" s="4"/>
      <c r="U755" s="4"/>
      <c r="V755" s="4"/>
      <c r="W755" s="4"/>
      <c r="X755" s="4"/>
      <c r="Y755" s="4"/>
      <c r="Z755" s="4"/>
      <c r="AA755" s="4"/>
      <c r="AB755" s="4"/>
      <c r="AC755" s="4"/>
      <c r="AD755" s="4"/>
      <c r="AE755" s="4"/>
      <c r="AF755" s="4"/>
      <c r="AG755" s="4"/>
      <c r="AH755" s="4"/>
      <c r="AI755" s="4"/>
      <c r="AJ755" s="4"/>
      <c r="AK755" s="4"/>
      <c r="AL755" s="4"/>
      <c r="AM755" s="4"/>
      <c r="AN755" s="4"/>
      <c r="AO755" s="4"/>
      <c r="AP755" s="4"/>
      <c r="AQ755" s="4"/>
      <c r="AR755" s="4"/>
      <c r="AS755" s="4"/>
      <c r="AT755" s="4"/>
      <c r="AU755" s="4"/>
      <c r="AV755" s="4"/>
      <c r="AW755" s="4"/>
      <c r="AX755" s="4"/>
      <c r="AY755" s="4"/>
      <c r="AZ755" s="4"/>
      <c r="BA755" s="4"/>
      <c r="BB755" s="4"/>
      <c r="BC755" s="4"/>
      <c r="BD755" s="4"/>
      <c r="BE755" s="4"/>
      <c r="BF755" s="4"/>
      <c r="BG755" s="4"/>
      <c r="BH755" s="4"/>
      <c r="BI755" s="4"/>
      <c r="BJ755" s="4"/>
      <c r="BK755" s="4"/>
      <c r="BL755" s="4"/>
      <c r="BM755" s="4"/>
      <c r="BN755" s="4"/>
    </row>
    <row r="756" ht="13.5" customHeight="1" spans="1:66" x14ac:dyDescent="0.25">
      <c r="A756" s="4"/>
      <c r="B756" s="4"/>
      <c r="C756" s="533"/>
      <c r="D756" s="4"/>
      <c r="E756" s="4"/>
      <c r="F756" s="4"/>
      <c r="G756" s="4"/>
      <c r="H756" s="4"/>
      <c r="I756" s="4"/>
      <c r="J756" s="4"/>
      <c r="K756" s="4"/>
      <c r="L756" s="4"/>
      <c r="M756" s="4"/>
      <c r="N756" s="4"/>
      <c r="O756" s="4"/>
      <c r="P756" s="4"/>
      <c r="Q756" s="4"/>
      <c r="R756" s="4"/>
      <c r="S756" s="4"/>
      <c r="T756" s="4"/>
      <c r="U756" s="4"/>
      <c r="V756" s="4"/>
      <c r="W756" s="4"/>
      <c r="X756" s="4"/>
      <c r="Y756" s="4"/>
      <c r="Z756" s="4"/>
      <c r="AA756" s="4"/>
      <c r="AB756" s="4"/>
      <c r="AC756" s="4"/>
      <c r="AD756" s="4"/>
      <c r="AE756" s="4"/>
      <c r="AF756" s="4"/>
      <c r="AG756" s="4"/>
      <c r="AH756" s="4"/>
      <c r="AI756" s="4"/>
      <c r="AJ756" s="4"/>
      <c r="AK756" s="4"/>
      <c r="AL756" s="4"/>
      <c r="AM756" s="4"/>
      <c r="AN756" s="4"/>
      <c r="AO756" s="4"/>
      <c r="AP756" s="4"/>
      <c r="AQ756" s="4"/>
      <c r="AR756" s="4"/>
      <c r="AS756" s="4"/>
      <c r="AT756" s="4"/>
      <c r="AU756" s="4"/>
      <c r="AV756" s="4"/>
      <c r="AW756" s="4"/>
      <c r="AX756" s="4"/>
      <c r="AY756" s="4"/>
      <c r="AZ756" s="4"/>
      <c r="BA756" s="4"/>
      <c r="BB756" s="4"/>
      <c r="BC756" s="4"/>
      <c r="BD756" s="4"/>
      <c r="BE756" s="4"/>
      <c r="BF756" s="4"/>
      <c r="BG756" s="4"/>
      <c r="BH756" s="4"/>
      <c r="BI756" s="4"/>
      <c r="BJ756" s="4"/>
      <c r="BK756" s="4"/>
      <c r="BL756" s="4"/>
      <c r="BM756" s="4"/>
      <c r="BN756" s="4"/>
    </row>
    <row r="757" ht="13.5" customHeight="1" spans="1:66" x14ac:dyDescent="0.25">
      <c r="A757" s="4"/>
      <c r="B757" s="4"/>
      <c r="C757" s="533"/>
      <c r="D757" s="4"/>
      <c r="E757" s="4"/>
      <c r="F757" s="4"/>
      <c r="G757" s="4"/>
      <c r="H757" s="4"/>
      <c r="I757" s="4"/>
      <c r="J757" s="4"/>
      <c r="K757" s="4"/>
      <c r="L757" s="4"/>
      <c r="M757" s="4"/>
      <c r="N757" s="4"/>
      <c r="O757" s="4"/>
      <c r="P757" s="4"/>
      <c r="Q757" s="4"/>
      <c r="R757" s="4"/>
      <c r="S757" s="4"/>
      <c r="T757" s="4"/>
      <c r="U757" s="4"/>
      <c r="V757" s="4"/>
      <c r="W757" s="4"/>
      <c r="X757" s="4"/>
      <c r="Y757" s="4"/>
      <c r="Z757" s="4"/>
      <c r="AA757" s="4"/>
      <c r="AB757" s="4"/>
      <c r="AC757" s="4"/>
      <c r="AD757" s="4"/>
      <c r="AE757" s="4"/>
      <c r="AF757" s="4"/>
      <c r="AG757" s="4"/>
      <c r="AH757" s="4"/>
      <c r="AI757" s="4"/>
      <c r="AJ757" s="4"/>
      <c r="AK757" s="4"/>
      <c r="AL757" s="4"/>
      <c r="AM757" s="4"/>
      <c r="AN757" s="4"/>
      <c r="AO757" s="4"/>
      <c r="AP757" s="4"/>
      <c r="AQ757" s="4"/>
      <c r="AR757" s="4"/>
      <c r="AS757" s="4"/>
      <c r="AT757" s="4"/>
      <c r="AU757" s="4"/>
      <c r="AV757" s="4"/>
      <c r="AW757" s="4"/>
      <c r="AX757" s="4"/>
      <c r="AY757" s="4"/>
      <c r="AZ757" s="4"/>
      <c r="BA757" s="4"/>
      <c r="BB757" s="4"/>
      <c r="BC757" s="4"/>
      <c r="BD757" s="4"/>
      <c r="BE757" s="4"/>
      <c r="BF757" s="4"/>
      <c r="BG757" s="4"/>
      <c r="BH757" s="4"/>
      <c r="BI757" s="4"/>
      <c r="BJ757" s="4"/>
      <c r="BK757" s="4"/>
      <c r="BL757" s="4"/>
      <c r="BM757" s="4"/>
      <c r="BN757" s="4"/>
    </row>
    <row r="758" ht="13.5" customHeight="1" spans="1:66" x14ac:dyDescent="0.25">
      <c r="A758" s="4"/>
      <c r="B758" s="4"/>
      <c r="C758" s="533"/>
      <c r="D758" s="4"/>
      <c r="E758" s="4"/>
      <c r="F758" s="4"/>
      <c r="G758" s="4"/>
      <c r="H758" s="4"/>
      <c r="I758" s="4"/>
      <c r="J758" s="4"/>
      <c r="K758" s="4"/>
      <c r="L758" s="4"/>
      <c r="M758" s="4"/>
      <c r="N758" s="4"/>
      <c r="O758" s="4"/>
      <c r="P758" s="4"/>
      <c r="Q758" s="4"/>
      <c r="R758" s="4"/>
      <c r="S758" s="4"/>
      <c r="T758" s="4"/>
      <c r="U758" s="4"/>
      <c r="V758" s="4"/>
      <c r="W758" s="4"/>
      <c r="X758" s="4"/>
      <c r="Y758" s="4"/>
      <c r="Z758" s="4"/>
      <c r="AA758" s="4"/>
      <c r="AB758" s="4"/>
      <c r="AC758" s="4"/>
      <c r="AD758" s="4"/>
      <c r="AE758" s="4"/>
      <c r="AF758" s="4"/>
      <c r="AG758" s="4"/>
      <c r="AH758" s="4"/>
      <c r="AI758" s="4"/>
      <c r="AJ758" s="4"/>
      <c r="AK758" s="4"/>
      <c r="AL758" s="4"/>
      <c r="AM758" s="4"/>
      <c r="AN758" s="4"/>
      <c r="AO758" s="4"/>
      <c r="AP758" s="4"/>
      <c r="AQ758" s="4"/>
      <c r="AR758" s="4"/>
      <c r="AS758" s="4"/>
      <c r="AT758" s="4"/>
      <c r="AU758" s="4"/>
      <c r="AV758" s="4"/>
      <c r="AW758" s="4"/>
      <c r="AX758" s="4"/>
      <c r="AY758" s="4"/>
      <c r="AZ758" s="4"/>
      <c r="BA758" s="4"/>
      <c r="BB758" s="4"/>
      <c r="BC758" s="4"/>
      <c r="BD758" s="4"/>
      <c r="BE758" s="4"/>
      <c r="BF758" s="4"/>
      <c r="BG758" s="4"/>
      <c r="BH758" s="4"/>
      <c r="BI758" s="4"/>
      <c r="BJ758" s="4"/>
      <c r="BK758" s="4"/>
      <c r="BL758" s="4"/>
      <c r="BM758" s="4"/>
      <c r="BN758" s="4"/>
    </row>
    <row r="759" ht="13.5" customHeight="1" spans="1:66" x14ac:dyDescent="0.25">
      <c r="A759" s="4"/>
      <c r="B759" s="4"/>
      <c r="C759" s="533"/>
      <c r="D759" s="4"/>
      <c r="E759" s="4"/>
      <c r="F759" s="4"/>
      <c r="G759" s="4"/>
      <c r="H759" s="4"/>
      <c r="I759" s="4"/>
      <c r="J759" s="4"/>
      <c r="K759" s="4"/>
      <c r="L759" s="4"/>
      <c r="M759" s="4"/>
      <c r="N759" s="4"/>
      <c r="O759" s="4"/>
      <c r="P759" s="4"/>
      <c r="Q759" s="4"/>
      <c r="R759" s="4"/>
      <c r="S759" s="4"/>
      <c r="T759" s="4"/>
      <c r="U759" s="4"/>
      <c r="V759" s="4"/>
      <c r="W759" s="4"/>
      <c r="X759" s="4"/>
      <c r="Y759" s="4"/>
      <c r="Z759" s="4"/>
      <c r="AA759" s="4"/>
      <c r="AB759" s="4"/>
      <c r="AC759" s="4"/>
      <c r="AD759" s="4"/>
      <c r="AE759" s="4"/>
      <c r="AF759" s="4"/>
      <c r="AG759" s="4"/>
      <c r="AH759" s="4"/>
      <c r="AI759" s="4"/>
      <c r="AJ759" s="4"/>
      <c r="AK759" s="4"/>
      <c r="AL759" s="4"/>
      <c r="AM759" s="4"/>
      <c r="AN759" s="4"/>
      <c r="AO759" s="4"/>
      <c r="AP759" s="4"/>
      <c r="AQ759" s="4"/>
      <c r="AR759" s="4"/>
      <c r="AS759" s="4"/>
      <c r="AT759" s="4"/>
      <c r="AU759" s="4"/>
      <c r="AV759" s="4"/>
      <c r="AW759" s="4"/>
      <c r="AX759" s="4"/>
      <c r="AY759" s="4"/>
      <c r="AZ759" s="4"/>
      <c r="BA759" s="4"/>
      <c r="BB759" s="4"/>
      <c r="BC759" s="4"/>
      <c r="BD759" s="4"/>
      <c r="BE759" s="4"/>
      <c r="BF759" s="4"/>
      <c r="BG759" s="4"/>
      <c r="BH759" s="4"/>
      <c r="BI759" s="4"/>
      <c r="BJ759" s="4"/>
      <c r="BK759" s="4"/>
      <c r="BL759" s="4"/>
      <c r="BM759" s="4"/>
      <c r="BN759" s="4"/>
    </row>
    <row r="760" ht="13.5" customHeight="1" spans="1:66" x14ac:dyDescent="0.25">
      <c r="A760" s="4"/>
      <c r="B760" s="4"/>
      <c r="C760" s="533"/>
      <c r="D760" s="4"/>
      <c r="E760" s="4"/>
      <c r="F760" s="4"/>
      <c r="G760" s="4"/>
      <c r="H760" s="4"/>
      <c r="I760" s="4"/>
      <c r="J760" s="4"/>
      <c r="K760" s="4"/>
      <c r="L760" s="4"/>
      <c r="M760" s="4"/>
      <c r="N760" s="4"/>
      <c r="O760" s="4"/>
      <c r="P760" s="4"/>
      <c r="Q760" s="4"/>
      <c r="R760" s="4"/>
      <c r="S760" s="4"/>
      <c r="T760" s="4"/>
      <c r="U760" s="4"/>
      <c r="V760" s="4"/>
      <c r="W760" s="4"/>
      <c r="X760" s="4"/>
      <c r="Y760" s="4"/>
      <c r="Z760" s="4"/>
      <c r="AA760" s="4"/>
      <c r="AB760" s="4"/>
      <c r="AC760" s="4"/>
      <c r="AD760" s="4"/>
      <c r="AE760" s="4"/>
      <c r="AF760" s="4"/>
      <c r="AG760" s="4"/>
      <c r="AH760" s="4"/>
      <c r="AI760" s="4"/>
      <c r="AJ760" s="4"/>
      <c r="AK760" s="4"/>
      <c r="AL760" s="4"/>
      <c r="AM760" s="4"/>
      <c r="AN760" s="4"/>
      <c r="AO760" s="4"/>
      <c r="AP760" s="4"/>
      <c r="AQ760" s="4"/>
      <c r="AR760" s="4"/>
      <c r="AS760" s="4"/>
      <c r="AT760" s="4"/>
      <c r="AU760" s="4"/>
      <c r="AV760" s="4"/>
      <c r="AW760" s="4"/>
      <c r="AX760" s="4"/>
      <c r="AY760" s="4"/>
      <c r="AZ760" s="4"/>
      <c r="BA760" s="4"/>
      <c r="BB760" s="4"/>
      <c r="BC760" s="4"/>
      <c r="BD760" s="4"/>
      <c r="BE760" s="4"/>
      <c r="BF760" s="4"/>
      <c r="BG760" s="4"/>
      <c r="BH760" s="4"/>
      <c r="BI760" s="4"/>
      <c r="BJ760" s="4"/>
      <c r="BK760" s="4"/>
      <c r="BL760" s="4"/>
      <c r="BM760" s="4"/>
      <c r="BN760" s="4"/>
    </row>
    <row r="761" ht="13.5" customHeight="1" spans="1:66" x14ac:dyDescent="0.25">
      <c r="A761" s="4"/>
      <c r="B761" s="4"/>
      <c r="C761" s="533"/>
      <c r="D761" s="4"/>
      <c r="E761" s="4"/>
      <c r="F761" s="4"/>
      <c r="G761" s="4"/>
      <c r="H761" s="4"/>
      <c r="I761" s="4"/>
      <c r="J761" s="4"/>
      <c r="K761" s="4"/>
      <c r="L761" s="4"/>
      <c r="M761" s="4"/>
      <c r="N761" s="4"/>
      <c r="O761" s="4"/>
      <c r="P761" s="4"/>
      <c r="Q761" s="4"/>
      <c r="R761" s="4"/>
      <c r="S761" s="4"/>
      <c r="T761" s="4"/>
      <c r="U761" s="4"/>
      <c r="V761" s="4"/>
      <c r="W761" s="4"/>
      <c r="X761" s="4"/>
      <c r="Y761" s="4"/>
      <c r="Z761" s="4"/>
      <c r="AA761" s="4"/>
      <c r="AB761" s="4"/>
      <c r="AC761" s="4"/>
      <c r="AD761" s="4"/>
      <c r="AE761" s="4"/>
      <c r="AF761" s="4"/>
      <c r="AG761" s="4"/>
      <c r="AH761" s="4"/>
      <c r="AI761" s="4"/>
      <c r="AJ761" s="4"/>
      <c r="AK761" s="4"/>
      <c r="AL761" s="4"/>
      <c r="AM761" s="4"/>
      <c r="AN761" s="4"/>
      <c r="AO761" s="4"/>
      <c r="AP761" s="4"/>
      <c r="AQ761" s="4"/>
      <c r="AR761" s="4"/>
      <c r="AS761" s="4"/>
      <c r="AT761" s="4"/>
      <c r="AU761" s="4"/>
      <c r="AV761" s="4"/>
      <c r="AW761" s="4"/>
      <c r="AX761" s="4"/>
      <c r="AY761" s="4"/>
      <c r="AZ761" s="4"/>
      <c r="BA761" s="4"/>
      <c r="BB761" s="4"/>
      <c r="BC761" s="4"/>
      <c r="BD761" s="4"/>
      <c r="BE761" s="4"/>
      <c r="BF761" s="4"/>
      <c r="BG761" s="4"/>
      <c r="BH761" s="4"/>
      <c r="BI761" s="4"/>
      <c r="BJ761" s="4"/>
      <c r="BK761" s="4"/>
      <c r="BL761" s="4"/>
      <c r="BM761" s="4"/>
      <c r="BN761" s="4"/>
    </row>
    <row r="762" ht="13.5" customHeight="1" spans="1:66" x14ac:dyDescent="0.25">
      <c r="A762" s="4"/>
      <c r="B762" s="4"/>
      <c r="C762" s="533"/>
      <c r="D762" s="4"/>
      <c r="E762" s="4"/>
      <c r="F762" s="4"/>
      <c r="G762" s="4"/>
      <c r="H762" s="4"/>
      <c r="I762" s="4"/>
      <c r="J762" s="4"/>
      <c r="K762" s="4"/>
      <c r="L762" s="4"/>
      <c r="M762" s="4"/>
      <c r="N762" s="4"/>
      <c r="O762" s="4"/>
      <c r="P762" s="4"/>
      <c r="Q762" s="4"/>
      <c r="R762" s="4"/>
      <c r="S762" s="4"/>
      <c r="T762" s="4"/>
      <c r="U762" s="4"/>
      <c r="V762" s="4"/>
      <c r="W762" s="4"/>
      <c r="X762" s="4"/>
      <c r="Y762" s="4"/>
      <c r="Z762" s="4"/>
      <c r="AA762" s="4"/>
      <c r="AB762" s="4"/>
      <c r="AC762" s="4"/>
      <c r="AD762" s="4"/>
      <c r="AE762" s="4"/>
      <c r="AF762" s="4"/>
      <c r="AG762" s="4"/>
      <c r="AH762" s="4"/>
      <c r="AI762" s="4"/>
      <c r="AJ762" s="4"/>
      <c r="AK762" s="4"/>
      <c r="AL762" s="4"/>
      <c r="AM762" s="4"/>
      <c r="AN762" s="4"/>
      <c r="AO762" s="4"/>
      <c r="AP762" s="4"/>
      <c r="AQ762" s="4"/>
      <c r="AR762" s="4"/>
      <c r="AS762" s="4"/>
      <c r="AT762" s="4"/>
      <c r="AU762" s="4"/>
      <c r="AV762" s="4"/>
      <c r="AW762" s="4"/>
      <c r="AX762" s="4"/>
      <c r="AY762" s="4"/>
      <c r="AZ762" s="4"/>
      <c r="BA762" s="4"/>
      <c r="BB762" s="4"/>
      <c r="BC762" s="4"/>
      <c r="BD762" s="4"/>
      <c r="BE762" s="4"/>
      <c r="BF762" s="4"/>
      <c r="BG762" s="4"/>
      <c r="BH762" s="4"/>
      <c r="BI762" s="4"/>
      <c r="BJ762" s="4"/>
      <c r="BK762" s="4"/>
      <c r="BL762" s="4"/>
      <c r="BM762" s="4"/>
      <c r="BN762" s="4"/>
    </row>
    <row r="763" ht="13.5" customHeight="1" spans="1:66" x14ac:dyDescent="0.25">
      <c r="A763" s="4"/>
      <c r="B763" s="4"/>
      <c r="C763" s="533"/>
      <c r="D763" s="4"/>
      <c r="E763" s="4"/>
      <c r="F763" s="4"/>
      <c r="G763" s="4"/>
      <c r="H763" s="4"/>
      <c r="I763" s="4"/>
      <c r="J763" s="4"/>
      <c r="K763" s="4"/>
      <c r="L763" s="4"/>
      <c r="M763" s="4"/>
      <c r="N763" s="4"/>
      <c r="O763" s="4"/>
      <c r="P763" s="4"/>
      <c r="Q763" s="4"/>
      <c r="R763" s="4"/>
      <c r="S763" s="4"/>
      <c r="T763" s="4"/>
      <c r="U763" s="4"/>
      <c r="V763" s="4"/>
      <c r="W763" s="4"/>
      <c r="X763" s="4"/>
      <c r="Y763" s="4"/>
      <c r="Z763" s="4"/>
      <c r="AA763" s="4"/>
      <c r="AB763" s="4"/>
      <c r="AC763" s="4"/>
      <c r="AD763" s="4"/>
      <c r="AE763" s="4"/>
      <c r="AF763" s="4"/>
      <c r="AG763" s="4"/>
      <c r="AH763" s="4"/>
      <c r="AI763" s="4"/>
      <c r="AJ763" s="4"/>
      <c r="AK763" s="4"/>
      <c r="AL763" s="4"/>
      <c r="AM763" s="4"/>
      <c r="AN763" s="4"/>
      <c r="AO763" s="4"/>
      <c r="AP763" s="4"/>
      <c r="AQ763" s="4"/>
      <c r="AR763" s="4"/>
      <c r="AS763" s="4"/>
      <c r="AT763" s="4"/>
      <c r="AU763" s="4"/>
      <c r="AV763" s="4"/>
      <c r="AW763" s="4"/>
      <c r="AX763" s="4"/>
      <c r="AY763" s="4"/>
      <c r="AZ763" s="4"/>
      <c r="BA763" s="4"/>
      <c r="BB763" s="4"/>
      <c r="BC763" s="4"/>
      <c r="BD763" s="4"/>
      <c r="BE763" s="4"/>
      <c r="BF763" s="4"/>
      <c r="BG763" s="4"/>
      <c r="BH763" s="4"/>
      <c r="BI763" s="4"/>
      <c r="BJ763" s="4"/>
      <c r="BK763" s="4"/>
      <c r="BL763" s="4"/>
      <c r="BM763" s="4"/>
      <c r="BN763" s="4"/>
    </row>
    <row r="764" ht="13.5" customHeight="1" spans="1:66" x14ac:dyDescent="0.25">
      <c r="A764" s="4"/>
      <c r="B764" s="4"/>
      <c r="C764" s="533"/>
      <c r="D764" s="4"/>
      <c r="E764" s="4"/>
      <c r="F764" s="4"/>
      <c r="G764" s="4"/>
      <c r="H764" s="4"/>
      <c r="I764" s="4"/>
      <c r="J764" s="4"/>
      <c r="K764" s="4"/>
      <c r="L764" s="4"/>
      <c r="M764" s="4"/>
      <c r="N764" s="4"/>
      <c r="O764" s="4"/>
      <c r="P764" s="4"/>
      <c r="Q764" s="4"/>
      <c r="R764" s="4"/>
      <c r="S764" s="4"/>
      <c r="T764" s="4"/>
      <c r="U764" s="4"/>
      <c r="V764" s="4"/>
      <c r="W764" s="4"/>
      <c r="X764" s="4"/>
      <c r="Y764" s="4"/>
      <c r="Z764" s="4"/>
      <c r="AA764" s="4"/>
      <c r="AB764" s="4"/>
      <c r="AC764" s="4"/>
      <c r="AD764" s="4"/>
      <c r="AE764" s="4"/>
      <c r="AF764" s="4"/>
      <c r="AG764" s="4"/>
      <c r="AH764" s="4"/>
      <c r="AI764" s="4"/>
      <c r="AJ764" s="4"/>
      <c r="AK764" s="4"/>
      <c r="AL764" s="4"/>
      <c r="AM764" s="4"/>
      <c r="AN764" s="4"/>
      <c r="AO764" s="4"/>
      <c r="AP764" s="4"/>
      <c r="AQ764" s="4"/>
      <c r="AR764" s="4"/>
      <c r="AS764" s="4"/>
      <c r="AT764" s="4"/>
      <c r="AU764" s="4"/>
      <c r="AV764" s="4"/>
      <c r="AW764" s="4"/>
      <c r="AX764" s="4"/>
      <c r="AY764" s="4"/>
      <c r="AZ764" s="4"/>
      <c r="BA764" s="4"/>
      <c r="BB764" s="4"/>
      <c r="BC764" s="4"/>
      <c r="BD764" s="4"/>
      <c r="BE764" s="4"/>
      <c r="BF764" s="4"/>
      <c r="BG764" s="4"/>
      <c r="BH764" s="4"/>
      <c r="BI764" s="4"/>
      <c r="BJ764" s="4"/>
      <c r="BK764" s="4"/>
      <c r="BL764" s="4"/>
      <c r="BM764" s="4"/>
      <c r="BN764" s="4"/>
    </row>
    <row r="765" ht="13.5" customHeight="1" spans="1:66" x14ac:dyDescent="0.25">
      <c r="A765" s="4"/>
      <c r="B765" s="4"/>
      <c r="C765" s="533"/>
      <c r="D765" s="4"/>
      <c r="E765" s="4"/>
      <c r="F765" s="4"/>
      <c r="G765" s="4"/>
      <c r="H765" s="4"/>
      <c r="I765" s="4"/>
      <c r="J765" s="4"/>
      <c r="K765" s="4"/>
      <c r="L765" s="4"/>
      <c r="M765" s="4"/>
      <c r="N765" s="4"/>
      <c r="O765" s="4"/>
      <c r="P765" s="4"/>
      <c r="Q765" s="4"/>
      <c r="R765" s="4"/>
      <c r="S765" s="4"/>
      <c r="T765" s="4"/>
      <c r="U765" s="4"/>
      <c r="V765" s="4"/>
      <c r="W765" s="4"/>
      <c r="X765" s="4"/>
      <c r="Y765" s="4"/>
      <c r="Z765" s="4"/>
      <c r="AA765" s="4"/>
      <c r="AB765" s="4"/>
      <c r="AC765" s="4"/>
      <c r="AD765" s="4"/>
      <c r="AE765" s="4"/>
      <c r="AF765" s="4"/>
      <c r="AG765" s="4"/>
      <c r="AH765" s="4"/>
      <c r="AI765" s="4"/>
      <c r="AJ765" s="4"/>
      <c r="AK765" s="4"/>
      <c r="AL765" s="4"/>
      <c r="AM765" s="4"/>
      <c r="AN765" s="4"/>
      <c r="AO765" s="4"/>
      <c r="AP765" s="4"/>
      <c r="AQ765" s="4"/>
      <c r="AR765" s="4"/>
      <c r="AS765" s="4"/>
      <c r="AT765" s="4"/>
      <c r="AU765" s="4"/>
      <c r="AV765" s="4"/>
      <c r="AW765" s="4"/>
      <c r="AX765" s="4"/>
      <c r="AY765" s="4"/>
      <c r="AZ765" s="4"/>
      <c r="BA765" s="4"/>
      <c r="BB765" s="4"/>
      <c r="BC765" s="4"/>
      <c r="BD765" s="4"/>
      <c r="BE765" s="4"/>
      <c r="BF765" s="4"/>
      <c r="BG765" s="4"/>
      <c r="BH765" s="4"/>
      <c r="BI765" s="4"/>
      <c r="BJ765" s="4"/>
      <c r="BK765" s="4"/>
      <c r="BL765" s="4"/>
      <c r="BM765" s="4"/>
      <c r="BN765" s="4"/>
    </row>
    <row r="766" ht="13.5" customHeight="1" spans="1:66" x14ac:dyDescent="0.25">
      <c r="A766" s="4"/>
      <c r="B766" s="4"/>
      <c r="C766" s="533"/>
      <c r="D766" s="4"/>
      <c r="E766" s="4"/>
      <c r="F766" s="4"/>
      <c r="G766" s="4"/>
      <c r="H766" s="4"/>
      <c r="I766" s="4"/>
      <c r="J766" s="4"/>
      <c r="K766" s="4"/>
      <c r="L766" s="4"/>
      <c r="M766" s="4"/>
      <c r="N766" s="4"/>
      <c r="O766" s="4"/>
      <c r="P766" s="4"/>
      <c r="Q766" s="4"/>
      <c r="R766" s="4"/>
      <c r="S766" s="4"/>
      <c r="T766" s="4"/>
      <c r="U766" s="4"/>
      <c r="V766" s="4"/>
      <c r="W766" s="4"/>
      <c r="X766" s="4"/>
      <c r="Y766" s="4"/>
      <c r="Z766" s="4"/>
      <c r="AA766" s="4"/>
      <c r="AB766" s="4"/>
      <c r="AC766" s="4"/>
      <c r="AD766" s="4"/>
      <c r="AE766" s="4"/>
      <c r="AF766" s="4"/>
      <c r="AG766" s="4"/>
      <c r="AH766" s="4"/>
      <c r="AI766" s="4"/>
      <c r="AJ766" s="4"/>
      <c r="AK766" s="4"/>
      <c r="AL766" s="4"/>
      <c r="AM766" s="4"/>
      <c r="AN766" s="4"/>
      <c r="AO766" s="4"/>
      <c r="AP766" s="4"/>
      <c r="AQ766" s="4"/>
      <c r="AR766" s="4"/>
      <c r="AS766" s="4"/>
      <c r="AT766" s="4"/>
      <c r="AU766" s="4"/>
      <c r="AV766" s="4"/>
      <c r="AW766" s="4"/>
      <c r="AX766" s="4"/>
      <c r="AY766" s="4"/>
      <c r="AZ766" s="4"/>
      <c r="BA766" s="4"/>
      <c r="BB766" s="4"/>
      <c r="BC766" s="4"/>
      <c r="BD766" s="4"/>
      <c r="BE766" s="4"/>
      <c r="BF766" s="4"/>
      <c r="BG766" s="4"/>
      <c r="BH766" s="4"/>
      <c r="BI766" s="4"/>
      <c r="BJ766" s="4"/>
      <c r="BK766" s="4"/>
      <c r="BL766" s="4"/>
      <c r="BM766" s="4"/>
      <c r="BN766" s="4"/>
    </row>
    <row r="767" ht="13.5" customHeight="1" spans="1:66" x14ac:dyDescent="0.25">
      <c r="A767" s="4"/>
      <c r="B767" s="4"/>
      <c r="C767" s="533"/>
      <c r="D767" s="4"/>
      <c r="E767" s="4"/>
      <c r="F767" s="4"/>
      <c r="G767" s="4"/>
      <c r="H767" s="4"/>
      <c r="I767" s="4"/>
      <c r="J767" s="4"/>
      <c r="K767" s="4"/>
      <c r="L767" s="4"/>
      <c r="M767" s="4"/>
      <c r="N767" s="4"/>
      <c r="O767" s="4"/>
      <c r="P767" s="4"/>
      <c r="Q767" s="4"/>
      <c r="R767" s="4"/>
      <c r="S767" s="4"/>
      <c r="T767" s="4"/>
      <c r="U767" s="4"/>
      <c r="V767" s="4"/>
      <c r="W767" s="4"/>
      <c r="X767" s="4"/>
      <c r="Y767" s="4"/>
      <c r="Z767" s="4"/>
      <c r="AA767" s="4"/>
      <c r="AB767" s="4"/>
      <c r="AC767" s="4"/>
      <c r="AD767" s="4"/>
      <c r="AE767" s="4"/>
      <c r="AF767" s="4"/>
      <c r="AG767" s="4"/>
      <c r="AH767" s="4"/>
      <c r="AI767" s="4"/>
      <c r="AJ767" s="4"/>
      <c r="AK767" s="4"/>
      <c r="AL767" s="4"/>
      <c r="AM767" s="4"/>
      <c r="AN767" s="4"/>
      <c r="AO767" s="4"/>
      <c r="AP767" s="4"/>
      <c r="AQ767" s="4"/>
      <c r="AR767" s="4"/>
      <c r="AS767" s="4"/>
      <c r="AT767" s="4"/>
      <c r="AU767" s="4"/>
      <c r="AV767" s="4"/>
      <c r="AW767" s="4"/>
      <c r="AX767" s="4"/>
      <c r="AY767" s="4"/>
      <c r="AZ767" s="4"/>
      <c r="BA767" s="4"/>
      <c r="BB767" s="4"/>
      <c r="BC767" s="4"/>
      <c r="BD767" s="4"/>
      <c r="BE767" s="4"/>
      <c r="BF767" s="4"/>
      <c r="BG767" s="4"/>
      <c r="BH767" s="4"/>
      <c r="BI767" s="4"/>
      <c r="BJ767" s="4"/>
      <c r="BK767" s="4"/>
      <c r="BL767" s="4"/>
      <c r="BM767" s="4"/>
      <c r="BN767" s="4"/>
    </row>
    <row r="768" ht="13.5" customHeight="1" spans="1:66" x14ac:dyDescent="0.25">
      <c r="A768" s="4"/>
      <c r="B768" s="4"/>
      <c r="C768" s="533"/>
      <c r="D768" s="4"/>
      <c r="E768" s="4"/>
      <c r="F768" s="4"/>
      <c r="G768" s="4"/>
      <c r="H768" s="4"/>
      <c r="I768" s="4"/>
      <c r="J768" s="4"/>
      <c r="K768" s="4"/>
      <c r="L768" s="4"/>
      <c r="M768" s="4"/>
      <c r="N768" s="4"/>
      <c r="O768" s="4"/>
      <c r="P768" s="4"/>
      <c r="Q768" s="4"/>
      <c r="R768" s="4"/>
      <c r="S768" s="4"/>
      <c r="T768" s="4"/>
      <c r="U768" s="4"/>
      <c r="V768" s="4"/>
      <c r="W768" s="4"/>
      <c r="X768" s="4"/>
      <c r="Y768" s="4"/>
      <c r="Z768" s="4"/>
      <c r="AA768" s="4"/>
      <c r="AB768" s="4"/>
      <c r="AC768" s="4"/>
      <c r="AD768" s="4"/>
      <c r="AE768" s="4"/>
      <c r="AF768" s="4"/>
      <c r="AG768" s="4"/>
      <c r="AH768" s="4"/>
      <c r="AI768" s="4"/>
      <c r="AJ768" s="4"/>
      <c r="AK768" s="4"/>
      <c r="AL768" s="4"/>
      <c r="AM768" s="4"/>
      <c r="AN768" s="4"/>
      <c r="AO768" s="4"/>
      <c r="AP768" s="4"/>
      <c r="AQ768" s="4"/>
      <c r="AR768" s="4"/>
      <c r="AS768" s="4"/>
      <c r="AT768" s="4"/>
      <c r="AU768" s="4"/>
      <c r="AV768" s="4"/>
      <c r="AW768" s="4"/>
      <c r="AX768" s="4"/>
      <c r="AY768" s="4"/>
      <c r="AZ768" s="4"/>
      <c r="BA768" s="4"/>
      <c r="BB768" s="4"/>
      <c r="BC768" s="4"/>
      <c r="BD768" s="4"/>
      <c r="BE768" s="4"/>
      <c r="BF768" s="4"/>
      <c r="BG768" s="4"/>
      <c r="BH768" s="4"/>
      <c r="BI768" s="4"/>
      <c r="BJ768" s="4"/>
      <c r="BK768" s="4"/>
      <c r="BL768" s="4"/>
      <c r="BM768" s="4"/>
      <c r="BN768" s="4"/>
    </row>
    <row r="769" ht="13.5" customHeight="1" spans="1:66" x14ac:dyDescent="0.25">
      <c r="A769" s="4"/>
      <c r="B769" s="4"/>
      <c r="C769" s="533"/>
      <c r="D769" s="4"/>
      <c r="E769" s="4"/>
      <c r="F769" s="4"/>
      <c r="G769" s="4"/>
      <c r="H769" s="4"/>
      <c r="I769" s="4"/>
      <c r="J769" s="4"/>
      <c r="K769" s="4"/>
      <c r="L769" s="4"/>
      <c r="M769" s="4"/>
      <c r="N769" s="4"/>
      <c r="O769" s="4"/>
      <c r="P769" s="4"/>
      <c r="Q769" s="4"/>
      <c r="R769" s="4"/>
      <c r="S769" s="4"/>
      <c r="T769" s="4"/>
      <c r="U769" s="4"/>
      <c r="V769" s="4"/>
      <c r="W769" s="4"/>
      <c r="X769" s="4"/>
      <c r="Y769" s="4"/>
      <c r="Z769" s="4"/>
      <c r="AA769" s="4"/>
      <c r="AB769" s="4"/>
      <c r="AC769" s="4"/>
      <c r="AD769" s="4"/>
      <c r="AE769" s="4"/>
      <c r="AF769" s="4"/>
      <c r="AG769" s="4"/>
      <c r="AH769" s="4"/>
      <c r="AI769" s="4"/>
      <c r="AJ769" s="4"/>
      <c r="AK769" s="4"/>
      <c r="AL769" s="4"/>
      <c r="AM769" s="4"/>
      <c r="AN769" s="4"/>
      <c r="AO769" s="4"/>
      <c r="AP769" s="4"/>
      <c r="AQ769" s="4"/>
      <c r="AR769" s="4"/>
      <c r="AS769" s="4"/>
      <c r="AT769" s="4"/>
      <c r="AU769" s="4"/>
      <c r="AV769" s="4"/>
      <c r="AW769" s="4"/>
      <c r="AX769" s="4"/>
      <c r="AY769" s="4"/>
      <c r="AZ769" s="4"/>
      <c r="BA769" s="4"/>
      <c r="BB769" s="4"/>
      <c r="BC769" s="4"/>
      <c r="BD769" s="4"/>
      <c r="BE769" s="4"/>
      <c r="BF769" s="4"/>
      <c r="BG769" s="4"/>
      <c r="BH769" s="4"/>
      <c r="BI769" s="4"/>
      <c r="BJ769" s="4"/>
      <c r="BK769" s="4"/>
      <c r="BL769" s="4"/>
      <c r="BM769" s="4"/>
      <c r="BN769" s="4"/>
    </row>
    <row r="770" ht="13.5" customHeight="1" spans="1:66" x14ac:dyDescent="0.25">
      <c r="A770" s="4"/>
      <c r="B770" s="4"/>
      <c r="C770" s="533"/>
      <c r="D770" s="4"/>
      <c r="E770" s="4"/>
      <c r="F770" s="4"/>
      <c r="G770" s="4"/>
      <c r="H770" s="4"/>
      <c r="I770" s="4"/>
      <c r="J770" s="4"/>
      <c r="K770" s="4"/>
      <c r="L770" s="4"/>
      <c r="M770" s="4"/>
      <c r="N770" s="4"/>
      <c r="O770" s="4"/>
      <c r="P770" s="4"/>
      <c r="Q770" s="4"/>
      <c r="R770" s="4"/>
      <c r="S770" s="4"/>
      <c r="T770" s="4"/>
      <c r="U770" s="4"/>
      <c r="V770" s="4"/>
      <c r="W770" s="4"/>
      <c r="X770" s="4"/>
      <c r="Y770" s="4"/>
      <c r="Z770" s="4"/>
      <c r="AA770" s="4"/>
      <c r="AB770" s="4"/>
      <c r="AC770" s="4"/>
      <c r="AD770" s="4"/>
      <c r="AE770" s="4"/>
      <c r="AF770" s="4"/>
      <c r="AG770" s="4"/>
      <c r="AH770" s="4"/>
      <c r="AI770" s="4"/>
      <c r="AJ770" s="4"/>
      <c r="AK770" s="4"/>
      <c r="AL770" s="4"/>
      <c r="AM770" s="4"/>
      <c r="AN770" s="4"/>
      <c r="AO770" s="4"/>
      <c r="AP770" s="4"/>
      <c r="AQ770" s="4"/>
      <c r="AR770" s="4"/>
      <c r="AS770" s="4"/>
      <c r="AT770" s="4"/>
      <c r="AU770" s="4"/>
      <c r="AV770" s="4"/>
      <c r="AW770" s="4"/>
      <c r="AX770" s="4"/>
      <c r="AY770" s="4"/>
      <c r="AZ770" s="4"/>
      <c r="BA770" s="4"/>
      <c r="BB770" s="4"/>
      <c r="BC770" s="4"/>
      <c r="BD770" s="4"/>
      <c r="BE770" s="4"/>
      <c r="BF770" s="4"/>
      <c r="BG770" s="4"/>
      <c r="BH770" s="4"/>
      <c r="BI770" s="4"/>
      <c r="BJ770" s="4"/>
      <c r="BK770" s="4"/>
      <c r="BL770" s="4"/>
      <c r="BM770" s="4"/>
      <c r="BN770" s="4"/>
    </row>
    <row r="771" ht="13.5" customHeight="1" spans="1:66" x14ac:dyDescent="0.25">
      <c r="A771" s="4"/>
      <c r="B771" s="4"/>
      <c r="C771" s="533"/>
      <c r="D771" s="4"/>
      <c r="E771" s="4"/>
      <c r="F771" s="4"/>
      <c r="G771" s="4"/>
      <c r="H771" s="4"/>
      <c r="I771" s="4"/>
      <c r="J771" s="4"/>
      <c r="K771" s="4"/>
      <c r="L771" s="4"/>
      <c r="M771" s="4"/>
      <c r="N771" s="4"/>
      <c r="O771" s="4"/>
      <c r="P771" s="4"/>
      <c r="Q771" s="4"/>
      <c r="R771" s="4"/>
      <c r="S771" s="4"/>
      <c r="T771" s="4"/>
      <c r="U771" s="4"/>
      <c r="V771" s="4"/>
      <c r="W771" s="4"/>
      <c r="X771" s="4"/>
      <c r="Y771" s="4"/>
      <c r="Z771" s="4"/>
      <c r="AA771" s="4"/>
      <c r="AB771" s="4"/>
      <c r="AC771" s="4"/>
      <c r="AD771" s="4"/>
      <c r="AE771" s="4"/>
      <c r="AF771" s="4"/>
      <c r="AG771" s="4"/>
      <c r="AH771" s="4"/>
      <c r="AI771" s="4"/>
      <c r="AJ771" s="4"/>
      <c r="AK771" s="4"/>
      <c r="AL771" s="4"/>
      <c r="AM771" s="4"/>
      <c r="AN771" s="4"/>
      <c r="AO771" s="4"/>
      <c r="AP771" s="4"/>
      <c r="AQ771" s="4"/>
      <c r="AR771" s="4"/>
      <c r="AS771" s="4"/>
      <c r="AT771" s="4"/>
      <c r="AU771" s="4"/>
      <c r="AV771" s="4"/>
      <c r="AW771" s="4"/>
      <c r="AX771" s="4"/>
      <c r="AY771" s="4"/>
      <c r="AZ771" s="4"/>
      <c r="BA771" s="4"/>
      <c r="BB771" s="4"/>
      <c r="BC771" s="4"/>
      <c r="BD771" s="4"/>
      <c r="BE771" s="4"/>
      <c r="BF771" s="4"/>
      <c r="BG771" s="4"/>
      <c r="BH771" s="4"/>
      <c r="BI771" s="4"/>
      <c r="BJ771" s="4"/>
      <c r="BK771" s="4"/>
      <c r="BL771" s="4"/>
      <c r="BM771" s="4"/>
      <c r="BN771" s="4"/>
    </row>
    <row r="772" ht="13.5" customHeight="1" spans="1:66" x14ac:dyDescent="0.25">
      <c r="A772" s="4"/>
      <c r="B772" s="4"/>
      <c r="C772" s="533"/>
      <c r="D772" s="4"/>
      <c r="E772" s="4"/>
      <c r="F772" s="4"/>
      <c r="G772" s="4"/>
      <c r="H772" s="4"/>
      <c r="I772" s="4"/>
      <c r="J772" s="4"/>
      <c r="K772" s="4"/>
      <c r="L772" s="4"/>
      <c r="M772" s="4"/>
      <c r="N772" s="4"/>
      <c r="O772" s="4"/>
      <c r="P772" s="4"/>
      <c r="Q772" s="4"/>
      <c r="R772" s="4"/>
      <c r="S772" s="4"/>
      <c r="T772" s="4"/>
      <c r="U772" s="4"/>
      <c r="V772" s="4"/>
      <c r="W772" s="4"/>
      <c r="X772" s="4"/>
      <c r="Y772" s="4"/>
      <c r="Z772" s="4"/>
      <c r="AA772" s="4"/>
      <c r="AB772" s="4"/>
      <c r="AC772" s="4"/>
      <c r="AD772" s="4"/>
      <c r="AE772" s="4"/>
      <c r="AF772" s="4"/>
      <c r="AG772" s="4"/>
      <c r="AH772" s="4"/>
      <c r="AI772" s="4"/>
      <c r="AJ772" s="4"/>
      <c r="AK772" s="4"/>
      <c r="AL772" s="4"/>
      <c r="AM772" s="4"/>
      <c r="AN772" s="4"/>
      <c r="AO772" s="4"/>
      <c r="AP772" s="4"/>
      <c r="AQ772" s="4"/>
      <c r="AR772" s="4"/>
      <c r="AS772" s="4"/>
      <c r="AT772" s="4"/>
      <c r="AU772" s="4"/>
      <c r="AV772" s="4"/>
      <c r="AW772" s="4"/>
      <c r="AX772" s="4"/>
      <c r="AY772" s="4"/>
      <c r="AZ772" s="4"/>
      <c r="BA772" s="4"/>
      <c r="BB772" s="4"/>
      <c r="BC772" s="4"/>
      <c r="BD772" s="4"/>
      <c r="BE772" s="4"/>
      <c r="BF772" s="4"/>
      <c r="BG772" s="4"/>
      <c r="BH772" s="4"/>
      <c r="BI772" s="4"/>
      <c r="BJ772" s="4"/>
      <c r="BK772" s="4"/>
      <c r="BL772" s="4"/>
      <c r="BM772" s="4"/>
      <c r="BN772" s="4"/>
    </row>
    <row r="773" ht="13.5" customHeight="1" spans="1:66" x14ac:dyDescent="0.25">
      <c r="A773" s="4"/>
      <c r="B773" s="4"/>
      <c r="C773" s="533"/>
      <c r="D773" s="4"/>
      <c r="E773" s="4"/>
      <c r="F773" s="4"/>
      <c r="G773" s="4"/>
      <c r="H773" s="4"/>
      <c r="I773" s="4"/>
      <c r="J773" s="4"/>
      <c r="K773" s="4"/>
      <c r="L773" s="4"/>
      <c r="M773" s="4"/>
      <c r="N773" s="4"/>
      <c r="O773" s="4"/>
      <c r="P773" s="4"/>
      <c r="Q773" s="4"/>
      <c r="R773" s="4"/>
      <c r="S773" s="4"/>
      <c r="T773" s="4"/>
      <c r="U773" s="4"/>
      <c r="V773" s="4"/>
      <c r="W773" s="4"/>
      <c r="X773" s="4"/>
      <c r="Y773" s="4"/>
      <c r="Z773" s="4"/>
      <c r="AA773" s="4"/>
      <c r="AB773" s="4"/>
      <c r="AC773" s="4"/>
      <c r="AD773" s="4"/>
      <c r="AE773" s="4"/>
      <c r="AF773" s="4"/>
      <c r="AG773" s="4"/>
      <c r="AH773" s="4"/>
      <c r="AI773" s="4"/>
      <c r="AJ773" s="4"/>
      <c r="AK773" s="4"/>
      <c r="AL773" s="4"/>
      <c r="AM773" s="4"/>
      <c r="AN773" s="4"/>
      <c r="AO773" s="4"/>
      <c r="AP773" s="4"/>
      <c r="AQ773" s="4"/>
      <c r="AR773" s="4"/>
      <c r="AS773" s="4"/>
      <c r="AT773" s="4"/>
      <c r="AU773" s="4"/>
      <c r="AV773" s="4"/>
      <c r="AW773" s="4"/>
      <c r="AX773" s="4"/>
      <c r="AY773" s="4"/>
      <c r="AZ773" s="4"/>
      <c r="BA773" s="4"/>
      <c r="BB773" s="4"/>
      <c r="BC773" s="4"/>
      <c r="BD773" s="4"/>
      <c r="BE773" s="4"/>
      <c r="BF773" s="4"/>
      <c r="BG773" s="4"/>
      <c r="BH773" s="4"/>
      <c r="BI773" s="4"/>
      <c r="BJ773" s="4"/>
      <c r="BK773" s="4"/>
      <c r="BL773" s="4"/>
      <c r="BM773" s="4"/>
      <c r="BN773" s="4"/>
    </row>
    <row r="774" ht="13.5" customHeight="1" spans="1:66" x14ac:dyDescent="0.25">
      <c r="A774" s="4"/>
      <c r="B774" s="4"/>
      <c r="C774" s="533"/>
      <c r="D774" s="4"/>
      <c r="E774" s="4"/>
      <c r="F774" s="4"/>
      <c r="G774" s="4"/>
      <c r="H774" s="4"/>
      <c r="I774" s="4"/>
      <c r="J774" s="4"/>
      <c r="K774" s="4"/>
      <c r="L774" s="4"/>
      <c r="M774" s="4"/>
      <c r="N774" s="4"/>
      <c r="O774" s="4"/>
      <c r="P774" s="4"/>
      <c r="Q774" s="4"/>
      <c r="R774" s="4"/>
      <c r="S774" s="4"/>
      <c r="T774" s="4"/>
      <c r="U774" s="4"/>
      <c r="V774" s="4"/>
      <c r="W774" s="4"/>
      <c r="X774" s="4"/>
      <c r="Y774" s="4"/>
      <c r="Z774" s="4"/>
      <c r="AA774" s="4"/>
      <c r="AB774" s="4"/>
      <c r="AC774" s="4"/>
      <c r="AD774" s="4"/>
      <c r="AE774" s="4"/>
      <c r="AF774" s="4"/>
      <c r="AG774" s="4"/>
      <c r="AH774" s="4"/>
      <c r="AI774" s="4"/>
      <c r="AJ774" s="4"/>
      <c r="AK774" s="4"/>
      <c r="AL774" s="4"/>
      <c r="AM774" s="4"/>
      <c r="AN774" s="4"/>
      <c r="AO774" s="4"/>
      <c r="AP774" s="4"/>
      <c r="AQ774" s="4"/>
      <c r="AR774" s="4"/>
      <c r="AS774" s="4"/>
      <c r="AT774" s="4"/>
      <c r="AU774" s="4"/>
      <c r="AV774" s="4"/>
      <c r="AW774" s="4"/>
      <c r="AX774" s="4"/>
      <c r="AY774" s="4"/>
      <c r="AZ774" s="4"/>
      <c r="BA774" s="4"/>
      <c r="BB774" s="4"/>
      <c r="BC774" s="4"/>
      <c r="BD774" s="4"/>
      <c r="BE774" s="4"/>
      <c r="BF774" s="4"/>
      <c r="BG774" s="4"/>
      <c r="BH774" s="4"/>
      <c r="BI774" s="4"/>
      <c r="BJ774" s="4"/>
      <c r="BK774" s="4"/>
      <c r="BL774" s="4"/>
      <c r="BM774" s="4"/>
      <c r="BN774" s="4"/>
    </row>
    <row r="775" ht="13.5" customHeight="1" spans="1:66" x14ac:dyDescent="0.25">
      <c r="A775" s="4"/>
      <c r="B775" s="4"/>
      <c r="C775" s="533"/>
      <c r="D775" s="4"/>
      <c r="E775" s="4"/>
      <c r="F775" s="4"/>
      <c r="G775" s="4"/>
      <c r="H775" s="4"/>
      <c r="I775" s="4"/>
      <c r="J775" s="4"/>
      <c r="K775" s="4"/>
      <c r="L775" s="4"/>
      <c r="M775" s="4"/>
      <c r="N775" s="4"/>
      <c r="O775" s="4"/>
      <c r="P775" s="4"/>
      <c r="Q775" s="4"/>
      <c r="R775" s="4"/>
      <c r="S775" s="4"/>
      <c r="T775" s="4"/>
      <c r="U775" s="4"/>
      <c r="V775" s="4"/>
      <c r="W775" s="4"/>
      <c r="X775" s="4"/>
      <c r="Y775" s="4"/>
      <c r="Z775" s="4"/>
      <c r="AA775" s="4"/>
      <c r="AB775" s="4"/>
      <c r="AC775" s="4"/>
      <c r="AD775" s="4"/>
      <c r="AE775" s="4"/>
      <c r="AF775" s="4"/>
      <c r="AG775" s="4"/>
      <c r="AH775" s="4"/>
      <c r="AI775" s="4"/>
      <c r="AJ775" s="4"/>
      <c r="AK775" s="4"/>
      <c r="AL775" s="4"/>
      <c r="AM775" s="4"/>
      <c r="AN775" s="4"/>
      <c r="AO775" s="4"/>
      <c r="AP775" s="4"/>
      <c r="AQ775" s="4"/>
      <c r="AR775" s="4"/>
      <c r="AS775" s="4"/>
      <c r="AT775" s="4"/>
      <c r="AU775" s="4"/>
      <c r="AV775" s="4"/>
      <c r="AW775" s="4"/>
      <c r="AX775" s="4"/>
      <c r="AY775" s="4"/>
      <c r="AZ775" s="4"/>
      <c r="BA775" s="4"/>
      <c r="BB775" s="4"/>
      <c r="BC775" s="4"/>
      <c r="BD775" s="4"/>
      <c r="BE775" s="4"/>
      <c r="BF775" s="4"/>
      <c r="BG775" s="4"/>
      <c r="BH775" s="4"/>
      <c r="BI775" s="4"/>
      <c r="BJ775" s="4"/>
      <c r="BK775" s="4"/>
      <c r="BL775" s="4"/>
      <c r="BM775" s="4"/>
      <c r="BN775" s="4"/>
    </row>
    <row r="776" ht="13.5" customHeight="1" spans="1:66" x14ac:dyDescent="0.25">
      <c r="A776" s="4"/>
      <c r="B776" s="4"/>
      <c r="C776" s="533"/>
      <c r="D776" s="4"/>
      <c r="E776" s="4"/>
      <c r="F776" s="4"/>
      <c r="G776" s="4"/>
      <c r="H776" s="4"/>
      <c r="I776" s="4"/>
      <c r="J776" s="4"/>
      <c r="K776" s="4"/>
      <c r="L776" s="4"/>
      <c r="M776" s="4"/>
      <c r="N776" s="4"/>
      <c r="O776" s="4"/>
      <c r="P776" s="4"/>
      <c r="Q776" s="4"/>
      <c r="R776" s="4"/>
      <c r="S776" s="4"/>
      <c r="T776" s="4"/>
      <c r="U776" s="4"/>
      <c r="V776" s="4"/>
      <c r="W776" s="4"/>
      <c r="X776" s="4"/>
      <c r="Y776" s="4"/>
      <c r="Z776" s="4"/>
      <c r="AA776" s="4"/>
      <c r="AB776" s="4"/>
      <c r="AC776" s="4"/>
      <c r="AD776" s="4"/>
      <c r="AE776" s="4"/>
      <c r="AF776" s="4"/>
      <c r="AG776" s="4"/>
      <c r="AH776" s="4"/>
      <c r="AI776" s="4"/>
      <c r="AJ776" s="4"/>
      <c r="AK776" s="4"/>
      <c r="AL776" s="4"/>
      <c r="AM776" s="4"/>
      <c r="AN776" s="4"/>
      <c r="AO776" s="4"/>
      <c r="AP776" s="4"/>
      <c r="AQ776" s="4"/>
      <c r="AR776" s="4"/>
      <c r="AS776" s="4"/>
      <c r="AT776" s="4"/>
      <c r="AU776" s="4"/>
      <c r="AV776" s="4"/>
      <c r="AW776" s="4"/>
      <c r="AX776" s="4"/>
      <c r="AY776" s="4"/>
      <c r="AZ776" s="4"/>
      <c r="BA776" s="4"/>
      <c r="BB776" s="4"/>
      <c r="BC776" s="4"/>
      <c r="BD776" s="4"/>
      <c r="BE776" s="4"/>
      <c r="BF776" s="4"/>
      <c r="BG776" s="4"/>
      <c r="BH776" s="4"/>
      <c r="BI776" s="4"/>
      <c r="BJ776" s="4"/>
      <c r="BK776" s="4"/>
      <c r="BL776" s="4"/>
      <c r="BM776" s="4"/>
      <c r="BN776" s="4"/>
    </row>
    <row r="777" ht="13.5" customHeight="1" spans="1:66" x14ac:dyDescent="0.25">
      <c r="A777" s="4"/>
      <c r="B777" s="4"/>
      <c r="C777" s="533"/>
      <c r="D777" s="4"/>
      <c r="E777" s="4"/>
      <c r="F777" s="4"/>
      <c r="G777" s="4"/>
      <c r="H777" s="4"/>
      <c r="I777" s="4"/>
      <c r="J777" s="4"/>
      <c r="K777" s="4"/>
      <c r="L777" s="4"/>
      <c r="M777" s="4"/>
      <c r="N777" s="4"/>
      <c r="O777" s="4"/>
      <c r="P777" s="4"/>
      <c r="Q777" s="4"/>
      <c r="R777" s="4"/>
      <c r="S777" s="4"/>
      <c r="T777" s="4"/>
      <c r="U777" s="4"/>
      <c r="V777" s="4"/>
      <c r="W777" s="4"/>
      <c r="X777" s="4"/>
      <c r="Y777" s="4"/>
      <c r="Z777" s="4"/>
      <c r="AA777" s="4"/>
      <c r="AB777" s="4"/>
      <c r="AC777" s="4"/>
      <c r="AD777" s="4"/>
      <c r="AE777" s="4"/>
      <c r="AF777" s="4"/>
      <c r="AG777" s="4"/>
      <c r="AH777" s="4"/>
      <c r="AI777" s="4"/>
      <c r="AJ777" s="4"/>
      <c r="AK777" s="4"/>
      <c r="AL777" s="4"/>
      <c r="AM777" s="4"/>
      <c r="AN777" s="4"/>
      <c r="AO777" s="4"/>
      <c r="AP777" s="4"/>
      <c r="AQ777" s="4"/>
      <c r="AR777" s="4"/>
      <c r="AS777" s="4"/>
      <c r="AT777" s="4"/>
      <c r="AU777" s="4"/>
      <c r="AV777" s="4"/>
      <c r="AW777" s="4"/>
      <c r="AX777" s="4"/>
      <c r="AY777" s="4"/>
      <c r="AZ777" s="4"/>
      <c r="BA777" s="4"/>
      <c r="BB777" s="4"/>
      <c r="BC777" s="4"/>
      <c r="BD777" s="4"/>
      <c r="BE777" s="4"/>
      <c r="BF777" s="4"/>
      <c r="BG777" s="4"/>
      <c r="BH777" s="4"/>
      <c r="BI777" s="4"/>
      <c r="BJ777" s="4"/>
      <c r="BK777" s="4"/>
      <c r="BL777" s="4"/>
      <c r="BM777" s="4"/>
      <c r="BN777" s="4"/>
    </row>
    <row r="778" ht="13.5" customHeight="1" spans="1:66" x14ac:dyDescent="0.25">
      <c r="A778" s="4"/>
      <c r="B778" s="4"/>
      <c r="C778" s="533"/>
      <c r="D778" s="4"/>
      <c r="E778" s="4"/>
      <c r="F778" s="4"/>
      <c r="G778" s="4"/>
      <c r="H778" s="4"/>
      <c r="I778" s="4"/>
      <c r="J778" s="4"/>
      <c r="K778" s="4"/>
      <c r="L778" s="4"/>
      <c r="M778" s="4"/>
      <c r="N778" s="4"/>
      <c r="O778" s="4"/>
      <c r="P778" s="4"/>
      <c r="Q778" s="4"/>
      <c r="R778" s="4"/>
      <c r="S778" s="4"/>
      <c r="T778" s="4"/>
      <c r="U778" s="4"/>
      <c r="V778" s="4"/>
      <c r="W778" s="4"/>
      <c r="X778" s="4"/>
      <c r="Y778" s="4"/>
      <c r="Z778" s="4"/>
      <c r="AA778" s="4"/>
      <c r="AB778" s="4"/>
      <c r="AC778" s="4"/>
      <c r="AD778" s="4"/>
      <c r="AE778" s="4"/>
      <c r="AF778" s="4"/>
      <c r="AG778" s="4"/>
      <c r="AH778" s="4"/>
      <c r="AI778" s="4"/>
      <c r="AJ778" s="4"/>
      <c r="AK778" s="4"/>
      <c r="AL778" s="4"/>
      <c r="AM778" s="4"/>
      <c r="AN778" s="4"/>
      <c r="AO778" s="4"/>
      <c r="AP778" s="4"/>
      <c r="AQ778" s="4"/>
      <c r="AR778" s="4"/>
      <c r="AS778" s="4"/>
      <c r="AT778" s="4"/>
      <c r="AU778" s="4"/>
      <c r="AV778" s="4"/>
      <c r="AW778" s="4"/>
      <c r="AX778" s="4"/>
      <c r="AY778" s="4"/>
      <c r="AZ778" s="4"/>
      <c r="BA778" s="4"/>
      <c r="BB778" s="4"/>
      <c r="BC778" s="4"/>
      <c r="BD778" s="4"/>
      <c r="BE778" s="4"/>
      <c r="BF778" s="4"/>
      <c r="BG778" s="4"/>
      <c r="BH778" s="4"/>
      <c r="BI778" s="4"/>
      <c r="BJ778" s="4"/>
      <c r="BK778" s="4"/>
      <c r="BL778" s="4"/>
      <c r="BM778" s="4"/>
      <c r="BN778" s="4"/>
    </row>
    <row r="779" ht="13.5" customHeight="1" spans="1:66" x14ac:dyDescent="0.25">
      <c r="A779" s="4"/>
      <c r="B779" s="4"/>
      <c r="C779" s="533"/>
      <c r="D779" s="4"/>
      <c r="E779" s="4"/>
      <c r="F779" s="4"/>
      <c r="G779" s="4"/>
      <c r="H779" s="4"/>
      <c r="I779" s="4"/>
      <c r="J779" s="4"/>
      <c r="K779" s="4"/>
      <c r="L779" s="4"/>
      <c r="M779" s="4"/>
      <c r="N779" s="4"/>
      <c r="O779" s="4"/>
      <c r="P779" s="4"/>
      <c r="Q779" s="4"/>
      <c r="R779" s="4"/>
      <c r="S779" s="4"/>
      <c r="T779" s="4"/>
      <c r="U779" s="4"/>
      <c r="V779" s="4"/>
      <c r="W779" s="4"/>
      <c r="X779" s="4"/>
      <c r="Y779" s="4"/>
      <c r="Z779" s="4"/>
      <c r="AA779" s="4"/>
      <c r="AB779" s="4"/>
      <c r="AC779" s="4"/>
      <c r="AD779" s="4"/>
      <c r="AE779" s="4"/>
      <c r="AF779" s="4"/>
      <c r="AG779" s="4"/>
      <c r="AH779" s="4"/>
      <c r="AI779" s="4"/>
      <c r="AJ779" s="4"/>
      <c r="AK779" s="4"/>
      <c r="AL779" s="4"/>
      <c r="AM779" s="4"/>
      <c r="AN779" s="4"/>
      <c r="AO779" s="4"/>
      <c r="AP779" s="4"/>
      <c r="AQ779" s="4"/>
      <c r="AR779" s="4"/>
      <c r="AS779" s="4"/>
      <c r="AT779" s="4"/>
      <c r="AU779" s="4"/>
      <c r="AV779" s="4"/>
      <c r="AW779" s="4"/>
      <c r="AX779" s="4"/>
      <c r="AY779" s="4"/>
      <c r="AZ779" s="4"/>
      <c r="BA779" s="4"/>
      <c r="BB779" s="4"/>
      <c r="BC779" s="4"/>
      <c r="BD779" s="4"/>
      <c r="BE779" s="4"/>
      <c r="BF779" s="4"/>
      <c r="BG779" s="4"/>
      <c r="BH779" s="4"/>
      <c r="BI779" s="4"/>
      <c r="BJ779" s="4"/>
      <c r="BK779" s="4"/>
      <c r="BL779" s="4"/>
      <c r="BM779" s="4"/>
      <c r="BN779" s="4"/>
    </row>
    <row r="780" ht="13.5" customHeight="1" spans="1:66" x14ac:dyDescent="0.25">
      <c r="A780" s="4"/>
      <c r="B780" s="4"/>
      <c r="C780" s="533"/>
      <c r="D780" s="4"/>
      <c r="E780" s="4"/>
      <c r="F780" s="4"/>
      <c r="G780" s="4"/>
      <c r="H780" s="4"/>
      <c r="I780" s="4"/>
      <c r="J780" s="4"/>
      <c r="K780" s="4"/>
      <c r="L780" s="4"/>
      <c r="M780" s="4"/>
      <c r="N780" s="4"/>
      <c r="O780" s="4"/>
      <c r="P780" s="4"/>
      <c r="Q780" s="4"/>
      <c r="R780" s="4"/>
      <c r="S780" s="4"/>
      <c r="T780" s="4"/>
      <c r="U780" s="4"/>
      <c r="V780" s="4"/>
      <c r="W780" s="4"/>
      <c r="X780" s="4"/>
      <c r="Y780" s="4"/>
      <c r="Z780" s="4"/>
      <c r="AA780" s="4"/>
      <c r="AB780" s="4"/>
      <c r="AC780" s="4"/>
      <c r="AD780" s="4"/>
      <c r="AE780" s="4"/>
      <c r="AF780" s="4"/>
      <c r="AG780" s="4"/>
      <c r="AH780" s="4"/>
      <c r="AI780" s="4"/>
      <c r="AJ780" s="4"/>
      <c r="AK780" s="4"/>
      <c r="AL780" s="4"/>
      <c r="AM780" s="4"/>
      <c r="AN780" s="4"/>
      <c r="AO780" s="4"/>
      <c r="AP780" s="4"/>
      <c r="AQ780" s="4"/>
      <c r="AR780" s="4"/>
      <c r="AS780" s="4"/>
      <c r="AT780" s="4"/>
      <c r="AU780" s="4"/>
      <c r="AV780" s="4"/>
      <c r="AW780" s="4"/>
      <c r="AX780" s="4"/>
      <c r="AY780" s="4"/>
      <c r="AZ780" s="4"/>
      <c r="BA780" s="4"/>
      <c r="BB780" s="4"/>
      <c r="BC780" s="4"/>
      <c r="BD780" s="4"/>
      <c r="BE780" s="4"/>
      <c r="BF780" s="4"/>
      <c r="BG780" s="4"/>
      <c r="BH780" s="4"/>
      <c r="BI780" s="4"/>
      <c r="BJ780" s="4"/>
      <c r="BK780" s="4"/>
      <c r="BL780" s="4"/>
      <c r="BM780" s="4"/>
      <c r="BN780" s="4"/>
    </row>
    <row r="781" ht="13.5" customHeight="1" spans="1:66" x14ac:dyDescent="0.25">
      <c r="A781" s="4"/>
      <c r="B781" s="4"/>
      <c r="C781" s="533"/>
      <c r="D781" s="4"/>
      <c r="E781" s="4"/>
      <c r="F781" s="4"/>
      <c r="G781" s="4"/>
      <c r="H781" s="4"/>
      <c r="I781" s="4"/>
      <c r="J781" s="4"/>
      <c r="K781" s="4"/>
      <c r="L781" s="4"/>
      <c r="M781" s="4"/>
      <c r="N781" s="4"/>
      <c r="O781" s="4"/>
      <c r="P781" s="4"/>
      <c r="Q781" s="4"/>
      <c r="R781" s="4"/>
      <c r="S781" s="4"/>
      <c r="T781" s="4"/>
      <c r="U781" s="4"/>
      <c r="V781" s="4"/>
      <c r="W781" s="4"/>
      <c r="X781" s="4"/>
      <c r="Y781" s="4"/>
      <c r="Z781" s="4"/>
      <c r="AA781" s="4"/>
      <c r="AB781" s="4"/>
      <c r="AC781" s="4"/>
      <c r="AD781" s="4"/>
      <c r="AE781" s="4"/>
      <c r="AF781" s="4"/>
      <c r="AG781" s="4"/>
      <c r="AH781" s="4"/>
      <c r="AI781" s="4"/>
      <c r="AJ781" s="4"/>
      <c r="AK781" s="4"/>
      <c r="AL781" s="4"/>
      <c r="AM781" s="4"/>
      <c r="AN781" s="4"/>
      <c r="AO781" s="4"/>
      <c r="AP781" s="4"/>
      <c r="AQ781" s="4"/>
      <c r="AR781" s="4"/>
      <c r="AS781" s="4"/>
      <c r="AT781" s="4"/>
      <c r="AU781" s="4"/>
      <c r="AV781" s="4"/>
      <c r="AW781" s="4"/>
      <c r="AX781" s="4"/>
      <c r="AY781" s="4"/>
      <c r="AZ781" s="4"/>
      <c r="BA781" s="4"/>
      <c r="BB781" s="4"/>
      <c r="BC781" s="4"/>
      <c r="BD781" s="4"/>
      <c r="BE781" s="4"/>
      <c r="BF781" s="4"/>
      <c r="BG781" s="4"/>
      <c r="BH781" s="4"/>
      <c r="BI781" s="4"/>
      <c r="BJ781" s="4"/>
      <c r="BK781" s="4"/>
      <c r="BL781" s="4"/>
      <c r="BM781" s="4"/>
      <c r="BN781" s="4"/>
    </row>
    <row r="782" ht="13.5" customHeight="1" spans="1:66" x14ac:dyDescent="0.25">
      <c r="A782" s="4"/>
      <c r="B782" s="4"/>
      <c r="C782" s="533"/>
      <c r="D782" s="4"/>
      <c r="E782" s="4"/>
      <c r="F782" s="4"/>
      <c r="G782" s="4"/>
      <c r="H782" s="4"/>
      <c r="I782" s="4"/>
      <c r="J782" s="4"/>
      <c r="K782" s="4"/>
      <c r="L782" s="4"/>
      <c r="M782" s="4"/>
      <c r="N782" s="4"/>
      <c r="O782" s="4"/>
      <c r="P782" s="4"/>
      <c r="Q782" s="4"/>
      <c r="R782" s="4"/>
      <c r="S782" s="4"/>
      <c r="T782" s="4"/>
      <c r="U782" s="4"/>
      <c r="V782" s="4"/>
      <c r="W782" s="4"/>
      <c r="X782" s="4"/>
      <c r="Y782" s="4"/>
      <c r="Z782" s="4"/>
      <c r="AA782" s="4"/>
      <c r="AB782" s="4"/>
      <c r="AC782" s="4"/>
      <c r="AD782" s="4"/>
      <c r="AE782" s="4"/>
      <c r="AF782" s="4"/>
      <c r="AG782" s="4"/>
      <c r="AH782" s="4"/>
      <c r="AI782" s="4"/>
      <c r="AJ782" s="4"/>
      <c r="AK782" s="4"/>
      <c r="AL782" s="4"/>
      <c r="AM782" s="4"/>
      <c r="AN782" s="4"/>
      <c r="AO782" s="4"/>
      <c r="AP782" s="4"/>
      <c r="AQ782" s="4"/>
      <c r="AR782" s="4"/>
      <c r="AS782" s="4"/>
      <c r="AT782" s="4"/>
      <c r="AU782" s="4"/>
      <c r="AV782" s="4"/>
      <c r="AW782" s="4"/>
      <c r="AX782" s="4"/>
      <c r="AY782" s="4"/>
      <c r="AZ782" s="4"/>
      <c r="BA782" s="4"/>
      <c r="BB782" s="4"/>
      <c r="BC782" s="4"/>
      <c r="BD782" s="4"/>
      <c r="BE782" s="4"/>
      <c r="BF782" s="4"/>
      <c r="BG782" s="4"/>
      <c r="BH782" s="4"/>
      <c r="BI782" s="4"/>
      <c r="BJ782" s="4"/>
      <c r="BK782" s="4"/>
      <c r="BL782" s="4"/>
      <c r="BM782" s="4"/>
      <c r="BN782" s="4"/>
    </row>
    <row r="783" ht="13.5" customHeight="1" spans="1:66" x14ac:dyDescent="0.25">
      <c r="A783" s="4"/>
      <c r="B783" s="4"/>
      <c r="C783" s="533"/>
      <c r="D783" s="4"/>
      <c r="E783" s="4"/>
      <c r="F783" s="4"/>
      <c r="G783" s="4"/>
      <c r="H783" s="4"/>
      <c r="I783" s="4"/>
      <c r="J783" s="4"/>
      <c r="K783" s="4"/>
      <c r="L783" s="4"/>
      <c r="M783" s="4"/>
      <c r="N783" s="4"/>
      <c r="O783" s="4"/>
      <c r="P783" s="4"/>
      <c r="Q783" s="4"/>
      <c r="R783" s="4"/>
      <c r="S783" s="4"/>
      <c r="T783" s="4"/>
      <c r="U783" s="4"/>
      <c r="V783" s="4"/>
      <c r="W783" s="4"/>
      <c r="X783" s="4"/>
      <c r="Y783" s="4"/>
      <c r="Z783" s="4"/>
      <c r="AA783" s="4"/>
      <c r="AB783" s="4"/>
      <c r="AC783" s="4"/>
      <c r="AD783" s="4"/>
      <c r="AE783" s="4"/>
      <c r="AF783" s="4"/>
      <c r="AG783" s="4"/>
      <c r="AH783" s="4"/>
      <c r="AI783" s="4"/>
      <c r="AJ783" s="4"/>
      <c r="AK783" s="4"/>
      <c r="AL783" s="4"/>
      <c r="AM783" s="4"/>
      <c r="AN783" s="4"/>
      <c r="AO783" s="4"/>
      <c r="AP783" s="4"/>
      <c r="AQ783" s="4"/>
      <c r="AR783" s="4"/>
      <c r="AS783" s="4"/>
      <c r="AT783" s="4"/>
      <c r="AU783" s="4"/>
      <c r="AV783" s="4"/>
      <c r="AW783" s="4"/>
      <c r="AX783" s="4"/>
      <c r="AY783" s="4"/>
      <c r="AZ783" s="4"/>
      <c r="BA783" s="4"/>
      <c r="BB783" s="4"/>
      <c r="BC783" s="4"/>
      <c r="BD783" s="4"/>
      <c r="BE783" s="4"/>
      <c r="BF783" s="4"/>
      <c r="BG783" s="4"/>
      <c r="BH783" s="4"/>
      <c r="BI783" s="4"/>
      <c r="BJ783" s="4"/>
      <c r="BK783" s="4"/>
      <c r="BL783" s="4"/>
      <c r="BM783" s="4"/>
      <c r="BN783" s="4"/>
    </row>
    <row r="784" ht="13.5" customHeight="1" spans="1:66" x14ac:dyDescent="0.25">
      <c r="A784" s="4"/>
      <c r="B784" s="4"/>
      <c r="C784" s="533"/>
      <c r="D784" s="4"/>
      <c r="E784" s="4"/>
      <c r="F784" s="4"/>
      <c r="G784" s="4"/>
      <c r="H784" s="4"/>
      <c r="I784" s="4"/>
      <c r="J784" s="4"/>
      <c r="K784" s="4"/>
      <c r="L784" s="4"/>
      <c r="M784" s="4"/>
      <c r="N784" s="4"/>
      <c r="O784" s="4"/>
      <c r="P784" s="4"/>
      <c r="Q784" s="4"/>
      <c r="R784" s="4"/>
      <c r="S784" s="4"/>
      <c r="T784" s="4"/>
      <c r="U784" s="4"/>
      <c r="V784" s="4"/>
      <c r="W784" s="4"/>
      <c r="X784" s="4"/>
      <c r="Y784" s="4"/>
      <c r="Z784" s="4"/>
      <c r="AA784" s="4"/>
      <c r="AB784" s="4"/>
      <c r="AC784" s="4"/>
      <c r="AD784" s="4"/>
      <c r="AE784" s="4"/>
      <c r="AF784" s="4"/>
      <c r="AG784" s="4"/>
      <c r="AH784" s="4"/>
      <c r="AI784" s="4"/>
      <c r="AJ784" s="4"/>
      <c r="AK784" s="4"/>
      <c r="AL784" s="4"/>
      <c r="AM784" s="4"/>
      <c r="AN784" s="4"/>
      <c r="AO784" s="4"/>
      <c r="AP784" s="4"/>
      <c r="AQ784" s="4"/>
      <c r="AR784" s="4"/>
      <c r="AS784" s="4"/>
      <c r="AT784" s="4"/>
      <c r="AU784" s="4"/>
      <c r="AV784" s="4"/>
      <c r="AW784" s="4"/>
      <c r="AX784" s="4"/>
      <c r="AY784" s="4"/>
      <c r="AZ784" s="4"/>
      <c r="BA784" s="4"/>
      <c r="BB784" s="4"/>
      <c r="BC784" s="4"/>
      <c r="BD784" s="4"/>
      <c r="BE784" s="4"/>
      <c r="BF784" s="4"/>
      <c r="BG784" s="4"/>
      <c r="BH784" s="4"/>
      <c r="BI784" s="4"/>
      <c r="BJ784" s="4"/>
      <c r="BK784" s="4"/>
      <c r="BL784" s="4"/>
      <c r="BM784" s="4"/>
      <c r="BN784" s="4"/>
    </row>
    <row r="785" ht="13.5" customHeight="1" spans="1:66" x14ac:dyDescent="0.25">
      <c r="A785" s="4"/>
      <c r="B785" s="4"/>
      <c r="C785" s="533"/>
      <c r="D785" s="4"/>
      <c r="E785" s="4"/>
      <c r="F785" s="4"/>
      <c r="G785" s="4"/>
      <c r="H785" s="4"/>
      <c r="I785" s="4"/>
      <c r="J785" s="4"/>
      <c r="K785" s="4"/>
      <c r="L785" s="4"/>
      <c r="M785" s="4"/>
      <c r="N785" s="4"/>
      <c r="O785" s="4"/>
      <c r="P785" s="4"/>
      <c r="Q785" s="4"/>
      <c r="R785" s="4"/>
      <c r="S785" s="4"/>
      <c r="T785" s="4"/>
      <c r="U785" s="4"/>
      <c r="V785" s="4"/>
      <c r="W785" s="4"/>
      <c r="X785" s="4"/>
      <c r="Y785" s="4"/>
      <c r="Z785" s="4"/>
      <c r="AA785" s="4"/>
      <c r="AB785" s="4"/>
      <c r="AC785" s="4"/>
      <c r="AD785" s="4"/>
      <c r="AE785" s="4"/>
      <c r="AF785" s="4"/>
      <c r="AG785" s="4"/>
      <c r="AH785" s="4"/>
      <c r="AI785" s="4"/>
      <c r="AJ785" s="4"/>
      <c r="AK785" s="4"/>
      <c r="AL785" s="4"/>
      <c r="AM785" s="4"/>
      <c r="AN785" s="4"/>
      <c r="AO785" s="4"/>
      <c r="AP785" s="4"/>
      <c r="AQ785" s="4"/>
      <c r="AR785" s="4"/>
      <c r="AS785" s="4"/>
      <c r="AT785" s="4"/>
      <c r="AU785" s="4"/>
      <c r="AV785" s="4"/>
      <c r="AW785" s="4"/>
      <c r="AX785" s="4"/>
      <c r="AY785" s="4"/>
      <c r="AZ785" s="4"/>
      <c r="BA785" s="4"/>
      <c r="BB785" s="4"/>
      <c r="BC785" s="4"/>
      <c r="BD785" s="4"/>
      <c r="BE785" s="4"/>
      <c r="BF785" s="4"/>
      <c r="BG785" s="4"/>
      <c r="BH785" s="4"/>
      <c r="BI785" s="4"/>
      <c r="BJ785" s="4"/>
      <c r="BK785" s="4"/>
      <c r="BL785" s="4"/>
      <c r="BM785" s="4"/>
      <c r="BN785" s="4"/>
    </row>
    <row r="786" ht="13.5" customHeight="1" spans="1:66" x14ac:dyDescent="0.25">
      <c r="A786" s="4"/>
      <c r="B786" s="4"/>
      <c r="C786" s="533"/>
      <c r="D786" s="4"/>
      <c r="E786" s="4"/>
      <c r="F786" s="4"/>
      <c r="G786" s="4"/>
      <c r="H786" s="4"/>
      <c r="I786" s="4"/>
      <c r="J786" s="4"/>
      <c r="K786" s="4"/>
      <c r="L786" s="4"/>
      <c r="M786" s="4"/>
      <c r="N786" s="4"/>
      <c r="O786" s="4"/>
      <c r="P786" s="4"/>
      <c r="Q786" s="4"/>
      <c r="R786" s="4"/>
      <c r="S786" s="4"/>
      <c r="T786" s="4"/>
      <c r="U786" s="4"/>
      <c r="V786" s="4"/>
      <c r="W786" s="4"/>
      <c r="X786" s="4"/>
      <c r="Y786" s="4"/>
      <c r="Z786" s="4"/>
      <c r="AA786" s="4"/>
      <c r="AB786" s="4"/>
      <c r="AC786" s="4"/>
      <c r="AD786" s="4"/>
      <c r="AE786" s="4"/>
      <c r="AF786" s="4"/>
      <c r="AG786" s="4"/>
      <c r="AH786" s="4"/>
      <c r="AI786" s="4"/>
      <c r="AJ786" s="4"/>
      <c r="AK786" s="4"/>
      <c r="AL786" s="4"/>
      <c r="AM786" s="4"/>
      <c r="AN786" s="4"/>
      <c r="AO786" s="4"/>
      <c r="AP786" s="4"/>
      <c r="AQ786" s="4"/>
      <c r="AR786" s="4"/>
      <c r="AS786" s="4"/>
      <c r="AT786" s="4"/>
      <c r="AU786" s="4"/>
      <c r="AV786" s="4"/>
      <c r="AW786" s="4"/>
      <c r="AX786" s="4"/>
      <c r="AY786" s="4"/>
      <c r="AZ786" s="4"/>
      <c r="BA786" s="4"/>
      <c r="BB786" s="4"/>
      <c r="BC786" s="4"/>
      <c r="BD786" s="4"/>
      <c r="BE786" s="4"/>
      <c r="BF786" s="4"/>
      <c r="BG786" s="4"/>
      <c r="BH786" s="4"/>
      <c r="BI786" s="4"/>
      <c r="BJ786" s="4"/>
      <c r="BK786" s="4"/>
      <c r="BL786" s="4"/>
      <c r="BM786" s="4"/>
      <c r="BN786" s="4"/>
    </row>
    <row r="787" ht="13.5" customHeight="1" spans="1:66" x14ac:dyDescent="0.25">
      <c r="A787" s="4"/>
      <c r="B787" s="4"/>
      <c r="C787" s="533"/>
      <c r="D787" s="4"/>
      <c r="E787" s="4"/>
      <c r="F787" s="4"/>
      <c r="G787" s="4"/>
      <c r="H787" s="4"/>
      <c r="I787" s="4"/>
      <c r="J787" s="4"/>
      <c r="K787" s="4"/>
      <c r="L787" s="4"/>
      <c r="M787" s="4"/>
      <c r="N787" s="4"/>
      <c r="O787" s="4"/>
      <c r="P787" s="4"/>
      <c r="Q787" s="4"/>
      <c r="R787" s="4"/>
      <c r="S787" s="4"/>
      <c r="T787" s="4"/>
      <c r="U787" s="4"/>
      <c r="V787" s="4"/>
      <c r="W787" s="4"/>
      <c r="X787" s="4"/>
      <c r="Y787" s="4"/>
      <c r="Z787" s="4"/>
      <c r="AA787" s="4"/>
      <c r="AB787" s="4"/>
      <c r="AC787" s="4"/>
      <c r="AD787" s="4"/>
      <c r="AE787" s="4"/>
      <c r="AF787" s="4"/>
      <c r="AG787" s="4"/>
      <c r="AH787" s="4"/>
      <c r="AI787" s="4"/>
      <c r="AJ787" s="4"/>
      <c r="AK787" s="4"/>
      <c r="AL787" s="4"/>
      <c r="AM787" s="4"/>
      <c r="AN787" s="4"/>
      <c r="AO787" s="4"/>
      <c r="AP787" s="4"/>
      <c r="AQ787" s="4"/>
      <c r="AR787" s="4"/>
      <c r="AS787" s="4"/>
      <c r="AT787" s="4"/>
      <c r="AU787" s="4"/>
      <c r="AV787" s="4"/>
      <c r="AW787" s="4"/>
      <c r="AX787" s="4"/>
      <c r="AY787" s="4"/>
      <c r="AZ787" s="4"/>
      <c r="BA787" s="4"/>
      <c r="BB787" s="4"/>
      <c r="BC787" s="4"/>
      <c r="BD787" s="4"/>
      <c r="BE787" s="4"/>
      <c r="BF787" s="4"/>
      <c r="BG787" s="4"/>
      <c r="BH787" s="4"/>
      <c r="BI787" s="4"/>
      <c r="BJ787" s="4"/>
      <c r="BK787" s="4"/>
      <c r="BL787" s="4"/>
      <c r="BM787" s="4"/>
      <c r="BN787" s="4"/>
    </row>
    <row r="788" ht="13.5" customHeight="1" spans="1:66" x14ac:dyDescent="0.25">
      <c r="A788" s="4"/>
      <c r="B788" s="4"/>
      <c r="C788" s="533"/>
      <c r="D788" s="4"/>
      <c r="E788" s="4"/>
      <c r="F788" s="4"/>
      <c r="G788" s="4"/>
      <c r="H788" s="4"/>
      <c r="I788" s="4"/>
      <c r="J788" s="4"/>
      <c r="K788" s="4"/>
      <c r="L788" s="4"/>
      <c r="M788" s="4"/>
      <c r="N788" s="4"/>
      <c r="O788" s="4"/>
      <c r="P788" s="4"/>
      <c r="Q788" s="4"/>
      <c r="R788" s="4"/>
      <c r="S788" s="4"/>
      <c r="T788" s="4"/>
      <c r="U788" s="4"/>
      <c r="V788" s="4"/>
      <c r="W788" s="4"/>
      <c r="X788" s="4"/>
      <c r="Y788" s="4"/>
      <c r="Z788" s="4"/>
      <c r="AA788" s="4"/>
      <c r="AB788" s="4"/>
      <c r="AC788" s="4"/>
      <c r="AD788" s="4"/>
      <c r="AE788" s="4"/>
      <c r="AF788" s="4"/>
      <c r="AG788" s="4"/>
      <c r="AH788" s="4"/>
      <c r="AI788" s="4"/>
      <c r="AJ788" s="4"/>
      <c r="AK788" s="4"/>
      <c r="AL788" s="4"/>
      <c r="AM788" s="4"/>
      <c r="AN788" s="4"/>
      <c r="AO788" s="4"/>
      <c r="AP788" s="4"/>
      <c r="AQ788" s="4"/>
      <c r="AR788" s="4"/>
      <c r="AS788" s="4"/>
      <c r="AT788" s="4"/>
      <c r="AU788" s="4"/>
      <c r="AV788" s="4"/>
      <c r="AW788" s="4"/>
      <c r="AX788" s="4"/>
      <c r="AY788" s="4"/>
      <c r="AZ788" s="4"/>
      <c r="BA788" s="4"/>
      <c r="BB788" s="4"/>
      <c r="BC788" s="4"/>
      <c r="BD788" s="4"/>
      <c r="BE788" s="4"/>
      <c r="BF788" s="4"/>
      <c r="BG788" s="4"/>
      <c r="BH788" s="4"/>
      <c r="BI788" s="4"/>
      <c r="BJ788" s="4"/>
      <c r="BK788" s="4"/>
      <c r="BL788" s="4"/>
      <c r="BM788" s="4"/>
      <c r="BN788" s="4"/>
    </row>
    <row r="789" ht="13.5" customHeight="1" spans="1:66" x14ac:dyDescent="0.25">
      <c r="A789" s="4"/>
      <c r="B789" s="4"/>
      <c r="C789" s="533"/>
      <c r="D789" s="4"/>
      <c r="E789" s="4"/>
      <c r="F789" s="4"/>
      <c r="G789" s="4"/>
      <c r="H789" s="4"/>
      <c r="I789" s="4"/>
      <c r="J789" s="4"/>
      <c r="K789" s="4"/>
      <c r="L789" s="4"/>
      <c r="M789" s="4"/>
      <c r="N789" s="4"/>
      <c r="O789" s="4"/>
      <c r="P789" s="4"/>
      <c r="Q789" s="4"/>
      <c r="R789" s="4"/>
      <c r="S789" s="4"/>
      <c r="T789" s="4"/>
      <c r="U789" s="4"/>
      <c r="V789" s="4"/>
      <c r="W789" s="4"/>
      <c r="X789" s="4"/>
      <c r="Y789" s="4"/>
      <c r="Z789" s="4"/>
      <c r="AA789" s="4"/>
      <c r="AB789" s="4"/>
      <c r="AC789" s="4"/>
      <c r="AD789" s="4"/>
      <c r="AE789" s="4"/>
      <c r="AF789" s="4"/>
      <c r="AG789" s="4"/>
      <c r="AH789" s="4"/>
      <c r="AI789" s="4"/>
      <c r="AJ789" s="4"/>
      <c r="AK789" s="4"/>
      <c r="AL789" s="4"/>
      <c r="AM789" s="4"/>
      <c r="AN789" s="4"/>
      <c r="AO789" s="4"/>
      <c r="AP789" s="4"/>
      <c r="AQ789" s="4"/>
      <c r="AR789" s="4"/>
      <c r="AS789" s="4"/>
      <c r="AT789" s="4"/>
      <c r="AU789" s="4"/>
      <c r="AV789" s="4"/>
      <c r="AW789" s="4"/>
      <c r="AX789" s="4"/>
      <c r="AY789" s="4"/>
      <c r="AZ789" s="4"/>
      <c r="BA789" s="4"/>
      <c r="BB789" s="4"/>
      <c r="BC789" s="4"/>
      <c r="BD789" s="4"/>
      <c r="BE789" s="4"/>
      <c r="BF789" s="4"/>
      <c r="BG789" s="4"/>
      <c r="BH789" s="4"/>
      <c r="BI789" s="4"/>
      <c r="BJ789" s="4"/>
      <c r="BK789" s="4"/>
      <c r="BL789" s="4"/>
      <c r="BM789" s="4"/>
      <c r="BN789" s="4"/>
    </row>
    <row r="790" ht="13.5" customHeight="1" spans="1:66" x14ac:dyDescent="0.25">
      <c r="A790" s="4"/>
      <c r="B790" s="4"/>
      <c r="C790" s="533"/>
      <c r="D790" s="4"/>
      <c r="E790" s="4"/>
      <c r="F790" s="4"/>
      <c r="G790" s="4"/>
      <c r="H790" s="4"/>
      <c r="I790" s="4"/>
      <c r="J790" s="4"/>
      <c r="K790" s="4"/>
      <c r="L790" s="4"/>
      <c r="M790" s="4"/>
      <c r="N790" s="4"/>
      <c r="O790" s="4"/>
      <c r="P790" s="4"/>
      <c r="Q790" s="4"/>
      <c r="R790" s="4"/>
      <c r="S790" s="4"/>
      <c r="T790" s="4"/>
      <c r="U790" s="4"/>
      <c r="V790" s="4"/>
      <c r="W790" s="4"/>
      <c r="X790" s="4"/>
      <c r="Y790" s="4"/>
      <c r="Z790" s="4"/>
      <c r="AA790" s="4"/>
      <c r="AB790" s="4"/>
      <c r="AC790" s="4"/>
      <c r="AD790" s="4"/>
      <c r="AE790" s="4"/>
      <c r="AF790" s="4"/>
      <c r="AG790" s="4"/>
      <c r="AH790" s="4"/>
      <c r="AI790" s="4"/>
      <c r="AJ790" s="4"/>
      <c r="AK790" s="4"/>
      <c r="AL790" s="4"/>
      <c r="AM790" s="4"/>
      <c r="AN790" s="4"/>
      <c r="AO790" s="4"/>
      <c r="AP790" s="4"/>
      <c r="AQ790" s="4"/>
      <c r="AR790" s="4"/>
      <c r="AS790" s="4"/>
      <c r="AT790" s="4"/>
      <c r="AU790" s="4"/>
      <c r="AV790" s="4"/>
      <c r="AW790" s="4"/>
      <c r="AX790" s="4"/>
      <c r="AY790" s="4"/>
      <c r="AZ790" s="4"/>
      <c r="BA790" s="4"/>
      <c r="BB790" s="4"/>
      <c r="BC790" s="4"/>
      <c r="BD790" s="4"/>
      <c r="BE790" s="4"/>
      <c r="BF790" s="4"/>
      <c r="BG790" s="4"/>
      <c r="BH790" s="4"/>
      <c r="BI790" s="4"/>
      <c r="BJ790" s="4"/>
      <c r="BK790" s="4"/>
      <c r="BL790" s="4"/>
      <c r="BM790" s="4"/>
      <c r="BN790" s="4"/>
    </row>
    <row r="791" ht="13.5" customHeight="1" spans="1:66" x14ac:dyDescent="0.25">
      <c r="A791" s="4"/>
      <c r="B791" s="4"/>
      <c r="C791" s="533"/>
      <c r="D791" s="4"/>
      <c r="E791" s="4"/>
      <c r="F791" s="4"/>
      <c r="G791" s="4"/>
      <c r="H791" s="4"/>
      <c r="I791" s="4"/>
      <c r="J791" s="4"/>
      <c r="K791" s="4"/>
      <c r="L791" s="4"/>
      <c r="M791" s="4"/>
      <c r="N791" s="4"/>
      <c r="O791" s="4"/>
      <c r="P791" s="4"/>
      <c r="Q791" s="4"/>
      <c r="R791" s="4"/>
      <c r="S791" s="4"/>
      <c r="T791" s="4"/>
      <c r="U791" s="4"/>
      <c r="V791" s="4"/>
      <c r="W791" s="4"/>
      <c r="X791" s="4"/>
      <c r="Y791" s="4"/>
      <c r="Z791" s="4"/>
      <c r="AA791" s="4"/>
      <c r="AB791" s="4"/>
      <c r="AC791" s="4"/>
      <c r="AD791" s="4"/>
      <c r="AE791" s="4"/>
      <c r="AF791" s="4"/>
      <c r="AG791" s="4"/>
      <c r="AH791" s="4"/>
      <c r="AI791" s="4"/>
      <c r="AJ791" s="4"/>
      <c r="AK791" s="4"/>
      <c r="AL791" s="4"/>
      <c r="AM791" s="4"/>
      <c r="AN791" s="4"/>
      <c r="AO791" s="4"/>
      <c r="AP791" s="4"/>
      <c r="AQ791" s="4"/>
      <c r="AR791" s="4"/>
      <c r="AS791" s="4"/>
      <c r="AT791" s="4"/>
      <c r="AU791" s="4"/>
      <c r="AV791" s="4"/>
      <c r="AW791" s="4"/>
      <c r="AX791" s="4"/>
      <c r="AY791" s="4"/>
      <c r="AZ791" s="4"/>
      <c r="BA791" s="4"/>
      <c r="BB791" s="4"/>
      <c r="BC791" s="4"/>
      <c r="BD791" s="4"/>
      <c r="BE791" s="4"/>
      <c r="BF791" s="4"/>
      <c r="BG791" s="4"/>
      <c r="BH791" s="4"/>
      <c r="BI791" s="4"/>
      <c r="BJ791" s="4"/>
      <c r="BK791" s="4"/>
      <c r="BL791" s="4"/>
      <c r="BM791" s="4"/>
      <c r="BN791" s="4"/>
    </row>
    <row r="792" ht="13.5" customHeight="1" spans="1:66" x14ac:dyDescent="0.25">
      <c r="A792" s="4"/>
      <c r="B792" s="4"/>
      <c r="C792" s="533"/>
      <c r="D792" s="4"/>
      <c r="E792" s="4"/>
      <c r="F792" s="4"/>
      <c r="G792" s="4"/>
      <c r="H792" s="4"/>
      <c r="I792" s="4"/>
      <c r="J792" s="4"/>
      <c r="K792" s="4"/>
      <c r="L792" s="4"/>
      <c r="M792" s="4"/>
      <c r="N792" s="4"/>
      <c r="O792" s="4"/>
      <c r="P792" s="4"/>
      <c r="Q792" s="4"/>
      <c r="R792" s="4"/>
      <c r="S792" s="4"/>
      <c r="T792" s="4"/>
      <c r="U792" s="4"/>
      <c r="V792" s="4"/>
      <c r="W792" s="4"/>
      <c r="X792" s="4"/>
      <c r="Y792" s="4"/>
      <c r="Z792" s="4"/>
      <c r="AA792" s="4"/>
      <c r="AB792" s="4"/>
      <c r="AC792" s="4"/>
      <c r="AD792" s="4"/>
      <c r="AE792" s="4"/>
      <c r="AF792" s="4"/>
      <c r="AG792" s="4"/>
      <c r="AH792" s="4"/>
      <c r="AI792" s="4"/>
      <c r="AJ792" s="4"/>
      <c r="AK792" s="4"/>
      <c r="AL792" s="4"/>
      <c r="AM792" s="4"/>
      <c r="AN792" s="4"/>
      <c r="AO792" s="4"/>
      <c r="AP792" s="4"/>
      <c r="AQ792" s="4"/>
      <c r="AR792" s="4"/>
      <c r="AS792" s="4"/>
      <c r="AT792" s="4"/>
      <c r="AU792" s="4"/>
      <c r="AV792" s="4"/>
      <c r="AW792" s="4"/>
      <c r="AX792" s="4"/>
      <c r="AY792" s="4"/>
      <c r="AZ792" s="4"/>
      <c r="BA792" s="4"/>
      <c r="BB792" s="4"/>
      <c r="BC792" s="4"/>
      <c r="BD792" s="4"/>
      <c r="BE792" s="4"/>
      <c r="BF792" s="4"/>
      <c r="BG792" s="4"/>
      <c r="BH792" s="4"/>
      <c r="BI792" s="4"/>
      <c r="BJ792" s="4"/>
      <c r="BK792" s="4"/>
      <c r="BL792" s="4"/>
      <c r="BM792" s="4"/>
      <c r="BN792" s="4"/>
    </row>
    <row r="793" ht="13.5" customHeight="1" spans="1:66" x14ac:dyDescent="0.25">
      <c r="A793" s="4"/>
      <c r="B793" s="4"/>
      <c r="C793" s="533"/>
      <c r="D793" s="4"/>
      <c r="E793" s="4"/>
      <c r="F793" s="4"/>
      <c r="G793" s="4"/>
      <c r="H793" s="4"/>
      <c r="I793" s="4"/>
      <c r="J793" s="4"/>
      <c r="K793" s="4"/>
      <c r="L793" s="4"/>
      <c r="M793" s="4"/>
      <c r="N793" s="4"/>
      <c r="O793" s="4"/>
      <c r="P793" s="4"/>
      <c r="Q793" s="4"/>
      <c r="R793" s="4"/>
      <c r="S793" s="4"/>
      <c r="T793" s="4"/>
      <c r="U793" s="4"/>
      <c r="V793" s="4"/>
      <c r="W793" s="4"/>
      <c r="X793" s="4"/>
      <c r="Y793" s="4"/>
      <c r="Z793" s="4"/>
      <c r="AA793" s="4"/>
      <c r="AB793" s="4"/>
      <c r="AC793" s="4"/>
      <c r="AD793" s="4"/>
      <c r="AE793" s="4"/>
      <c r="AF793" s="4"/>
      <c r="AG793" s="4"/>
      <c r="AH793" s="4"/>
      <c r="AI793" s="4"/>
      <c r="AJ793" s="4"/>
      <c r="AK793" s="4"/>
      <c r="AL793" s="4"/>
      <c r="AM793" s="4"/>
      <c r="AN793" s="4"/>
      <c r="AO793" s="4"/>
      <c r="AP793" s="4"/>
      <c r="AQ793" s="4"/>
      <c r="AR793" s="4"/>
      <c r="AS793" s="4"/>
      <c r="AT793" s="4"/>
      <c r="AU793" s="4"/>
      <c r="AV793" s="4"/>
      <c r="AW793" s="4"/>
      <c r="AX793" s="4"/>
      <c r="AY793" s="4"/>
      <c r="AZ793" s="4"/>
      <c r="BA793" s="4"/>
      <c r="BB793" s="4"/>
      <c r="BC793" s="4"/>
      <c r="BD793" s="4"/>
      <c r="BE793" s="4"/>
      <c r="BF793" s="4"/>
      <c r="BG793" s="4"/>
      <c r="BH793" s="4"/>
      <c r="BI793" s="4"/>
      <c r="BJ793" s="4"/>
      <c r="BK793" s="4"/>
      <c r="BL793" s="4"/>
      <c r="BM793" s="4"/>
      <c r="BN793" s="4"/>
    </row>
    <row r="794" ht="13.5" customHeight="1" spans="1:66" x14ac:dyDescent="0.25">
      <c r="A794" s="4"/>
      <c r="B794" s="4"/>
      <c r="C794" s="533"/>
      <c r="D794" s="4"/>
      <c r="E794" s="4"/>
      <c r="F794" s="4"/>
      <c r="G794" s="4"/>
      <c r="H794" s="4"/>
      <c r="I794" s="4"/>
      <c r="J794" s="4"/>
      <c r="K794" s="4"/>
      <c r="L794" s="4"/>
      <c r="M794" s="4"/>
      <c r="N794" s="4"/>
      <c r="O794" s="4"/>
      <c r="P794" s="4"/>
      <c r="Q794" s="4"/>
      <c r="R794" s="4"/>
      <c r="S794" s="4"/>
      <c r="T794" s="4"/>
      <c r="U794" s="4"/>
      <c r="V794" s="4"/>
      <c r="W794" s="4"/>
      <c r="X794" s="4"/>
      <c r="Y794" s="4"/>
      <c r="Z794" s="4"/>
      <c r="AA794" s="4"/>
      <c r="AB794" s="4"/>
      <c r="AC794" s="4"/>
      <c r="AD794" s="4"/>
      <c r="AE794" s="4"/>
      <c r="AF794" s="4"/>
      <c r="AG794" s="4"/>
      <c r="AH794" s="4"/>
      <c r="AI794" s="4"/>
      <c r="AJ794" s="4"/>
      <c r="AK794" s="4"/>
      <c r="AL794" s="4"/>
      <c r="AM794" s="4"/>
      <c r="AN794" s="4"/>
      <c r="AO794" s="4"/>
      <c r="AP794" s="4"/>
      <c r="AQ794" s="4"/>
      <c r="AR794" s="4"/>
      <c r="AS794" s="4"/>
      <c r="AT794" s="4"/>
      <c r="AU794" s="4"/>
      <c r="AV794" s="4"/>
      <c r="AW794" s="4"/>
      <c r="AX794" s="4"/>
      <c r="AY794" s="4"/>
      <c r="AZ794" s="4"/>
      <c r="BA794" s="4"/>
      <c r="BB794" s="4"/>
      <c r="BC794" s="4"/>
      <c r="BD794" s="4"/>
      <c r="BE794" s="4"/>
      <c r="BF794" s="4"/>
      <c r="BG794" s="4"/>
      <c r="BH794" s="4"/>
      <c r="BI794" s="4"/>
      <c r="BJ794" s="4"/>
      <c r="BK794" s="4"/>
      <c r="BL794" s="4"/>
      <c r="BM794" s="4"/>
      <c r="BN794" s="4"/>
    </row>
    <row r="795" ht="13.5" customHeight="1" spans="1:66" x14ac:dyDescent="0.25">
      <c r="A795" s="4"/>
      <c r="B795" s="4"/>
      <c r="C795" s="533"/>
      <c r="D795" s="4"/>
      <c r="E795" s="4"/>
      <c r="F795" s="4"/>
      <c r="G795" s="4"/>
      <c r="H795" s="4"/>
      <c r="I795" s="4"/>
      <c r="J795" s="4"/>
      <c r="K795" s="4"/>
      <c r="L795" s="4"/>
      <c r="M795" s="4"/>
      <c r="N795" s="4"/>
      <c r="O795" s="4"/>
      <c r="P795" s="4"/>
      <c r="Q795" s="4"/>
      <c r="R795" s="4"/>
      <c r="S795" s="4"/>
      <c r="T795" s="4"/>
      <c r="U795" s="4"/>
      <c r="V795" s="4"/>
      <c r="W795" s="4"/>
      <c r="X795" s="4"/>
      <c r="Y795" s="4"/>
      <c r="Z795" s="4"/>
      <c r="AA795" s="4"/>
      <c r="AB795" s="4"/>
      <c r="AC795" s="4"/>
      <c r="AD795" s="4"/>
      <c r="AE795" s="4"/>
      <c r="AF795" s="4"/>
      <c r="AG795" s="4"/>
      <c r="AH795" s="4"/>
      <c r="AI795" s="4"/>
      <c r="AJ795" s="4"/>
      <c r="AK795" s="4"/>
      <c r="AL795" s="4"/>
      <c r="AM795" s="4"/>
      <c r="AN795" s="4"/>
      <c r="AO795" s="4"/>
      <c r="AP795" s="4"/>
      <c r="AQ795" s="4"/>
      <c r="AR795" s="4"/>
      <c r="AS795" s="4"/>
      <c r="AT795" s="4"/>
      <c r="AU795" s="4"/>
      <c r="AV795" s="4"/>
      <c r="AW795" s="4"/>
      <c r="AX795" s="4"/>
      <c r="AY795" s="4"/>
      <c r="AZ795" s="4"/>
      <c r="BA795" s="4"/>
      <c r="BB795" s="4"/>
      <c r="BC795" s="4"/>
      <c r="BD795" s="4"/>
      <c r="BE795" s="4"/>
      <c r="BF795" s="4"/>
      <c r="BG795" s="4"/>
      <c r="BH795" s="4"/>
      <c r="BI795" s="4"/>
      <c r="BJ795" s="4"/>
      <c r="BK795" s="4"/>
      <c r="BL795" s="4"/>
      <c r="BM795" s="4"/>
      <c r="BN795" s="4"/>
    </row>
    <row r="796" ht="13.5" customHeight="1" spans="1:66" x14ac:dyDescent="0.25">
      <c r="A796" s="4"/>
      <c r="B796" s="4"/>
      <c r="C796" s="533"/>
      <c r="D796" s="4"/>
      <c r="E796" s="4"/>
      <c r="F796" s="4"/>
      <c r="G796" s="4"/>
      <c r="H796" s="4"/>
      <c r="I796" s="4"/>
      <c r="J796" s="4"/>
      <c r="K796" s="4"/>
      <c r="L796" s="4"/>
      <c r="M796" s="4"/>
      <c r="N796" s="4"/>
      <c r="O796" s="4"/>
      <c r="P796" s="4"/>
      <c r="Q796" s="4"/>
      <c r="R796" s="4"/>
      <c r="S796" s="4"/>
      <c r="T796" s="4"/>
      <c r="U796" s="4"/>
      <c r="V796" s="4"/>
      <c r="W796" s="4"/>
      <c r="X796" s="4"/>
      <c r="Y796" s="4"/>
      <c r="Z796" s="4"/>
      <c r="AA796" s="4"/>
      <c r="AB796" s="4"/>
      <c r="AC796" s="4"/>
      <c r="AD796" s="4"/>
      <c r="AE796" s="4"/>
      <c r="AF796" s="4"/>
      <c r="AG796" s="4"/>
      <c r="AH796" s="4"/>
      <c r="AI796" s="4"/>
      <c r="AJ796" s="4"/>
      <c r="AK796" s="4"/>
      <c r="AL796" s="4"/>
      <c r="AM796" s="4"/>
      <c r="AN796" s="4"/>
      <c r="AO796" s="4"/>
      <c r="AP796" s="4"/>
      <c r="AQ796" s="4"/>
      <c r="AR796" s="4"/>
      <c r="AS796" s="4"/>
      <c r="AT796" s="4"/>
      <c r="AU796" s="4"/>
      <c r="AV796" s="4"/>
      <c r="AW796" s="4"/>
      <c r="AX796" s="4"/>
      <c r="AY796" s="4"/>
      <c r="AZ796" s="4"/>
      <c r="BA796" s="4"/>
      <c r="BB796" s="4"/>
      <c r="BC796" s="4"/>
      <c r="BD796" s="4"/>
      <c r="BE796" s="4"/>
      <c r="BF796" s="4"/>
      <c r="BG796" s="4"/>
      <c r="BH796" s="4"/>
      <c r="BI796" s="4"/>
      <c r="BJ796" s="4"/>
      <c r="BK796" s="4"/>
      <c r="BL796" s="4"/>
      <c r="BM796" s="4"/>
      <c r="BN796" s="4"/>
    </row>
    <row r="797" ht="13.5" customHeight="1" spans="1:66" x14ac:dyDescent="0.25">
      <c r="A797" s="4"/>
      <c r="B797" s="4"/>
      <c r="C797" s="533"/>
      <c r="D797" s="4"/>
      <c r="E797" s="4"/>
      <c r="F797" s="4"/>
      <c r="G797" s="4"/>
      <c r="H797" s="4"/>
      <c r="I797" s="4"/>
      <c r="J797" s="4"/>
      <c r="K797" s="4"/>
      <c r="L797" s="4"/>
      <c r="M797" s="4"/>
      <c r="N797" s="4"/>
      <c r="O797" s="4"/>
      <c r="P797" s="4"/>
      <c r="Q797" s="4"/>
      <c r="R797" s="4"/>
      <c r="S797" s="4"/>
      <c r="T797" s="4"/>
      <c r="U797" s="4"/>
      <c r="V797" s="4"/>
      <c r="W797" s="4"/>
      <c r="X797" s="4"/>
      <c r="Y797" s="4"/>
      <c r="Z797" s="4"/>
      <c r="AA797" s="4"/>
      <c r="AB797" s="4"/>
      <c r="AC797" s="4"/>
      <c r="AD797" s="4"/>
      <c r="AE797" s="4"/>
      <c r="AF797" s="4"/>
      <c r="AG797" s="4"/>
      <c r="AH797" s="4"/>
      <c r="AI797" s="4"/>
      <c r="AJ797" s="4"/>
      <c r="AK797" s="4"/>
      <c r="AL797" s="4"/>
      <c r="AM797" s="4"/>
      <c r="AN797" s="4"/>
      <c r="AO797" s="4"/>
      <c r="AP797" s="4"/>
      <c r="AQ797" s="4"/>
      <c r="AR797" s="4"/>
      <c r="AS797" s="4"/>
      <c r="AT797" s="4"/>
      <c r="AU797" s="4"/>
      <c r="AV797" s="4"/>
      <c r="AW797" s="4"/>
      <c r="AX797" s="4"/>
      <c r="AY797" s="4"/>
      <c r="AZ797" s="4"/>
      <c r="BA797" s="4"/>
      <c r="BB797" s="4"/>
      <c r="BC797" s="4"/>
      <c r="BD797" s="4"/>
      <c r="BE797" s="4"/>
      <c r="BF797" s="4"/>
      <c r="BG797" s="4"/>
      <c r="BH797" s="4"/>
      <c r="BI797" s="4"/>
      <c r="BJ797" s="4"/>
      <c r="BK797" s="4"/>
      <c r="BL797" s="4"/>
      <c r="BM797" s="4"/>
      <c r="BN797" s="4"/>
    </row>
    <row r="798" ht="13.5" customHeight="1" spans="1:66" x14ac:dyDescent="0.25">
      <c r="A798" s="4"/>
      <c r="B798" s="4"/>
      <c r="C798" s="533"/>
      <c r="D798" s="4"/>
      <c r="E798" s="4"/>
      <c r="F798" s="4"/>
      <c r="G798" s="4"/>
      <c r="H798" s="4"/>
      <c r="I798" s="4"/>
      <c r="J798" s="4"/>
      <c r="K798" s="4"/>
      <c r="L798" s="4"/>
      <c r="M798" s="4"/>
      <c r="N798" s="4"/>
      <c r="O798" s="4"/>
      <c r="P798" s="4"/>
      <c r="Q798" s="4"/>
      <c r="R798" s="4"/>
      <c r="S798" s="4"/>
      <c r="T798" s="4"/>
      <c r="U798" s="4"/>
      <c r="V798" s="4"/>
      <c r="W798" s="4"/>
      <c r="X798" s="4"/>
      <c r="Y798" s="4"/>
      <c r="Z798" s="4"/>
      <c r="AA798" s="4"/>
      <c r="AB798" s="4"/>
      <c r="AC798" s="4"/>
      <c r="AD798" s="4"/>
      <c r="AE798" s="4"/>
      <c r="AF798" s="4"/>
      <c r="AG798" s="4"/>
      <c r="AH798" s="4"/>
      <c r="AI798" s="4"/>
      <c r="AJ798" s="4"/>
      <c r="AK798" s="4"/>
      <c r="AL798" s="4"/>
      <c r="AM798" s="4"/>
      <c r="AN798" s="4"/>
      <c r="AO798" s="4"/>
      <c r="AP798" s="4"/>
      <c r="AQ798" s="4"/>
      <c r="AR798" s="4"/>
      <c r="AS798" s="4"/>
      <c r="AT798" s="4"/>
      <c r="AU798" s="4"/>
      <c r="AV798" s="4"/>
      <c r="AW798" s="4"/>
      <c r="AX798" s="4"/>
      <c r="AY798" s="4"/>
      <c r="AZ798" s="4"/>
      <c r="BA798" s="4"/>
      <c r="BB798" s="4"/>
      <c r="BC798" s="4"/>
      <c r="BD798" s="4"/>
      <c r="BE798" s="4"/>
      <c r="BF798" s="4"/>
      <c r="BG798" s="4"/>
      <c r="BH798" s="4"/>
      <c r="BI798" s="4"/>
      <c r="BJ798" s="4"/>
      <c r="BK798" s="4"/>
      <c r="BL798" s="4"/>
      <c r="BM798" s="4"/>
      <c r="BN798" s="4"/>
    </row>
    <row r="799" ht="13.5" customHeight="1" spans="1:66" x14ac:dyDescent="0.25">
      <c r="A799" s="4"/>
      <c r="B799" s="4"/>
      <c r="C799" s="533"/>
      <c r="D799" s="4"/>
      <c r="E799" s="4"/>
      <c r="F799" s="4"/>
      <c r="G799" s="4"/>
      <c r="H799" s="4"/>
      <c r="I799" s="4"/>
      <c r="J799" s="4"/>
      <c r="K799" s="4"/>
      <c r="L799" s="4"/>
      <c r="M799" s="4"/>
      <c r="N799" s="4"/>
      <c r="O799" s="4"/>
      <c r="P799" s="4"/>
      <c r="Q799" s="4"/>
      <c r="R799" s="4"/>
      <c r="S799" s="4"/>
      <c r="T799" s="4"/>
      <c r="U799" s="4"/>
      <c r="V799" s="4"/>
      <c r="W799" s="4"/>
      <c r="X799" s="4"/>
      <c r="Y799" s="4"/>
      <c r="Z799" s="4"/>
      <c r="AA799" s="4"/>
      <c r="AB799" s="4"/>
      <c r="AC799" s="4"/>
      <c r="AD799" s="4"/>
      <c r="AE799" s="4"/>
      <c r="AF799" s="4"/>
      <c r="AG799" s="4"/>
      <c r="AH799" s="4"/>
      <c r="AI799" s="4"/>
      <c r="AJ799" s="4"/>
      <c r="AK799" s="4"/>
      <c r="AL799" s="4"/>
      <c r="AM799" s="4"/>
      <c r="AN799" s="4"/>
      <c r="AO799" s="4"/>
      <c r="AP799" s="4"/>
      <c r="AQ799" s="4"/>
      <c r="AR799" s="4"/>
      <c r="AS799" s="4"/>
      <c r="AT799" s="4"/>
      <c r="AU799" s="4"/>
      <c r="AV799" s="4"/>
      <c r="AW799" s="4"/>
      <c r="AX799" s="4"/>
      <c r="AY799" s="4"/>
      <c r="AZ799" s="4"/>
      <c r="BA799" s="4"/>
      <c r="BB799" s="4"/>
      <c r="BC799" s="4"/>
      <c r="BD799" s="4"/>
      <c r="BE799" s="4"/>
      <c r="BF799" s="4"/>
      <c r="BG799" s="4"/>
      <c r="BH799" s="4"/>
      <c r="BI799" s="4"/>
      <c r="BJ799" s="4"/>
      <c r="BK799" s="4"/>
      <c r="BL799" s="4"/>
      <c r="BM799" s="4"/>
      <c r="BN799" s="4"/>
    </row>
    <row r="800" ht="13.5" customHeight="1" spans="1:66" x14ac:dyDescent="0.25">
      <c r="A800" s="4"/>
      <c r="B800" s="4"/>
      <c r="C800" s="533"/>
      <c r="D800" s="4"/>
      <c r="E800" s="4"/>
      <c r="F800" s="4"/>
      <c r="G800" s="4"/>
      <c r="H800" s="4"/>
      <c r="I800" s="4"/>
      <c r="J800" s="4"/>
      <c r="K800" s="4"/>
      <c r="L800" s="4"/>
      <c r="M800" s="4"/>
      <c r="N800" s="4"/>
      <c r="O800" s="4"/>
      <c r="P800" s="4"/>
      <c r="Q800" s="4"/>
      <c r="R800" s="4"/>
      <c r="S800" s="4"/>
      <c r="T800" s="4"/>
      <c r="U800" s="4"/>
      <c r="V800" s="4"/>
      <c r="W800" s="4"/>
      <c r="X800" s="4"/>
      <c r="Y800" s="4"/>
      <c r="Z800" s="4"/>
      <c r="AA800" s="4"/>
      <c r="AB800" s="4"/>
      <c r="AC800" s="4"/>
      <c r="AD800" s="4"/>
      <c r="AE800" s="4"/>
      <c r="AF800" s="4"/>
      <c r="AG800" s="4"/>
      <c r="AH800" s="4"/>
      <c r="AI800" s="4"/>
      <c r="AJ800" s="4"/>
      <c r="AK800" s="4"/>
      <c r="AL800" s="4"/>
      <c r="AM800" s="4"/>
      <c r="AN800" s="4"/>
      <c r="AO800" s="4"/>
      <c r="AP800" s="4"/>
      <c r="AQ800" s="4"/>
      <c r="AR800" s="4"/>
      <c r="AS800" s="4"/>
      <c r="AT800" s="4"/>
      <c r="AU800" s="4"/>
      <c r="AV800" s="4"/>
      <c r="AW800" s="4"/>
      <c r="AX800" s="4"/>
      <c r="AY800" s="4"/>
      <c r="AZ800" s="4"/>
      <c r="BA800" s="4"/>
      <c r="BB800" s="4"/>
      <c r="BC800" s="4"/>
      <c r="BD800" s="4"/>
      <c r="BE800" s="4"/>
      <c r="BF800" s="4"/>
      <c r="BG800" s="4"/>
      <c r="BH800" s="4"/>
      <c r="BI800" s="4"/>
      <c r="BJ800" s="4"/>
      <c r="BK800" s="4"/>
      <c r="BL800" s="4"/>
      <c r="BM800" s="4"/>
      <c r="BN800" s="4"/>
    </row>
    <row r="801" ht="13.5" customHeight="1" spans="1:66" x14ac:dyDescent="0.25">
      <c r="A801" s="4"/>
      <c r="B801" s="4"/>
      <c r="C801" s="533"/>
      <c r="D801" s="4"/>
      <c r="E801" s="4"/>
      <c r="F801" s="4"/>
      <c r="G801" s="4"/>
      <c r="H801" s="4"/>
      <c r="I801" s="4"/>
      <c r="J801" s="4"/>
      <c r="K801" s="4"/>
      <c r="L801" s="4"/>
      <c r="M801" s="4"/>
      <c r="N801" s="4"/>
      <c r="O801" s="4"/>
      <c r="P801" s="4"/>
      <c r="Q801" s="4"/>
      <c r="R801" s="4"/>
      <c r="S801" s="4"/>
      <c r="T801" s="4"/>
      <c r="U801" s="4"/>
      <c r="V801" s="4"/>
      <c r="W801" s="4"/>
      <c r="X801" s="4"/>
      <c r="Y801" s="4"/>
      <c r="Z801" s="4"/>
      <c r="AA801" s="4"/>
      <c r="AB801" s="4"/>
      <c r="AC801" s="4"/>
      <c r="AD801" s="4"/>
      <c r="AE801" s="4"/>
      <c r="AF801" s="4"/>
      <c r="AG801" s="4"/>
      <c r="AH801" s="4"/>
      <c r="AI801" s="4"/>
      <c r="AJ801" s="4"/>
      <c r="AK801" s="4"/>
      <c r="AL801" s="4"/>
      <c r="AM801" s="4"/>
      <c r="AN801" s="4"/>
      <c r="AO801" s="4"/>
      <c r="AP801" s="4"/>
      <c r="AQ801" s="4"/>
      <c r="AR801" s="4"/>
      <c r="AS801" s="4"/>
      <c r="AT801" s="4"/>
      <c r="AU801" s="4"/>
      <c r="AV801" s="4"/>
      <c r="AW801" s="4"/>
      <c r="AX801" s="4"/>
      <c r="AY801" s="4"/>
      <c r="AZ801" s="4"/>
      <c r="BA801" s="4"/>
      <c r="BB801" s="4"/>
      <c r="BC801" s="4"/>
      <c r="BD801" s="4"/>
      <c r="BE801" s="4"/>
      <c r="BF801" s="4"/>
      <c r="BG801" s="4"/>
      <c r="BH801" s="4"/>
      <c r="BI801" s="4"/>
      <c r="BJ801" s="4"/>
      <c r="BK801" s="4"/>
      <c r="BL801" s="4"/>
      <c r="BM801" s="4"/>
      <c r="BN801" s="4"/>
    </row>
    <row r="802" ht="13.5" customHeight="1" spans="1:66" x14ac:dyDescent="0.25">
      <c r="A802" s="4"/>
      <c r="B802" s="4"/>
      <c r="C802" s="533"/>
      <c r="D802" s="4"/>
      <c r="E802" s="4"/>
      <c r="F802" s="4"/>
      <c r="G802" s="4"/>
      <c r="H802" s="4"/>
      <c r="I802" s="4"/>
      <c r="J802" s="4"/>
      <c r="K802" s="4"/>
      <c r="L802" s="4"/>
      <c r="M802" s="4"/>
      <c r="N802" s="4"/>
      <c r="O802" s="4"/>
      <c r="P802" s="4"/>
      <c r="Q802" s="4"/>
      <c r="R802" s="4"/>
      <c r="S802" s="4"/>
      <c r="T802" s="4"/>
      <c r="U802" s="4"/>
      <c r="V802" s="4"/>
      <c r="W802" s="4"/>
      <c r="X802" s="4"/>
      <c r="Y802" s="4"/>
      <c r="Z802" s="4"/>
      <c r="AA802" s="4"/>
      <c r="AB802" s="4"/>
      <c r="AC802" s="4"/>
      <c r="AD802" s="4"/>
      <c r="AE802" s="4"/>
      <c r="AF802" s="4"/>
      <c r="AG802" s="4"/>
      <c r="AH802" s="4"/>
      <c r="AI802" s="4"/>
      <c r="AJ802" s="4"/>
      <c r="AK802" s="4"/>
      <c r="AL802" s="4"/>
      <c r="AM802" s="4"/>
      <c r="AN802" s="4"/>
      <c r="AO802" s="4"/>
      <c r="AP802" s="4"/>
      <c r="AQ802" s="4"/>
      <c r="AR802" s="4"/>
      <c r="AS802" s="4"/>
      <c r="AT802" s="4"/>
      <c r="AU802" s="4"/>
      <c r="AV802" s="4"/>
      <c r="AW802" s="4"/>
      <c r="AX802" s="4"/>
      <c r="AY802" s="4"/>
      <c r="AZ802" s="4"/>
      <c r="BA802" s="4"/>
      <c r="BB802" s="4"/>
      <c r="BC802" s="4"/>
      <c r="BD802" s="4"/>
      <c r="BE802" s="4"/>
      <c r="BF802" s="4"/>
      <c r="BG802" s="4"/>
      <c r="BH802" s="4"/>
      <c r="BI802" s="4"/>
      <c r="BJ802" s="4"/>
      <c r="BK802" s="4"/>
      <c r="BL802" s="4"/>
      <c r="BM802" s="4"/>
      <c r="BN802" s="4"/>
    </row>
    <row r="803" ht="13.5" customHeight="1" spans="1:66" x14ac:dyDescent="0.25">
      <c r="A803" s="4"/>
      <c r="B803" s="4"/>
      <c r="C803" s="533"/>
      <c r="D803" s="4"/>
      <c r="E803" s="4"/>
      <c r="F803" s="4"/>
      <c r="G803" s="4"/>
      <c r="H803" s="4"/>
      <c r="I803" s="4"/>
      <c r="J803" s="4"/>
      <c r="K803" s="4"/>
      <c r="L803" s="4"/>
      <c r="M803" s="4"/>
      <c r="N803" s="4"/>
      <c r="O803" s="4"/>
      <c r="P803" s="4"/>
      <c r="Q803" s="4"/>
      <c r="R803" s="4"/>
      <c r="S803" s="4"/>
      <c r="T803" s="4"/>
      <c r="U803" s="4"/>
      <c r="V803" s="4"/>
      <c r="W803" s="4"/>
      <c r="X803" s="4"/>
      <c r="Y803" s="4"/>
      <c r="Z803" s="4"/>
      <c r="AA803" s="4"/>
      <c r="AB803" s="4"/>
      <c r="AC803" s="4"/>
      <c r="AD803" s="4"/>
      <c r="AE803" s="4"/>
      <c r="AF803" s="4"/>
      <c r="AG803" s="4"/>
      <c r="AH803" s="4"/>
      <c r="AI803" s="4"/>
      <c r="AJ803" s="4"/>
      <c r="AK803" s="4"/>
      <c r="AL803" s="4"/>
      <c r="AM803" s="4"/>
      <c r="AN803" s="4"/>
      <c r="AO803" s="4"/>
      <c r="AP803" s="4"/>
      <c r="AQ803" s="4"/>
      <c r="AR803" s="4"/>
      <c r="AS803" s="4"/>
      <c r="AT803" s="4"/>
      <c r="AU803" s="4"/>
      <c r="AV803" s="4"/>
      <c r="AW803" s="4"/>
      <c r="AX803" s="4"/>
      <c r="AY803" s="4"/>
      <c r="AZ803" s="4"/>
      <c r="BA803" s="4"/>
      <c r="BB803" s="4"/>
      <c r="BC803" s="4"/>
      <c r="BD803" s="4"/>
      <c r="BE803" s="4"/>
      <c r="BF803" s="4"/>
      <c r="BG803" s="4"/>
      <c r="BH803" s="4"/>
      <c r="BI803" s="4"/>
      <c r="BJ803" s="4"/>
      <c r="BK803" s="4"/>
      <c r="BL803" s="4"/>
      <c r="BM803" s="4"/>
      <c r="BN803" s="4"/>
    </row>
    <row r="804" ht="13.5" customHeight="1" spans="1:66" x14ac:dyDescent="0.25">
      <c r="A804" s="4"/>
      <c r="B804" s="4"/>
      <c r="C804" s="533"/>
      <c r="D804" s="4"/>
      <c r="E804" s="4"/>
      <c r="F804" s="4"/>
      <c r="G804" s="4"/>
      <c r="H804" s="4"/>
      <c r="I804" s="4"/>
      <c r="J804" s="4"/>
      <c r="K804" s="4"/>
      <c r="L804" s="4"/>
      <c r="M804" s="4"/>
      <c r="N804" s="4"/>
      <c r="O804" s="4"/>
      <c r="P804" s="4"/>
      <c r="Q804" s="4"/>
      <c r="R804" s="4"/>
      <c r="S804" s="4"/>
      <c r="T804" s="4"/>
      <c r="U804" s="4"/>
      <c r="V804" s="4"/>
      <c r="W804" s="4"/>
      <c r="X804" s="4"/>
      <c r="Y804" s="4"/>
      <c r="Z804" s="4"/>
      <c r="AA804" s="4"/>
      <c r="AB804" s="4"/>
      <c r="AC804" s="4"/>
      <c r="AD804" s="4"/>
      <c r="AE804" s="4"/>
      <c r="AF804" s="4"/>
      <c r="AG804" s="4"/>
      <c r="AH804" s="4"/>
      <c r="AI804" s="4"/>
      <c r="AJ804" s="4"/>
      <c r="AK804" s="4"/>
      <c r="AL804" s="4"/>
      <c r="AM804" s="4"/>
      <c r="AN804" s="4"/>
      <c r="AO804" s="4"/>
      <c r="AP804" s="4"/>
      <c r="AQ804" s="4"/>
      <c r="AR804" s="4"/>
      <c r="AS804" s="4"/>
      <c r="AT804" s="4"/>
      <c r="AU804" s="4"/>
      <c r="AV804" s="4"/>
      <c r="AW804" s="4"/>
      <c r="AX804" s="4"/>
      <c r="AY804" s="4"/>
      <c r="AZ804" s="4"/>
      <c r="BA804" s="4"/>
      <c r="BB804" s="4"/>
      <c r="BC804" s="4"/>
      <c r="BD804" s="4"/>
      <c r="BE804" s="4"/>
      <c r="BF804" s="4"/>
      <c r="BG804" s="4"/>
      <c r="BH804" s="4"/>
      <c r="BI804" s="4"/>
      <c r="BJ804" s="4"/>
      <c r="BK804" s="4"/>
      <c r="BL804" s="4"/>
      <c r="BM804" s="4"/>
      <c r="BN804" s="4"/>
    </row>
    <row r="805" ht="13.5" customHeight="1" spans="1:66" x14ac:dyDescent="0.25">
      <c r="A805" s="4"/>
      <c r="B805" s="4"/>
      <c r="C805" s="533"/>
      <c r="D805" s="4"/>
      <c r="E805" s="4"/>
      <c r="F805" s="4"/>
      <c r="G805" s="4"/>
      <c r="H805" s="4"/>
      <c r="I805" s="4"/>
      <c r="J805" s="4"/>
      <c r="K805" s="4"/>
      <c r="L805" s="4"/>
      <c r="M805" s="4"/>
      <c r="N805" s="4"/>
      <c r="O805" s="4"/>
      <c r="P805" s="4"/>
      <c r="Q805" s="4"/>
      <c r="R805" s="4"/>
      <c r="S805" s="4"/>
      <c r="T805" s="4"/>
      <c r="U805" s="4"/>
      <c r="V805" s="4"/>
      <c r="W805" s="4"/>
      <c r="X805" s="4"/>
      <c r="Y805" s="4"/>
      <c r="Z805" s="4"/>
      <c r="AA805" s="4"/>
      <c r="AB805" s="4"/>
      <c r="AC805" s="4"/>
      <c r="AD805" s="4"/>
      <c r="AE805" s="4"/>
      <c r="AF805" s="4"/>
      <c r="AG805" s="4"/>
      <c r="AH805" s="4"/>
      <c r="AI805" s="4"/>
      <c r="AJ805" s="4"/>
      <c r="AK805" s="4"/>
      <c r="AL805" s="4"/>
      <c r="AM805" s="4"/>
      <c r="AN805" s="4"/>
      <c r="AO805" s="4"/>
      <c r="AP805" s="4"/>
      <c r="AQ805" s="4"/>
      <c r="AR805" s="4"/>
      <c r="AS805" s="4"/>
      <c r="AT805" s="4"/>
      <c r="AU805" s="4"/>
      <c r="AV805" s="4"/>
      <c r="AW805" s="4"/>
      <c r="AX805" s="4"/>
      <c r="AY805" s="4"/>
      <c r="AZ805" s="4"/>
      <c r="BA805" s="4"/>
      <c r="BB805" s="4"/>
      <c r="BC805" s="4"/>
      <c r="BD805" s="4"/>
      <c r="BE805" s="4"/>
      <c r="BF805" s="4"/>
      <c r="BG805" s="4"/>
      <c r="BH805" s="4"/>
      <c r="BI805" s="4"/>
      <c r="BJ805" s="4"/>
      <c r="BK805" s="4"/>
      <c r="BL805" s="4"/>
      <c r="BM805" s="4"/>
      <c r="BN805" s="4"/>
    </row>
    <row r="806" ht="13.5" customHeight="1" spans="1:66" x14ac:dyDescent="0.25">
      <c r="A806" s="4"/>
      <c r="B806" s="4"/>
      <c r="C806" s="533"/>
      <c r="D806" s="4"/>
      <c r="E806" s="4"/>
      <c r="F806" s="4"/>
      <c r="G806" s="4"/>
      <c r="H806" s="4"/>
      <c r="I806" s="4"/>
      <c r="J806" s="4"/>
      <c r="K806" s="4"/>
      <c r="L806" s="4"/>
      <c r="M806" s="4"/>
      <c r="N806" s="4"/>
      <c r="O806" s="4"/>
      <c r="P806" s="4"/>
      <c r="Q806" s="4"/>
      <c r="R806" s="4"/>
      <c r="S806" s="4"/>
      <c r="T806" s="4"/>
      <c r="U806" s="4"/>
      <c r="V806" s="4"/>
      <c r="W806" s="4"/>
      <c r="X806" s="4"/>
      <c r="Y806" s="4"/>
      <c r="Z806" s="4"/>
      <c r="AA806" s="4"/>
      <c r="AB806" s="4"/>
      <c r="AC806" s="4"/>
      <c r="AD806" s="4"/>
      <c r="AE806" s="4"/>
      <c r="AF806" s="4"/>
      <c r="AG806" s="4"/>
      <c r="AH806" s="4"/>
      <c r="AI806" s="4"/>
      <c r="AJ806" s="4"/>
      <c r="AK806" s="4"/>
      <c r="AL806" s="4"/>
      <c r="AM806" s="4"/>
      <c r="AN806" s="4"/>
      <c r="AO806" s="4"/>
      <c r="AP806" s="4"/>
      <c r="AQ806" s="4"/>
      <c r="AR806" s="4"/>
      <c r="AS806" s="4"/>
      <c r="AT806" s="4"/>
      <c r="AU806" s="4"/>
      <c r="AV806" s="4"/>
      <c r="AW806" s="4"/>
      <c r="AX806" s="4"/>
      <c r="AY806" s="4"/>
      <c r="AZ806" s="4"/>
      <c r="BA806" s="4"/>
      <c r="BB806" s="4"/>
      <c r="BC806" s="4"/>
      <c r="BD806" s="4"/>
      <c r="BE806" s="4"/>
      <c r="BF806" s="4"/>
      <c r="BG806" s="4"/>
      <c r="BH806" s="4"/>
      <c r="BI806" s="4"/>
      <c r="BJ806" s="4"/>
      <c r="BK806" s="4"/>
      <c r="BL806" s="4"/>
      <c r="BM806" s="4"/>
      <c r="BN806" s="4"/>
    </row>
    <row r="807" ht="13.5" customHeight="1" spans="1:66" x14ac:dyDescent="0.25">
      <c r="A807" s="4"/>
      <c r="B807" s="4"/>
      <c r="C807" s="533"/>
      <c r="D807" s="4"/>
      <c r="E807" s="4"/>
      <c r="F807" s="4"/>
      <c r="G807" s="4"/>
      <c r="H807" s="4"/>
      <c r="I807" s="4"/>
      <c r="J807" s="4"/>
      <c r="K807" s="4"/>
      <c r="L807" s="4"/>
      <c r="M807" s="4"/>
      <c r="N807" s="4"/>
      <c r="O807" s="4"/>
      <c r="P807" s="4"/>
      <c r="Q807" s="4"/>
      <c r="R807" s="4"/>
      <c r="S807" s="4"/>
      <c r="T807" s="4"/>
      <c r="U807" s="4"/>
      <c r="V807" s="4"/>
      <c r="W807" s="4"/>
      <c r="X807" s="4"/>
      <c r="Y807" s="4"/>
      <c r="Z807" s="4"/>
      <c r="AA807" s="4"/>
      <c r="AB807" s="4"/>
      <c r="AC807" s="4"/>
      <c r="AD807" s="4"/>
      <c r="AE807" s="4"/>
      <c r="AF807" s="4"/>
      <c r="AG807" s="4"/>
      <c r="AH807" s="4"/>
      <c r="AI807" s="4"/>
      <c r="AJ807" s="4"/>
      <c r="AK807" s="4"/>
      <c r="AL807" s="4"/>
      <c r="AM807" s="4"/>
      <c r="AN807" s="4"/>
      <c r="AO807" s="4"/>
      <c r="AP807" s="4"/>
      <c r="AQ807" s="4"/>
      <c r="AR807" s="4"/>
      <c r="AS807" s="4"/>
      <c r="AT807" s="4"/>
      <c r="AU807" s="4"/>
      <c r="AV807" s="4"/>
      <c r="AW807" s="4"/>
      <c r="AX807" s="4"/>
      <c r="AY807" s="4"/>
      <c r="AZ807" s="4"/>
      <c r="BA807" s="4"/>
      <c r="BB807" s="4"/>
      <c r="BC807" s="4"/>
      <c r="BD807" s="4"/>
      <c r="BE807" s="4"/>
      <c r="BF807" s="4"/>
      <c r="BG807" s="4"/>
      <c r="BH807" s="4"/>
      <c r="BI807" s="4"/>
      <c r="BJ807" s="4"/>
      <c r="BK807" s="4"/>
      <c r="BL807" s="4"/>
      <c r="BM807" s="4"/>
      <c r="BN807" s="4"/>
    </row>
    <row r="808" ht="13.5" customHeight="1" spans="1:66" x14ac:dyDescent="0.25">
      <c r="A808" s="4"/>
      <c r="B808" s="4"/>
      <c r="C808" s="533"/>
      <c r="D808" s="4"/>
      <c r="E808" s="4"/>
      <c r="F808" s="4"/>
      <c r="G808" s="4"/>
      <c r="H808" s="4"/>
      <c r="I808" s="4"/>
      <c r="J808" s="4"/>
      <c r="K808" s="4"/>
      <c r="L808" s="4"/>
      <c r="M808" s="4"/>
      <c r="N808" s="4"/>
      <c r="O808" s="4"/>
      <c r="P808" s="4"/>
      <c r="Q808" s="4"/>
      <c r="R808" s="4"/>
      <c r="S808" s="4"/>
      <c r="T808" s="4"/>
      <c r="U808" s="4"/>
      <c r="V808" s="4"/>
      <c r="W808" s="4"/>
      <c r="X808" s="4"/>
      <c r="Y808" s="4"/>
      <c r="Z808" s="4"/>
      <c r="AA808" s="4"/>
      <c r="AB808" s="4"/>
      <c r="AC808" s="4"/>
      <c r="AD808" s="4"/>
      <c r="AE808" s="4"/>
      <c r="AF808" s="4"/>
      <c r="AG808" s="4"/>
      <c r="AH808" s="4"/>
      <c r="AI808" s="4"/>
      <c r="AJ808" s="4"/>
      <c r="AK808" s="4"/>
      <c r="AL808" s="4"/>
      <c r="AM808" s="4"/>
      <c r="AN808" s="4"/>
      <c r="AO808" s="4"/>
      <c r="AP808" s="4"/>
      <c r="AQ808" s="4"/>
      <c r="AR808" s="4"/>
      <c r="AS808" s="4"/>
      <c r="AT808" s="4"/>
      <c r="AU808" s="4"/>
      <c r="AV808" s="4"/>
      <c r="AW808" s="4"/>
      <c r="AX808" s="4"/>
      <c r="AY808" s="4"/>
      <c r="AZ808" s="4"/>
      <c r="BA808" s="4"/>
      <c r="BB808" s="4"/>
      <c r="BC808" s="4"/>
      <c r="BD808" s="4"/>
      <c r="BE808" s="4"/>
      <c r="BF808" s="4"/>
      <c r="BG808" s="4"/>
      <c r="BH808" s="4"/>
      <c r="BI808" s="4"/>
      <c r="BJ808" s="4"/>
      <c r="BK808" s="4"/>
      <c r="BL808" s="4"/>
      <c r="BM808" s="4"/>
      <c r="BN808" s="4"/>
    </row>
    <row r="809" ht="13.5" customHeight="1" spans="1:66" x14ac:dyDescent="0.25">
      <c r="A809" s="4"/>
      <c r="B809" s="4"/>
      <c r="C809" s="533"/>
      <c r="D809" s="4"/>
      <c r="E809" s="4"/>
      <c r="F809" s="4"/>
      <c r="G809" s="4"/>
      <c r="H809" s="4"/>
      <c r="I809" s="4"/>
      <c r="J809" s="4"/>
      <c r="K809" s="4"/>
      <c r="L809" s="4"/>
      <c r="M809" s="4"/>
      <c r="N809" s="4"/>
      <c r="O809" s="4"/>
      <c r="P809" s="4"/>
      <c r="Q809" s="4"/>
      <c r="R809" s="4"/>
      <c r="S809" s="4"/>
      <c r="T809" s="4"/>
      <c r="U809" s="4"/>
      <c r="V809" s="4"/>
      <c r="W809" s="4"/>
      <c r="X809" s="4"/>
      <c r="Y809" s="4"/>
      <c r="Z809" s="4"/>
      <c r="AA809" s="4"/>
      <c r="AB809" s="4"/>
      <c r="AC809" s="4"/>
      <c r="AD809" s="4"/>
      <c r="AE809" s="4"/>
      <c r="AF809" s="4"/>
      <c r="AG809" s="4"/>
      <c r="AH809" s="4"/>
      <c r="AI809" s="4"/>
      <c r="AJ809" s="4"/>
      <c r="AK809" s="4"/>
      <c r="AL809" s="4"/>
      <c r="AM809" s="4"/>
      <c r="AN809" s="4"/>
      <c r="AO809" s="4"/>
      <c r="AP809" s="4"/>
      <c r="AQ809" s="4"/>
      <c r="AR809" s="4"/>
      <c r="AS809" s="4"/>
      <c r="AT809" s="4"/>
      <c r="AU809" s="4"/>
      <c r="AV809" s="4"/>
      <c r="AW809" s="4"/>
      <c r="AX809" s="4"/>
      <c r="AY809" s="4"/>
      <c r="AZ809" s="4"/>
      <c r="BA809" s="4"/>
      <c r="BB809" s="4"/>
      <c r="BC809" s="4"/>
      <c r="BD809" s="4"/>
      <c r="BE809" s="4"/>
      <c r="BF809" s="4"/>
      <c r="BG809" s="4"/>
      <c r="BH809" s="4"/>
      <c r="BI809" s="4"/>
      <c r="BJ809" s="4"/>
      <c r="BK809" s="4"/>
      <c r="BL809" s="4"/>
      <c r="BM809" s="4"/>
      <c r="BN809" s="4"/>
    </row>
    <row r="810" ht="13.5" customHeight="1" spans="1:66" x14ac:dyDescent="0.25">
      <c r="A810" s="4"/>
      <c r="B810" s="4"/>
      <c r="C810" s="533"/>
      <c r="D810" s="4"/>
      <c r="E810" s="4"/>
      <c r="F810" s="4"/>
      <c r="G810" s="4"/>
      <c r="H810" s="4"/>
      <c r="I810" s="4"/>
      <c r="J810" s="4"/>
      <c r="K810" s="4"/>
      <c r="L810" s="4"/>
      <c r="M810" s="4"/>
      <c r="N810" s="4"/>
      <c r="O810" s="4"/>
      <c r="P810" s="4"/>
      <c r="Q810" s="4"/>
      <c r="R810" s="4"/>
      <c r="S810" s="4"/>
      <c r="T810" s="4"/>
      <c r="U810" s="4"/>
      <c r="V810" s="4"/>
      <c r="W810" s="4"/>
      <c r="X810" s="4"/>
      <c r="Y810" s="4"/>
      <c r="Z810" s="4"/>
      <c r="AA810" s="4"/>
      <c r="AB810" s="4"/>
      <c r="AC810" s="4"/>
      <c r="AD810" s="4"/>
      <c r="AE810" s="4"/>
      <c r="AF810" s="4"/>
      <c r="AG810" s="4"/>
      <c r="AH810" s="4"/>
      <c r="AI810" s="4"/>
      <c r="AJ810" s="4"/>
      <c r="AK810" s="4"/>
      <c r="AL810" s="4"/>
      <c r="AM810" s="4"/>
      <c r="AN810" s="4"/>
      <c r="AO810" s="4"/>
      <c r="AP810" s="4"/>
      <c r="AQ810" s="4"/>
      <c r="AR810" s="4"/>
      <c r="AS810" s="4"/>
      <c r="AT810" s="4"/>
      <c r="AU810" s="4"/>
      <c r="AV810" s="4"/>
      <c r="AW810" s="4"/>
      <c r="AX810" s="4"/>
      <c r="AY810" s="4"/>
      <c r="AZ810" s="4"/>
      <c r="BA810" s="4"/>
      <c r="BB810" s="4"/>
      <c r="BC810" s="4"/>
      <c r="BD810" s="4"/>
      <c r="BE810" s="4"/>
      <c r="BF810" s="4"/>
      <c r="BG810" s="4"/>
      <c r="BH810" s="4"/>
      <c r="BI810" s="4"/>
      <c r="BJ810" s="4"/>
      <c r="BK810" s="4"/>
      <c r="BL810" s="4"/>
      <c r="BM810" s="4"/>
      <c r="BN810" s="4"/>
    </row>
    <row r="811" ht="13.5" customHeight="1" spans="1:66" x14ac:dyDescent="0.25">
      <c r="A811" s="4"/>
      <c r="B811" s="4"/>
      <c r="C811" s="533"/>
      <c r="D811" s="4"/>
      <c r="E811" s="4"/>
      <c r="F811" s="4"/>
      <c r="G811" s="4"/>
      <c r="H811" s="4"/>
      <c r="I811" s="4"/>
      <c r="J811" s="4"/>
      <c r="K811" s="4"/>
      <c r="L811" s="4"/>
      <c r="M811" s="4"/>
      <c r="N811" s="4"/>
      <c r="O811" s="4"/>
      <c r="P811" s="4"/>
      <c r="Q811" s="4"/>
      <c r="R811" s="4"/>
      <c r="S811" s="4"/>
      <c r="T811" s="4"/>
      <c r="U811" s="4"/>
      <c r="V811" s="4"/>
      <c r="W811" s="4"/>
      <c r="X811" s="4"/>
      <c r="Y811" s="4"/>
      <c r="Z811" s="4"/>
      <c r="AA811" s="4"/>
      <c r="AB811" s="4"/>
      <c r="AC811" s="4"/>
      <c r="AD811" s="4"/>
      <c r="AE811" s="4"/>
      <c r="AF811" s="4"/>
      <c r="AG811" s="4"/>
      <c r="AH811" s="4"/>
      <c r="AI811" s="4"/>
      <c r="AJ811" s="4"/>
      <c r="AK811" s="4"/>
      <c r="AL811" s="4"/>
      <c r="AM811" s="4"/>
      <c r="AN811" s="4"/>
      <c r="AO811" s="4"/>
      <c r="AP811" s="4"/>
      <c r="AQ811" s="4"/>
      <c r="AR811" s="4"/>
      <c r="AS811" s="4"/>
      <c r="AT811" s="4"/>
      <c r="AU811" s="4"/>
      <c r="AV811" s="4"/>
      <c r="AW811" s="4"/>
      <c r="AX811" s="4"/>
      <c r="AY811" s="4"/>
      <c r="AZ811" s="4"/>
      <c r="BA811" s="4"/>
      <c r="BB811" s="4"/>
      <c r="BC811" s="4"/>
      <c r="BD811" s="4"/>
      <c r="BE811" s="4"/>
      <c r="BF811" s="4"/>
      <c r="BG811" s="4"/>
      <c r="BH811" s="4"/>
      <c r="BI811" s="4"/>
      <c r="BJ811" s="4"/>
      <c r="BK811" s="4"/>
      <c r="BL811" s="4"/>
      <c r="BM811" s="4"/>
      <c r="BN811" s="4"/>
    </row>
    <row r="812" ht="13.5" customHeight="1" spans="1:66" x14ac:dyDescent="0.25">
      <c r="A812" s="4"/>
      <c r="B812" s="4"/>
      <c r="C812" s="533"/>
      <c r="D812" s="4"/>
      <c r="E812" s="4"/>
      <c r="F812" s="4"/>
      <c r="G812" s="4"/>
      <c r="H812" s="4"/>
      <c r="I812" s="4"/>
      <c r="J812" s="4"/>
      <c r="K812" s="4"/>
      <c r="L812" s="4"/>
      <c r="M812" s="4"/>
      <c r="N812" s="4"/>
      <c r="O812" s="4"/>
      <c r="P812" s="4"/>
      <c r="Q812" s="4"/>
      <c r="R812" s="4"/>
      <c r="S812" s="4"/>
      <c r="T812" s="4"/>
      <c r="U812" s="4"/>
      <c r="V812" s="4"/>
      <c r="W812" s="4"/>
      <c r="X812" s="4"/>
      <c r="Y812" s="4"/>
      <c r="Z812" s="4"/>
      <c r="AA812" s="4"/>
      <c r="AB812" s="4"/>
      <c r="AC812" s="4"/>
      <c r="AD812" s="4"/>
      <c r="AE812" s="4"/>
      <c r="AF812" s="4"/>
      <c r="AG812" s="4"/>
      <c r="AH812" s="4"/>
      <c r="AI812" s="4"/>
      <c r="AJ812" s="4"/>
      <c r="AK812" s="4"/>
      <c r="AL812" s="4"/>
      <c r="AM812" s="4"/>
      <c r="AN812" s="4"/>
      <c r="AO812" s="4"/>
      <c r="AP812" s="4"/>
      <c r="AQ812" s="4"/>
      <c r="AR812" s="4"/>
      <c r="AS812" s="4"/>
      <c r="AT812" s="4"/>
      <c r="AU812" s="4"/>
      <c r="AV812" s="4"/>
      <c r="AW812" s="4"/>
      <c r="AX812" s="4"/>
      <c r="AY812" s="4"/>
      <c r="AZ812" s="4"/>
      <c r="BA812" s="4"/>
      <c r="BB812" s="4"/>
      <c r="BC812" s="4"/>
      <c r="BD812" s="4"/>
      <c r="BE812" s="4"/>
      <c r="BF812" s="4"/>
      <c r="BG812" s="4"/>
      <c r="BH812" s="4"/>
      <c r="BI812" s="4"/>
      <c r="BJ812" s="4"/>
      <c r="BK812" s="4"/>
      <c r="BL812" s="4"/>
      <c r="BM812" s="4"/>
      <c r="BN812" s="4"/>
    </row>
    <row r="813" ht="13.5" customHeight="1" spans="1:66" x14ac:dyDescent="0.25">
      <c r="A813" s="4"/>
      <c r="B813" s="4"/>
      <c r="C813" s="533"/>
      <c r="D813" s="4"/>
      <c r="E813" s="4"/>
      <c r="F813" s="4"/>
      <c r="G813" s="4"/>
      <c r="H813" s="4"/>
      <c r="I813" s="4"/>
      <c r="J813" s="4"/>
      <c r="K813" s="4"/>
      <c r="L813" s="4"/>
      <c r="M813" s="4"/>
      <c r="N813" s="4"/>
      <c r="O813" s="4"/>
      <c r="P813" s="4"/>
      <c r="Q813" s="4"/>
      <c r="R813" s="4"/>
      <c r="S813" s="4"/>
      <c r="T813" s="4"/>
      <c r="U813" s="4"/>
      <c r="V813" s="4"/>
      <c r="W813" s="4"/>
      <c r="X813" s="4"/>
      <c r="Y813" s="4"/>
      <c r="Z813" s="4"/>
      <c r="AA813" s="4"/>
      <c r="AB813" s="4"/>
      <c r="AC813" s="4"/>
      <c r="AD813" s="4"/>
      <c r="AE813" s="4"/>
      <c r="AF813" s="4"/>
      <c r="AG813" s="4"/>
      <c r="AH813" s="4"/>
      <c r="AI813" s="4"/>
      <c r="AJ813" s="4"/>
      <c r="AK813" s="4"/>
      <c r="AL813" s="4"/>
      <c r="AM813" s="4"/>
      <c r="AN813" s="4"/>
      <c r="AO813" s="4"/>
      <c r="AP813" s="4"/>
      <c r="AQ813" s="4"/>
      <c r="AR813" s="4"/>
      <c r="AS813" s="4"/>
      <c r="AT813" s="4"/>
      <c r="AU813" s="4"/>
      <c r="AV813" s="4"/>
      <c r="AW813" s="4"/>
      <c r="AX813" s="4"/>
      <c r="AY813" s="4"/>
      <c r="AZ813" s="4"/>
      <c r="BA813" s="4"/>
      <c r="BB813" s="4"/>
      <c r="BC813" s="4"/>
      <c r="BD813" s="4"/>
      <c r="BE813" s="4"/>
      <c r="BF813" s="4"/>
      <c r="BG813" s="4"/>
      <c r="BH813" s="4"/>
      <c r="BI813" s="4"/>
      <c r="BJ813" s="4"/>
      <c r="BK813" s="4"/>
      <c r="BL813" s="4"/>
      <c r="BM813" s="4"/>
      <c r="BN813" s="4"/>
    </row>
    <row r="814" ht="13.5" customHeight="1" spans="1:66" x14ac:dyDescent="0.25">
      <c r="A814" s="4"/>
      <c r="B814" s="4"/>
      <c r="C814" s="533"/>
      <c r="D814" s="4"/>
      <c r="E814" s="4"/>
      <c r="F814" s="4"/>
      <c r="G814" s="4"/>
      <c r="H814" s="4"/>
      <c r="I814" s="4"/>
      <c r="J814" s="4"/>
      <c r="K814" s="4"/>
      <c r="L814" s="4"/>
      <c r="M814" s="4"/>
      <c r="N814" s="4"/>
      <c r="O814" s="4"/>
      <c r="P814" s="4"/>
      <c r="Q814" s="4"/>
      <c r="R814" s="4"/>
      <c r="S814" s="4"/>
      <c r="T814" s="4"/>
      <c r="U814" s="4"/>
      <c r="V814" s="4"/>
      <c r="W814" s="4"/>
      <c r="X814" s="4"/>
      <c r="Y814" s="4"/>
      <c r="Z814" s="4"/>
      <c r="AA814" s="4"/>
      <c r="AB814" s="4"/>
      <c r="AC814" s="4"/>
      <c r="AD814" s="4"/>
      <c r="AE814" s="4"/>
      <c r="AF814" s="4"/>
      <c r="AG814" s="4"/>
      <c r="AH814" s="4"/>
      <c r="AI814" s="4"/>
      <c r="AJ814" s="4"/>
      <c r="AK814" s="4"/>
      <c r="AL814" s="4"/>
      <c r="AM814" s="4"/>
      <c r="AN814" s="4"/>
      <c r="AO814" s="4"/>
      <c r="AP814" s="4"/>
      <c r="AQ814" s="4"/>
      <c r="AR814" s="4"/>
      <c r="AS814" s="4"/>
      <c r="AT814" s="4"/>
      <c r="AU814" s="4"/>
      <c r="AV814" s="4"/>
      <c r="AW814" s="4"/>
      <c r="AX814" s="4"/>
      <c r="AY814" s="4"/>
      <c r="AZ814" s="4"/>
      <c r="BA814" s="4"/>
      <c r="BB814" s="4"/>
      <c r="BC814" s="4"/>
      <c r="BD814" s="4"/>
      <c r="BE814" s="4"/>
      <c r="BF814" s="4"/>
      <c r="BG814" s="4"/>
      <c r="BH814" s="4"/>
      <c r="BI814" s="4"/>
      <c r="BJ814" s="4"/>
      <c r="BK814" s="4"/>
      <c r="BL814" s="4"/>
      <c r="BM814" s="4"/>
      <c r="BN814" s="4"/>
    </row>
    <row r="815" ht="13.5" customHeight="1" spans="1:66" x14ac:dyDescent="0.25">
      <c r="A815" s="4"/>
      <c r="B815" s="4"/>
      <c r="C815" s="533"/>
      <c r="D815" s="4"/>
      <c r="E815" s="4"/>
      <c r="F815" s="4"/>
      <c r="G815" s="4"/>
      <c r="H815" s="4"/>
      <c r="I815" s="4"/>
      <c r="J815" s="4"/>
      <c r="K815" s="4"/>
      <c r="L815" s="4"/>
      <c r="M815" s="4"/>
      <c r="N815" s="4"/>
      <c r="O815" s="4"/>
      <c r="P815" s="4"/>
      <c r="Q815" s="4"/>
      <c r="R815" s="4"/>
      <c r="S815" s="4"/>
      <c r="T815" s="4"/>
      <c r="U815" s="4"/>
      <c r="V815" s="4"/>
      <c r="W815" s="4"/>
      <c r="X815" s="4"/>
      <c r="Y815" s="4"/>
      <c r="Z815" s="4"/>
      <c r="AA815" s="4"/>
      <c r="AB815" s="4"/>
      <c r="AC815" s="4"/>
      <c r="AD815" s="4"/>
      <c r="AE815" s="4"/>
      <c r="AF815" s="4"/>
      <c r="AG815" s="4"/>
      <c r="AH815" s="4"/>
      <c r="AI815" s="4"/>
      <c r="AJ815" s="4"/>
      <c r="AK815" s="4"/>
      <c r="AL815" s="4"/>
      <c r="AM815" s="4"/>
      <c r="AN815" s="4"/>
      <c r="AO815" s="4"/>
      <c r="AP815" s="4"/>
      <c r="AQ815" s="4"/>
      <c r="AR815" s="4"/>
      <c r="AS815" s="4"/>
      <c r="AT815" s="4"/>
      <c r="AU815" s="4"/>
      <c r="AV815" s="4"/>
      <c r="AW815" s="4"/>
      <c r="AX815" s="4"/>
      <c r="AY815" s="4"/>
      <c r="AZ815" s="4"/>
      <c r="BA815" s="4"/>
      <c r="BB815" s="4"/>
      <c r="BC815" s="4"/>
      <c r="BD815" s="4"/>
      <c r="BE815" s="4"/>
      <c r="BF815" s="4"/>
      <c r="BG815" s="4"/>
      <c r="BH815" s="4"/>
      <c r="BI815" s="4"/>
      <c r="BJ815" s="4"/>
      <c r="BK815" s="4"/>
      <c r="BL815" s="4"/>
      <c r="BM815" s="4"/>
      <c r="BN815" s="4"/>
    </row>
    <row r="816" ht="13.5" customHeight="1" spans="1:66" x14ac:dyDescent="0.25">
      <c r="A816" s="4"/>
      <c r="B816" s="4"/>
      <c r="C816" s="533"/>
      <c r="D816" s="4"/>
      <c r="E816" s="4"/>
      <c r="F816" s="4"/>
      <c r="G816" s="4"/>
      <c r="H816" s="4"/>
      <c r="I816" s="4"/>
      <c r="J816" s="4"/>
      <c r="K816" s="4"/>
      <c r="L816" s="4"/>
      <c r="M816" s="4"/>
      <c r="N816" s="4"/>
      <c r="O816" s="4"/>
      <c r="P816" s="4"/>
      <c r="Q816" s="4"/>
      <c r="R816" s="4"/>
      <c r="S816" s="4"/>
      <c r="T816" s="4"/>
      <c r="U816" s="4"/>
      <c r="V816" s="4"/>
      <c r="W816" s="4"/>
      <c r="X816" s="4"/>
      <c r="Y816" s="4"/>
      <c r="Z816" s="4"/>
      <c r="AA816" s="4"/>
      <c r="AB816" s="4"/>
      <c r="AC816" s="4"/>
      <c r="AD816" s="4"/>
      <c r="AE816" s="4"/>
      <c r="AF816" s="4"/>
      <c r="AG816" s="4"/>
      <c r="AH816" s="4"/>
      <c r="AI816" s="4"/>
      <c r="AJ816" s="4"/>
      <c r="AK816" s="4"/>
      <c r="AL816" s="4"/>
      <c r="AM816" s="4"/>
      <c r="AN816" s="4"/>
      <c r="AO816" s="4"/>
      <c r="AP816" s="4"/>
      <c r="AQ816" s="4"/>
      <c r="AR816" s="4"/>
      <c r="AS816" s="4"/>
      <c r="AT816" s="4"/>
      <c r="AU816" s="4"/>
      <c r="AV816" s="4"/>
      <c r="AW816" s="4"/>
      <c r="AX816" s="4"/>
      <c r="AY816" s="4"/>
      <c r="AZ816" s="4"/>
      <c r="BA816" s="4"/>
      <c r="BB816" s="4"/>
      <c r="BC816" s="4"/>
      <c r="BD816" s="4"/>
      <c r="BE816" s="4"/>
      <c r="BF816" s="4"/>
      <c r="BG816" s="4"/>
      <c r="BH816" s="4"/>
      <c r="BI816" s="4"/>
      <c r="BJ816" s="4"/>
      <c r="BK816" s="4"/>
      <c r="BL816" s="4"/>
      <c r="BM816" s="4"/>
      <c r="BN816" s="4"/>
    </row>
    <row r="817" ht="13.5" customHeight="1" spans="1:66" x14ac:dyDescent="0.25">
      <c r="A817" s="4"/>
      <c r="B817" s="4"/>
      <c r="C817" s="533"/>
      <c r="D817" s="4"/>
      <c r="E817" s="4"/>
      <c r="F817" s="4"/>
      <c r="G817" s="4"/>
      <c r="H817" s="4"/>
      <c r="I817" s="4"/>
      <c r="J817" s="4"/>
      <c r="K817" s="4"/>
      <c r="L817" s="4"/>
      <c r="M817" s="4"/>
      <c r="N817" s="4"/>
      <c r="O817" s="4"/>
      <c r="P817" s="4"/>
      <c r="Q817" s="4"/>
      <c r="R817" s="4"/>
      <c r="S817" s="4"/>
      <c r="T817" s="4"/>
      <c r="U817" s="4"/>
      <c r="V817" s="4"/>
      <c r="W817" s="4"/>
      <c r="X817" s="4"/>
      <c r="Y817" s="4"/>
      <c r="Z817" s="4"/>
      <c r="AA817" s="4"/>
      <c r="AB817" s="4"/>
      <c r="AC817" s="4"/>
      <c r="AD817" s="4"/>
      <c r="AE817" s="4"/>
      <c r="AF817" s="4"/>
      <c r="AG817" s="4"/>
      <c r="AH817" s="4"/>
      <c r="AI817" s="4"/>
      <c r="AJ817" s="4"/>
      <c r="AK817" s="4"/>
      <c r="AL817" s="4"/>
      <c r="AM817" s="4"/>
      <c r="AN817" s="4"/>
      <c r="AO817" s="4"/>
      <c r="AP817" s="4"/>
      <c r="AQ817" s="4"/>
      <c r="AR817" s="4"/>
      <c r="AS817" s="4"/>
      <c r="AT817" s="4"/>
      <c r="AU817" s="4"/>
      <c r="AV817" s="4"/>
      <c r="AW817" s="4"/>
      <c r="AX817" s="4"/>
      <c r="AY817" s="4"/>
      <c r="AZ817" s="4"/>
      <c r="BA817" s="4"/>
      <c r="BB817" s="4"/>
      <c r="BC817" s="4"/>
      <c r="BD817" s="4"/>
      <c r="BE817" s="4"/>
      <c r="BF817" s="4"/>
      <c r="BG817" s="4"/>
      <c r="BH817" s="4"/>
      <c r="BI817" s="4"/>
      <c r="BJ817" s="4"/>
      <c r="BK817" s="4"/>
      <c r="BL817" s="4"/>
      <c r="BM817" s="4"/>
      <c r="BN817" s="4"/>
    </row>
    <row r="818" ht="13.5" customHeight="1" spans="1:66" x14ac:dyDescent="0.25">
      <c r="A818" s="4"/>
      <c r="B818" s="4"/>
      <c r="C818" s="533"/>
      <c r="D818" s="4"/>
      <c r="E818" s="4"/>
      <c r="F818" s="4"/>
      <c r="G818" s="4"/>
      <c r="H818" s="4"/>
      <c r="I818" s="4"/>
      <c r="J818" s="4"/>
      <c r="K818" s="4"/>
      <c r="L818" s="4"/>
      <c r="M818" s="4"/>
      <c r="N818" s="4"/>
      <c r="O818" s="4"/>
      <c r="P818" s="4"/>
      <c r="Q818" s="4"/>
      <c r="R818" s="4"/>
      <c r="S818" s="4"/>
      <c r="T818" s="4"/>
      <c r="U818" s="4"/>
      <c r="V818" s="4"/>
      <c r="W818" s="4"/>
      <c r="X818" s="4"/>
      <c r="Y818" s="4"/>
      <c r="Z818" s="4"/>
      <c r="AA818" s="4"/>
      <c r="AB818" s="4"/>
      <c r="AC818" s="4"/>
      <c r="AD818" s="4"/>
      <c r="AE818" s="4"/>
      <c r="AF818" s="4"/>
      <c r="AG818" s="4"/>
      <c r="AH818" s="4"/>
      <c r="AI818" s="4"/>
      <c r="AJ818" s="4"/>
      <c r="AK818" s="4"/>
      <c r="AL818" s="4"/>
      <c r="AM818" s="4"/>
      <c r="AN818" s="4"/>
      <c r="AO818" s="4"/>
      <c r="AP818" s="4"/>
      <c r="AQ818" s="4"/>
      <c r="AR818" s="4"/>
      <c r="AS818" s="4"/>
      <c r="AT818" s="4"/>
      <c r="AU818" s="4"/>
      <c r="AV818" s="4"/>
      <c r="AW818" s="4"/>
      <c r="AX818" s="4"/>
      <c r="AY818" s="4"/>
      <c r="AZ818" s="4"/>
      <c r="BA818" s="4"/>
      <c r="BB818" s="4"/>
      <c r="BC818" s="4"/>
      <c r="BD818" s="4"/>
      <c r="BE818" s="4"/>
      <c r="BF818" s="4"/>
      <c r="BG818" s="4"/>
      <c r="BH818" s="4"/>
      <c r="BI818" s="4"/>
      <c r="BJ818" s="4"/>
      <c r="BK818" s="4"/>
      <c r="BL818" s="4"/>
      <c r="BM818" s="4"/>
      <c r="BN818" s="4"/>
    </row>
    <row r="819" ht="13.5" customHeight="1" spans="1:66" x14ac:dyDescent="0.25">
      <c r="A819" s="4"/>
      <c r="B819" s="4"/>
      <c r="C819" s="533"/>
      <c r="D819" s="4"/>
      <c r="E819" s="4"/>
      <c r="F819" s="4"/>
      <c r="G819" s="4"/>
      <c r="H819" s="4"/>
      <c r="I819" s="4"/>
      <c r="J819" s="4"/>
      <c r="K819" s="4"/>
      <c r="L819" s="4"/>
      <c r="M819" s="4"/>
      <c r="N819" s="4"/>
      <c r="O819" s="4"/>
      <c r="P819" s="4"/>
      <c r="Q819" s="4"/>
      <c r="R819" s="4"/>
      <c r="S819" s="4"/>
      <c r="T819" s="4"/>
      <c r="U819" s="4"/>
      <c r="V819" s="4"/>
      <c r="W819" s="4"/>
      <c r="X819" s="4"/>
      <c r="Y819" s="4"/>
      <c r="Z819" s="4"/>
      <c r="AA819" s="4"/>
      <c r="AB819" s="4"/>
      <c r="AC819" s="4"/>
      <c r="AD819" s="4"/>
      <c r="AE819" s="4"/>
      <c r="AF819" s="4"/>
      <c r="AG819" s="4"/>
      <c r="AH819" s="4"/>
      <c r="AI819" s="4"/>
      <c r="AJ819" s="4"/>
      <c r="AK819" s="4"/>
      <c r="AL819" s="4"/>
      <c r="AM819" s="4"/>
      <c r="AN819" s="4"/>
      <c r="AO819" s="4"/>
      <c r="AP819" s="4"/>
      <c r="AQ819" s="4"/>
      <c r="AR819" s="4"/>
      <c r="AS819" s="4"/>
      <c r="AT819" s="4"/>
      <c r="AU819" s="4"/>
      <c r="AV819" s="4"/>
      <c r="AW819" s="4"/>
      <c r="AX819" s="4"/>
      <c r="AY819" s="4"/>
      <c r="AZ819" s="4"/>
      <c r="BA819" s="4"/>
      <c r="BB819" s="4"/>
      <c r="BC819" s="4"/>
      <c r="BD819" s="4"/>
      <c r="BE819" s="4"/>
      <c r="BF819" s="4"/>
      <c r="BG819" s="4"/>
      <c r="BH819" s="4"/>
      <c r="BI819" s="4"/>
      <c r="BJ819" s="4"/>
      <c r="BK819" s="4"/>
      <c r="BL819" s="4"/>
      <c r="BM819" s="4"/>
      <c r="BN819" s="4"/>
    </row>
    <row r="820" ht="13.5" customHeight="1" spans="1:66" x14ac:dyDescent="0.25">
      <c r="A820" s="4"/>
      <c r="B820" s="4"/>
      <c r="C820" s="533"/>
      <c r="D820" s="4"/>
      <c r="E820" s="4"/>
      <c r="F820" s="4"/>
      <c r="G820" s="4"/>
      <c r="H820" s="4"/>
      <c r="I820" s="4"/>
      <c r="J820" s="4"/>
      <c r="K820" s="4"/>
      <c r="L820" s="4"/>
      <c r="M820" s="4"/>
      <c r="N820" s="4"/>
      <c r="O820" s="4"/>
      <c r="P820" s="4"/>
      <c r="Q820" s="4"/>
      <c r="R820" s="4"/>
      <c r="S820" s="4"/>
      <c r="T820" s="4"/>
      <c r="U820" s="4"/>
      <c r="V820" s="4"/>
      <c r="W820" s="4"/>
      <c r="X820" s="4"/>
      <c r="Y820" s="4"/>
      <c r="Z820" s="4"/>
      <c r="AA820" s="4"/>
      <c r="AB820" s="4"/>
      <c r="AC820" s="4"/>
      <c r="AD820" s="4"/>
      <c r="AE820" s="4"/>
      <c r="AF820" s="4"/>
      <c r="AG820" s="4"/>
      <c r="AH820" s="4"/>
      <c r="AI820" s="4"/>
      <c r="AJ820" s="4"/>
      <c r="AK820" s="4"/>
      <c r="AL820" s="4"/>
      <c r="AM820" s="4"/>
      <c r="AN820" s="4"/>
      <c r="AO820" s="4"/>
      <c r="AP820" s="4"/>
      <c r="AQ820" s="4"/>
      <c r="AR820" s="4"/>
      <c r="AS820" s="4"/>
      <c r="AT820" s="4"/>
      <c r="AU820" s="4"/>
      <c r="AV820" s="4"/>
      <c r="AW820" s="4"/>
      <c r="AX820" s="4"/>
      <c r="AY820" s="4"/>
      <c r="AZ820" s="4"/>
      <c r="BA820" s="4"/>
      <c r="BB820" s="4"/>
      <c r="BC820" s="4"/>
      <c r="BD820" s="4"/>
      <c r="BE820" s="4"/>
      <c r="BF820" s="4"/>
      <c r="BG820" s="4"/>
      <c r="BH820" s="4"/>
      <c r="BI820" s="4"/>
      <c r="BJ820" s="4"/>
      <c r="BK820" s="4"/>
      <c r="BL820" s="4"/>
      <c r="BM820" s="4"/>
      <c r="BN820" s="4"/>
    </row>
    <row r="821" ht="13.5" customHeight="1" spans="1:66" x14ac:dyDescent="0.25">
      <c r="A821" s="4"/>
      <c r="B821" s="4"/>
      <c r="C821" s="533"/>
      <c r="D821" s="4"/>
      <c r="E821" s="4"/>
      <c r="F821" s="4"/>
      <c r="G821" s="4"/>
      <c r="H821" s="4"/>
      <c r="I821" s="4"/>
      <c r="J821" s="4"/>
      <c r="K821" s="4"/>
      <c r="L821" s="4"/>
      <c r="M821" s="4"/>
      <c r="N821" s="4"/>
      <c r="O821" s="4"/>
      <c r="P821" s="4"/>
      <c r="Q821" s="4"/>
      <c r="R821" s="4"/>
      <c r="S821" s="4"/>
      <c r="T821" s="4"/>
      <c r="U821" s="4"/>
      <c r="V821" s="4"/>
      <c r="W821" s="4"/>
      <c r="X821" s="4"/>
      <c r="Y821" s="4"/>
      <c r="Z821" s="4"/>
      <c r="AA821" s="4"/>
      <c r="AB821" s="4"/>
      <c r="AC821" s="4"/>
      <c r="AD821" s="4"/>
      <c r="AE821" s="4"/>
      <c r="AF821" s="4"/>
      <c r="AG821" s="4"/>
      <c r="AH821" s="4"/>
      <c r="AI821" s="4"/>
      <c r="AJ821" s="4"/>
      <c r="AK821" s="4"/>
      <c r="AL821" s="4"/>
      <c r="AM821" s="4"/>
      <c r="AN821" s="4"/>
      <c r="AO821" s="4"/>
      <c r="AP821" s="4"/>
      <c r="AQ821" s="4"/>
      <c r="AR821" s="4"/>
      <c r="AS821" s="4"/>
      <c r="AT821" s="4"/>
      <c r="AU821" s="4"/>
      <c r="AV821" s="4"/>
      <c r="AW821" s="4"/>
      <c r="AX821" s="4"/>
      <c r="AY821" s="4"/>
      <c r="AZ821" s="4"/>
      <c r="BA821" s="4"/>
      <c r="BB821" s="4"/>
      <c r="BC821" s="4"/>
      <c r="BD821" s="4"/>
      <c r="BE821" s="4"/>
      <c r="BF821" s="4"/>
      <c r="BG821" s="4"/>
      <c r="BH821" s="4"/>
      <c r="BI821" s="4"/>
      <c r="BJ821" s="4"/>
      <c r="BK821" s="4"/>
      <c r="BL821" s="4"/>
      <c r="BM821" s="4"/>
      <c r="BN821" s="4"/>
    </row>
    <row r="822" ht="13.5" customHeight="1" spans="1:66" x14ac:dyDescent="0.25">
      <c r="A822" s="4"/>
      <c r="B822" s="4"/>
      <c r="C822" s="533"/>
      <c r="D822" s="4"/>
      <c r="E822" s="4"/>
      <c r="F822" s="4"/>
      <c r="G822" s="4"/>
      <c r="H822" s="4"/>
      <c r="I822" s="4"/>
      <c r="J822" s="4"/>
      <c r="K822" s="4"/>
      <c r="L822" s="4"/>
      <c r="M822" s="4"/>
      <c r="N822" s="4"/>
      <c r="O822" s="4"/>
      <c r="P822" s="4"/>
      <c r="Q822" s="4"/>
      <c r="R822" s="4"/>
      <c r="S822" s="4"/>
      <c r="T822" s="4"/>
      <c r="U822" s="4"/>
      <c r="V822" s="4"/>
      <c r="W822" s="4"/>
      <c r="X822" s="4"/>
      <c r="Y822" s="4"/>
      <c r="Z822" s="4"/>
      <c r="AA822" s="4"/>
      <c r="AB822" s="4"/>
      <c r="AC822" s="4"/>
      <c r="AD822" s="4"/>
      <c r="AE822" s="4"/>
      <c r="AF822" s="4"/>
      <c r="AG822" s="4"/>
      <c r="AH822" s="4"/>
      <c r="AI822" s="4"/>
      <c r="AJ822" s="4"/>
      <c r="AK822" s="4"/>
      <c r="AL822" s="4"/>
      <c r="AM822" s="4"/>
      <c r="AN822" s="4"/>
      <c r="AO822" s="4"/>
      <c r="AP822" s="4"/>
      <c r="AQ822" s="4"/>
      <c r="AR822" s="4"/>
      <c r="AS822" s="4"/>
      <c r="AT822" s="4"/>
      <c r="AU822" s="4"/>
      <c r="AV822" s="4"/>
      <c r="AW822" s="4"/>
      <c r="AX822" s="4"/>
      <c r="AY822" s="4"/>
      <c r="AZ822" s="4"/>
      <c r="BA822" s="4"/>
      <c r="BB822" s="4"/>
      <c r="BC822" s="4"/>
      <c r="BD822" s="4"/>
      <c r="BE822" s="4"/>
      <c r="BF822" s="4"/>
      <c r="BG822" s="4"/>
      <c r="BH822" s="4"/>
      <c r="BI822" s="4"/>
      <c r="BJ822" s="4"/>
      <c r="BK822" s="4"/>
      <c r="BL822" s="4"/>
      <c r="BM822" s="4"/>
      <c r="BN822" s="4"/>
    </row>
    <row r="823" ht="13.5" customHeight="1" spans="1:66" x14ac:dyDescent="0.25">
      <c r="A823" s="4"/>
      <c r="B823" s="4"/>
      <c r="C823" s="533"/>
      <c r="D823" s="4"/>
      <c r="E823" s="4"/>
      <c r="F823" s="4"/>
      <c r="G823" s="4"/>
      <c r="H823" s="4"/>
      <c r="I823" s="4"/>
      <c r="J823" s="4"/>
      <c r="K823" s="4"/>
      <c r="L823" s="4"/>
      <c r="M823" s="4"/>
      <c r="N823" s="4"/>
      <c r="O823" s="4"/>
      <c r="P823" s="4"/>
      <c r="Q823" s="4"/>
      <c r="R823" s="4"/>
      <c r="S823" s="4"/>
      <c r="T823" s="4"/>
      <c r="U823" s="4"/>
      <c r="V823" s="4"/>
      <c r="W823" s="4"/>
      <c r="X823" s="4"/>
      <c r="Y823" s="4"/>
      <c r="Z823" s="4"/>
      <c r="AA823" s="4"/>
      <c r="AB823" s="4"/>
      <c r="AC823" s="4"/>
      <c r="AD823" s="4"/>
      <c r="AE823" s="4"/>
      <c r="AF823" s="4"/>
      <c r="AG823" s="4"/>
      <c r="AH823" s="4"/>
      <c r="AI823" s="4"/>
      <c r="AJ823" s="4"/>
      <c r="AK823" s="4"/>
      <c r="AL823" s="4"/>
      <c r="AM823" s="4"/>
      <c r="AN823" s="4"/>
      <c r="AO823" s="4"/>
      <c r="AP823" s="4"/>
      <c r="AQ823" s="4"/>
      <c r="AR823" s="4"/>
      <c r="AS823" s="4"/>
      <c r="AT823" s="4"/>
      <c r="AU823" s="4"/>
      <c r="AV823" s="4"/>
      <c r="AW823" s="4"/>
      <c r="AX823" s="4"/>
      <c r="AY823" s="4"/>
      <c r="AZ823" s="4"/>
      <c r="BA823" s="4"/>
      <c r="BB823" s="4"/>
      <c r="BC823" s="4"/>
      <c r="BD823" s="4"/>
      <c r="BE823" s="4"/>
      <c r="BF823" s="4"/>
      <c r="BG823" s="4"/>
      <c r="BH823" s="4"/>
      <c r="BI823" s="4"/>
      <c r="BJ823" s="4"/>
      <c r="BK823" s="4"/>
      <c r="BL823" s="4"/>
      <c r="BM823" s="4"/>
      <c r="BN823" s="4"/>
    </row>
    <row r="824" ht="13.5" customHeight="1" spans="1:66" x14ac:dyDescent="0.25">
      <c r="A824" s="4"/>
      <c r="B824" s="4"/>
      <c r="C824" s="533"/>
      <c r="D824" s="4"/>
      <c r="E824" s="4"/>
      <c r="F824" s="4"/>
      <c r="G824" s="4"/>
      <c r="H824" s="4"/>
      <c r="I824" s="4"/>
      <c r="J824" s="4"/>
      <c r="K824" s="4"/>
      <c r="L824" s="4"/>
      <c r="M824" s="4"/>
      <c r="N824" s="4"/>
      <c r="O824" s="4"/>
      <c r="P824" s="4"/>
      <c r="Q824" s="4"/>
      <c r="R824" s="4"/>
      <c r="S824" s="4"/>
      <c r="T824" s="4"/>
      <c r="U824" s="4"/>
      <c r="V824" s="4"/>
      <c r="W824" s="4"/>
      <c r="X824" s="4"/>
      <c r="Y824" s="4"/>
      <c r="Z824" s="4"/>
      <c r="AA824" s="4"/>
      <c r="AB824" s="4"/>
      <c r="AC824" s="4"/>
      <c r="AD824" s="4"/>
      <c r="AE824" s="4"/>
      <c r="AF824" s="4"/>
      <c r="AG824" s="4"/>
      <c r="AH824" s="4"/>
      <c r="AI824" s="4"/>
      <c r="AJ824" s="4"/>
      <c r="AK824" s="4"/>
      <c r="AL824" s="4"/>
      <c r="AM824" s="4"/>
      <c r="AN824" s="4"/>
      <c r="AO824" s="4"/>
      <c r="AP824" s="4"/>
      <c r="AQ824" s="4"/>
      <c r="AR824" s="4"/>
      <c r="AS824" s="4"/>
      <c r="AT824" s="4"/>
      <c r="AU824" s="4"/>
      <c r="AV824" s="4"/>
      <c r="AW824" s="4"/>
      <c r="AX824" s="4"/>
      <c r="AY824" s="4"/>
      <c r="AZ824" s="4"/>
      <c r="BA824" s="4"/>
      <c r="BB824" s="4"/>
      <c r="BC824" s="4"/>
      <c r="BD824" s="4"/>
      <c r="BE824" s="4"/>
      <c r="BF824" s="4"/>
      <c r="BG824" s="4"/>
      <c r="BH824" s="4"/>
      <c r="BI824" s="4"/>
      <c r="BJ824" s="4"/>
      <c r="BK824" s="4"/>
      <c r="BL824" s="4"/>
      <c r="BM824" s="4"/>
      <c r="BN824" s="4"/>
    </row>
    <row r="825" ht="13.5" customHeight="1" spans="1:66" x14ac:dyDescent="0.25">
      <c r="A825" s="4"/>
      <c r="B825" s="4"/>
      <c r="C825" s="533"/>
      <c r="D825" s="4"/>
      <c r="E825" s="4"/>
      <c r="F825" s="4"/>
      <c r="G825" s="4"/>
      <c r="H825" s="4"/>
      <c r="I825" s="4"/>
      <c r="J825" s="4"/>
      <c r="K825" s="4"/>
      <c r="L825" s="4"/>
      <c r="M825" s="4"/>
      <c r="N825" s="4"/>
      <c r="O825" s="4"/>
      <c r="P825" s="4"/>
      <c r="Q825" s="4"/>
      <c r="R825" s="4"/>
      <c r="S825" s="4"/>
      <c r="T825" s="4"/>
      <c r="U825" s="4"/>
      <c r="V825" s="4"/>
      <c r="W825" s="4"/>
      <c r="X825" s="4"/>
      <c r="Y825" s="4"/>
      <c r="Z825" s="4"/>
      <c r="AA825" s="4"/>
      <c r="AB825" s="4"/>
      <c r="AC825" s="4"/>
      <c r="AD825" s="4"/>
      <c r="AE825" s="4"/>
      <c r="AF825" s="4"/>
      <c r="AG825" s="4"/>
      <c r="AH825" s="4"/>
      <c r="AI825" s="4"/>
      <c r="AJ825" s="4"/>
      <c r="AK825" s="4"/>
      <c r="AL825" s="4"/>
      <c r="AM825" s="4"/>
      <c r="AN825" s="4"/>
      <c r="AO825" s="4"/>
      <c r="AP825" s="4"/>
      <c r="AQ825" s="4"/>
      <c r="AR825" s="4"/>
      <c r="AS825" s="4"/>
      <c r="AT825" s="4"/>
      <c r="AU825" s="4"/>
      <c r="AV825" s="4"/>
      <c r="AW825" s="4"/>
      <c r="AX825" s="4"/>
      <c r="AY825" s="4"/>
      <c r="AZ825" s="4"/>
      <c r="BA825" s="4"/>
      <c r="BB825" s="4"/>
      <c r="BC825" s="4"/>
      <c r="BD825" s="4"/>
      <c r="BE825" s="4"/>
      <c r="BF825" s="4"/>
      <c r="BG825" s="4"/>
      <c r="BH825" s="4"/>
      <c r="BI825" s="4"/>
      <c r="BJ825" s="4"/>
      <c r="BK825" s="4"/>
      <c r="BL825" s="4"/>
      <c r="BM825" s="4"/>
      <c r="BN825" s="4"/>
    </row>
    <row r="826" ht="13.5" customHeight="1" spans="1:66" x14ac:dyDescent="0.25">
      <c r="A826" s="4"/>
      <c r="B826" s="4"/>
      <c r="C826" s="533"/>
      <c r="D826" s="4"/>
      <c r="E826" s="4"/>
      <c r="F826" s="4"/>
      <c r="G826" s="4"/>
      <c r="H826" s="4"/>
      <c r="I826" s="4"/>
      <c r="J826" s="4"/>
      <c r="K826" s="4"/>
      <c r="L826" s="4"/>
      <c r="M826" s="4"/>
      <c r="N826" s="4"/>
      <c r="O826" s="4"/>
      <c r="P826" s="4"/>
      <c r="Q826" s="4"/>
      <c r="R826" s="4"/>
      <c r="S826" s="4"/>
      <c r="T826" s="4"/>
      <c r="U826" s="4"/>
      <c r="V826" s="4"/>
      <c r="W826" s="4"/>
      <c r="X826" s="4"/>
      <c r="Y826" s="4"/>
      <c r="Z826" s="4"/>
      <c r="AA826" s="4"/>
      <c r="AB826" s="4"/>
      <c r="AC826" s="4"/>
      <c r="AD826" s="4"/>
      <c r="AE826" s="4"/>
      <c r="AF826" s="4"/>
      <c r="AG826" s="4"/>
      <c r="AH826" s="4"/>
      <c r="AI826" s="4"/>
      <c r="AJ826" s="4"/>
      <c r="AK826" s="4"/>
      <c r="AL826" s="4"/>
      <c r="AM826" s="4"/>
      <c r="AN826" s="4"/>
      <c r="AO826" s="4"/>
      <c r="AP826" s="4"/>
      <c r="AQ826" s="4"/>
      <c r="AR826" s="4"/>
      <c r="AS826" s="4"/>
      <c r="AT826" s="4"/>
      <c r="AU826" s="4"/>
      <c r="AV826" s="4"/>
      <c r="AW826" s="4"/>
      <c r="AX826" s="4"/>
      <c r="AY826" s="4"/>
      <c r="AZ826" s="4"/>
      <c r="BA826" s="4"/>
      <c r="BB826" s="4"/>
      <c r="BC826" s="4"/>
      <c r="BD826" s="4"/>
      <c r="BE826" s="4"/>
      <c r="BF826" s="4"/>
      <c r="BG826" s="4"/>
      <c r="BH826" s="4"/>
      <c r="BI826" s="4"/>
      <c r="BJ826" s="4"/>
      <c r="BK826" s="4"/>
      <c r="BL826" s="4"/>
      <c r="BM826" s="4"/>
      <c r="BN826" s="4"/>
    </row>
    <row r="827" ht="13.5" customHeight="1" spans="1:66" x14ac:dyDescent="0.25">
      <c r="A827" s="4"/>
      <c r="B827" s="4"/>
      <c r="C827" s="533"/>
      <c r="D827" s="4"/>
      <c r="E827" s="4"/>
      <c r="F827" s="4"/>
      <c r="G827" s="4"/>
      <c r="H827" s="4"/>
      <c r="I827" s="4"/>
      <c r="J827" s="4"/>
      <c r="K827" s="4"/>
      <c r="L827" s="4"/>
      <c r="M827" s="4"/>
      <c r="N827" s="4"/>
      <c r="O827" s="4"/>
      <c r="P827" s="4"/>
      <c r="Q827" s="4"/>
      <c r="R827" s="4"/>
      <c r="S827" s="4"/>
      <c r="T827" s="4"/>
      <c r="U827" s="4"/>
      <c r="V827" s="4"/>
      <c r="W827" s="4"/>
      <c r="X827" s="4"/>
      <c r="Y827" s="4"/>
      <c r="Z827" s="4"/>
      <c r="AA827" s="4"/>
      <c r="AB827" s="4"/>
      <c r="AC827" s="4"/>
      <c r="AD827" s="4"/>
      <c r="AE827" s="4"/>
      <c r="AF827" s="4"/>
      <c r="AG827" s="4"/>
      <c r="AH827" s="4"/>
      <c r="AI827" s="4"/>
      <c r="AJ827" s="4"/>
      <c r="AK827" s="4"/>
      <c r="AL827" s="4"/>
      <c r="AM827" s="4"/>
      <c r="AN827" s="4"/>
      <c r="AO827" s="4"/>
      <c r="AP827" s="4"/>
      <c r="AQ827" s="4"/>
      <c r="AR827" s="4"/>
      <c r="AS827" s="4"/>
      <c r="AT827" s="4"/>
      <c r="AU827" s="4"/>
      <c r="AV827" s="4"/>
      <c r="AW827" s="4"/>
      <c r="AX827" s="4"/>
      <c r="AY827" s="4"/>
      <c r="AZ827" s="4"/>
      <c r="BA827" s="4"/>
      <c r="BB827" s="4"/>
      <c r="BC827" s="4"/>
      <c r="BD827" s="4"/>
      <c r="BE827" s="4"/>
      <c r="BF827" s="4"/>
      <c r="BG827" s="4"/>
      <c r="BH827" s="4"/>
      <c r="BI827" s="4"/>
      <c r="BJ827" s="4"/>
      <c r="BK827" s="4"/>
      <c r="BL827" s="4"/>
      <c r="BM827" s="4"/>
      <c r="BN827" s="4"/>
    </row>
    <row r="828" ht="13.5" customHeight="1" spans="1:66" x14ac:dyDescent="0.25">
      <c r="A828" s="4"/>
      <c r="B828" s="4"/>
      <c r="C828" s="533"/>
      <c r="D828" s="4"/>
      <c r="E828" s="4"/>
      <c r="F828" s="4"/>
      <c r="G828" s="4"/>
      <c r="H828" s="4"/>
      <c r="I828" s="4"/>
      <c r="J828" s="4"/>
      <c r="K828" s="4"/>
      <c r="L828" s="4"/>
      <c r="M828" s="4"/>
      <c r="N828" s="4"/>
      <c r="O828" s="4"/>
      <c r="P828" s="4"/>
      <c r="Q828" s="4"/>
      <c r="R828" s="4"/>
      <c r="S828" s="4"/>
      <c r="T828" s="4"/>
      <c r="U828" s="4"/>
      <c r="V828" s="4"/>
      <c r="W828" s="4"/>
      <c r="X828" s="4"/>
      <c r="Y828" s="4"/>
      <c r="Z828" s="4"/>
      <c r="AA828" s="4"/>
      <c r="AB828" s="4"/>
      <c r="AC828" s="4"/>
      <c r="AD828" s="4"/>
      <c r="AE828" s="4"/>
      <c r="AF828" s="4"/>
      <c r="AG828" s="4"/>
      <c r="AH828" s="4"/>
      <c r="AI828" s="4"/>
      <c r="AJ828" s="4"/>
      <c r="AK828" s="4"/>
      <c r="AL828" s="4"/>
      <c r="AM828" s="4"/>
      <c r="AN828" s="4"/>
      <c r="AO828" s="4"/>
      <c r="AP828" s="4"/>
      <c r="AQ828" s="4"/>
      <c r="AR828" s="4"/>
      <c r="AS828" s="4"/>
      <c r="AT828" s="4"/>
      <c r="AU828" s="4"/>
      <c r="AV828" s="4"/>
      <c r="AW828" s="4"/>
      <c r="AX828" s="4"/>
      <c r="AY828" s="4"/>
      <c r="AZ828" s="4"/>
      <c r="BA828" s="4"/>
      <c r="BB828" s="4"/>
      <c r="BC828" s="4"/>
      <c r="BD828" s="4"/>
      <c r="BE828" s="4"/>
      <c r="BF828" s="4"/>
      <c r="BG828" s="4"/>
      <c r="BH828" s="4"/>
      <c r="BI828" s="4"/>
      <c r="BJ828" s="4"/>
      <c r="BK828" s="4"/>
      <c r="BL828" s="4"/>
      <c r="BM828" s="4"/>
      <c r="BN828" s="4"/>
    </row>
    <row r="829" ht="13.5" customHeight="1" spans="1:66" x14ac:dyDescent="0.25">
      <c r="A829" s="4"/>
      <c r="B829" s="4"/>
      <c r="C829" s="533"/>
      <c r="D829" s="4"/>
      <c r="E829" s="4"/>
      <c r="F829" s="4"/>
      <c r="G829" s="4"/>
      <c r="H829" s="4"/>
      <c r="I829" s="4"/>
      <c r="J829" s="4"/>
      <c r="K829" s="4"/>
      <c r="L829" s="4"/>
      <c r="M829" s="4"/>
      <c r="N829" s="4"/>
      <c r="O829" s="4"/>
      <c r="P829" s="4"/>
      <c r="Q829" s="4"/>
      <c r="R829" s="4"/>
      <c r="S829" s="4"/>
      <c r="T829" s="4"/>
      <c r="U829" s="4"/>
      <c r="V829" s="4"/>
      <c r="W829" s="4"/>
      <c r="X829" s="4"/>
      <c r="Y829" s="4"/>
      <c r="Z829" s="4"/>
      <c r="AA829" s="4"/>
      <c r="AB829" s="4"/>
      <c r="AC829" s="4"/>
      <c r="AD829" s="4"/>
      <c r="AE829" s="4"/>
      <c r="AF829" s="4"/>
      <c r="AG829" s="4"/>
      <c r="AH829" s="4"/>
      <c r="AI829" s="4"/>
      <c r="AJ829" s="4"/>
      <c r="AK829" s="4"/>
      <c r="AL829" s="4"/>
      <c r="AM829" s="4"/>
      <c r="AN829" s="4"/>
      <c r="AO829" s="4"/>
      <c r="AP829" s="4"/>
      <c r="AQ829" s="4"/>
      <c r="AR829" s="4"/>
      <c r="AS829" s="4"/>
      <c r="AT829" s="4"/>
      <c r="AU829" s="4"/>
      <c r="AV829" s="4"/>
      <c r="AW829" s="4"/>
      <c r="AX829" s="4"/>
      <c r="AY829" s="4"/>
      <c r="AZ829" s="4"/>
      <c r="BA829" s="4"/>
      <c r="BB829" s="4"/>
      <c r="BC829" s="4"/>
      <c r="BD829" s="4"/>
      <c r="BE829" s="4"/>
      <c r="BF829" s="4"/>
      <c r="BG829" s="4"/>
      <c r="BH829" s="4"/>
      <c r="BI829" s="4"/>
      <c r="BJ829" s="4"/>
      <c r="BK829" s="4"/>
      <c r="BL829" s="4"/>
      <c r="BM829" s="4"/>
      <c r="BN829" s="4"/>
    </row>
    <row r="830" ht="13.5" customHeight="1" spans="1:66" x14ac:dyDescent="0.25">
      <c r="A830" s="4"/>
      <c r="B830" s="4"/>
      <c r="C830" s="533"/>
      <c r="D830" s="4"/>
      <c r="E830" s="4"/>
      <c r="F830" s="4"/>
      <c r="G830" s="4"/>
      <c r="H830" s="4"/>
      <c r="I830" s="4"/>
      <c r="J830" s="4"/>
      <c r="K830" s="4"/>
      <c r="L830" s="4"/>
      <c r="M830" s="4"/>
      <c r="N830" s="4"/>
      <c r="O830" s="4"/>
      <c r="P830" s="4"/>
      <c r="Q830" s="4"/>
      <c r="R830" s="4"/>
      <c r="S830" s="4"/>
      <c r="T830" s="4"/>
      <c r="U830" s="4"/>
      <c r="V830" s="4"/>
      <c r="W830" s="4"/>
      <c r="X830" s="4"/>
      <c r="Y830" s="4"/>
      <c r="Z830" s="4"/>
      <c r="AA830" s="4"/>
      <c r="AB830" s="4"/>
      <c r="AC830" s="4"/>
      <c r="AD830" s="4"/>
      <c r="AE830" s="4"/>
      <c r="AF830" s="4"/>
      <c r="AG830" s="4"/>
      <c r="AH830" s="4"/>
      <c r="AI830" s="4"/>
      <c r="AJ830" s="4"/>
      <c r="AK830" s="4"/>
      <c r="AL830" s="4"/>
      <c r="AM830" s="4"/>
      <c r="AN830" s="4"/>
      <c r="AO830" s="4"/>
      <c r="AP830" s="4"/>
      <c r="AQ830" s="4"/>
      <c r="AR830" s="4"/>
      <c r="AS830" s="4"/>
      <c r="AT830" s="4"/>
      <c r="AU830" s="4"/>
      <c r="AV830" s="4"/>
      <c r="AW830" s="4"/>
      <c r="AX830" s="4"/>
      <c r="AY830" s="4"/>
      <c r="AZ830" s="4"/>
      <c r="BA830" s="4"/>
      <c r="BB830" s="4"/>
      <c r="BC830" s="4"/>
      <c r="BD830" s="4"/>
      <c r="BE830" s="4"/>
      <c r="BF830" s="4"/>
      <c r="BG830" s="4"/>
      <c r="BH830" s="4"/>
      <c r="BI830" s="4"/>
      <c r="BJ830" s="4"/>
      <c r="BK830" s="4"/>
      <c r="BL830" s="4"/>
      <c r="BM830" s="4"/>
      <c r="BN830" s="4"/>
    </row>
    <row r="831" ht="13.5" customHeight="1" spans="1:66" x14ac:dyDescent="0.25">
      <c r="A831" s="4"/>
      <c r="B831" s="4"/>
      <c r="C831" s="533"/>
      <c r="D831" s="4"/>
      <c r="E831" s="4"/>
      <c r="F831" s="4"/>
      <c r="G831" s="4"/>
      <c r="H831" s="4"/>
      <c r="I831" s="4"/>
      <c r="J831" s="4"/>
      <c r="K831" s="4"/>
      <c r="L831" s="4"/>
      <c r="M831" s="4"/>
      <c r="N831" s="4"/>
      <c r="O831" s="4"/>
      <c r="P831" s="4"/>
      <c r="Q831" s="4"/>
      <c r="R831" s="4"/>
      <c r="S831" s="4"/>
      <c r="T831" s="4"/>
      <c r="U831" s="4"/>
      <c r="V831" s="4"/>
      <c r="W831" s="4"/>
      <c r="X831" s="4"/>
      <c r="Y831" s="4"/>
      <c r="Z831" s="4"/>
      <c r="AA831" s="4"/>
      <c r="AB831" s="4"/>
      <c r="AC831" s="4"/>
      <c r="AD831" s="4"/>
      <c r="AE831" s="4"/>
      <c r="AF831" s="4"/>
      <c r="AG831" s="4"/>
      <c r="AH831" s="4"/>
      <c r="AI831" s="4"/>
      <c r="AJ831" s="4"/>
      <c r="AK831" s="4"/>
      <c r="AL831" s="4"/>
      <c r="AM831" s="4"/>
      <c r="AN831" s="4"/>
      <c r="AO831" s="4"/>
      <c r="AP831" s="4"/>
      <c r="AQ831" s="4"/>
      <c r="AR831" s="4"/>
      <c r="AS831" s="4"/>
      <c r="AT831" s="4"/>
      <c r="AU831" s="4"/>
      <c r="AV831" s="4"/>
      <c r="AW831" s="4"/>
      <c r="AX831" s="4"/>
      <c r="AY831" s="4"/>
      <c r="AZ831" s="4"/>
      <c r="BA831" s="4"/>
      <c r="BB831" s="4"/>
      <c r="BC831" s="4"/>
      <c r="BD831" s="4"/>
      <c r="BE831" s="4"/>
      <c r="BF831" s="4"/>
      <c r="BG831" s="4"/>
      <c r="BH831" s="4"/>
      <c r="BI831" s="4"/>
      <c r="BJ831" s="4"/>
      <c r="BK831" s="4"/>
      <c r="BL831" s="4"/>
      <c r="BM831" s="4"/>
      <c r="BN831" s="4"/>
    </row>
    <row r="832" ht="13.5" customHeight="1" spans="1:66" x14ac:dyDescent="0.25">
      <c r="A832" s="4"/>
      <c r="B832" s="4"/>
      <c r="C832" s="533"/>
      <c r="D832" s="4"/>
      <c r="E832" s="4"/>
      <c r="F832" s="4"/>
      <c r="G832" s="4"/>
      <c r="H832" s="4"/>
      <c r="I832" s="4"/>
      <c r="J832" s="4"/>
      <c r="K832" s="4"/>
      <c r="L832" s="4"/>
      <c r="M832" s="4"/>
      <c r="N832" s="4"/>
      <c r="O832" s="4"/>
      <c r="P832" s="4"/>
      <c r="Q832" s="4"/>
      <c r="R832" s="4"/>
      <c r="S832" s="4"/>
      <c r="T832" s="4"/>
      <c r="U832" s="4"/>
      <c r="V832" s="4"/>
      <c r="W832" s="4"/>
      <c r="X832" s="4"/>
      <c r="Y832" s="4"/>
      <c r="Z832" s="4"/>
      <c r="AA832" s="4"/>
      <c r="AB832" s="4"/>
      <c r="AC832" s="4"/>
      <c r="AD832" s="4"/>
      <c r="AE832" s="4"/>
      <c r="AF832" s="4"/>
      <c r="AG832" s="4"/>
      <c r="AH832" s="4"/>
      <c r="AI832" s="4"/>
      <c r="AJ832" s="4"/>
      <c r="AK832" s="4"/>
      <c r="AL832" s="4"/>
      <c r="AM832" s="4"/>
      <c r="AN832" s="4"/>
      <c r="AO832" s="4"/>
      <c r="AP832" s="4"/>
      <c r="AQ832" s="4"/>
      <c r="AR832" s="4"/>
      <c r="AS832" s="4"/>
      <c r="AT832" s="4"/>
      <c r="AU832" s="4"/>
      <c r="AV832" s="4"/>
      <c r="AW832" s="4"/>
      <c r="AX832" s="4"/>
      <c r="AY832" s="4"/>
      <c r="AZ832" s="4"/>
      <c r="BA832" s="4"/>
      <c r="BB832" s="4"/>
      <c r="BC832" s="4"/>
      <c r="BD832" s="4"/>
      <c r="BE832" s="4"/>
      <c r="BF832" s="4"/>
      <c r="BG832" s="4"/>
      <c r="BH832" s="4"/>
      <c r="BI832" s="4"/>
      <c r="BJ832" s="4"/>
      <c r="BK832" s="4"/>
      <c r="BL832" s="4"/>
      <c r="BM832" s="4"/>
      <c r="BN832" s="4"/>
    </row>
    <row r="833" ht="13.5" customHeight="1" spans="1:66" x14ac:dyDescent="0.25">
      <c r="A833" s="4"/>
      <c r="B833" s="4"/>
      <c r="C833" s="533"/>
      <c r="D833" s="4"/>
      <c r="E833" s="4"/>
      <c r="F833" s="4"/>
      <c r="G833" s="4"/>
      <c r="H833" s="4"/>
      <c r="I833" s="4"/>
      <c r="J833" s="4"/>
      <c r="K833" s="4"/>
      <c r="L833" s="4"/>
      <c r="M833" s="4"/>
      <c r="N833" s="4"/>
      <c r="O833" s="4"/>
      <c r="P833" s="4"/>
      <c r="Q833" s="4"/>
      <c r="R833" s="4"/>
      <c r="S833" s="4"/>
      <c r="T833" s="4"/>
      <c r="U833" s="4"/>
      <c r="V833" s="4"/>
      <c r="W833" s="4"/>
      <c r="X833" s="4"/>
      <c r="Y833" s="4"/>
      <c r="Z833" s="4"/>
      <c r="AA833" s="4"/>
      <c r="AB833" s="4"/>
      <c r="AC833" s="4"/>
      <c r="AD833" s="4"/>
      <c r="AE833" s="4"/>
      <c r="AF833" s="4"/>
      <c r="AG833" s="4"/>
      <c r="AH833" s="4"/>
      <c r="AI833" s="4"/>
      <c r="AJ833" s="4"/>
      <c r="AK833" s="4"/>
      <c r="AL833" s="4"/>
      <c r="AM833" s="4"/>
      <c r="AN833" s="4"/>
      <c r="AO833" s="4"/>
      <c r="AP833" s="4"/>
      <c r="AQ833" s="4"/>
      <c r="AR833" s="4"/>
      <c r="AS833" s="4"/>
      <c r="AT833" s="4"/>
      <c r="AU833" s="4"/>
      <c r="AV833" s="4"/>
      <c r="AW833" s="4"/>
      <c r="AX833" s="4"/>
      <c r="AY833" s="4"/>
      <c r="AZ833" s="4"/>
      <c r="BA833" s="4"/>
      <c r="BB833" s="4"/>
      <c r="BC833" s="4"/>
      <c r="BD833" s="4"/>
      <c r="BE833" s="4"/>
      <c r="BF833" s="4"/>
      <c r="BG833" s="4"/>
      <c r="BH833" s="4"/>
      <c r="BI833" s="4"/>
      <c r="BJ833" s="4"/>
      <c r="BK833" s="4"/>
      <c r="BL833" s="4"/>
      <c r="BM833" s="4"/>
      <c r="BN833" s="4"/>
    </row>
    <row r="834" ht="13.5" customHeight="1" spans="1:66" x14ac:dyDescent="0.25">
      <c r="A834" s="4"/>
      <c r="B834" s="4"/>
      <c r="C834" s="533"/>
      <c r="D834" s="4"/>
      <c r="E834" s="4"/>
      <c r="F834" s="4"/>
      <c r="G834" s="4"/>
      <c r="H834" s="4"/>
      <c r="I834" s="4"/>
      <c r="J834" s="4"/>
      <c r="K834" s="4"/>
      <c r="L834" s="4"/>
      <c r="M834" s="4"/>
      <c r="N834" s="4"/>
      <c r="O834" s="4"/>
      <c r="P834" s="4"/>
      <c r="Q834" s="4"/>
      <c r="R834" s="4"/>
      <c r="S834" s="4"/>
      <c r="T834" s="4"/>
      <c r="U834" s="4"/>
      <c r="V834" s="4"/>
      <c r="W834" s="4"/>
      <c r="X834" s="4"/>
      <c r="Y834" s="4"/>
      <c r="Z834" s="4"/>
      <c r="AA834" s="4"/>
      <c r="AB834" s="4"/>
      <c r="AC834" s="4"/>
      <c r="AD834" s="4"/>
      <c r="AE834" s="4"/>
      <c r="AF834" s="4"/>
      <c r="AG834" s="4"/>
      <c r="AH834" s="4"/>
      <c r="AI834" s="4"/>
      <c r="AJ834" s="4"/>
      <c r="AK834" s="4"/>
      <c r="AL834" s="4"/>
      <c r="AM834" s="4"/>
      <c r="AN834" s="4"/>
      <c r="AO834" s="4"/>
      <c r="AP834" s="4"/>
      <c r="AQ834" s="4"/>
      <c r="AR834" s="4"/>
      <c r="AS834" s="4"/>
      <c r="AT834" s="4"/>
      <c r="AU834" s="4"/>
      <c r="AV834" s="4"/>
      <c r="AW834" s="4"/>
      <c r="AX834" s="4"/>
      <c r="AY834" s="4"/>
      <c r="AZ834" s="4"/>
      <c r="BA834" s="4"/>
      <c r="BB834" s="4"/>
      <c r="BC834" s="4"/>
      <c r="BD834" s="4"/>
      <c r="BE834" s="4"/>
      <c r="BF834" s="4"/>
      <c r="BG834" s="4"/>
      <c r="BH834" s="4"/>
      <c r="BI834" s="4"/>
      <c r="BJ834" s="4"/>
      <c r="BK834" s="4"/>
      <c r="BL834" s="4"/>
      <c r="BM834" s="4"/>
      <c r="BN834" s="4"/>
    </row>
    <row r="835" ht="13.5" customHeight="1" spans="1:66" x14ac:dyDescent="0.25">
      <c r="A835" s="4"/>
      <c r="B835" s="4"/>
      <c r="C835" s="533"/>
      <c r="D835" s="4"/>
      <c r="E835" s="4"/>
      <c r="F835" s="4"/>
      <c r="G835" s="4"/>
      <c r="H835" s="4"/>
      <c r="I835" s="4"/>
      <c r="J835" s="4"/>
      <c r="K835" s="4"/>
      <c r="L835" s="4"/>
      <c r="M835" s="4"/>
      <c r="N835" s="4"/>
      <c r="O835" s="4"/>
      <c r="P835" s="4"/>
      <c r="Q835" s="4"/>
      <c r="R835" s="4"/>
      <c r="S835" s="4"/>
      <c r="T835" s="4"/>
      <c r="U835" s="4"/>
      <c r="V835" s="4"/>
      <c r="W835" s="4"/>
      <c r="X835" s="4"/>
      <c r="Y835" s="4"/>
      <c r="Z835" s="4"/>
      <c r="AA835" s="4"/>
      <c r="AB835" s="4"/>
      <c r="AC835" s="4"/>
      <c r="AD835" s="4"/>
      <c r="AE835" s="4"/>
      <c r="AF835" s="4"/>
      <c r="AG835" s="4"/>
      <c r="AH835" s="4"/>
      <c r="AI835" s="4"/>
      <c r="AJ835" s="4"/>
      <c r="AK835" s="4"/>
      <c r="AL835" s="4"/>
      <c r="AM835" s="4"/>
      <c r="AN835" s="4"/>
      <c r="AO835" s="4"/>
      <c r="AP835" s="4"/>
      <c r="AQ835" s="4"/>
      <c r="AR835" s="4"/>
      <c r="AS835" s="4"/>
      <c r="AT835" s="4"/>
      <c r="AU835" s="4"/>
      <c r="AV835" s="4"/>
      <c r="AW835" s="4"/>
      <c r="AX835" s="4"/>
      <c r="AY835" s="4"/>
      <c r="AZ835" s="4"/>
      <c r="BA835" s="4"/>
      <c r="BB835" s="4"/>
      <c r="BC835" s="4"/>
      <c r="BD835" s="4"/>
      <c r="BE835" s="4"/>
      <c r="BF835" s="4"/>
      <c r="BG835" s="4"/>
      <c r="BH835" s="4"/>
      <c r="BI835" s="4"/>
      <c r="BJ835" s="4"/>
      <c r="BK835" s="4"/>
      <c r="BL835" s="4"/>
      <c r="BM835" s="4"/>
      <c r="BN835" s="4"/>
    </row>
    <row r="836" ht="13.5" customHeight="1" spans="1:66" x14ac:dyDescent="0.25">
      <c r="A836" s="4"/>
      <c r="B836" s="4"/>
      <c r="C836" s="533"/>
      <c r="D836" s="4"/>
      <c r="E836" s="4"/>
      <c r="F836" s="4"/>
      <c r="G836" s="4"/>
      <c r="H836" s="4"/>
      <c r="I836" s="4"/>
      <c r="J836" s="4"/>
      <c r="K836" s="4"/>
      <c r="L836" s="4"/>
      <c r="M836" s="4"/>
      <c r="N836" s="4"/>
      <c r="O836" s="4"/>
      <c r="P836" s="4"/>
      <c r="Q836" s="4"/>
      <c r="R836" s="4"/>
      <c r="S836" s="4"/>
      <c r="T836" s="4"/>
      <c r="U836" s="4"/>
      <c r="V836" s="4"/>
      <c r="W836" s="4"/>
      <c r="X836" s="4"/>
      <c r="Y836" s="4"/>
      <c r="Z836" s="4"/>
      <c r="AA836" s="4"/>
      <c r="AB836" s="4"/>
      <c r="AC836" s="4"/>
      <c r="AD836" s="4"/>
      <c r="AE836" s="4"/>
      <c r="AF836" s="4"/>
      <c r="AG836" s="4"/>
      <c r="AH836" s="4"/>
      <c r="AI836" s="4"/>
      <c r="AJ836" s="4"/>
      <c r="AK836" s="4"/>
      <c r="AL836" s="4"/>
      <c r="AM836" s="4"/>
      <c r="AN836" s="4"/>
      <c r="AO836" s="4"/>
      <c r="AP836" s="4"/>
      <c r="AQ836" s="4"/>
      <c r="AR836" s="4"/>
      <c r="AS836" s="4"/>
      <c r="AT836" s="4"/>
      <c r="AU836" s="4"/>
      <c r="AV836" s="4"/>
      <c r="AW836" s="4"/>
      <c r="AX836" s="4"/>
      <c r="AY836" s="4"/>
      <c r="AZ836" s="4"/>
      <c r="BA836" s="4"/>
      <c r="BB836" s="4"/>
      <c r="BC836" s="4"/>
      <c r="BD836" s="4"/>
      <c r="BE836" s="4"/>
      <c r="BF836" s="4"/>
      <c r="BG836" s="4"/>
      <c r="BH836" s="4"/>
      <c r="BI836" s="4"/>
      <c r="BJ836" s="4"/>
      <c r="BK836" s="4"/>
      <c r="BL836" s="4"/>
      <c r="BM836" s="4"/>
      <c r="BN836" s="4"/>
    </row>
    <row r="837" ht="13.5" customHeight="1" spans="1:66" x14ac:dyDescent="0.25">
      <c r="A837" s="4"/>
      <c r="B837" s="4"/>
      <c r="C837" s="533"/>
      <c r="D837" s="4"/>
      <c r="E837" s="4"/>
      <c r="F837" s="4"/>
      <c r="G837" s="4"/>
      <c r="H837" s="4"/>
      <c r="I837" s="4"/>
      <c r="J837" s="4"/>
      <c r="K837" s="4"/>
      <c r="L837" s="4"/>
      <c r="M837" s="4"/>
      <c r="N837" s="4"/>
      <c r="O837" s="4"/>
      <c r="P837" s="4"/>
      <c r="Q837" s="4"/>
      <c r="R837" s="4"/>
      <c r="S837" s="4"/>
      <c r="T837" s="4"/>
      <c r="U837" s="4"/>
      <c r="V837" s="4"/>
      <c r="W837" s="4"/>
      <c r="X837" s="4"/>
      <c r="Y837" s="4"/>
      <c r="Z837" s="4"/>
      <c r="AA837" s="4"/>
      <c r="AB837" s="4"/>
      <c r="AC837" s="4"/>
      <c r="AD837" s="4"/>
      <c r="AE837" s="4"/>
      <c r="AF837" s="4"/>
      <c r="AG837" s="4"/>
      <c r="AH837" s="4"/>
      <c r="AI837" s="4"/>
      <c r="AJ837" s="4"/>
      <c r="AK837" s="4"/>
      <c r="AL837" s="4"/>
      <c r="AM837" s="4"/>
      <c r="AN837" s="4"/>
      <c r="AO837" s="4"/>
      <c r="AP837" s="4"/>
      <c r="AQ837" s="4"/>
      <c r="AR837" s="4"/>
      <c r="AS837" s="4"/>
      <c r="AT837" s="4"/>
      <c r="AU837" s="4"/>
      <c r="AV837" s="4"/>
      <c r="AW837" s="4"/>
      <c r="AX837" s="4"/>
      <c r="AY837" s="4"/>
      <c r="AZ837" s="4"/>
      <c r="BA837" s="4"/>
      <c r="BB837" s="4"/>
      <c r="BC837" s="4"/>
      <c r="BD837" s="4"/>
      <c r="BE837" s="4"/>
      <c r="BF837" s="4"/>
      <c r="BG837" s="4"/>
      <c r="BH837" s="4"/>
      <c r="BI837" s="4"/>
      <c r="BJ837" s="4"/>
      <c r="BK837" s="4"/>
      <c r="BL837" s="4"/>
      <c r="BM837" s="4"/>
      <c r="BN837" s="4"/>
    </row>
    <row r="838" ht="13.5" customHeight="1" spans="1:66" x14ac:dyDescent="0.25">
      <c r="A838" s="4"/>
      <c r="B838" s="4"/>
      <c r="C838" s="533"/>
      <c r="D838" s="4"/>
      <c r="E838" s="4"/>
      <c r="F838" s="4"/>
      <c r="G838" s="4"/>
      <c r="H838" s="4"/>
      <c r="I838" s="4"/>
      <c r="J838" s="4"/>
      <c r="K838" s="4"/>
      <c r="L838" s="4"/>
      <c r="M838" s="4"/>
      <c r="N838" s="4"/>
      <c r="O838" s="4"/>
      <c r="P838" s="4"/>
      <c r="Q838" s="4"/>
      <c r="R838" s="4"/>
      <c r="S838" s="4"/>
      <c r="T838" s="4"/>
      <c r="U838" s="4"/>
      <c r="V838" s="4"/>
      <c r="W838" s="4"/>
      <c r="X838" s="4"/>
      <c r="Y838" s="4"/>
      <c r="Z838" s="4"/>
      <c r="AA838" s="4"/>
      <c r="AB838" s="4"/>
      <c r="AC838" s="4"/>
      <c r="AD838" s="4"/>
      <c r="AE838" s="4"/>
      <c r="AF838" s="4"/>
      <c r="AG838" s="4"/>
      <c r="AH838" s="4"/>
      <c r="AI838" s="4"/>
      <c r="AJ838" s="4"/>
      <c r="AK838" s="4"/>
      <c r="AL838" s="4"/>
      <c r="AM838" s="4"/>
      <c r="AN838" s="4"/>
      <c r="AO838" s="4"/>
      <c r="AP838" s="4"/>
      <c r="AQ838" s="4"/>
      <c r="AR838" s="4"/>
      <c r="AS838" s="4"/>
      <c r="AT838" s="4"/>
      <c r="AU838" s="4"/>
      <c r="AV838" s="4"/>
      <c r="AW838" s="4"/>
      <c r="AX838" s="4"/>
      <c r="AY838" s="4"/>
      <c r="AZ838" s="4"/>
      <c r="BA838" s="4"/>
      <c r="BB838" s="4"/>
      <c r="BC838" s="4"/>
      <c r="BD838" s="4"/>
      <c r="BE838" s="4"/>
      <c r="BF838" s="4"/>
      <c r="BG838" s="4"/>
      <c r="BH838" s="4"/>
      <c r="BI838" s="4"/>
      <c r="BJ838" s="4"/>
      <c r="BK838" s="4"/>
      <c r="BL838" s="4"/>
      <c r="BM838" s="4"/>
      <c r="BN838" s="4"/>
    </row>
    <row r="839" ht="13.5" customHeight="1" spans="1:66" x14ac:dyDescent="0.25">
      <c r="A839" s="4"/>
      <c r="B839" s="4"/>
      <c r="C839" s="533"/>
      <c r="D839" s="4"/>
      <c r="E839" s="4"/>
      <c r="F839" s="4"/>
      <c r="G839" s="4"/>
      <c r="H839" s="4"/>
      <c r="I839" s="4"/>
      <c r="J839" s="4"/>
      <c r="K839" s="4"/>
      <c r="L839" s="4"/>
      <c r="M839" s="4"/>
      <c r="N839" s="4"/>
      <c r="O839" s="4"/>
      <c r="P839" s="4"/>
      <c r="Q839" s="4"/>
      <c r="R839" s="4"/>
      <c r="S839" s="4"/>
      <c r="T839" s="4"/>
      <c r="U839" s="4"/>
      <c r="V839" s="4"/>
      <c r="W839" s="4"/>
      <c r="X839" s="4"/>
      <c r="Y839" s="4"/>
      <c r="Z839" s="4"/>
      <c r="AA839" s="4"/>
      <c r="AB839" s="4"/>
      <c r="AC839" s="4"/>
      <c r="AD839" s="4"/>
      <c r="AE839" s="4"/>
      <c r="AF839" s="4"/>
      <c r="AG839" s="4"/>
      <c r="AH839" s="4"/>
      <c r="AI839" s="4"/>
      <c r="AJ839" s="4"/>
      <c r="AK839" s="4"/>
      <c r="AL839" s="4"/>
      <c r="AM839" s="4"/>
      <c r="AN839" s="4"/>
      <c r="AO839" s="4"/>
      <c r="AP839" s="4"/>
      <c r="AQ839" s="4"/>
      <c r="AR839" s="4"/>
      <c r="AS839" s="4"/>
      <c r="AT839" s="4"/>
      <c r="AU839" s="4"/>
      <c r="AV839" s="4"/>
      <c r="AW839" s="4"/>
      <c r="AX839" s="4"/>
      <c r="AY839" s="4"/>
      <c r="AZ839" s="4"/>
      <c r="BA839" s="4"/>
      <c r="BB839" s="4"/>
      <c r="BC839" s="4"/>
      <c r="BD839" s="4"/>
      <c r="BE839" s="4"/>
      <c r="BF839" s="4"/>
      <c r="BG839" s="4"/>
      <c r="BH839" s="4"/>
      <c r="BI839" s="4"/>
      <c r="BJ839" s="4"/>
      <c r="BK839" s="4"/>
      <c r="BL839" s="4"/>
      <c r="BM839" s="4"/>
      <c r="BN839" s="4"/>
    </row>
    <row r="840" ht="13.5" customHeight="1" spans="1:66" x14ac:dyDescent="0.25">
      <c r="A840" s="4"/>
      <c r="B840" s="4"/>
      <c r="C840" s="533"/>
      <c r="D840" s="4"/>
      <c r="E840" s="4"/>
      <c r="F840" s="4"/>
      <c r="G840" s="4"/>
      <c r="H840" s="4"/>
      <c r="I840" s="4"/>
      <c r="J840" s="4"/>
      <c r="K840" s="4"/>
      <c r="L840" s="4"/>
      <c r="M840" s="4"/>
      <c r="N840" s="4"/>
      <c r="O840" s="4"/>
      <c r="P840" s="4"/>
      <c r="Q840" s="4"/>
      <c r="R840" s="4"/>
      <c r="S840" s="4"/>
      <c r="T840" s="4"/>
      <c r="U840" s="4"/>
      <c r="V840" s="4"/>
      <c r="W840" s="4"/>
      <c r="X840" s="4"/>
      <c r="Y840" s="4"/>
      <c r="Z840" s="4"/>
      <c r="AA840" s="4"/>
      <c r="AB840" s="4"/>
      <c r="AC840" s="4"/>
      <c r="AD840" s="4"/>
      <c r="AE840" s="4"/>
      <c r="AF840" s="4"/>
      <c r="AG840" s="4"/>
      <c r="AH840" s="4"/>
      <c r="AI840" s="4"/>
      <c r="AJ840" s="4"/>
      <c r="AK840" s="4"/>
      <c r="AL840" s="4"/>
      <c r="AM840" s="4"/>
      <c r="AN840" s="4"/>
      <c r="AO840" s="4"/>
      <c r="AP840" s="4"/>
      <c r="AQ840" s="4"/>
      <c r="AR840" s="4"/>
      <c r="AS840" s="4"/>
      <c r="AT840" s="4"/>
      <c r="AU840" s="4"/>
      <c r="AV840" s="4"/>
      <c r="AW840" s="4"/>
      <c r="AX840" s="4"/>
      <c r="AY840" s="4"/>
      <c r="AZ840" s="4"/>
      <c r="BA840" s="4"/>
      <c r="BB840" s="4"/>
      <c r="BC840" s="4"/>
      <c r="BD840" s="4"/>
      <c r="BE840" s="4"/>
      <c r="BF840" s="4"/>
      <c r="BG840" s="4"/>
      <c r="BH840" s="4"/>
      <c r="BI840" s="4"/>
      <c r="BJ840" s="4"/>
      <c r="BK840" s="4"/>
      <c r="BL840" s="4"/>
      <c r="BM840" s="4"/>
      <c r="BN840" s="4"/>
    </row>
    <row r="841" ht="13.5" customHeight="1" spans="1:66" x14ac:dyDescent="0.25">
      <c r="A841" s="4"/>
      <c r="B841" s="4"/>
      <c r="C841" s="533"/>
      <c r="D841" s="4"/>
      <c r="E841" s="4"/>
      <c r="F841" s="4"/>
      <c r="G841" s="4"/>
      <c r="H841" s="4"/>
      <c r="I841" s="4"/>
      <c r="J841" s="4"/>
      <c r="K841" s="4"/>
      <c r="L841" s="4"/>
      <c r="M841" s="4"/>
      <c r="N841" s="4"/>
      <c r="O841" s="4"/>
      <c r="P841" s="4"/>
      <c r="Q841" s="4"/>
      <c r="R841" s="4"/>
      <c r="S841" s="4"/>
      <c r="T841" s="4"/>
      <c r="U841" s="4"/>
      <c r="V841" s="4"/>
      <c r="W841" s="4"/>
      <c r="X841" s="4"/>
      <c r="Y841" s="4"/>
      <c r="Z841" s="4"/>
      <c r="AA841" s="4"/>
      <c r="AB841" s="4"/>
      <c r="AC841" s="4"/>
      <c r="AD841" s="4"/>
      <c r="AE841" s="4"/>
      <c r="AF841" s="4"/>
      <c r="AG841" s="4"/>
      <c r="AH841" s="4"/>
      <c r="AI841" s="4"/>
      <c r="AJ841" s="4"/>
      <c r="AK841" s="4"/>
      <c r="AL841" s="4"/>
      <c r="AM841" s="4"/>
      <c r="AN841" s="4"/>
      <c r="AO841" s="4"/>
      <c r="AP841" s="4"/>
      <c r="AQ841" s="4"/>
      <c r="AR841" s="4"/>
      <c r="AS841" s="4"/>
      <c r="AT841" s="4"/>
      <c r="AU841" s="4"/>
      <c r="AV841" s="4"/>
      <c r="AW841" s="4"/>
      <c r="AX841" s="4"/>
      <c r="AY841" s="4"/>
      <c r="AZ841" s="4"/>
      <c r="BA841" s="4"/>
      <c r="BB841" s="4"/>
      <c r="BC841" s="4"/>
      <c r="BD841" s="4"/>
      <c r="BE841" s="4"/>
      <c r="BF841" s="4"/>
      <c r="BG841" s="4"/>
      <c r="BH841" s="4"/>
      <c r="BI841" s="4"/>
      <c r="BJ841" s="4"/>
      <c r="BK841" s="4"/>
      <c r="BL841" s="4"/>
      <c r="BM841" s="4"/>
      <c r="BN841" s="4"/>
    </row>
    <row r="842" ht="13.5" customHeight="1" spans="1:66" x14ac:dyDescent="0.25">
      <c r="A842" s="4"/>
      <c r="B842" s="4"/>
      <c r="C842" s="533"/>
      <c r="D842" s="4"/>
      <c r="E842" s="4"/>
      <c r="F842" s="4"/>
      <c r="G842" s="4"/>
      <c r="H842" s="4"/>
      <c r="I842" s="4"/>
      <c r="J842" s="4"/>
      <c r="K842" s="4"/>
      <c r="L842" s="4"/>
      <c r="M842" s="4"/>
      <c r="N842" s="4"/>
      <c r="O842" s="4"/>
      <c r="P842" s="4"/>
      <c r="Q842" s="4"/>
      <c r="R842" s="4"/>
      <c r="S842" s="4"/>
      <c r="T842" s="4"/>
      <c r="U842" s="4"/>
      <c r="V842" s="4"/>
      <c r="W842" s="4"/>
      <c r="X842" s="4"/>
      <c r="Y842" s="4"/>
      <c r="Z842" s="4"/>
      <c r="AA842" s="4"/>
      <c r="AB842" s="4"/>
      <c r="AC842" s="4"/>
      <c r="AD842" s="4"/>
      <c r="AE842" s="4"/>
      <c r="AF842" s="4"/>
      <c r="AG842" s="4"/>
      <c r="AH842" s="4"/>
      <c r="AI842" s="4"/>
      <c r="AJ842" s="4"/>
      <c r="AK842" s="4"/>
      <c r="AL842" s="4"/>
      <c r="AM842" s="4"/>
      <c r="AN842" s="4"/>
      <c r="AO842" s="4"/>
      <c r="AP842" s="4"/>
      <c r="AQ842" s="4"/>
      <c r="AR842" s="4"/>
      <c r="AS842" s="4"/>
      <c r="AT842" s="4"/>
      <c r="AU842" s="4"/>
      <c r="AV842" s="4"/>
      <c r="AW842" s="4"/>
      <c r="AX842" s="4"/>
      <c r="AY842" s="4"/>
      <c r="AZ842" s="4"/>
      <c r="BA842" s="4"/>
      <c r="BB842" s="4"/>
      <c r="BC842" s="4"/>
      <c r="BD842" s="4"/>
      <c r="BE842" s="4"/>
      <c r="BF842" s="4"/>
      <c r="BG842" s="4"/>
      <c r="BH842" s="4"/>
      <c r="BI842" s="4"/>
      <c r="BJ842" s="4"/>
      <c r="BK842" s="4"/>
      <c r="BL842" s="4"/>
      <c r="BM842" s="4"/>
      <c r="BN842" s="4"/>
    </row>
    <row r="843" ht="13.5" customHeight="1" spans="1:66" x14ac:dyDescent="0.25">
      <c r="A843" s="4"/>
      <c r="B843" s="4"/>
      <c r="C843" s="533"/>
      <c r="D843" s="4"/>
      <c r="E843" s="4"/>
      <c r="F843" s="4"/>
      <c r="G843" s="4"/>
      <c r="H843" s="4"/>
      <c r="I843" s="4"/>
      <c r="J843" s="4"/>
      <c r="K843" s="4"/>
      <c r="L843" s="4"/>
      <c r="M843" s="4"/>
      <c r="N843" s="4"/>
      <c r="O843" s="4"/>
      <c r="P843" s="4"/>
      <c r="Q843" s="4"/>
      <c r="R843" s="4"/>
      <c r="S843" s="4"/>
      <c r="T843" s="4"/>
      <c r="U843" s="4"/>
      <c r="V843" s="4"/>
      <c r="W843" s="4"/>
      <c r="X843" s="4"/>
      <c r="Y843" s="4"/>
      <c r="Z843" s="4"/>
      <c r="AA843" s="4"/>
      <c r="AB843" s="4"/>
      <c r="AC843" s="4"/>
      <c r="AD843" s="4"/>
      <c r="AE843" s="4"/>
      <c r="AF843" s="4"/>
      <c r="AG843" s="4"/>
      <c r="AH843" s="4"/>
      <c r="AI843" s="4"/>
      <c r="AJ843" s="4"/>
      <c r="AK843" s="4"/>
      <c r="AL843" s="4"/>
      <c r="AM843" s="4"/>
      <c r="AN843" s="4"/>
      <c r="AO843" s="4"/>
      <c r="AP843" s="4"/>
      <c r="AQ843" s="4"/>
      <c r="AR843" s="4"/>
      <c r="AS843" s="4"/>
      <c r="AT843" s="4"/>
      <c r="AU843" s="4"/>
      <c r="AV843" s="4"/>
      <c r="AW843" s="4"/>
      <c r="AX843" s="4"/>
      <c r="AY843" s="4"/>
      <c r="AZ843" s="4"/>
      <c r="BA843" s="4"/>
      <c r="BB843" s="4"/>
      <c r="BC843" s="4"/>
      <c r="BD843" s="4"/>
      <c r="BE843" s="4"/>
      <c r="BF843" s="4"/>
      <c r="BG843" s="4"/>
      <c r="BH843" s="4"/>
      <c r="BI843" s="4"/>
      <c r="BJ843" s="4"/>
      <c r="BK843" s="4"/>
      <c r="BL843" s="4"/>
      <c r="BM843" s="4"/>
      <c r="BN843" s="4"/>
    </row>
    <row r="844" ht="13.5" customHeight="1" spans="1:66" x14ac:dyDescent="0.25">
      <c r="A844" s="4"/>
      <c r="B844" s="4"/>
      <c r="C844" s="533"/>
      <c r="D844" s="4"/>
      <c r="E844" s="4"/>
      <c r="F844" s="4"/>
      <c r="G844" s="4"/>
      <c r="H844" s="4"/>
      <c r="I844" s="4"/>
      <c r="J844" s="4"/>
      <c r="K844" s="4"/>
      <c r="L844" s="4"/>
      <c r="M844" s="4"/>
      <c r="N844" s="4"/>
      <c r="O844" s="4"/>
      <c r="P844" s="4"/>
      <c r="Q844" s="4"/>
      <c r="R844" s="4"/>
      <c r="S844" s="4"/>
      <c r="T844" s="4"/>
      <c r="U844" s="4"/>
      <c r="V844" s="4"/>
      <c r="W844" s="4"/>
      <c r="X844" s="4"/>
      <c r="Y844" s="4"/>
      <c r="Z844" s="4"/>
      <c r="AA844" s="4"/>
      <c r="AB844" s="4"/>
      <c r="AC844" s="4"/>
      <c r="AD844" s="4"/>
      <c r="AE844" s="4"/>
      <c r="AF844" s="4"/>
      <c r="AG844" s="4"/>
      <c r="AH844" s="4"/>
      <c r="AI844" s="4"/>
      <c r="AJ844" s="4"/>
      <c r="AK844" s="4"/>
      <c r="AL844" s="4"/>
      <c r="AM844" s="4"/>
      <c r="AN844" s="4"/>
      <c r="AO844" s="4"/>
      <c r="AP844" s="4"/>
      <c r="AQ844" s="4"/>
      <c r="AR844" s="4"/>
      <c r="AS844" s="4"/>
      <c r="AT844" s="4"/>
      <c r="AU844" s="4"/>
      <c r="AV844" s="4"/>
      <c r="AW844" s="4"/>
      <c r="AX844" s="4"/>
      <c r="AY844" s="4"/>
      <c r="AZ844" s="4"/>
      <c r="BA844" s="4"/>
      <c r="BB844" s="4"/>
      <c r="BC844" s="4"/>
      <c r="BD844" s="4"/>
      <c r="BE844" s="4"/>
      <c r="BF844" s="4"/>
      <c r="BG844" s="4"/>
      <c r="BH844" s="4"/>
      <c r="BI844" s="4"/>
      <c r="BJ844" s="4"/>
      <c r="BK844" s="4"/>
      <c r="BL844" s="4"/>
      <c r="BM844" s="4"/>
      <c r="BN844" s="4"/>
    </row>
    <row r="845" ht="13.5" customHeight="1" spans="1:66" x14ac:dyDescent="0.25">
      <c r="A845" s="4"/>
      <c r="B845" s="4"/>
      <c r="C845" s="533"/>
      <c r="D845" s="4"/>
      <c r="E845" s="4"/>
      <c r="F845" s="4"/>
      <c r="G845" s="4"/>
      <c r="H845" s="4"/>
      <c r="I845" s="4"/>
      <c r="J845" s="4"/>
      <c r="K845" s="4"/>
      <c r="L845" s="4"/>
      <c r="M845" s="4"/>
      <c r="N845" s="4"/>
      <c r="O845" s="4"/>
      <c r="P845" s="4"/>
      <c r="Q845" s="4"/>
      <c r="R845" s="4"/>
      <c r="S845" s="4"/>
      <c r="T845" s="4"/>
      <c r="U845" s="4"/>
      <c r="V845" s="4"/>
      <c r="W845" s="4"/>
      <c r="X845" s="4"/>
      <c r="Y845" s="4"/>
      <c r="Z845" s="4"/>
      <c r="AA845" s="4"/>
      <c r="AB845" s="4"/>
      <c r="AC845" s="4"/>
      <c r="AD845" s="4"/>
      <c r="AE845" s="4"/>
      <c r="AF845" s="4"/>
      <c r="AG845" s="4"/>
      <c r="AH845" s="4"/>
      <c r="AI845" s="4"/>
      <c r="AJ845" s="4"/>
      <c r="AK845" s="4"/>
      <c r="AL845" s="4"/>
      <c r="AM845" s="4"/>
      <c r="AN845" s="4"/>
      <c r="AO845" s="4"/>
      <c r="AP845" s="4"/>
      <c r="AQ845" s="4"/>
      <c r="AR845" s="4"/>
      <c r="AS845" s="4"/>
      <c r="AT845" s="4"/>
      <c r="AU845" s="4"/>
      <c r="AV845" s="4"/>
      <c r="AW845" s="4"/>
      <c r="AX845" s="4"/>
      <c r="AY845" s="4"/>
      <c r="AZ845" s="4"/>
      <c r="BA845" s="4"/>
      <c r="BB845" s="4"/>
      <c r="BC845" s="4"/>
      <c r="BD845" s="4"/>
      <c r="BE845" s="4"/>
      <c r="BF845" s="4"/>
      <c r="BG845" s="4"/>
      <c r="BH845" s="4"/>
      <c r="BI845" s="4"/>
      <c r="BJ845" s="4"/>
      <c r="BK845" s="4"/>
      <c r="BL845" s="4"/>
      <c r="BM845" s="4"/>
      <c r="BN845" s="4"/>
    </row>
    <row r="846" ht="13.5" customHeight="1" spans="1:66" x14ac:dyDescent="0.25">
      <c r="A846" s="4"/>
      <c r="B846" s="4"/>
      <c r="C846" s="533"/>
      <c r="D846" s="4"/>
      <c r="E846" s="4"/>
      <c r="F846" s="4"/>
      <c r="G846" s="4"/>
      <c r="H846" s="4"/>
      <c r="I846" s="4"/>
      <c r="J846" s="4"/>
      <c r="K846" s="4"/>
      <c r="L846" s="4"/>
      <c r="M846" s="4"/>
      <c r="N846" s="4"/>
      <c r="O846" s="4"/>
      <c r="P846" s="4"/>
      <c r="Q846" s="4"/>
      <c r="R846" s="4"/>
      <c r="S846" s="4"/>
      <c r="T846" s="4"/>
      <c r="U846" s="4"/>
      <c r="V846" s="4"/>
      <c r="W846" s="4"/>
      <c r="X846" s="4"/>
      <c r="Y846" s="4"/>
      <c r="Z846" s="4"/>
      <c r="AA846" s="4"/>
      <c r="AB846" s="4"/>
      <c r="AC846" s="4"/>
      <c r="AD846" s="4"/>
      <c r="AE846" s="4"/>
      <c r="AF846" s="4"/>
      <c r="AG846" s="4"/>
      <c r="AH846" s="4"/>
      <c r="AI846" s="4"/>
      <c r="AJ846" s="4"/>
      <c r="AK846" s="4"/>
      <c r="AL846" s="4"/>
      <c r="AM846" s="4"/>
      <c r="AN846" s="4"/>
      <c r="AO846" s="4"/>
      <c r="AP846" s="4"/>
      <c r="AQ846" s="4"/>
      <c r="AR846" s="4"/>
      <c r="AS846" s="4"/>
      <c r="AT846" s="4"/>
      <c r="AU846" s="4"/>
      <c r="AV846" s="4"/>
      <c r="AW846" s="4"/>
      <c r="AX846" s="4"/>
      <c r="AY846" s="4"/>
      <c r="AZ846" s="4"/>
      <c r="BA846" s="4"/>
      <c r="BB846" s="4"/>
      <c r="BC846" s="4"/>
      <c r="BD846" s="4"/>
      <c r="BE846" s="4"/>
      <c r="BF846" s="4"/>
      <c r="BG846" s="4"/>
      <c r="BH846" s="4"/>
      <c r="BI846" s="4"/>
      <c r="BJ846" s="4"/>
      <c r="BK846" s="4"/>
      <c r="BL846" s="4"/>
      <c r="BM846" s="4"/>
      <c r="BN846" s="4"/>
    </row>
    <row r="847" ht="13.5" customHeight="1" spans="1:66" x14ac:dyDescent="0.25">
      <c r="A847" s="4"/>
      <c r="B847" s="4"/>
      <c r="C847" s="533"/>
      <c r="D847" s="4"/>
      <c r="E847" s="4"/>
      <c r="F847" s="4"/>
      <c r="G847" s="4"/>
      <c r="H847" s="4"/>
      <c r="I847" s="4"/>
      <c r="J847" s="4"/>
      <c r="K847" s="4"/>
      <c r="L847" s="4"/>
      <c r="M847" s="4"/>
      <c r="N847" s="4"/>
      <c r="O847" s="4"/>
      <c r="P847" s="4"/>
      <c r="Q847" s="4"/>
      <c r="R847" s="4"/>
      <c r="S847" s="4"/>
      <c r="T847" s="4"/>
      <c r="U847" s="4"/>
      <c r="V847" s="4"/>
      <c r="W847" s="4"/>
      <c r="X847" s="4"/>
      <c r="Y847" s="4"/>
      <c r="Z847" s="4"/>
      <c r="AA847" s="4"/>
      <c r="AB847" s="4"/>
      <c r="AC847" s="4"/>
      <c r="AD847" s="4"/>
      <c r="AE847" s="4"/>
      <c r="AF847" s="4"/>
      <c r="AG847" s="4"/>
      <c r="AH847" s="4"/>
      <c r="AI847" s="4"/>
      <c r="AJ847" s="4"/>
      <c r="AK847" s="4"/>
      <c r="AL847" s="4"/>
      <c r="AM847" s="4"/>
      <c r="AN847" s="4"/>
      <c r="AO847" s="4"/>
      <c r="AP847" s="4"/>
      <c r="AQ847" s="4"/>
      <c r="AR847" s="4"/>
      <c r="AS847" s="4"/>
      <c r="AT847" s="4"/>
      <c r="AU847" s="4"/>
      <c r="AV847" s="4"/>
      <c r="AW847" s="4"/>
      <c r="AX847" s="4"/>
      <c r="AY847" s="4"/>
      <c r="AZ847" s="4"/>
      <c r="BA847" s="4"/>
      <c r="BB847" s="4"/>
      <c r="BC847" s="4"/>
      <c r="BD847" s="4"/>
      <c r="BE847" s="4"/>
      <c r="BF847" s="4"/>
      <c r="BG847" s="4"/>
      <c r="BH847" s="4"/>
      <c r="BI847" s="4"/>
      <c r="BJ847" s="4"/>
      <c r="BK847" s="4"/>
      <c r="BL847" s="4"/>
      <c r="BM847" s="4"/>
      <c r="BN847" s="4"/>
    </row>
    <row r="848" ht="13.5" customHeight="1" spans="1:66" x14ac:dyDescent="0.25">
      <c r="A848" s="4"/>
      <c r="B848" s="4"/>
      <c r="C848" s="533"/>
      <c r="D848" s="4"/>
      <c r="E848" s="4"/>
      <c r="F848" s="4"/>
      <c r="G848" s="4"/>
      <c r="H848" s="4"/>
      <c r="I848" s="4"/>
      <c r="J848" s="4"/>
      <c r="K848" s="4"/>
      <c r="L848" s="4"/>
      <c r="M848" s="4"/>
      <c r="N848" s="4"/>
      <c r="O848" s="4"/>
      <c r="P848" s="4"/>
      <c r="Q848" s="4"/>
      <c r="R848" s="4"/>
      <c r="S848" s="4"/>
      <c r="T848" s="4"/>
      <c r="U848" s="4"/>
      <c r="V848" s="4"/>
      <c r="W848" s="4"/>
      <c r="X848" s="4"/>
      <c r="Y848" s="4"/>
      <c r="Z848" s="4"/>
      <c r="AA848" s="4"/>
      <c r="AB848" s="4"/>
      <c r="AC848" s="4"/>
      <c r="AD848" s="4"/>
      <c r="AE848" s="4"/>
      <c r="AF848" s="4"/>
      <c r="AG848" s="4"/>
      <c r="AH848" s="4"/>
      <c r="AI848" s="4"/>
      <c r="AJ848" s="4"/>
      <c r="AK848" s="4"/>
      <c r="AL848" s="4"/>
      <c r="AM848" s="4"/>
      <c r="AN848" s="4"/>
      <c r="AO848" s="4"/>
      <c r="AP848" s="4"/>
      <c r="AQ848" s="4"/>
      <c r="AR848" s="4"/>
      <c r="AS848" s="4"/>
      <c r="AT848" s="4"/>
      <c r="AU848" s="4"/>
      <c r="AV848" s="4"/>
      <c r="AW848" s="4"/>
      <c r="AX848" s="4"/>
      <c r="AY848" s="4"/>
      <c r="AZ848" s="4"/>
      <c r="BA848" s="4"/>
      <c r="BB848" s="4"/>
      <c r="BC848" s="4"/>
      <c r="BD848" s="4"/>
      <c r="BE848" s="4"/>
      <c r="BF848" s="4"/>
      <c r="BG848" s="4"/>
      <c r="BH848" s="4"/>
      <c r="BI848" s="4"/>
      <c r="BJ848" s="4"/>
      <c r="BK848" s="4"/>
      <c r="BL848" s="4"/>
      <c r="BM848" s="4"/>
      <c r="BN848" s="4"/>
    </row>
    <row r="849" ht="13.5" customHeight="1" spans="1:66" x14ac:dyDescent="0.25">
      <c r="A849" s="4"/>
      <c r="B849" s="4"/>
      <c r="C849" s="533"/>
      <c r="D849" s="4"/>
      <c r="E849" s="4"/>
      <c r="F849" s="4"/>
      <c r="G849" s="4"/>
      <c r="H849" s="4"/>
      <c r="I849" s="4"/>
      <c r="J849" s="4"/>
      <c r="K849" s="4"/>
      <c r="L849" s="4"/>
      <c r="M849" s="4"/>
      <c r="N849" s="4"/>
      <c r="O849" s="4"/>
      <c r="P849" s="4"/>
      <c r="Q849" s="4"/>
      <c r="R849" s="4"/>
      <c r="S849" s="4"/>
      <c r="T849" s="4"/>
      <c r="U849" s="4"/>
      <c r="V849" s="4"/>
      <c r="W849" s="4"/>
      <c r="X849" s="4"/>
      <c r="Y849" s="4"/>
      <c r="Z849" s="4"/>
      <c r="AA849" s="4"/>
      <c r="AB849" s="4"/>
      <c r="AC849" s="4"/>
      <c r="AD849" s="4"/>
      <c r="AE849" s="4"/>
      <c r="AF849" s="4"/>
      <c r="AG849" s="4"/>
      <c r="AH849" s="4"/>
      <c r="AI849" s="4"/>
      <c r="AJ849" s="4"/>
      <c r="AK849" s="4"/>
      <c r="AL849" s="4"/>
      <c r="AM849" s="4"/>
      <c r="AN849" s="4"/>
      <c r="AO849" s="4"/>
      <c r="AP849" s="4"/>
      <c r="AQ849" s="4"/>
      <c r="AR849" s="4"/>
      <c r="AS849" s="4"/>
      <c r="AT849" s="4"/>
      <c r="AU849" s="4"/>
      <c r="AV849" s="4"/>
      <c r="AW849" s="4"/>
      <c r="AX849" s="4"/>
      <c r="AY849" s="4"/>
      <c r="AZ849" s="4"/>
      <c r="BA849" s="4"/>
      <c r="BB849" s="4"/>
      <c r="BC849" s="4"/>
      <c r="BD849" s="4"/>
      <c r="BE849" s="4"/>
      <c r="BF849" s="4"/>
      <c r="BG849" s="4"/>
      <c r="BH849" s="4"/>
      <c r="BI849" s="4"/>
      <c r="BJ849" s="4"/>
      <c r="BK849" s="4"/>
      <c r="BL849" s="4"/>
      <c r="BM849" s="4"/>
      <c r="BN849" s="4"/>
    </row>
    <row r="850" ht="13.5" customHeight="1" spans="1:66" x14ac:dyDescent="0.25">
      <c r="A850" s="4"/>
      <c r="B850" s="4"/>
      <c r="C850" s="533"/>
      <c r="D850" s="4"/>
      <c r="E850" s="4"/>
      <c r="F850" s="4"/>
      <c r="G850" s="4"/>
      <c r="H850" s="4"/>
      <c r="I850" s="4"/>
      <c r="J850" s="4"/>
      <c r="K850" s="4"/>
      <c r="L850" s="4"/>
      <c r="M850" s="4"/>
      <c r="N850" s="4"/>
      <c r="O850" s="4"/>
      <c r="P850" s="4"/>
      <c r="Q850" s="4"/>
      <c r="R850" s="4"/>
      <c r="S850" s="4"/>
      <c r="T850" s="4"/>
      <c r="U850" s="4"/>
      <c r="V850" s="4"/>
      <c r="W850" s="4"/>
      <c r="X850" s="4"/>
      <c r="Y850" s="4"/>
      <c r="Z850" s="4"/>
      <c r="AA850" s="4"/>
      <c r="AB850" s="4"/>
      <c r="AC850" s="4"/>
      <c r="AD850" s="4"/>
      <c r="AE850" s="4"/>
      <c r="AF850" s="4"/>
      <c r="AG850" s="4"/>
      <c r="AH850" s="4"/>
      <c r="AI850" s="4"/>
      <c r="AJ850" s="4"/>
      <c r="AK850" s="4"/>
      <c r="AL850" s="4"/>
      <c r="AM850" s="4"/>
      <c r="AN850" s="4"/>
      <c r="AO850" s="4"/>
      <c r="AP850" s="4"/>
      <c r="AQ850" s="4"/>
      <c r="AR850" s="4"/>
      <c r="AS850" s="4"/>
      <c r="AT850" s="4"/>
      <c r="AU850" s="4"/>
      <c r="AV850" s="4"/>
      <c r="AW850" s="4"/>
      <c r="AX850" s="4"/>
      <c r="AY850" s="4"/>
      <c r="AZ850" s="4"/>
      <c r="BA850" s="4"/>
      <c r="BB850" s="4"/>
      <c r="BC850" s="4"/>
      <c r="BD850" s="4"/>
      <c r="BE850" s="4"/>
      <c r="BF850" s="4"/>
      <c r="BG850" s="4"/>
      <c r="BH850" s="4"/>
      <c r="BI850" s="4"/>
      <c r="BJ850" s="4"/>
      <c r="BK850" s="4"/>
      <c r="BL850" s="4"/>
      <c r="BM850" s="4"/>
      <c r="BN850" s="4"/>
    </row>
    <row r="851" ht="13.5" customHeight="1" spans="1:66" x14ac:dyDescent="0.25">
      <c r="A851" s="4"/>
      <c r="B851" s="4"/>
      <c r="C851" s="533"/>
      <c r="D851" s="4"/>
      <c r="E851" s="4"/>
      <c r="F851" s="4"/>
      <c r="G851" s="4"/>
      <c r="H851" s="4"/>
      <c r="I851" s="4"/>
      <c r="J851" s="4"/>
      <c r="K851" s="4"/>
      <c r="L851" s="4"/>
      <c r="M851" s="4"/>
      <c r="N851" s="4"/>
      <c r="O851" s="4"/>
      <c r="P851" s="4"/>
      <c r="Q851" s="4"/>
      <c r="R851" s="4"/>
      <c r="S851" s="4"/>
      <c r="T851" s="4"/>
      <c r="U851" s="4"/>
      <c r="V851" s="4"/>
      <c r="W851" s="4"/>
      <c r="X851" s="4"/>
      <c r="Y851" s="4"/>
      <c r="Z851" s="4"/>
      <c r="AA851" s="4"/>
      <c r="AB851" s="4"/>
      <c r="AC851" s="4"/>
      <c r="AD851" s="4"/>
      <c r="AE851" s="4"/>
      <c r="AF851" s="4"/>
      <c r="AG851" s="4"/>
      <c r="AH851" s="4"/>
      <c r="AI851" s="4"/>
      <c r="AJ851" s="4"/>
      <c r="AK851" s="4"/>
      <c r="AL851" s="4"/>
      <c r="AM851" s="4"/>
      <c r="AN851" s="4"/>
      <c r="AO851" s="4"/>
      <c r="AP851" s="4"/>
      <c r="AQ851" s="4"/>
      <c r="AR851" s="4"/>
      <c r="AS851" s="4"/>
      <c r="AT851" s="4"/>
      <c r="AU851" s="4"/>
      <c r="AV851" s="4"/>
      <c r="AW851" s="4"/>
      <c r="AX851" s="4"/>
      <c r="AY851" s="4"/>
      <c r="AZ851" s="4"/>
      <c r="BA851" s="4"/>
      <c r="BB851" s="4"/>
      <c r="BC851" s="4"/>
      <c r="BD851" s="4"/>
      <c r="BE851" s="4"/>
      <c r="BF851" s="4"/>
      <c r="BG851" s="4"/>
      <c r="BH851" s="4"/>
      <c r="BI851" s="4"/>
      <c r="BJ851" s="4"/>
      <c r="BK851" s="4"/>
      <c r="BL851" s="4"/>
      <c r="BM851" s="4"/>
      <c r="BN851" s="4"/>
    </row>
    <row r="852" ht="13.5" customHeight="1" spans="1:66" x14ac:dyDescent="0.25">
      <c r="A852" s="4"/>
      <c r="B852" s="4"/>
      <c r="C852" s="533"/>
      <c r="D852" s="4"/>
      <c r="E852" s="4"/>
      <c r="F852" s="4"/>
      <c r="G852" s="4"/>
      <c r="H852" s="4"/>
      <c r="I852" s="4"/>
      <c r="J852" s="4"/>
      <c r="K852" s="4"/>
      <c r="L852" s="4"/>
      <c r="M852" s="4"/>
      <c r="N852" s="4"/>
      <c r="O852" s="4"/>
      <c r="P852" s="4"/>
      <c r="Q852" s="4"/>
      <c r="R852" s="4"/>
      <c r="S852" s="4"/>
      <c r="T852" s="4"/>
      <c r="U852" s="4"/>
      <c r="V852" s="4"/>
      <c r="W852" s="4"/>
      <c r="X852" s="4"/>
      <c r="Y852" s="4"/>
      <c r="Z852" s="4"/>
      <c r="AA852" s="4"/>
      <c r="AB852" s="4"/>
      <c r="AC852" s="4"/>
      <c r="AD852" s="4"/>
      <c r="AE852" s="4"/>
      <c r="AF852" s="4"/>
      <c r="AG852" s="4"/>
      <c r="AH852" s="4"/>
      <c r="AI852" s="4"/>
      <c r="AJ852" s="4"/>
      <c r="AK852" s="4"/>
      <c r="AL852" s="4"/>
      <c r="AM852" s="4"/>
      <c r="AN852" s="4"/>
      <c r="AO852" s="4"/>
      <c r="AP852" s="4"/>
      <c r="AQ852" s="4"/>
      <c r="AR852" s="4"/>
      <c r="AS852" s="4"/>
      <c r="AT852" s="4"/>
      <c r="AU852" s="4"/>
      <c r="AV852" s="4"/>
      <c r="AW852" s="4"/>
      <c r="AX852" s="4"/>
      <c r="AY852" s="4"/>
      <c r="AZ852" s="4"/>
      <c r="BA852" s="4"/>
      <c r="BB852" s="4"/>
      <c r="BC852" s="4"/>
      <c r="BD852" s="4"/>
      <c r="BE852" s="4"/>
      <c r="BF852" s="4"/>
      <c r="BG852" s="4"/>
      <c r="BH852" s="4"/>
      <c r="BI852" s="4"/>
      <c r="BJ852" s="4"/>
      <c r="BK852" s="4"/>
      <c r="BL852" s="4"/>
      <c r="BM852" s="4"/>
      <c r="BN852" s="4"/>
    </row>
    <row r="853" ht="13.5" customHeight="1" spans="1:66" x14ac:dyDescent="0.25">
      <c r="A853" s="4"/>
      <c r="B853" s="4"/>
      <c r="C853" s="533"/>
      <c r="D853" s="4"/>
      <c r="E853" s="4"/>
      <c r="F853" s="4"/>
      <c r="G853" s="4"/>
      <c r="H853" s="4"/>
      <c r="I853" s="4"/>
      <c r="J853" s="4"/>
      <c r="K853" s="4"/>
      <c r="L853" s="4"/>
      <c r="M853" s="4"/>
      <c r="N853" s="4"/>
      <c r="O853" s="4"/>
      <c r="P853" s="4"/>
      <c r="Q853" s="4"/>
      <c r="R853" s="4"/>
      <c r="S853" s="4"/>
      <c r="T853" s="4"/>
      <c r="U853" s="4"/>
      <c r="V853" s="4"/>
      <c r="W853" s="4"/>
      <c r="X853" s="4"/>
      <c r="Y853" s="4"/>
      <c r="Z853" s="4"/>
      <c r="AA853" s="4"/>
      <c r="AB853" s="4"/>
      <c r="AC853" s="4"/>
      <c r="AD853" s="4"/>
      <c r="AE853" s="4"/>
      <c r="AF853" s="4"/>
      <c r="AG853" s="4"/>
      <c r="AH853" s="4"/>
      <c r="AI853" s="4"/>
      <c r="AJ853" s="4"/>
      <c r="AK853" s="4"/>
      <c r="AL853" s="4"/>
      <c r="AM853" s="4"/>
      <c r="AN853" s="4"/>
      <c r="AO853" s="4"/>
      <c r="AP853" s="4"/>
      <c r="AQ853" s="4"/>
      <c r="AR853" s="4"/>
      <c r="AS853" s="4"/>
      <c r="AT853" s="4"/>
      <c r="AU853" s="4"/>
      <c r="AV853" s="4"/>
      <c r="AW853" s="4"/>
      <c r="AX853" s="4"/>
      <c r="AY853" s="4"/>
      <c r="AZ853" s="4"/>
      <c r="BA853" s="4"/>
      <c r="BB853" s="4"/>
      <c r="BC853" s="4"/>
      <c r="BD853" s="4"/>
      <c r="BE853" s="4"/>
      <c r="BF853" s="4"/>
      <c r="BG853" s="4"/>
      <c r="BH853" s="4"/>
      <c r="BI853" s="4"/>
      <c r="BJ853" s="4"/>
      <c r="BK853" s="4"/>
      <c r="BL853" s="4"/>
      <c r="BM853" s="4"/>
      <c r="BN853" s="4"/>
    </row>
    <row r="854" ht="13.5" customHeight="1" spans="1:66" x14ac:dyDescent="0.25">
      <c r="A854" s="4"/>
      <c r="B854" s="4"/>
      <c r="C854" s="533"/>
      <c r="D854" s="4"/>
      <c r="E854" s="4"/>
      <c r="F854" s="4"/>
      <c r="G854" s="4"/>
      <c r="H854" s="4"/>
      <c r="I854" s="4"/>
      <c r="J854" s="4"/>
      <c r="K854" s="4"/>
      <c r="L854" s="4"/>
      <c r="M854" s="4"/>
      <c r="N854" s="4"/>
      <c r="O854" s="4"/>
      <c r="P854" s="4"/>
      <c r="Q854" s="4"/>
      <c r="R854" s="4"/>
      <c r="S854" s="4"/>
      <c r="T854" s="4"/>
      <c r="U854" s="4"/>
      <c r="V854" s="4"/>
      <c r="W854" s="4"/>
      <c r="X854" s="4"/>
      <c r="Y854" s="4"/>
      <c r="Z854" s="4"/>
      <c r="AA854" s="4"/>
      <c r="AB854" s="4"/>
      <c r="AC854" s="4"/>
      <c r="AD854" s="4"/>
      <c r="AE854" s="4"/>
      <c r="AF854" s="4"/>
      <c r="AG854" s="4"/>
      <c r="AH854" s="4"/>
      <c r="AI854" s="4"/>
      <c r="AJ854" s="4"/>
      <c r="AK854" s="4"/>
      <c r="AL854" s="4"/>
      <c r="AM854" s="4"/>
      <c r="AN854" s="4"/>
      <c r="AO854" s="4"/>
      <c r="AP854" s="4"/>
      <c r="AQ854" s="4"/>
      <c r="AR854" s="4"/>
      <c r="AS854" s="4"/>
      <c r="AT854" s="4"/>
      <c r="AU854" s="4"/>
      <c r="AV854" s="4"/>
      <c r="AW854" s="4"/>
      <c r="AX854" s="4"/>
      <c r="AY854" s="4"/>
      <c r="AZ854" s="4"/>
      <c r="BA854" s="4"/>
      <c r="BB854" s="4"/>
      <c r="BC854" s="4"/>
      <c r="BD854" s="4"/>
      <c r="BE854" s="4"/>
      <c r="BF854" s="4"/>
      <c r="BG854" s="4"/>
      <c r="BH854" s="4"/>
      <c r="BI854" s="4"/>
      <c r="BJ854" s="4"/>
      <c r="BK854" s="4"/>
      <c r="BL854" s="4"/>
      <c r="BM854" s="4"/>
      <c r="BN854" s="4"/>
    </row>
    <row r="855" ht="13.5" customHeight="1" spans="1:66" x14ac:dyDescent="0.25">
      <c r="A855" s="4"/>
      <c r="B855" s="4"/>
      <c r="C855" s="533"/>
      <c r="D855" s="4"/>
      <c r="E855" s="4"/>
      <c r="F855" s="4"/>
      <c r="G855" s="4"/>
      <c r="H855" s="4"/>
      <c r="I855" s="4"/>
      <c r="J855" s="4"/>
      <c r="K855" s="4"/>
      <c r="L855" s="4"/>
      <c r="M855" s="4"/>
      <c r="N855" s="4"/>
      <c r="O855" s="4"/>
      <c r="P855" s="4"/>
      <c r="Q855" s="4"/>
      <c r="R855" s="4"/>
      <c r="S855" s="4"/>
      <c r="T855" s="4"/>
      <c r="U855" s="4"/>
      <c r="V855" s="4"/>
      <c r="W855" s="4"/>
      <c r="X855" s="4"/>
      <c r="Y855" s="4"/>
      <c r="Z855" s="4"/>
      <c r="AA855" s="4"/>
      <c r="AB855" s="4"/>
      <c r="AC855" s="4"/>
      <c r="AD855" s="4"/>
      <c r="AE855" s="4"/>
      <c r="AF855" s="4"/>
      <c r="AG855" s="4"/>
      <c r="AH855" s="4"/>
      <c r="AI855" s="4"/>
      <c r="AJ855" s="4"/>
      <c r="AK855" s="4"/>
      <c r="AL855" s="4"/>
      <c r="AM855" s="4"/>
      <c r="AN855" s="4"/>
      <c r="AO855" s="4"/>
      <c r="AP855" s="4"/>
      <c r="AQ855" s="4"/>
      <c r="AR855" s="4"/>
      <c r="AS855" s="4"/>
      <c r="AT855" s="4"/>
      <c r="AU855" s="4"/>
      <c r="AV855" s="4"/>
      <c r="AW855" s="4"/>
      <c r="AX855" s="4"/>
      <c r="AY855" s="4"/>
      <c r="AZ855" s="4"/>
      <c r="BA855" s="4"/>
      <c r="BB855" s="4"/>
      <c r="BC855" s="4"/>
      <c r="BD855" s="4"/>
      <c r="BE855" s="4"/>
      <c r="BF855" s="4"/>
      <c r="BG855" s="4"/>
      <c r="BH855" s="4"/>
      <c r="BI855" s="4"/>
      <c r="BJ855" s="4"/>
      <c r="BK855" s="4"/>
      <c r="BL855" s="4"/>
      <c r="BM855" s="4"/>
      <c r="BN855" s="4"/>
    </row>
    <row r="856" ht="13.5" customHeight="1" spans="1:66" x14ac:dyDescent="0.25">
      <c r="A856" s="4"/>
      <c r="B856" s="4"/>
      <c r="C856" s="533"/>
      <c r="D856" s="4"/>
      <c r="E856" s="4"/>
      <c r="F856" s="4"/>
      <c r="G856" s="4"/>
      <c r="H856" s="4"/>
      <c r="I856" s="4"/>
      <c r="J856" s="4"/>
      <c r="K856" s="4"/>
      <c r="L856" s="4"/>
      <c r="M856" s="4"/>
      <c r="N856" s="4"/>
      <c r="O856" s="4"/>
      <c r="P856" s="4"/>
      <c r="Q856" s="4"/>
      <c r="R856" s="4"/>
      <c r="S856" s="4"/>
      <c r="T856" s="4"/>
      <c r="U856" s="4"/>
      <c r="V856" s="4"/>
      <c r="W856" s="4"/>
      <c r="X856" s="4"/>
      <c r="Y856" s="4"/>
      <c r="Z856" s="4"/>
      <c r="AA856" s="4"/>
      <c r="AB856" s="4"/>
      <c r="AC856" s="4"/>
      <c r="AD856" s="4"/>
      <c r="AE856" s="4"/>
      <c r="AF856" s="4"/>
      <c r="AG856" s="4"/>
      <c r="AH856" s="4"/>
      <c r="AI856" s="4"/>
      <c r="AJ856" s="4"/>
      <c r="AK856" s="4"/>
      <c r="AL856" s="4"/>
      <c r="AM856" s="4"/>
      <c r="AN856" s="4"/>
      <c r="AO856" s="4"/>
      <c r="AP856" s="4"/>
      <c r="AQ856" s="4"/>
      <c r="AR856" s="4"/>
      <c r="AS856" s="4"/>
      <c r="AT856" s="4"/>
      <c r="AU856" s="4"/>
      <c r="AV856" s="4"/>
      <c r="AW856" s="4"/>
      <c r="AX856" s="4"/>
      <c r="AY856" s="4"/>
      <c r="AZ856" s="4"/>
      <c r="BA856" s="4"/>
      <c r="BB856" s="4"/>
      <c r="BC856" s="4"/>
      <c r="BD856" s="4"/>
      <c r="BE856" s="4"/>
      <c r="BF856" s="4"/>
      <c r="BG856" s="4"/>
      <c r="BH856" s="4"/>
      <c r="BI856" s="4"/>
      <c r="BJ856" s="4"/>
      <c r="BK856" s="4"/>
      <c r="BL856" s="4"/>
      <c r="BM856" s="4"/>
      <c r="BN856" s="4"/>
    </row>
    <row r="857" ht="13.5" customHeight="1" spans="1:66" x14ac:dyDescent="0.25">
      <c r="A857" s="4"/>
      <c r="B857" s="4"/>
      <c r="C857" s="533"/>
      <c r="D857" s="4"/>
      <c r="E857" s="4"/>
      <c r="F857" s="4"/>
      <c r="G857" s="4"/>
      <c r="H857" s="4"/>
      <c r="I857" s="4"/>
      <c r="J857" s="4"/>
      <c r="K857" s="4"/>
      <c r="L857" s="4"/>
      <c r="M857" s="4"/>
      <c r="N857" s="4"/>
      <c r="O857" s="4"/>
      <c r="P857" s="4"/>
      <c r="Q857" s="4"/>
      <c r="R857" s="4"/>
      <c r="S857" s="4"/>
      <c r="T857" s="4"/>
      <c r="U857" s="4"/>
      <c r="V857" s="4"/>
      <c r="W857" s="4"/>
      <c r="X857" s="4"/>
      <c r="Y857" s="4"/>
      <c r="Z857" s="4"/>
      <c r="AA857" s="4"/>
      <c r="AB857" s="4"/>
      <c r="AC857" s="4"/>
      <c r="AD857" s="4"/>
      <c r="AE857" s="4"/>
      <c r="AF857" s="4"/>
      <c r="AG857" s="4"/>
      <c r="AH857" s="4"/>
      <c r="AI857" s="4"/>
      <c r="AJ857" s="4"/>
      <c r="AK857" s="4"/>
      <c r="AL857" s="4"/>
      <c r="AM857" s="4"/>
      <c r="AN857" s="4"/>
      <c r="AO857" s="4"/>
      <c r="AP857" s="4"/>
      <c r="AQ857" s="4"/>
      <c r="AR857" s="4"/>
      <c r="AS857" s="4"/>
      <c r="AT857" s="4"/>
      <c r="AU857" s="4"/>
      <c r="AV857" s="4"/>
      <c r="AW857" s="4"/>
      <c r="AX857" s="4"/>
      <c r="AY857" s="4"/>
      <c r="AZ857" s="4"/>
      <c r="BA857" s="4"/>
      <c r="BB857" s="4"/>
      <c r="BC857" s="4"/>
      <c r="BD857" s="4"/>
      <c r="BE857" s="4"/>
      <c r="BF857" s="4"/>
      <c r="BG857" s="4"/>
      <c r="BH857" s="4"/>
      <c r="BI857" s="4"/>
      <c r="BJ857" s="4"/>
      <c r="BK857" s="4"/>
      <c r="BL857" s="4"/>
      <c r="BM857" s="4"/>
      <c r="BN857" s="4"/>
    </row>
    <row r="858" ht="13.5" customHeight="1" spans="1:66" x14ac:dyDescent="0.25">
      <c r="A858" s="4"/>
      <c r="B858" s="4"/>
      <c r="C858" s="533"/>
      <c r="D858" s="4"/>
      <c r="E858" s="4"/>
      <c r="F858" s="4"/>
      <c r="G858" s="4"/>
      <c r="H858" s="4"/>
      <c r="I858" s="4"/>
      <c r="J858" s="4"/>
      <c r="K858" s="4"/>
      <c r="L858" s="4"/>
      <c r="M858" s="4"/>
      <c r="N858" s="4"/>
      <c r="O858" s="4"/>
      <c r="P858" s="4"/>
      <c r="Q858" s="4"/>
      <c r="R858" s="4"/>
      <c r="S858" s="4"/>
      <c r="T858" s="4"/>
      <c r="U858" s="4"/>
      <c r="V858" s="4"/>
      <c r="W858" s="4"/>
      <c r="X858" s="4"/>
      <c r="Y858" s="4"/>
      <c r="Z858" s="4"/>
      <c r="AA858" s="4"/>
      <c r="AB858" s="4"/>
      <c r="AC858" s="4"/>
      <c r="AD858" s="4"/>
      <c r="AE858" s="4"/>
      <c r="AF858" s="4"/>
      <c r="AG858" s="4"/>
      <c r="AH858" s="4"/>
      <c r="AI858" s="4"/>
      <c r="AJ858" s="4"/>
      <c r="AK858" s="4"/>
      <c r="AL858" s="4"/>
      <c r="AM858" s="4"/>
      <c r="AN858" s="4"/>
      <c r="AO858" s="4"/>
      <c r="AP858" s="4"/>
      <c r="AQ858" s="4"/>
      <c r="AR858" s="4"/>
      <c r="AS858" s="4"/>
      <c r="AT858" s="4"/>
      <c r="AU858" s="4"/>
      <c r="AV858" s="4"/>
      <c r="AW858" s="4"/>
      <c r="AX858" s="4"/>
      <c r="AY858" s="4"/>
      <c r="AZ858" s="4"/>
      <c r="BA858" s="4"/>
      <c r="BB858" s="4"/>
      <c r="BC858" s="4"/>
      <c r="BD858" s="4"/>
      <c r="BE858" s="4"/>
      <c r="BF858" s="4"/>
      <c r="BG858" s="4"/>
      <c r="BH858" s="4"/>
      <c r="BI858" s="4"/>
      <c r="BJ858" s="4"/>
      <c r="BK858" s="4"/>
      <c r="BL858" s="4"/>
      <c r="BM858" s="4"/>
      <c r="BN858" s="4"/>
    </row>
    <row r="859" ht="13.5" customHeight="1" spans="1:66" x14ac:dyDescent="0.25">
      <c r="A859" s="4"/>
      <c r="B859" s="4"/>
      <c r="C859" s="533"/>
      <c r="D859" s="4"/>
      <c r="E859" s="4"/>
      <c r="F859" s="4"/>
      <c r="G859" s="4"/>
      <c r="H859" s="4"/>
      <c r="I859" s="4"/>
      <c r="J859" s="4"/>
      <c r="K859" s="4"/>
      <c r="L859" s="4"/>
      <c r="M859" s="4"/>
      <c r="N859" s="4"/>
      <c r="O859" s="4"/>
      <c r="P859" s="4"/>
      <c r="Q859" s="4"/>
      <c r="R859" s="4"/>
      <c r="S859" s="4"/>
      <c r="T859" s="4"/>
      <c r="U859" s="4"/>
      <c r="V859" s="4"/>
      <c r="W859" s="4"/>
      <c r="X859" s="4"/>
      <c r="Y859" s="4"/>
      <c r="Z859" s="4"/>
      <c r="AA859" s="4"/>
      <c r="AB859" s="4"/>
      <c r="AC859" s="4"/>
      <c r="AD859" s="4"/>
      <c r="AE859" s="4"/>
      <c r="AF859" s="4"/>
      <c r="AG859" s="4"/>
      <c r="AH859" s="4"/>
      <c r="AI859" s="4"/>
      <c r="AJ859" s="4"/>
      <c r="AK859" s="4"/>
      <c r="AL859" s="4"/>
      <c r="AM859" s="4"/>
      <c r="AN859" s="4"/>
      <c r="AO859" s="4"/>
      <c r="AP859" s="4"/>
      <c r="AQ859" s="4"/>
      <c r="AR859" s="4"/>
      <c r="AS859" s="4"/>
      <c r="AT859" s="4"/>
      <c r="AU859" s="4"/>
      <c r="AV859" s="4"/>
      <c r="AW859" s="4"/>
      <c r="AX859" s="4"/>
      <c r="AY859" s="4"/>
      <c r="AZ859" s="4"/>
      <c r="BA859" s="4"/>
      <c r="BB859" s="4"/>
      <c r="BC859" s="4"/>
      <c r="BD859" s="4"/>
      <c r="BE859" s="4"/>
      <c r="BF859" s="4"/>
      <c r="BG859" s="4"/>
      <c r="BH859" s="4"/>
      <c r="BI859" s="4"/>
      <c r="BJ859" s="4"/>
      <c r="BK859" s="4"/>
      <c r="BL859" s="4"/>
      <c r="BM859" s="4"/>
      <c r="BN859" s="4"/>
    </row>
    <row r="860" ht="13.5" customHeight="1" spans="1:66" x14ac:dyDescent="0.25">
      <c r="A860" s="4"/>
      <c r="B860" s="4"/>
      <c r="C860" s="533"/>
      <c r="D860" s="4"/>
      <c r="E860" s="4"/>
      <c r="F860" s="4"/>
      <c r="G860" s="4"/>
      <c r="H860" s="4"/>
      <c r="I860" s="4"/>
      <c r="J860" s="4"/>
      <c r="K860" s="4"/>
      <c r="L860" s="4"/>
      <c r="M860" s="4"/>
      <c r="N860" s="4"/>
      <c r="O860" s="4"/>
      <c r="P860" s="4"/>
      <c r="Q860" s="4"/>
      <c r="R860" s="4"/>
      <c r="S860" s="4"/>
      <c r="T860" s="4"/>
      <c r="U860" s="4"/>
      <c r="V860" s="4"/>
      <c r="W860" s="4"/>
      <c r="X860" s="4"/>
      <c r="Y860" s="4"/>
      <c r="Z860" s="4"/>
      <c r="AA860" s="4"/>
      <c r="AB860" s="4"/>
      <c r="AC860" s="4"/>
      <c r="AD860" s="4"/>
      <c r="AE860" s="4"/>
      <c r="AF860" s="4"/>
      <c r="AG860" s="4"/>
      <c r="AH860" s="4"/>
      <c r="AI860" s="4"/>
      <c r="AJ860" s="4"/>
      <c r="AK860" s="4"/>
      <c r="AL860" s="4"/>
      <c r="AM860" s="4"/>
      <c r="AN860" s="4"/>
      <c r="AO860" s="4"/>
      <c r="AP860" s="4"/>
      <c r="AQ860" s="4"/>
      <c r="AR860" s="4"/>
      <c r="AS860" s="4"/>
      <c r="AT860" s="4"/>
      <c r="AU860" s="4"/>
      <c r="AV860" s="4"/>
      <c r="AW860" s="4"/>
      <c r="AX860" s="4"/>
      <c r="AY860" s="4"/>
      <c r="AZ860" s="4"/>
      <c r="BA860" s="4"/>
      <c r="BB860" s="4"/>
      <c r="BC860" s="4"/>
      <c r="BD860" s="4"/>
      <c r="BE860" s="4"/>
      <c r="BF860" s="4"/>
      <c r="BG860" s="4"/>
      <c r="BH860" s="4"/>
      <c r="BI860" s="4"/>
      <c r="BJ860" s="4"/>
      <c r="BK860" s="4"/>
      <c r="BL860" s="4"/>
      <c r="BM860" s="4"/>
      <c r="BN860" s="4"/>
    </row>
    <row r="861" ht="13.5" customHeight="1" spans="1:66" x14ac:dyDescent="0.25">
      <c r="A861" s="4"/>
      <c r="B861" s="4"/>
      <c r="C861" s="533"/>
      <c r="D861" s="4"/>
      <c r="E861" s="4"/>
      <c r="F861" s="4"/>
      <c r="G861" s="4"/>
      <c r="H861" s="4"/>
      <c r="I861" s="4"/>
      <c r="J861" s="4"/>
      <c r="K861" s="4"/>
      <c r="L861" s="4"/>
      <c r="M861" s="4"/>
      <c r="N861" s="4"/>
      <c r="O861" s="4"/>
      <c r="P861" s="4"/>
      <c r="Q861" s="4"/>
      <c r="R861" s="4"/>
      <c r="S861" s="4"/>
      <c r="T861" s="4"/>
      <c r="U861" s="4"/>
      <c r="V861" s="4"/>
      <c r="W861" s="4"/>
      <c r="X861" s="4"/>
      <c r="Y861" s="4"/>
      <c r="Z861" s="4"/>
      <c r="AA861" s="4"/>
      <c r="AB861" s="4"/>
      <c r="AC861" s="4"/>
      <c r="AD861" s="4"/>
      <c r="AE861" s="4"/>
      <c r="AF861" s="4"/>
      <c r="AG861" s="4"/>
      <c r="AH861" s="4"/>
      <c r="AI861" s="4"/>
      <c r="AJ861" s="4"/>
      <c r="AK861" s="4"/>
      <c r="AL861" s="4"/>
      <c r="AM861" s="4"/>
      <c r="AN861" s="4"/>
      <c r="AO861" s="4"/>
      <c r="AP861" s="4"/>
      <c r="AQ861" s="4"/>
      <c r="AR861" s="4"/>
      <c r="AS861" s="4"/>
      <c r="AT861" s="4"/>
      <c r="AU861" s="4"/>
      <c r="AV861" s="4"/>
      <c r="AW861" s="4"/>
      <c r="AX861" s="4"/>
      <c r="AY861" s="4"/>
      <c r="AZ861" s="4"/>
      <c r="BA861" s="4"/>
      <c r="BB861" s="4"/>
      <c r="BC861" s="4"/>
      <c r="BD861" s="4"/>
      <c r="BE861" s="4"/>
      <c r="BF861" s="4"/>
      <c r="BG861" s="4"/>
      <c r="BH861" s="4"/>
      <c r="BI861" s="4"/>
      <c r="BJ861" s="4"/>
      <c r="BK861" s="4"/>
      <c r="BL861" s="4"/>
      <c r="BM861" s="4"/>
      <c r="BN861" s="4"/>
    </row>
    <row r="862" ht="13.5" customHeight="1" spans="1:66" x14ac:dyDescent="0.25">
      <c r="A862" s="4"/>
      <c r="B862" s="4"/>
      <c r="C862" s="533"/>
      <c r="D862" s="4"/>
      <c r="E862" s="4"/>
      <c r="F862" s="4"/>
      <c r="G862" s="4"/>
      <c r="H862" s="4"/>
      <c r="I862" s="4"/>
      <c r="J862" s="4"/>
      <c r="K862" s="4"/>
      <c r="L862" s="4"/>
      <c r="M862" s="4"/>
      <c r="N862" s="4"/>
      <c r="O862" s="4"/>
      <c r="P862" s="4"/>
      <c r="Q862" s="4"/>
      <c r="R862" s="4"/>
      <c r="S862" s="4"/>
      <c r="T862" s="4"/>
      <c r="U862" s="4"/>
      <c r="V862" s="4"/>
      <c r="W862" s="4"/>
      <c r="X862" s="4"/>
      <c r="Y862" s="4"/>
      <c r="Z862" s="4"/>
      <c r="AA862" s="4"/>
      <c r="AB862" s="4"/>
      <c r="AC862" s="4"/>
      <c r="AD862" s="4"/>
      <c r="AE862" s="4"/>
      <c r="AF862" s="4"/>
      <c r="AG862" s="4"/>
      <c r="AH862" s="4"/>
      <c r="AI862" s="4"/>
      <c r="AJ862" s="4"/>
      <c r="AK862" s="4"/>
      <c r="AL862" s="4"/>
      <c r="AM862" s="4"/>
      <c r="AN862" s="4"/>
      <c r="AO862" s="4"/>
      <c r="AP862" s="4"/>
      <c r="AQ862" s="4"/>
      <c r="AR862" s="4"/>
      <c r="AS862" s="4"/>
      <c r="AT862" s="4"/>
      <c r="AU862" s="4"/>
      <c r="AV862" s="4"/>
      <c r="AW862" s="4"/>
      <c r="AX862" s="4"/>
      <c r="AY862" s="4"/>
      <c r="AZ862" s="4"/>
      <c r="BA862" s="4"/>
      <c r="BB862" s="4"/>
      <c r="BC862" s="4"/>
      <c r="BD862" s="4"/>
      <c r="BE862" s="4"/>
      <c r="BF862" s="4"/>
      <c r="BG862" s="4"/>
      <c r="BH862" s="4"/>
      <c r="BI862" s="4"/>
      <c r="BJ862" s="4"/>
      <c r="BK862" s="4"/>
      <c r="BL862" s="4"/>
      <c r="BM862" s="4"/>
      <c r="BN862" s="4"/>
    </row>
    <row r="863" ht="13.5" customHeight="1" spans="1:66" x14ac:dyDescent="0.25">
      <c r="A863" s="4"/>
      <c r="B863" s="4"/>
      <c r="C863" s="533"/>
      <c r="D863" s="4"/>
      <c r="E863" s="4"/>
      <c r="F863" s="4"/>
      <c r="G863" s="4"/>
      <c r="H863" s="4"/>
      <c r="I863" s="4"/>
      <c r="J863" s="4"/>
      <c r="K863" s="4"/>
      <c r="L863" s="4"/>
      <c r="M863" s="4"/>
      <c r="N863" s="4"/>
      <c r="O863" s="4"/>
      <c r="P863" s="4"/>
      <c r="Q863" s="4"/>
      <c r="R863" s="4"/>
      <c r="S863" s="4"/>
      <c r="T863" s="4"/>
      <c r="U863" s="4"/>
      <c r="V863" s="4"/>
      <c r="W863" s="4"/>
      <c r="X863" s="4"/>
      <c r="Y863" s="4"/>
      <c r="Z863" s="4"/>
      <c r="AA863" s="4"/>
      <c r="AB863" s="4"/>
      <c r="AC863" s="4"/>
      <c r="AD863" s="4"/>
      <c r="AE863" s="4"/>
      <c r="AF863" s="4"/>
      <c r="AG863" s="4"/>
      <c r="AH863" s="4"/>
      <c r="AI863" s="4"/>
      <c r="AJ863" s="4"/>
      <c r="AK863" s="4"/>
      <c r="AL863" s="4"/>
      <c r="AM863" s="4"/>
      <c r="AN863" s="4"/>
      <c r="AO863" s="4"/>
      <c r="AP863" s="4"/>
      <c r="AQ863" s="4"/>
      <c r="AR863" s="4"/>
      <c r="AS863" s="4"/>
      <c r="AT863" s="4"/>
      <c r="AU863" s="4"/>
      <c r="AV863" s="4"/>
      <c r="AW863" s="4"/>
      <c r="AX863" s="4"/>
      <c r="AY863" s="4"/>
      <c r="AZ863" s="4"/>
      <c r="BA863" s="4"/>
      <c r="BB863" s="4"/>
      <c r="BC863" s="4"/>
      <c r="BD863" s="4"/>
      <c r="BE863" s="4"/>
      <c r="BF863" s="4"/>
      <c r="BG863" s="4"/>
      <c r="BH863" s="4"/>
      <c r="BI863" s="4"/>
      <c r="BJ863" s="4"/>
      <c r="BK863" s="4"/>
      <c r="BL863" s="4"/>
      <c r="BM863" s="4"/>
      <c r="BN863" s="4"/>
    </row>
    <row r="864" ht="13.5" customHeight="1" spans="1:66" x14ac:dyDescent="0.25">
      <c r="A864" s="4"/>
      <c r="B864" s="4"/>
      <c r="C864" s="533"/>
      <c r="D864" s="4"/>
      <c r="E864" s="4"/>
      <c r="F864" s="4"/>
      <c r="G864" s="4"/>
      <c r="H864" s="4"/>
      <c r="I864" s="4"/>
      <c r="J864" s="4"/>
      <c r="K864" s="4"/>
      <c r="L864" s="4"/>
      <c r="M864" s="4"/>
      <c r="N864" s="4"/>
      <c r="O864" s="4"/>
      <c r="P864" s="4"/>
      <c r="Q864" s="4"/>
      <c r="R864" s="4"/>
      <c r="S864" s="4"/>
      <c r="T864" s="4"/>
      <c r="U864" s="4"/>
      <c r="V864" s="4"/>
      <c r="W864" s="4"/>
      <c r="X864" s="4"/>
      <c r="Y864" s="4"/>
      <c r="Z864" s="4"/>
      <c r="AA864" s="4"/>
      <c r="AB864" s="4"/>
      <c r="AC864" s="4"/>
      <c r="AD864" s="4"/>
      <c r="AE864" s="4"/>
      <c r="AF864" s="4"/>
      <c r="AG864" s="4"/>
      <c r="AH864" s="4"/>
      <c r="AI864" s="4"/>
      <c r="AJ864" s="4"/>
      <c r="AK864" s="4"/>
      <c r="AL864" s="4"/>
      <c r="AM864" s="4"/>
      <c r="AN864" s="4"/>
      <c r="AO864" s="4"/>
      <c r="AP864" s="4"/>
      <c r="AQ864" s="4"/>
      <c r="AR864" s="4"/>
      <c r="AS864" s="4"/>
      <c r="AT864" s="4"/>
      <c r="AU864" s="4"/>
      <c r="AV864" s="4"/>
      <c r="AW864" s="4"/>
      <c r="AX864" s="4"/>
      <c r="AY864" s="4"/>
      <c r="AZ864" s="4"/>
      <c r="BA864" s="4"/>
      <c r="BB864" s="4"/>
      <c r="BC864" s="4"/>
      <c r="BD864" s="4"/>
      <c r="BE864" s="4"/>
      <c r="BF864" s="4"/>
      <c r="BG864" s="4"/>
      <c r="BH864" s="4"/>
      <c r="BI864" s="4"/>
      <c r="BJ864" s="4"/>
      <c r="BK864" s="4"/>
      <c r="BL864" s="4"/>
      <c r="BM864" s="4"/>
      <c r="BN864" s="4"/>
    </row>
    <row r="865" ht="13.5" customHeight="1" spans="1:66" x14ac:dyDescent="0.25">
      <c r="A865" s="4"/>
      <c r="B865" s="4"/>
      <c r="C865" s="533"/>
      <c r="D865" s="4"/>
      <c r="E865" s="4"/>
      <c r="F865" s="4"/>
      <c r="G865" s="4"/>
      <c r="H865" s="4"/>
      <c r="I865" s="4"/>
      <c r="J865" s="4"/>
      <c r="K865" s="4"/>
      <c r="L865" s="4"/>
      <c r="M865" s="4"/>
      <c r="N865" s="4"/>
      <c r="O865" s="4"/>
      <c r="P865" s="4"/>
      <c r="Q865" s="4"/>
      <c r="R865" s="4"/>
      <c r="S865" s="4"/>
      <c r="T865" s="4"/>
      <c r="U865" s="4"/>
      <c r="V865" s="4"/>
      <c r="W865" s="4"/>
      <c r="X865" s="4"/>
      <c r="Y865" s="4"/>
      <c r="Z865" s="4"/>
      <c r="AA865" s="4"/>
      <c r="AB865" s="4"/>
      <c r="AC865" s="4"/>
      <c r="AD865" s="4"/>
      <c r="AE865" s="4"/>
      <c r="AF865" s="4"/>
      <c r="AG865" s="4"/>
      <c r="AH865" s="4"/>
      <c r="AI865" s="4"/>
      <c r="AJ865" s="4"/>
      <c r="AK865" s="4"/>
      <c r="AL865" s="4"/>
      <c r="AM865" s="4"/>
      <c r="AN865" s="4"/>
      <c r="AO865" s="4"/>
      <c r="AP865" s="4"/>
      <c r="AQ865" s="4"/>
      <c r="AR865" s="4"/>
      <c r="AS865" s="4"/>
      <c r="AT865" s="4"/>
      <c r="AU865" s="4"/>
      <c r="AV865" s="4"/>
      <c r="AW865" s="4"/>
      <c r="AX865" s="4"/>
      <c r="AY865" s="4"/>
      <c r="AZ865" s="4"/>
      <c r="BA865" s="4"/>
      <c r="BB865" s="4"/>
      <c r="BC865" s="4"/>
      <c r="BD865" s="4"/>
      <c r="BE865" s="4"/>
      <c r="BF865" s="4"/>
      <c r="BG865" s="4"/>
      <c r="BH865" s="4"/>
      <c r="BI865" s="4"/>
      <c r="BJ865" s="4"/>
      <c r="BK865" s="4"/>
      <c r="BL865" s="4"/>
      <c r="BM865" s="4"/>
      <c r="BN865" s="4"/>
    </row>
    <row r="866" ht="13.5" customHeight="1" spans="1:66" x14ac:dyDescent="0.25">
      <c r="A866" s="4"/>
      <c r="B866" s="4"/>
      <c r="C866" s="533"/>
      <c r="D866" s="4"/>
      <c r="E866" s="4"/>
      <c r="F866" s="4"/>
      <c r="G866" s="4"/>
      <c r="H866" s="4"/>
      <c r="I866" s="4"/>
      <c r="J866" s="4"/>
      <c r="K866" s="4"/>
      <c r="L866" s="4"/>
      <c r="M866" s="4"/>
      <c r="N866" s="4"/>
      <c r="O866" s="4"/>
      <c r="P866" s="4"/>
      <c r="Q866" s="4"/>
      <c r="R866" s="4"/>
      <c r="S866" s="4"/>
      <c r="T866" s="4"/>
      <c r="U866" s="4"/>
      <c r="V866" s="4"/>
      <c r="W866" s="4"/>
      <c r="X866" s="4"/>
      <c r="Y866" s="4"/>
      <c r="Z866" s="4"/>
      <c r="AA866" s="4"/>
      <c r="AB866" s="4"/>
      <c r="AC866" s="4"/>
      <c r="AD866" s="4"/>
      <c r="AE866" s="4"/>
      <c r="AF866" s="4"/>
      <c r="AG866" s="4"/>
      <c r="AH866" s="4"/>
      <c r="AI866" s="4"/>
      <c r="AJ866" s="4"/>
      <c r="AK866" s="4"/>
      <c r="AL866" s="4"/>
      <c r="AM866" s="4"/>
      <c r="AN866" s="4"/>
      <c r="AO866" s="4"/>
      <c r="AP866" s="4"/>
      <c r="AQ866" s="4"/>
      <c r="AR866" s="4"/>
      <c r="AS866" s="4"/>
      <c r="AT866" s="4"/>
      <c r="AU866" s="4"/>
      <c r="AV866" s="4"/>
      <c r="AW866" s="4"/>
      <c r="AX866" s="4"/>
      <c r="AY866" s="4"/>
      <c r="AZ866" s="4"/>
      <c r="BA866" s="4"/>
      <c r="BB866" s="4"/>
      <c r="BC866" s="4"/>
      <c r="BD866" s="4"/>
      <c r="BE866" s="4"/>
      <c r="BF866" s="4"/>
      <c r="BG866" s="4"/>
      <c r="BH866" s="4"/>
      <c r="BI866" s="4"/>
      <c r="BJ866" s="4"/>
      <c r="BK866" s="4"/>
      <c r="BL866" s="4"/>
      <c r="BM866" s="4"/>
      <c r="BN866" s="4"/>
    </row>
    <row r="867" ht="13.5" customHeight="1" spans="1:66" x14ac:dyDescent="0.25">
      <c r="A867" s="4"/>
      <c r="B867" s="4"/>
      <c r="C867" s="533"/>
      <c r="D867" s="4"/>
      <c r="E867" s="4"/>
      <c r="F867" s="4"/>
      <c r="G867" s="4"/>
      <c r="H867" s="4"/>
      <c r="I867" s="4"/>
      <c r="J867" s="4"/>
      <c r="K867" s="4"/>
      <c r="L867" s="4"/>
      <c r="M867" s="4"/>
      <c r="N867" s="4"/>
      <c r="O867" s="4"/>
      <c r="P867" s="4"/>
      <c r="Q867" s="4"/>
      <c r="R867" s="4"/>
      <c r="S867" s="4"/>
      <c r="T867" s="4"/>
      <c r="U867" s="4"/>
      <c r="V867" s="4"/>
      <c r="W867" s="4"/>
      <c r="X867" s="4"/>
      <c r="Y867" s="4"/>
      <c r="Z867" s="4"/>
      <c r="AA867" s="4"/>
      <c r="AB867" s="4"/>
      <c r="AC867" s="4"/>
      <c r="AD867" s="4"/>
      <c r="AE867" s="4"/>
      <c r="AF867" s="4"/>
      <c r="AG867" s="4"/>
      <c r="AH867" s="4"/>
      <c r="AI867" s="4"/>
      <c r="AJ867" s="4"/>
      <c r="AK867" s="4"/>
      <c r="AL867" s="4"/>
      <c r="AM867" s="4"/>
      <c r="AN867" s="4"/>
      <c r="AO867" s="4"/>
      <c r="AP867" s="4"/>
      <c r="AQ867" s="4"/>
      <c r="AR867" s="4"/>
      <c r="AS867" s="4"/>
      <c r="AT867" s="4"/>
      <c r="AU867" s="4"/>
      <c r="AV867" s="4"/>
      <c r="AW867" s="4"/>
      <c r="AX867" s="4"/>
      <c r="AY867" s="4"/>
      <c r="AZ867" s="4"/>
      <c r="BA867" s="4"/>
      <c r="BB867" s="4"/>
      <c r="BC867" s="4"/>
      <c r="BD867" s="4"/>
      <c r="BE867" s="4"/>
      <c r="BF867" s="4"/>
      <c r="BG867" s="4"/>
      <c r="BH867" s="4"/>
      <c r="BI867" s="4"/>
      <c r="BJ867" s="4"/>
      <c r="BK867" s="4"/>
      <c r="BL867" s="4"/>
      <c r="BM867" s="4"/>
      <c r="BN867" s="4"/>
    </row>
    <row r="868" ht="13.5" customHeight="1" spans="1:66" x14ac:dyDescent="0.25">
      <c r="A868" s="4"/>
      <c r="B868" s="4"/>
      <c r="C868" s="533"/>
      <c r="D868" s="4"/>
      <c r="E868" s="4"/>
      <c r="F868" s="4"/>
      <c r="G868" s="4"/>
      <c r="H868" s="4"/>
      <c r="I868" s="4"/>
      <c r="J868" s="4"/>
      <c r="K868" s="4"/>
      <c r="L868" s="4"/>
      <c r="M868" s="4"/>
      <c r="N868" s="4"/>
      <c r="O868" s="4"/>
      <c r="P868" s="4"/>
      <c r="Q868" s="4"/>
      <c r="R868" s="4"/>
      <c r="S868" s="4"/>
      <c r="T868" s="4"/>
      <c r="U868" s="4"/>
      <c r="V868" s="4"/>
      <c r="W868" s="4"/>
      <c r="X868" s="4"/>
      <c r="Y868" s="4"/>
      <c r="Z868" s="4"/>
      <c r="AA868" s="4"/>
      <c r="AB868" s="4"/>
      <c r="AC868" s="4"/>
      <c r="AD868" s="4"/>
      <c r="AE868" s="4"/>
      <c r="AF868" s="4"/>
      <c r="AG868" s="4"/>
      <c r="AH868" s="4"/>
      <c r="AI868" s="4"/>
      <c r="AJ868" s="4"/>
      <c r="AK868" s="4"/>
      <c r="AL868" s="4"/>
      <c r="AM868" s="4"/>
      <c r="AN868" s="4"/>
      <c r="AO868" s="4"/>
      <c r="AP868" s="4"/>
      <c r="AQ868" s="4"/>
      <c r="AR868" s="4"/>
      <c r="AS868" s="4"/>
      <c r="AT868" s="4"/>
      <c r="AU868" s="4"/>
      <c r="AV868" s="4"/>
      <c r="AW868" s="4"/>
      <c r="AX868" s="4"/>
      <c r="AY868" s="4"/>
      <c r="AZ868" s="4"/>
      <c r="BA868" s="4"/>
      <c r="BB868" s="4"/>
      <c r="BC868" s="4"/>
      <c r="BD868" s="4"/>
      <c r="BE868" s="4"/>
      <c r="BF868" s="4"/>
      <c r="BG868" s="4"/>
      <c r="BH868" s="4"/>
      <c r="BI868" s="4"/>
      <c r="BJ868" s="4"/>
      <c r="BK868" s="4"/>
      <c r="BL868" s="4"/>
      <c r="BM868" s="4"/>
      <c r="BN868" s="4"/>
    </row>
    <row r="869" ht="13.5" customHeight="1" spans="1:66" x14ac:dyDescent="0.25">
      <c r="A869" s="4"/>
      <c r="B869" s="4"/>
      <c r="C869" s="533"/>
      <c r="D869" s="4"/>
      <c r="E869" s="4"/>
      <c r="F869" s="4"/>
      <c r="G869" s="4"/>
      <c r="H869" s="4"/>
      <c r="I869" s="4"/>
      <c r="J869" s="4"/>
      <c r="K869" s="4"/>
      <c r="L869" s="4"/>
      <c r="M869" s="4"/>
      <c r="N869" s="4"/>
      <c r="O869" s="4"/>
      <c r="P869" s="4"/>
      <c r="Q869" s="4"/>
      <c r="R869" s="4"/>
      <c r="S869" s="4"/>
      <c r="T869" s="4"/>
      <c r="U869" s="4"/>
      <c r="V869" s="4"/>
      <c r="W869" s="4"/>
      <c r="X869" s="4"/>
      <c r="Y869" s="4"/>
      <c r="Z869" s="4"/>
      <c r="AA869" s="4"/>
      <c r="AB869" s="4"/>
      <c r="AC869" s="4"/>
      <c r="AD869" s="4"/>
      <c r="AE869" s="4"/>
      <c r="AF869" s="4"/>
      <c r="AG869" s="4"/>
      <c r="AH869" s="4"/>
      <c r="AI869" s="4"/>
      <c r="AJ869" s="4"/>
      <c r="AK869" s="4"/>
      <c r="AL869" s="4"/>
      <c r="AM869" s="4"/>
      <c r="AN869" s="4"/>
      <c r="AO869" s="4"/>
      <c r="AP869" s="4"/>
      <c r="AQ869" s="4"/>
      <c r="AR869" s="4"/>
      <c r="AS869" s="4"/>
      <c r="AT869" s="4"/>
      <c r="AU869" s="4"/>
      <c r="AV869" s="4"/>
      <c r="AW869" s="4"/>
      <c r="AX869" s="4"/>
      <c r="AY869" s="4"/>
      <c r="AZ869" s="4"/>
      <c r="BA869" s="4"/>
      <c r="BB869" s="4"/>
      <c r="BC869" s="4"/>
      <c r="BD869" s="4"/>
      <c r="BE869" s="4"/>
      <c r="BF869" s="4"/>
      <c r="BG869" s="4"/>
      <c r="BH869" s="4"/>
      <c r="BI869" s="4"/>
      <c r="BJ869" s="4"/>
      <c r="BK869" s="4"/>
      <c r="BL869" s="4"/>
      <c r="BM869" s="4"/>
      <c r="BN869" s="4"/>
    </row>
    <row r="870" ht="13.5" customHeight="1" spans="1:66" x14ac:dyDescent="0.25">
      <c r="A870" s="4"/>
      <c r="B870" s="4"/>
      <c r="C870" s="533"/>
      <c r="D870" s="4"/>
      <c r="E870" s="4"/>
      <c r="F870" s="4"/>
      <c r="G870" s="4"/>
      <c r="H870" s="4"/>
      <c r="I870" s="4"/>
      <c r="J870" s="4"/>
      <c r="K870" s="4"/>
      <c r="L870" s="4"/>
      <c r="M870" s="4"/>
      <c r="N870" s="4"/>
      <c r="O870" s="4"/>
      <c r="P870" s="4"/>
      <c r="Q870" s="4"/>
      <c r="R870" s="4"/>
      <c r="S870" s="4"/>
      <c r="T870" s="4"/>
      <c r="U870" s="4"/>
      <c r="V870" s="4"/>
      <c r="W870" s="4"/>
      <c r="X870" s="4"/>
      <c r="Y870" s="4"/>
      <c r="Z870" s="4"/>
      <c r="AA870" s="4"/>
      <c r="AB870" s="4"/>
      <c r="AC870" s="4"/>
      <c r="AD870" s="4"/>
      <c r="AE870" s="4"/>
      <c r="AF870" s="4"/>
      <c r="AG870" s="4"/>
      <c r="AH870" s="4"/>
      <c r="AI870" s="4"/>
      <c r="AJ870" s="4"/>
      <c r="AK870" s="4"/>
      <c r="AL870" s="4"/>
      <c r="AM870" s="4"/>
      <c r="AN870" s="4"/>
      <c r="AO870" s="4"/>
      <c r="AP870" s="4"/>
      <c r="AQ870" s="4"/>
      <c r="AR870" s="4"/>
      <c r="AS870" s="4"/>
      <c r="AT870" s="4"/>
      <c r="AU870" s="4"/>
      <c r="AV870" s="4"/>
      <c r="AW870" s="4"/>
      <c r="AX870" s="4"/>
      <c r="AY870" s="4"/>
      <c r="AZ870" s="4"/>
      <c r="BA870" s="4"/>
      <c r="BB870" s="4"/>
      <c r="BC870" s="4"/>
      <c r="BD870" s="4"/>
      <c r="BE870" s="4"/>
      <c r="BF870" s="4"/>
      <c r="BG870" s="4"/>
      <c r="BH870" s="4"/>
      <c r="BI870" s="4"/>
      <c r="BJ870" s="4"/>
      <c r="BK870" s="4"/>
      <c r="BL870" s="4"/>
      <c r="BM870" s="4"/>
      <c r="BN870" s="4"/>
    </row>
    <row r="871" ht="13.5" customHeight="1" spans="1:66" x14ac:dyDescent="0.25">
      <c r="A871" s="4"/>
      <c r="B871" s="4"/>
      <c r="C871" s="533"/>
      <c r="D871" s="4"/>
      <c r="E871" s="4"/>
      <c r="F871" s="4"/>
      <c r="G871" s="4"/>
      <c r="H871" s="4"/>
      <c r="I871" s="4"/>
      <c r="J871" s="4"/>
      <c r="K871" s="4"/>
      <c r="L871" s="4"/>
      <c r="M871" s="4"/>
      <c r="N871" s="4"/>
      <c r="O871" s="4"/>
      <c r="P871" s="4"/>
      <c r="Q871" s="4"/>
      <c r="R871" s="4"/>
      <c r="S871" s="4"/>
      <c r="T871" s="4"/>
      <c r="U871" s="4"/>
      <c r="V871" s="4"/>
      <c r="W871" s="4"/>
      <c r="X871" s="4"/>
      <c r="Y871" s="4"/>
      <c r="Z871" s="4"/>
      <c r="AA871" s="4"/>
      <c r="AB871" s="4"/>
      <c r="AC871" s="4"/>
      <c r="AD871" s="4"/>
      <c r="AE871" s="4"/>
      <c r="AF871" s="4"/>
      <c r="AG871" s="4"/>
      <c r="AH871" s="4"/>
      <c r="AI871" s="4"/>
      <c r="AJ871" s="4"/>
      <c r="AK871" s="4"/>
      <c r="AL871" s="4"/>
      <c r="AM871" s="4"/>
      <c r="AN871" s="4"/>
      <c r="AO871" s="4"/>
      <c r="AP871" s="4"/>
      <c r="AQ871" s="4"/>
      <c r="AR871" s="4"/>
      <c r="AS871" s="4"/>
      <c r="AT871" s="4"/>
      <c r="AU871" s="4"/>
      <c r="AV871" s="4"/>
      <c r="AW871" s="4"/>
      <c r="AX871" s="4"/>
      <c r="AY871" s="4"/>
      <c r="AZ871" s="4"/>
      <c r="BA871" s="4"/>
      <c r="BB871" s="4"/>
      <c r="BC871" s="4"/>
      <c r="BD871" s="4"/>
      <c r="BE871" s="4"/>
      <c r="BF871" s="4"/>
      <c r="BG871" s="4"/>
      <c r="BH871" s="4"/>
      <c r="BI871" s="4"/>
      <c r="BJ871" s="4"/>
      <c r="BK871" s="4"/>
      <c r="BL871" s="4"/>
      <c r="BM871" s="4"/>
      <c r="BN871" s="4"/>
    </row>
    <row r="872" ht="13.5" customHeight="1" spans="1:66" x14ac:dyDescent="0.25">
      <c r="A872" s="4"/>
      <c r="B872" s="4"/>
      <c r="C872" s="533"/>
      <c r="D872" s="4"/>
      <c r="E872" s="4"/>
      <c r="F872" s="4"/>
      <c r="G872" s="4"/>
      <c r="H872" s="4"/>
      <c r="I872" s="4"/>
      <c r="J872" s="4"/>
      <c r="K872" s="4"/>
      <c r="L872" s="4"/>
      <c r="M872" s="4"/>
      <c r="N872" s="4"/>
      <c r="O872" s="4"/>
      <c r="P872" s="4"/>
      <c r="Q872" s="4"/>
      <c r="R872" s="4"/>
      <c r="S872" s="4"/>
      <c r="T872" s="4"/>
      <c r="U872" s="4"/>
      <c r="V872" s="4"/>
      <c r="W872" s="4"/>
      <c r="X872" s="4"/>
      <c r="Y872" s="4"/>
      <c r="Z872" s="4"/>
      <c r="AA872" s="4"/>
      <c r="AB872" s="4"/>
      <c r="AC872" s="4"/>
      <c r="AD872" s="4"/>
      <c r="AE872" s="4"/>
      <c r="AF872" s="4"/>
      <c r="AG872" s="4"/>
      <c r="AH872" s="4"/>
      <c r="AI872" s="4"/>
      <c r="AJ872" s="4"/>
      <c r="AK872" s="4"/>
      <c r="AL872" s="4"/>
      <c r="AM872" s="4"/>
      <c r="AN872" s="4"/>
      <c r="AO872" s="4"/>
      <c r="AP872" s="4"/>
      <c r="AQ872" s="4"/>
      <c r="AR872" s="4"/>
      <c r="AS872" s="4"/>
      <c r="AT872" s="4"/>
      <c r="AU872" s="4"/>
      <c r="AV872" s="4"/>
      <c r="AW872" s="4"/>
      <c r="AX872" s="4"/>
      <c r="AY872" s="4"/>
      <c r="AZ872" s="4"/>
      <c r="BA872" s="4"/>
      <c r="BB872" s="4"/>
      <c r="BC872" s="4"/>
      <c r="BD872" s="4"/>
      <c r="BE872" s="4"/>
      <c r="BF872" s="4"/>
      <c r="BG872" s="4"/>
      <c r="BH872" s="4"/>
      <c r="BI872" s="4"/>
      <c r="BJ872" s="4"/>
      <c r="BK872" s="4"/>
      <c r="BL872" s="4"/>
      <c r="BM872" s="4"/>
      <c r="BN872" s="4"/>
    </row>
    <row r="873" ht="13.5" customHeight="1" spans="1:66" x14ac:dyDescent="0.25">
      <c r="A873" s="4"/>
      <c r="B873" s="4"/>
      <c r="C873" s="533"/>
      <c r="D873" s="4"/>
      <c r="E873" s="4"/>
      <c r="F873" s="4"/>
      <c r="G873" s="4"/>
      <c r="H873" s="4"/>
      <c r="I873" s="4"/>
      <c r="J873" s="4"/>
      <c r="K873" s="4"/>
      <c r="L873" s="4"/>
      <c r="M873" s="4"/>
      <c r="N873" s="4"/>
      <c r="O873" s="4"/>
      <c r="P873" s="4"/>
      <c r="Q873" s="4"/>
      <c r="R873" s="4"/>
      <c r="S873" s="4"/>
      <c r="T873" s="4"/>
      <c r="U873" s="4"/>
      <c r="V873" s="4"/>
      <c r="W873" s="4"/>
      <c r="X873" s="4"/>
      <c r="Y873" s="4"/>
      <c r="Z873" s="4"/>
      <c r="AA873" s="4"/>
      <c r="AB873" s="4"/>
      <c r="AC873" s="4"/>
      <c r="AD873" s="4"/>
      <c r="AE873" s="4"/>
      <c r="AF873" s="4"/>
      <c r="AG873" s="4"/>
      <c r="AH873" s="4"/>
      <c r="AI873" s="4"/>
      <c r="AJ873" s="4"/>
      <c r="AK873" s="4"/>
      <c r="AL873" s="4"/>
      <c r="AM873" s="4"/>
      <c r="AN873" s="4"/>
      <c r="AO873" s="4"/>
      <c r="AP873" s="4"/>
      <c r="AQ873" s="4"/>
      <c r="AR873" s="4"/>
      <c r="AS873" s="4"/>
      <c r="AT873" s="4"/>
      <c r="AU873" s="4"/>
      <c r="AV873" s="4"/>
      <c r="AW873" s="4"/>
      <c r="AX873" s="4"/>
      <c r="AY873" s="4"/>
      <c r="AZ873" s="4"/>
      <c r="BA873" s="4"/>
      <c r="BB873" s="4"/>
      <c r="BC873" s="4"/>
      <c r="BD873" s="4"/>
      <c r="BE873" s="4"/>
      <c r="BF873" s="4"/>
      <c r="BG873" s="4"/>
      <c r="BH873" s="4"/>
      <c r="BI873" s="4"/>
      <c r="BJ873" s="4"/>
      <c r="BK873" s="4"/>
      <c r="BL873" s="4"/>
      <c r="BM873" s="4"/>
      <c r="BN873" s="4"/>
    </row>
    <row r="874" ht="13.5" customHeight="1" spans="1:66" x14ac:dyDescent="0.25">
      <c r="A874" s="4"/>
      <c r="B874" s="4"/>
      <c r="C874" s="533"/>
      <c r="D874" s="4"/>
      <c r="E874" s="4"/>
      <c r="F874" s="4"/>
      <c r="G874" s="4"/>
      <c r="H874" s="4"/>
      <c r="I874" s="4"/>
      <c r="J874" s="4"/>
      <c r="K874" s="4"/>
      <c r="L874" s="4"/>
      <c r="M874" s="4"/>
      <c r="N874" s="4"/>
      <c r="O874" s="4"/>
      <c r="P874" s="4"/>
      <c r="Q874" s="4"/>
      <c r="R874" s="4"/>
      <c r="S874" s="4"/>
      <c r="T874" s="4"/>
      <c r="U874" s="4"/>
      <c r="V874" s="4"/>
      <c r="W874" s="4"/>
      <c r="X874" s="4"/>
      <c r="Y874" s="4"/>
      <c r="Z874" s="4"/>
      <c r="AA874" s="4"/>
      <c r="AB874" s="4"/>
      <c r="AC874" s="4"/>
      <c r="AD874" s="4"/>
      <c r="AE874" s="4"/>
      <c r="AF874" s="4"/>
      <c r="AG874" s="4"/>
      <c r="AH874" s="4"/>
      <c r="AI874" s="4"/>
      <c r="AJ874" s="4"/>
      <c r="AK874" s="4"/>
      <c r="AL874" s="4"/>
      <c r="AM874" s="4"/>
      <c r="AN874" s="4"/>
      <c r="AO874" s="4"/>
      <c r="AP874" s="4"/>
      <c r="AQ874" s="4"/>
      <c r="AR874" s="4"/>
      <c r="AS874" s="4"/>
      <c r="AT874" s="4"/>
      <c r="AU874" s="4"/>
      <c r="AV874" s="4"/>
      <c r="AW874" s="4"/>
      <c r="AX874" s="4"/>
      <c r="AY874" s="4"/>
      <c r="AZ874" s="4"/>
      <c r="BA874" s="4"/>
      <c r="BB874" s="4"/>
      <c r="BC874" s="4"/>
      <c r="BD874" s="4"/>
      <c r="BE874" s="4"/>
      <c r="BF874" s="4"/>
      <c r="BG874" s="4"/>
      <c r="BH874" s="4"/>
      <c r="BI874" s="4"/>
      <c r="BJ874" s="4"/>
      <c r="BK874" s="4"/>
      <c r="BL874" s="4"/>
      <c r="BM874" s="4"/>
      <c r="BN874" s="4"/>
    </row>
    <row r="875" ht="13.5" customHeight="1" spans="1:66" x14ac:dyDescent="0.25">
      <c r="A875" s="4"/>
      <c r="B875" s="4"/>
      <c r="C875" s="533"/>
      <c r="D875" s="4"/>
      <c r="E875" s="4"/>
      <c r="F875" s="4"/>
      <c r="G875" s="4"/>
      <c r="H875" s="4"/>
      <c r="I875" s="4"/>
      <c r="J875" s="4"/>
      <c r="K875" s="4"/>
      <c r="L875" s="4"/>
      <c r="M875" s="4"/>
      <c r="N875" s="4"/>
      <c r="O875" s="4"/>
      <c r="P875" s="4"/>
      <c r="Q875" s="4"/>
      <c r="R875" s="4"/>
      <c r="S875" s="4"/>
      <c r="T875" s="4"/>
      <c r="U875" s="4"/>
      <c r="V875" s="4"/>
      <c r="W875" s="4"/>
      <c r="X875" s="4"/>
      <c r="Y875" s="4"/>
      <c r="Z875" s="4"/>
      <c r="AA875" s="4"/>
      <c r="AB875" s="4"/>
      <c r="AC875" s="4"/>
      <c r="AD875" s="4"/>
      <c r="AE875" s="4"/>
      <c r="AF875" s="4"/>
      <c r="AG875" s="4"/>
      <c r="AH875" s="4"/>
      <c r="AI875" s="4"/>
      <c r="AJ875" s="4"/>
      <c r="AK875" s="4"/>
      <c r="AL875" s="4"/>
      <c r="AM875" s="4"/>
      <c r="AN875" s="4"/>
      <c r="AO875" s="4"/>
      <c r="AP875" s="4"/>
      <c r="AQ875" s="4"/>
      <c r="AR875" s="4"/>
      <c r="AS875" s="4"/>
      <c r="AT875" s="4"/>
      <c r="AU875" s="4"/>
      <c r="AV875" s="4"/>
      <c r="AW875" s="4"/>
      <c r="AX875" s="4"/>
      <c r="AY875" s="4"/>
      <c r="AZ875" s="4"/>
      <c r="BA875" s="4"/>
      <c r="BB875" s="4"/>
      <c r="BC875" s="4"/>
      <c r="BD875" s="4"/>
      <c r="BE875" s="4"/>
      <c r="BF875" s="4"/>
      <c r="BG875" s="4"/>
      <c r="BH875" s="4"/>
      <c r="BI875" s="4"/>
      <c r="BJ875" s="4"/>
      <c r="BK875" s="4"/>
      <c r="BL875" s="4"/>
      <c r="BM875" s="4"/>
      <c r="BN875" s="4"/>
    </row>
    <row r="876" ht="13.5" customHeight="1" spans="1:66" x14ac:dyDescent="0.25">
      <c r="A876" s="4"/>
      <c r="B876" s="4"/>
      <c r="C876" s="533"/>
      <c r="D876" s="4"/>
      <c r="E876" s="4"/>
      <c r="F876" s="4"/>
      <c r="G876" s="4"/>
      <c r="H876" s="4"/>
      <c r="I876" s="4"/>
      <c r="J876" s="4"/>
      <c r="K876" s="4"/>
      <c r="L876" s="4"/>
      <c r="M876" s="4"/>
      <c r="N876" s="4"/>
      <c r="O876" s="4"/>
      <c r="P876" s="4"/>
      <c r="Q876" s="4"/>
      <c r="R876" s="4"/>
      <c r="S876" s="4"/>
      <c r="T876" s="4"/>
      <c r="U876" s="4"/>
      <c r="V876" s="4"/>
      <c r="W876" s="4"/>
      <c r="X876" s="4"/>
      <c r="Y876" s="4"/>
      <c r="Z876" s="4"/>
      <c r="AA876" s="4"/>
      <c r="AB876" s="4"/>
      <c r="AC876" s="4"/>
      <c r="AD876" s="4"/>
      <c r="AE876" s="4"/>
      <c r="AF876" s="4"/>
      <c r="AG876" s="4"/>
      <c r="AH876" s="4"/>
      <c r="AI876" s="4"/>
      <c r="AJ876" s="4"/>
      <c r="AK876" s="4"/>
      <c r="AL876" s="4"/>
      <c r="AM876" s="4"/>
      <c r="AN876" s="4"/>
      <c r="AO876" s="4"/>
      <c r="AP876" s="4"/>
      <c r="AQ876" s="4"/>
      <c r="AR876" s="4"/>
      <c r="AS876" s="4"/>
      <c r="AT876" s="4"/>
      <c r="AU876" s="4"/>
      <c r="AV876" s="4"/>
      <c r="AW876" s="4"/>
      <c r="AX876" s="4"/>
      <c r="AY876" s="4"/>
      <c r="AZ876" s="4"/>
      <c r="BA876" s="4"/>
      <c r="BB876" s="4"/>
      <c r="BC876" s="4"/>
      <c r="BD876" s="4"/>
      <c r="BE876" s="4"/>
      <c r="BF876" s="4"/>
      <c r="BG876" s="4"/>
      <c r="BH876" s="4"/>
      <c r="BI876" s="4"/>
      <c r="BJ876" s="4"/>
      <c r="BK876" s="4"/>
      <c r="BL876" s="4"/>
      <c r="BM876" s="4"/>
      <c r="BN876" s="4"/>
    </row>
    <row r="877" ht="13.5" customHeight="1" spans="1:66" x14ac:dyDescent="0.25">
      <c r="A877" s="4"/>
      <c r="B877" s="4"/>
      <c r="C877" s="533"/>
      <c r="D877" s="4"/>
      <c r="E877" s="4"/>
      <c r="F877" s="4"/>
      <c r="G877" s="4"/>
      <c r="H877" s="4"/>
      <c r="I877" s="4"/>
      <c r="J877" s="4"/>
      <c r="K877" s="4"/>
      <c r="L877" s="4"/>
      <c r="M877" s="4"/>
      <c r="N877" s="4"/>
      <c r="O877" s="4"/>
      <c r="P877" s="4"/>
      <c r="Q877" s="4"/>
      <c r="R877" s="4"/>
      <c r="S877" s="4"/>
      <c r="T877" s="4"/>
      <c r="U877" s="4"/>
      <c r="V877" s="4"/>
      <c r="W877" s="4"/>
      <c r="X877" s="4"/>
      <c r="Y877" s="4"/>
      <c r="Z877" s="4"/>
      <c r="AA877" s="4"/>
      <c r="AB877" s="4"/>
      <c r="AC877" s="4"/>
      <c r="AD877" s="4"/>
      <c r="AE877" s="4"/>
      <c r="AF877" s="4"/>
      <c r="AG877" s="4"/>
      <c r="AH877" s="4"/>
      <c r="AI877" s="4"/>
      <c r="AJ877" s="4"/>
      <c r="AK877" s="4"/>
      <c r="AL877" s="4"/>
      <c r="AM877" s="4"/>
      <c r="AN877" s="4"/>
      <c r="AO877" s="4"/>
      <c r="AP877" s="4"/>
      <c r="AQ877" s="4"/>
      <c r="AR877" s="4"/>
      <c r="AS877" s="4"/>
      <c r="AT877" s="4"/>
      <c r="AU877" s="4"/>
      <c r="AV877" s="4"/>
      <c r="AW877" s="4"/>
      <c r="AX877" s="4"/>
      <c r="AY877" s="4"/>
      <c r="AZ877" s="4"/>
      <c r="BA877" s="4"/>
      <c r="BB877" s="4"/>
      <c r="BC877" s="4"/>
      <c r="BD877" s="4"/>
      <c r="BE877" s="4"/>
      <c r="BF877" s="4"/>
      <c r="BG877" s="4"/>
      <c r="BH877" s="4"/>
      <c r="BI877" s="4"/>
      <c r="BJ877" s="4"/>
      <c r="BK877" s="4"/>
      <c r="BL877" s="4"/>
      <c r="BM877" s="4"/>
      <c r="BN877" s="4"/>
    </row>
    <row r="878" ht="13.5" customHeight="1" spans="1:66" x14ac:dyDescent="0.25">
      <c r="A878" s="4"/>
      <c r="B878" s="4"/>
      <c r="C878" s="533"/>
      <c r="D878" s="4"/>
      <c r="E878" s="4"/>
      <c r="F878" s="4"/>
      <c r="G878" s="4"/>
      <c r="H878" s="4"/>
      <c r="I878" s="4"/>
      <c r="J878" s="4"/>
      <c r="K878" s="4"/>
      <c r="L878" s="4"/>
      <c r="M878" s="4"/>
      <c r="N878" s="4"/>
      <c r="O878" s="4"/>
      <c r="P878" s="4"/>
      <c r="Q878" s="4"/>
      <c r="R878" s="4"/>
      <c r="S878" s="4"/>
      <c r="T878" s="4"/>
      <c r="U878" s="4"/>
      <c r="V878" s="4"/>
      <c r="W878" s="4"/>
      <c r="X878" s="4"/>
      <c r="Y878" s="4"/>
      <c r="Z878" s="4"/>
      <c r="AA878" s="4"/>
      <c r="AB878" s="4"/>
      <c r="AC878" s="4"/>
      <c r="AD878" s="4"/>
      <c r="AE878" s="4"/>
      <c r="AF878" s="4"/>
      <c r="AG878" s="4"/>
      <c r="AH878" s="4"/>
      <c r="AI878" s="4"/>
      <c r="AJ878" s="4"/>
      <c r="AK878" s="4"/>
      <c r="AL878" s="4"/>
      <c r="AM878" s="4"/>
      <c r="AN878" s="4"/>
      <c r="AO878" s="4"/>
      <c r="AP878" s="4"/>
      <c r="AQ878" s="4"/>
      <c r="AR878" s="4"/>
      <c r="AS878" s="4"/>
      <c r="AT878" s="4"/>
      <c r="AU878" s="4"/>
      <c r="AV878" s="4"/>
      <c r="AW878" s="4"/>
      <c r="AX878" s="4"/>
      <c r="AY878" s="4"/>
      <c r="AZ878" s="4"/>
      <c r="BA878" s="4"/>
      <c r="BB878" s="4"/>
      <c r="BC878" s="4"/>
      <c r="BD878" s="4"/>
      <c r="BE878" s="4"/>
      <c r="BF878" s="4"/>
      <c r="BG878" s="4"/>
      <c r="BH878" s="4"/>
      <c r="BI878" s="4"/>
      <c r="BJ878" s="4"/>
      <c r="BK878" s="4"/>
      <c r="BL878" s="4"/>
      <c r="BM878" s="4"/>
      <c r="BN878" s="4"/>
    </row>
    <row r="879" ht="13.5" customHeight="1" spans="1:66" x14ac:dyDescent="0.25">
      <c r="A879" s="4"/>
      <c r="B879" s="4"/>
      <c r="C879" s="533"/>
      <c r="D879" s="4"/>
      <c r="E879" s="4"/>
      <c r="F879" s="4"/>
      <c r="G879" s="4"/>
      <c r="H879" s="4"/>
      <c r="I879" s="4"/>
      <c r="J879" s="4"/>
      <c r="K879" s="4"/>
      <c r="L879" s="4"/>
      <c r="M879" s="4"/>
      <c r="N879" s="4"/>
      <c r="O879" s="4"/>
      <c r="P879" s="4"/>
      <c r="Q879" s="4"/>
      <c r="R879" s="4"/>
      <c r="S879" s="4"/>
      <c r="T879" s="4"/>
      <c r="U879" s="4"/>
      <c r="V879" s="4"/>
      <c r="W879" s="4"/>
      <c r="X879" s="4"/>
      <c r="Y879" s="4"/>
      <c r="Z879" s="4"/>
      <c r="AA879" s="4"/>
      <c r="AB879" s="4"/>
      <c r="AC879" s="4"/>
      <c r="AD879" s="4"/>
      <c r="AE879" s="4"/>
      <c r="AF879" s="4"/>
      <c r="AG879" s="4"/>
      <c r="AH879" s="4"/>
      <c r="AI879" s="4"/>
      <c r="AJ879" s="4"/>
      <c r="AK879" s="4"/>
      <c r="AL879" s="4"/>
      <c r="AM879" s="4"/>
      <c r="AN879" s="4"/>
      <c r="AO879" s="4"/>
      <c r="AP879" s="4"/>
      <c r="AQ879" s="4"/>
      <c r="AR879" s="4"/>
      <c r="AS879" s="4"/>
      <c r="AT879" s="4"/>
      <c r="AU879" s="4"/>
      <c r="AV879" s="4"/>
      <c r="AW879" s="4"/>
      <c r="AX879" s="4"/>
      <c r="AY879" s="4"/>
      <c r="AZ879" s="4"/>
      <c r="BA879" s="4"/>
      <c r="BB879" s="4"/>
      <c r="BC879" s="4"/>
      <c r="BD879" s="4"/>
      <c r="BE879" s="4"/>
      <c r="BF879" s="4"/>
      <c r="BG879" s="4"/>
      <c r="BH879" s="4"/>
      <c r="BI879" s="4"/>
      <c r="BJ879" s="4"/>
      <c r="BK879" s="4"/>
      <c r="BL879" s="4"/>
      <c r="BM879" s="4"/>
      <c r="BN879" s="4"/>
    </row>
    <row r="880" ht="13.5" customHeight="1" spans="1:66" x14ac:dyDescent="0.25">
      <c r="A880" s="4"/>
      <c r="B880" s="4"/>
      <c r="C880" s="533"/>
      <c r="D880" s="4"/>
      <c r="E880" s="4"/>
      <c r="F880" s="4"/>
      <c r="G880" s="4"/>
      <c r="H880" s="4"/>
      <c r="I880" s="4"/>
      <c r="J880" s="4"/>
      <c r="K880" s="4"/>
      <c r="L880" s="4"/>
      <c r="M880" s="4"/>
      <c r="N880" s="4"/>
      <c r="O880" s="4"/>
      <c r="P880" s="4"/>
      <c r="Q880" s="4"/>
      <c r="R880" s="4"/>
      <c r="S880" s="4"/>
      <c r="T880" s="4"/>
      <c r="U880" s="4"/>
      <c r="V880" s="4"/>
      <c r="W880" s="4"/>
      <c r="X880" s="4"/>
      <c r="Y880" s="4"/>
      <c r="Z880" s="4"/>
      <c r="AA880" s="4"/>
      <c r="AB880" s="4"/>
      <c r="AC880" s="4"/>
      <c r="AD880" s="4"/>
      <c r="AE880" s="4"/>
      <c r="AF880" s="4"/>
      <c r="AG880" s="4"/>
      <c r="AH880" s="4"/>
      <c r="AI880" s="4"/>
      <c r="AJ880" s="4"/>
      <c r="AK880" s="4"/>
      <c r="AL880" s="4"/>
      <c r="AM880" s="4"/>
      <c r="AN880" s="4"/>
      <c r="AO880" s="4"/>
      <c r="AP880" s="4"/>
      <c r="AQ880" s="4"/>
      <c r="AR880" s="4"/>
      <c r="AS880" s="4"/>
      <c r="AT880" s="4"/>
      <c r="AU880" s="4"/>
      <c r="AV880" s="4"/>
      <c r="AW880" s="4"/>
      <c r="AX880" s="4"/>
      <c r="AY880" s="4"/>
      <c r="AZ880" s="4"/>
      <c r="BA880" s="4"/>
      <c r="BB880" s="4"/>
      <c r="BC880" s="4"/>
      <c r="BD880" s="4"/>
      <c r="BE880" s="4"/>
      <c r="BF880" s="4"/>
      <c r="BG880" s="4"/>
      <c r="BH880" s="4"/>
      <c r="BI880" s="4"/>
      <c r="BJ880" s="4"/>
      <c r="BK880" s="4"/>
      <c r="BL880" s="4"/>
      <c r="BM880" s="4"/>
      <c r="BN880" s="4"/>
    </row>
    <row r="881" ht="13.5" customHeight="1" spans="1:66" x14ac:dyDescent="0.25">
      <c r="A881" s="4"/>
      <c r="B881" s="4"/>
      <c r="C881" s="533"/>
      <c r="D881" s="4"/>
      <c r="E881" s="4"/>
      <c r="F881" s="4"/>
      <c r="G881" s="4"/>
      <c r="H881" s="4"/>
      <c r="I881" s="4"/>
      <c r="J881" s="4"/>
      <c r="K881" s="4"/>
      <c r="L881" s="4"/>
      <c r="M881" s="4"/>
      <c r="N881" s="4"/>
      <c r="O881" s="4"/>
      <c r="P881" s="4"/>
      <c r="Q881" s="4"/>
      <c r="R881" s="4"/>
      <c r="S881" s="4"/>
      <c r="T881" s="4"/>
      <c r="U881" s="4"/>
      <c r="V881" s="4"/>
      <c r="W881" s="4"/>
      <c r="X881" s="4"/>
      <c r="Y881" s="4"/>
      <c r="Z881" s="4"/>
      <c r="AA881" s="4"/>
      <c r="AB881" s="4"/>
      <c r="AC881" s="4"/>
      <c r="AD881" s="4"/>
      <c r="AE881" s="4"/>
      <c r="AF881" s="4"/>
      <c r="AG881" s="4"/>
      <c r="AH881" s="4"/>
      <c r="AI881" s="4"/>
      <c r="AJ881" s="4"/>
      <c r="AK881" s="4"/>
      <c r="AL881" s="4"/>
      <c r="AM881" s="4"/>
      <c r="AN881" s="4"/>
      <c r="AO881" s="4"/>
      <c r="AP881" s="4"/>
      <c r="AQ881" s="4"/>
      <c r="AR881" s="4"/>
      <c r="AS881" s="4"/>
      <c r="AT881" s="4"/>
      <c r="AU881" s="4"/>
      <c r="AV881" s="4"/>
      <c r="AW881" s="4"/>
      <c r="AX881" s="4"/>
      <c r="AY881" s="4"/>
      <c r="AZ881" s="4"/>
      <c r="BA881" s="4"/>
      <c r="BB881" s="4"/>
      <c r="BC881" s="4"/>
      <c r="BD881" s="4"/>
      <c r="BE881" s="4"/>
      <c r="BF881" s="4"/>
      <c r="BG881" s="4"/>
      <c r="BH881" s="4"/>
      <c r="BI881" s="4"/>
      <c r="BJ881" s="4"/>
      <c r="BK881" s="4"/>
      <c r="BL881" s="4"/>
      <c r="BM881" s="4"/>
      <c r="BN881" s="4"/>
    </row>
    <row r="882" ht="13.5" customHeight="1" spans="1:66" x14ac:dyDescent="0.25">
      <c r="A882" s="4"/>
      <c r="B882" s="4"/>
      <c r="C882" s="533"/>
      <c r="D882" s="4"/>
      <c r="E882" s="4"/>
      <c r="F882" s="4"/>
      <c r="G882" s="4"/>
      <c r="H882" s="4"/>
      <c r="I882" s="4"/>
      <c r="J882" s="4"/>
      <c r="K882" s="4"/>
      <c r="L882" s="4"/>
      <c r="M882" s="4"/>
      <c r="N882" s="4"/>
      <c r="O882" s="4"/>
      <c r="P882" s="4"/>
      <c r="Q882" s="4"/>
      <c r="R882" s="4"/>
      <c r="S882" s="4"/>
      <c r="T882" s="4"/>
      <c r="U882" s="4"/>
      <c r="V882" s="4"/>
      <c r="W882" s="4"/>
      <c r="X882" s="4"/>
      <c r="Y882" s="4"/>
      <c r="Z882" s="4"/>
      <c r="AA882" s="4"/>
      <c r="AB882" s="4"/>
      <c r="AC882" s="4"/>
      <c r="AD882" s="4"/>
      <c r="AE882" s="4"/>
      <c r="AF882" s="4"/>
      <c r="AG882" s="4"/>
      <c r="AH882" s="4"/>
      <c r="AI882" s="4"/>
      <c r="AJ882" s="4"/>
      <c r="AK882" s="4"/>
      <c r="AL882" s="4"/>
      <c r="AM882" s="4"/>
      <c r="AN882" s="4"/>
      <c r="AO882" s="4"/>
      <c r="AP882" s="4"/>
      <c r="AQ882" s="4"/>
      <c r="AR882" s="4"/>
      <c r="AS882" s="4"/>
      <c r="AT882" s="4"/>
      <c r="AU882" s="4"/>
      <c r="AV882" s="4"/>
      <c r="AW882" s="4"/>
      <c r="AX882" s="4"/>
      <c r="AY882" s="4"/>
      <c r="AZ882" s="4"/>
      <c r="BA882" s="4"/>
      <c r="BB882" s="4"/>
      <c r="BC882" s="4"/>
      <c r="BD882" s="4"/>
      <c r="BE882" s="4"/>
      <c r="BF882" s="4"/>
      <c r="BG882" s="4"/>
      <c r="BH882" s="4"/>
      <c r="BI882" s="4"/>
      <c r="BJ882" s="4"/>
      <c r="BK882" s="4"/>
      <c r="BL882" s="4"/>
      <c r="BM882" s="4"/>
      <c r="BN882" s="4"/>
    </row>
    <row r="883" ht="13.5" customHeight="1" spans="1:66" x14ac:dyDescent="0.25">
      <c r="A883" s="4"/>
      <c r="B883" s="4"/>
      <c r="C883" s="533"/>
      <c r="D883" s="4"/>
      <c r="E883" s="4"/>
      <c r="F883" s="4"/>
      <c r="G883" s="4"/>
      <c r="H883" s="4"/>
      <c r="I883" s="4"/>
      <c r="J883" s="4"/>
      <c r="K883" s="4"/>
      <c r="L883" s="4"/>
      <c r="M883" s="4"/>
      <c r="N883" s="4"/>
      <c r="O883" s="4"/>
      <c r="P883" s="4"/>
      <c r="Q883" s="4"/>
      <c r="R883" s="4"/>
      <c r="S883" s="4"/>
      <c r="T883" s="4"/>
      <c r="U883" s="4"/>
      <c r="V883" s="4"/>
      <c r="W883" s="4"/>
      <c r="X883" s="4"/>
      <c r="Y883" s="4"/>
      <c r="Z883" s="4"/>
      <c r="AA883" s="4"/>
      <c r="AB883" s="4"/>
      <c r="AC883" s="4"/>
      <c r="AD883" s="4"/>
      <c r="AE883" s="4"/>
      <c r="AF883" s="4"/>
      <c r="AG883" s="4"/>
      <c r="AH883" s="4"/>
      <c r="AI883" s="4"/>
      <c r="AJ883" s="4"/>
      <c r="AK883" s="4"/>
      <c r="AL883" s="4"/>
      <c r="AM883" s="4"/>
      <c r="AN883" s="4"/>
      <c r="AO883" s="4"/>
      <c r="AP883" s="4"/>
      <c r="AQ883" s="4"/>
      <c r="AR883" s="4"/>
      <c r="AS883" s="4"/>
      <c r="AT883" s="4"/>
      <c r="AU883" s="4"/>
      <c r="AV883" s="4"/>
      <c r="AW883" s="4"/>
      <c r="AX883" s="4"/>
      <c r="AY883" s="4"/>
      <c r="AZ883" s="4"/>
      <c r="BA883" s="4"/>
      <c r="BB883" s="4"/>
      <c r="BC883" s="4"/>
      <c r="BD883" s="4"/>
      <c r="BE883" s="4"/>
      <c r="BF883" s="4"/>
      <c r="BG883" s="4"/>
      <c r="BH883" s="4"/>
      <c r="BI883" s="4"/>
      <c r="BJ883" s="4"/>
      <c r="BK883" s="4"/>
      <c r="BL883" s="4"/>
      <c r="BM883" s="4"/>
      <c r="BN883" s="4"/>
    </row>
    <row r="884" ht="13.5" customHeight="1" spans="1:66" x14ac:dyDescent="0.25">
      <c r="A884" s="4"/>
      <c r="B884" s="4"/>
      <c r="C884" s="533"/>
      <c r="D884" s="4"/>
      <c r="E884" s="4"/>
      <c r="F884" s="4"/>
      <c r="G884" s="4"/>
      <c r="H884" s="4"/>
      <c r="I884" s="4"/>
      <c r="J884" s="4"/>
      <c r="K884" s="4"/>
      <c r="L884" s="4"/>
      <c r="M884" s="4"/>
      <c r="N884" s="4"/>
      <c r="O884" s="4"/>
      <c r="P884" s="4"/>
      <c r="Q884" s="4"/>
      <c r="R884" s="4"/>
      <c r="S884" s="4"/>
      <c r="T884" s="4"/>
      <c r="U884" s="4"/>
      <c r="V884" s="4"/>
      <c r="W884" s="4"/>
      <c r="X884" s="4"/>
      <c r="Y884" s="4"/>
      <c r="Z884" s="4"/>
      <c r="AA884" s="4"/>
      <c r="AB884" s="4"/>
      <c r="AC884" s="4"/>
      <c r="AD884" s="4"/>
      <c r="AE884" s="4"/>
      <c r="AF884" s="4"/>
      <c r="AG884" s="4"/>
      <c r="AH884" s="4"/>
      <c r="AI884" s="4"/>
      <c r="AJ884" s="4"/>
      <c r="AK884" s="4"/>
      <c r="AL884" s="4"/>
      <c r="AM884" s="4"/>
      <c r="AN884" s="4"/>
      <c r="AO884" s="4"/>
      <c r="AP884" s="4"/>
      <c r="AQ884" s="4"/>
      <c r="AR884" s="4"/>
      <c r="AS884" s="4"/>
      <c r="AT884" s="4"/>
      <c r="AU884" s="4"/>
      <c r="AV884" s="4"/>
      <c r="AW884" s="4"/>
      <c r="AX884" s="4"/>
      <c r="AY884" s="4"/>
      <c r="AZ884" s="4"/>
      <c r="BA884" s="4"/>
      <c r="BB884" s="4"/>
      <c r="BC884" s="4"/>
      <c r="BD884" s="4"/>
      <c r="BE884" s="4"/>
      <c r="BF884" s="4"/>
      <c r="BG884" s="4"/>
      <c r="BH884" s="4"/>
      <c r="BI884" s="4"/>
      <c r="BJ884" s="4"/>
      <c r="BK884" s="4"/>
      <c r="BL884" s="4"/>
      <c r="BM884" s="4"/>
      <c r="BN884" s="4"/>
    </row>
    <row r="885" ht="13.5" customHeight="1" spans="1:66" x14ac:dyDescent="0.25">
      <c r="A885" s="4"/>
      <c r="B885" s="4"/>
      <c r="C885" s="533"/>
      <c r="D885" s="4"/>
      <c r="E885" s="4"/>
      <c r="F885" s="4"/>
      <c r="G885" s="4"/>
      <c r="H885" s="4"/>
      <c r="I885" s="4"/>
      <c r="J885" s="4"/>
      <c r="K885" s="4"/>
      <c r="L885" s="4"/>
      <c r="M885" s="4"/>
      <c r="N885" s="4"/>
      <c r="O885" s="4"/>
      <c r="P885" s="4"/>
      <c r="Q885" s="4"/>
      <c r="R885" s="4"/>
      <c r="S885" s="4"/>
      <c r="T885" s="4"/>
      <c r="U885" s="4"/>
      <c r="V885" s="4"/>
      <c r="W885" s="4"/>
      <c r="X885" s="4"/>
      <c r="Y885" s="4"/>
      <c r="Z885" s="4"/>
      <c r="AA885" s="4"/>
      <c r="AB885" s="4"/>
      <c r="AC885" s="4"/>
      <c r="AD885" s="4"/>
      <c r="AE885" s="4"/>
      <c r="AF885" s="4"/>
      <c r="AG885" s="4"/>
      <c r="AH885" s="4"/>
      <c r="AI885" s="4"/>
      <c r="AJ885" s="4"/>
      <c r="AK885" s="4"/>
      <c r="AL885" s="4"/>
      <c r="AM885" s="4"/>
      <c r="AN885" s="4"/>
      <c r="AO885" s="4"/>
      <c r="AP885" s="4"/>
      <c r="AQ885" s="4"/>
      <c r="AR885" s="4"/>
      <c r="AS885" s="4"/>
      <c r="AT885" s="4"/>
      <c r="AU885" s="4"/>
      <c r="AV885" s="4"/>
      <c r="AW885" s="4"/>
      <c r="AX885" s="4"/>
      <c r="AY885" s="4"/>
      <c r="AZ885" s="4"/>
      <c r="BA885" s="4"/>
      <c r="BB885" s="4"/>
      <c r="BC885" s="4"/>
      <c r="BD885" s="4"/>
      <c r="BE885" s="4"/>
      <c r="BF885" s="4"/>
      <c r="BG885" s="4"/>
      <c r="BH885" s="4"/>
      <c r="BI885" s="4"/>
      <c r="BJ885" s="4"/>
      <c r="BK885" s="4"/>
      <c r="BL885" s="4"/>
      <c r="BM885" s="4"/>
      <c r="BN885" s="4"/>
    </row>
    <row r="886" ht="13.5" customHeight="1" spans="1:66" x14ac:dyDescent="0.25">
      <c r="A886" s="4"/>
      <c r="B886" s="4"/>
      <c r="C886" s="533"/>
      <c r="D886" s="4"/>
      <c r="E886" s="4"/>
      <c r="F886" s="4"/>
      <c r="G886" s="4"/>
      <c r="H886" s="4"/>
      <c r="I886" s="4"/>
      <c r="J886" s="4"/>
      <c r="K886" s="4"/>
      <c r="L886" s="4"/>
      <c r="M886" s="4"/>
      <c r="N886" s="4"/>
      <c r="O886" s="4"/>
      <c r="P886" s="4"/>
      <c r="Q886" s="4"/>
      <c r="R886" s="4"/>
      <c r="S886" s="4"/>
      <c r="T886" s="4"/>
      <c r="U886" s="4"/>
      <c r="V886" s="4"/>
      <c r="W886" s="4"/>
      <c r="X886" s="4"/>
      <c r="Y886" s="4"/>
      <c r="Z886" s="4"/>
      <c r="AA886" s="4"/>
      <c r="AB886" s="4"/>
      <c r="AC886" s="4"/>
      <c r="AD886" s="4"/>
      <c r="AE886" s="4"/>
      <c r="AF886" s="4"/>
      <c r="AG886" s="4"/>
      <c r="AH886" s="4"/>
      <c r="AI886" s="4"/>
      <c r="AJ886" s="4"/>
      <c r="AK886" s="4"/>
      <c r="AL886" s="4"/>
      <c r="AM886" s="4"/>
      <c r="AN886" s="4"/>
      <c r="AO886" s="4"/>
      <c r="AP886" s="4"/>
      <c r="AQ886" s="4"/>
      <c r="AR886" s="4"/>
      <c r="AS886" s="4"/>
      <c r="AT886" s="4"/>
      <c r="AU886" s="4"/>
      <c r="AV886" s="4"/>
      <c r="AW886" s="4"/>
      <c r="AX886" s="4"/>
      <c r="AY886" s="4"/>
      <c r="AZ886" s="4"/>
      <c r="BA886" s="4"/>
      <c r="BB886" s="4"/>
      <c r="BC886" s="4"/>
      <c r="BD886" s="4"/>
      <c r="BE886" s="4"/>
      <c r="BF886" s="4"/>
      <c r="BG886" s="4"/>
      <c r="BH886" s="4"/>
      <c r="BI886" s="4"/>
      <c r="BJ886" s="4"/>
      <c r="BK886" s="4"/>
      <c r="BL886" s="4"/>
      <c r="BM886" s="4"/>
      <c r="BN886" s="4"/>
    </row>
    <row r="887" ht="13.5" customHeight="1" spans="1:66" x14ac:dyDescent="0.25">
      <c r="A887" s="4"/>
      <c r="B887" s="4"/>
      <c r="C887" s="533"/>
      <c r="D887" s="4"/>
      <c r="E887" s="4"/>
      <c r="F887" s="4"/>
      <c r="G887" s="4"/>
      <c r="H887" s="4"/>
      <c r="I887" s="4"/>
      <c r="J887" s="4"/>
      <c r="K887" s="4"/>
      <c r="L887" s="4"/>
      <c r="M887" s="4"/>
      <c r="N887" s="4"/>
      <c r="O887" s="4"/>
      <c r="P887" s="4"/>
      <c r="Q887" s="4"/>
      <c r="R887" s="4"/>
      <c r="S887" s="4"/>
      <c r="T887" s="4"/>
      <c r="U887" s="4"/>
      <c r="V887" s="4"/>
      <c r="W887" s="4"/>
      <c r="X887" s="4"/>
      <c r="Y887" s="4"/>
      <c r="Z887" s="4"/>
      <c r="AA887" s="4"/>
      <c r="AB887" s="4"/>
      <c r="AC887" s="4"/>
      <c r="AD887" s="4"/>
      <c r="AE887" s="4"/>
      <c r="AF887" s="4"/>
      <c r="AG887" s="4"/>
      <c r="AH887" s="4"/>
      <c r="AI887" s="4"/>
      <c r="AJ887" s="4"/>
      <c r="AK887" s="4"/>
      <c r="AL887" s="4"/>
      <c r="AM887" s="4"/>
      <c r="AN887" s="4"/>
      <c r="AO887" s="4"/>
      <c r="AP887" s="4"/>
      <c r="AQ887" s="4"/>
      <c r="AR887" s="4"/>
      <c r="AS887" s="4"/>
      <c r="AT887" s="4"/>
      <c r="AU887" s="4"/>
      <c r="AV887" s="4"/>
      <c r="AW887" s="4"/>
      <c r="AX887" s="4"/>
      <c r="AY887" s="4"/>
      <c r="AZ887" s="4"/>
      <c r="BA887" s="4"/>
      <c r="BB887" s="4"/>
      <c r="BC887" s="4"/>
      <c r="BD887" s="4"/>
      <c r="BE887" s="4"/>
      <c r="BF887" s="4"/>
      <c r="BG887" s="4"/>
      <c r="BH887" s="4"/>
      <c r="BI887" s="4"/>
      <c r="BJ887" s="4"/>
      <c r="BK887" s="4"/>
      <c r="BL887" s="4"/>
      <c r="BM887" s="4"/>
      <c r="BN887" s="4"/>
    </row>
    <row r="888" ht="13.5" customHeight="1" spans="1:66" x14ac:dyDescent="0.25">
      <c r="A888" s="4"/>
      <c r="B888" s="4"/>
      <c r="C888" s="533"/>
      <c r="D888" s="4"/>
      <c r="E888" s="4"/>
      <c r="F888" s="4"/>
      <c r="G888" s="4"/>
      <c r="H888" s="4"/>
      <c r="I888" s="4"/>
      <c r="J888" s="4"/>
      <c r="K888" s="4"/>
      <c r="L888" s="4"/>
      <c r="M888" s="4"/>
      <c r="N888" s="4"/>
      <c r="O888" s="4"/>
      <c r="P888" s="4"/>
      <c r="Q888" s="4"/>
      <c r="R888" s="4"/>
      <c r="S888" s="4"/>
      <c r="T888" s="4"/>
      <c r="U888" s="4"/>
      <c r="V888" s="4"/>
      <c r="W888" s="4"/>
      <c r="X888" s="4"/>
      <c r="Y888" s="4"/>
      <c r="Z888" s="4"/>
      <c r="AA888" s="4"/>
      <c r="AB888" s="4"/>
      <c r="AC888" s="4"/>
      <c r="AD888" s="4"/>
      <c r="AE888" s="4"/>
      <c r="AF888" s="4"/>
      <c r="AG888" s="4"/>
      <c r="AH888" s="4"/>
      <c r="AI888" s="4"/>
      <c r="AJ888" s="4"/>
      <c r="AK888" s="4"/>
      <c r="AL888" s="4"/>
      <c r="AM888" s="4"/>
      <c r="AN888" s="4"/>
      <c r="AO888" s="4"/>
      <c r="AP888" s="4"/>
      <c r="AQ888" s="4"/>
      <c r="AR888" s="4"/>
      <c r="AS888" s="4"/>
      <c r="AT888" s="4"/>
      <c r="AU888" s="4"/>
      <c r="AV888" s="4"/>
      <c r="AW888" s="4"/>
      <c r="AX888" s="4"/>
      <c r="AY888" s="4"/>
      <c r="AZ888" s="4"/>
      <c r="BA888" s="4"/>
      <c r="BB888" s="4"/>
      <c r="BC888" s="4"/>
      <c r="BD888" s="4"/>
      <c r="BE888" s="4"/>
      <c r="BF888" s="4"/>
      <c r="BG888" s="4"/>
      <c r="BH888" s="4"/>
      <c r="BI888" s="4"/>
      <c r="BJ888" s="4"/>
      <c r="BK888" s="4"/>
      <c r="BL888" s="4"/>
      <c r="BM888" s="4"/>
      <c r="BN888" s="4"/>
    </row>
    <row r="889" ht="13.5" customHeight="1" spans="1:66" x14ac:dyDescent="0.25">
      <c r="A889" s="4"/>
      <c r="B889" s="4"/>
      <c r="C889" s="533"/>
      <c r="D889" s="4"/>
      <c r="E889" s="4"/>
      <c r="F889" s="4"/>
      <c r="G889" s="4"/>
      <c r="H889" s="4"/>
      <c r="I889" s="4"/>
      <c r="J889" s="4"/>
      <c r="K889" s="4"/>
      <c r="L889" s="4"/>
      <c r="M889" s="4"/>
      <c r="N889" s="4"/>
      <c r="O889" s="4"/>
      <c r="P889" s="4"/>
      <c r="Q889" s="4"/>
      <c r="R889" s="4"/>
      <c r="S889" s="4"/>
      <c r="T889" s="4"/>
      <c r="U889" s="4"/>
      <c r="V889" s="4"/>
      <c r="W889" s="4"/>
      <c r="X889" s="4"/>
      <c r="Y889" s="4"/>
      <c r="Z889" s="4"/>
      <c r="AA889" s="4"/>
      <c r="AB889" s="4"/>
      <c r="AC889" s="4"/>
      <c r="AD889" s="4"/>
      <c r="AE889" s="4"/>
      <c r="AF889" s="4"/>
      <c r="AG889" s="4"/>
      <c r="AH889" s="4"/>
      <c r="AI889" s="4"/>
      <c r="AJ889" s="4"/>
      <c r="AK889" s="4"/>
      <c r="AL889" s="4"/>
      <c r="AM889" s="4"/>
      <c r="AN889" s="4"/>
      <c r="AO889" s="4"/>
      <c r="AP889" s="4"/>
      <c r="AQ889" s="4"/>
      <c r="AR889" s="4"/>
      <c r="AS889" s="4"/>
      <c r="AT889" s="4"/>
      <c r="AU889" s="4"/>
      <c r="AV889" s="4"/>
      <c r="AW889" s="4"/>
      <c r="AX889" s="4"/>
      <c r="AY889" s="4"/>
      <c r="AZ889" s="4"/>
      <c r="BA889" s="4"/>
      <c r="BB889" s="4"/>
      <c r="BC889" s="4"/>
      <c r="BD889" s="4"/>
      <c r="BE889" s="4"/>
      <c r="BF889" s="4"/>
      <c r="BG889" s="4"/>
      <c r="BH889" s="4"/>
      <c r="BI889" s="4"/>
      <c r="BJ889" s="4"/>
      <c r="BK889" s="4"/>
      <c r="BL889" s="4"/>
      <c r="BM889" s="4"/>
      <c r="BN889" s="4"/>
    </row>
    <row r="890" ht="13.5" customHeight="1" spans="1:66" x14ac:dyDescent="0.25">
      <c r="A890" s="4"/>
      <c r="B890" s="4"/>
      <c r="C890" s="533"/>
      <c r="D890" s="4"/>
      <c r="E890" s="4"/>
      <c r="F890" s="4"/>
      <c r="G890" s="4"/>
      <c r="H890" s="4"/>
      <c r="I890" s="4"/>
      <c r="J890" s="4"/>
      <c r="K890" s="4"/>
      <c r="L890" s="4"/>
      <c r="M890" s="4"/>
      <c r="N890" s="4"/>
      <c r="O890" s="4"/>
      <c r="P890" s="4"/>
      <c r="Q890" s="4"/>
      <c r="R890" s="4"/>
      <c r="S890" s="4"/>
      <c r="T890" s="4"/>
      <c r="U890" s="4"/>
      <c r="V890" s="4"/>
      <c r="W890" s="4"/>
      <c r="X890" s="4"/>
      <c r="Y890" s="4"/>
      <c r="Z890" s="4"/>
      <c r="AA890" s="4"/>
      <c r="AB890" s="4"/>
      <c r="AC890" s="4"/>
      <c r="AD890" s="4"/>
      <c r="AE890" s="4"/>
      <c r="AF890" s="4"/>
      <c r="AG890" s="4"/>
      <c r="AH890" s="4"/>
      <c r="AI890" s="4"/>
      <c r="AJ890" s="4"/>
      <c r="AK890" s="4"/>
      <c r="AL890" s="4"/>
      <c r="AM890" s="4"/>
      <c r="AN890" s="4"/>
      <c r="AO890" s="4"/>
      <c r="AP890" s="4"/>
      <c r="AQ890" s="4"/>
      <c r="AR890" s="4"/>
      <c r="AS890" s="4"/>
      <c r="AT890" s="4"/>
      <c r="AU890" s="4"/>
      <c r="AV890" s="4"/>
      <c r="AW890" s="4"/>
      <c r="AX890" s="4"/>
      <c r="AY890" s="4"/>
      <c r="AZ890" s="4"/>
      <c r="BA890" s="4"/>
      <c r="BB890" s="4"/>
      <c r="BC890" s="4"/>
      <c r="BD890" s="4"/>
      <c r="BE890" s="4"/>
      <c r="BF890" s="4"/>
      <c r="BG890" s="4"/>
      <c r="BH890" s="4"/>
      <c r="BI890" s="4"/>
      <c r="BJ890" s="4"/>
      <c r="BK890" s="4"/>
      <c r="BL890" s="4"/>
      <c r="BM890" s="4"/>
      <c r="BN890" s="4"/>
    </row>
    <row r="891" ht="13.5" customHeight="1" spans="1:66" x14ac:dyDescent="0.25">
      <c r="A891" s="4"/>
      <c r="B891" s="4"/>
      <c r="C891" s="533"/>
      <c r="D891" s="4"/>
      <c r="E891" s="4"/>
      <c r="F891" s="4"/>
      <c r="G891" s="4"/>
      <c r="H891" s="4"/>
      <c r="I891" s="4"/>
      <c r="J891" s="4"/>
      <c r="K891" s="4"/>
      <c r="L891" s="4"/>
      <c r="M891" s="4"/>
      <c r="N891" s="4"/>
      <c r="O891" s="4"/>
      <c r="P891" s="4"/>
      <c r="Q891" s="4"/>
      <c r="R891" s="4"/>
      <c r="S891" s="4"/>
      <c r="T891" s="4"/>
      <c r="U891" s="4"/>
      <c r="V891" s="4"/>
      <c r="W891" s="4"/>
      <c r="X891" s="4"/>
      <c r="Y891" s="4"/>
      <c r="Z891" s="4"/>
      <c r="AA891" s="4"/>
      <c r="AB891" s="4"/>
      <c r="AC891" s="4"/>
      <c r="AD891" s="4"/>
      <c r="AE891" s="4"/>
      <c r="AF891" s="4"/>
      <c r="AG891" s="4"/>
      <c r="AH891" s="4"/>
      <c r="AI891" s="4"/>
      <c r="AJ891" s="4"/>
      <c r="AK891" s="4"/>
      <c r="AL891" s="4"/>
      <c r="AM891" s="4"/>
      <c r="AN891" s="4"/>
      <c r="AO891" s="4"/>
      <c r="AP891" s="4"/>
      <c r="AQ891" s="4"/>
      <c r="AR891" s="4"/>
      <c r="AS891" s="4"/>
      <c r="AT891" s="4"/>
      <c r="AU891" s="4"/>
      <c r="AV891" s="4"/>
      <c r="AW891" s="4"/>
      <c r="AX891" s="4"/>
      <c r="AY891" s="4"/>
      <c r="AZ891" s="4"/>
      <c r="BA891" s="4"/>
      <c r="BB891" s="4"/>
      <c r="BC891" s="4"/>
      <c r="BD891" s="4"/>
      <c r="BE891" s="4"/>
      <c r="BF891" s="4"/>
      <c r="BG891" s="4"/>
      <c r="BH891" s="4"/>
      <c r="BI891" s="4"/>
      <c r="BJ891" s="4"/>
      <c r="BK891" s="4"/>
      <c r="BL891" s="4"/>
      <c r="BM891" s="4"/>
      <c r="BN891" s="4"/>
    </row>
    <row r="892" ht="13.5" customHeight="1" spans="1:66" x14ac:dyDescent="0.25">
      <c r="A892" s="4"/>
      <c r="B892" s="4"/>
      <c r="C892" s="533"/>
      <c r="D892" s="4"/>
      <c r="E892" s="4"/>
      <c r="F892" s="4"/>
      <c r="G892" s="4"/>
      <c r="H892" s="4"/>
      <c r="I892" s="4"/>
      <c r="J892" s="4"/>
      <c r="K892" s="4"/>
      <c r="L892" s="4"/>
      <c r="M892" s="4"/>
      <c r="N892" s="4"/>
      <c r="O892" s="4"/>
      <c r="P892" s="4"/>
      <c r="Q892" s="4"/>
      <c r="R892" s="4"/>
      <c r="S892" s="4"/>
      <c r="T892" s="4"/>
      <c r="U892" s="4"/>
      <c r="V892" s="4"/>
      <c r="W892" s="4"/>
      <c r="X892" s="4"/>
      <c r="Y892" s="4"/>
      <c r="Z892" s="4"/>
      <c r="AA892" s="4"/>
      <c r="AB892" s="4"/>
      <c r="AC892" s="4"/>
      <c r="AD892" s="4"/>
      <c r="AE892" s="4"/>
      <c r="AF892" s="4"/>
      <c r="AG892" s="4"/>
      <c r="AH892" s="4"/>
      <c r="AI892" s="4"/>
      <c r="AJ892" s="4"/>
      <c r="AK892" s="4"/>
      <c r="AL892" s="4"/>
      <c r="AM892" s="4"/>
      <c r="AN892" s="4"/>
      <c r="AO892" s="4"/>
      <c r="AP892" s="4"/>
      <c r="AQ892" s="4"/>
      <c r="AR892" s="4"/>
      <c r="AS892" s="4"/>
      <c r="AT892" s="4"/>
      <c r="AU892" s="4"/>
      <c r="AV892" s="4"/>
      <c r="AW892" s="4"/>
      <c r="AX892" s="4"/>
      <c r="AY892" s="4"/>
      <c r="AZ892" s="4"/>
      <c r="BA892" s="4"/>
      <c r="BB892" s="4"/>
      <c r="BC892" s="4"/>
      <c r="BD892" s="4"/>
      <c r="BE892" s="4"/>
      <c r="BF892" s="4"/>
      <c r="BG892" s="4"/>
      <c r="BH892" s="4"/>
      <c r="BI892" s="4"/>
      <c r="BJ892" s="4"/>
      <c r="BK892" s="4"/>
      <c r="BL892" s="4"/>
      <c r="BM892" s="4"/>
      <c r="BN892" s="4"/>
    </row>
    <row r="893" ht="13.5" customHeight="1" spans="1:66" x14ac:dyDescent="0.25">
      <c r="A893" s="4"/>
      <c r="B893" s="4"/>
      <c r="C893" s="533"/>
      <c r="D893" s="4"/>
      <c r="E893" s="4"/>
      <c r="F893" s="4"/>
      <c r="G893" s="4"/>
      <c r="H893" s="4"/>
      <c r="I893" s="4"/>
      <c r="J893" s="4"/>
      <c r="K893" s="4"/>
      <c r="L893" s="4"/>
      <c r="M893" s="4"/>
      <c r="N893" s="4"/>
      <c r="O893" s="4"/>
      <c r="P893" s="4"/>
      <c r="Q893" s="4"/>
      <c r="R893" s="4"/>
      <c r="S893" s="4"/>
      <c r="T893" s="4"/>
      <c r="U893" s="4"/>
      <c r="V893" s="4"/>
      <c r="W893" s="4"/>
      <c r="X893" s="4"/>
      <c r="Y893" s="4"/>
      <c r="Z893" s="4"/>
      <c r="AA893" s="4"/>
      <c r="AB893" s="4"/>
      <c r="AC893" s="4"/>
      <c r="AD893" s="4"/>
      <c r="AE893" s="4"/>
      <c r="AF893" s="4"/>
      <c r="AG893" s="4"/>
      <c r="AH893" s="4"/>
      <c r="AI893" s="4"/>
      <c r="AJ893" s="4"/>
      <c r="AK893" s="4"/>
      <c r="AL893" s="4"/>
      <c r="AM893" s="4"/>
      <c r="AN893" s="4"/>
      <c r="AO893" s="4"/>
      <c r="AP893" s="4"/>
      <c r="AQ893" s="4"/>
      <c r="AR893" s="4"/>
      <c r="AS893" s="4"/>
      <c r="AT893" s="4"/>
      <c r="AU893" s="4"/>
      <c r="AV893" s="4"/>
      <c r="AW893" s="4"/>
      <c r="AX893" s="4"/>
      <c r="AY893" s="4"/>
      <c r="AZ893" s="4"/>
      <c r="BA893" s="4"/>
      <c r="BB893" s="4"/>
      <c r="BC893" s="4"/>
      <c r="BD893" s="4"/>
      <c r="BE893" s="4"/>
      <c r="BF893" s="4"/>
      <c r="BG893" s="4"/>
      <c r="BH893" s="4"/>
      <c r="BI893" s="4"/>
      <c r="BJ893" s="4"/>
      <c r="BK893" s="4"/>
      <c r="BL893" s="4"/>
      <c r="BM893" s="4"/>
      <c r="BN893" s="4"/>
    </row>
    <row r="894" ht="13.5" customHeight="1" spans="1:66" x14ac:dyDescent="0.25">
      <c r="A894" s="4"/>
      <c r="B894" s="4"/>
      <c r="C894" s="533"/>
      <c r="D894" s="4"/>
      <c r="E894" s="4"/>
      <c r="F894" s="4"/>
      <c r="G894" s="4"/>
      <c r="H894" s="4"/>
      <c r="I894" s="4"/>
      <c r="J894" s="4"/>
      <c r="K894" s="4"/>
      <c r="L894" s="4"/>
      <c r="M894" s="4"/>
      <c r="N894" s="4"/>
      <c r="O894" s="4"/>
      <c r="P894" s="4"/>
      <c r="Q894" s="4"/>
      <c r="R894" s="4"/>
      <c r="S894" s="4"/>
      <c r="T894" s="4"/>
      <c r="U894" s="4"/>
      <c r="V894" s="4"/>
      <c r="W894" s="4"/>
      <c r="X894" s="4"/>
      <c r="Y894" s="4"/>
      <c r="Z894" s="4"/>
      <c r="AA894" s="4"/>
      <c r="AB894" s="4"/>
      <c r="AC894" s="4"/>
      <c r="AD894" s="4"/>
      <c r="AE894" s="4"/>
      <c r="AF894" s="4"/>
      <c r="AG894" s="4"/>
      <c r="AH894" s="4"/>
      <c r="AI894" s="4"/>
      <c r="AJ894" s="4"/>
      <c r="AK894" s="4"/>
      <c r="AL894" s="4"/>
      <c r="AM894" s="4"/>
      <c r="AN894" s="4"/>
      <c r="AO894" s="4"/>
      <c r="AP894" s="4"/>
      <c r="AQ894" s="4"/>
      <c r="AR894" s="4"/>
      <c r="AS894" s="4"/>
      <c r="AT894" s="4"/>
      <c r="AU894" s="4"/>
      <c r="AV894" s="4"/>
      <c r="AW894" s="4"/>
      <c r="AX894" s="4"/>
      <c r="AY894" s="4"/>
      <c r="AZ894" s="4"/>
      <c r="BA894" s="4"/>
      <c r="BB894" s="4"/>
      <c r="BC894" s="4"/>
      <c r="BD894" s="4"/>
      <c r="BE894" s="4"/>
      <c r="BF894" s="4"/>
      <c r="BG894" s="4"/>
      <c r="BH894" s="4"/>
      <c r="BI894" s="4"/>
      <c r="BJ894" s="4"/>
      <c r="BK894" s="4"/>
      <c r="BL894" s="4"/>
      <c r="BM894" s="4"/>
      <c r="BN894" s="4"/>
    </row>
    <row r="895" ht="13.5" customHeight="1" spans="1:66" x14ac:dyDescent="0.25">
      <c r="A895" s="4"/>
      <c r="B895" s="4"/>
      <c r="C895" s="533"/>
      <c r="D895" s="4"/>
      <c r="E895" s="4"/>
      <c r="F895" s="4"/>
      <c r="G895" s="4"/>
      <c r="H895" s="4"/>
      <c r="I895" s="4"/>
      <c r="J895" s="4"/>
      <c r="K895" s="4"/>
      <c r="L895" s="4"/>
      <c r="M895" s="4"/>
      <c r="N895" s="4"/>
      <c r="O895" s="4"/>
      <c r="P895" s="4"/>
      <c r="Q895" s="4"/>
      <c r="R895" s="4"/>
      <c r="S895" s="4"/>
      <c r="T895" s="4"/>
      <c r="U895" s="4"/>
      <c r="V895" s="4"/>
      <c r="W895" s="4"/>
      <c r="X895" s="4"/>
      <c r="Y895" s="4"/>
      <c r="Z895" s="4"/>
      <c r="AA895" s="4"/>
      <c r="AB895" s="4"/>
      <c r="AC895" s="4"/>
      <c r="AD895" s="4"/>
      <c r="AE895" s="4"/>
      <c r="AF895" s="4"/>
      <c r="AG895" s="4"/>
      <c r="AH895" s="4"/>
      <c r="AI895" s="4"/>
      <c r="AJ895" s="4"/>
      <c r="AK895" s="4"/>
      <c r="AL895" s="4"/>
      <c r="AM895" s="4"/>
      <c r="AN895" s="4"/>
      <c r="AO895" s="4"/>
      <c r="AP895" s="4"/>
      <c r="AQ895" s="4"/>
      <c r="AR895" s="4"/>
      <c r="AS895" s="4"/>
      <c r="AT895" s="4"/>
      <c r="AU895" s="4"/>
      <c r="AV895" s="4"/>
      <c r="AW895" s="4"/>
      <c r="AX895" s="4"/>
      <c r="AY895" s="4"/>
      <c r="AZ895" s="4"/>
      <c r="BA895" s="4"/>
      <c r="BB895" s="4"/>
      <c r="BC895" s="4"/>
      <c r="BD895" s="4"/>
      <c r="BE895" s="4"/>
      <c r="BF895" s="4"/>
      <c r="BG895" s="4"/>
      <c r="BH895" s="4"/>
      <c r="BI895" s="4"/>
      <c r="BJ895" s="4"/>
      <c r="BK895" s="4"/>
      <c r="BL895" s="4"/>
      <c r="BM895" s="4"/>
      <c r="BN895" s="4"/>
    </row>
    <row r="896" ht="13.5" customHeight="1" spans="1:66" x14ac:dyDescent="0.25">
      <c r="A896" s="4"/>
      <c r="B896" s="4"/>
      <c r="C896" s="533"/>
      <c r="D896" s="4"/>
      <c r="E896" s="4"/>
      <c r="F896" s="4"/>
      <c r="G896" s="4"/>
      <c r="H896" s="4"/>
      <c r="I896" s="4"/>
      <c r="J896" s="4"/>
      <c r="K896" s="4"/>
      <c r="L896" s="4"/>
      <c r="M896" s="4"/>
      <c r="N896" s="4"/>
      <c r="O896" s="4"/>
      <c r="P896" s="4"/>
      <c r="Q896" s="4"/>
      <c r="R896" s="4"/>
      <c r="S896" s="4"/>
      <c r="T896" s="4"/>
      <c r="U896" s="4"/>
      <c r="V896" s="4"/>
      <c r="W896" s="4"/>
      <c r="X896" s="4"/>
      <c r="Y896" s="4"/>
      <c r="Z896" s="4"/>
      <c r="AA896" s="4"/>
      <c r="AB896" s="4"/>
      <c r="AC896" s="4"/>
      <c r="AD896" s="4"/>
      <c r="AE896" s="4"/>
      <c r="AF896" s="4"/>
      <c r="AG896" s="4"/>
      <c r="AH896" s="4"/>
      <c r="AI896" s="4"/>
      <c r="AJ896" s="4"/>
      <c r="AK896" s="4"/>
      <c r="AL896" s="4"/>
      <c r="AM896" s="4"/>
      <c r="AN896" s="4"/>
      <c r="AO896" s="4"/>
      <c r="AP896" s="4"/>
      <c r="AQ896" s="4"/>
      <c r="AR896" s="4"/>
      <c r="AS896" s="4"/>
      <c r="AT896" s="4"/>
      <c r="AU896" s="4"/>
      <c r="AV896" s="4"/>
      <c r="AW896" s="4"/>
      <c r="AX896" s="4"/>
      <c r="AY896" s="4"/>
      <c r="AZ896" s="4"/>
      <c r="BA896" s="4"/>
      <c r="BB896" s="4"/>
      <c r="BC896" s="4"/>
      <c r="BD896" s="4"/>
      <c r="BE896" s="4"/>
      <c r="BF896" s="4"/>
      <c r="BG896" s="4"/>
      <c r="BH896" s="4"/>
      <c r="BI896" s="4"/>
      <c r="BJ896" s="4"/>
      <c r="BK896" s="4"/>
      <c r="BL896" s="4"/>
      <c r="BM896" s="4"/>
      <c r="BN896" s="4"/>
    </row>
    <row r="897" ht="13.5" customHeight="1" spans="1:66" x14ac:dyDescent="0.25">
      <c r="A897" s="4"/>
      <c r="B897" s="4"/>
      <c r="C897" s="533"/>
      <c r="D897" s="4"/>
      <c r="E897" s="4"/>
      <c r="F897" s="4"/>
      <c r="G897" s="4"/>
      <c r="H897" s="4"/>
      <c r="I897" s="4"/>
      <c r="J897" s="4"/>
      <c r="K897" s="4"/>
      <c r="L897" s="4"/>
      <c r="M897" s="4"/>
      <c r="N897" s="4"/>
      <c r="O897" s="4"/>
      <c r="P897" s="4"/>
      <c r="Q897" s="4"/>
      <c r="R897" s="4"/>
      <c r="S897" s="4"/>
      <c r="T897" s="4"/>
      <c r="U897" s="4"/>
      <c r="V897" s="4"/>
      <c r="W897" s="4"/>
      <c r="X897" s="4"/>
      <c r="Y897" s="4"/>
      <c r="Z897" s="4"/>
      <c r="AA897" s="4"/>
      <c r="AB897" s="4"/>
      <c r="AC897" s="4"/>
      <c r="AD897" s="4"/>
      <c r="AE897" s="4"/>
      <c r="AF897" s="4"/>
      <c r="AG897" s="4"/>
      <c r="AH897" s="4"/>
      <c r="AI897" s="4"/>
      <c r="AJ897" s="4"/>
      <c r="AK897" s="4"/>
      <c r="AL897" s="4"/>
      <c r="AM897" s="4"/>
      <c r="AN897" s="4"/>
      <c r="AO897" s="4"/>
      <c r="AP897" s="4"/>
      <c r="AQ897" s="4"/>
      <c r="AR897" s="4"/>
      <c r="AS897" s="4"/>
      <c r="AT897" s="4"/>
      <c r="AU897" s="4"/>
      <c r="AV897" s="4"/>
      <c r="AW897" s="4"/>
      <c r="AX897" s="4"/>
      <c r="AY897" s="4"/>
      <c r="AZ897" s="4"/>
      <c r="BA897" s="4"/>
      <c r="BB897" s="4"/>
      <c r="BC897" s="4"/>
      <c r="BD897" s="4"/>
      <c r="BE897" s="4"/>
      <c r="BF897" s="4"/>
      <c r="BG897" s="4"/>
      <c r="BH897" s="4"/>
      <c r="BI897" s="4"/>
      <c r="BJ897" s="4"/>
      <c r="BK897" s="4"/>
      <c r="BL897" s="4"/>
      <c r="BM897" s="4"/>
      <c r="BN897" s="4"/>
    </row>
    <row r="898" ht="13.5" customHeight="1" spans="1:66" x14ac:dyDescent="0.25">
      <c r="A898" s="4"/>
      <c r="B898" s="4"/>
      <c r="C898" s="533"/>
      <c r="D898" s="4"/>
      <c r="E898" s="4"/>
      <c r="F898" s="4"/>
      <c r="G898" s="4"/>
      <c r="H898" s="4"/>
      <c r="I898" s="4"/>
      <c r="J898" s="4"/>
      <c r="K898" s="4"/>
      <c r="L898" s="4"/>
      <c r="M898" s="4"/>
      <c r="N898" s="4"/>
      <c r="O898" s="4"/>
      <c r="P898" s="4"/>
      <c r="Q898" s="4"/>
      <c r="R898" s="4"/>
      <c r="S898" s="4"/>
      <c r="T898" s="4"/>
      <c r="U898" s="4"/>
      <c r="V898" s="4"/>
      <c r="W898" s="4"/>
      <c r="X898" s="4"/>
      <c r="Y898" s="4"/>
      <c r="Z898" s="4"/>
      <c r="AA898" s="4"/>
      <c r="AB898" s="4"/>
      <c r="AC898" s="4"/>
      <c r="AD898" s="4"/>
      <c r="AE898" s="4"/>
      <c r="AF898" s="4"/>
      <c r="AG898" s="4"/>
      <c r="AH898" s="4"/>
      <c r="AI898" s="4"/>
      <c r="AJ898" s="4"/>
      <c r="AK898" s="4"/>
      <c r="AL898" s="4"/>
      <c r="AM898" s="4"/>
      <c r="AN898" s="4"/>
      <c r="AO898" s="4"/>
      <c r="AP898" s="4"/>
      <c r="AQ898" s="4"/>
      <c r="AR898" s="4"/>
      <c r="AS898" s="4"/>
      <c r="AT898" s="4"/>
      <c r="AU898" s="4"/>
      <c r="AV898" s="4"/>
      <c r="AW898" s="4"/>
      <c r="AX898" s="4"/>
      <c r="AY898" s="4"/>
      <c r="AZ898" s="4"/>
      <c r="BA898" s="4"/>
      <c r="BB898" s="4"/>
      <c r="BC898" s="4"/>
      <c r="BD898" s="4"/>
      <c r="BE898" s="4"/>
      <c r="BF898" s="4"/>
      <c r="BG898" s="4"/>
      <c r="BH898" s="4"/>
      <c r="BI898" s="4"/>
      <c r="BJ898" s="4"/>
      <c r="BK898" s="4"/>
      <c r="BL898" s="4"/>
      <c r="BM898" s="4"/>
      <c r="BN898" s="4"/>
    </row>
    <row r="899" ht="13.5" customHeight="1" spans="1:66" x14ac:dyDescent="0.25">
      <c r="A899" s="4"/>
      <c r="B899" s="4"/>
      <c r="C899" s="533"/>
      <c r="D899" s="4"/>
      <c r="E899" s="4"/>
      <c r="F899" s="4"/>
      <c r="G899" s="4"/>
      <c r="H899" s="4"/>
      <c r="I899" s="4"/>
      <c r="J899" s="4"/>
      <c r="K899" s="4"/>
      <c r="L899" s="4"/>
      <c r="M899" s="4"/>
      <c r="N899" s="4"/>
      <c r="O899" s="4"/>
      <c r="P899" s="4"/>
      <c r="Q899" s="4"/>
      <c r="R899" s="4"/>
      <c r="S899" s="4"/>
      <c r="T899" s="4"/>
      <c r="U899" s="4"/>
      <c r="V899" s="4"/>
      <c r="W899" s="4"/>
      <c r="X899" s="4"/>
      <c r="Y899" s="4"/>
      <c r="Z899" s="4"/>
      <c r="AA899" s="4"/>
      <c r="AB899" s="4"/>
      <c r="AC899" s="4"/>
      <c r="AD899" s="4"/>
      <c r="AE899" s="4"/>
      <c r="AF899" s="4"/>
      <c r="AG899" s="4"/>
      <c r="AH899" s="4"/>
      <c r="AI899" s="4"/>
      <c r="AJ899" s="4"/>
      <c r="AK899" s="4"/>
      <c r="AL899" s="4"/>
      <c r="AM899" s="4"/>
      <c r="AN899" s="4"/>
      <c r="AO899" s="4"/>
      <c r="AP899" s="4"/>
      <c r="AQ899" s="4"/>
      <c r="AR899" s="4"/>
      <c r="AS899" s="4"/>
      <c r="AT899" s="4"/>
      <c r="AU899" s="4"/>
      <c r="AV899" s="4"/>
      <c r="AW899" s="4"/>
      <c r="AX899" s="4"/>
      <c r="AY899" s="4"/>
      <c r="AZ899" s="4"/>
      <c r="BA899" s="4"/>
      <c r="BB899" s="4"/>
      <c r="BC899" s="4"/>
      <c r="BD899" s="4"/>
      <c r="BE899" s="4"/>
      <c r="BF899" s="4"/>
      <c r="BG899" s="4"/>
      <c r="BH899" s="4"/>
      <c r="BI899" s="4"/>
      <c r="BJ899" s="4"/>
      <c r="BK899" s="4"/>
      <c r="BL899" s="4"/>
      <c r="BM899" s="4"/>
      <c r="BN899" s="4"/>
    </row>
    <row r="900" ht="13.5" customHeight="1" spans="1:66" x14ac:dyDescent="0.25">
      <c r="A900" s="4"/>
      <c r="B900" s="4"/>
      <c r="C900" s="533"/>
      <c r="D900" s="4"/>
      <c r="E900" s="4"/>
      <c r="F900" s="4"/>
      <c r="G900" s="4"/>
      <c r="H900" s="4"/>
      <c r="I900" s="4"/>
      <c r="J900" s="4"/>
      <c r="K900" s="4"/>
      <c r="L900" s="4"/>
      <c r="M900" s="4"/>
      <c r="N900" s="4"/>
      <c r="O900" s="4"/>
      <c r="P900" s="4"/>
      <c r="Q900" s="4"/>
      <c r="R900" s="4"/>
      <c r="S900" s="4"/>
      <c r="T900" s="4"/>
      <c r="U900" s="4"/>
      <c r="V900" s="4"/>
      <c r="W900" s="4"/>
      <c r="X900" s="4"/>
      <c r="Y900" s="4"/>
      <c r="Z900" s="4"/>
      <c r="AA900" s="4"/>
      <c r="AB900" s="4"/>
      <c r="AC900" s="4"/>
      <c r="AD900" s="4"/>
      <c r="AE900" s="4"/>
      <c r="AF900" s="4"/>
      <c r="AG900" s="4"/>
      <c r="AH900" s="4"/>
      <c r="AI900" s="4"/>
      <c r="AJ900" s="4"/>
      <c r="AK900" s="4"/>
      <c r="AL900" s="4"/>
      <c r="AM900" s="4"/>
      <c r="AN900" s="4"/>
      <c r="AO900" s="4"/>
      <c r="AP900" s="4"/>
      <c r="AQ900" s="4"/>
      <c r="AR900" s="4"/>
      <c r="AS900" s="4"/>
      <c r="AT900" s="4"/>
      <c r="AU900" s="4"/>
      <c r="AV900" s="4"/>
      <c r="AW900" s="4"/>
      <c r="AX900" s="4"/>
      <c r="AY900" s="4"/>
      <c r="AZ900" s="4"/>
      <c r="BA900" s="4"/>
      <c r="BB900" s="4"/>
      <c r="BC900" s="4"/>
      <c r="BD900" s="4"/>
      <c r="BE900" s="4"/>
      <c r="BF900" s="4"/>
      <c r="BG900" s="4"/>
      <c r="BH900" s="4"/>
      <c r="BI900" s="4"/>
      <c r="BJ900" s="4"/>
      <c r="BK900" s="4"/>
      <c r="BL900" s="4"/>
      <c r="BM900" s="4"/>
      <c r="BN900" s="4"/>
    </row>
    <row r="901" ht="13.5" customHeight="1" spans="1:66" x14ac:dyDescent="0.25">
      <c r="A901" s="4"/>
      <c r="B901" s="4"/>
      <c r="C901" s="533"/>
      <c r="D901" s="4"/>
      <c r="E901" s="4"/>
      <c r="F901" s="4"/>
      <c r="G901" s="4"/>
      <c r="H901" s="4"/>
      <c r="I901" s="4"/>
      <c r="J901" s="4"/>
      <c r="K901" s="4"/>
      <c r="L901" s="4"/>
      <c r="M901" s="4"/>
      <c r="N901" s="4"/>
      <c r="O901" s="4"/>
      <c r="P901" s="4"/>
      <c r="Q901" s="4"/>
      <c r="R901" s="4"/>
      <c r="S901" s="4"/>
      <c r="T901" s="4"/>
      <c r="U901" s="4"/>
      <c r="V901" s="4"/>
      <c r="W901" s="4"/>
      <c r="X901" s="4"/>
      <c r="Y901" s="4"/>
      <c r="Z901" s="4"/>
      <c r="AA901" s="4"/>
      <c r="AB901" s="4"/>
      <c r="AC901" s="4"/>
      <c r="AD901" s="4"/>
      <c r="AE901" s="4"/>
      <c r="AF901" s="4"/>
      <c r="AG901" s="4"/>
      <c r="AH901" s="4"/>
      <c r="AI901" s="4"/>
      <c r="AJ901" s="4"/>
      <c r="AK901" s="4"/>
      <c r="AL901" s="4"/>
      <c r="AM901" s="4"/>
      <c r="AN901" s="4"/>
      <c r="AO901" s="4"/>
      <c r="AP901" s="4"/>
      <c r="AQ901" s="4"/>
      <c r="AR901" s="4"/>
      <c r="AS901" s="4"/>
      <c r="AT901" s="4"/>
      <c r="AU901" s="4"/>
      <c r="AV901" s="4"/>
      <c r="AW901" s="4"/>
      <c r="AX901" s="4"/>
      <c r="AY901" s="4"/>
      <c r="AZ901" s="4"/>
      <c r="BA901" s="4"/>
      <c r="BB901" s="4"/>
      <c r="BC901" s="4"/>
      <c r="BD901" s="4"/>
      <c r="BE901" s="4"/>
      <c r="BF901" s="4"/>
      <c r="BG901" s="4"/>
      <c r="BH901" s="4"/>
      <c r="BI901" s="4"/>
      <c r="BJ901" s="4"/>
      <c r="BK901" s="4"/>
      <c r="BL901" s="4"/>
      <c r="BM901" s="4"/>
      <c r="BN901" s="4"/>
    </row>
    <row r="902" ht="13.5" customHeight="1" spans="1:66" x14ac:dyDescent="0.25">
      <c r="A902" s="4"/>
      <c r="B902" s="4"/>
      <c r="C902" s="533"/>
      <c r="D902" s="4"/>
      <c r="E902" s="4"/>
      <c r="F902" s="4"/>
      <c r="G902" s="4"/>
      <c r="H902" s="4"/>
      <c r="I902" s="4"/>
      <c r="J902" s="4"/>
      <c r="K902" s="4"/>
      <c r="L902" s="4"/>
      <c r="M902" s="4"/>
      <c r="N902" s="4"/>
      <c r="O902" s="4"/>
      <c r="P902" s="4"/>
      <c r="Q902" s="4"/>
      <c r="R902" s="4"/>
      <c r="S902" s="4"/>
      <c r="T902" s="4"/>
      <c r="U902" s="4"/>
      <c r="V902" s="4"/>
      <c r="W902" s="4"/>
      <c r="X902" s="4"/>
      <c r="Y902" s="4"/>
      <c r="Z902" s="4"/>
      <c r="AA902" s="4"/>
      <c r="AB902" s="4"/>
      <c r="AC902" s="4"/>
      <c r="AD902" s="4"/>
      <c r="AE902" s="4"/>
      <c r="AF902" s="4"/>
      <c r="AG902" s="4"/>
      <c r="AH902" s="4"/>
      <c r="AI902" s="4"/>
      <c r="AJ902" s="4"/>
      <c r="AK902" s="4"/>
      <c r="AL902" s="4"/>
      <c r="AM902" s="4"/>
      <c r="AN902" s="4"/>
      <c r="AO902" s="4"/>
      <c r="AP902" s="4"/>
      <c r="AQ902" s="4"/>
      <c r="AR902" s="4"/>
      <c r="AS902" s="4"/>
      <c r="AT902" s="4"/>
      <c r="AU902" s="4"/>
      <c r="AV902" s="4"/>
      <c r="AW902" s="4"/>
      <c r="AX902" s="4"/>
      <c r="AY902" s="4"/>
      <c r="AZ902" s="4"/>
      <c r="BA902" s="4"/>
      <c r="BB902" s="4"/>
      <c r="BC902" s="4"/>
      <c r="BD902" s="4"/>
      <c r="BE902" s="4"/>
      <c r="BF902" s="4"/>
      <c r="BG902" s="4"/>
      <c r="BH902" s="4"/>
      <c r="BI902" s="4"/>
      <c r="BJ902" s="4"/>
      <c r="BK902" s="4"/>
      <c r="BL902" s="4"/>
      <c r="BM902" s="4"/>
      <c r="BN902" s="4"/>
    </row>
    <row r="903" ht="13.5" customHeight="1" spans="1:66" x14ac:dyDescent="0.25">
      <c r="A903" s="4"/>
      <c r="B903" s="4"/>
      <c r="C903" s="533"/>
      <c r="D903" s="4"/>
      <c r="E903" s="4"/>
      <c r="F903" s="4"/>
      <c r="G903" s="4"/>
      <c r="H903" s="4"/>
      <c r="I903" s="4"/>
      <c r="J903" s="4"/>
      <c r="K903" s="4"/>
      <c r="L903" s="4"/>
      <c r="M903" s="4"/>
      <c r="N903" s="4"/>
      <c r="O903" s="4"/>
      <c r="P903" s="4"/>
      <c r="Q903" s="4"/>
      <c r="R903" s="4"/>
      <c r="S903" s="4"/>
      <c r="T903" s="4"/>
      <c r="U903" s="4"/>
      <c r="V903" s="4"/>
      <c r="W903" s="4"/>
      <c r="X903" s="4"/>
      <c r="Y903" s="4"/>
      <c r="Z903" s="4"/>
      <c r="AA903" s="4"/>
      <c r="AB903" s="4"/>
      <c r="AC903" s="4"/>
      <c r="AD903" s="4"/>
      <c r="AE903" s="4"/>
      <c r="AF903" s="4"/>
      <c r="AG903" s="4"/>
      <c r="AH903" s="4"/>
      <c r="AI903" s="4"/>
      <c r="AJ903" s="4"/>
      <c r="AK903" s="4"/>
      <c r="AL903" s="4"/>
      <c r="AM903" s="4"/>
      <c r="AN903" s="4"/>
      <c r="AO903" s="4"/>
      <c r="AP903" s="4"/>
      <c r="AQ903" s="4"/>
      <c r="AR903" s="4"/>
      <c r="AS903" s="4"/>
      <c r="AT903" s="4"/>
      <c r="AU903" s="4"/>
      <c r="AV903" s="4"/>
      <c r="AW903" s="4"/>
      <c r="AX903" s="4"/>
      <c r="AY903" s="4"/>
      <c r="AZ903" s="4"/>
      <c r="BA903" s="4"/>
      <c r="BB903" s="4"/>
      <c r="BC903" s="4"/>
      <c r="BD903" s="4"/>
      <c r="BE903" s="4"/>
      <c r="BF903" s="4"/>
      <c r="BG903" s="4"/>
      <c r="BH903" s="4"/>
      <c r="BI903" s="4"/>
      <c r="BJ903" s="4"/>
      <c r="BK903" s="4"/>
      <c r="BL903" s="4"/>
      <c r="BM903" s="4"/>
      <c r="BN903" s="4"/>
    </row>
    <row r="904" ht="13.5" customHeight="1" spans="1:66" x14ac:dyDescent="0.25">
      <c r="A904" s="4"/>
      <c r="B904" s="4"/>
      <c r="C904" s="533"/>
      <c r="D904" s="4"/>
      <c r="E904" s="4"/>
      <c r="F904" s="4"/>
      <c r="G904" s="4"/>
      <c r="H904" s="4"/>
      <c r="I904" s="4"/>
      <c r="J904" s="4"/>
      <c r="K904" s="4"/>
      <c r="L904" s="4"/>
      <c r="M904" s="4"/>
      <c r="N904" s="4"/>
      <c r="O904" s="4"/>
      <c r="P904" s="4"/>
      <c r="Q904" s="4"/>
      <c r="R904" s="4"/>
      <c r="S904" s="4"/>
      <c r="T904" s="4"/>
      <c r="U904" s="4"/>
      <c r="V904" s="4"/>
      <c r="W904" s="4"/>
      <c r="X904" s="4"/>
      <c r="Y904" s="4"/>
      <c r="Z904" s="4"/>
      <c r="AA904" s="4"/>
      <c r="AB904" s="4"/>
      <c r="AC904" s="4"/>
      <c r="AD904" s="4"/>
      <c r="AE904" s="4"/>
      <c r="AF904" s="4"/>
      <c r="AG904" s="4"/>
      <c r="AH904" s="4"/>
      <c r="AI904" s="4"/>
      <c r="AJ904" s="4"/>
      <c r="AK904" s="4"/>
      <c r="AL904" s="4"/>
      <c r="AM904" s="4"/>
      <c r="AN904" s="4"/>
      <c r="AO904" s="4"/>
      <c r="AP904" s="4"/>
      <c r="AQ904" s="4"/>
      <c r="AR904" s="4"/>
      <c r="AS904" s="4"/>
      <c r="AT904" s="4"/>
      <c r="AU904" s="4"/>
      <c r="AV904" s="4"/>
      <c r="AW904" s="4"/>
      <c r="AX904" s="4"/>
      <c r="AY904" s="4"/>
      <c r="AZ904" s="4"/>
      <c r="BA904" s="4"/>
      <c r="BB904" s="4"/>
      <c r="BC904" s="4"/>
      <c r="BD904" s="4"/>
      <c r="BE904" s="4"/>
      <c r="BF904" s="4"/>
      <c r="BG904" s="4"/>
      <c r="BH904" s="4"/>
      <c r="BI904" s="4"/>
      <c r="BJ904" s="4"/>
      <c r="BK904" s="4"/>
      <c r="BL904" s="4"/>
      <c r="BM904" s="4"/>
      <c r="BN904" s="4"/>
    </row>
    <row r="905" ht="13.5" customHeight="1" spans="1:66" x14ac:dyDescent="0.25">
      <c r="A905" s="4"/>
      <c r="B905" s="4"/>
      <c r="C905" s="533"/>
      <c r="D905" s="4"/>
      <c r="E905" s="4"/>
      <c r="F905" s="4"/>
      <c r="G905" s="4"/>
      <c r="H905" s="4"/>
      <c r="I905" s="4"/>
      <c r="J905" s="4"/>
      <c r="K905" s="4"/>
      <c r="L905" s="4"/>
      <c r="M905" s="4"/>
      <c r="N905" s="4"/>
      <c r="O905" s="4"/>
      <c r="P905" s="4"/>
      <c r="Q905" s="4"/>
      <c r="R905" s="4"/>
      <c r="S905" s="4"/>
      <c r="T905" s="4"/>
      <c r="U905" s="4"/>
      <c r="V905" s="4"/>
      <c r="W905" s="4"/>
      <c r="X905" s="4"/>
      <c r="Y905" s="4"/>
      <c r="Z905" s="4"/>
      <c r="AA905" s="4"/>
      <c r="AB905" s="4"/>
      <c r="AC905" s="4"/>
      <c r="AD905" s="4"/>
      <c r="AE905" s="4"/>
      <c r="AF905" s="4"/>
      <c r="AG905" s="4"/>
      <c r="AH905" s="4"/>
      <c r="AI905" s="4"/>
      <c r="AJ905" s="4"/>
      <c r="AK905" s="4"/>
      <c r="AL905" s="4"/>
      <c r="AM905" s="4"/>
      <c r="AN905" s="4"/>
      <c r="AO905" s="4"/>
      <c r="AP905" s="4"/>
      <c r="AQ905" s="4"/>
      <c r="AR905" s="4"/>
      <c r="AS905" s="4"/>
      <c r="AT905" s="4"/>
      <c r="AU905" s="4"/>
      <c r="AV905" s="4"/>
      <c r="AW905" s="4"/>
      <c r="AX905" s="4"/>
      <c r="AY905" s="4"/>
      <c r="AZ905" s="4"/>
      <c r="BA905" s="4"/>
      <c r="BB905" s="4"/>
      <c r="BC905" s="4"/>
      <c r="BD905" s="4"/>
      <c r="BE905" s="4"/>
      <c r="BF905" s="4"/>
      <c r="BG905" s="4"/>
      <c r="BH905" s="4"/>
      <c r="BI905" s="4"/>
      <c r="BJ905" s="4"/>
      <c r="BK905" s="4"/>
      <c r="BL905" s="4"/>
      <c r="BM905" s="4"/>
      <c r="BN905" s="4"/>
    </row>
    <row r="906" ht="13.5" customHeight="1" spans="1:66" x14ac:dyDescent="0.25">
      <c r="A906" s="4"/>
      <c r="B906" s="4"/>
      <c r="C906" s="533"/>
      <c r="D906" s="4"/>
      <c r="E906" s="4"/>
      <c r="F906" s="4"/>
      <c r="G906" s="4"/>
      <c r="H906" s="4"/>
      <c r="I906" s="4"/>
      <c r="J906" s="4"/>
      <c r="K906" s="4"/>
      <c r="L906" s="4"/>
      <c r="M906" s="4"/>
      <c r="N906" s="4"/>
      <c r="O906" s="4"/>
      <c r="P906" s="4"/>
      <c r="Q906" s="4"/>
      <c r="R906" s="4"/>
      <c r="S906" s="4"/>
      <c r="T906" s="4"/>
      <c r="U906" s="4"/>
      <c r="V906" s="4"/>
      <c r="W906" s="4"/>
      <c r="X906" s="4"/>
      <c r="Y906" s="4"/>
      <c r="Z906" s="4"/>
      <c r="AA906" s="4"/>
      <c r="AB906" s="4"/>
      <c r="AC906" s="4"/>
      <c r="AD906" s="4"/>
      <c r="AE906" s="4"/>
      <c r="AF906" s="4"/>
      <c r="AG906" s="4"/>
      <c r="AH906" s="4"/>
      <c r="AI906" s="4"/>
      <c r="AJ906" s="4"/>
      <c r="AK906" s="4"/>
      <c r="AL906" s="4"/>
      <c r="AM906" s="4"/>
      <c r="AN906" s="4"/>
      <c r="AO906" s="4"/>
      <c r="AP906" s="4"/>
      <c r="AQ906" s="4"/>
      <c r="AR906" s="4"/>
      <c r="AS906" s="4"/>
      <c r="AT906" s="4"/>
      <c r="AU906" s="4"/>
      <c r="AV906" s="4"/>
      <c r="AW906" s="4"/>
      <c r="AX906" s="4"/>
      <c r="AY906" s="4"/>
      <c r="AZ906" s="4"/>
      <c r="BA906" s="4"/>
      <c r="BB906" s="4"/>
      <c r="BC906" s="4"/>
      <c r="BD906" s="4"/>
      <c r="BE906" s="4"/>
      <c r="BF906" s="4"/>
      <c r="BG906" s="4"/>
      <c r="BH906" s="4"/>
      <c r="BI906" s="4"/>
      <c r="BJ906" s="4"/>
      <c r="BK906" s="4"/>
      <c r="BL906" s="4"/>
      <c r="BM906" s="4"/>
      <c r="BN906" s="4"/>
    </row>
    <row r="907" ht="13.5" customHeight="1" spans="1:66" x14ac:dyDescent="0.25">
      <c r="A907" s="4"/>
      <c r="B907" s="4"/>
      <c r="C907" s="533"/>
      <c r="D907" s="4"/>
      <c r="E907" s="4"/>
      <c r="F907" s="4"/>
      <c r="G907" s="4"/>
      <c r="H907" s="4"/>
      <c r="I907" s="4"/>
      <c r="J907" s="4"/>
      <c r="K907" s="4"/>
      <c r="L907" s="4"/>
      <c r="M907" s="4"/>
      <c r="N907" s="4"/>
      <c r="O907" s="4"/>
      <c r="P907" s="4"/>
      <c r="Q907" s="4"/>
      <c r="R907" s="4"/>
      <c r="S907" s="4"/>
      <c r="T907" s="4"/>
      <c r="U907" s="4"/>
      <c r="V907" s="4"/>
      <c r="W907" s="4"/>
      <c r="X907" s="4"/>
      <c r="Y907" s="4"/>
      <c r="Z907" s="4"/>
      <c r="AA907" s="4"/>
      <c r="AB907" s="4"/>
      <c r="AC907" s="4"/>
      <c r="AD907" s="4"/>
      <c r="AE907" s="4"/>
      <c r="AF907" s="4"/>
      <c r="AG907" s="4"/>
      <c r="AH907" s="4"/>
      <c r="AI907" s="4"/>
      <c r="AJ907" s="4"/>
      <c r="AK907" s="4"/>
      <c r="AL907" s="4"/>
      <c r="AM907" s="4"/>
      <c r="AN907" s="4"/>
      <c r="AO907" s="4"/>
      <c r="AP907" s="4"/>
      <c r="AQ907" s="4"/>
      <c r="AR907" s="4"/>
      <c r="AS907" s="4"/>
      <c r="AT907" s="4"/>
      <c r="AU907" s="4"/>
      <c r="AV907" s="4"/>
      <c r="AW907" s="4"/>
      <c r="AX907" s="4"/>
      <c r="AY907" s="4"/>
      <c r="AZ907" s="4"/>
      <c r="BA907" s="4"/>
      <c r="BB907" s="4"/>
      <c r="BC907" s="4"/>
      <c r="BD907" s="4"/>
      <c r="BE907" s="4"/>
      <c r="BF907" s="4"/>
      <c r="BG907" s="4"/>
      <c r="BH907" s="4"/>
      <c r="BI907" s="4"/>
      <c r="BJ907" s="4"/>
      <c r="BK907" s="4"/>
      <c r="BL907" s="4"/>
      <c r="BM907" s="4"/>
      <c r="BN907" s="4"/>
    </row>
    <row r="908" ht="13.5" customHeight="1" spans="1:66" x14ac:dyDescent="0.25">
      <c r="A908" s="4"/>
      <c r="B908" s="4"/>
      <c r="C908" s="533"/>
      <c r="D908" s="4"/>
      <c r="E908" s="4"/>
      <c r="F908" s="4"/>
      <c r="G908" s="4"/>
      <c r="H908" s="4"/>
      <c r="I908" s="4"/>
      <c r="J908" s="4"/>
      <c r="K908" s="4"/>
      <c r="L908" s="4"/>
      <c r="M908" s="4"/>
      <c r="N908" s="4"/>
      <c r="O908" s="4"/>
      <c r="P908" s="4"/>
      <c r="Q908" s="4"/>
      <c r="R908" s="4"/>
      <c r="S908" s="4"/>
      <c r="T908" s="4"/>
      <c r="U908" s="4"/>
      <c r="V908" s="4"/>
      <c r="W908" s="4"/>
      <c r="X908" s="4"/>
      <c r="Y908" s="4"/>
      <c r="Z908" s="4"/>
      <c r="AA908" s="4"/>
      <c r="AB908" s="4"/>
      <c r="AC908" s="4"/>
      <c r="AD908" s="4"/>
      <c r="AE908" s="4"/>
      <c r="AF908" s="4"/>
      <c r="AG908" s="4"/>
      <c r="AH908" s="4"/>
      <c r="AI908" s="4"/>
      <c r="AJ908" s="4"/>
      <c r="AK908" s="4"/>
      <c r="AL908" s="4"/>
      <c r="AM908" s="4"/>
      <c r="AN908" s="4"/>
      <c r="AO908" s="4"/>
      <c r="AP908" s="4"/>
      <c r="AQ908" s="4"/>
      <c r="AR908" s="4"/>
      <c r="AS908" s="4"/>
      <c r="AT908" s="4"/>
      <c r="AU908" s="4"/>
      <c r="AV908" s="4"/>
      <c r="AW908" s="4"/>
      <c r="AX908" s="4"/>
      <c r="AY908" s="4"/>
      <c r="AZ908" s="4"/>
      <c r="BA908" s="4"/>
      <c r="BB908" s="4"/>
      <c r="BC908" s="4"/>
      <c r="BD908" s="4"/>
      <c r="BE908" s="4"/>
      <c r="BF908" s="4"/>
      <c r="BG908" s="4"/>
      <c r="BH908" s="4"/>
      <c r="BI908" s="4"/>
      <c r="BJ908" s="4"/>
      <c r="BK908" s="4"/>
      <c r="BL908" s="4"/>
      <c r="BM908" s="4"/>
      <c r="BN908" s="4"/>
    </row>
    <row r="909" ht="13.5" customHeight="1" spans="1:66" x14ac:dyDescent="0.25">
      <c r="A909" s="4"/>
      <c r="B909" s="4"/>
      <c r="C909" s="533"/>
      <c r="D909" s="4"/>
      <c r="E909" s="4"/>
      <c r="F909" s="4"/>
      <c r="G909" s="4"/>
      <c r="H909" s="4"/>
      <c r="I909" s="4"/>
      <c r="J909" s="4"/>
      <c r="K909" s="4"/>
      <c r="L909" s="4"/>
      <c r="M909" s="4"/>
      <c r="N909" s="4"/>
      <c r="O909" s="4"/>
      <c r="P909" s="4"/>
      <c r="Q909" s="4"/>
      <c r="R909" s="4"/>
      <c r="S909" s="4"/>
      <c r="T909" s="4"/>
      <c r="U909" s="4"/>
      <c r="V909" s="4"/>
      <c r="W909" s="4"/>
      <c r="X909" s="4"/>
      <c r="Y909" s="4"/>
      <c r="Z909" s="4"/>
      <c r="AA909" s="4"/>
      <c r="AB909" s="4"/>
      <c r="AC909" s="4"/>
      <c r="AD909" s="4"/>
      <c r="AE909" s="4"/>
      <c r="AF909" s="4"/>
      <c r="AG909" s="4"/>
      <c r="AH909" s="4"/>
      <c r="AI909" s="4"/>
      <c r="AJ909" s="4"/>
      <c r="AK909" s="4"/>
      <c r="AL909" s="4"/>
      <c r="AM909" s="4"/>
      <c r="AN909" s="4"/>
      <c r="AO909" s="4"/>
      <c r="AP909" s="4"/>
      <c r="AQ909" s="4"/>
      <c r="AR909" s="4"/>
      <c r="AS909" s="4"/>
      <c r="AT909" s="4"/>
      <c r="AU909" s="4"/>
      <c r="AV909" s="4"/>
      <c r="AW909" s="4"/>
      <c r="AX909" s="4"/>
      <c r="AY909" s="4"/>
      <c r="AZ909" s="4"/>
      <c r="BA909" s="4"/>
      <c r="BB909" s="4"/>
      <c r="BC909" s="4"/>
      <c r="BD909" s="4"/>
      <c r="BE909" s="4"/>
      <c r="BF909" s="4"/>
      <c r="BG909" s="4"/>
      <c r="BH909" s="4"/>
      <c r="BI909" s="4"/>
      <c r="BJ909" s="4"/>
      <c r="BK909" s="4"/>
      <c r="BL909" s="4"/>
      <c r="BM909" s="4"/>
      <c r="BN909" s="4"/>
    </row>
    <row r="910" ht="13.5" customHeight="1" spans="1:66" x14ac:dyDescent="0.25">
      <c r="A910" s="4"/>
      <c r="B910" s="4"/>
      <c r="C910" s="533"/>
      <c r="D910" s="4"/>
      <c r="E910" s="4"/>
      <c r="F910" s="4"/>
      <c r="G910" s="4"/>
      <c r="H910" s="4"/>
      <c r="I910" s="4"/>
      <c r="J910" s="4"/>
      <c r="K910" s="4"/>
      <c r="L910" s="4"/>
      <c r="M910" s="4"/>
      <c r="N910" s="4"/>
      <c r="O910" s="4"/>
      <c r="P910" s="4"/>
      <c r="Q910" s="4"/>
      <c r="R910" s="4"/>
      <c r="S910" s="4"/>
      <c r="T910" s="4"/>
      <c r="U910" s="4"/>
      <c r="V910" s="4"/>
      <c r="W910" s="4"/>
      <c r="X910" s="4"/>
      <c r="Y910" s="4"/>
      <c r="Z910" s="4"/>
      <c r="AA910" s="4"/>
      <c r="AB910" s="4"/>
      <c r="AC910" s="4"/>
      <c r="AD910" s="4"/>
      <c r="AE910" s="4"/>
      <c r="AF910" s="4"/>
      <c r="AG910" s="4"/>
      <c r="AH910" s="4"/>
      <c r="AI910" s="4"/>
      <c r="AJ910" s="4"/>
      <c r="AK910" s="4"/>
      <c r="AL910" s="4"/>
      <c r="AM910" s="4"/>
      <c r="AN910" s="4"/>
      <c r="AO910" s="4"/>
      <c r="AP910" s="4"/>
      <c r="AQ910" s="4"/>
      <c r="AR910" s="4"/>
      <c r="AS910" s="4"/>
      <c r="AT910" s="4"/>
      <c r="AU910" s="4"/>
      <c r="AV910" s="4"/>
      <c r="AW910" s="4"/>
      <c r="AX910" s="4"/>
      <c r="AY910" s="4"/>
      <c r="AZ910" s="4"/>
      <c r="BA910" s="4"/>
      <c r="BB910" s="4"/>
      <c r="BC910" s="4"/>
      <c r="BD910" s="4"/>
      <c r="BE910" s="4"/>
      <c r="BF910" s="4"/>
      <c r="BG910" s="4"/>
      <c r="BH910" s="4"/>
      <c r="BI910" s="4"/>
      <c r="BJ910" s="4"/>
      <c r="BK910" s="4"/>
      <c r="BL910" s="4"/>
      <c r="BM910" s="4"/>
      <c r="BN910" s="4"/>
    </row>
    <row r="911" ht="13.5" customHeight="1" spans="1:66" x14ac:dyDescent="0.25">
      <c r="A911" s="4"/>
      <c r="B911" s="4"/>
      <c r="C911" s="533"/>
      <c r="D911" s="4"/>
      <c r="E911" s="4"/>
      <c r="F911" s="4"/>
      <c r="G911" s="4"/>
      <c r="H911" s="4"/>
      <c r="I911" s="4"/>
      <c r="J911" s="4"/>
      <c r="K911" s="4"/>
      <c r="L911" s="4"/>
      <c r="M911" s="4"/>
      <c r="N911" s="4"/>
      <c r="O911" s="4"/>
      <c r="P911" s="4"/>
      <c r="Q911" s="4"/>
      <c r="R911" s="4"/>
      <c r="S911" s="4"/>
      <c r="T911" s="4"/>
      <c r="U911" s="4"/>
      <c r="V911" s="4"/>
      <c r="W911" s="4"/>
      <c r="X911" s="4"/>
      <c r="Y911" s="4"/>
      <c r="Z911" s="4"/>
      <c r="AA911" s="4"/>
      <c r="AB911" s="4"/>
      <c r="AC911" s="4"/>
      <c r="AD911" s="4"/>
      <c r="AE911" s="4"/>
      <c r="AF911" s="4"/>
      <c r="AG911" s="4"/>
      <c r="AH911" s="4"/>
      <c r="AI911" s="4"/>
      <c r="AJ911" s="4"/>
      <c r="AK911" s="4"/>
      <c r="AL911" s="4"/>
      <c r="AM911" s="4"/>
      <c r="AN911" s="4"/>
      <c r="AO911" s="4"/>
      <c r="AP911" s="4"/>
      <c r="AQ911" s="4"/>
      <c r="AR911" s="4"/>
      <c r="AS911" s="4"/>
      <c r="AT911" s="4"/>
      <c r="AU911" s="4"/>
      <c r="AV911" s="4"/>
      <c r="AW911" s="4"/>
      <c r="AX911" s="4"/>
      <c r="AY911" s="4"/>
      <c r="AZ911" s="4"/>
      <c r="BA911" s="4"/>
      <c r="BB911" s="4"/>
      <c r="BC911" s="4"/>
      <c r="BD911" s="4"/>
      <c r="BE911" s="4"/>
      <c r="BF911" s="4"/>
      <c r="BG911" s="4"/>
      <c r="BH911" s="4"/>
      <c r="BI911" s="4"/>
      <c r="BJ911" s="4"/>
      <c r="BK911" s="4"/>
      <c r="BL911" s="4"/>
      <c r="BM911" s="4"/>
      <c r="BN911" s="4"/>
    </row>
    <row r="912" ht="13.5" customHeight="1" spans="1:66" x14ac:dyDescent="0.25">
      <c r="A912" s="4"/>
      <c r="B912" s="4"/>
      <c r="C912" s="533"/>
      <c r="D912" s="4"/>
      <c r="E912" s="4"/>
      <c r="F912" s="4"/>
      <c r="G912" s="4"/>
      <c r="H912" s="4"/>
      <c r="I912" s="4"/>
      <c r="J912" s="4"/>
      <c r="K912" s="4"/>
      <c r="L912" s="4"/>
      <c r="M912" s="4"/>
      <c r="N912" s="4"/>
      <c r="O912" s="4"/>
      <c r="P912" s="4"/>
      <c r="Q912" s="4"/>
      <c r="R912" s="4"/>
      <c r="S912" s="4"/>
      <c r="T912" s="4"/>
      <c r="U912" s="4"/>
      <c r="V912" s="4"/>
      <c r="W912" s="4"/>
      <c r="X912" s="4"/>
      <c r="Y912" s="4"/>
      <c r="Z912" s="4"/>
      <c r="AA912" s="4"/>
      <c r="AB912" s="4"/>
      <c r="AC912" s="4"/>
      <c r="AD912" s="4"/>
      <c r="AE912" s="4"/>
      <c r="AF912" s="4"/>
      <c r="AG912" s="4"/>
      <c r="AH912" s="4"/>
      <c r="AI912" s="4"/>
      <c r="AJ912" s="4"/>
      <c r="AK912" s="4"/>
      <c r="AL912" s="4"/>
      <c r="AM912" s="4"/>
      <c r="AN912" s="4"/>
      <c r="AO912" s="4"/>
      <c r="AP912" s="4"/>
      <c r="AQ912" s="4"/>
      <c r="AR912" s="4"/>
      <c r="AS912" s="4"/>
      <c r="AT912" s="4"/>
      <c r="AU912" s="4"/>
      <c r="AV912" s="4"/>
      <c r="AW912" s="4"/>
      <c r="AX912" s="4"/>
      <c r="AY912" s="4"/>
      <c r="AZ912" s="4"/>
      <c r="BA912" s="4"/>
      <c r="BB912" s="4"/>
      <c r="BC912" s="4"/>
      <c r="BD912" s="4"/>
      <c r="BE912" s="4"/>
      <c r="BF912" s="4"/>
      <c r="BG912" s="4"/>
      <c r="BH912" s="4"/>
      <c r="BI912" s="4"/>
      <c r="BJ912" s="4"/>
      <c r="BK912" s="4"/>
      <c r="BL912" s="4"/>
      <c r="BM912" s="4"/>
      <c r="BN912" s="4"/>
    </row>
    <row r="913" ht="13.5" customHeight="1" spans="1:66" x14ac:dyDescent="0.25">
      <c r="A913" s="4"/>
      <c r="B913" s="4"/>
      <c r="C913" s="533"/>
      <c r="D913" s="4"/>
      <c r="E913" s="4"/>
      <c r="F913" s="4"/>
      <c r="G913" s="4"/>
      <c r="H913" s="4"/>
      <c r="I913" s="4"/>
      <c r="J913" s="4"/>
      <c r="K913" s="4"/>
      <c r="L913" s="4"/>
      <c r="M913" s="4"/>
      <c r="N913" s="4"/>
      <c r="O913" s="4"/>
      <c r="P913" s="4"/>
      <c r="Q913" s="4"/>
      <c r="R913" s="4"/>
      <c r="S913" s="4"/>
      <c r="T913" s="4"/>
      <c r="U913" s="4"/>
      <c r="V913" s="4"/>
      <c r="W913" s="4"/>
      <c r="X913" s="4"/>
      <c r="Y913" s="4"/>
      <c r="Z913" s="4"/>
      <c r="AA913" s="4"/>
      <c r="AB913" s="4"/>
      <c r="AC913" s="4"/>
      <c r="AD913" s="4"/>
      <c r="AE913" s="4"/>
      <c r="AF913" s="4"/>
      <c r="AG913" s="4"/>
      <c r="AH913" s="4"/>
      <c r="AI913" s="4"/>
      <c r="AJ913" s="4"/>
      <c r="AK913" s="4"/>
      <c r="AL913" s="4"/>
      <c r="AM913" s="4"/>
      <c r="AN913" s="4"/>
      <c r="AO913" s="4"/>
      <c r="AP913" s="4"/>
      <c r="AQ913" s="4"/>
      <c r="AR913" s="4"/>
      <c r="AS913" s="4"/>
      <c r="AT913" s="4"/>
      <c r="AU913" s="4"/>
      <c r="AV913" s="4"/>
      <c r="AW913" s="4"/>
      <c r="AX913" s="4"/>
      <c r="AY913" s="4"/>
      <c r="AZ913" s="4"/>
      <c r="BA913" s="4"/>
      <c r="BB913" s="4"/>
      <c r="BC913" s="4"/>
      <c r="BD913" s="4"/>
      <c r="BE913" s="4"/>
      <c r="BF913" s="4"/>
      <c r="BG913" s="4"/>
      <c r="BH913" s="4"/>
      <c r="BI913" s="4"/>
      <c r="BJ913" s="4"/>
      <c r="BK913" s="4"/>
      <c r="BL913" s="4"/>
      <c r="BM913" s="4"/>
      <c r="BN913" s="4"/>
    </row>
    <row r="914" ht="13.5" customHeight="1" spans="1:66" x14ac:dyDescent="0.25">
      <c r="A914" s="4"/>
      <c r="B914" s="4"/>
      <c r="C914" s="533"/>
      <c r="D914" s="4"/>
      <c r="E914" s="4"/>
      <c r="F914" s="4"/>
      <c r="G914" s="4"/>
      <c r="H914" s="4"/>
      <c r="I914" s="4"/>
      <c r="J914" s="4"/>
      <c r="K914" s="4"/>
      <c r="L914" s="4"/>
      <c r="M914" s="4"/>
      <c r="N914" s="4"/>
      <c r="O914" s="4"/>
      <c r="P914" s="4"/>
      <c r="Q914" s="4"/>
      <c r="R914" s="4"/>
      <c r="S914" s="4"/>
      <c r="T914" s="4"/>
      <c r="U914" s="4"/>
      <c r="V914" s="4"/>
      <c r="W914" s="4"/>
      <c r="X914" s="4"/>
      <c r="Y914" s="4"/>
      <c r="Z914" s="4"/>
      <c r="AA914" s="4"/>
      <c r="AB914" s="4"/>
      <c r="AC914" s="4"/>
      <c r="AD914" s="4"/>
      <c r="AE914" s="4"/>
      <c r="AF914" s="4"/>
      <c r="AG914" s="4"/>
      <c r="AH914" s="4"/>
      <c r="AI914" s="4"/>
      <c r="AJ914" s="4"/>
      <c r="AK914" s="4"/>
      <c r="AL914" s="4"/>
      <c r="AM914" s="4"/>
      <c r="AN914" s="4"/>
      <c r="AO914" s="4"/>
      <c r="AP914" s="4"/>
      <c r="AQ914" s="4"/>
      <c r="AR914" s="4"/>
      <c r="AS914" s="4"/>
      <c r="AT914" s="4"/>
      <c r="AU914" s="4"/>
      <c r="AV914" s="4"/>
      <c r="AW914" s="4"/>
      <c r="AX914" s="4"/>
      <c r="AY914" s="4"/>
      <c r="AZ914" s="4"/>
      <c r="BA914" s="4"/>
      <c r="BB914" s="4"/>
      <c r="BC914" s="4"/>
      <c r="BD914" s="4"/>
      <c r="BE914" s="4"/>
      <c r="BF914" s="4"/>
      <c r="BG914" s="4"/>
      <c r="BH914" s="4"/>
      <c r="BI914" s="4"/>
      <c r="BJ914" s="4"/>
      <c r="BK914" s="4"/>
      <c r="BL914" s="4"/>
      <c r="BM914" s="4"/>
      <c r="BN914" s="4"/>
    </row>
    <row r="915" ht="13.5" customHeight="1" spans="1:66" x14ac:dyDescent="0.25">
      <c r="A915" s="4"/>
      <c r="B915" s="4"/>
      <c r="C915" s="533"/>
      <c r="D915" s="4"/>
      <c r="E915" s="4"/>
      <c r="F915" s="4"/>
      <c r="G915" s="4"/>
      <c r="H915" s="4"/>
      <c r="I915" s="4"/>
      <c r="J915" s="4"/>
      <c r="K915" s="4"/>
      <c r="L915" s="4"/>
      <c r="M915" s="4"/>
      <c r="N915" s="4"/>
      <c r="O915" s="4"/>
      <c r="P915" s="4"/>
      <c r="Q915" s="4"/>
      <c r="R915" s="4"/>
      <c r="S915" s="4"/>
      <c r="T915" s="4"/>
      <c r="U915" s="4"/>
      <c r="V915" s="4"/>
      <c r="W915" s="4"/>
      <c r="X915" s="4"/>
      <c r="Y915" s="4"/>
      <c r="Z915" s="4"/>
      <c r="AA915" s="4"/>
      <c r="AB915" s="4"/>
      <c r="AC915" s="4"/>
      <c r="AD915" s="4"/>
      <c r="AE915" s="4"/>
      <c r="AF915" s="4"/>
      <c r="AG915" s="4"/>
      <c r="AH915" s="4"/>
      <c r="AI915" s="4"/>
      <c r="AJ915" s="4"/>
      <c r="AK915" s="4"/>
      <c r="AL915" s="4"/>
      <c r="AM915" s="4"/>
      <c r="AN915" s="4"/>
      <c r="AO915" s="4"/>
      <c r="AP915" s="4"/>
      <c r="AQ915" s="4"/>
      <c r="AR915" s="4"/>
      <c r="AS915" s="4"/>
      <c r="AT915" s="4"/>
      <c r="AU915" s="4"/>
      <c r="AV915" s="4"/>
      <c r="AW915" s="4"/>
      <c r="AX915" s="4"/>
      <c r="AY915" s="4"/>
      <c r="AZ915" s="4"/>
      <c r="BA915" s="4"/>
      <c r="BB915" s="4"/>
      <c r="BC915" s="4"/>
      <c r="BD915" s="4"/>
      <c r="BE915" s="4"/>
      <c r="BF915" s="4"/>
      <c r="BG915" s="4"/>
      <c r="BH915" s="4"/>
      <c r="BI915" s="4"/>
      <c r="BJ915" s="4"/>
      <c r="BK915" s="4"/>
      <c r="BL915" s="4"/>
      <c r="BM915" s="4"/>
      <c r="BN915" s="4"/>
    </row>
    <row r="916" ht="13.5" customHeight="1" spans="1:66" x14ac:dyDescent="0.25">
      <c r="A916" s="4"/>
      <c r="B916" s="4"/>
      <c r="C916" s="533"/>
      <c r="D916" s="4"/>
      <c r="E916" s="4"/>
      <c r="F916" s="4"/>
      <c r="G916" s="4"/>
      <c r="H916" s="4"/>
      <c r="I916" s="4"/>
      <c r="J916" s="4"/>
      <c r="K916" s="4"/>
      <c r="L916" s="4"/>
      <c r="M916" s="4"/>
      <c r="N916" s="4"/>
      <c r="O916" s="4"/>
      <c r="P916" s="4"/>
      <c r="Q916" s="4"/>
      <c r="R916" s="4"/>
      <c r="S916" s="4"/>
      <c r="T916" s="4"/>
      <c r="U916" s="4"/>
      <c r="V916" s="4"/>
      <c r="W916" s="4"/>
      <c r="X916" s="4"/>
      <c r="Y916" s="4"/>
      <c r="Z916" s="4"/>
      <c r="AA916" s="4"/>
      <c r="AB916" s="4"/>
      <c r="AC916" s="4"/>
      <c r="AD916" s="4"/>
      <c r="AE916" s="4"/>
      <c r="AF916" s="4"/>
      <c r="AG916" s="4"/>
      <c r="AH916" s="4"/>
      <c r="AI916" s="4"/>
      <c r="AJ916" s="4"/>
      <c r="AK916" s="4"/>
      <c r="AL916" s="4"/>
      <c r="AM916" s="4"/>
      <c r="AN916" s="4"/>
      <c r="AO916" s="4"/>
      <c r="AP916" s="4"/>
      <c r="AQ916" s="4"/>
      <c r="AR916" s="4"/>
      <c r="AS916" s="4"/>
      <c r="AT916" s="4"/>
      <c r="AU916" s="4"/>
      <c r="AV916" s="4"/>
      <c r="AW916" s="4"/>
      <c r="AX916" s="4"/>
      <c r="AY916" s="4"/>
      <c r="AZ916" s="4"/>
      <c r="BA916" s="4"/>
      <c r="BB916" s="4"/>
      <c r="BC916" s="4"/>
      <c r="BD916" s="4"/>
      <c r="BE916" s="4"/>
      <c r="BF916" s="4"/>
      <c r="BG916" s="4"/>
      <c r="BH916" s="4"/>
      <c r="BI916" s="4"/>
      <c r="BJ916" s="4"/>
      <c r="BK916" s="4"/>
      <c r="BL916" s="4"/>
      <c r="BM916" s="4"/>
      <c r="BN916" s="4"/>
    </row>
    <row r="917" ht="13.5" customHeight="1" spans="1:66" x14ac:dyDescent="0.25">
      <c r="A917" s="4"/>
      <c r="B917" s="4"/>
      <c r="C917" s="533"/>
      <c r="D917" s="4"/>
      <c r="E917" s="4"/>
      <c r="F917" s="4"/>
      <c r="G917" s="4"/>
      <c r="H917" s="4"/>
      <c r="I917" s="4"/>
      <c r="J917" s="4"/>
      <c r="K917" s="4"/>
      <c r="L917" s="4"/>
      <c r="M917" s="4"/>
      <c r="N917" s="4"/>
      <c r="O917" s="4"/>
      <c r="P917" s="4"/>
      <c r="Q917" s="4"/>
      <c r="R917" s="4"/>
      <c r="S917" s="4"/>
      <c r="T917" s="4"/>
      <c r="U917" s="4"/>
      <c r="V917" s="4"/>
      <c r="W917" s="4"/>
      <c r="X917" s="4"/>
      <c r="Y917" s="4"/>
      <c r="Z917" s="4"/>
      <c r="AA917" s="4"/>
      <c r="AB917" s="4"/>
      <c r="AC917" s="4"/>
      <c r="AD917" s="4"/>
      <c r="AE917" s="4"/>
      <c r="AF917" s="4"/>
      <c r="AG917" s="4"/>
      <c r="AH917" s="4"/>
      <c r="AI917" s="4"/>
      <c r="AJ917" s="4"/>
      <c r="AK917" s="4"/>
      <c r="AL917" s="4"/>
      <c r="AM917" s="4"/>
      <c r="AN917" s="4"/>
      <c r="AO917" s="4"/>
      <c r="AP917" s="4"/>
      <c r="AQ917" s="4"/>
      <c r="AR917" s="4"/>
      <c r="AS917" s="4"/>
      <c r="AT917" s="4"/>
      <c r="AU917" s="4"/>
      <c r="AV917" s="4"/>
      <c r="AW917" s="4"/>
      <c r="AX917" s="4"/>
      <c r="AY917" s="4"/>
      <c r="AZ917" s="4"/>
      <c r="BA917" s="4"/>
      <c r="BB917" s="4"/>
      <c r="BC917" s="4"/>
      <c r="BD917" s="4"/>
      <c r="BE917" s="4"/>
      <c r="BF917" s="4"/>
      <c r="BG917" s="4"/>
      <c r="BH917" s="4"/>
      <c r="BI917" s="4"/>
      <c r="BJ917" s="4"/>
      <c r="BK917" s="4"/>
      <c r="BL917" s="4"/>
      <c r="BM917" s="4"/>
      <c r="BN917" s="4"/>
    </row>
    <row r="918" ht="13.5" customHeight="1" spans="1:66" x14ac:dyDescent="0.25">
      <c r="A918" s="4"/>
      <c r="B918" s="4"/>
      <c r="C918" s="533"/>
      <c r="D918" s="4"/>
      <c r="E918" s="4"/>
      <c r="F918" s="4"/>
      <c r="G918" s="4"/>
      <c r="H918" s="4"/>
      <c r="I918" s="4"/>
      <c r="J918" s="4"/>
      <c r="K918" s="4"/>
      <c r="L918" s="4"/>
      <c r="M918" s="4"/>
      <c r="N918" s="4"/>
      <c r="O918" s="4"/>
      <c r="P918" s="4"/>
      <c r="Q918" s="4"/>
      <c r="R918" s="4"/>
      <c r="S918" s="4"/>
      <c r="T918" s="4"/>
      <c r="U918" s="4"/>
      <c r="V918" s="4"/>
      <c r="W918" s="4"/>
      <c r="X918" s="4"/>
      <c r="Y918" s="4"/>
      <c r="Z918" s="4"/>
      <c r="AA918" s="4"/>
      <c r="AB918" s="4"/>
      <c r="AC918" s="4"/>
      <c r="AD918" s="4"/>
      <c r="AE918" s="4"/>
      <c r="AF918" s="4"/>
      <c r="AG918" s="4"/>
      <c r="AH918" s="4"/>
      <c r="AI918" s="4"/>
      <c r="AJ918" s="4"/>
      <c r="AK918" s="4"/>
      <c r="AL918" s="4"/>
      <c r="AM918" s="4"/>
      <c r="AN918" s="4"/>
      <c r="AO918" s="4"/>
      <c r="AP918" s="4"/>
      <c r="AQ918" s="4"/>
      <c r="AR918" s="4"/>
      <c r="AS918" s="4"/>
      <c r="AT918" s="4"/>
      <c r="AU918" s="4"/>
      <c r="AV918" s="4"/>
      <c r="AW918" s="4"/>
      <c r="AX918" s="4"/>
      <c r="AY918" s="4"/>
      <c r="AZ918" s="4"/>
      <c r="BA918" s="4"/>
      <c r="BB918" s="4"/>
      <c r="BC918" s="4"/>
      <c r="BD918" s="4"/>
      <c r="BE918" s="4"/>
      <c r="BF918" s="4"/>
      <c r="BG918" s="4"/>
      <c r="BH918" s="4"/>
      <c r="BI918" s="4"/>
      <c r="BJ918" s="4"/>
      <c r="BK918" s="4"/>
      <c r="BL918" s="4"/>
      <c r="BM918" s="4"/>
      <c r="BN918" s="4"/>
    </row>
    <row r="919" ht="13.5" customHeight="1" spans="1:66" x14ac:dyDescent="0.25">
      <c r="A919" s="4"/>
      <c r="B919" s="4"/>
      <c r="C919" s="533"/>
      <c r="D919" s="4"/>
      <c r="E919" s="4"/>
      <c r="F919" s="4"/>
      <c r="G919" s="4"/>
      <c r="H919" s="4"/>
      <c r="I919" s="4"/>
      <c r="J919" s="4"/>
      <c r="K919" s="4"/>
      <c r="L919" s="4"/>
      <c r="M919" s="4"/>
      <c r="N919" s="4"/>
      <c r="O919" s="4"/>
      <c r="P919" s="4"/>
      <c r="Q919" s="4"/>
      <c r="R919" s="4"/>
      <c r="S919" s="4"/>
      <c r="T919" s="4"/>
      <c r="U919" s="4"/>
      <c r="V919" s="4"/>
      <c r="W919" s="4"/>
      <c r="X919" s="4"/>
      <c r="Y919" s="4"/>
      <c r="Z919" s="4"/>
      <c r="AA919" s="4"/>
      <c r="AB919" s="4"/>
      <c r="AC919" s="4"/>
      <c r="AD919" s="4"/>
      <c r="AE919" s="4"/>
      <c r="AF919" s="4"/>
      <c r="AG919" s="4"/>
      <c r="AH919" s="4"/>
      <c r="AI919" s="4"/>
      <c r="AJ919" s="4"/>
      <c r="AK919" s="4"/>
      <c r="AL919" s="4"/>
      <c r="AM919" s="4"/>
      <c r="AN919" s="4"/>
      <c r="AO919" s="4"/>
      <c r="AP919" s="4"/>
      <c r="AQ919" s="4"/>
      <c r="AR919" s="4"/>
      <c r="AS919" s="4"/>
      <c r="AT919" s="4"/>
      <c r="AU919" s="4"/>
      <c r="AV919" s="4"/>
      <c r="AW919" s="4"/>
      <c r="AX919" s="4"/>
      <c r="AY919" s="4"/>
      <c r="AZ919" s="4"/>
      <c r="BA919" s="4"/>
      <c r="BB919" s="4"/>
      <c r="BC919" s="4"/>
      <c r="BD919" s="4"/>
      <c r="BE919" s="4"/>
      <c r="BF919" s="4"/>
      <c r="BG919" s="4"/>
      <c r="BH919" s="4"/>
      <c r="BI919" s="4"/>
      <c r="BJ919" s="4"/>
      <c r="BK919" s="4"/>
      <c r="BL919" s="4"/>
      <c r="BM919" s="4"/>
      <c r="BN919" s="4"/>
    </row>
    <row r="920" ht="13.5" customHeight="1" spans="1:66" x14ac:dyDescent="0.25">
      <c r="A920" s="4"/>
      <c r="B920" s="4"/>
      <c r="C920" s="533"/>
      <c r="D920" s="4"/>
      <c r="E920" s="4"/>
      <c r="F920" s="4"/>
      <c r="G920" s="4"/>
      <c r="H920" s="4"/>
      <c r="I920" s="4"/>
      <c r="J920" s="4"/>
      <c r="K920" s="4"/>
      <c r="L920" s="4"/>
      <c r="M920" s="4"/>
      <c r="N920" s="4"/>
      <c r="O920" s="4"/>
      <c r="P920" s="4"/>
      <c r="Q920" s="4"/>
      <c r="R920" s="4"/>
      <c r="S920" s="4"/>
      <c r="T920" s="4"/>
      <c r="U920" s="4"/>
      <c r="V920" s="4"/>
      <c r="W920" s="4"/>
      <c r="X920" s="4"/>
      <c r="Y920" s="4"/>
      <c r="Z920" s="4"/>
      <c r="AA920" s="4"/>
      <c r="AB920" s="4"/>
      <c r="AC920" s="4"/>
      <c r="AD920" s="4"/>
      <c r="AE920" s="4"/>
      <c r="AF920" s="4"/>
      <c r="AG920" s="4"/>
      <c r="AH920" s="4"/>
      <c r="AI920" s="4"/>
      <c r="AJ920" s="4"/>
      <c r="AK920" s="4"/>
      <c r="AL920" s="4"/>
      <c r="AM920" s="4"/>
      <c r="AN920" s="4"/>
      <c r="AO920" s="4"/>
      <c r="AP920" s="4"/>
      <c r="AQ920" s="4"/>
      <c r="AR920" s="4"/>
      <c r="AS920" s="4"/>
      <c r="AT920" s="4"/>
      <c r="AU920" s="4"/>
      <c r="AV920" s="4"/>
      <c r="AW920" s="4"/>
      <c r="AX920" s="4"/>
      <c r="AY920" s="4"/>
      <c r="AZ920" s="4"/>
      <c r="BA920" s="4"/>
      <c r="BB920" s="4"/>
      <c r="BC920" s="4"/>
      <c r="BD920" s="4"/>
      <c r="BE920" s="4"/>
      <c r="BF920" s="4"/>
      <c r="BG920" s="4"/>
      <c r="BH920" s="4"/>
      <c r="BI920" s="4"/>
      <c r="BJ920" s="4"/>
      <c r="BK920" s="4"/>
      <c r="BL920" s="4"/>
      <c r="BM920" s="4"/>
      <c r="BN920" s="4"/>
    </row>
    <row r="921" ht="13.5" customHeight="1" spans="1:66" x14ac:dyDescent="0.25">
      <c r="A921" s="4"/>
      <c r="B921" s="4"/>
      <c r="C921" s="533"/>
      <c r="D921" s="4"/>
      <c r="E921" s="4"/>
      <c r="F921" s="4"/>
      <c r="G921" s="4"/>
      <c r="H921" s="4"/>
      <c r="I921" s="4"/>
      <c r="J921" s="4"/>
      <c r="K921" s="4"/>
      <c r="L921" s="4"/>
      <c r="M921" s="4"/>
      <c r="N921" s="4"/>
      <c r="O921" s="4"/>
      <c r="P921" s="4"/>
      <c r="Q921" s="4"/>
      <c r="R921" s="4"/>
      <c r="S921" s="4"/>
      <c r="T921" s="4"/>
      <c r="U921" s="4"/>
      <c r="V921" s="4"/>
      <c r="W921" s="4"/>
      <c r="X921" s="4"/>
      <c r="Y921" s="4"/>
      <c r="Z921" s="4"/>
      <c r="AA921" s="4"/>
      <c r="AB921" s="4"/>
      <c r="AC921" s="4"/>
      <c r="AD921" s="4"/>
      <c r="AE921" s="4"/>
      <c r="AF921" s="4"/>
      <c r="AG921" s="4"/>
      <c r="AH921" s="4"/>
      <c r="AI921" s="4"/>
      <c r="AJ921" s="4"/>
      <c r="AK921" s="4"/>
      <c r="AL921" s="4"/>
      <c r="AM921" s="4"/>
      <c r="AN921" s="4"/>
      <c r="AO921" s="4"/>
      <c r="AP921" s="4"/>
      <c r="AQ921" s="4"/>
      <c r="AR921" s="4"/>
      <c r="AS921" s="4"/>
      <c r="AT921" s="4"/>
      <c r="AU921" s="4"/>
      <c r="AV921" s="4"/>
      <c r="AW921" s="4"/>
      <c r="AX921" s="4"/>
      <c r="AY921" s="4"/>
      <c r="AZ921" s="4"/>
      <c r="BA921" s="4"/>
      <c r="BB921" s="4"/>
      <c r="BC921" s="4"/>
      <c r="BD921" s="4"/>
      <c r="BE921" s="4"/>
      <c r="BF921" s="4"/>
      <c r="BG921" s="4"/>
      <c r="BH921" s="4"/>
      <c r="BI921" s="4"/>
      <c r="BJ921" s="4"/>
      <c r="BK921" s="4"/>
      <c r="BL921" s="4"/>
      <c r="BM921" s="4"/>
      <c r="BN921" s="4"/>
    </row>
    <row r="922" ht="13.5" customHeight="1" spans="1:66" x14ac:dyDescent="0.25">
      <c r="A922" s="4"/>
      <c r="B922" s="4"/>
      <c r="C922" s="533"/>
      <c r="D922" s="4"/>
      <c r="E922" s="4"/>
      <c r="F922" s="4"/>
      <c r="G922" s="4"/>
      <c r="H922" s="4"/>
      <c r="I922" s="4"/>
      <c r="J922" s="4"/>
      <c r="K922" s="4"/>
      <c r="L922" s="4"/>
      <c r="M922" s="4"/>
      <c r="N922" s="4"/>
      <c r="O922" s="4"/>
      <c r="P922" s="4"/>
      <c r="Q922" s="4"/>
      <c r="R922" s="4"/>
      <c r="S922" s="4"/>
      <c r="T922" s="4"/>
      <c r="U922" s="4"/>
      <c r="V922" s="4"/>
      <c r="W922" s="4"/>
      <c r="X922" s="4"/>
      <c r="Y922" s="4"/>
      <c r="Z922" s="4"/>
      <c r="AA922" s="4"/>
      <c r="AB922" s="4"/>
      <c r="AC922" s="4"/>
      <c r="AD922" s="4"/>
      <c r="AE922" s="4"/>
      <c r="AF922" s="4"/>
      <c r="AG922" s="4"/>
      <c r="AH922" s="4"/>
      <c r="AI922" s="4"/>
      <c r="AJ922" s="4"/>
      <c r="AK922" s="4"/>
      <c r="AL922" s="4"/>
      <c r="AM922" s="4"/>
      <c r="AN922" s="4"/>
      <c r="AO922" s="4"/>
      <c r="AP922" s="4"/>
      <c r="AQ922" s="4"/>
      <c r="AR922" s="4"/>
      <c r="AS922" s="4"/>
      <c r="AT922" s="4"/>
      <c r="AU922" s="4"/>
      <c r="AV922" s="4"/>
      <c r="AW922" s="4"/>
      <c r="AX922" s="4"/>
      <c r="AY922" s="4"/>
      <c r="AZ922" s="4"/>
      <c r="BA922" s="4"/>
      <c r="BB922" s="4"/>
      <c r="BC922" s="4"/>
      <c r="BD922" s="4"/>
      <c r="BE922" s="4"/>
      <c r="BF922" s="4"/>
      <c r="BG922" s="4"/>
      <c r="BH922" s="4"/>
      <c r="BI922" s="4"/>
      <c r="BJ922" s="4"/>
      <c r="BK922" s="4"/>
      <c r="BL922" s="4"/>
      <c r="BM922" s="4"/>
      <c r="BN922" s="4"/>
    </row>
    <row r="923" ht="13.5" customHeight="1" spans="1:66" x14ac:dyDescent="0.25">
      <c r="A923" s="4"/>
      <c r="B923" s="4"/>
      <c r="C923" s="533"/>
      <c r="D923" s="4"/>
      <c r="E923" s="4"/>
      <c r="F923" s="4"/>
      <c r="G923" s="4"/>
      <c r="H923" s="4"/>
      <c r="I923" s="4"/>
      <c r="J923" s="4"/>
      <c r="K923" s="4"/>
      <c r="L923" s="4"/>
      <c r="M923" s="4"/>
      <c r="N923" s="4"/>
      <c r="O923" s="4"/>
      <c r="P923" s="4"/>
      <c r="Q923" s="4"/>
      <c r="R923" s="4"/>
      <c r="S923" s="4"/>
      <c r="T923" s="4"/>
      <c r="U923" s="4"/>
      <c r="V923" s="4"/>
      <c r="W923" s="4"/>
      <c r="X923" s="4"/>
      <c r="Y923" s="4"/>
      <c r="Z923" s="4"/>
      <c r="AA923" s="4"/>
      <c r="AB923" s="4"/>
      <c r="AC923" s="4"/>
      <c r="AD923" s="4"/>
      <c r="AE923" s="4"/>
      <c r="AF923" s="4"/>
      <c r="AG923" s="4"/>
      <c r="AH923" s="4"/>
      <c r="AI923" s="4"/>
      <c r="AJ923" s="4"/>
      <c r="AK923" s="4"/>
      <c r="AL923" s="4"/>
      <c r="AM923" s="4"/>
      <c r="AN923" s="4"/>
      <c r="AO923" s="4"/>
      <c r="AP923" s="4"/>
      <c r="AQ923" s="4"/>
      <c r="AR923" s="4"/>
      <c r="AS923" s="4"/>
      <c r="AT923" s="4"/>
      <c r="AU923" s="4"/>
      <c r="AV923" s="4"/>
      <c r="AW923" s="4"/>
      <c r="AX923" s="4"/>
      <c r="AY923" s="4"/>
      <c r="AZ923" s="4"/>
      <c r="BA923" s="4"/>
      <c r="BB923" s="4"/>
      <c r="BC923" s="4"/>
      <c r="BD923" s="4"/>
      <c r="BE923" s="4"/>
      <c r="BF923" s="4"/>
      <c r="BG923" s="4"/>
      <c r="BH923" s="4"/>
      <c r="BI923" s="4"/>
      <c r="BJ923" s="4"/>
      <c r="BK923" s="4"/>
      <c r="BL923" s="4"/>
      <c r="BM923" s="4"/>
      <c r="BN923" s="4"/>
    </row>
    <row r="924" ht="13.5" customHeight="1" spans="1:66" x14ac:dyDescent="0.25">
      <c r="A924" s="4"/>
      <c r="B924" s="4"/>
      <c r="C924" s="533"/>
      <c r="D924" s="4"/>
      <c r="E924" s="4"/>
      <c r="F924" s="4"/>
      <c r="G924" s="4"/>
      <c r="H924" s="4"/>
      <c r="I924" s="4"/>
      <c r="J924" s="4"/>
      <c r="K924" s="4"/>
      <c r="L924" s="4"/>
      <c r="M924" s="4"/>
      <c r="N924" s="4"/>
      <c r="O924" s="4"/>
      <c r="P924" s="4"/>
      <c r="Q924" s="4"/>
      <c r="R924" s="4"/>
      <c r="S924" s="4"/>
      <c r="T924" s="4"/>
      <c r="U924" s="4"/>
      <c r="V924" s="4"/>
      <c r="W924" s="4"/>
      <c r="X924" s="4"/>
      <c r="Y924" s="4"/>
      <c r="Z924" s="4"/>
      <c r="AA924" s="4"/>
      <c r="AB924" s="4"/>
      <c r="AC924" s="4"/>
      <c r="AD924" s="4"/>
      <c r="AE924" s="4"/>
      <c r="AF924" s="4"/>
      <c r="AG924" s="4"/>
      <c r="AH924" s="4"/>
      <c r="AI924" s="4"/>
      <c r="AJ924" s="4"/>
      <c r="AK924" s="4"/>
      <c r="AL924" s="4"/>
      <c r="AM924" s="4"/>
      <c r="AN924" s="4"/>
      <c r="AO924" s="4"/>
      <c r="AP924" s="4"/>
      <c r="AQ924" s="4"/>
      <c r="AR924" s="4"/>
      <c r="AS924" s="4"/>
      <c r="AT924" s="4"/>
      <c r="AU924" s="4"/>
      <c r="AV924" s="4"/>
      <c r="AW924" s="4"/>
      <c r="AX924" s="4"/>
      <c r="AY924" s="4"/>
      <c r="AZ924" s="4"/>
      <c r="BA924" s="4"/>
      <c r="BB924" s="4"/>
      <c r="BC924" s="4"/>
      <c r="BD924" s="4"/>
      <c r="BE924" s="4"/>
      <c r="BF924" s="4"/>
      <c r="BG924" s="4"/>
      <c r="BH924" s="4"/>
      <c r="BI924" s="4"/>
      <c r="BJ924" s="4"/>
      <c r="BK924" s="4"/>
      <c r="BL924" s="4"/>
      <c r="BM924" s="4"/>
      <c r="BN924" s="4"/>
    </row>
    <row r="925" ht="13.5" customHeight="1" spans="1:66" x14ac:dyDescent="0.25">
      <c r="A925" s="4"/>
      <c r="B925" s="4"/>
      <c r="C925" s="533"/>
      <c r="D925" s="4"/>
      <c r="E925" s="4"/>
      <c r="F925" s="4"/>
      <c r="G925" s="4"/>
      <c r="H925" s="4"/>
      <c r="I925" s="4"/>
      <c r="J925" s="4"/>
      <c r="K925" s="4"/>
      <c r="L925" s="4"/>
      <c r="M925" s="4"/>
      <c r="N925" s="4"/>
      <c r="O925" s="4"/>
      <c r="P925" s="4"/>
      <c r="Q925" s="4"/>
      <c r="R925" s="4"/>
      <c r="S925" s="4"/>
      <c r="T925" s="4"/>
      <c r="U925" s="4"/>
      <c r="V925" s="4"/>
      <c r="W925" s="4"/>
      <c r="X925" s="4"/>
      <c r="Y925" s="4"/>
      <c r="Z925" s="4"/>
      <c r="AA925" s="4"/>
      <c r="AB925" s="4"/>
      <c r="AC925" s="4"/>
      <c r="AD925" s="4"/>
      <c r="AE925" s="4"/>
      <c r="AF925" s="4"/>
      <c r="AG925" s="4"/>
      <c r="AH925" s="4"/>
      <c r="AI925" s="4"/>
      <c r="AJ925" s="4"/>
      <c r="AK925" s="4"/>
      <c r="AL925" s="4"/>
      <c r="AM925" s="4"/>
      <c r="AN925" s="4"/>
      <c r="AO925" s="4"/>
      <c r="AP925" s="4"/>
      <c r="AQ925" s="4"/>
      <c r="AR925" s="4"/>
      <c r="AS925" s="4"/>
      <c r="AT925" s="4"/>
      <c r="AU925" s="4"/>
      <c r="AV925" s="4"/>
      <c r="AW925" s="4"/>
      <c r="AX925" s="4"/>
      <c r="AY925" s="4"/>
      <c r="AZ925" s="4"/>
      <c r="BA925" s="4"/>
      <c r="BB925" s="4"/>
      <c r="BC925" s="4"/>
      <c r="BD925" s="4"/>
      <c r="BE925" s="4"/>
      <c r="BF925" s="4"/>
      <c r="BG925" s="4"/>
      <c r="BH925" s="4"/>
      <c r="BI925" s="4"/>
      <c r="BJ925" s="4"/>
      <c r="BK925" s="4"/>
      <c r="BL925" s="4"/>
      <c r="BM925" s="4"/>
      <c r="BN925" s="4"/>
    </row>
    <row r="926" ht="13.5" customHeight="1" spans="1:66" x14ac:dyDescent="0.25">
      <c r="A926" s="4"/>
      <c r="B926" s="4"/>
      <c r="C926" s="533"/>
      <c r="D926" s="4"/>
      <c r="E926" s="4"/>
      <c r="F926" s="4"/>
      <c r="G926" s="4"/>
      <c r="H926" s="4"/>
      <c r="I926" s="4"/>
      <c r="J926" s="4"/>
      <c r="K926" s="4"/>
      <c r="L926" s="4"/>
      <c r="M926" s="4"/>
      <c r="N926" s="4"/>
      <c r="O926" s="4"/>
      <c r="P926" s="4"/>
      <c r="Q926" s="4"/>
      <c r="R926" s="4"/>
      <c r="S926" s="4"/>
      <c r="T926" s="4"/>
      <c r="U926" s="4"/>
      <c r="V926" s="4"/>
      <c r="W926" s="4"/>
      <c r="X926" s="4"/>
      <c r="Y926" s="4"/>
      <c r="Z926" s="4"/>
      <c r="AA926" s="4"/>
      <c r="AB926" s="4"/>
      <c r="AC926" s="4"/>
      <c r="AD926" s="4"/>
      <c r="AE926" s="4"/>
      <c r="AF926" s="4"/>
      <c r="AG926" s="4"/>
      <c r="AH926" s="4"/>
      <c r="AI926" s="4"/>
      <c r="AJ926" s="4"/>
      <c r="AK926" s="4"/>
      <c r="AL926" s="4"/>
      <c r="AM926" s="4"/>
      <c r="AN926" s="4"/>
      <c r="AO926" s="4"/>
      <c r="AP926" s="4"/>
      <c r="AQ926" s="4"/>
      <c r="AR926" s="4"/>
      <c r="AS926" s="4"/>
      <c r="AT926" s="4"/>
      <c r="AU926" s="4"/>
      <c r="AV926" s="4"/>
      <c r="AW926" s="4"/>
      <c r="AX926" s="4"/>
      <c r="AY926" s="4"/>
      <c r="AZ926" s="4"/>
      <c r="BA926" s="4"/>
      <c r="BB926" s="4"/>
      <c r="BC926" s="4"/>
      <c r="BD926" s="4"/>
      <c r="BE926" s="4"/>
      <c r="BF926" s="4"/>
      <c r="BG926" s="4"/>
      <c r="BH926" s="4"/>
      <c r="BI926" s="4"/>
      <c r="BJ926" s="4"/>
      <c r="BK926" s="4"/>
      <c r="BL926" s="4"/>
      <c r="BM926" s="4"/>
      <c r="BN926" s="4"/>
    </row>
    <row r="927" ht="13.5" customHeight="1" spans="1:66" x14ac:dyDescent="0.25">
      <c r="A927" s="4"/>
      <c r="B927" s="4"/>
      <c r="C927" s="533"/>
      <c r="D927" s="4"/>
      <c r="E927" s="4"/>
      <c r="F927" s="4"/>
      <c r="G927" s="4"/>
      <c r="H927" s="4"/>
      <c r="I927" s="4"/>
      <c r="J927" s="4"/>
      <c r="K927" s="4"/>
      <c r="L927" s="4"/>
      <c r="M927" s="4"/>
      <c r="N927" s="4"/>
      <c r="O927" s="4"/>
      <c r="P927" s="4"/>
      <c r="Q927" s="4"/>
      <c r="R927" s="4"/>
      <c r="S927" s="4"/>
      <c r="T927" s="4"/>
      <c r="U927" s="4"/>
      <c r="V927" s="4"/>
      <c r="W927" s="4"/>
      <c r="X927" s="4"/>
      <c r="Y927" s="4"/>
      <c r="Z927" s="4"/>
      <c r="AA927" s="4"/>
      <c r="AB927" s="4"/>
      <c r="AC927" s="4"/>
      <c r="AD927" s="4"/>
      <c r="AE927" s="4"/>
      <c r="AF927" s="4"/>
      <c r="AG927" s="4"/>
      <c r="AH927" s="4"/>
      <c r="AI927" s="4"/>
      <c r="AJ927" s="4"/>
      <c r="AK927" s="4"/>
      <c r="AL927" s="4"/>
      <c r="AM927" s="4"/>
      <c r="AN927" s="4"/>
      <c r="AO927" s="4"/>
      <c r="AP927" s="4"/>
      <c r="AQ927" s="4"/>
      <c r="AR927" s="4"/>
      <c r="AS927" s="4"/>
      <c r="AT927" s="4"/>
      <c r="AU927" s="4"/>
      <c r="AV927" s="4"/>
      <c r="AW927" s="4"/>
      <c r="AX927" s="4"/>
      <c r="AY927" s="4"/>
      <c r="AZ927" s="4"/>
      <c r="BA927" s="4"/>
      <c r="BB927" s="4"/>
      <c r="BC927" s="4"/>
      <c r="BD927" s="4"/>
      <c r="BE927" s="4"/>
      <c r="BF927" s="4"/>
      <c r="BG927" s="4"/>
      <c r="BH927" s="4"/>
      <c r="BI927" s="4"/>
      <c r="BJ927" s="4"/>
      <c r="BK927" s="4"/>
      <c r="BL927" s="4"/>
      <c r="BM927" s="4"/>
      <c r="BN927" s="4"/>
    </row>
    <row r="928" ht="13.5" customHeight="1" spans="1:66" x14ac:dyDescent="0.25">
      <c r="A928" s="4"/>
      <c r="B928" s="4"/>
      <c r="C928" s="533"/>
      <c r="D928" s="4"/>
      <c r="E928" s="4"/>
      <c r="F928" s="4"/>
      <c r="G928" s="4"/>
      <c r="H928" s="4"/>
      <c r="I928" s="4"/>
      <c r="J928" s="4"/>
      <c r="K928" s="4"/>
      <c r="L928" s="4"/>
      <c r="M928" s="4"/>
      <c r="N928" s="4"/>
      <c r="O928" s="4"/>
      <c r="P928" s="4"/>
      <c r="Q928" s="4"/>
      <c r="R928" s="4"/>
      <c r="S928" s="4"/>
      <c r="T928" s="4"/>
      <c r="U928" s="4"/>
      <c r="V928" s="4"/>
      <c r="W928" s="4"/>
      <c r="X928" s="4"/>
      <c r="Y928" s="4"/>
      <c r="Z928" s="4"/>
      <c r="AA928" s="4"/>
      <c r="AB928" s="4"/>
      <c r="AC928" s="4"/>
      <c r="AD928" s="4"/>
      <c r="AE928" s="4"/>
      <c r="AF928" s="4"/>
      <c r="AG928" s="4"/>
      <c r="AH928" s="4"/>
      <c r="AI928" s="4"/>
      <c r="AJ928" s="4"/>
      <c r="AK928" s="4"/>
      <c r="AL928" s="4"/>
      <c r="AM928" s="4"/>
      <c r="AN928" s="4"/>
      <c r="AO928" s="4"/>
      <c r="AP928" s="4"/>
      <c r="AQ928" s="4"/>
      <c r="AR928" s="4"/>
      <c r="AS928" s="4"/>
      <c r="AT928" s="4"/>
      <c r="AU928" s="4"/>
      <c r="AV928" s="4"/>
      <c r="AW928" s="4"/>
      <c r="AX928" s="4"/>
      <c r="AY928" s="4"/>
      <c r="AZ928" s="4"/>
      <c r="BA928" s="4"/>
      <c r="BB928" s="4"/>
      <c r="BC928" s="4"/>
      <c r="BD928" s="4"/>
      <c r="BE928" s="4"/>
      <c r="BF928" s="4"/>
      <c r="BG928" s="4"/>
      <c r="BH928" s="4"/>
      <c r="BI928" s="4"/>
      <c r="BJ928" s="4"/>
      <c r="BK928" s="4"/>
      <c r="BL928" s="4"/>
      <c r="BM928" s="4"/>
      <c r="BN928" s="4"/>
    </row>
    <row r="929" ht="13.5" customHeight="1" spans="1:66" x14ac:dyDescent="0.25">
      <c r="A929" s="4"/>
      <c r="B929" s="4"/>
      <c r="C929" s="533"/>
      <c r="D929" s="4"/>
      <c r="E929" s="4"/>
      <c r="F929" s="4"/>
      <c r="G929" s="4"/>
      <c r="H929" s="4"/>
      <c r="I929" s="4"/>
      <c r="J929" s="4"/>
      <c r="K929" s="4"/>
      <c r="L929" s="4"/>
      <c r="M929" s="4"/>
      <c r="N929" s="4"/>
      <c r="O929" s="4"/>
      <c r="P929" s="4"/>
      <c r="Q929" s="4"/>
      <c r="R929" s="4"/>
      <c r="S929" s="4"/>
      <c r="T929" s="4"/>
      <c r="U929" s="4"/>
      <c r="V929" s="4"/>
      <c r="W929" s="4"/>
      <c r="X929" s="4"/>
      <c r="Y929" s="4"/>
      <c r="Z929" s="4"/>
      <c r="AA929" s="4"/>
      <c r="AB929" s="4"/>
      <c r="AC929" s="4"/>
      <c r="AD929" s="4"/>
      <c r="AE929" s="4"/>
      <c r="AF929" s="4"/>
      <c r="AG929" s="4"/>
      <c r="AH929" s="4"/>
      <c r="AI929" s="4"/>
      <c r="AJ929" s="4"/>
      <c r="AK929" s="4"/>
      <c r="AL929" s="4"/>
      <c r="AM929" s="4"/>
      <c r="AN929" s="4"/>
      <c r="AO929" s="4"/>
      <c r="AP929" s="4"/>
      <c r="AQ929" s="4"/>
      <c r="AR929" s="4"/>
      <c r="AS929" s="4"/>
      <c r="AT929" s="4"/>
      <c r="AU929" s="4"/>
      <c r="AV929" s="4"/>
      <c r="AW929" s="4"/>
      <c r="AX929" s="4"/>
      <c r="AY929" s="4"/>
      <c r="AZ929" s="4"/>
      <c r="BA929" s="4"/>
      <c r="BB929" s="4"/>
      <c r="BC929" s="4"/>
      <c r="BD929" s="4"/>
      <c r="BE929" s="4"/>
      <c r="BF929" s="4"/>
      <c r="BG929" s="4"/>
      <c r="BH929" s="4"/>
      <c r="BI929" s="4"/>
      <c r="BJ929" s="4"/>
      <c r="BK929" s="4"/>
      <c r="BL929" s="4"/>
      <c r="BM929" s="4"/>
      <c r="BN929" s="4"/>
    </row>
    <row r="930" ht="13.5" customHeight="1" spans="1:66" x14ac:dyDescent="0.25">
      <c r="A930" s="4"/>
      <c r="B930" s="4"/>
      <c r="C930" s="533"/>
      <c r="D930" s="4"/>
      <c r="E930" s="4"/>
      <c r="F930" s="4"/>
      <c r="G930" s="4"/>
      <c r="H930" s="4"/>
      <c r="I930" s="4"/>
      <c r="J930" s="4"/>
      <c r="K930" s="4"/>
      <c r="L930" s="4"/>
      <c r="M930" s="4"/>
      <c r="N930" s="4"/>
      <c r="O930" s="4"/>
      <c r="P930" s="4"/>
      <c r="Q930" s="4"/>
      <c r="R930" s="4"/>
      <c r="S930" s="4"/>
      <c r="T930" s="4"/>
      <c r="U930" s="4"/>
      <c r="V930" s="4"/>
      <c r="W930" s="4"/>
      <c r="X930" s="4"/>
      <c r="Y930" s="4"/>
      <c r="Z930" s="4"/>
      <c r="AA930" s="4"/>
      <c r="AB930" s="4"/>
      <c r="AC930" s="4"/>
      <c r="AD930" s="4"/>
      <c r="AE930" s="4"/>
      <c r="AF930" s="4"/>
      <c r="AG930" s="4"/>
      <c r="AH930" s="4"/>
      <c r="AI930" s="4"/>
      <c r="AJ930" s="4"/>
      <c r="AK930" s="4"/>
      <c r="AL930" s="4"/>
      <c r="AM930" s="4"/>
      <c r="AN930" s="4"/>
      <c r="AO930" s="4"/>
      <c r="AP930" s="4"/>
      <c r="AQ930" s="4"/>
      <c r="AR930" s="4"/>
      <c r="AS930" s="4"/>
      <c r="AT930" s="4"/>
      <c r="AU930" s="4"/>
      <c r="AV930" s="4"/>
      <c r="AW930" s="4"/>
      <c r="AX930" s="4"/>
      <c r="AY930" s="4"/>
      <c r="AZ930" s="4"/>
      <c r="BA930" s="4"/>
      <c r="BB930" s="4"/>
      <c r="BC930" s="4"/>
      <c r="BD930" s="4"/>
      <c r="BE930" s="4"/>
      <c r="BF930" s="4"/>
      <c r="BG930" s="4"/>
      <c r="BH930" s="4"/>
      <c r="BI930" s="4"/>
      <c r="BJ930" s="4"/>
      <c r="BK930" s="4"/>
      <c r="BL930" s="4"/>
      <c r="BM930" s="4"/>
      <c r="BN930" s="4"/>
    </row>
    <row r="931" ht="13.5" customHeight="1" spans="1:66" x14ac:dyDescent="0.25">
      <c r="A931" s="4"/>
      <c r="B931" s="4"/>
      <c r="C931" s="533"/>
      <c r="D931" s="4"/>
      <c r="E931" s="4"/>
      <c r="F931" s="4"/>
      <c r="G931" s="4"/>
      <c r="H931" s="4"/>
      <c r="I931" s="4"/>
      <c r="J931" s="4"/>
      <c r="K931" s="4"/>
      <c r="L931" s="4"/>
      <c r="M931" s="4"/>
      <c r="N931" s="4"/>
      <c r="O931" s="4"/>
      <c r="P931" s="4"/>
      <c r="Q931" s="4"/>
      <c r="R931" s="4"/>
      <c r="S931" s="4"/>
      <c r="T931" s="4"/>
      <c r="U931" s="4"/>
      <c r="V931" s="4"/>
      <c r="W931" s="4"/>
      <c r="X931" s="4"/>
      <c r="Y931" s="4"/>
      <c r="Z931" s="4"/>
      <c r="AA931" s="4"/>
      <c r="AB931" s="4"/>
      <c r="AC931" s="4"/>
      <c r="AD931" s="4"/>
      <c r="AE931" s="4"/>
      <c r="AF931" s="4"/>
      <c r="AG931" s="4"/>
      <c r="AH931" s="4"/>
      <c r="AI931" s="4"/>
      <c r="AJ931" s="4"/>
      <c r="AK931" s="4"/>
      <c r="AL931" s="4"/>
      <c r="AM931" s="4"/>
      <c r="AN931" s="4"/>
      <c r="AO931" s="4"/>
      <c r="AP931" s="4"/>
      <c r="AQ931" s="4"/>
      <c r="AR931" s="4"/>
      <c r="AS931" s="4"/>
      <c r="AT931" s="4"/>
      <c r="AU931" s="4"/>
      <c r="AV931" s="4"/>
      <c r="AW931" s="4"/>
      <c r="AX931" s="4"/>
      <c r="AY931" s="4"/>
      <c r="AZ931" s="4"/>
      <c r="BA931" s="4"/>
      <c r="BB931" s="4"/>
      <c r="BC931" s="4"/>
      <c r="BD931" s="4"/>
      <c r="BE931" s="4"/>
      <c r="BF931" s="4"/>
      <c r="BG931" s="4"/>
      <c r="BH931" s="4"/>
      <c r="BI931" s="4"/>
      <c r="BJ931" s="4"/>
      <c r="BK931" s="4"/>
      <c r="BL931" s="4"/>
      <c r="BM931" s="4"/>
      <c r="BN931" s="4"/>
    </row>
    <row r="932" ht="13.5" customHeight="1" spans="1:66" x14ac:dyDescent="0.25">
      <c r="A932" s="4"/>
      <c r="B932" s="4"/>
      <c r="C932" s="533"/>
      <c r="D932" s="4"/>
      <c r="E932" s="4"/>
      <c r="F932" s="4"/>
      <c r="G932" s="4"/>
      <c r="H932" s="4"/>
      <c r="I932" s="4"/>
      <c r="J932" s="4"/>
      <c r="K932" s="4"/>
      <c r="L932" s="4"/>
      <c r="M932" s="4"/>
      <c r="N932" s="4"/>
      <c r="O932" s="4"/>
      <c r="P932" s="4"/>
      <c r="Q932" s="4"/>
      <c r="R932" s="4"/>
      <c r="S932" s="4"/>
      <c r="T932" s="4"/>
      <c r="U932" s="4"/>
      <c r="V932" s="4"/>
      <c r="W932" s="4"/>
      <c r="X932" s="4"/>
      <c r="Y932" s="4"/>
      <c r="Z932" s="4"/>
      <c r="AA932" s="4"/>
      <c r="AB932" s="4"/>
      <c r="AC932" s="4"/>
      <c r="AD932" s="4"/>
      <c r="AE932" s="4"/>
      <c r="AF932" s="4"/>
      <c r="AG932" s="4"/>
      <c r="AH932" s="4"/>
      <c r="AI932" s="4"/>
      <c r="AJ932" s="4"/>
      <c r="AK932" s="4"/>
      <c r="AL932" s="4"/>
      <c r="AM932" s="4"/>
      <c r="AN932" s="4"/>
      <c r="AO932" s="4"/>
      <c r="AP932" s="4"/>
      <c r="AQ932" s="4"/>
      <c r="AR932" s="4"/>
      <c r="AS932" s="4"/>
      <c r="AT932" s="4"/>
      <c r="AU932" s="4"/>
      <c r="AV932" s="4"/>
      <c r="AW932" s="4"/>
      <c r="AX932" s="4"/>
      <c r="AY932" s="4"/>
      <c r="AZ932" s="4"/>
      <c r="BA932" s="4"/>
      <c r="BB932" s="4"/>
      <c r="BC932" s="4"/>
      <c r="BD932" s="4"/>
      <c r="BE932" s="4"/>
      <c r="BF932" s="4"/>
      <c r="BG932" s="4"/>
      <c r="BH932" s="4"/>
      <c r="BI932" s="4"/>
      <c r="BJ932" s="4"/>
      <c r="BK932" s="4"/>
      <c r="BL932" s="4"/>
      <c r="BM932" s="4"/>
      <c r="BN932" s="4"/>
    </row>
    <row r="933" ht="13.5" customHeight="1" spans="1:66" x14ac:dyDescent="0.25">
      <c r="A933" s="4"/>
      <c r="B933" s="4"/>
      <c r="C933" s="533"/>
      <c r="D933" s="4"/>
      <c r="E933" s="4"/>
      <c r="F933" s="4"/>
      <c r="G933" s="4"/>
      <c r="H933" s="4"/>
      <c r="I933" s="4"/>
      <c r="J933" s="4"/>
      <c r="K933" s="4"/>
      <c r="L933" s="4"/>
      <c r="M933" s="4"/>
      <c r="N933" s="4"/>
      <c r="O933" s="4"/>
      <c r="P933" s="4"/>
      <c r="Q933" s="4"/>
      <c r="R933" s="4"/>
      <c r="S933" s="4"/>
      <c r="T933" s="4"/>
      <c r="U933" s="4"/>
      <c r="V933" s="4"/>
      <c r="W933" s="4"/>
      <c r="X933" s="4"/>
      <c r="Y933" s="4"/>
      <c r="Z933" s="4"/>
      <c r="AA933" s="4"/>
      <c r="AB933" s="4"/>
      <c r="AC933" s="4"/>
      <c r="AD933" s="4"/>
      <c r="AE933" s="4"/>
      <c r="AF933" s="4"/>
      <c r="AG933" s="4"/>
      <c r="AH933" s="4"/>
      <c r="AI933" s="4"/>
      <c r="AJ933" s="4"/>
      <c r="AK933" s="4"/>
      <c r="AL933" s="4"/>
      <c r="AM933" s="4"/>
      <c r="AN933" s="4"/>
      <c r="AO933" s="4"/>
      <c r="AP933" s="4"/>
      <c r="AQ933" s="4"/>
      <c r="AR933" s="4"/>
      <c r="AS933" s="4"/>
      <c r="AT933" s="4"/>
      <c r="AU933" s="4"/>
      <c r="AV933" s="4"/>
      <c r="AW933" s="4"/>
      <c r="AX933" s="4"/>
      <c r="AY933" s="4"/>
      <c r="AZ933" s="4"/>
      <c r="BA933" s="4"/>
      <c r="BB933" s="4"/>
      <c r="BC933" s="4"/>
      <c r="BD933" s="4"/>
      <c r="BE933" s="4"/>
      <c r="BF933" s="4"/>
      <c r="BG933" s="4"/>
      <c r="BH933" s="4"/>
      <c r="BI933" s="4"/>
      <c r="BJ933" s="4"/>
      <c r="BK933" s="4"/>
      <c r="BL933" s="4"/>
      <c r="BM933" s="4"/>
      <c r="BN933" s="4"/>
    </row>
    <row r="934" ht="13.5" customHeight="1" spans="1:66" x14ac:dyDescent="0.25">
      <c r="A934" s="4"/>
      <c r="B934" s="4"/>
      <c r="C934" s="533"/>
      <c r="D934" s="4"/>
      <c r="E934" s="4"/>
      <c r="F934" s="4"/>
      <c r="G934" s="4"/>
      <c r="H934" s="4"/>
      <c r="I934" s="4"/>
      <c r="J934" s="4"/>
      <c r="K934" s="4"/>
      <c r="L934" s="4"/>
      <c r="M934" s="4"/>
      <c r="N934" s="4"/>
      <c r="O934" s="4"/>
      <c r="P934" s="4"/>
      <c r="Q934" s="4"/>
      <c r="R934" s="4"/>
      <c r="S934" s="4"/>
      <c r="T934" s="4"/>
      <c r="U934" s="4"/>
      <c r="V934" s="4"/>
      <c r="W934" s="4"/>
      <c r="X934" s="4"/>
      <c r="Y934" s="4"/>
      <c r="Z934" s="4"/>
      <c r="AA934" s="4"/>
      <c r="AB934" s="4"/>
      <c r="AC934" s="4"/>
      <c r="AD934" s="4"/>
      <c r="AE934" s="4"/>
      <c r="AF934" s="4"/>
      <c r="AG934" s="4"/>
      <c r="AH934" s="4"/>
      <c r="AI934" s="4"/>
      <c r="AJ934" s="4"/>
      <c r="AK934" s="4"/>
      <c r="AL934" s="4"/>
      <c r="AM934" s="4"/>
      <c r="AN934" s="4"/>
      <c r="AO934" s="4"/>
      <c r="AP934" s="4"/>
      <c r="AQ934" s="4"/>
      <c r="AR934" s="4"/>
      <c r="AS934" s="4"/>
      <c r="AT934" s="4"/>
      <c r="AU934" s="4"/>
      <c r="AV934" s="4"/>
      <c r="AW934" s="4"/>
      <c r="AX934" s="4"/>
      <c r="AY934" s="4"/>
      <c r="AZ934" s="4"/>
      <c r="BA934" s="4"/>
      <c r="BB934" s="4"/>
      <c r="BC934" s="4"/>
      <c r="BD934" s="4"/>
      <c r="BE934" s="4"/>
      <c r="BF934" s="4"/>
      <c r="BG934" s="4"/>
      <c r="BH934" s="4"/>
      <c r="BI934" s="4"/>
      <c r="BJ934" s="4"/>
      <c r="BK934" s="4"/>
      <c r="BL934" s="4"/>
      <c r="BM934" s="4"/>
      <c r="BN934" s="4"/>
    </row>
    <row r="935" ht="13.5" customHeight="1" spans="1:66" x14ac:dyDescent="0.25">
      <c r="A935" s="4"/>
      <c r="B935" s="4"/>
      <c r="C935" s="533"/>
      <c r="D935" s="4"/>
      <c r="E935" s="4"/>
      <c r="F935" s="4"/>
      <c r="G935" s="4"/>
      <c r="H935" s="4"/>
      <c r="I935" s="4"/>
      <c r="J935" s="4"/>
      <c r="K935" s="4"/>
      <c r="L935" s="4"/>
      <c r="M935" s="4"/>
      <c r="N935" s="4"/>
      <c r="O935" s="4"/>
      <c r="P935" s="4"/>
      <c r="Q935" s="4"/>
      <c r="R935" s="4"/>
      <c r="S935" s="4"/>
      <c r="T935" s="4"/>
      <c r="U935" s="4"/>
      <c r="V935" s="4"/>
      <c r="W935" s="4"/>
      <c r="X935" s="4"/>
      <c r="Y935" s="4"/>
      <c r="Z935" s="4"/>
      <c r="AA935" s="4"/>
      <c r="AB935" s="4"/>
      <c r="AC935" s="4"/>
      <c r="AD935" s="4"/>
      <c r="AE935" s="4"/>
      <c r="AF935" s="4"/>
      <c r="AG935" s="4"/>
      <c r="AH935" s="4"/>
      <c r="AI935" s="4"/>
      <c r="AJ935" s="4"/>
      <c r="AK935" s="4"/>
      <c r="AL935" s="4"/>
      <c r="AM935" s="4"/>
      <c r="AN935" s="4"/>
      <c r="AO935" s="4"/>
      <c r="AP935" s="4"/>
      <c r="AQ935" s="4"/>
      <c r="AR935" s="4"/>
      <c r="AS935" s="4"/>
      <c r="AT935" s="4"/>
      <c r="AU935" s="4"/>
      <c r="AV935" s="4"/>
      <c r="AW935" s="4"/>
      <c r="AX935" s="4"/>
      <c r="AY935" s="4"/>
      <c r="AZ935" s="4"/>
      <c r="BA935" s="4"/>
      <c r="BB935" s="4"/>
      <c r="BC935" s="4"/>
      <c r="BD935" s="4"/>
      <c r="BE935" s="4"/>
      <c r="BF935" s="4"/>
      <c r="BG935" s="4"/>
      <c r="BH935" s="4"/>
      <c r="BI935" s="4"/>
      <c r="BJ935" s="4"/>
      <c r="BK935" s="4"/>
      <c r="BL935" s="4"/>
      <c r="BM935" s="4"/>
      <c r="BN935" s="4"/>
    </row>
    <row r="936" ht="13.5" customHeight="1" spans="1:66" x14ac:dyDescent="0.25">
      <c r="A936" s="4"/>
      <c r="B936" s="4"/>
      <c r="C936" s="533"/>
      <c r="D936" s="4"/>
      <c r="E936" s="4"/>
      <c r="F936" s="4"/>
      <c r="G936" s="4"/>
      <c r="H936" s="4"/>
      <c r="I936" s="4"/>
      <c r="J936" s="4"/>
      <c r="K936" s="4"/>
      <c r="L936" s="4"/>
      <c r="M936" s="4"/>
      <c r="N936" s="4"/>
      <c r="O936" s="4"/>
      <c r="P936" s="4"/>
      <c r="Q936" s="4"/>
      <c r="R936" s="4"/>
      <c r="S936" s="4"/>
      <c r="T936" s="4"/>
      <c r="U936" s="4"/>
      <c r="V936" s="4"/>
      <c r="W936" s="4"/>
      <c r="X936" s="4"/>
      <c r="Y936" s="4"/>
      <c r="Z936" s="4"/>
      <c r="AA936" s="4"/>
      <c r="AB936" s="4"/>
      <c r="AC936" s="4"/>
      <c r="AD936" s="4"/>
      <c r="AE936" s="4"/>
      <c r="AF936" s="4"/>
      <c r="AG936" s="4"/>
      <c r="AH936" s="4"/>
      <c r="AI936" s="4"/>
      <c r="AJ936" s="4"/>
      <c r="AK936" s="4"/>
      <c r="AL936" s="4"/>
      <c r="AM936" s="4"/>
      <c r="AN936" s="4"/>
      <c r="AO936" s="4"/>
      <c r="AP936" s="4"/>
      <c r="AQ936" s="4"/>
      <c r="AR936" s="4"/>
      <c r="AS936" s="4"/>
      <c r="AT936" s="4"/>
      <c r="AU936" s="4"/>
      <c r="AV936" s="4"/>
      <c r="AW936" s="4"/>
      <c r="AX936" s="4"/>
      <c r="AY936" s="4"/>
      <c r="AZ936" s="4"/>
      <c r="BA936" s="4"/>
      <c r="BB936" s="4"/>
      <c r="BC936" s="4"/>
      <c r="BD936" s="4"/>
      <c r="BE936" s="4"/>
      <c r="BF936" s="4"/>
      <c r="BG936" s="4"/>
      <c r="BH936" s="4"/>
      <c r="BI936" s="4"/>
      <c r="BJ936" s="4"/>
      <c r="BK936" s="4"/>
      <c r="BL936" s="4"/>
      <c r="BM936" s="4"/>
      <c r="BN936" s="4"/>
    </row>
    <row r="937" ht="13.5" customHeight="1" spans="1:66" x14ac:dyDescent="0.25">
      <c r="A937" s="4"/>
      <c r="B937" s="4"/>
      <c r="C937" s="533"/>
      <c r="D937" s="4"/>
      <c r="E937" s="4"/>
      <c r="F937" s="4"/>
      <c r="G937" s="4"/>
      <c r="H937" s="4"/>
      <c r="I937" s="4"/>
      <c r="J937" s="4"/>
      <c r="K937" s="4"/>
      <c r="L937" s="4"/>
      <c r="M937" s="4"/>
      <c r="N937" s="4"/>
      <c r="O937" s="4"/>
      <c r="P937" s="4"/>
      <c r="Q937" s="4"/>
      <c r="R937" s="4"/>
      <c r="S937" s="4"/>
      <c r="T937" s="4"/>
      <c r="U937" s="4"/>
      <c r="V937" s="4"/>
      <c r="W937" s="4"/>
      <c r="X937" s="4"/>
      <c r="Y937" s="4"/>
      <c r="Z937" s="4"/>
      <c r="AA937" s="4"/>
      <c r="AB937" s="4"/>
      <c r="AC937" s="4"/>
      <c r="AD937" s="4"/>
      <c r="AE937" s="4"/>
      <c r="AF937" s="4"/>
      <c r="AG937" s="4"/>
      <c r="AH937" s="4"/>
      <c r="AI937" s="4"/>
      <c r="AJ937" s="4"/>
      <c r="AK937" s="4"/>
      <c r="AL937" s="4"/>
      <c r="AM937" s="4"/>
      <c r="AN937" s="4"/>
      <c r="AO937" s="4"/>
      <c r="AP937" s="4"/>
      <c r="AQ937" s="4"/>
      <c r="AR937" s="4"/>
      <c r="AS937" s="4"/>
      <c r="AT937" s="4"/>
      <c r="AU937" s="4"/>
      <c r="AV937" s="4"/>
      <c r="AW937" s="4"/>
      <c r="AX937" s="4"/>
      <c r="AY937" s="4"/>
      <c r="AZ937" s="4"/>
      <c r="BA937" s="4"/>
      <c r="BB937" s="4"/>
      <c r="BC937" s="4"/>
      <c r="BD937" s="4"/>
      <c r="BE937" s="4"/>
      <c r="BF937" s="4"/>
      <c r="BG937" s="4"/>
      <c r="BH937" s="4"/>
      <c r="BI937" s="4"/>
      <c r="BJ937" s="4"/>
      <c r="BK937" s="4"/>
      <c r="BL937" s="4"/>
      <c r="BM937" s="4"/>
      <c r="BN937" s="4"/>
    </row>
    <row r="938" ht="13.5" customHeight="1" spans="1:66" x14ac:dyDescent="0.25">
      <c r="A938" s="4"/>
      <c r="B938" s="4"/>
      <c r="C938" s="533"/>
      <c r="D938" s="4"/>
      <c r="E938" s="4"/>
      <c r="F938" s="4"/>
      <c r="G938" s="4"/>
      <c r="H938" s="4"/>
      <c r="I938" s="4"/>
      <c r="J938" s="4"/>
      <c r="K938" s="4"/>
      <c r="L938" s="4"/>
      <c r="M938" s="4"/>
      <c r="N938" s="4"/>
      <c r="O938" s="4"/>
      <c r="P938" s="4"/>
      <c r="Q938" s="4"/>
      <c r="R938" s="4"/>
      <c r="S938" s="4"/>
      <c r="T938" s="4"/>
      <c r="U938" s="4"/>
      <c r="V938" s="4"/>
      <c r="W938" s="4"/>
      <c r="X938" s="4"/>
      <c r="Y938" s="4"/>
      <c r="Z938" s="4"/>
      <c r="AA938" s="4"/>
      <c r="AB938" s="4"/>
      <c r="AC938" s="4"/>
      <c r="AD938" s="4"/>
      <c r="AE938" s="4"/>
      <c r="AF938" s="4"/>
      <c r="AG938" s="4"/>
      <c r="AH938" s="4"/>
      <c r="AI938" s="4"/>
      <c r="AJ938" s="4"/>
      <c r="AK938" s="4"/>
      <c r="AL938" s="4"/>
      <c r="AM938" s="4"/>
      <c r="AN938" s="4"/>
      <c r="AO938" s="4"/>
      <c r="AP938" s="4"/>
      <c r="AQ938" s="4"/>
      <c r="AR938" s="4"/>
      <c r="AS938" s="4"/>
      <c r="AT938" s="4"/>
      <c r="AU938" s="4"/>
      <c r="AV938" s="4"/>
      <c r="AW938" s="4"/>
      <c r="AX938" s="4"/>
      <c r="AY938" s="4"/>
      <c r="AZ938" s="4"/>
      <c r="BA938" s="4"/>
      <c r="BB938" s="4"/>
      <c r="BC938" s="4"/>
      <c r="BD938" s="4"/>
      <c r="BE938" s="4"/>
      <c r="BF938" s="4"/>
      <c r="BG938" s="4"/>
      <c r="BH938" s="4"/>
      <c r="BI938" s="4"/>
      <c r="BJ938" s="4"/>
      <c r="BK938" s="4"/>
      <c r="BL938" s="4"/>
      <c r="BM938" s="4"/>
      <c r="BN938" s="4"/>
    </row>
    <row r="939" ht="13.5" customHeight="1" spans="1:66" x14ac:dyDescent="0.25">
      <c r="A939" s="4"/>
      <c r="B939" s="4"/>
      <c r="C939" s="533"/>
      <c r="D939" s="4"/>
      <c r="E939" s="4"/>
      <c r="F939" s="4"/>
      <c r="G939" s="4"/>
      <c r="H939" s="4"/>
      <c r="I939" s="4"/>
      <c r="J939" s="4"/>
      <c r="K939" s="4"/>
      <c r="L939" s="4"/>
      <c r="M939" s="4"/>
      <c r="N939" s="4"/>
      <c r="O939" s="4"/>
      <c r="P939" s="4"/>
      <c r="Q939" s="4"/>
      <c r="R939" s="4"/>
      <c r="S939" s="4"/>
      <c r="T939" s="4"/>
      <c r="U939" s="4"/>
      <c r="V939" s="4"/>
      <c r="W939" s="4"/>
      <c r="X939" s="4"/>
      <c r="Y939" s="4"/>
      <c r="Z939" s="4"/>
      <c r="AA939" s="4"/>
      <c r="AB939" s="4"/>
      <c r="AC939" s="4"/>
      <c r="AD939" s="4"/>
      <c r="AE939" s="4"/>
      <c r="AF939" s="4"/>
      <c r="AG939" s="4"/>
      <c r="AH939" s="4"/>
      <c r="AI939" s="4"/>
      <c r="AJ939" s="4"/>
      <c r="AK939" s="4"/>
      <c r="AL939" s="4"/>
      <c r="AM939" s="4"/>
      <c r="AN939" s="4"/>
      <c r="AO939" s="4"/>
      <c r="AP939" s="4"/>
      <c r="AQ939" s="4"/>
      <c r="AR939" s="4"/>
      <c r="AS939" s="4"/>
      <c r="AT939" s="4"/>
      <c r="AU939" s="4"/>
      <c r="AV939" s="4"/>
      <c r="AW939" s="4"/>
      <c r="AX939" s="4"/>
      <c r="AY939" s="4"/>
      <c r="AZ939" s="4"/>
      <c r="BA939" s="4"/>
      <c r="BB939" s="4"/>
      <c r="BC939" s="4"/>
      <c r="BD939" s="4"/>
      <c r="BE939" s="4"/>
      <c r="BF939" s="4"/>
      <c r="BG939" s="4"/>
      <c r="BH939" s="4"/>
      <c r="BI939" s="4"/>
      <c r="BJ939" s="4"/>
      <c r="BK939" s="4"/>
      <c r="BL939" s="4"/>
      <c r="BM939" s="4"/>
      <c r="BN939" s="4"/>
    </row>
    <row r="940" ht="13.5" customHeight="1" spans="1:66" x14ac:dyDescent="0.25">
      <c r="A940" s="4"/>
      <c r="B940" s="4"/>
      <c r="C940" s="533"/>
      <c r="D940" s="4"/>
      <c r="E940" s="4"/>
      <c r="F940" s="4"/>
      <c r="G940" s="4"/>
      <c r="H940" s="4"/>
      <c r="I940" s="4"/>
      <c r="J940" s="4"/>
      <c r="K940" s="4"/>
      <c r="L940" s="4"/>
      <c r="M940" s="4"/>
      <c r="N940" s="4"/>
      <c r="O940" s="4"/>
      <c r="P940" s="4"/>
      <c r="Q940" s="4"/>
      <c r="R940" s="4"/>
      <c r="S940" s="4"/>
      <c r="T940" s="4"/>
      <c r="U940" s="4"/>
      <c r="V940" s="4"/>
      <c r="W940" s="4"/>
      <c r="X940" s="4"/>
      <c r="Y940" s="4"/>
      <c r="Z940" s="4"/>
      <c r="AA940" s="4"/>
      <c r="AB940" s="4"/>
      <c r="AC940" s="4"/>
      <c r="AD940" s="4"/>
      <c r="AE940" s="4"/>
      <c r="AF940" s="4"/>
      <c r="AG940" s="4"/>
      <c r="AH940" s="4"/>
      <c r="AI940" s="4"/>
      <c r="AJ940" s="4"/>
      <c r="AK940" s="4"/>
      <c r="AL940" s="4"/>
      <c r="AM940" s="4"/>
      <c r="AN940" s="4"/>
      <c r="AO940" s="4"/>
      <c r="AP940" s="4"/>
      <c r="AQ940" s="4"/>
      <c r="AR940" s="4"/>
      <c r="AS940" s="4"/>
      <c r="AT940" s="4"/>
      <c r="AU940" s="4"/>
      <c r="AV940" s="4"/>
      <c r="AW940" s="4"/>
      <c r="AX940" s="4"/>
      <c r="AY940" s="4"/>
      <c r="AZ940" s="4"/>
      <c r="BA940" s="4"/>
      <c r="BB940" s="4"/>
      <c r="BC940" s="4"/>
      <c r="BD940" s="4"/>
      <c r="BE940" s="4"/>
      <c r="BF940" s="4"/>
      <c r="BG940" s="4"/>
      <c r="BH940" s="4"/>
      <c r="BI940" s="4"/>
      <c r="BJ940" s="4"/>
      <c r="BK940" s="4"/>
      <c r="BL940" s="4"/>
      <c r="BM940" s="4"/>
      <c r="BN940" s="4"/>
    </row>
    <row r="941" ht="13.5" customHeight="1" spans="1:66" x14ac:dyDescent="0.25">
      <c r="A941" s="4"/>
      <c r="B941" s="4"/>
      <c r="C941" s="533"/>
      <c r="D941" s="4"/>
      <c r="E941" s="4"/>
      <c r="F941" s="4"/>
      <c r="G941" s="4"/>
      <c r="H941" s="4"/>
      <c r="I941" s="4"/>
      <c r="J941" s="4"/>
      <c r="K941" s="4"/>
      <c r="L941" s="4"/>
      <c r="M941" s="4"/>
      <c r="N941" s="4"/>
      <c r="O941" s="4"/>
      <c r="P941" s="4"/>
      <c r="Q941" s="4"/>
      <c r="R941" s="4"/>
      <c r="S941" s="4"/>
      <c r="T941" s="4"/>
      <c r="U941" s="4"/>
      <c r="V941" s="4"/>
      <c r="W941" s="4"/>
      <c r="X941" s="4"/>
      <c r="Y941" s="4"/>
      <c r="Z941" s="4"/>
      <c r="AA941" s="4"/>
      <c r="AB941" s="4"/>
      <c r="AC941" s="4"/>
      <c r="AD941" s="4"/>
      <c r="AE941" s="4"/>
      <c r="AF941" s="4"/>
      <c r="AG941" s="4"/>
      <c r="AH941" s="4"/>
      <c r="AI941" s="4"/>
      <c r="AJ941" s="4"/>
      <c r="AK941" s="4"/>
      <c r="AL941" s="4"/>
      <c r="AM941" s="4"/>
      <c r="AN941" s="4"/>
      <c r="AO941" s="4"/>
      <c r="AP941" s="4"/>
      <c r="AQ941" s="4"/>
      <c r="AR941" s="4"/>
      <c r="AS941" s="4"/>
      <c r="AT941" s="4"/>
      <c r="AU941" s="4"/>
      <c r="AV941" s="4"/>
      <c r="AW941" s="4"/>
      <c r="AX941" s="4"/>
      <c r="AY941" s="4"/>
      <c r="AZ941" s="4"/>
      <c r="BA941" s="4"/>
      <c r="BB941" s="4"/>
      <c r="BC941" s="4"/>
      <c r="BD941" s="4"/>
      <c r="BE941" s="4"/>
      <c r="BF941" s="4"/>
      <c r="BG941" s="4"/>
      <c r="BH941" s="4"/>
      <c r="BI941" s="4"/>
      <c r="BJ941" s="4"/>
      <c r="BK941" s="4"/>
      <c r="BL941" s="4"/>
      <c r="BM941" s="4"/>
      <c r="BN941" s="4"/>
    </row>
    <row r="942" ht="13.5" customHeight="1" spans="1:66" x14ac:dyDescent="0.25">
      <c r="A942" s="4"/>
      <c r="B942" s="4"/>
      <c r="C942" s="533"/>
      <c r="D942" s="4"/>
      <c r="E942" s="4"/>
      <c r="F942" s="4"/>
      <c r="G942" s="4"/>
      <c r="H942" s="4"/>
      <c r="I942" s="4"/>
      <c r="J942" s="4"/>
      <c r="K942" s="4"/>
      <c r="L942" s="4"/>
      <c r="M942" s="4"/>
      <c r="N942" s="4"/>
      <c r="O942" s="4"/>
      <c r="P942" s="4"/>
      <c r="Q942" s="4"/>
      <c r="R942" s="4"/>
      <c r="S942" s="4"/>
      <c r="T942" s="4"/>
      <c r="U942" s="4"/>
      <c r="V942" s="4"/>
      <c r="W942" s="4"/>
      <c r="X942" s="4"/>
      <c r="Y942" s="4"/>
      <c r="Z942" s="4"/>
      <c r="AA942" s="4"/>
      <c r="AB942" s="4"/>
      <c r="AC942" s="4"/>
      <c r="AD942" s="4"/>
      <c r="AE942" s="4"/>
      <c r="AF942" s="4"/>
      <c r="AG942" s="4"/>
      <c r="AH942" s="4"/>
      <c r="AI942" s="4"/>
      <c r="AJ942" s="4"/>
      <c r="AK942" s="4"/>
      <c r="AL942" s="4"/>
      <c r="AM942" s="4"/>
      <c r="AN942" s="4"/>
      <c r="AO942" s="4"/>
      <c r="AP942" s="4"/>
      <c r="AQ942" s="4"/>
      <c r="AR942" s="4"/>
      <c r="AS942" s="4"/>
      <c r="AT942" s="4"/>
      <c r="AU942" s="4"/>
      <c r="AV942" s="4"/>
      <c r="AW942" s="4"/>
      <c r="AX942" s="4"/>
      <c r="AY942" s="4"/>
      <c r="AZ942" s="4"/>
      <c r="BA942" s="4"/>
      <c r="BB942" s="4"/>
      <c r="BC942" s="4"/>
      <c r="BD942" s="4"/>
      <c r="BE942" s="4"/>
      <c r="BF942" s="4"/>
      <c r="BG942" s="4"/>
      <c r="BH942" s="4"/>
      <c r="BI942" s="4"/>
      <c r="BJ942" s="4"/>
      <c r="BK942" s="4"/>
      <c r="BL942" s="4"/>
      <c r="BM942" s="4"/>
      <c r="BN942" s="4"/>
    </row>
    <row r="943" ht="13.5" customHeight="1" spans="1:66" x14ac:dyDescent="0.25">
      <c r="A943" s="4"/>
      <c r="B943" s="4"/>
      <c r="C943" s="533"/>
      <c r="D943" s="4"/>
      <c r="E943" s="4"/>
      <c r="F943" s="4"/>
      <c r="G943" s="4"/>
      <c r="H943" s="4"/>
      <c r="I943" s="4"/>
      <c r="J943" s="4"/>
      <c r="K943" s="4"/>
      <c r="L943" s="4"/>
      <c r="M943" s="4"/>
      <c r="N943" s="4"/>
      <c r="O943" s="4"/>
      <c r="P943" s="4"/>
      <c r="Q943" s="4"/>
      <c r="R943" s="4"/>
      <c r="S943" s="4"/>
      <c r="T943" s="4"/>
      <c r="U943" s="4"/>
      <c r="V943" s="4"/>
      <c r="W943" s="4"/>
      <c r="X943" s="4"/>
      <c r="Y943" s="4"/>
      <c r="Z943" s="4"/>
      <c r="AA943" s="4"/>
      <c r="AB943" s="4"/>
      <c r="AC943" s="4"/>
      <c r="AD943" s="4"/>
      <c r="AE943" s="4"/>
      <c r="AF943" s="4"/>
      <c r="AG943" s="4"/>
      <c r="AH943" s="4"/>
      <c r="AI943" s="4"/>
      <c r="AJ943" s="4"/>
      <c r="AK943" s="4"/>
      <c r="AL943" s="4"/>
      <c r="AM943" s="4"/>
      <c r="AN943" s="4"/>
      <c r="AO943" s="4"/>
      <c r="AP943" s="4"/>
      <c r="AQ943" s="4"/>
      <c r="AR943" s="4"/>
      <c r="AS943" s="4"/>
      <c r="AT943" s="4"/>
      <c r="AU943" s="4"/>
      <c r="AV943" s="4"/>
      <c r="AW943" s="4"/>
      <c r="AX943" s="4"/>
      <c r="AY943" s="4"/>
      <c r="AZ943" s="4"/>
      <c r="BA943" s="4"/>
      <c r="BB943" s="4"/>
      <c r="BC943" s="4"/>
      <c r="BD943" s="4"/>
      <c r="BE943" s="4"/>
      <c r="BF943" s="4"/>
      <c r="BG943" s="4"/>
      <c r="BH943" s="4"/>
      <c r="BI943" s="4"/>
      <c r="BJ943" s="4"/>
      <c r="BK943" s="4"/>
      <c r="BL943" s="4"/>
      <c r="BM943" s="4"/>
      <c r="BN943" s="4"/>
    </row>
    <row r="944" ht="13.5" customHeight="1" spans="1:66" x14ac:dyDescent="0.25">
      <c r="A944" s="4"/>
      <c r="B944" s="4"/>
      <c r="C944" s="533"/>
      <c r="D944" s="4"/>
      <c r="E944" s="4"/>
      <c r="F944" s="4"/>
      <c r="G944" s="4"/>
      <c r="H944" s="4"/>
      <c r="I944" s="4"/>
      <c r="J944" s="4"/>
      <c r="K944" s="4"/>
      <c r="L944" s="4"/>
      <c r="M944" s="4"/>
      <c r="N944" s="4"/>
      <c r="O944" s="4"/>
      <c r="P944" s="4"/>
      <c r="Q944" s="4"/>
      <c r="R944" s="4"/>
      <c r="S944" s="4"/>
      <c r="T944" s="4"/>
      <c r="U944" s="4"/>
      <c r="V944" s="4"/>
      <c r="W944" s="4"/>
      <c r="X944" s="4"/>
      <c r="Y944" s="4"/>
      <c r="Z944" s="4"/>
      <c r="AA944" s="4"/>
      <c r="AB944" s="4"/>
      <c r="AC944" s="4"/>
      <c r="AD944" s="4"/>
      <c r="AE944" s="4"/>
      <c r="AF944" s="4"/>
      <c r="AG944" s="4"/>
      <c r="AH944" s="4"/>
      <c r="AI944" s="4"/>
      <c r="AJ944" s="4"/>
      <c r="AK944" s="4"/>
      <c r="AL944" s="4"/>
      <c r="AM944" s="4"/>
      <c r="AN944" s="4"/>
      <c r="AO944" s="4"/>
      <c r="AP944" s="4"/>
      <c r="AQ944" s="4"/>
      <c r="AR944" s="4"/>
      <c r="AS944" s="4"/>
      <c r="AT944" s="4"/>
      <c r="AU944" s="4"/>
      <c r="AV944" s="4"/>
      <c r="AW944" s="4"/>
      <c r="AX944" s="4"/>
      <c r="AY944" s="4"/>
      <c r="AZ944" s="4"/>
      <c r="BA944" s="4"/>
      <c r="BB944" s="4"/>
      <c r="BC944" s="4"/>
      <c r="BD944" s="4"/>
      <c r="BE944" s="4"/>
      <c r="BF944" s="4"/>
      <c r="BG944" s="4"/>
      <c r="BH944" s="4"/>
      <c r="BI944" s="4"/>
      <c r="BJ944" s="4"/>
      <c r="BK944" s="4"/>
      <c r="BL944" s="4"/>
      <c r="BM944" s="4"/>
      <c r="BN944" s="4"/>
    </row>
    <row r="945" ht="13.5" customHeight="1" spans="1:66" x14ac:dyDescent="0.25">
      <c r="A945" s="4"/>
      <c r="B945" s="4"/>
      <c r="C945" s="533"/>
      <c r="D945" s="4"/>
      <c r="E945" s="4"/>
      <c r="F945" s="4"/>
      <c r="G945" s="4"/>
      <c r="H945" s="4"/>
      <c r="I945" s="4"/>
      <c r="J945" s="4"/>
      <c r="K945" s="4"/>
      <c r="L945" s="4"/>
      <c r="M945" s="4"/>
      <c r="N945" s="4"/>
      <c r="O945" s="4"/>
      <c r="P945" s="4"/>
      <c r="Q945" s="4"/>
      <c r="R945" s="4"/>
      <c r="S945" s="4"/>
      <c r="T945" s="4"/>
      <c r="U945" s="4"/>
      <c r="V945" s="4"/>
      <c r="W945" s="4"/>
      <c r="X945" s="4"/>
      <c r="Y945" s="4"/>
      <c r="Z945" s="4"/>
      <c r="AA945" s="4"/>
      <c r="AB945" s="4"/>
      <c r="AC945" s="4"/>
      <c r="AD945" s="4"/>
      <c r="AE945" s="4"/>
      <c r="AF945" s="4"/>
      <c r="AG945" s="4"/>
      <c r="AH945" s="4"/>
      <c r="AI945" s="4"/>
      <c r="AJ945" s="4"/>
      <c r="AK945" s="4"/>
      <c r="AL945" s="4"/>
      <c r="AM945" s="4"/>
      <c r="AN945" s="4"/>
      <c r="AO945" s="4"/>
      <c r="AP945" s="4"/>
      <c r="AQ945" s="4"/>
      <c r="AR945" s="4"/>
      <c r="AS945" s="4"/>
      <c r="AT945" s="4"/>
      <c r="AU945" s="4"/>
      <c r="AV945" s="4"/>
      <c r="AW945" s="4"/>
      <c r="AX945" s="4"/>
      <c r="AY945" s="4"/>
      <c r="AZ945" s="4"/>
      <c r="BA945" s="4"/>
      <c r="BB945" s="4"/>
      <c r="BC945" s="4"/>
      <c r="BD945" s="4"/>
      <c r="BE945" s="4"/>
      <c r="BF945" s="4"/>
      <c r="BG945" s="4"/>
      <c r="BH945" s="4"/>
      <c r="BI945" s="4"/>
      <c r="BJ945" s="4"/>
      <c r="BK945" s="4"/>
      <c r="BL945" s="4"/>
      <c r="BM945" s="4"/>
      <c r="BN945" s="4"/>
    </row>
    <row r="946" ht="13.5" customHeight="1" spans="1:66" x14ac:dyDescent="0.25">
      <c r="A946" s="4"/>
      <c r="B946" s="4"/>
      <c r="C946" s="533"/>
      <c r="D946" s="4"/>
      <c r="E946" s="4"/>
      <c r="F946" s="4"/>
      <c r="G946" s="4"/>
      <c r="H946" s="4"/>
      <c r="I946" s="4"/>
      <c r="J946" s="4"/>
      <c r="K946" s="4"/>
      <c r="L946" s="4"/>
      <c r="M946" s="4"/>
      <c r="N946" s="4"/>
      <c r="O946" s="4"/>
      <c r="P946" s="4"/>
      <c r="Q946" s="4"/>
      <c r="R946" s="4"/>
      <c r="S946" s="4"/>
      <c r="T946" s="4"/>
      <c r="U946" s="4"/>
      <c r="V946" s="4"/>
      <c r="W946" s="4"/>
      <c r="X946" s="4"/>
      <c r="Y946" s="4"/>
      <c r="Z946" s="4"/>
      <c r="AA946" s="4"/>
      <c r="AB946" s="4"/>
      <c r="AC946" s="4"/>
      <c r="AD946" s="4"/>
      <c r="AE946" s="4"/>
      <c r="AF946" s="4"/>
      <c r="AG946" s="4"/>
      <c r="AH946" s="4"/>
      <c r="AI946" s="4"/>
      <c r="AJ946" s="4"/>
      <c r="AK946" s="4"/>
      <c r="AL946" s="4"/>
      <c r="AM946" s="4"/>
      <c r="AN946" s="4"/>
      <c r="AO946" s="4"/>
      <c r="AP946" s="4"/>
      <c r="AQ946" s="4"/>
      <c r="AR946" s="4"/>
      <c r="AS946" s="4"/>
      <c r="AT946" s="4"/>
      <c r="AU946" s="4"/>
      <c r="AV946" s="4"/>
      <c r="AW946" s="4"/>
      <c r="AX946" s="4"/>
      <c r="AY946" s="4"/>
      <c r="AZ946" s="4"/>
      <c r="BA946" s="4"/>
      <c r="BB946" s="4"/>
      <c r="BC946" s="4"/>
      <c r="BD946" s="4"/>
      <c r="BE946" s="4"/>
      <c r="BF946" s="4"/>
      <c r="BG946" s="4"/>
      <c r="BH946" s="4"/>
      <c r="BI946" s="4"/>
      <c r="BJ946" s="4"/>
      <c r="BK946" s="4"/>
      <c r="BL946" s="4"/>
      <c r="BM946" s="4"/>
      <c r="BN946" s="4"/>
    </row>
    <row r="947" ht="13.5" customHeight="1" spans="1:66" x14ac:dyDescent="0.25">
      <c r="A947" s="4"/>
      <c r="B947" s="4"/>
      <c r="C947" s="533"/>
      <c r="D947" s="4"/>
      <c r="E947" s="4"/>
      <c r="F947" s="4"/>
      <c r="G947" s="4"/>
      <c r="H947" s="4"/>
      <c r="I947" s="4"/>
      <c r="J947" s="4"/>
      <c r="K947" s="4"/>
      <c r="L947" s="4"/>
      <c r="M947" s="4"/>
      <c r="N947" s="4"/>
      <c r="O947" s="4"/>
      <c r="P947" s="4"/>
      <c r="Q947" s="4"/>
      <c r="R947" s="4"/>
      <c r="S947" s="4"/>
      <c r="T947" s="4"/>
      <c r="U947" s="4"/>
      <c r="V947" s="4"/>
      <c r="W947" s="4"/>
      <c r="X947" s="4"/>
      <c r="Y947" s="4"/>
      <c r="Z947" s="4"/>
      <c r="AA947" s="4"/>
      <c r="AB947" s="4"/>
      <c r="AC947" s="4"/>
      <c r="AD947" s="4"/>
      <c r="AE947" s="4"/>
      <c r="AF947" s="4"/>
      <c r="AG947" s="4"/>
      <c r="AH947" s="4"/>
      <c r="AI947" s="4"/>
      <c r="AJ947" s="4"/>
      <c r="AK947" s="4"/>
      <c r="AL947" s="4"/>
      <c r="AM947" s="4"/>
      <c r="AN947" s="4"/>
      <c r="AO947" s="4"/>
      <c r="AP947" s="4"/>
      <c r="AQ947" s="4"/>
      <c r="AR947" s="4"/>
      <c r="AS947" s="4"/>
      <c r="AT947" s="4"/>
      <c r="AU947" s="4"/>
      <c r="AV947" s="4"/>
      <c r="AW947" s="4"/>
      <c r="AX947" s="4"/>
      <c r="AY947" s="4"/>
      <c r="AZ947" s="4"/>
      <c r="BA947" s="4"/>
      <c r="BB947" s="4"/>
      <c r="BC947" s="4"/>
      <c r="BD947" s="4"/>
      <c r="BE947" s="4"/>
      <c r="BF947" s="4"/>
      <c r="BG947" s="4"/>
      <c r="BH947" s="4"/>
      <c r="BI947" s="4"/>
      <c r="BJ947" s="4"/>
      <c r="BK947" s="4"/>
      <c r="BL947" s="4"/>
      <c r="BM947" s="4"/>
      <c r="BN947" s="4"/>
    </row>
    <row r="948" ht="13.5" customHeight="1" spans="1:66" x14ac:dyDescent="0.25">
      <c r="A948" s="4"/>
      <c r="B948" s="4"/>
      <c r="C948" s="533"/>
      <c r="D948" s="4"/>
      <c r="E948" s="4"/>
      <c r="F948" s="4"/>
      <c r="G948" s="4"/>
      <c r="H948" s="4"/>
      <c r="I948" s="4"/>
      <c r="J948" s="4"/>
      <c r="K948" s="4"/>
      <c r="L948" s="4"/>
      <c r="M948" s="4"/>
      <c r="N948" s="4"/>
      <c r="O948" s="4"/>
      <c r="P948" s="4"/>
      <c r="Q948" s="4"/>
      <c r="R948" s="4"/>
      <c r="S948" s="4"/>
      <c r="T948" s="4"/>
      <c r="U948" s="4"/>
      <c r="V948" s="4"/>
      <c r="W948" s="4"/>
      <c r="X948" s="4"/>
      <c r="Y948" s="4"/>
      <c r="Z948" s="4"/>
      <c r="AA948" s="4"/>
      <c r="AB948" s="4"/>
      <c r="AC948" s="4"/>
      <c r="AD948" s="4"/>
      <c r="AE948" s="4"/>
      <c r="AF948" s="4"/>
      <c r="AG948" s="4"/>
      <c r="AH948" s="4"/>
      <c r="AI948" s="4"/>
      <c r="AJ948" s="4"/>
      <c r="AK948" s="4"/>
      <c r="AL948" s="4"/>
      <c r="AM948" s="4"/>
      <c r="AN948" s="4"/>
      <c r="AO948" s="4"/>
      <c r="AP948" s="4"/>
      <c r="AQ948" s="4"/>
      <c r="AR948" s="4"/>
      <c r="AS948" s="4"/>
      <c r="AT948" s="4"/>
      <c r="AU948" s="4"/>
      <c r="AV948" s="4"/>
      <c r="AW948" s="4"/>
      <c r="AX948" s="4"/>
      <c r="AY948" s="4"/>
      <c r="AZ948" s="4"/>
      <c r="BA948" s="4"/>
      <c r="BB948" s="4"/>
      <c r="BC948" s="4"/>
      <c r="BD948" s="4"/>
      <c r="BE948" s="4"/>
      <c r="BF948" s="4"/>
      <c r="BG948" s="4"/>
      <c r="BH948" s="4"/>
      <c r="BI948" s="4"/>
      <c r="BJ948" s="4"/>
      <c r="BK948" s="4"/>
      <c r="BL948" s="4"/>
      <c r="BM948" s="4"/>
      <c r="BN948" s="4"/>
    </row>
    <row r="949" ht="13.5" customHeight="1" spans="1:66" x14ac:dyDescent="0.25">
      <c r="A949" s="4"/>
      <c r="B949" s="4"/>
      <c r="C949" s="533"/>
      <c r="D949" s="4"/>
      <c r="E949" s="4"/>
      <c r="F949" s="4"/>
      <c r="G949" s="4"/>
      <c r="H949" s="4"/>
      <c r="I949" s="4"/>
      <c r="J949" s="4"/>
      <c r="K949" s="4"/>
      <c r="L949" s="4"/>
      <c r="M949" s="4"/>
      <c r="N949" s="4"/>
      <c r="O949" s="4"/>
      <c r="P949" s="4"/>
      <c r="Q949" s="4"/>
      <c r="R949" s="4"/>
      <c r="S949" s="4"/>
      <c r="T949" s="4"/>
      <c r="U949" s="4"/>
      <c r="V949" s="4"/>
      <c r="W949" s="4"/>
      <c r="X949" s="4"/>
      <c r="Y949" s="4"/>
      <c r="Z949" s="4"/>
      <c r="AA949" s="4"/>
      <c r="AB949" s="4"/>
      <c r="AC949" s="4"/>
      <c r="AD949" s="4"/>
      <c r="AE949" s="4"/>
      <c r="AF949" s="4"/>
      <c r="AG949" s="4"/>
      <c r="AH949" s="4"/>
      <c r="AI949" s="4"/>
      <c r="AJ949" s="4"/>
      <c r="AK949" s="4"/>
      <c r="AL949" s="4"/>
      <c r="AM949" s="4"/>
      <c r="AN949" s="4"/>
      <c r="AO949" s="4"/>
      <c r="AP949" s="4"/>
      <c r="AQ949" s="4"/>
      <c r="AR949" s="4"/>
      <c r="AS949" s="4"/>
      <c r="AT949" s="4"/>
      <c r="AU949" s="4"/>
      <c r="AV949" s="4"/>
      <c r="AW949" s="4"/>
      <c r="AX949" s="4"/>
      <c r="AY949" s="4"/>
      <c r="AZ949" s="4"/>
      <c r="BA949" s="4"/>
      <c r="BB949" s="4"/>
      <c r="BC949" s="4"/>
      <c r="BD949" s="4"/>
      <c r="BE949" s="4"/>
      <c r="BF949" s="4"/>
      <c r="BG949" s="4"/>
      <c r="BH949" s="4"/>
      <c r="BI949" s="4"/>
      <c r="BJ949" s="4"/>
      <c r="BK949" s="4"/>
      <c r="BL949" s="4"/>
      <c r="BM949" s="4"/>
      <c r="BN949" s="4"/>
    </row>
    <row r="950" ht="13.5" customHeight="1" spans="1:66" x14ac:dyDescent="0.25">
      <c r="A950" s="4"/>
      <c r="B950" s="4"/>
      <c r="C950" s="533"/>
      <c r="D950" s="4"/>
      <c r="E950" s="4"/>
      <c r="F950" s="4"/>
      <c r="G950" s="4"/>
      <c r="H950" s="4"/>
      <c r="I950" s="4"/>
      <c r="J950" s="4"/>
      <c r="K950" s="4"/>
      <c r="L950" s="4"/>
      <c r="M950" s="4"/>
      <c r="N950" s="4"/>
      <c r="O950" s="4"/>
      <c r="P950" s="4"/>
      <c r="Q950" s="4"/>
      <c r="R950" s="4"/>
      <c r="S950" s="4"/>
      <c r="T950" s="4"/>
      <c r="U950" s="4"/>
      <c r="V950" s="4"/>
      <c r="W950" s="4"/>
      <c r="X950" s="4"/>
      <c r="Y950" s="4"/>
      <c r="Z950" s="4"/>
      <c r="AA950" s="4"/>
      <c r="AB950" s="4"/>
      <c r="AC950" s="4"/>
      <c r="AD950" s="4"/>
      <c r="AE950" s="4"/>
      <c r="AF950" s="4"/>
      <c r="AG950" s="4"/>
      <c r="AH950" s="4"/>
      <c r="AI950" s="4"/>
      <c r="AJ950" s="4"/>
      <c r="AK950" s="4"/>
      <c r="AL950" s="4"/>
      <c r="AM950" s="4"/>
      <c r="AN950" s="4"/>
      <c r="AO950" s="4"/>
      <c r="AP950" s="4"/>
      <c r="AQ950" s="4"/>
      <c r="AR950" s="4"/>
      <c r="AS950" s="4"/>
      <c r="AT950" s="4"/>
      <c r="AU950" s="4"/>
      <c r="AV950" s="4"/>
      <c r="AW950" s="4"/>
      <c r="AX950" s="4"/>
      <c r="AY950" s="4"/>
      <c r="AZ950" s="4"/>
      <c r="BA950" s="4"/>
      <c r="BB950" s="4"/>
      <c r="BC950" s="4"/>
      <c r="BD950" s="4"/>
      <c r="BE950" s="4"/>
      <c r="BF950" s="4"/>
      <c r="BG950" s="4"/>
      <c r="BH950" s="4"/>
      <c r="BI950" s="4"/>
      <c r="BJ950" s="4"/>
      <c r="BK950" s="4"/>
      <c r="BL950" s="4"/>
      <c r="BM950" s="4"/>
      <c r="BN950" s="4"/>
    </row>
    <row r="951" ht="13.5" customHeight="1" spans="1:66" x14ac:dyDescent="0.25">
      <c r="A951" s="4"/>
      <c r="B951" s="4"/>
      <c r="C951" s="533"/>
      <c r="D951" s="4"/>
      <c r="E951" s="4"/>
      <c r="F951" s="4"/>
      <c r="G951" s="4"/>
      <c r="H951" s="4"/>
      <c r="I951" s="4"/>
      <c r="J951" s="4"/>
      <c r="K951" s="4"/>
      <c r="L951" s="4"/>
      <c r="M951" s="4"/>
      <c r="N951" s="4"/>
      <c r="O951" s="4"/>
      <c r="P951" s="4"/>
      <c r="Q951" s="4"/>
      <c r="R951" s="4"/>
      <c r="S951" s="4"/>
      <c r="T951" s="4"/>
      <c r="U951" s="4"/>
      <c r="V951" s="4"/>
      <c r="W951" s="4"/>
      <c r="X951" s="4"/>
      <c r="Y951" s="4"/>
      <c r="Z951" s="4"/>
      <c r="AA951" s="4"/>
      <c r="AB951" s="4"/>
      <c r="AC951" s="4"/>
      <c r="AD951" s="4"/>
      <c r="AE951" s="4"/>
      <c r="AF951" s="4"/>
      <c r="AG951" s="4"/>
      <c r="AH951" s="4"/>
      <c r="AI951" s="4"/>
      <c r="AJ951" s="4"/>
      <c r="AK951" s="4"/>
      <c r="AL951" s="4"/>
      <c r="AM951" s="4"/>
      <c r="AN951" s="4"/>
      <c r="AO951" s="4"/>
      <c r="AP951" s="4"/>
      <c r="AQ951" s="4"/>
      <c r="AR951" s="4"/>
      <c r="AS951" s="4"/>
      <c r="AT951" s="4"/>
      <c r="AU951" s="4"/>
      <c r="AV951" s="4"/>
      <c r="AW951" s="4"/>
      <c r="AX951" s="4"/>
      <c r="AY951" s="4"/>
      <c r="AZ951" s="4"/>
      <c r="BA951" s="4"/>
      <c r="BB951" s="4"/>
      <c r="BC951" s="4"/>
      <c r="BD951" s="4"/>
      <c r="BE951" s="4"/>
      <c r="BF951" s="4"/>
      <c r="BG951" s="4"/>
      <c r="BH951" s="4"/>
      <c r="BI951" s="4"/>
      <c r="BJ951" s="4"/>
      <c r="BK951" s="4"/>
      <c r="BL951" s="4"/>
      <c r="BM951" s="4"/>
      <c r="BN951" s="4"/>
    </row>
    <row r="952" ht="13.5" customHeight="1" spans="1:66" x14ac:dyDescent="0.25">
      <c r="A952" s="4"/>
      <c r="B952" s="4"/>
      <c r="C952" s="533"/>
      <c r="D952" s="4"/>
      <c r="E952" s="4"/>
      <c r="F952" s="4"/>
      <c r="G952" s="4"/>
      <c r="H952" s="4"/>
      <c r="I952" s="4"/>
      <c r="J952" s="4"/>
      <c r="K952" s="4"/>
      <c r="L952" s="4"/>
      <c r="M952" s="4"/>
      <c r="N952" s="4"/>
      <c r="O952" s="4"/>
      <c r="P952" s="4"/>
      <c r="Q952" s="4"/>
      <c r="R952" s="4"/>
      <c r="S952" s="4"/>
      <c r="T952" s="4"/>
      <c r="U952" s="4"/>
      <c r="V952" s="4"/>
      <c r="W952" s="4"/>
      <c r="X952" s="4"/>
      <c r="Y952" s="4"/>
      <c r="Z952" s="4"/>
      <c r="AA952" s="4"/>
      <c r="AB952" s="4"/>
      <c r="AC952" s="4"/>
      <c r="AD952" s="4"/>
      <c r="AE952" s="4"/>
      <c r="AF952" s="4"/>
      <c r="AG952" s="4"/>
      <c r="AH952" s="4"/>
      <c r="AI952" s="4"/>
      <c r="AJ952" s="4"/>
      <c r="AK952" s="4"/>
      <c r="AL952" s="4"/>
      <c r="AM952" s="4"/>
      <c r="AN952" s="4"/>
      <c r="AO952" s="4"/>
      <c r="AP952" s="4"/>
      <c r="AQ952" s="4"/>
      <c r="AR952" s="4"/>
      <c r="AS952" s="4"/>
      <c r="AT952" s="4"/>
      <c r="AU952" s="4"/>
      <c r="AV952" s="4"/>
      <c r="AW952" s="4"/>
      <c r="AX952" s="4"/>
      <c r="AY952" s="4"/>
      <c r="AZ952" s="4"/>
      <c r="BA952" s="4"/>
      <c r="BB952" s="4"/>
      <c r="BC952" s="4"/>
      <c r="BD952" s="4"/>
      <c r="BE952" s="4"/>
      <c r="BF952" s="4"/>
      <c r="BG952" s="4"/>
      <c r="BH952" s="4"/>
      <c r="BI952" s="4"/>
      <c r="BJ952" s="4"/>
      <c r="BK952" s="4"/>
      <c r="BL952" s="4"/>
      <c r="BM952" s="4"/>
      <c r="BN952" s="4"/>
    </row>
    <row r="953" ht="13.5" customHeight="1" spans="1:66" x14ac:dyDescent="0.25">
      <c r="A953" s="4"/>
      <c r="B953" s="4"/>
      <c r="C953" s="533"/>
      <c r="D953" s="4"/>
      <c r="E953" s="4"/>
      <c r="F953" s="4"/>
      <c r="G953" s="4"/>
      <c r="H953" s="4"/>
      <c r="I953" s="4"/>
      <c r="J953" s="4"/>
      <c r="K953" s="4"/>
      <c r="L953" s="4"/>
      <c r="M953" s="4"/>
      <c r="N953" s="4"/>
      <c r="O953" s="4"/>
      <c r="P953" s="4"/>
      <c r="Q953" s="4"/>
      <c r="R953" s="4"/>
      <c r="S953" s="4"/>
      <c r="T953" s="4"/>
      <c r="U953" s="4"/>
      <c r="V953" s="4"/>
      <c r="W953" s="4"/>
      <c r="X953" s="4"/>
      <c r="Y953" s="4"/>
      <c r="Z953" s="4"/>
      <c r="AA953" s="4"/>
      <c r="AB953" s="4"/>
      <c r="AC953" s="4"/>
      <c r="AD953" s="4"/>
      <c r="AE953" s="4"/>
      <c r="AF953" s="4"/>
      <c r="AG953" s="4"/>
      <c r="AH953" s="4"/>
      <c r="AI953" s="4"/>
      <c r="AJ953" s="4"/>
      <c r="AK953" s="4"/>
      <c r="AL953" s="4"/>
      <c r="AM953" s="4"/>
      <c r="AN953" s="4"/>
      <c r="AO953" s="4"/>
      <c r="AP953" s="4"/>
      <c r="AQ953" s="4"/>
      <c r="AR953" s="4"/>
      <c r="AS953" s="4"/>
      <c r="AT953" s="4"/>
      <c r="AU953" s="4"/>
      <c r="AV953" s="4"/>
      <c r="AW953" s="4"/>
      <c r="AX953" s="4"/>
      <c r="AY953" s="4"/>
      <c r="AZ953" s="4"/>
      <c r="BA953" s="4"/>
      <c r="BB953" s="4"/>
      <c r="BC953" s="4"/>
      <c r="BD953" s="4"/>
      <c r="BE953" s="4"/>
      <c r="BF953" s="4"/>
      <c r="BG953" s="4"/>
      <c r="BH953" s="4"/>
      <c r="BI953" s="4"/>
      <c r="BJ953" s="4"/>
      <c r="BK953" s="4"/>
      <c r="BL953" s="4"/>
      <c r="BM953" s="4"/>
      <c r="BN953" s="4"/>
    </row>
    <row r="954" ht="13.5" customHeight="1" spans="1:66" x14ac:dyDescent="0.25">
      <c r="A954" s="4"/>
      <c r="B954" s="4"/>
      <c r="C954" s="533"/>
      <c r="D954" s="4"/>
      <c r="E954" s="4"/>
      <c r="F954" s="4"/>
      <c r="G954" s="4"/>
      <c r="H954" s="4"/>
      <c r="I954" s="4"/>
      <c r="J954" s="4"/>
      <c r="K954" s="4"/>
      <c r="L954" s="4"/>
      <c r="M954" s="4"/>
      <c r="N954" s="4"/>
      <c r="O954" s="4"/>
      <c r="P954" s="4"/>
      <c r="Q954" s="4"/>
      <c r="R954" s="4"/>
      <c r="S954" s="4"/>
      <c r="T954" s="4"/>
      <c r="U954" s="4"/>
      <c r="V954" s="4"/>
      <c r="W954" s="4"/>
      <c r="X954" s="4"/>
      <c r="Y954" s="4"/>
      <c r="Z954" s="4"/>
      <c r="AA954" s="4"/>
      <c r="AB954" s="4"/>
      <c r="AC954" s="4"/>
      <c r="AD954" s="4"/>
      <c r="AE954" s="4"/>
      <c r="AF954" s="4"/>
      <c r="AG954" s="4"/>
      <c r="AH954" s="4"/>
      <c r="AI954" s="4"/>
      <c r="AJ954" s="4"/>
      <c r="AK954" s="4"/>
      <c r="AL954" s="4"/>
      <c r="AM954" s="4"/>
      <c r="AN954" s="4"/>
      <c r="AO954" s="4"/>
      <c r="AP954" s="4"/>
      <c r="AQ954" s="4"/>
      <c r="AR954" s="4"/>
      <c r="AS954" s="4"/>
      <c r="AT954" s="4"/>
      <c r="AU954" s="4"/>
      <c r="AV954" s="4"/>
      <c r="AW954" s="4"/>
      <c r="AX954" s="4"/>
      <c r="AY954" s="4"/>
      <c r="AZ954" s="4"/>
      <c r="BA954" s="4"/>
      <c r="BB954" s="4"/>
      <c r="BC954" s="4"/>
      <c r="BD954" s="4"/>
      <c r="BE954" s="4"/>
      <c r="BF954" s="4"/>
      <c r="BG954" s="4"/>
      <c r="BH954" s="4"/>
      <c r="BI954" s="4"/>
      <c r="BJ954" s="4"/>
      <c r="BK954" s="4"/>
      <c r="BL954" s="4"/>
      <c r="BM954" s="4"/>
      <c r="BN954" s="4"/>
    </row>
    <row r="955" ht="13.5" customHeight="1" spans="1:66" x14ac:dyDescent="0.25">
      <c r="A955" s="4"/>
      <c r="B955" s="4"/>
      <c r="C955" s="533"/>
      <c r="D955" s="4"/>
      <c r="E955" s="4"/>
      <c r="F955" s="4"/>
      <c r="G955" s="4"/>
      <c r="H955" s="4"/>
      <c r="I955" s="4"/>
      <c r="J955" s="4"/>
      <c r="K955" s="4"/>
      <c r="L955" s="4"/>
      <c r="M955" s="4"/>
      <c r="N955" s="4"/>
      <c r="O955" s="4"/>
      <c r="P955" s="4"/>
      <c r="Q955" s="4"/>
      <c r="R955" s="4"/>
      <c r="S955" s="4"/>
      <c r="T955" s="4"/>
      <c r="U955" s="4"/>
      <c r="V955" s="4"/>
      <c r="W955" s="4"/>
      <c r="X955" s="4"/>
      <c r="Y955" s="4"/>
      <c r="Z955" s="4"/>
      <c r="AA955" s="4"/>
      <c r="AB955" s="4"/>
      <c r="AC955" s="4"/>
      <c r="AD955" s="4"/>
      <c r="AE955" s="4"/>
      <c r="AF955" s="4"/>
      <c r="AG955" s="4"/>
      <c r="AH955" s="4"/>
      <c r="AI955" s="4"/>
      <c r="AJ955" s="4"/>
      <c r="AK955" s="4"/>
      <c r="AL955" s="4"/>
      <c r="AM955" s="4"/>
      <c r="AN955" s="4"/>
      <c r="AO955" s="4"/>
      <c r="AP955" s="4"/>
      <c r="AQ955" s="4"/>
      <c r="AR955" s="4"/>
      <c r="AS955" s="4"/>
      <c r="AT955" s="4"/>
      <c r="AU955" s="4"/>
      <c r="AV955" s="4"/>
      <c r="AW955" s="4"/>
      <c r="AX955" s="4"/>
      <c r="AY955" s="4"/>
      <c r="AZ955" s="4"/>
      <c r="BA955" s="4"/>
      <c r="BB955" s="4"/>
      <c r="BC955" s="4"/>
      <c r="BD955" s="4"/>
      <c r="BE955" s="4"/>
      <c r="BF955" s="4"/>
      <c r="BG955" s="4"/>
      <c r="BH955" s="4"/>
      <c r="BI955" s="4"/>
      <c r="BJ955" s="4"/>
      <c r="BK955" s="4"/>
      <c r="BL955" s="4"/>
      <c r="BM955" s="4"/>
      <c r="BN955" s="4"/>
    </row>
    <row r="956" ht="13.5" customHeight="1" spans="1:66" x14ac:dyDescent="0.25">
      <c r="A956" s="4"/>
      <c r="B956" s="4"/>
      <c r="C956" s="533"/>
      <c r="D956" s="4"/>
      <c r="E956" s="4"/>
      <c r="F956" s="4"/>
      <c r="G956" s="4"/>
      <c r="H956" s="4"/>
      <c r="I956" s="4"/>
      <c r="J956" s="4"/>
      <c r="K956" s="4"/>
      <c r="L956" s="4"/>
      <c r="M956" s="4"/>
      <c r="N956" s="4"/>
      <c r="O956" s="4"/>
      <c r="P956" s="4"/>
      <c r="Q956" s="4"/>
      <c r="R956" s="4"/>
      <c r="S956" s="4"/>
      <c r="T956" s="4"/>
      <c r="U956" s="4"/>
      <c r="V956" s="4"/>
      <c r="W956" s="4"/>
      <c r="X956" s="4"/>
      <c r="Y956" s="4"/>
      <c r="Z956" s="4"/>
      <c r="AA956" s="4"/>
      <c r="AB956" s="4"/>
      <c r="AC956" s="4"/>
      <c r="AD956" s="4"/>
      <c r="AE956" s="4"/>
      <c r="AF956" s="4"/>
      <c r="AG956" s="4"/>
      <c r="AH956" s="4"/>
      <c r="AI956" s="4"/>
      <c r="AJ956" s="4"/>
      <c r="AK956" s="4"/>
      <c r="AL956" s="4"/>
      <c r="AM956" s="4"/>
      <c r="AN956" s="4"/>
      <c r="AO956" s="4"/>
      <c r="AP956" s="4"/>
      <c r="AQ956" s="4"/>
      <c r="AR956" s="4"/>
      <c r="AS956" s="4"/>
      <c r="AT956" s="4"/>
      <c r="AU956" s="4"/>
      <c r="AV956" s="4"/>
      <c r="AW956" s="4"/>
      <c r="AX956" s="4"/>
      <c r="AY956" s="4"/>
      <c r="AZ956" s="4"/>
      <c r="BA956" s="4"/>
      <c r="BB956" s="4"/>
      <c r="BC956" s="4"/>
      <c r="BD956" s="4"/>
      <c r="BE956" s="4"/>
      <c r="BF956" s="4"/>
      <c r="BG956" s="4"/>
      <c r="BH956" s="4"/>
      <c r="BI956" s="4"/>
      <c r="BJ956" s="4"/>
      <c r="BK956" s="4"/>
      <c r="BL956" s="4"/>
      <c r="BM956" s="4"/>
      <c r="BN956" s="4"/>
    </row>
    <row r="957" ht="13.5" customHeight="1" spans="1:66" x14ac:dyDescent="0.25">
      <c r="A957" s="4"/>
      <c r="B957" s="4"/>
      <c r="C957" s="533"/>
      <c r="D957" s="4"/>
      <c r="E957" s="4"/>
      <c r="F957" s="4"/>
      <c r="G957" s="4"/>
      <c r="H957" s="4"/>
      <c r="I957" s="4"/>
      <c r="J957" s="4"/>
      <c r="K957" s="4"/>
      <c r="L957" s="4"/>
      <c r="M957" s="4"/>
      <c r="N957" s="4"/>
      <c r="O957" s="4"/>
      <c r="P957" s="4"/>
      <c r="Q957" s="4"/>
      <c r="R957" s="4"/>
      <c r="S957" s="4"/>
      <c r="T957" s="4"/>
      <c r="U957" s="4"/>
      <c r="V957" s="4"/>
      <c r="W957" s="4"/>
      <c r="X957" s="4"/>
      <c r="Y957" s="4"/>
      <c r="Z957" s="4"/>
      <c r="AA957" s="4"/>
      <c r="AB957" s="4"/>
      <c r="AC957" s="4"/>
      <c r="AD957" s="4"/>
      <c r="AE957" s="4"/>
      <c r="AF957" s="4"/>
      <c r="AG957" s="4"/>
      <c r="AH957" s="4"/>
      <c r="AI957" s="4"/>
      <c r="AJ957" s="4"/>
      <c r="AK957" s="4"/>
      <c r="AL957" s="4"/>
      <c r="AM957" s="4"/>
      <c r="AN957" s="4"/>
      <c r="AO957" s="4"/>
      <c r="AP957" s="4"/>
      <c r="AQ957" s="4"/>
      <c r="AR957" s="4"/>
      <c r="AS957" s="4"/>
      <c r="AT957" s="4"/>
      <c r="AU957" s="4"/>
      <c r="AV957" s="4"/>
      <c r="AW957" s="4"/>
      <c r="AX957" s="4"/>
      <c r="AY957" s="4"/>
      <c r="AZ957" s="4"/>
      <c r="BA957" s="4"/>
      <c r="BB957" s="4"/>
      <c r="BC957" s="4"/>
      <c r="BD957" s="4"/>
      <c r="BE957" s="4"/>
      <c r="BF957" s="4"/>
      <c r="BG957" s="4"/>
      <c r="BH957" s="4"/>
      <c r="BI957" s="4"/>
      <c r="BJ957" s="4"/>
      <c r="BK957" s="4"/>
      <c r="BL957" s="4"/>
      <c r="BM957" s="4"/>
      <c r="BN957" s="4"/>
    </row>
    <row r="958" ht="13.5" customHeight="1" spans="1:66" x14ac:dyDescent="0.25">
      <c r="A958" s="4"/>
      <c r="B958" s="4"/>
      <c r="C958" s="533"/>
      <c r="D958" s="4"/>
      <c r="E958" s="4"/>
      <c r="F958" s="4"/>
      <c r="G958" s="4"/>
      <c r="H958" s="4"/>
      <c r="I958" s="4"/>
      <c r="J958" s="4"/>
      <c r="K958" s="4"/>
      <c r="L958" s="4"/>
      <c r="M958" s="4"/>
      <c r="N958" s="4"/>
      <c r="O958" s="4"/>
      <c r="P958" s="4"/>
      <c r="Q958" s="4"/>
      <c r="R958" s="4"/>
      <c r="S958" s="4"/>
      <c r="T958" s="4"/>
      <c r="U958" s="4"/>
      <c r="V958" s="4"/>
      <c r="W958" s="4"/>
      <c r="X958" s="4"/>
      <c r="Y958" s="4"/>
      <c r="Z958" s="4"/>
      <c r="AA958" s="4"/>
      <c r="AB958" s="4"/>
      <c r="AC958" s="4"/>
      <c r="AD958" s="4"/>
      <c r="AE958" s="4"/>
      <c r="AF958" s="4"/>
      <c r="AG958" s="4"/>
      <c r="AH958" s="4"/>
      <c r="AI958" s="4"/>
      <c r="AJ958" s="4"/>
      <c r="AK958" s="4"/>
      <c r="AL958" s="4"/>
      <c r="AM958" s="4"/>
      <c r="AN958" s="4"/>
      <c r="AO958" s="4"/>
      <c r="AP958" s="4"/>
      <c r="AQ958" s="4"/>
      <c r="AR958" s="4"/>
      <c r="AS958" s="4"/>
      <c r="AT958" s="4"/>
      <c r="AU958" s="4"/>
      <c r="AV958" s="4"/>
      <c r="AW958" s="4"/>
      <c r="AX958" s="4"/>
      <c r="AY958" s="4"/>
      <c r="AZ958" s="4"/>
      <c r="BA958" s="4"/>
      <c r="BB958" s="4"/>
      <c r="BC958" s="4"/>
      <c r="BD958" s="4"/>
      <c r="BE958" s="4"/>
      <c r="BF958" s="4"/>
      <c r="BG958" s="4"/>
      <c r="BH958" s="4"/>
      <c r="BI958" s="4"/>
      <c r="BJ958" s="4"/>
      <c r="BK958" s="4"/>
      <c r="BL958" s="4"/>
      <c r="BM958" s="4"/>
      <c r="BN958" s="4"/>
    </row>
    <row r="959" ht="13.5" customHeight="1" spans="1:66" x14ac:dyDescent="0.25">
      <c r="A959" s="4"/>
      <c r="B959" s="4"/>
      <c r="C959" s="533"/>
      <c r="D959" s="4"/>
      <c r="E959" s="4"/>
      <c r="F959" s="4"/>
      <c r="G959" s="4"/>
      <c r="H959" s="4"/>
      <c r="I959" s="4"/>
      <c r="J959" s="4"/>
      <c r="K959" s="4"/>
      <c r="L959" s="4"/>
      <c r="M959" s="4"/>
      <c r="N959" s="4"/>
      <c r="O959" s="4"/>
      <c r="P959" s="4"/>
      <c r="Q959" s="4"/>
      <c r="R959" s="4"/>
      <c r="S959" s="4"/>
      <c r="T959" s="4"/>
      <c r="U959" s="4"/>
      <c r="V959" s="4"/>
      <c r="W959" s="4"/>
      <c r="X959" s="4"/>
      <c r="Y959" s="4"/>
      <c r="Z959" s="4"/>
      <c r="AA959" s="4"/>
      <c r="AB959" s="4"/>
      <c r="AC959" s="4"/>
      <c r="AD959" s="4"/>
      <c r="AE959" s="4"/>
      <c r="AF959" s="4"/>
      <c r="AG959" s="4"/>
      <c r="AH959" s="4"/>
      <c r="AI959" s="4"/>
      <c r="AJ959" s="4"/>
      <c r="AK959" s="4"/>
      <c r="AL959" s="4"/>
      <c r="AM959" s="4"/>
      <c r="AN959" s="4"/>
      <c r="AO959" s="4"/>
      <c r="AP959" s="4"/>
      <c r="AQ959" s="4"/>
      <c r="AR959" s="4"/>
      <c r="AS959" s="4"/>
      <c r="AT959" s="4"/>
      <c r="AU959" s="4"/>
      <c r="AV959" s="4"/>
      <c r="AW959" s="4"/>
      <c r="AX959" s="4"/>
      <c r="AY959" s="4"/>
      <c r="AZ959" s="4"/>
      <c r="BA959" s="4"/>
      <c r="BB959" s="4"/>
      <c r="BC959" s="4"/>
      <c r="BD959" s="4"/>
      <c r="BE959" s="4"/>
      <c r="BF959" s="4"/>
      <c r="BG959" s="4"/>
      <c r="BH959" s="4"/>
      <c r="BI959" s="4"/>
      <c r="BJ959" s="4"/>
      <c r="BK959" s="4"/>
      <c r="BL959" s="4"/>
      <c r="BM959" s="4"/>
      <c r="BN959" s="4"/>
    </row>
    <row r="960" ht="13.5" customHeight="1" spans="1:66" x14ac:dyDescent="0.25">
      <c r="A960" s="4"/>
      <c r="B960" s="4"/>
      <c r="C960" s="533"/>
      <c r="D960" s="4"/>
      <c r="E960" s="4"/>
      <c r="F960" s="4"/>
      <c r="G960" s="4"/>
      <c r="H960" s="4"/>
      <c r="I960" s="4"/>
      <c r="J960" s="4"/>
      <c r="K960" s="4"/>
      <c r="L960" s="4"/>
      <c r="M960" s="4"/>
      <c r="N960" s="4"/>
      <c r="O960" s="4"/>
      <c r="P960" s="4"/>
      <c r="Q960" s="4"/>
      <c r="R960" s="4"/>
      <c r="S960" s="4"/>
      <c r="T960" s="4"/>
      <c r="U960" s="4"/>
      <c r="V960" s="4"/>
      <c r="W960" s="4"/>
      <c r="X960" s="4"/>
      <c r="Y960" s="4"/>
      <c r="Z960" s="4"/>
      <c r="AA960" s="4"/>
      <c r="AB960" s="4"/>
      <c r="AC960" s="4"/>
      <c r="AD960" s="4"/>
      <c r="AE960" s="4"/>
      <c r="AF960" s="4"/>
      <c r="AG960" s="4"/>
      <c r="AH960" s="4"/>
      <c r="AI960" s="4"/>
      <c r="AJ960" s="4"/>
      <c r="AK960" s="4"/>
      <c r="AL960" s="4"/>
      <c r="AM960" s="4"/>
      <c r="AN960" s="4"/>
      <c r="AO960" s="4"/>
      <c r="AP960" s="4"/>
      <c r="AQ960" s="4"/>
      <c r="AR960" s="4"/>
      <c r="AS960" s="4"/>
      <c r="AT960" s="4"/>
      <c r="AU960" s="4"/>
      <c r="AV960" s="4"/>
      <c r="AW960" s="4"/>
      <c r="AX960" s="4"/>
      <c r="AY960" s="4"/>
      <c r="AZ960" s="4"/>
      <c r="BA960" s="4"/>
      <c r="BB960" s="4"/>
      <c r="BC960" s="4"/>
      <c r="BD960" s="4"/>
      <c r="BE960" s="4"/>
      <c r="BF960" s="4"/>
      <c r="BG960" s="4"/>
      <c r="BH960" s="4"/>
      <c r="BI960" s="4"/>
      <c r="BJ960" s="4"/>
      <c r="BK960" s="4"/>
      <c r="BL960" s="4"/>
      <c r="BM960" s="4"/>
      <c r="BN960" s="4"/>
    </row>
    <row r="961" ht="13.5" customHeight="1" spans="1:66" x14ac:dyDescent="0.25">
      <c r="A961" s="4"/>
      <c r="B961" s="4"/>
      <c r="C961" s="533"/>
      <c r="D961" s="4"/>
      <c r="E961" s="4"/>
      <c r="F961" s="4"/>
      <c r="G961" s="4"/>
      <c r="H961" s="4"/>
      <c r="I961" s="4"/>
      <c r="J961" s="4"/>
      <c r="K961" s="4"/>
      <c r="L961" s="4"/>
      <c r="M961" s="4"/>
      <c r="N961" s="4"/>
      <c r="O961" s="4"/>
      <c r="P961" s="4"/>
      <c r="Q961" s="4"/>
      <c r="R961" s="4"/>
      <c r="S961" s="4"/>
      <c r="T961" s="4"/>
      <c r="U961" s="4"/>
      <c r="V961" s="4"/>
      <c r="W961" s="4"/>
      <c r="X961" s="4"/>
      <c r="Y961" s="4"/>
      <c r="Z961" s="4"/>
      <c r="AA961" s="4"/>
      <c r="AB961" s="4"/>
      <c r="AC961" s="4"/>
      <c r="AD961" s="4"/>
      <c r="AE961" s="4"/>
      <c r="AF961" s="4"/>
      <c r="AG961" s="4"/>
      <c r="AH961" s="4"/>
      <c r="AI961" s="4"/>
      <c r="AJ961" s="4"/>
      <c r="AK961" s="4"/>
      <c r="AL961" s="4"/>
      <c r="AM961" s="4"/>
      <c r="AN961" s="4"/>
      <c r="AO961" s="4"/>
      <c r="AP961" s="4"/>
      <c r="AQ961" s="4"/>
      <c r="AR961" s="4"/>
      <c r="AS961" s="4"/>
      <c r="AT961" s="4"/>
      <c r="AU961" s="4"/>
      <c r="AV961" s="4"/>
      <c r="AW961" s="4"/>
      <c r="AX961" s="4"/>
      <c r="AY961" s="4"/>
      <c r="AZ961" s="4"/>
      <c r="BA961" s="4"/>
      <c r="BB961" s="4"/>
      <c r="BC961" s="4"/>
      <c r="BD961" s="4"/>
      <c r="BE961" s="4"/>
      <c r="BF961" s="4"/>
      <c r="BG961" s="4"/>
      <c r="BH961" s="4"/>
      <c r="BI961" s="4"/>
      <c r="BJ961" s="4"/>
      <c r="BK961" s="4"/>
      <c r="BL961" s="4"/>
      <c r="BM961" s="4"/>
      <c r="BN961" s="4"/>
    </row>
    <row r="962" ht="13.5" customHeight="1" spans="1:66" x14ac:dyDescent="0.25">
      <c r="A962" s="4"/>
      <c r="B962" s="4"/>
      <c r="C962" s="533"/>
      <c r="D962" s="4"/>
      <c r="E962" s="4"/>
      <c r="F962" s="4"/>
      <c r="G962" s="4"/>
      <c r="H962" s="4"/>
      <c r="I962" s="4"/>
      <c r="J962" s="4"/>
      <c r="K962" s="4"/>
      <c r="L962" s="4"/>
      <c r="M962" s="4"/>
      <c r="N962" s="4"/>
      <c r="O962" s="4"/>
      <c r="P962" s="4"/>
      <c r="Q962" s="4"/>
      <c r="R962" s="4"/>
      <c r="S962" s="4"/>
      <c r="T962" s="4"/>
      <c r="U962" s="4"/>
      <c r="V962" s="4"/>
      <c r="W962" s="4"/>
      <c r="X962" s="4"/>
      <c r="Y962" s="4"/>
      <c r="Z962" s="4"/>
      <c r="AA962" s="4"/>
      <c r="AB962" s="4"/>
      <c r="AC962" s="4"/>
      <c r="AD962" s="4"/>
      <c r="AE962" s="4"/>
      <c r="AF962" s="4"/>
      <c r="AG962" s="4"/>
      <c r="AH962" s="4"/>
      <c r="AI962" s="4"/>
      <c r="AJ962" s="4"/>
      <c r="AK962" s="4"/>
      <c r="AL962" s="4"/>
      <c r="AM962" s="4"/>
      <c r="AN962" s="4"/>
      <c r="AO962" s="4"/>
      <c r="AP962" s="4"/>
      <c r="AQ962" s="4"/>
      <c r="AR962" s="4"/>
      <c r="AS962" s="4"/>
      <c r="AT962" s="4"/>
      <c r="AU962" s="4"/>
      <c r="AV962" s="4"/>
      <c r="AW962" s="4"/>
      <c r="AX962" s="4"/>
      <c r="AY962" s="4"/>
      <c r="AZ962" s="4"/>
      <c r="BA962" s="4"/>
      <c r="BB962" s="4"/>
      <c r="BC962" s="4"/>
      <c r="BD962" s="4"/>
      <c r="BE962" s="4"/>
      <c r="BF962" s="4"/>
      <c r="BG962" s="4"/>
      <c r="BH962" s="4"/>
      <c r="BI962" s="4"/>
      <c r="BJ962" s="4"/>
      <c r="BK962" s="4"/>
      <c r="BL962" s="4"/>
      <c r="BM962" s="4"/>
      <c r="BN962" s="4"/>
    </row>
    <row r="963" ht="13.5" customHeight="1" spans="1:66" x14ac:dyDescent="0.25">
      <c r="A963" s="4"/>
      <c r="B963" s="4"/>
      <c r="C963" s="533"/>
      <c r="D963" s="4"/>
      <c r="E963" s="4"/>
      <c r="F963" s="4"/>
      <c r="G963" s="4"/>
      <c r="H963" s="4"/>
      <c r="I963" s="4"/>
      <c r="J963" s="4"/>
      <c r="K963" s="4"/>
      <c r="L963" s="4"/>
      <c r="M963" s="4"/>
      <c r="N963" s="4"/>
      <c r="O963" s="4"/>
      <c r="P963" s="4"/>
      <c r="Q963" s="4"/>
      <c r="R963" s="4"/>
      <c r="S963" s="4"/>
      <c r="T963" s="4"/>
      <c r="U963" s="4"/>
      <c r="V963" s="4"/>
      <c r="W963" s="4"/>
      <c r="X963" s="4"/>
      <c r="Y963" s="4"/>
      <c r="Z963" s="4"/>
      <c r="AA963" s="4"/>
      <c r="AB963" s="4"/>
      <c r="AC963" s="4"/>
      <c r="AD963" s="4"/>
      <c r="AE963" s="4"/>
      <c r="AF963" s="4"/>
      <c r="AG963" s="4"/>
      <c r="AH963" s="4"/>
      <c r="AI963" s="4"/>
      <c r="AJ963" s="4"/>
      <c r="AK963" s="4"/>
      <c r="AL963" s="4"/>
      <c r="AM963" s="4"/>
      <c r="AN963" s="4"/>
      <c r="AO963" s="4"/>
      <c r="AP963" s="4"/>
      <c r="AQ963" s="4"/>
      <c r="AR963" s="4"/>
      <c r="AS963" s="4"/>
      <c r="AT963" s="4"/>
      <c r="AU963" s="4"/>
      <c r="AV963" s="4"/>
      <c r="AW963" s="4"/>
      <c r="AX963" s="4"/>
      <c r="AY963" s="4"/>
      <c r="AZ963" s="4"/>
      <c r="BA963" s="4"/>
      <c r="BB963" s="4"/>
      <c r="BC963" s="4"/>
      <c r="BD963" s="4"/>
      <c r="BE963" s="4"/>
      <c r="BF963" s="4"/>
      <c r="BG963" s="4"/>
      <c r="BH963" s="4"/>
      <c r="BI963" s="4"/>
      <c r="BJ963" s="4"/>
      <c r="BK963" s="4"/>
      <c r="BL963" s="4"/>
      <c r="BM963" s="4"/>
      <c r="BN963" s="4"/>
    </row>
    <row r="964" ht="13.5" customHeight="1" spans="1:66" x14ac:dyDescent="0.25">
      <c r="A964" s="4"/>
      <c r="B964" s="4"/>
      <c r="C964" s="533"/>
      <c r="D964" s="4"/>
      <c r="E964" s="4"/>
      <c r="F964" s="4"/>
      <c r="G964" s="4"/>
      <c r="H964" s="4"/>
      <c r="I964" s="4"/>
      <c r="J964" s="4"/>
      <c r="K964" s="4"/>
      <c r="L964" s="4"/>
      <c r="M964" s="4"/>
      <c r="N964" s="4"/>
      <c r="O964" s="4"/>
      <c r="P964" s="4"/>
      <c r="Q964" s="4"/>
      <c r="R964" s="4"/>
      <c r="S964" s="4"/>
      <c r="T964" s="4"/>
      <c r="U964" s="4"/>
      <c r="V964" s="4"/>
      <c r="W964" s="4"/>
      <c r="X964" s="4"/>
      <c r="Y964" s="4"/>
      <c r="Z964" s="4"/>
      <c r="AA964" s="4"/>
      <c r="AB964" s="4"/>
      <c r="AC964" s="4"/>
      <c r="AD964" s="4"/>
      <c r="AE964" s="4"/>
      <c r="AF964" s="4"/>
      <c r="AG964" s="4"/>
      <c r="AH964" s="4"/>
      <c r="AI964" s="4"/>
      <c r="AJ964" s="4"/>
      <c r="AK964" s="4"/>
      <c r="AL964" s="4"/>
      <c r="AM964" s="4"/>
      <c r="AN964" s="4"/>
      <c r="AO964" s="4"/>
      <c r="AP964" s="4"/>
      <c r="AQ964" s="4"/>
      <c r="AR964" s="4"/>
      <c r="AS964" s="4"/>
      <c r="AT964" s="4"/>
      <c r="AU964" s="4"/>
      <c r="AV964" s="4"/>
      <c r="AW964" s="4"/>
      <c r="AX964" s="4"/>
      <c r="AY964" s="4"/>
      <c r="AZ964" s="4"/>
      <c r="BA964" s="4"/>
      <c r="BB964" s="4"/>
      <c r="BC964" s="4"/>
      <c r="BD964" s="4"/>
      <c r="BE964" s="4"/>
      <c r="BF964" s="4"/>
      <c r="BG964" s="4"/>
      <c r="BH964" s="4"/>
      <c r="BI964" s="4"/>
      <c r="BJ964" s="4"/>
      <c r="BK964" s="4"/>
      <c r="BL964" s="4"/>
      <c r="BM964" s="4"/>
      <c r="BN964" s="4"/>
    </row>
    <row r="965" ht="13.5" customHeight="1" spans="1:66" x14ac:dyDescent="0.25">
      <c r="A965" s="4"/>
      <c r="B965" s="4"/>
      <c r="C965" s="533"/>
      <c r="D965" s="4"/>
      <c r="E965" s="4"/>
      <c r="F965" s="4"/>
      <c r="G965" s="4"/>
      <c r="H965" s="4"/>
      <c r="I965" s="4"/>
      <c r="J965" s="4"/>
      <c r="K965" s="4"/>
      <c r="L965" s="4"/>
      <c r="M965" s="4"/>
      <c r="N965" s="4"/>
      <c r="O965" s="4"/>
      <c r="P965" s="4"/>
      <c r="Q965" s="4"/>
      <c r="R965" s="4"/>
      <c r="S965" s="4"/>
      <c r="T965" s="4"/>
      <c r="U965" s="4"/>
      <c r="V965" s="4"/>
      <c r="W965" s="4"/>
      <c r="X965" s="4"/>
      <c r="Y965" s="4"/>
      <c r="Z965" s="4"/>
      <c r="AA965" s="4"/>
      <c r="AB965" s="4"/>
      <c r="AC965" s="4"/>
      <c r="AD965" s="4"/>
      <c r="AE965" s="4"/>
      <c r="AF965" s="4"/>
      <c r="AG965" s="4"/>
      <c r="AH965" s="4"/>
      <c r="AI965" s="4"/>
      <c r="AJ965" s="4"/>
      <c r="AK965" s="4"/>
      <c r="AL965" s="4"/>
      <c r="AM965" s="4"/>
      <c r="AN965" s="4"/>
      <c r="AO965" s="4"/>
      <c r="AP965" s="4"/>
      <c r="AQ965" s="4"/>
      <c r="AR965" s="4"/>
      <c r="AS965" s="4"/>
      <c r="AT965" s="4"/>
      <c r="AU965" s="4"/>
      <c r="AV965" s="4"/>
      <c r="AW965" s="4"/>
      <c r="AX965" s="4"/>
      <c r="AY965" s="4"/>
      <c r="AZ965" s="4"/>
      <c r="BA965" s="4"/>
      <c r="BB965" s="4"/>
      <c r="BC965" s="4"/>
      <c r="BD965" s="4"/>
      <c r="BE965" s="4"/>
      <c r="BF965" s="4"/>
      <c r="BG965" s="4"/>
      <c r="BH965" s="4"/>
      <c r="BI965" s="4"/>
      <c r="BJ965" s="4"/>
      <c r="BK965" s="4"/>
      <c r="BL965" s="4"/>
      <c r="BM965" s="4"/>
      <c r="BN965" s="4"/>
    </row>
    <row r="966" ht="13.5" customHeight="1" spans="1:66" x14ac:dyDescent="0.25">
      <c r="A966" s="4"/>
      <c r="B966" s="4"/>
      <c r="C966" s="533"/>
      <c r="D966" s="4"/>
      <c r="E966" s="4"/>
      <c r="F966" s="4"/>
      <c r="G966" s="4"/>
      <c r="H966" s="4"/>
      <c r="I966" s="4"/>
      <c r="J966" s="4"/>
      <c r="K966" s="4"/>
      <c r="L966" s="4"/>
      <c r="M966" s="4"/>
      <c r="N966" s="4"/>
      <c r="O966" s="4"/>
      <c r="P966" s="4"/>
      <c r="Q966" s="4"/>
      <c r="R966" s="4"/>
      <c r="S966" s="4"/>
      <c r="T966" s="4"/>
      <c r="U966" s="4"/>
      <c r="V966" s="4"/>
      <c r="W966" s="4"/>
      <c r="X966" s="4"/>
      <c r="Y966" s="4"/>
      <c r="Z966" s="4"/>
      <c r="AA966" s="4"/>
      <c r="AB966" s="4"/>
      <c r="AC966" s="4"/>
      <c r="AD966" s="4"/>
      <c r="AE966" s="4"/>
      <c r="AF966" s="4"/>
      <c r="AG966" s="4"/>
      <c r="AH966" s="4"/>
      <c r="AI966" s="4"/>
      <c r="AJ966" s="4"/>
      <c r="AK966" s="4"/>
      <c r="AL966" s="4"/>
      <c r="AM966" s="4"/>
      <c r="AN966" s="4"/>
      <c r="AO966" s="4"/>
      <c r="AP966" s="4"/>
      <c r="AQ966" s="4"/>
      <c r="AR966" s="4"/>
      <c r="AS966" s="4"/>
      <c r="AT966" s="4"/>
      <c r="AU966" s="4"/>
      <c r="AV966" s="4"/>
      <c r="AW966" s="4"/>
      <c r="AX966" s="4"/>
      <c r="AY966" s="4"/>
      <c r="AZ966" s="4"/>
      <c r="BA966" s="4"/>
      <c r="BB966" s="4"/>
      <c r="BC966" s="4"/>
      <c r="BD966" s="4"/>
      <c r="BE966" s="4"/>
      <c r="BF966" s="4"/>
      <c r="BG966" s="4"/>
      <c r="BH966" s="4"/>
      <c r="BI966" s="4"/>
      <c r="BJ966" s="4"/>
      <c r="BK966" s="4"/>
      <c r="BL966" s="4"/>
      <c r="BM966" s="4"/>
      <c r="BN966" s="4"/>
    </row>
    <row r="967" ht="13.5" customHeight="1" spans="1:66" x14ac:dyDescent="0.25">
      <c r="A967" s="4"/>
      <c r="B967" s="4"/>
      <c r="C967" s="533"/>
      <c r="D967" s="4"/>
      <c r="E967" s="4"/>
      <c r="F967" s="4"/>
      <c r="G967" s="4"/>
      <c r="H967" s="4"/>
      <c r="I967" s="4"/>
      <c r="J967" s="4"/>
      <c r="K967" s="4"/>
      <c r="L967" s="4"/>
      <c r="M967" s="4"/>
      <c r="N967" s="4"/>
      <c r="O967" s="4"/>
      <c r="P967" s="4"/>
      <c r="Q967" s="4"/>
      <c r="R967" s="4"/>
      <c r="S967" s="4"/>
      <c r="T967" s="4"/>
      <c r="U967" s="4"/>
      <c r="V967" s="4"/>
      <c r="W967" s="4"/>
      <c r="X967" s="4"/>
      <c r="Y967" s="4"/>
      <c r="Z967" s="4"/>
      <c r="AA967" s="4"/>
      <c r="AB967" s="4"/>
      <c r="AC967" s="4"/>
      <c r="AD967" s="4"/>
      <c r="AE967" s="4"/>
      <c r="AF967" s="4"/>
      <c r="AG967" s="4"/>
      <c r="AH967" s="4"/>
      <c r="AI967" s="4"/>
      <c r="AJ967" s="4"/>
      <c r="AK967" s="4"/>
      <c r="AL967" s="4"/>
      <c r="AM967" s="4"/>
      <c r="AN967" s="4"/>
      <c r="AO967" s="4"/>
      <c r="AP967" s="4"/>
      <c r="AQ967" s="4"/>
      <c r="AR967" s="4"/>
      <c r="AS967" s="4"/>
      <c r="AT967" s="4"/>
      <c r="AU967" s="4"/>
      <c r="AV967" s="4"/>
      <c r="AW967" s="4"/>
      <c r="AX967" s="4"/>
      <c r="AY967" s="4"/>
      <c r="AZ967" s="4"/>
      <c r="BA967" s="4"/>
      <c r="BB967" s="4"/>
      <c r="BC967" s="4"/>
      <c r="BD967" s="4"/>
      <c r="BE967" s="4"/>
      <c r="BF967" s="4"/>
      <c r="BG967" s="4"/>
      <c r="BH967" s="4"/>
      <c r="BI967" s="4"/>
      <c r="BJ967" s="4"/>
      <c r="BK967" s="4"/>
      <c r="BL967" s="4"/>
      <c r="BM967" s="4"/>
      <c r="BN967" s="4"/>
    </row>
    <row r="968" ht="13.5" customHeight="1" spans="1:66" x14ac:dyDescent="0.25">
      <c r="A968" s="4"/>
      <c r="B968" s="4"/>
      <c r="C968" s="533"/>
      <c r="D968" s="4"/>
      <c r="E968" s="4"/>
      <c r="F968" s="4"/>
      <c r="G968" s="4"/>
      <c r="H968" s="4"/>
      <c r="I968" s="4"/>
      <c r="J968" s="4"/>
      <c r="K968" s="4"/>
      <c r="L968" s="4"/>
      <c r="M968" s="4"/>
      <c r="N968" s="4"/>
      <c r="O968" s="4"/>
      <c r="P968" s="4"/>
      <c r="Q968" s="4"/>
      <c r="R968" s="4"/>
      <c r="S968" s="4"/>
      <c r="T968" s="4"/>
      <c r="U968" s="4"/>
      <c r="V968" s="4"/>
      <c r="W968" s="4"/>
      <c r="X968" s="4"/>
      <c r="Y968" s="4"/>
      <c r="Z968" s="4"/>
      <c r="AA968" s="4"/>
      <c r="AB968" s="4"/>
      <c r="AC968" s="4"/>
      <c r="AD968" s="4"/>
      <c r="AE968" s="4"/>
      <c r="AF968" s="4"/>
      <c r="AG968" s="4"/>
      <c r="AH968" s="4"/>
      <c r="AI968" s="4"/>
      <c r="AJ968" s="4"/>
      <c r="AK968" s="4"/>
      <c r="AL968" s="4"/>
      <c r="AM968" s="4"/>
      <c r="AN968" s="4"/>
      <c r="AO968" s="4"/>
      <c r="AP968" s="4"/>
      <c r="AQ968" s="4"/>
      <c r="AR968" s="4"/>
      <c r="AS968" s="4"/>
      <c r="AT968" s="4"/>
      <c r="AU968" s="4"/>
      <c r="AV968" s="4"/>
      <c r="AW968" s="4"/>
      <c r="AX968" s="4"/>
      <c r="AY968" s="4"/>
      <c r="AZ968" s="4"/>
      <c r="BA968" s="4"/>
      <c r="BB968" s="4"/>
      <c r="BC968" s="4"/>
      <c r="BD968" s="4"/>
      <c r="BE968" s="4"/>
      <c r="BF968" s="4"/>
      <c r="BG968" s="4"/>
      <c r="BH968" s="4"/>
      <c r="BI968" s="4"/>
      <c r="BJ968" s="4"/>
      <c r="BK968" s="4"/>
      <c r="BL968" s="4"/>
      <c r="BM968" s="4"/>
      <c r="BN968" s="4"/>
    </row>
    <row r="969" ht="13.5" customHeight="1" spans="1:66" x14ac:dyDescent="0.25">
      <c r="A969" s="4"/>
      <c r="B969" s="4"/>
      <c r="C969" s="533"/>
      <c r="D969" s="4"/>
      <c r="E969" s="4"/>
      <c r="F969" s="4"/>
      <c r="G969" s="4"/>
      <c r="H969" s="4"/>
      <c r="I969" s="4"/>
      <c r="J969" s="4"/>
      <c r="K969" s="4"/>
      <c r="L969" s="4"/>
      <c r="M969" s="4"/>
      <c r="N969" s="4"/>
      <c r="O969" s="4"/>
      <c r="P969" s="4"/>
      <c r="Q969" s="4"/>
      <c r="R969" s="4"/>
      <c r="S969" s="4"/>
      <c r="T969" s="4"/>
      <c r="U969" s="4"/>
      <c r="V969" s="4"/>
      <c r="W969" s="4"/>
      <c r="X969" s="4"/>
      <c r="Y969" s="4"/>
      <c r="Z969" s="4"/>
      <c r="AA969" s="4"/>
      <c r="AB969" s="4"/>
      <c r="AC969" s="4"/>
      <c r="AD969" s="4"/>
      <c r="AE969" s="4"/>
      <c r="AF969" s="4"/>
      <c r="AG969" s="4"/>
      <c r="AH969" s="4"/>
      <c r="AI969" s="4"/>
      <c r="AJ969" s="4"/>
      <c r="AK969" s="4"/>
      <c r="AL969" s="4"/>
      <c r="AM969" s="4"/>
      <c r="AN969" s="4"/>
      <c r="AO969" s="4"/>
      <c r="AP969" s="4"/>
      <c r="AQ969" s="4"/>
      <c r="AR969" s="4"/>
      <c r="AS969" s="4"/>
      <c r="AT969" s="4"/>
      <c r="AU969" s="4"/>
      <c r="AV969" s="4"/>
      <c r="AW969" s="4"/>
      <c r="AX969" s="4"/>
      <c r="AY969" s="4"/>
      <c r="AZ969" s="4"/>
      <c r="BA969" s="4"/>
      <c r="BB969" s="4"/>
      <c r="BC969" s="4"/>
      <c r="BD969" s="4"/>
      <c r="BE969" s="4"/>
      <c r="BF969" s="4"/>
      <c r="BG969" s="4"/>
      <c r="BH969" s="4"/>
      <c r="BI969" s="4"/>
      <c r="BJ969" s="4"/>
      <c r="BK969" s="4"/>
      <c r="BL969" s="4"/>
      <c r="BM969" s="4"/>
      <c r="BN969" s="4"/>
    </row>
    <row r="970" ht="13.5" customHeight="1" spans="1:66" x14ac:dyDescent="0.25">
      <c r="A970" s="4"/>
      <c r="B970" s="4"/>
      <c r="C970" s="533"/>
      <c r="D970" s="4"/>
      <c r="E970" s="4"/>
      <c r="F970" s="4"/>
      <c r="G970" s="4"/>
      <c r="H970" s="4"/>
      <c r="I970" s="4"/>
      <c r="J970" s="4"/>
      <c r="K970" s="4"/>
      <c r="L970" s="4"/>
      <c r="M970" s="4"/>
      <c r="N970" s="4"/>
      <c r="O970" s="4"/>
      <c r="P970" s="4"/>
      <c r="Q970" s="4"/>
      <c r="R970" s="4"/>
      <c r="S970" s="4"/>
      <c r="T970" s="4"/>
      <c r="U970" s="4"/>
      <c r="V970" s="4"/>
      <c r="W970" s="4"/>
      <c r="X970" s="4"/>
      <c r="Y970" s="4"/>
      <c r="Z970" s="4"/>
      <c r="AA970" s="4"/>
      <c r="AB970" s="4"/>
      <c r="AC970" s="4"/>
      <c r="AD970" s="4"/>
      <c r="AE970" s="4"/>
      <c r="AF970" s="4"/>
      <c r="AG970" s="4"/>
      <c r="AH970" s="4"/>
      <c r="AI970" s="4"/>
      <c r="AJ970" s="4"/>
      <c r="AK970" s="4"/>
      <c r="AL970" s="4"/>
      <c r="AM970" s="4"/>
      <c r="AN970" s="4"/>
      <c r="AO970" s="4"/>
      <c r="AP970" s="4"/>
      <c r="AQ970" s="4"/>
      <c r="AR970" s="4"/>
      <c r="AS970" s="4"/>
      <c r="AT970" s="4"/>
      <c r="AU970" s="4"/>
      <c r="AV970" s="4"/>
      <c r="AW970" s="4"/>
      <c r="AX970" s="4"/>
      <c r="AY970" s="4"/>
      <c r="AZ970" s="4"/>
      <c r="BA970" s="4"/>
      <c r="BB970" s="4"/>
      <c r="BC970" s="4"/>
      <c r="BD970" s="4"/>
      <c r="BE970" s="4"/>
      <c r="BF970" s="4"/>
      <c r="BG970" s="4"/>
      <c r="BH970" s="4"/>
      <c r="BI970" s="4"/>
      <c r="BJ970" s="4"/>
      <c r="BK970" s="4"/>
      <c r="BL970" s="4"/>
      <c r="BM970" s="4"/>
      <c r="BN970" s="4"/>
    </row>
    <row r="971" ht="13.5" customHeight="1" spans="1:66" x14ac:dyDescent="0.25">
      <c r="A971" s="4"/>
      <c r="B971" s="4"/>
      <c r="C971" s="533"/>
      <c r="D971" s="4"/>
      <c r="E971" s="4"/>
      <c r="F971" s="4"/>
      <c r="G971" s="4"/>
      <c r="H971" s="4"/>
      <c r="I971" s="4"/>
      <c r="J971" s="4"/>
      <c r="K971" s="4"/>
      <c r="L971" s="4"/>
      <c r="M971" s="4"/>
      <c r="N971" s="4"/>
      <c r="O971" s="4"/>
      <c r="P971" s="4"/>
      <c r="Q971" s="4"/>
      <c r="R971" s="4"/>
      <c r="S971" s="4"/>
      <c r="T971" s="4"/>
      <c r="U971" s="4"/>
      <c r="V971" s="4"/>
      <c r="W971" s="4"/>
      <c r="X971" s="4"/>
      <c r="Y971" s="4"/>
      <c r="Z971" s="4"/>
      <c r="AA971" s="4"/>
      <c r="AB971" s="4"/>
      <c r="AC971" s="4"/>
      <c r="AD971" s="4"/>
      <c r="AE971" s="4"/>
      <c r="AF971" s="4"/>
      <c r="AG971" s="4"/>
      <c r="AH971" s="4"/>
      <c r="AI971" s="4"/>
      <c r="AJ971" s="4"/>
      <c r="AK971" s="4"/>
      <c r="AL971" s="4"/>
      <c r="AM971" s="4"/>
      <c r="AN971" s="4"/>
      <c r="AO971" s="4"/>
      <c r="AP971" s="4"/>
      <c r="AQ971" s="4"/>
      <c r="AR971" s="4"/>
      <c r="AS971" s="4"/>
      <c r="AT971" s="4"/>
      <c r="AU971" s="4"/>
      <c r="AV971" s="4"/>
      <c r="AW971" s="4"/>
      <c r="AX971" s="4"/>
      <c r="AY971" s="4"/>
      <c r="AZ971" s="4"/>
      <c r="BA971" s="4"/>
      <c r="BB971" s="4"/>
      <c r="BC971" s="4"/>
      <c r="BD971" s="4"/>
      <c r="BE971" s="4"/>
      <c r="BF971" s="4"/>
      <c r="BG971" s="4"/>
      <c r="BH971" s="4"/>
      <c r="BI971" s="4"/>
      <c r="BJ971" s="4"/>
      <c r="BK971" s="4"/>
      <c r="BL971" s="4"/>
      <c r="BM971" s="4"/>
      <c r="BN971" s="4"/>
    </row>
    <row r="972" ht="13.5" customHeight="1" spans="1:66" x14ac:dyDescent="0.25">
      <c r="A972" s="4"/>
      <c r="B972" s="4"/>
      <c r="C972" s="533"/>
      <c r="D972" s="4"/>
      <c r="E972" s="4"/>
      <c r="F972" s="4"/>
      <c r="G972" s="4"/>
      <c r="H972" s="4"/>
      <c r="I972" s="4"/>
      <c r="J972" s="4"/>
      <c r="K972" s="4"/>
      <c r="L972" s="4"/>
      <c r="M972" s="4"/>
      <c r="N972" s="4"/>
      <c r="O972" s="4"/>
      <c r="P972" s="4"/>
      <c r="Q972" s="4"/>
      <c r="R972" s="4"/>
      <c r="S972" s="4"/>
      <c r="T972" s="4"/>
      <c r="U972" s="4"/>
      <c r="V972" s="4"/>
      <c r="W972" s="4"/>
      <c r="X972" s="4"/>
      <c r="Y972" s="4"/>
      <c r="Z972" s="4"/>
      <c r="AA972" s="4"/>
      <c r="AB972" s="4"/>
      <c r="AC972" s="4"/>
      <c r="AD972" s="4"/>
      <c r="AE972" s="4"/>
      <c r="AF972" s="4"/>
      <c r="AG972" s="4"/>
      <c r="AH972" s="4"/>
      <c r="AI972" s="4"/>
      <c r="AJ972" s="4"/>
      <c r="AK972" s="4"/>
      <c r="AL972" s="4"/>
      <c r="AM972" s="4"/>
      <c r="AN972" s="4"/>
      <c r="AO972" s="4"/>
      <c r="AP972" s="4"/>
      <c r="AQ972" s="4"/>
      <c r="AR972" s="4"/>
      <c r="AS972" s="4"/>
      <c r="AT972" s="4"/>
      <c r="AU972" s="4"/>
      <c r="AV972" s="4"/>
      <c r="AW972" s="4"/>
      <c r="AX972" s="4"/>
      <c r="AY972" s="4"/>
      <c r="AZ972" s="4"/>
      <c r="BA972" s="4"/>
      <c r="BB972" s="4"/>
      <c r="BC972" s="4"/>
      <c r="BD972" s="4"/>
      <c r="BE972" s="4"/>
      <c r="BF972" s="4"/>
      <c r="BG972" s="4"/>
      <c r="BH972" s="4"/>
      <c r="BI972" s="4"/>
      <c r="BJ972" s="4"/>
      <c r="BK972" s="4"/>
      <c r="BL972" s="4"/>
      <c r="BM972" s="4"/>
      <c r="BN972" s="4"/>
    </row>
    <row r="973" ht="13.5" customHeight="1" spans="1:66" x14ac:dyDescent="0.25">
      <c r="A973" s="4"/>
      <c r="B973" s="4"/>
      <c r="C973" s="533"/>
      <c r="D973" s="4"/>
      <c r="E973" s="4"/>
      <c r="F973" s="4"/>
      <c r="G973" s="4"/>
      <c r="H973" s="4"/>
      <c r="I973" s="4"/>
      <c r="J973" s="4"/>
      <c r="K973" s="4"/>
      <c r="L973" s="4"/>
      <c r="M973" s="4"/>
      <c r="N973" s="4"/>
      <c r="O973" s="4"/>
      <c r="P973" s="4"/>
      <c r="Q973" s="4"/>
      <c r="R973" s="4"/>
      <c r="S973" s="4"/>
      <c r="T973" s="4"/>
      <c r="U973" s="4"/>
      <c r="V973" s="4"/>
      <c r="W973" s="4"/>
      <c r="X973" s="4"/>
      <c r="Y973" s="4"/>
      <c r="Z973" s="4"/>
      <c r="AA973" s="4"/>
      <c r="AB973" s="4"/>
      <c r="AC973" s="4"/>
      <c r="AD973" s="4"/>
      <c r="AE973" s="4"/>
      <c r="AF973" s="4"/>
      <c r="AG973" s="4"/>
      <c r="AH973" s="4"/>
      <c r="AI973" s="4"/>
      <c r="AJ973" s="4"/>
      <c r="AK973" s="4"/>
      <c r="AL973" s="4"/>
      <c r="AM973" s="4"/>
      <c r="AN973" s="4"/>
      <c r="AO973" s="4"/>
      <c r="AP973" s="4"/>
      <c r="AQ973" s="4"/>
      <c r="AR973" s="4"/>
      <c r="AS973" s="4"/>
      <c r="AT973" s="4"/>
      <c r="AU973" s="4"/>
      <c r="AV973" s="4"/>
      <c r="AW973" s="4"/>
      <c r="AX973" s="4"/>
      <c r="AY973" s="4"/>
      <c r="AZ973" s="4"/>
      <c r="BA973" s="4"/>
      <c r="BB973" s="4"/>
      <c r="BC973" s="4"/>
      <c r="BD973" s="4"/>
      <c r="BE973" s="4"/>
      <c r="BF973" s="4"/>
      <c r="BG973" s="4"/>
      <c r="BH973" s="4"/>
      <c r="BI973" s="4"/>
      <c r="BJ973" s="4"/>
      <c r="BK973" s="4"/>
      <c r="BL973" s="4"/>
      <c r="BM973" s="4"/>
      <c r="BN973" s="4"/>
    </row>
    <row r="974" ht="13.5" customHeight="1" spans="1:66" x14ac:dyDescent="0.25">
      <c r="A974" s="4"/>
      <c r="B974" s="4"/>
      <c r="C974" s="533"/>
      <c r="D974" s="4"/>
      <c r="E974" s="4"/>
      <c r="F974" s="4"/>
      <c r="G974" s="4"/>
      <c r="H974" s="4"/>
      <c r="I974" s="4"/>
      <c r="J974" s="4"/>
      <c r="K974" s="4"/>
      <c r="L974" s="4"/>
      <c r="M974" s="4"/>
      <c r="N974" s="4"/>
      <c r="O974" s="4"/>
      <c r="P974" s="4"/>
      <c r="Q974" s="4"/>
      <c r="R974" s="4"/>
      <c r="S974" s="4"/>
      <c r="T974" s="4"/>
      <c r="U974" s="4"/>
      <c r="V974" s="4"/>
      <c r="W974" s="4"/>
      <c r="X974" s="4"/>
      <c r="Y974" s="4"/>
      <c r="Z974" s="4"/>
      <c r="AA974" s="4"/>
      <c r="AB974" s="4"/>
      <c r="AC974" s="4"/>
      <c r="AD974" s="4"/>
      <c r="AE974" s="4"/>
      <c r="AF974" s="4"/>
      <c r="AG974" s="4"/>
      <c r="AH974" s="4"/>
      <c r="AI974" s="4"/>
      <c r="AJ974" s="4"/>
      <c r="AK974" s="4"/>
      <c r="AL974" s="4"/>
      <c r="AM974" s="4"/>
      <c r="AN974" s="4"/>
      <c r="AO974" s="4"/>
      <c r="AP974" s="4"/>
      <c r="AQ974" s="4"/>
      <c r="AR974" s="4"/>
      <c r="AS974" s="4"/>
      <c r="AT974" s="4"/>
      <c r="AU974" s="4"/>
      <c r="AV974" s="4"/>
      <c r="AW974" s="4"/>
      <c r="AX974" s="4"/>
      <c r="AY974" s="4"/>
      <c r="AZ974" s="4"/>
      <c r="BA974" s="4"/>
      <c r="BB974" s="4"/>
      <c r="BC974" s="4"/>
      <c r="BD974" s="4"/>
      <c r="BE974" s="4"/>
      <c r="BF974" s="4"/>
      <c r="BG974" s="4"/>
      <c r="BH974" s="4"/>
      <c r="BI974" s="4"/>
      <c r="BJ974" s="4"/>
      <c r="BK974" s="4"/>
      <c r="BL974" s="4"/>
      <c r="BM974" s="4"/>
      <c r="BN974" s="4"/>
    </row>
    <row r="975" ht="13.5" customHeight="1" spans="1:66" x14ac:dyDescent="0.25">
      <c r="A975" s="4"/>
      <c r="B975" s="4"/>
      <c r="C975" s="533"/>
      <c r="D975" s="4"/>
      <c r="E975" s="4"/>
      <c r="F975" s="4"/>
      <c r="G975" s="4"/>
      <c r="H975" s="4"/>
      <c r="I975" s="4"/>
      <c r="J975" s="4"/>
      <c r="K975" s="4"/>
      <c r="L975" s="4"/>
      <c r="M975" s="4"/>
      <c r="N975" s="4"/>
      <c r="O975" s="4"/>
      <c r="P975" s="4"/>
      <c r="Q975" s="4"/>
      <c r="R975" s="4"/>
      <c r="S975" s="4"/>
      <c r="T975" s="4"/>
      <c r="U975" s="4"/>
      <c r="V975" s="4"/>
      <c r="W975" s="4"/>
      <c r="X975" s="4"/>
      <c r="Y975" s="4"/>
      <c r="Z975" s="4"/>
      <c r="AA975" s="4"/>
      <c r="AB975" s="4"/>
      <c r="AC975" s="4"/>
      <c r="AD975" s="4"/>
      <c r="AE975" s="4"/>
      <c r="AF975" s="4"/>
      <c r="AG975" s="4"/>
      <c r="AH975" s="4"/>
      <c r="AI975" s="4"/>
      <c r="AJ975" s="4"/>
      <c r="AK975" s="4"/>
      <c r="AL975" s="4"/>
      <c r="AM975" s="4"/>
      <c r="AN975" s="4"/>
      <c r="AO975" s="4"/>
      <c r="AP975" s="4"/>
      <c r="AQ975" s="4"/>
      <c r="AR975" s="4"/>
      <c r="AS975" s="4"/>
      <c r="AT975" s="4"/>
      <c r="AU975" s="4"/>
      <c r="AV975" s="4"/>
      <c r="AW975" s="4"/>
      <c r="AX975" s="4"/>
      <c r="AY975" s="4"/>
      <c r="AZ975" s="4"/>
      <c r="BA975" s="4"/>
      <c r="BB975" s="4"/>
      <c r="BC975" s="4"/>
      <c r="BD975" s="4"/>
      <c r="BE975" s="4"/>
      <c r="BF975" s="4"/>
      <c r="BG975" s="4"/>
      <c r="BH975" s="4"/>
      <c r="BI975" s="4"/>
      <c r="BJ975" s="4"/>
      <c r="BK975" s="4"/>
      <c r="BL975" s="4"/>
      <c r="BM975" s="4"/>
      <c r="BN975" s="4"/>
    </row>
    <row r="976" ht="13.5" customHeight="1" spans="1:66" x14ac:dyDescent="0.25">
      <c r="A976" s="4"/>
      <c r="B976" s="4"/>
      <c r="C976" s="533"/>
      <c r="D976" s="4"/>
      <c r="E976" s="4"/>
      <c r="F976" s="4"/>
      <c r="G976" s="4"/>
      <c r="H976" s="4"/>
      <c r="I976" s="4"/>
      <c r="J976" s="4"/>
      <c r="K976" s="4"/>
      <c r="L976" s="4"/>
      <c r="M976" s="4"/>
      <c r="N976" s="4"/>
      <c r="O976" s="4"/>
      <c r="P976" s="4"/>
      <c r="Q976" s="4"/>
      <c r="R976" s="4"/>
      <c r="S976" s="4"/>
      <c r="T976" s="4"/>
      <c r="U976" s="4"/>
      <c r="V976" s="4"/>
      <c r="W976" s="4"/>
      <c r="X976" s="4"/>
      <c r="Y976" s="4"/>
      <c r="Z976" s="4"/>
      <c r="AA976" s="4"/>
      <c r="AB976" s="4"/>
      <c r="AC976" s="4"/>
      <c r="AD976" s="4"/>
      <c r="AE976" s="4"/>
      <c r="AF976" s="4"/>
      <c r="AG976" s="4"/>
      <c r="AH976" s="4"/>
      <c r="AI976" s="4"/>
      <c r="AJ976" s="4"/>
      <c r="AK976" s="4"/>
      <c r="AL976" s="4"/>
      <c r="AM976" s="4"/>
      <c r="AN976" s="4"/>
      <c r="AO976" s="4"/>
      <c r="AP976" s="4"/>
      <c r="AQ976" s="4"/>
      <c r="AR976" s="4"/>
      <c r="AS976" s="4"/>
      <c r="AT976" s="4"/>
      <c r="AU976" s="4"/>
      <c r="AV976" s="4"/>
      <c r="AW976" s="4"/>
      <c r="AX976" s="4"/>
      <c r="AY976" s="4"/>
      <c r="AZ976" s="4"/>
      <c r="BA976" s="4"/>
      <c r="BB976" s="4"/>
      <c r="BC976" s="4"/>
      <c r="BD976" s="4"/>
      <c r="BE976" s="4"/>
      <c r="BF976" s="4"/>
      <c r="BG976" s="4"/>
      <c r="BH976" s="4"/>
      <c r="BI976" s="4"/>
      <c r="BJ976" s="4"/>
      <c r="BK976" s="4"/>
      <c r="BL976" s="4"/>
      <c r="BM976" s="4"/>
      <c r="BN976" s="4"/>
    </row>
    <row r="977" ht="13.5" customHeight="1" spans="1:66" x14ac:dyDescent="0.25">
      <c r="A977" s="4"/>
      <c r="B977" s="4"/>
      <c r="C977" s="533"/>
      <c r="D977" s="4"/>
      <c r="E977" s="4"/>
      <c r="F977" s="4"/>
      <c r="G977" s="4"/>
      <c r="H977" s="4"/>
      <c r="I977" s="4"/>
      <c r="J977" s="4"/>
      <c r="K977" s="4"/>
      <c r="L977" s="4"/>
      <c r="M977" s="4"/>
      <c r="N977" s="4"/>
      <c r="O977" s="4"/>
      <c r="P977" s="4"/>
      <c r="Q977" s="4"/>
      <c r="R977" s="4"/>
      <c r="S977" s="4"/>
      <c r="T977" s="4"/>
      <c r="U977" s="4"/>
      <c r="V977" s="4"/>
      <c r="W977" s="4"/>
      <c r="X977" s="4"/>
      <c r="Y977" s="4"/>
      <c r="Z977" s="4"/>
      <c r="AA977" s="4"/>
      <c r="AB977" s="4"/>
      <c r="AC977" s="4"/>
      <c r="AD977" s="4"/>
      <c r="AE977" s="4"/>
      <c r="AF977" s="4"/>
      <c r="AG977" s="4"/>
      <c r="AH977" s="4"/>
      <c r="AI977" s="4"/>
      <c r="AJ977" s="4"/>
      <c r="AK977" s="4"/>
      <c r="AL977" s="4"/>
      <c r="AM977" s="4"/>
      <c r="AN977" s="4"/>
      <c r="AO977" s="4"/>
      <c r="AP977" s="4"/>
      <c r="AQ977" s="4"/>
      <c r="AR977" s="4"/>
      <c r="AS977" s="4"/>
      <c r="AT977" s="4"/>
      <c r="AU977" s="4"/>
      <c r="AV977" s="4"/>
      <c r="AW977" s="4"/>
      <c r="AX977" s="4"/>
      <c r="AY977" s="4"/>
      <c r="AZ977" s="4"/>
      <c r="BA977" s="4"/>
      <c r="BB977" s="4"/>
      <c r="BC977" s="4"/>
      <c r="BD977" s="4"/>
      <c r="BE977" s="4"/>
      <c r="BF977" s="4"/>
      <c r="BG977" s="4"/>
      <c r="BH977" s="4"/>
      <c r="BI977" s="4"/>
      <c r="BJ977" s="4"/>
      <c r="BK977" s="4"/>
      <c r="BL977" s="4"/>
      <c r="BM977" s="4"/>
      <c r="BN977" s="4"/>
    </row>
    <row r="978" ht="13.5" customHeight="1" spans="1:66" x14ac:dyDescent="0.25">
      <c r="A978" s="4"/>
      <c r="B978" s="4"/>
      <c r="C978" s="533"/>
      <c r="D978" s="4"/>
      <c r="E978" s="4"/>
      <c r="F978" s="4"/>
      <c r="G978" s="4"/>
      <c r="H978" s="4"/>
      <c r="I978" s="4"/>
      <c r="J978" s="4"/>
      <c r="K978" s="4"/>
      <c r="L978" s="4"/>
      <c r="M978" s="4"/>
      <c r="N978" s="4"/>
      <c r="O978" s="4"/>
      <c r="P978" s="4"/>
      <c r="Q978" s="4"/>
      <c r="R978" s="4"/>
      <c r="S978" s="4"/>
      <c r="T978" s="4"/>
      <c r="U978" s="4"/>
      <c r="V978" s="4"/>
      <c r="W978" s="4"/>
      <c r="X978" s="4"/>
      <c r="Y978" s="4"/>
      <c r="Z978" s="4"/>
      <c r="AA978" s="4"/>
      <c r="AB978" s="4"/>
      <c r="AC978" s="4"/>
      <c r="AD978" s="4"/>
      <c r="AE978" s="4"/>
      <c r="AF978" s="4"/>
      <c r="AG978" s="4"/>
      <c r="AH978" s="4"/>
      <c r="AI978" s="4"/>
      <c r="AJ978" s="4"/>
      <c r="AK978" s="4"/>
      <c r="AL978" s="4"/>
      <c r="AM978" s="4"/>
      <c r="AN978" s="4"/>
      <c r="AO978" s="4"/>
      <c r="AP978" s="4"/>
      <c r="AQ978" s="4"/>
      <c r="AR978" s="4"/>
      <c r="AS978" s="4"/>
      <c r="AT978" s="4"/>
      <c r="AU978" s="4"/>
      <c r="AV978" s="4"/>
      <c r="AW978" s="4"/>
      <c r="AX978" s="4"/>
      <c r="AY978" s="4"/>
      <c r="AZ978" s="4"/>
      <c r="BA978" s="4"/>
      <c r="BB978" s="4"/>
      <c r="BC978" s="4"/>
      <c r="BD978" s="4"/>
      <c r="BE978" s="4"/>
      <c r="BF978" s="4"/>
      <c r="BG978" s="4"/>
      <c r="BH978" s="4"/>
      <c r="BI978" s="4"/>
      <c r="BJ978" s="4"/>
      <c r="BK978" s="4"/>
      <c r="BL978" s="4"/>
      <c r="BM978" s="4"/>
      <c r="BN978" s="4"/>
    </row>
    <row r="979" ht="13.5" customHeight="1" spans="1:66" x14ac:dyDescent="0.25">
      <c r="A979" s="4"/>
      <c r="B979" s="4"/>
      <c r="C979" s="533"/>
      <c r="D979" s="4"/>
      <c r="E979" s="4"/>
      <c r="F979" s="4"/>
      <c r="G979" s="4"/>
      <c r="H979" s="4"/>
      <c r="I979" s="4"/>
      <c r="J979" s="4"/>
      <c r="K979" s="4"/>
      <c r="L979" s="4"/>
      <c r="M979" s="4"/>
      <c r="N979" s="4"/>
      <c r="O979" s="4"/>
      <c r="P979" s="4"/>
      <c r="Q979" s="4"/>
      <c r="R979" s="4"/>
      <c r="S979" s="4"/>
      <c r="T979" s="4"/>
      <c r="U979" s="4"/>
      <c r="V979" s="4"/>
      <c r="W979" s="4"/>
      <c r="X979" s="4"/>
      <c r="Y979" s="4"/>
      <c r="Z979" s="4"/>
      <c r="AA979" s="4"/>
      <c r="AB979" s="4"/>
      <c r="AC979" s="4"/>
      <c r="AD979" s="4"/>
      <c r="AE979" s="4"/>
      <c r="AF979" s="4"/>
      <c r="AG979" s="4"/>
      <c r="AH979" s="4"/>
      <c r="AI979" s="4"/>
      <c r="AJ979" s="4"/>
      <c r="AK979" s="4"/>
      <c r="AL979" s="4"/>
      <c r="AM979" s="4"/>
      <c r="AN979" s="4"/>
      <c r="AO979" s="4"/>
      <c r="AP979" s="4"/>
      <c r="AQ979" s="4"/>
      <c r="AR979" s="4"/>
      <c r="AS979" s="4"/>
      <c r="AT979" s="4"/>
      <c r="AU979" s="4"/>
      <c r="AV979" s="4"/>
      <c r="AW979" s="4"/>
      <c r="AX979" s="4"/>
      <c r="AY979" s="4"/>
      <c r="AZ979" s="4"/>
      <c r="BA979" s="4"/>
      <c r="BB979" s="4"/>
      <c r="BC979" s="4"/>
      <c r="BD979" s="4"/>
      <c r="BE979" s="4"/>
      <c r="BF979" s="4"/>
      <c r="BG979" s="4"/>
      <c r="BH979" s="4"/>
      <c r="BI979" s="4"/>
      <c r="BJ979" s="4"/>
      <c r="BK979" s="4"/>
      <c r="BL979" s="4"/>
      <c r="BM979" s="4"/>
      <c r="BN979" s="4"/>
    </row>
    <row r="980" ht="13.5" customHeight="1" spans="1:66" x14ac:dyDescent="0.25">
      <c r="A980" s="4"/>
      <c r="B980" s="4"/>
      <c r="C980" s="533"/>
      <c r="D980" s="4"/>
      <c r="E980" s="4"/>
      <c r="F980" s="4"/>
      <c r="G980" s="4"/>
      <c r="H980" s="4"/>
      <c r="I980" s="4"/>
      <c r="J980" s="4"/>
      <c r="K980" s="4"/>
      <c r="L980" s="4"/>
      <c r="M980" s="4"/>
      <c r="N980" s="4"/>
      <c r="O980" s="4"/>
      <c r="P980" s="4"/>
      <c r="Q980" s="4"/>
      <c r="R980" s="4"/>
      <c r="S980" s="4"/>
      <c r="T980" s="4"/>
      <c r="U980" s="4"/>
      <c r="V980" s="4"/>
      <c r="W980" s="4"/>
      <c r="X980" s="4"/>
      <c r="Y980" s="4"/>
      <c r="Z980" s="4"/>
      <c r="AA980" s="4"/>
      <c r="AB980" s="4"/>
      <c r="AC980" s="4"/>
      <c r="AD980" s="4"/>
      <c r="AE980" s="4"/>
      <c r="AF980" s="4"/>
      <c r="AG980" s="4"/>
      <c r="AH980" s="4"/>
      <c r="AI980" s="4"/>
      <c r="AJ980" s="4"/>
      <c r="AK980" s="4"/>
      <c r="AL980" s="4"/>
      <c r="AM980" s="4"/>
      <c r="AN980" s="4"/>
      <c r="AO980" s="4"/>
      <c r="AP980" s="4"/>
      <c r="AQ980" s="4"/>
      <c r="AR980" s="4"/>
      <c r="AS980" s="4"/>
      <c r="AT980" s="4"/>
      <c r="AU980" s="4"/>
      <c r="AV980" s="4"/>
      <c r="AW980" s="4"/>
      <c r="AX980" s="4"/>
      <c r="AY980" s="4"/>
      <c r="AZ980" s="4"/>
      <c r="BA980" s="4"/>
      <c r="BB980" s="4"/>
      <c r="BC980" s="4"/>
      <c r="BD980" s="4"/>
      <c r="BE980" s="4"/>
      <c r="BF980" s="4"/>
      <c r="BG980" s="4"/>
      <c r="BH980" s="4"/>
      <c r="BI980" s="4"/>
      <c r="BJ980" s="4"/>
      <c r="BK980" s="4"/>
      <c r="BL980" s="4"/>
      <c r="BM980" s="4"/>
      <c r="BN980" s="4"/>
    </row>
    <row r="981" ht="13.5" customHeight="1" spans="1:66" x14ac:dyDescent="0.25">
      <c r="A981" s="4"/>
      <c r="B981" s="4"/>
      <c r="C981" s="533"/>
      <c r="D981" s="4"/>
      <c r="E981" s="4"/>
      <c r="F981" s="4"/>
      <c r="G981" s="4"/>
      <c r="H981" s="4"/>
      <c r="I981" s="4"/>
      <c r="J981" s="4"/>
      <c r="K981" s="4"/>
      <c r="L981" s="4"/>
      <c r="M981" s="4"/>
      <c r="N981" s="4"/>
      <c r="O981" s="4"/>
      <c r="P981" s="4"/>
      <c r="Q981" s="4"/>
      <c r="R981" s="4"/>
      <c r="S981" s="4"/>
      <c r="T981" s="4"/>
      <c r="U981" s="4"/>
      <c r="V981" s="4"/>
      <c r="W981" s="4"/>
      <c r="X981" s="4"/>
      <c r="Y981" s="4"/>
      <c r="Z981" s="4"/>
      <c r="AA981" s="4"/>
      <c r="AB981" s="4"/>
      <c r="AC981" s="4"/>
      <c r="AD981" s="4"/>
      <c r="AE981" s="4"/>
      <c r="AF981" s="4"/>
      <c r="AG981" s="4"/>
      <c r="AH981" s="4"/>
      <c r="AI981" s="4"/>
      <c r="AJ981" s="4"/>
      <c r="AK981" s="4"/>
      <c r="AL981" s="4"/>
      <c r="AM981" s="4"/>
      <c r="AN981" s="4"/>
      <c r="AO981" s="4"/>
      <c r="AP981" s="4"/>
      <c r="AQ981" s="4"/>
      <c r="AR981" s="4"/>
      <c r="AS981" s="4"/>
      <c r="AT981" s="4"/>
      <c r="AU981" s="4"/>
      <c r="AV981" s="4"/>
      <c r="AW981" s="4"/>
      <c r="AX981" s="4"/>
      <c r="AY981" s="4"/>
      <c r="AZ981" s="4"/>
      <c r="BA981" s="4"/>
      <c r="BB981" s="4"/>
      <c r="BC981" s="4"/>
      <c r="BD981" s="4"/>
      <c r="BE981" s="4"/>
      <c r="BF981" s="4"/>
      <c r="BG981" s="4"/>
      <c r="BH981" s="4"/>
      <c r="BI981" s="4"/>
      <c r="BJ981" s="4"/>
      <c r="BK981" s="4"/>
      <c r="BL981" s="4"/>
      <c r="BM981" s="4"/>
      <c r="BN981" s="4"/>
    </row>
    <row r="982" ht="13.5" customHeight="1" spans="1:66" x14ac:dyDescent="0.25">
      <c r="A982" s="4"/>
      <c r="B982" s="4"/>
      <c r="C982" s="533"/>
      <c r="D982" s="4"/>
      <c r="E982" s="4"/>
      <c r="F982" s="4"/>
      <c r="G982" s="4"/>
      <c r="H982" s="4"/>
      <c r="I982" s="4"/>
      <c r="J982" s="4"/>
      <c r="K982" s="4"/>
      <c r="L982" s="4"/>
      <c r="M982" s="4"/>
      <c r="N982" s="4"/>
      <c r="O982" s="4"/>
      <c r="P982" s="4"/>
      <c r="Q982" s="4"/>
      <c r="R982" s="4"/>
      <c r="S982" s="4"/>
      <c r="T982" s="4"/>
      <c r="U982" s="4"/>
      <c r="V982" s="4"/>
      <c r="W982" s="4"/>
      <c r="X982" s="4"/>
      <c r="Y982" s="4"/>
      <c r="Z982" s="4"/>
      <c r="AA982" s="4"/>
      <c r="AB982" s="4"/>
      <c r="AC982" s="4"/>
      <c r="AD982" s="4"/>
      <c r="AE982" s="4"/>
      <c r="AF982" s="4"/>
      <c r="AG982" s="4"/>
      <c r="AH982" s="4"/>
      <c r="AI982" s="4"/>
      <c r="AJ982" s="4"/>
      <c r="AK982" s="4"/>
      <c r="AL982" s="4"/>
      <c r="AM982" s="4"/>
      <c r="AN982" s="4"/>
      <c r="AO982" s="4"/>
      <c r="AP982" s="4"/>
      <c r="AQ982" s="4"/>
      <c r="AR982" s="4"/>
      <c r="AS982" s="4"/>
      <c r="AT982" s="4"/>
      <c r="AU982" s="4"/>
      <c r="AV982" s="4"/>
      <c r="AW982" s="4"/>
      <c r="AX982" s="4"/>
      <c r="AY982" s="4"/>
      <c r="AZ982" s="4"/>
      <c r="BA982" s="4"/>
      <c r="BB982" s="4"/>
      <c r="BC982" s="4"/>
      <c r="BD982" s="4"/>
      <c r="BE982" s="4"/>
      <c r="BF982" s="4"/>
      <c r="BG982" s="4"/>
      <c r="BH982" s="4"/>
      <c r="BI982" s="4"/>
      <c r="BJ982" s="4"/>
      <c r="BK982" s="4"/>
      <c r="BL982" s="4"/>
      <c r="BM982" s="4"/>
      <c r="BN982" s="4"/>
    </row>
    <row r="983" ht="13.5" customHeight="1" spans="1:66" x14ac:dyDescent="0.25">
      <c r="A983" s="4"/>
      <c r="B983" s="4"/>
      <c r="C983" s="533"/>
      <c r="D983" s="4"/>
      <c r="E983" s="4"/>
      <c r="F983" s="4"/>
      <c r="G983" s="4"/>
      <c r="H983" s="4"/>
      <c r="I983" s="4"/>
      <c r="J983" s="4"/>
      <c r="K983" s="4"/>
      <c r="L983" s="4"/>
      <c r="M983" s="4"/>
      <c r="N983" s="4"/>
      <c r="O983" s="4"/>
      <c r="P983" s="4"/>
      <c r="Q983" s="4"/>
      <c r="R983" s="4"/>
      <c r="S983" s="4"/>
      <c r="T983" s="4"/>
      <c r="U983" s="4"/>
      <c r="V983" s="4"/>
      <c r="W983" s="4"/>
      <c r="X983" s="4"/>
      <c r="Y983" s="4"/>
      <c r="Z983" s="4"/>
      <c r="AA983" s="4"/>
      <c r="AB983" s="4"/>
      <c r="AC983" s="4"/>
      <c r="AD983" s="4"/>
      <c r="AE983" s="4"/>
      <c r="AF983" s="4"/>
      <c r="AG983" s="4"/>
      <c r="AH983" s="4"/>
      <c r="AI983" s="4"/>
      <c r="AJ983" s="4"/>
      <c r="AK983" s="4"/>
      <c r="AL983" s="4"/>
      <c r="AM983" s="4"/>
      <c r="AN983" s="4"/>
      <c r="AO983" s="4"/>
      <c r="AP983" s="4"/>
      <c r="AQ983" s="4"/>
      <c r="AR983" s="4"/>
      <c r="AS983" s="4"/>
      <c r="AT983" s="4"/>
      <c r="AU983" s="4"/>
      <c r="AV983" s="4"/>
      <c r="AW983" s="4"/>
      <c r="AX983" s="4"/>
      <c r="AY983" s="4"/>
      <c r="AZ983" s="4"/>
      <c r="BA983" s="4"/>
      <c r="BB983" s="4"/>
      <c r="BC983" s="4"/>
      <c r="BD983" s="4"/>
      <c r="BE983" s="4"/>
      <c r="BF983" s="4"/>
      <c r="BG983" s="4"/>
      <c r="BH983" s="4"/>
      <c r="BI983" s="4"/>
      <c r="BJ983" s="4"/>
      <c r="BK983" s="4"/>
      <c r="BL983" s="4"/>
      <c r="BM983" s="4"/>
      <c r="BN983" s="4"/>
    </row>
    <row r="984" ht="13.5" customHeight="1" spans="1:66" x14ac:dyDescent="0.25">
      <c r="A984" s="4"/>
      <c r="B984" s="4"/>
      <c r="C984" s="533"/>
      <c r="D984" s="4"/>
      <c r="E984" s="4"/>
      <c r="F984" s="4"/>
      <c r="G984" s="4"/>
      <c r="H984" s="4"/>
      <c r="I984" s="4"/>
      <c r="J984" s="4"/>
      <c r="K984" s="4"/>
      <c r="L984" s="4"/>
      <c r="M984" s="4"/>
      <c r="N984" s="4"/>
      <c r="O984" s="4"/>
      <c r="P984" s="4"/>
      <c r="Q984" s="4"/>
      <c r="R984" s="4"/>
      <c r="S984" s="4"/>
      <c r="T984" s="4"/>
      <c r="U984" s="4"/>
      <c r="V984" s="4"/>
      <c r="W984" s="4"/>
      <c r="X984" s="4"/>
      <c r="Y984" s="4"/>
      <c r="Z984" s="4"/>
      <c r="AA984" s="4"/>
      <c r="AB984" s="4"/>
      <c r="AC984" s="4"/>
      <c r="AD984" s="4"/>
      <c r="AE984" s="4"/>
      <c r="AF984" s="4"/>
      <c r="AG984" s="4"/>
      <c r="AH984" s="4"/>
      <c r="AI984" s="4"/>
      <c r="AJ984" s="4"/>
      <c r="AK984" s="4"/>
      <c r="AL984" s="4"/>
      <c r="AM984" s="4"/>
      <c r="AN984" s="4"/>
      <c r="AO984" s="4"/>
      <c r="AP984" s="4"/>
      <c r="AQ984" s="4"/>
      <c r="AR984" s="4"/>
      <c r="AS984" s="4"/>
      <c r="AT984" s="4"/>
      <c r="AU984" s="4"/>
      <c r="AV984" s="4"/>
      <c r="AW984" s="4"/>
      <c r="AX984" s="4"/>
      <c r="AY984" s="4"/>
      <c r="AZ984" s="4"/>
      <c r="BA984" s="4"/>
      <c r="BB984" s="4"/>
      <c r="BC984" s="4"/>
      <c r="BD984" s="4"/>
      <c r="BE984" s="4"/>
      <c r="BF984" s="4"/>
      <c r="BG984" s="4"/>
      <c r="BH984" s="4"/>
      <c r="BI984" s="4"/>
      <c r="BJ984" s="4"/>
      <c r="BK984" s="4"/>
      <c r="BL984" s="4"/>
      <c r="BM984" s="4"/>
      <c r="BN984" s="4"/>
    </row>
    <row r="985" ht="13.5" customHeight="1" spans="1:66" x14ac:dyDescent="0.25">
      <c r="A985" s="4"/>
      <c r="B985" s="4"/>
      <c r="C985" s="533"/>
      <c r="D985" s="4"/>
      <c r="E985" s="4"/>
      <c r="F985" s="4"/>
      <c r="G985" s="4"/>
      <c r="H985" s="4"/>
      <c r="I985" s="4"/>
      <c r="J985" s="4"/>
      <c r="K985" s="4"/>
      <c r="L985" s="4"/>
      <c r="M985" s="4"/>
      <c r="N985" s="4"/>
      <c r="O985" s="4"/>
      <c r="P985" s="4"/>
      <c r="Q985" s="4"/>
      <c r="R985" s="4"/>
      <c r="S985" s="4"/>
      <c r="T985" s="4"/>
      <c r="U985" s="4"/>
      <c r="V985" s="4"/>
      <c r="W985" s="4"/>
      <c r="X985" s="4"/>
      <c r="Y985" s="4"/>
      <c r="Z985" s="4"/>
      <c r="AA985" s="4"/>
      <c r="AB985" s="4"/>
      <c r="AC985" s="4"/>
      <c r="AD985" s="4"/>
      <c r="AE985" s="4"/>
      <c r="AF985" s="4"/>
      <c r="AG985" s="4"/>
      <c r="AH985" s="4"/>
      <c r="AI985" s="4"/>
      <c r="AJ985" s="4"/>
      <c r="AK985" s="4"/>
      <c r="AL985" s="4"/>
      <c r="AM985" s="4"/>
      <c r="AN985" s="4"/>
      <c r="AO985" s="4"/>
      <c r="AP985" s="4"/>
      <c r="AQ985" s="4"/>
      <c r="AR985" s="4"/>
      <c r="AS985" s="4"/>
      <c r="AT985" s="4"/>
      <c r="AU985" s="4"/>
      <c r="AV985" s="4"/>
      <c r="AW985" s="4"/>
      <c r="AX985" s="4"/>
      <c r="AY985" s="4"/>
      <c r="AZ985" s="4"/>
      <c r="BA985" s="4"/>
      <c r="BB985" s="4"/>
      <c r="BC985" s="4"/>
      <c r="BD985" s="4"/>
      <c r="BE985" s="4"/>
      <c r="BF985" s="4"/>
      <c r="BG985" s="4"/>
      <c r="BH985" s="4"/>
      <c r="BI985" s="4"/>
      <c r="BJ985" s="4"/>
      <c r="BK985" s="4"/>
      <c r="BL985" s="4"/>
      <c r="BM985" s="4"/>
      <c r="BN985" s="4"/>
    </row>
    <row r="986" ht="13.5" customHeight="1" spans="1:66" x14ac:dyDescent="0.25">
      <c r="A986" s="4"/>
      <c r="B986" s="4"/>
      <c r="C986" s="533"/>
      <c r="D986" s="4"/>
      <c r="E986" s="4"/>
      <c r="F986" s="4"/>
      <c r="G986" s="4"/>
      <c r="H986" s="4"/>
      <c r="I986" s="4"/>
      <c r="J986" s="4"/>
      <c r="K986" s="4"/>
      <c r="L986" s="4"/>
      <c r="M986" s="4"/>
      <c r="N986" s="4"/>
      <c r="O986" s="4"/>
      <c r="P986" s="4"/>
      <c r="Q986" s="4"/>
      <c r="R986" s="4"/>
      <c r="S986" s="4"/>
      <c r="T986" s="4"/>
      <c r="U986" s="4"/>
      <c r="V986" s="4"/>
      <c r="W986" s="4"/>
      <c r="X986" s="4"/>
      <c r="Y986" s="4"/>
      <c r="Z986" s="4"/>
      <c r="AA986" s="4"/>
      <c r="AB986" s="4"/>
      <c r="AC986" s="4"/>
      <c r="AD986" s="4"/>
      <c r="AE986" s="4"/>
      <c r="AF986" s="4"/>
      <c r="AG986" s="4"/>
      <c r="AH986" s="4"/>
      <c r="AI986" s="4"/>
      <c r="AJ986" s="4"/>
      <c r="AK986" s="4"/>
      <c r="AL986" s="4"/>
      <c r="AM986" s="4"/>
      <c r="AN986" s="4"/>
      <c r="AO986" s="4"/>
      <c r="AP986" s="4"/>
      <c r="AQ986" s="4"/>
      <c r="AR986" s="4"/>
      <c r="AS986" s="4"/>
      <c r="AT986" s="4"/>
      <c r="AU986" s="4"/>
      <c r="AV986" s="4"/>
      <c r="AW986" s="4"/>
      <c r="AX986" s="4"/>
      <c r="AY986" s="4"/>
      <c r="AZ986" s="4"/>
      <c r="BA986" s="4"/>
      <c r="BB986" s="4"/>
      <c r="BC986" s="4"/>
      <c r="BD986" s="4"/>
      <c r="BE986" s="4"/>
      <c r="BF986" s="4"/>
      <c r="BG986" s="4"/>
      <c r="BH986" s="4"/>
      <c r="BI986" s="4"/>
      <c r="BJ986" s="4"/>
      <c r="BK986" s="4"/>
      <c r="BL986" s="4"/>
      <c r="BM986" s="4"/>
      <c r="BN986" s="4"/>
    </row>
    <row r="987" ht="13.5" customHeight="1" spans="1:66" x14ac:dyDescent="0.25">
      <c r="A987" s="4"/>
      <c r="B987" s="4"/>
      <c r="C987" s="533"/>
      <c r="D987" s="4"/>
      <c r="E987" s="4"/>
      <c r="F987" s="4"/>
      <c r="G987" s="4"/>
      <c r="H987" s="4"/>
      <c r="I987" s="4"/>
      <c r="J987" s="4"/>
      <c r="K987" s="4"/>
      <c r="L987" s="4"/>
      <c r="M987" s="4"/>
      <c r="N987" s="4"/>
      <c r="O987" s="4"/>
      <c r="P987" s="4"/>
      <c r="Q987" s="4"/>
      <c r="R987" s="4"/>
      <c r="S987" s="4"/>
      <c r="T987" s="4"/>
      <c r="U987" s="4"/>
      <c r="V987" s="4"/>
      <c r="W987" s="4"/>
      <c r="X987" s="4"/>
      <c r="Y987" s="4"/>
      <c r="Z987" s="4"/>
      <c r="AA987" s="4"/>
      <c r="AB987" s="4"/>
      <c r="AC987" s="4"/>
      <c r="AD987" s="4"/>
      <c r="AE987" s="4"/>
      <c r="AF987" s="4"/>
      <c r="AG987" s="4"/>
      <c r="AH987" s="4"/>
      <c r="AI987" s="4"/>
      <c r="AJ987" s="4"/>
      <c r="AK987" s="4"/>
      <c r="AL987" s="4"/>
      <c r="AM987" s="4"/>
      <c r="AN987" s="4"/>
      <c r="AO987" s="4"/>
      <c r="AP987" s="4"/>
      <c r="AQ987" s="4"/>
      <c r="AR987" s="4"/>
      <c r="AS987" s="4"/>
      <c r="AT987" s="4"/>
      <c r="AU987" s="4"/>
      <c r="AV987" s="4"/>
      <c r="AW987" s="4"/>
      <c r="AX987" s="4"/>
      <c r="AY987" s="4"/>
      <c r="AZ987" s="4"/>
      <c r="BA987" s="4"/>
      <c r="BB987" s="4"/>
      <c r="BC987" s="4"/>
      <c r="BD987" s="4"/>
      <c r="BE987" s="4"/>
      <c r="BF987" s="4"/>
      <c r="BG987" s="4"/>
      <c r="BH987" s="4"/>
      <c r="BI987" s="4"/>
      <c r="BJ987" s="4"/>
      <c r="BK987" s="4"/>
      <c r="BL987" s="4"/>
      <c r="BM987" s="4"/>
      <c r="BN987" s="4"/>
    </row>
    <row r="988" ht="13.5" customHeight="1" spans="1:66" x14ac:dyDescent="0.25">
      <c r="A988" s="4"/>
      <c r="B988" s="4"/>
      <c r="C988" s="533"/>
      <c r="D988" s="4"/>
      <c r="E988" s="4"/>
      <c r="F988" s="4"/>
      <c r="G988" s="4"/>
      <c r="H988" s="4"/>
      <c r="I988" s="4"/>
      <c r="J988" s="4"/>
      <c r="K988" s="4"/>
      <c r="L988" s="4"/>
      <c r="M988" s="4"/>
      <c r="N988" s="4"/>
      <c r="O988" s="4"/>
      <c r="P988" s="4"/>
      <c r="Q988" s="4"/>
      <c r="R988" s="4"/>
      <c r="S988" s="4"/>
      <c r="T988" s="4"/>
      <c r="U988" s="4"/>
      <c r="V988" s="4"/>
      <c r="W988" s="4"/>
      <c r="X988" s="4"/>
      <c r="Y988" s="4"/>
      <c r="Z988" s="4"/>
      <c r="AA988" s="4"/>
      <c r="AB988" s="4"/>
      <c r="AC988" s="4"/>
      <c r="AD988" s="4"/>
      <c r="AE988" s="4"/>
      <c r="AF988" s="4"/>
      <c r="AG988" s="4"/>
      <c r="AH988" s="4"/>
      <c r="AI988" s="4"/>
      <c r="AJ988" s="4"/>
      <c r="AK988" s="4"/>
      <c r="AL988" s="4"/>
      <c r="AM988" s="4"/>
      <c r="AN988" s="4"/>
      <c r="AO988" s="4"/>
      <c r="AP988" s="4"/>
      <c r="AQ988" s="4"/>
      <c r="AR988" s="4"/>
      <c r="AS988" s="4"/>
      <c r="AT988" s="4"/>
      <c r="AU988" s="4"/>
      <c r="AV988" s="4"/>
      <c r="AW988" s="4"/>
      <c r="AX988" s="4"/>
      <c r="AY988" s="4"/>
      <c r="AZ988" s="4"/>
      <c r="BA988" s="4"/>
      <c r="BB988" s="4"/>
      <c r="BC988" s="4"/>
      <c r="BD988" s="4"/>
      <c r="BE988" s="4"/>
      <c r="BF988" s="4"/>
      <c r="BG988" s="4"/>
      <c r="BH988" s="4"/>
      <c r="BI988" s="4"/>
      <c r="BJ988" s="4"/>
      <c r="BK988" s="4"/>
      <c r="BL988" s="4"/>
      <c r="BM988" s="4"/>
      <c r="BN988" s="4"/>
    </row>
    <row r="989" ht="13.5" customHeight="1" spans="1:66" x14ac:dyDescent="0.25">
      <c r="A989" s="4"/>
      <c r="B989" s="4"/>
      <c r="C989" s="533"/>
      <c r="D989" s="4"/>
      <c r="E989" s="4"/>
      <c r="F989" s="4"/>
      <c r="G989" s="4"/>
      <c r="H989" s="4"/>
      <c r="I989" s="4"/>
      <c r="J989" s="4"/>
      <c r="K989" s="4"/>
      <c r="L989" s="4"/>
      <c r="M989" s="4"/>
      <c r="N989" s="4"/>
      <c r="O989" s="4"/>
      <c r="P989" s="4"/>
      <c r="Q989" s="4"/>
      <c r="R989" s="4"/>
      <c r="S989" s="4"/>
      <c r="T989" s="4"/>
      <c r="U989" s="4"/>
      <c r="V989" s="4"/>
      <c r="W989" s="4"/>
      <c r="X989" s="4"/>
      <c r="Y989" s="4"/>
      <c r="Z989" s="4"/>
      <c r="AA989" s="4"/>
      <c r="AB989" s="4"/>
      <c r="AC989" s="4"/>
      <c r="AD989" s="4"/>
      <c r="AE989" s="4"/>
      <c r="AF989" s="4"/>
      <c r="AG989" s="4"/>
      <c r="AH989" s="4"/>
      <c r="AI989" s="4"/>
      <c r="AJ989" s="4"/>
      <c r="AK989" s="4"/>
      <c r="AL989" s="4"/>
      <c r="AM989" s="4"/>
      <c r="AN989" s="4"/>
      <c r="AO989" s="4"/>
      <c r="AP989" s="4"/>
      <c r="AQ989" s="4"/>
      <c r="AR989" s="4"/>
      <c r="AS989" s="4"/>
      <c r="AT989" s="4"/>
      <c r="AU989" s="4"/>
      <c r="AV989" s="4"/>
      <c r="AW989" s="4"/>
      <c r="AX989" s="4"/>
      <c r="AY989" s="4"/>
      <c r="AZ989" s="4"/>
      <c r="BA989" s="4"/>
      <c r="BB989" s="4"/>
      <c r="BC989" s="4"/>
      <c r="BD989" s="4"/>
      <c r="BE989" s="4"/>
      <c r="BF989" s="4"/>
      <c r="BG989" s="4"/>
      <c r="BH989" s="4"/>
      <c r="BI989" s="4"/>
      <c r="BJ989" s="4"/>
      <c r="BK989" s="4"/>
      <c r="BL989" s="4"/>
      <c r="BM989" s="4"/>
      <c r="BN989" s="4"/>
    </row>
    <row r="990" ht="13.5" customHeight="1" spans="1:66" x14ac:dyDescent="0.25">
      <c r="A990" s="4"/>
      <c r="B990" s="4"/>
      <c r="C990" s="533"/>
      <c r="D990" s="4"/>
      <c r="E990" s="4"/>
      <c r="F990" s="4"/>
      <c r="G990" s="4"/>
      <c r="H990" s="4"/>
      <c r="I990" s="4"/>
      <c r="J990" s="4"/>
      <c r="K990" s="4"/>
      <c r="L990" s="4"/>
      <c r="M990" s="4"/>
      <c r="N990" s="4"/>
      <c r="O990" s="4"/>
      <c r="P990" s="4"/>
      <c r="Q990" s="4"/>
      <c r="R990" s="4"/>
      <c r="S990" s="4"/>
      <c r="T990" s="4"/>
      <c r="U990" s="4"/>
      <c r="V990" s="4"/>
      <c r="W990" s="4"/>
      <c r="X990" s="4"/>
      <c r="Y990" s="4"/>
      <c r="Z990" s="4"/>
      <c r="AA990" s="4"/>
      <c r="AB990" s="4"/>
      <c r="AC990" s="4"/>
      <c r="AD990" s="4"/>
      <c r="AE990" s="4"/>
      <c r="AF990" s="4"/>
      <c r="AG990" s="4"/>
      <c r="AH990" s="4"/>
      <c r="AI990" s="4"/>
      <c r="AJ990" s="4"/>
      <c r="AK990" s="4"/>
      <c r="AL990" s="4"/>
      <c r="AM990" s="4"/>
      <c r="AN990" s="4"/>
      <c r="AO990" s="4"/>
      <c r="AP990" s="4"/>
      <c r="AQ990" s="4"/>
      <c r="AR990" s="4"/>
      <c r="AS990" s="4"/>
      <c r="AT990" s="4"/>
      <c r="AU990" s="4"/>
      <c r="AV990" s="4"/>
      <c r="AW990" s="4"/>
      <c r="AX990" s="4"/>
      <c r="AY990" s="4"/>
      <c r="AZ990" s="4"/>
      <c r="BA990" s="4"/>
      <c r="BB990" s="4"/>
      <c r="BC990" s="4"/>
      <c r="BD990" s="4"/>
      <c r="BE990" s="4"/>
      <c r="BF990" s="4"/>
      <c r="BG990" s="4"/>
      <c r="BH990" s="4"/>
      <c r="BI990" s="4"/>
      <c r="BJ990" s="4"/>
      <c r="BK990" s="4"/>
      <c r="BL990" s="4"/>
      <c r="BM990" s="4"/>
      <c r="BN990" s="4"/>
    </row>
    <row r="991" ht="13.5" customHeight="1" spans="1:66" x14ac:dyDescent="0.25">
      <c r="A991" s="4"/>
      <c r="B991" s="4"/>
      <c r="C991" s="533"/>
      <c r="D991" s="4"/>
      <c r="E991" s="4"/>
      <c r="F991" s="4"/>
      <c r="G991" s="4"/>
      <c r="H991" s="4"/>
      <c r="I991" s="4"/>
      <c r="J991" s="4"/>
      <c r="K991" s="4"/>
      <c r="L991" s="4"/>
      <c r="M991" s="4"/>
      <c r="N991" s="4"/>
      <c r="O991" s="4"/>
      <c r="P991" s="4"/>
      <c r="Q991" s="4"/>
      <c r="R991" s="4"/>
      <c r="S991" s="4"/>
      <c r="T991" s="4"/>
      <c r="U991" s="4"/>
      <c r="V991" s="4"/>
      <c r="W991" s="4"/>
      <c r="X991" s="4"/>
      <c r="Y991" s="4"/>
      <c r="Z991" s="4"/>
      <c r="AA991" s="4"/>
      <c r="AB991" s="4"/>
      <c r="AC991" s="4"/>
      <c r="AD991" s="4"/>
      <c r="AE991" s="4"/>
      <c r="AF991" s="4"/>
      <c r="AG991" s="4"/>
      <c r="AH991" s="4"/>
      <c r="AI991" s="4"/>
      <c r="AJ991" s="4"/>
      <c r="AK991" s="4"/>
      <c r="AL991" s="4"/>
      <c r="AM991" s="4"/>
      <c r="AN991" s="4"/>
      <c r="AO991" s="4"/>
      <c r="AP991" s="4"/>
      <c r="AQ991" s="4"/>
      <c r="AR991" s="4"/>
      <c r="AS991" s="4"/>
      <c r="AT991" s="4"/>
      <c r="AU991" s="4"/>
      <c r="AV991" s="4"/>
      <c r="AW991" s="4"/>
      <c r="AX991" s="4"/>
      <c r="AY991" s="4"/>
      <c r="AZ991" s="4"/>
      <c r="BA991" s="4"/>
      <c r="BB991" s="4"/>
      <c r="BC991" s="4"/>
      <c r="BD991" s="4"/>
      <c r="BE991" s="4"/>
      <c r="BF991" s="4"/>
      <c r="BG991" s="4"/>
      <c r="BH991" s="4"/>
      <c r="BI991" s="4"/>
      <c r="BJ991" s="4"/>
      <c r="BK991" s="4"/>
      <c r="BL991" s="4"/>
      <c r="BM991" s="4"/>
      <c r="BN991" s="4"/>
    </row>
    <row r="992" ht="13.5" customHeight="1" spans="1:66" x14ac:dyDescent="0.25">
      <c r="A992" s="4"/>
      <c r="B992" s="4"/>
      <c r="C992" s="533"/>
      <c r="D992" s="4"/>
      <c r="E992" s="4"/>
      <c r="F992" s="4"/>
      <c r="G992" s="4"/>
      <c r="H992" s="4"/>
      <c r="I992" s="4"/>
      <c r="J992" s="4"/>
      <c r="K992" s="4"/>
      <c r="L992" s="4"/>
      <c r="M992" s="4"/>
      <c r="N992" s="4"/>
      <c r="O992" s="4"/>
      <c r="P992" s="4"/>
      <c r="Q992" s="4"/>
      <c r="R992" s="4"/>
      <c r="S992" s="4"/>
      <c r="T992" s="4"/>
      <c r="U992" s="4"/>
      <c r="V992" s="4"/>
      <c r="W992" s="4"/>
      <c r="X992" s="4"/>
      <c r="Y992" s="4"/>
      <c r="Z992" s="4"/>
      <c r="AA992" s="4"/>
      <c r="AB992" s="4"/>
      <c r="AC992" s="4"/>
      <c r="AD992" s="4"/>
      <c r="AE992" s="4"/>
      <c r="AF992" s="4"/>
      <c r="AG992" s="4"/>
      <c r="AH992" s="4"/>
      <c r="AI992" s="4"/>
      <c r="AJ992" s="4"/>
      <c r="AK992" s="4"/>
      <c r="AL992" s="4"/>
      <c r="AM992" s="4"/>
      <c r="AN992" s="4"/>
      <c r="AO992" s="4"/>
      <c r="AP992" s="4"/>
      <c r="AQ992" s="4"/>
      <c r="AR992" s="4"/>
      <c r="AS992" s="4"/>
      <c r="AT992" s="4"/>
      <c r="AU992" s="4"/>
      <c r="AV992" s="4"/>
      <c r="AW992" s="4"/>
      <c r="AX992" s="4"/>
      <c r="AY992" s="4"/>
      <c r="AZ992" s="4"/>
      <c r="BA992" s="4"/>
      <c r="BB992" s="4"/>
      <c r="BC992" s="4"/>
      <c r="BD992" s="4"/>
      <c r="BE992" s="4"/>
      <c r="BF992" s="4"/>
      <c r="BG992" s="4"/>
      <c r="BH992" s="4"/>
      <c r="BI992" s="4"/>
      <c r="BJ992" s="4"/>
      <c r="BK992" s="4"/>
      <c r="BL992" s="4"/>
      <c r="BM992" s="4"/>
      <c r="BN992" s="4"/>
    </row>
    <row r="993" ht="13.5" customHeight="1" spans="1:66" x14ac:dyDescent="0.25">
      <c r="A993" s="4"/>
      <c r="B993" s="4"/>
      <c r="C993" s="533"/>
      <c r="D993" s="4"/>
      <c r="E993" s="4"/>
      <c r="F993" s="4"/>
      <c r="G993" s="4"/>
      <c r="H993" s="4"/>
      <c r="I993" s="4"/>
      <c r="J993" s="4"/>
      <c r="K993" s="4"/>
      <c r="L993" s="4"/>
      <c r="M993" s="4"/>
      <c r="N993" s="4"/>
      <c r="O993" s="4"/>
      <c r="P993" s="4"/>
      <c r="Q993" s="4"/>
      <c r="R993" s="4"/>
      <c r="S993" s="4"/>
      <c r="T993" s="4"/>
      <c r="U993" s="4"/>
      <c r="V993" s="4"/>
      <c r="W993" s="4"/>
      <c r="X993" s="4"/>
      <c r="Y993" s="4"/>
      <c r="Z993" s="4"/>
      <c r="AA993" s="4"/>
      <c r="AB993" s="4"/>
      <c r="AC993" s="4"/>
      <c r="AD993" s="4"/>
      <c r="AE993" s="4"/>
      <c r="AF993" s="4"/>
      <c r="AG993" s="4"/>
      <c r="AH993" s="4"/>
      <c r="AI993" s="4"/>
      <c r="AJ993" s="4"/>
      <c r="AK993" s="4"/>
      <c r="AL993" s="4"/>
      <c r="AM993" s="4"/>
      <c r="AN993" s="4"/>
      <c r="AO993" s="4"/>
      <c r="AP993" s="4"/>
      <c r="AQ993" s="4"/>
      <c r="AR993" s="4"/>
      <c r="AS993" s="4"/>
      <c r="AT993" s="4"/>
      <c r="AU993" s="4"/>
      <c r="AV993" s="4"/>
      <c r="AW993" s="4"/>
      <c r="AX993" s="4"/>
      <c r="AY993" s="4"/>
      <c r="AZ993" s="4"/>
      <c r="BA993" s="4"/>
      <c r="BB993" s="4"/>
      <c r="BC993" s="4"/>
      <c r="BD993" s="4"/>
      <c r="BE993" s="4"/>
      <c r="BF993" s="4"/>
      <c r="BG993" s="4"/>
      <c r="BH993" s="4"/>
      <c r="BI993" s="4"/>
      <c r="BJ993" s="4"/>
      <c r="BK993" s="4"/>
      <c r="BL993" s="4"/>
      <c r="BM993" s="4"/>
      <c r="BN993" s="4"/>
    </row>
    <row r="994" ht="13.5" customHeight="1" spans="1:66" x14ac:dyDescent="0.25">
      <c r="A994" s="4"/>
      <c r="B994" s="4"/>
      <c r="C994" s="533"/>
      <c r="D994" s="4"/>
      <c r="E994" s="4"/>
      <c r="F994" s="4"/>
      <c r="G994" s="4"/>
      <c r="H994" s="4"/>
      <c r="I994" s="4"/>
      <c r="J994" s="4"/>
      <c r="K994" s="4"/>
      <c r="L994" s="4"/>
      <c r="M994" s="4"/>
      <c r="N994" s="4"/>
      <c r="O994" s="4"/>
      <c r="P994" s="4"/>
      <c r="Q994" s="4"/>
      <c r="R994" s="4"/>
      <c r="S994" s="4"/>
      <c r="T994" s="4"/>
      <c r="U994" s="4"/>
      <c r="V994" s="4"/>
      <c r="W994" s="4"/>
      <c r="X994" s="4"/>
      <c r="Y994" s="4"/>
      <c r="Z994" s="4"/>
      <c r="AA994" s="4"/>
      <c r="AB994" s="4"/>
      <c r="AC994" s="4"/>
      <c r="AD994" s="4"/>
      <c r="AE994" s="4"/>
      <c r="AF994" s="4"/>
      <c r="AG994" s="4"/>
      <c r="AH994" s="4"/>
      <c r="AI994" s="4"/>
      <c r="AJ994" s="4"/>
      <c r="AK994" s="4"/>
      <c r="AL994" s="4"/>
      <c r="AM994" s="4"/>
      <c r="AN994" s="4"/>
      <c r="AO994" s="4"/>
      <c r="AP994" s="4"/>
      <c r="AQ994" s="4"/>
      <c r="AR994" s="4"/>
      <c r="AS994" s="4"/>
      <c r="AT994" s="4"/>
      <c r="AU994" s="4"/>
      <c r="AV994" s="4"/>
      <c r="AW994" s="4"/>
      <c r="AX994" s="4"/>
      <c r="AY994" s="4"/>
      <c r="AZ994" s="4"/>
      <c r="BA994" s="4"/>
      <c r="BB994" s="4"/>
      <c r="BC994" s="4"/>
      <c r="BD994" s="4"/>
      <c r="BE994" s="4"/>
      <c r="BF994" s="4"/>
      <c r="BG994" s="4"/>
      <c r="BH994" s="4"/>
      <c r="BI994" s="4"/>
      <c r="BJ994" s="4"/>
      <c r="BK994" s="4"/>
      <c r="BL994" s="4"/>
      <c r="BM994" s="4"/>
      <c r="BN994" s="4"/>
    </row>
    <row r="995" ht="13.5" customHeight="1" spans="1:66" x14ac:dyDescent="0.25">
      <c r="A995" s="4"/>
      <c r="B995" s="4"/>
      <c r="C995" s="533"/>
      <c r="D995" s="4"/>
      <c r="E995" s="4"/>
      <c r="F995" s="4"/>
      <c r="G995" s="4"/>
      <c r="H995" s="4"/>
      <c r="I995" s="4"/>
      <c r="J995" s="4"/>
      <c r="K995" s="4"/>
      <c r="L995" s="4"/>
      <c r="M995" s="4"/>
      <c r="N995" s="4"/>
      <c r="O995" s="4"/>
      <c r="P995" s="4"/>
      <c r="Q995" s="4"/>
      <c r="R995" s="4"/>
      <c r="S995" s="4"/>
      <c r="T995" s="4"/>
      <c r="U995" s="4"/>
      <c r="V995" s="4"/>
      <c r="W995" s="4"/>
      <c r="X995" s="4"/>
      <c r="Y995" s="4"/>
      <c r="Z995" s="4"/>
      <c r="AA995" s="4"/>
      <c r="AB995" s="4"/>
      <c r="AC995" s="4"/>
      <c r="AD995" s="4"/>
      <c r="AE995" s="4"/>
      <c r="AF995" s="4"/>
      <c r="AG995" s="4"/>
      <c r="AH995" s="4"/>
      <c r="AI995" s="4"/>
      <c r="AJ995" s="4"/>
      <c r="AK995" s="4"/>
      <c r="AL995" s="4"/>
      <c r="AM995" s="4"/>
      <c r="AN995" s="4"/>
      <c r="AO995" s="4"/>
      <c r="AP995" s="4"/>
      <c r="AQ995" s="4"/>
      <c r="AR995" s="4"/>
      <c r="AS995" s="4"/>
      <c r="AT995" s="4"/>
      <c r="AU995" s="4"/>
      <c r="AV995" s="4"/>
      <c r="AW995" s="4"/>
      <c r="AX995" s="4"/>
      <c r="AY995" s="4"/>
      <c r="AZ995" s="4"/>
      <c r="BA995" s="4"/>
      <c r="BB995" s="4"/>
      <c r="BC995" s="4"/>
      <c r="BD995" s="4"/>
      <c r="BE995" s="4"/>
      <c r="BF995" s="4"/>
      <c r="BG995" s="4"/>
      <c r="BH995" s="4"/>
      <c r="BI995" s="4"/>
      <c r="BJ995" s="4"/>
      <c r="BK995" s="4"/>
      <c r="BL995" s="4"/>
      <c r="BM995" s="4"/>
      <c r="BN995" s="4"/>
    </row>
    <row r="996" ht="13.5" customHeight="1" spans="1:66" x14ac:dyDescent="0.25">
      <c r="A996" s="4"/>
      <c r="B996" s="4"/>
      <c r="C996" s="533"/>
      <c r="D996" s="4"/>
      <c r="E996" s="4"/>
      <c r="F996" s="4"/>
      <c r="G996" s="4"/>
      <c r="H996" s="4"/>
      <c r="I996" s="4"/>
      <c r="J996" s="4"/>
      <c r="K996" s="4"/>
      <c r="L996" s="4"/>
      <c r="M996" s="4"/>
      <c r="N996" s="4"/>
      <c r="O996" s="4"/>
      <c r="P996" s="4"/>
      <c r="Q996" s="4"/>
      <c r="R996" s="4"/>
      <c r="S996" s="4"/>
      <c r="T996" s="4"/>
      <c r="U996" s="4"/>
      <c r="V996" s="4"/>
      <c r="W996" s="4"/>
      <c r="X996" s="4"/>
      <c r="Y996" s="4"/>
      <c r="Z996" s="4"/>
      <c r="AA996" s="4"/>
      <c r="AB996" s="4"/>
      <c r="AC996" s="4"/>
      <c r="AD996" s="4"/>
      <c r="AE996" s="4"/>
      <c r="AF996" s="4"/>
      <c r="AG996" s="4"/>
      <c r="AH996" s="4"/>
      <c r="AI996" s="4"/>
      <c r="AJ996" s="4"/>
      <c r="AK996" s="4"/>
      <c r="AL996" s="4"/>
      <c r="AM996" s="4"/>
      <c r="AN996" s="4"/>
      <c r="AO996" s="4"/>
      <c r="AP996" s="4"/>
      <c r="AQ996" s="4"/>
      <c r="AR996" s="4"/>
      <c r="AS996" s="4"/>
      <c r="AT996" s="4"/>
      <c r="AU996" s="4"/>
      <c r="AV996" s="4"/>
      <c r="AW996" s="4"/>
      <c r="AX996" s="4"/>
      <c r="AY996" s="4"/>
      <c r="AZ996" s="4"/>
      <c r="BA996" s="4"/>
      <c r="BB996" s="4"/>
      <c r="BC996" s="4"/>
      <c r="BD996" s="4"/>
      <c r="BE996" s="4"/>
      <c r="BF996" s="4"/>
      <c r="BG996" s="4"/>
      <c r="BH996" s="4"/>
      <c r="BI996" s="4"/>
      <c r="BJ996" s="4"/>
      <c r="BK996" s="4"/>
      <c r="BL996" s="4"/>
      <c r="BM996" s="4"/>
      <c r="BN996" s="4"/>
    </row>
    <row r="997" ht="13.5" customHeight="1" spans="1:66" x14ac:dyDescent="0.25">
      <c r="A997" s="4"/>
      <c r="B997" s="4"/>
      <c r="C997" s="533"/>
      <c r="D997" s="4"/>
      <c r="E997" s="4"/>
      <c r="F997" s="4"/>
      <c r="G997" s="4"/>
      <c r="H997" s="4"/>
      <c r="I997" s="4"/>
      <c r="J997" s="4"/>
      <c r="K997" s="4"/>
      <c r="L997" s="4"/>
      <c r="M997" s="4"/>
      <c r="N997" s="4"/>
      <c r="O997" s="4"/>
      <c r="P997" s="4"/>
      <c r="Q997" s="4"/>
      <c r="R997" s="4"/>
      <c r="S997" s="4"/>
      <c r="T997" s="4"/>
      <c r="U997" s="4"/>
      <c r="V997" s="4"/>
      <c r="W997" s="4"/>
      <c r="X997" s="4"/>
      <c r="Y997" s="4"/>
      <c r="Z997" s="4"/>
      <c r="AA997" s="4"/>
      <c r="AB997" s="4"/>
      <c r="AC997" s="4"/>
      <c r="AD997" s="4"/>
      <c r="AE997" s="4"/>
      <c r="AF997" s="4"/>
      <c r="AG997" s="4"/>
      <c r="AH997" s="4"/>
      <c r="AI997" s="4"/>
      <c r="AJ997" s="4"/>
      <c r="AK997" s="4"/>
      <c r="AL997" s="4"/>
      <c r="AM997" s="4"/>
      <c r="AN997" s="4"/>
      <c r="AO997" s="4"/>
      <c r="AP997" s="4"/>
      <c r="AQ997" s="4"/>
      <c r="AR997" s="4"/>
      <c r="AS997" s="4"/>
      <c r="AT997" s="4"/>
      <c r="AU997" s="4"/>
      <c r="AV997" s="4"/>
      <c r="AW997" s="4"/>
      <c r="AX997" s="4"/>
      <c r="AY997" s="4"/>
      <c r="AZ997" s="4"/>
      <c r="BA997" s="4"/>
      <c r="BB997" s="4"/>
      <c r="BC997" s="4"/>
      <c r="BD997" s="4"/>
      <c r="BE997" s="4"/>
      <c r="BF997" s="4"/>
      <c r="BG997" s="4"/>
      <c r="BH997" s="4"/>
      <c r="BI997" s="4"/>
      <c r="BJ997" s="4"/>
      <c r="BK997" s="4"/>
      <c r="BL997" s="4"/>
      <c r="BM997" s="4"/>
      <c r="BN997" s="4"/>
    </row>
    <row r="998" ht="13.5" customHeight="1" spans="1:66" x14ac:dyDescent="0.25">
      <c r="A998" s="4"/>
      <c r="B998" s="4"/>
      <c r="C998" s="533"/>
      <c r="D998" s="4"/>
      <c r="E998" s="4"/>
      <c r="F998" s="4"/>
      <c r="G998" s="4"/>
      <c r="H998" s="4"/>
      <c r="I998" s="4"/>
      <c r="J998" s="4"/>
      <c r="K998" s="4"/>
      <c r="L998" s="4"/>
      <c r="M998" s="4"/>
      <c r="N998" s="4"/>
      <c r="O998" s="4"/>
      <c r="P998" s="4"/>
      <c r="Q998" s="4"/>
      <c r="R998" s="4"/>
      <c r="S998" s="4"/>
      <c r="T998" s="4"/>
      <c r="U998" s="4"/>
      <c r="V998" s="4"/>
      <c r="W998" s="4"/>
      <c r="X998" s="4"/>
      <c r="Y998" s="4"/>
      <c r="Z998" s="4"/>
      <c r="AA998" s="4"/>
      <c r="AB998" s="4"/>
      <c r="AC998" s="4"/>
      <c r="AD998" s="4"/>
      <c r="AE998" s="4"/>
      <c r="AF998" s="4"/>
      <c r="AG998" s="4"/>
      <c r="AH998" s="4"/>
      <c r="AI998" s="4"/>
      <c r="AJ998" s="4"/>
      <c r="AK998" s="4"/>
      <c r="AL998" s="4"/>
      <c r="AM998" s="4"/>
      <c r="AN998" s="4"/>
      <c r="AO998" s="4"/>
      <c r="AP998" s="4"/>
      <c r="AQ998" s="4"/>
      <c r="AR998" s="4"/>
      <c r="AS998" s="4"/>
      <c r="AT998" s="4"/>
      <c r="AU998" s="4"/>
      <c r="AV998" s="4"/>
      <c r="AW998" s="4"/>
      <c r="AX998" s="4"/>
      <c r="AY998" s="4"/>
      <c r="AZ998" s="4"/>
      <c r="BA998" s="4"/>
      <c r="BB998" s="4"/>
      <c r="BC998" s="4"/>
      <c r="BD998" s="4"/>
      <c r="BE998" s="4"/>
      <c r="BF998" s="4"/>
      <c r="BG998" s="4"/>
      <c r="BH998" s="4"/>
      <c r="BI998" s="4"/>
      <c r="BJ998" s="4"/>
      <c r="BK998" s="4"/>
      <c r="BL998" s="4"/>
      <c r="BM998" s="4"/>
      <c r="BN998" s="4"/>
    </row>
    <row r="999" ht="13.5" customHeight="1" spans="1:66" x14ac:dyDescent="0.25">
      <c r="A999" s="4"/>
      <c r="B999" s="4"/>
      <c r="C999" s="533"/>
      <c r="D999" s="4"/>
      <c r="E999" s="4"/>
      <c r="F999" s="4"/>
      <c r="G999" s="4"/>
      <c r="H999" s="4"/>
      <c r="I999" s="4"/>
      <c r="J999" s="4"/>
      <c r="K999" s="4"/>
      <c r="L999" s="4"/>
      <c r="M999" s="4"/>
      <c r="N999" s="4"/>
      <c r="O999" s="4"/>
      <c r="P999" s="4"/>
      <c r="Q999" s="4"/>
      <c r="R999" s="4"/>
      <c r="S999" s="4"/>
      <c r="T999" s="4"/>
      <c r="U999" s="4"/>
      <c r="V999" s="4"/>
      <c r="W999" s="4"/>
      <c r="X999" s="4"/>
      <c r="Y999" s="4"/>
      <c r="Z999" s="4"/>
      <c r="AA999" s="4"/>
      <c r="AB999" s="4"/>
      <c r="AC999" s="4"/>
      <c r="AD999" s="4"/>
      <c r="AE999" s="4"/>
      <c r="AF999" s="4"/>
      <c r="AG999" s="4"/>
      <c r="AH999" s="4"/>
      <c r="AI999" s="4"/>
      <c r="AJ999" s="4"/>
      <c r="AK999" s="4"/>
      <c r="AL999" s="4"/>
      <c r="AM999" s="4"/>
      <c r="AN999" s="4"/>
      <c r="AO999" s="4"/>
      <c r="AP999" s="4"/>
      <c r="AQ999" s="4"/>
      <c r="AR999" s="4"/>
      <c r="AS999" s="4"/>
      <c r="AT999" s="4"/>
      <c r="AU999" s="4"/>
      <c r="AV999" s="4"/>
      <c r="AW999" s="4"/>
      <c r="AX999" s="4"/>
      <c r="AY999" s="4"/>
      <c r="AZ999" s="4"/>
      <c r="BA999" s="4"/>
      <c r="BB999" s="4"/>
      <c r="BC999" s="4"/>
      <c r="BD999" s="4"/>
      <c r="BE999" s="4"/>
      <c r="BF999" s="4"/>
      <c r="BG999" s="4"/>
      <c r="BH999" s="4"/>
      <c r="BI999" s="4"/>
      <c r="BJ999" s="4"/>
      <c r="BK999" s="4"/>
      <c r="BL999" s="4"/>
      <c r="BM999" s="4"/>
      <c r="BN999" s="4"/>
    </row>
    <row r="1000" ht="13.5" customHeight="1" spans="1:66" x14ac:dyDescent="0.25">
      <c r="A1000" s="4"/>
      <c r="B1000" s="4"/>
      <c r="C1000" s="533"/>
      <c r="D1000" s="4"/>
      <c r="E1000" s="4"/>
      <c r="F1000" s="4"/>
      <c r="G1000" s="4"/>
      <c r="H1000" s="4"/>
      <c r="I1000" s="4"/>
      <c r="J1000" s="4"/>
      <c r="K1000" s="4"/>
      <c r="L1000" s="4"/>
      <c r="M1000" s="4"/>
      <c r="N1000" s="4"/>
      <c r="O1000" s="4"/>
      <c r="P1000" s="4"/>
      <c r="Q1000" s="4"/>
      <c r="R1000" s="4"/>
      <c r="S1000" s="4"/>
      <c r="T1000" s="4"/>
      <c r="U1000" s="4"/>
      <c r="V1000" s="4"/>
      <c r="W1000" s="4"/>
      <c r="X1000" s="4"/>
      <c r="Y1000" s="4"/>
      <c r="Z1000" s="4"/>
      <c r="AA1000" s="4"/>
      <c r="AB1000" s="4"/>
      <c r="AC1000" s="4"/>
      <c r="AD1000" s="4"/>
      <c r="AE1000" s="4"/>
      <c r="AF1000" s="4"/>
      <c r="AG1000" s="4"/>
      <c r="AH1000" s="4"/>
      <c r="AI1000" s="4"/>
      <c r="AJ1000" s="4"/>
      <c r="AK1000" s="4"/>
      <c r="AL1000" s="4"/>
      <c r="AM1000" s="4"/>
      <c r="AN1000" s="4"/>
      <c r="AO1000" s="4"/>
      <c r="AP1000" s="4"/>
      <c r="AQ1000" s="4"/>
      <c r="AR1000" s="4"/>
      <c r="AS1000" s="4"/>
      <c r="AT1000" s="4"/>
      <c r="AU1000" s="4"/>
      <c r="AV1000" s="4"/>
      <c r="AW1000" s="4"/>
      <c r="AX1000" s="4"/>
      <c r="AY1000" s="4"/>
      <c r="AZ1000" s="4"/>
      <c r="BA1000" s="4"/>
      <c r="BB1000" s="4"/>
      <c r="BC1000" s="4"/>
      <c r="BD1000" s="4"/>
      <c r="BE1000" s="4"/>
      <c r="BF1000" s="4"/>
      <c r="BG1000" s="4"/>
      <c r="BH1000" s="4"/>
      <c r="BI1000" s="4"/>
      <c r="BJ1000" s="4"/>
      <c r="BK1000" s="4"/>
      <c r="BL1000" s="4"/>
      <c r="BM1000" s="4"/>
      <c r="BN1000" s="4"/>
    </row>
  </sheetData>
  <mergeCells count="102">
    <mergeCell ref="D4:V4"/>
    <mergeCell ref="Z4:AR4"/>
    <mergeCell ref="AV4:BN4"/>
    <mergeCell ref="Q6:T6"/>
    <mergeCell ref="AM6:AP6"/>
    <mergeCell ref="BI6:BL6"/>
    <mergeCell ref="I7:J7"/>
    <mergeCell ref="K7:L7"/>
    <mergeCell ref="M7:N7"/>
    <mergeCell ref="O7:P7"/>
    <mergeCell ref="Q7:R7"/>
    <mergeCell ref="S7:T7"/>
    <mergeCell ref="U7:V7"/>
    <mergeCell ref="AE7:AF7"/>
    <mergeCell ref="AG7:AH7"/>
    <mergeCell ref="AI7:AJ7"/>
    <mergeCell ref="AK7:AL7"/>
    <mergeCell ref="AM7:AN7"/>
    <mergeCell ref="AO7:AP7"/>
    <mergeCell ref="AQ7:AR7"/>
    <mergeCell ref="BA7:BB7"/>
    <mergeCell ref="BC7:BD7"/>
    <mergeCell ref="BE7:BF7"/>
    <mergeCell ref="BG7:BH7"/>
    <mergeCell ref="BI7:BJ7"/>
    <mergeCell ref="BK7:BL7"/>
    <mergeCell ref="BM7:BN7"/>
    <mergeCell ref="D23:F23"/>
    <mergeCell ref="G23:I23"/>
    <mergeCell ref="J23:L23"/>
    <mergeCell ref="M23:O23"/>
    <mergeCell ref="P23:R23"/>
    <mergeCell ref="S23:T23"/>
    <mergeCell ref="U23:V23"/>
    <mergeCell ref="Z23:AB23"/>
    <mergeCell ref="AC23:AE23"/>
    <mergeCell ref="AF23:AH23"/>
    <mergeCell ref="AI23:AK23"/>
    <mergeCell ref="AL23:AN23"/>
    <mergeCell ref="AO23:AP23"/>
    <mergeCell ref="AQ23:AR23"/>
    <mergeCell ref="AV23:AX23"/>
    <mergeCell ref="AY23:BA23"/>
    <mergeCell ref="BB23:BD23"/>
    <mergeCell ref="BE23:BG23"/>
    <mergeCell ref="BH23:BJ23"/>
    <mergeCell ref="BK23:BL23"/>
    <mergeCell ref="BM23:BN23"/>
    <mergeCell ref="M24:O24"/>
    <mergeCell ref="AI24:AK24"/>
    <mergeCell ref="BE24:BG24"/>
    <mergeCell ref="D46:V46"/>
    <mergeCell ref="Z46:AR46"/>
    <mergeCell ref="AV46:BN46"/>
    <mergeCell ref="Q47:S47"/>
    <mergeCell ref="AM47:AO47"/>
    <mergeCell ref="BI47:BK47"/>
    <mergeCell ref="I48:J48"/>
    <mergeCell ref="K48:L48"/>
    <mergeCell ref="M48:N48"/>
    <mergeCell ref="O48:P48"/>
    <mergeCell ref="Q48:R48"/>
    <mergeCell ref="S48:T48"/>
    <mergeCell ref="U48:V48"/>
    <mergeCell ref="AE48:AF48"/>
    <mergeCell ref="AG48:AH48"/>
    <mergeCell ref="AI48:AJ48"/>
    <mergeCell ref="AK48:AL48"/>
    <mergeCell ref="AM48:AN48"/>
    <mergeCell ref="AO48:AP48"/>
    <mergeCell ref="AQ48:AR48"/>
    <mergeCell ref="BA48:BB48"/>
    <mergeCell ref="BC48:BD48"/>
    <mergeCell ref="BE48:BF48"/>
    <mergeCell ref="BG48:BH48"/>
    <mergeCell ref="BI48:BJ48"/>
    <mergeCell ref="BK48:BL48"/>
    <mergeCell ref="BM48:BN48"/>
    <mergeCell ref="D65:F65"/>
    <mergeCell ref="G65:I65"/>
    <mergeCell ref="J65:L65"/>
    <mergeCell ref="M65:O65"/>
    <mergeCell ref="P65:R65"/>
    <mergeCell ref="S65:T65"/>
    <mergeCell ref="U65:V65"/>
    <mergeCell ref="Z65:AB65"/>
    <mergeCell ref="AC65:AE65"/>
    <mergeCell ref="AF65:AH65"/>
    <mergeCell ref="AI65:AK65"/>
    <mergeCell ref="AL65:AN65"/>
    <mergeCell ref="AO65:AP65"/>
    <mergeCell ref="AQ65:AR65"/>
    <mergeCell ref="AV65:AX65"/>
    <mergeCell ref="AY65:BA65"/>
    <mergeCell ref="BB65:BD65"/>
    <mergeCell ref="BE65:BG65"/>
    <mergeCell ref="BH65:BJ65"/>
    <mergeCell ref="BK65:BL65"/>
    <mergeCell ref="BM65:BN65"/>
    <mergeCell ref="M66:O66"/>
    <mergeCell ref="AI66:AK66"/>
    <mergeCell ref="BE66:BG66"/>
  </mergeCells>
  <pageMargins left="0.7" right="0.7" top="0.75" bottom="0.75" header="0" footer="0"/>
  <pageSetup orientation="portrait" horizontalDpi="4294967295" verticalDpi="4294967295" scale="100" fitToWidth="1" fitToHeight="1" firstPageNumber="1" useFirstPageNumber="1" copies="1"/>
  <legacy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760000"/>
  </sheetPr>
  <dimension ref="A1:AC1000"/>
  <sheetViews>
    <sheetView workbookViewId="0" showGridLines="0" zoomScale="100" zoomScaleNormal="100">
      <pane ySplit="8" topLeftCell="A9" activePane="bottomLeft" state="frozen"/>
      <selection pane="bottomLeft" activeCell="B10" sqref="B10"/>
    </sheetView>
  </sheetViews>
  <sheetFormatPr defaultRowHeight="15" outlineLevelRow="1" outlineLevelCol="0" x14ac:dyDescent="0" defaultColWidth="14.5"/>
  <cols>
    <col min="1" max="1" width="1.6640625" customWidth="1"/>
    <col min="2" max="2" width="33.5" customWidth="1"/>
    <col min="3" max="3" width="9.1640625" customWidth="1"/>
    <col min="4" max="4" width="7.83203125" customWidth="1"/>
    <col min="5" max="5" width="44.5" customWidth="1"/>
    <col min="6" max="6" width="12.1640625" customWidth="1"/>
    <col min="7" max="7" width="18.5" customWidth="1"/>
    <col min="8" max="9" width="9.1640625" customWidth="1"/>
    <col min="11" max="11" width="29" customWidth="1"/>
    <col min="12" max="12" width="34.5" customWidth="1"/>
    <col min="13" max="13" width="48.5" customWidth="1"/>
    <col min="14" max="14" width="32" customWidth="1"/>
    <col min="15" max="29" width="9.1640625" customWidth="1"/>
  </cols>
  <sheetData>
    <row r="1" ht="18" customHeight="1" spans="1:29" x14ac:dyDescent="0.25">
      <c r="A1" s="16"/>
      <c r="B1" s="16"/>
      <c r="C1" s="16"/>
      <c r="D1" s="16"/>
      <c r="E1" s="16"/>
      <c r="F1" s="16"/>
      <c r="G1" s="16"/>
      <c r="H1" s="647"/>
      <c r="I1" s="647"/>
      <c r="J1" s="647"/>
      <c r="K1" s="647"/>
      <c r="L1" s="647"/>
      <c r="M1" s="647"/>
      <c r="N1" s="647"/>
      <c r="O1" s="647"/>
      <c r="P1" s="647"/>
      <c r="Q1" s="647"/>
      <c r="R1" s="647"/>
      <c r="S1" s="647"/>
      <c r="T1" s="647"/>
      <c r="U1" s="16"/>
      <c r="V1" s="16"/>
      <c r="W1" s="16"/>
      <c r="X1" s="16"/>
      <c r="Y1" s="16"/>
      <c r="Z1" s="16"/>
      <c r="AA1" s="16"/>
      <c r="AB1" s="16"/>
      <c r="AC1" s="16"/>
    </row>
    <row r="2" ht="12.75" customHeight="1" spans="1:29" x14ac:dyDescent="0.25">
      <c r="A2" s="16"/>
      <c r="B2" s="16" t="s">
        <v>602</v>
      </c>
      <c r="C2" s="16"/>
      <c r="D2" s="16"/>
      <c r="E2" s="16"/>
      <c r="F2" s="16"/>
      <c r="G2" s="16"/>
      <c r="H2" s="647"/>
      <c r="I2" s="647"/>
      <c r="J2" s="647"/>
      <c r="K2" s="647"/>
      <c r="L2" s="647">
        <v>1</v>
      </c>
      <c r="M2" s="647"/>
      <c r="N2" s="647"/>
      <c r="O2" s="647"/>
      <c r="P2" s="647"/>
      <c r="Q2" s="647"/>
      <c r="R2" s="647"/>
      <c r="S2" s="647"/>
      <c r="T2" s="647"/>
      <c r="U2" s="16"/>
      <c r="V2" s="16"/>
      <c r="W2" s="16"/>
      <c r="X2" s="16"/>
      <c r="Y2" s="16"/>
      <c r="Z2" s="16"/>
      <c r="AA2" s="16"/>
      <c r="AB2" s="16"/>
      <c r="AC2" s="648">
        <f ca="1">_xll.ciqfunctions.udf.CIQ("3304","iq_ev_over_ltm_ebitda")</f>
      </c>
    </row>
    <row r="3" ht="12.75" customHeight="1" spans="1:29" x14ac:dyDescent="0.25">
      <c r="A3" s="16"/>
      <c r="B3" s="16" t="s">
        <v>603</v>
      </c>
      <c r="C3" s="16"/>
      <c r="D3" s="16"/>
      <c r="E3" s="16"/>
      <c r="F3" s="16"/>
      <c r="G3" s="16"/>
      <c r="H3" s="647"/>
      <c r="I3" s="647"/>
      <c r="J3" s="647"/>
      <c r="K3" s="647"/>
      <c r="L3" s="647">
        <f t="shared" ref="L3:L6" si="0" ca="1">L2+1</f>
        <v>2</v>
      </c>
      <c r="M3" s="647"/>
      <c r="N3" s="647"/>
      <c r="O3" s="647"/>
      <c r="P3" s="647"/>
      <c r="Q3" s="647"/>
      <c r="R3" s="647"/>
      <c r="S3" s="647"/>
      <c r="T3" s="647"/>
      <c r="U3" s="16"/>
      <c r="V3" s="16"/>
      <c r="W3" s="16"/>
      <c r="X3" s="16"/>
      <c r="Y3" s="16"/>
      <c r="Z3" s="16"/>
      <c r="AA3" s="16"/>
      <c r="AB3" s="16"/>
      <c r="AC3" s="16"/>
    </row>
    <row r="4" ht="12.75" customHeight="1" spans="1:29" x14ac:dyDescent="0.25">
      <c r="A4" s="16"/>
      <c r="B4" s="16" t="s">
        <v>604</v>
      </c>
      <c r="C4" s="16"/>
      <c r="D4" s="16"/>
      <c r="E4" s="16"/>
      <c r="F4" s="16"/>
      <c r="G4" s="16"/>
      <c r="H4" s="647"/>
      <c r="I4" s="647"/>
      <c r="J4" s="647"/>
      <c r="K4" s="647"/>
      <c r="L4" s="647">
        <f ca="1">L3+1</f>
        <v>3</v>
      </c>
      <c r="M4" s="647"/>
      <c r="N4" s="647"/>
      <c r="O4" s="647"/>
      <c r="P4" s="647"/>
      <c r="Q4" s="647"/>
      <c r="R4" s="647"/>
      <c r="S4" s="647"/>
      <c r="T4" s="647"/>
      <c r="U4" s="16"/>
      <c r="V4" s="16"/>
      <c r="W4" s="16"/>
      <c r="X4" s="16"/>
      <c r="Y4" s="16"/>
      <c r="Z4" s="16"/>
      <c r="AA4" s="16"/>
      <c r="AB4" s="16"/>
      <c r="AC4" s="16"/>
    </row>
    <row r="5" ht="12.75" customHeight="1" spans="1:29" x14ac:dyDescent="0.25">
      <c r="A5" s="16"/>
      <c r="B5" s="16" t="s">
        <v>605</v>
      </c>
      <c r="C5" s="16"/>
      <c r="D5" s="16"/>
      <c r="E5" s="16"/>
      <c r="F5" s="16"/>
      <c r="G5" s="16"/>
      <c r="H5" s="647"/>
      <c r="I5" s="647"/>
      <c r="J5" s="647"/>
      <c r="K5" s="647"/>
      <c r="L5" s="647">
        <f ca="1">L4+1</f>
        <v>4</v>
      </c>
      <c r="M5" s="647"/>
      <c r="N5" s="647"/>
      <c r="O5" s="647"/>
      <c r="P5" s="647"/>
      <c r="Q5" s="647"/>
      <c r="R5" s="647"/>
      <c r="S5" s="647"/>
      <c r="T5" s="647"/>
      <c r="U5" s="16"/>
      <c r="V5" s="16"/>
      <c r="W5" s="16"/>
      <c r="X5" s="16"/>
      <c r="Y5" s="16"/>
      <c r="Z5" s="16"/>
      <c r="AA5" s="16"/>
      <c r="AB5" s="16"/>
      <c r="AC5" s="16"/>
    </row>
    <row r="6" ht="12.75" customHeight="1" spans="1:29" x14ac:dyDescent="0.25">
      <c r="A6" s="16"/>
      <c r="B6" s="16"/>
      <c r="C6" s="16"/>
      <c r="D6" s="16"/>
      <c r="E6" s="16"/>
      <c r="F6" s="16"/>
      <c r="G6" s="16"/>
      <c r="H6" s="647"/>
      <c r="I6" s="647"/>
      <c r="J6" s="647"/>
      <c r="K6" s="647"/>
      <c r="L6" s="647">
        <f ca="1">L5+1</f>
        <v>5</v>
      </c>
      <c r="M6" s="647"/>
      <c r="N6" s="647"/>
      <c r="O6" s="647"/>
      <c r="P6" s="647"/>
      <c r="Q6" s="647"/>
      <c r="R6" s="647"/>
      <c r="S6" s="647"/>
      <c r="T6" s="647"/>
      <c r="U6" s="16"/>
      <c r="V6" s="16"/>
      <c r="W6" s="16"/>
      <c r="X6" s="16"/>
      <c r="Y6" s="16"/>
      <c r="Z6" s="16"/>
      <c r="AA6" s="16"/>
      <c r="AB6" s="16"/>
      <c r="AC6" s="16"/>
    </row>
    <row r="7" ht="12.75" customHeight="1" spans="1:29" x14ac:dyDescent="0.25">
      <c r="A7" s="16"/>
      <c r="B7" s="16" t="s">
        <v>606</v>
      </c>
      <c r="C7" s="16"/>
      <c r="D7" s="16"/>
      <c r="E7" s="16"/>
      <c r="F7" s="16"/>
      <c r="G7" s="16"/>
      <c r="H7" s="647"/>
      <c r="I7" s="647"/>
      <c r="J7" s="647"/>
      <c r="K7" s="647"/>
      <c r="L7" s="647"/>
      <c r="M7" s="647"/>
      <c r="N7" s="647"/>
      <c r="O7" s="647"/>
      <c r="P7" s="647"/>
      <c r="Q7" s="647"/>
      <c r="R7" s="647"/>
      <c r="S7" s="647"/>
      <c r="T7" s="647"/>
      <c r="U7" s="16"/>
      <c r="V7" s="16"/>
      <c r="W7" s="16"/>
      <c r="X7" s="16"/>
      <c r="Y7" s="16"/>
      <c r="Z7" s="16"/>
      <c r="AA7" s="16"/>
      <c r="AB7" s="16"/>
      <c r="AC7" s="16"/>
    </row>
    <row r="8" ht="25.5" customHeight="1" spans="1:29" x14ac:dyDescent="0.25">
      <c r="A8" s="16"/>
      <c r="B8" s="649" t="s">
        <v>607</v>
      </c>
      <c r="C8" s="66"/>
      <c r="D8" s="66"/>
      <c r="E8" s="66"/>
      <c r="F8" s="66"/>
      <c r="G8" s="66"/>
      <c r="H8" s="647"/>
      <c r="I8" s="647"/>
      <c r="J8" s="647"/>
      <c r="K8" s="647"/>
      <c r="L8" s="647"/>
      <c r="M8" s="647"/>
      <c r="N8" s="647"/>
      <c r="O8" s="647"/>
      <c r="P8" s="647"/>
      <c r="Q8" s="647"/>
      <c r="R8" s="647"/>
      <c r="S8" s="647"/>
      <c r="T8" s="647"/>
      <c r="U8" s="16"/>
      <c r="V8" s="16"/>
      <c r="W8" s="16"/>
      <c r="X8" s="16"/>
      <c r="Y8" s="16"/>
      <c r="Z8" s="16"/>
      <c r="AA8" s="16"/>
      <c r="AB8" s="16"/>
      <c r="AC8" s="16"/>
    </row>
    <row r="9" ht="31.5" customHeight="1" spans="1:29" x14ac:dyDescent="0.25">
      <c r="A9" s="16"/>
      <c r="B9" s="650" t="s">
        <v>608</v>
      </c>
      <c r="C9" s="650"/>
      <c r="D9" s="651"/>
      <c r="E9" s="651"/>
      <c r="F9" s="651"/>
      <c r="G9" s="651"/>
      <c r="H9" s="647"/>
      <c r="I9" s="647"/>
      <c r="J9" s="16"/>
      <c r="K9" s="16"/>
      <c r="L9" s="16"/>
      <c r="M9" s="16"/>
      <c r="N9" s="16"/>
      <c r="O9" s="16"/>
      <c r="P9" s="16"/>
      <c r="Q9" s="16"/>
      <c r="R9" s="16"/>
      <c r="S9" s="16"/>
      <c r="T9" s="16"/>
      <c r="U9" s="16"/>
      <c r="V9" s="16"/>
      <c r="W9" s="16"/>
      <c r="X9" s="16"/>
      <c r="Y9" s="16"/>
      <c r="Z9" s="16"/>
      <c r="AA9" s="16"/>
      <c r="AB9" s="16"/>
      <c r="AC9" s="16"/>
    </row>
    <row r="10" ht="12.75" customHeight="1" spans="1:29" x14ac:dyDescent="0.25">
      <c r="A10" s="16"/>
      <c r="B10" s="16"/>
      <c r="C10" s="16"/>
      <c r="D10" s="16"/>
      <c r="E10" s="16"/>
      <c r="F10" s="16"/>
      <c r="G10" s="16"/>
      <c r="H10" s="647"/>
      <c r="I10" s="647"/>
      <c r="J10" s="16"/>
      <c r="K10" s="16"/>
      <c r="L10" s="16"/>
      <c r="M10" s="16"/>
      <c r="N10" s="16"/>
      <c r="O10" s="16"/>
      <c r="P10" s="16"/>
      <c r="Q10" s="16"/>
      <c r="R10" s="16"/>
      <c r="S10" s="16"/>
      <c r="T10" s="16"/>
      <c r="U10" s="16"/>
      <c r="V10" s="16"/>
      <c r="W10" s="16"/>
      <c r="X10" s="16"/>
      <c r="Y10" s="16"/>
      <c r="Z10" s="16"/>
      <c r="AA10" s="16"/>
      <c r="AB10" s="16"/>
      <c r="AC10" s="16"/>
    </row>
    <row r="11" ht="12.75" customHeight="1" spans="1:29" x14ac:dyDescent="0.25">
      <c r="A11" s="16"/>
      <c r="B11" s="652"/>
      <c r="C11" s="652" t="s">
        <v>609</v>
      </c>
      <c r="D11" s="652" t="s">
        <v>610</v>
      </c>
      <c r="E11" s="652"/>
      <c r="F11" s="652"/>
      <c r="G11" s="652"/>
      <c r="H11" s="647"/>
      <c r="I11" s="647"/>
      <c r="J11" s="16"/>
      <c r="K11" s="16"/>
      <c r="L11" s="16"/>
      <c r="M11" s="16"/>
      <c r="N11" s="16"/>
      <c r="O11" s="16"/>
      <c r="P11" s="16"/>
      <c r="Q11" s="16"/>
      <c r="R11" s="16"/>
      <c r="S11" s="16"/>
      <c r="T11" s="16"/>
      <c r="U11" s="16"/>
      <c r="V11" s="16"/>
      <c r="W11" s="16"/>
      <c r="X11" s="16"/>
      <c r="Y11" s="16"/>
      <c r="Z11" s="16"/>
      <c r="AA11" s="16"/>
      <c r="AB11" s="16"/>
      <c r="AC11" s="16"/>
    </row>
    <row r="12" ht="12.75" customHeight="1" spans="1:29" x14ac:dyDescent="0.25">
      <c r="A12" s="16"/>
      <c r="B12" s="653" t="s">
        <v>611</v>
      </c>
      <c r="C12" s="653" t="s">
        <v>612</v>
      </c>
      <c r="D12" s="653" t="s">
        <v>613</v>
      </c>
      <c r="E12" s="653" t="s">
        <v>614</v>
      </c>
      <c r="F12" s="653" t="s">
        <v>615</v>
      </c>
      <c r="G12" s="653" t="s">
        <v>25</v>
      </c>
      <c r="H12" s="647"/>
      <c r="I12" s="647"/>
      <c r="J12" s="16"/>
      <c r="K12" s="16">
        <f t="shared" ref="K12:O12" si="1" ca="1">J12+1</f>
        <v>1</v>
      </c>
      <c r="L12" s="16">
        <f ca="1">K12+1</f>
        <v>2</v>
      </c>
      <c r="M12" s="16">
        <f ca="1">L12+1</f>
        <v>3</v>
      </c>
      <c r="N12" s="16">
        <f ca="1">M12+1</f>
        <v>4</v>
      </c>
      <c r="O12" s="16">
        <f ca="1">N12+1</f>
        <v>5</v>
      </c>
      <c r="P12" s="647"/>
      <c r="Q12" s="647">
        <f t="shared" ref="Q12:U12" si="2" ca="1">P12+1</f>
        <v>1</v>
      </c>
      <c r="R12" s="647">
        <f ca="1">Q12+1</f>
        <v>2</v>
      </c>
      <c r="S12" s="647">
        <f ca="1">R12+1</f>
        <v>3</v>
      </c>
      <c r="T12" s="647">
        <f ca="1">S12+1</f>
        <v>4</v>
      </c>
      <c r="U12" s="647">
        <f ca="1">T12+1</f>
        <v>5</v>
      </c>
      <c r="V12" s="16"/>
      <c r="W12" s="16"/>
      <c r="X12" s="16"/>
      <c r="Y12" s="16"/>
      <c r="Z12" s="16"/>
      <c r="AA12" s="16"/>
      <c r="AB12" s="16"/>
      <c r="AC12" s="16"/>
    </row>
    <row r="13" ht="12.75" customHeight="1" hidden="1" spans="1:29" x14ac:dyDescent="0.25" outlineLevel="1" collapsed="1">
      <c r="A13" s="16"/>
      <c r="B13" s="641" t="s">
        <v>616</v>
      </c>
      <c r="C13" s="506" t="str">
        <f ca="1">IF(J13="","",IFERROR(MATCH(B13,$K13:O13,0),"NO"))</f>
        <v/>
      </c>
      <c r="D13" s="641">
        <v>1</v>
      </c>
      <c r="E13" s="16" t="str">
        <f t="shared" ref="E13:E30" si="3" ca="1">IF(INDEX($K13:$O13,,MATCH($D13,$K$12:$O$12,0))=0,"No Result",INDEX($K13:$O13,,MATCH($D13,$K$12:$O$12,0)))</f>
        <v>No Result</v>
      </c>
      <c r="F13" s="16">
        <f t="shared" ref="F13:F30" si="4" ca="1">IF(INDEX($Q13:$U13,,MATCH($D13,$Q$12:$U$12,0))=0,"",INDEX($Q13:$U13,,MATCH($D13,$Q$12:$U$12,0)))</f>
      </c>
      <c r="G13" s="461">
        <f ca="1">IF(OR(_xll.ciqfunctions.udf.CIQ($F13,"IQ_COMPANY_TICKER")=0,_xll.ciqfunctions.udf.CIQ($F13,"IQ_COMPANY_TICKER")="(Invalid Identifier)"),"-",_xll.ciqfunctions.udf.CIQ($F13,"IQ_COMPANY_TICKER"))</f>
      </c>
      <c r="H13" s="647"/>
      <c r="I13" s="647"/>
      <c r="J13" s="16">
        <f ca="1">_xll.ciqfunctions.udf.CIQRANGEA($B13,"IQ_COMPANY_NAME_QUICK_MATCH",1,5,,,,,,,"NAME")</f>
      </c>
      <c r="K13" s="16"/>
      <c r="L13" s="16"/>
      <c r="M13" s="16"/>
      <c r="N13" s="16"/>
      <c r="O13" s="647"/>
      <c r="P13" s="647">
        <f ca="1">_xll.ciqfunctions.udf.CIQRANGEA($B13,"IQ_COMPANY_ID_QUICK_MATCH",1,5,,,,,,,"ID")</f>
      </c>
      <c r="Q13" s="647"/>
      <c r="R13" s="647"/>
      <c r="S13" s="647"/>
      <c r="T13" s="647"/>
      <c r="U13" s="647"/>
      <c r="V13" s="16"/>
      <c r="W13" s="16"/>
      <c r="X13" s="16"/>
      <c r="Y13" s="16"/>
      <c r="Z13" s="16"/>
      <c r="AA13" s="16"/>
      <c r="AB13" s="16"/>
      <c r="AC13" s="16"/>
    </row>
    <row r="14" ht="12.75" customHeight="1" spans="1:29" x14ac:dyDescent="0.25">
      <c r="A14" s="16"/>
      <c r="B14" s="641" t="s">
        <v>573</v>
      </c>
      <c r="C14" s="506" t="str">
        <f ca="1">IF(J14="","",IFERROR(MATCH(B14,$K14:O14,0),"NO"))</f>
        <v/>
      </c>
      <c r="D14" s="641">
        <v>1</v>
      </c>
      <c r="E14" s="16" t="str">
        <f ca="1">IF(INDEX($K14:$O14,,MATCH($D14,$K$12:$O$12,0))=0,"No Result",INDEX($K14:$O14,,MATCH($D14,$K$12:$O$12,0)))</f>
        <v>3M Company</v>
      </c>
      <c r="F14" s="16" t="str">
        <f ca="1">IF(INDEX($Q14:$U14,,MATCH($D14,$Q$12:$U$12,0))=0,"",INDEX($Q14:$U14,,MATCH($D14,$Q$12:$U$12,0)))</f>
        <v>IQ289194</v>
      </c>
      <c r="G14" s="461">
        <f ca="1">IF(OR(_xll.ciqfunctions.udf.CIQ($F14,"IQ_COMPANY_TICKER")=0,_xll.ciqfunctions.udf.CIQ($F14,"IQ_COMPANY_TICKER")="(Invalid Identifier)"),"-",_xll.ciqfunctions.udf.CIQ($F14,"IQ_COMPANY_TICKER"))</f>
      </c>
      <c r="H14" s="647"/>
      <c r="I14" s="647"/>
      <c r="J14" s="16">
        <f ca="1">_xll.ciqfunctions.udf.CIQRANGEA($B14,"IQ_COMPANY_NAME_QUICK_MATCH",1,5,,,,,,,"NAME")</f>
      </c>
      <c r="K14" s="16" t="s">
        <v>573</v>
      </c>
      <c r="L14" s="16" t="s">
        <v>617</v>
      </c>
      <c r="M14" s="16" t="s">
        <v>618</v>
      </c>
      <c r="N14" s="16" t="s">
        <v>619</v>
      </c>
      <c r="O14" s="647" t="s">
        <v>620</v>
      </c>
      <c r="P14" s="647">
        <f ca="1">_xll.ciqfunctions.udf.CIQRANGEA($B14,"IQ_COMPANY_ID_QUICK_MATCH",1,5,,,,,,,"ID")</f>
      </c>
      <c r="Q14" s="647" t="s">
        <v>577</v>
      </c>
      <c r="R14" s="647" t="s">
        <v>621</v>
      </c>
      <c r="S14" s="647" t="s">
        <v>622</v>
      </c>
      <c r="T14" s="647" t="s">
        <v>623</v>
      </c>
      <c r="U14" s="647" t="s">
        <v>624</v>
      </c>
      <c r="V14" s="16"/>
      <c r="W14" s="16"/>
      <c r="X14" s="16"/>
      <c r="Y14" s="16"/>
      <c r="Z14" s="16"/>
      <c r="AA14" s="16"/>
      <c r="AB14" s="16"/>
      <c r="AC14" s="16"/>
    </row>
    <row r="15" ht="12.75" customHeight="1" spans="1:29" x14ac:dyDescent="0.25">
      <c r="A15" s="16"/>
      <c r="B15" s="641" t="s">
        <v>625</v>
      </c>
      <c r="C15" s="506" t="str">
        <f ca="1">IF(J15="","",IFERROR(MATCH(B15,$K15:O15,0),"NO"))</f>
        <v/>
      </c>
      <c r="D15" s="641">
        <v>1</v>
      </c>
      <c r="E15" s="16" t="str">
        <f ca="1">IF(INDEX($K15:$O15,,MATCH($D15,$K$12:$O$12,0))=0,"No Result",INDEX($K15:$O15,,MATCH($D15,$K$12:$O$12,0)))</f>
        <v>General Electric Company</v>
      </c>
      <c r="F15" s="16" t="str">
        <f ca="1">IF(INDEX($Q15:$U15,,MATCH($D15,$Q$12:$U$12,0))=0,"",INDEX($Q15:$U15,,MATCH($D15,$Q$12:$U$12,0)))</f>
        <v>IQ177031</v>
      </c>
      <c r="G15" s="461">
        <f ca="1">IF(OR(_xll.ciqfunctions.udf.CIQ($F15,"IQ_COMPANY_TICKER")=0,_xll.ciqfunctions.udf.CIQ($F15,"IQ_COMPANY_TICKER")="(Invalid Identifier)"),"-",_xll.ciqfunctions.udf.CIQ($F15,"IQ_COMPANY_TICKER"))</f>
      </c>
      <c r="H15" s="647"/>
      <c r="I15" s="647"/>
      <c r="J15" s="16">
        <f ca="1">_xll.ciqfunctions.udf.CIQRANGEA($B15,"IQ_COMPANY_NAME_QUICK_MATCH",1,5,,,,,,,"NAME")</f>
      </c>
      <c r="K15" s="16" t="s">
        <v>625</v>
      </c>
      <c r="L15" s="16" t="s">
        <v>626</v>
      </c>
      <c r="M15" s="16" t="s">
        <v>627</v>
      </c>
      <c r="N15" s="16" t="s">
        <v>628</v>
      </c>
      <c r="O15" s="647" t="s">
        <v>625</v>
      </c>
      <c r="P15" s="647">
        <f ca="1">_xll.ciqfunctions.udf.CIQRANGEA($B15,"IQ_COMPANY_ID_QUICK_MATCH",1,5,,,,,,,"ID")</f>
      </c>
      <c r="Q15" s="647" t="s">
        <v>583</v>
      </c>
      <c r="R15" s="647" t="s">
        <v>629</v>
      </c>
      <c r="S15" s="647" t="s">
        <v>630</v>
      </c>
      <c r="T15" s="647" t="s">
        <v>631</v>
      </c>
      <c r="U15" s="647" t="s">
        <v>632</v>
      </c>
      <c r="V15" s="16"/>
      <c r="W15" s="16"/>
      <c r="X15" s="16"/>
      <c r="Y15" s="16"/>
      <c r="Z15" s="16"/>
      <c r="AA15" s="16"/>
      <c r="AB15" s="16"/>
      <c r="AC15" s="16"/>
    </row>
    <row r="16" ht="12.75" customHeight="1" spans="1:29" x14ac:dyDescent="0.25">
      <c r="A16" s="16"/>
      <c r="B16" s="641" t="s">
        <v>625</v>
      </c>
      <c r="C16" s="506" t="str">
        <f ca="1">IF(J16="","",IFERROR(MATCH(B16,$K16:O16,0),"NO"))</f>
        <v/>
      </c>
      <c r="D16" s="641">
        <v>1</v>
      </c>
      <c r="E16" s="16" t="str">
        <f ca="1">IF(INDEX($K16:$O16,,MATCH($D16,$K$12:$O$12,0))=0,"No Result",INDEX($K16:$O16,,MATCH($D16,$K$12:$O$12,0)))</f>
        <v>General Electric Company</v>
      </c>
      <c r="F16" s="16" t="str">
        <f ca="1">IF(INDEX($Q16:$U16,,MATCH($D16,$Q$12:$U$12,0))=0,"",INDEX($Q16:$U16,,MATCH($D16,$Q$12:$U$12,0)))</f>
        <v>IQ177031</v>
      </c>
      <c r="G16" s="461">
        <f ca="1">IF(OR(_xll.ciqfunctions.udf.CIQ($F16,"IQ_COMPANY_TICKER")=0,_xll.ciqfunctions.udf.CIQ($F16,"IQ_COMPANY_TICKER")="(Invalid Identifier)"),"-",_xll.ciqfunctions.udf.CIQ($F16,"IQ_COMPANY_TICKER"))</f>
      </c>
      <c r="H16" s="647"/>
      <c r="I16" s="647"/>
      <c r="J16" s="16">
        <f ca="1">_xll.ciqfunctions.udf.CIQRANGEA($B16,"IQ_COMPANY_NAME_QUICK_MATCH",1,5,,,,,,,"NAME")</f>
      </c>
      <c r="K16" s="16" t="s">
        <v>625</v>
      </c>
      <c r="L16" s="16" t="s">
        <v>626</v>
      </c>
      <c r="M16" s="16" t="s">
        <v>627</v>
      </c>
      <c r="N16" s="16" t="s">
        <v>628</v>
      </c>
      <c r="O16" s="647" t="s">
        <v>625</v>
      </c>
      <c r="P16" s="647">
        <f ca="1">_xll.ciqfunctions.udf.CIQRANGEA($B16,"IQ_COMPANY_ID_QUICK_MATCH",1,5,,,,,,,"ID")</f>
      </c>
      <c r="Q16" s="647" t="s">
        <v>583</v>
      </c>
      <c r="R16" s="647" t="s">
        <v>629</v>
      </c>
      <c r="S16" s="647" t="s">
        <v>630</v>
      </c>
      <c r="T16" s="647" t="s">
        <v>631</v>
      </c>
      <c r="U16" s="647" t="s">
        <v>632</v>
      </c>
      <c r="V16" s="16"/>
      <c r="W16" s="16"/>
      <c r="X16" s="16"/>
      <c r="Y16" s="16"/>
      <c r="Z16" s="16"/>
      <c r="AA16" s="16"/>
      <c r="AB16" s="16"/>
      <c r="AC16" s="16"/>
    </row>
    <row r="17" ht="12.75" customHeight="1" spans="1:29" x14ac:dyDescent="0.25">
      <c r="A17" s="16"/>
      <c r="B17" s="641" t="s">
        <v>633</v>
      </c>
      <c r="C17" s="506" t="str">
        <f ca="1">IF(J17="","",IFERROR(MATCH(B17,$K17:O17,0),"NO"))</f>
        <v/>
      </c>
      <c r="D17" s="641">
        <v>1</v>
      </c>
      <c r="E17" s="16" t="str">
        <f ca="1">IF(INDEX($K17:$O17,,MATCH($D17,$K$12:$O$12,0))=0,"No Result",INDEX($K17:$O17,,MATCH($D17,$K$12:$O$12,0)))</f>
        <v>The Home Depot, Inc.</v>
      </c>
      <c r="F17" s="16" t="str">
        <f ca="1">IF(INDEX($Q17:$U17,,MATCH($D17,$Q$12:$U$12,0))=0,"",INDEX($Q17:$U17,,MATCH($D17,$Q$12:$U$12,0)))</f>
        <v>IQ278679</v>
      </c>
      <c r="G17" s="461">
        <f ca="1">IF(OR(_xll.ciqfunctions.udf.CIQ($F17,"IQ_COMPANY_TICKER")=0,_xll.ciqfunctions.udf.CIQ($F17,"IQ_COMPANY_TICKER")="(Invalid Identifier)"),"-",_xll.ciqfunctions.udf.CIQ($F17,"IQ_COMPANY_TICKER"))</f>
      </c>
      <c r="H17" s="647"/>
      <c r="I17" s="647"/>
      <c r="J17" s="16">
        <f ca="1">_xll.ciqfunctions.udf.CIQRANGEA($B17,"IQ_COMPANY_NAME_QUICK_MATCH",1,5,,,,,,,"NAME")</f>
      </c>
      <c r="K17" s="16" t="s">
        <v>571</v>
      </c>
      <c r="L17" s="16" t="s">
        <v>634</v>
      </c>
      <c r="M17" s="16" t="s">
        <v>633</v>
      </c>
      <c r="N17" s="16" t="s">
        <v>635</v>
      </c>
      <c r="O17" s="647" t="s">
        <v>636</v>
      </c>
      <c r="P17" s="647">
        <f ca="1">_xll.ciqfunctions.udf.CIQRANGEA($B17,"IQ_COMPANY_ID_QUICK_MATCH",1,5,,,,,,,"ID")</f>
      </c>
      <c r="Q17" s="647" t="s">
        <v>575</v>
      </c>
      <c r="R17" s="647" t="s">
        <v>637</v>
      </c>
      <c r="S17" s="647" t="s">
        <v>638</v>
      </c>
      <c r="T17" s="647" t="s">
        <v>639</v>
      </c>
      <c r="U17" s="647" t="s">
        <v>640</v>
      </c>
      <c r="V17" s="16"/>
      <c r="W17" s="16"/>
      <c r="X17" s="16"/>
      <c r="Y17" s="16"/>
      <c r="Z17" s="16"/>
      <c r="AA17" s="16"/>
      <c r="AB17" s="16"/>
      <c r="AC17" s="16"/>
    </row>
    <row r="18" ht="12.75" customHeight="1" spans="1:29" x14ac:dyDescent="0.25">
      <c r="A18" s="16"/>
      <c r="B18" s="641" t="s">
        <v>641</v>
      </c>
      <c r="C18" s="506" t="str">
        <f ca="1">IF(J18="","",IFERROR(MATCH(B18,$K18:O18,0),"NO"))</f>
        <v/>
      </c>
      <c r="D18" s="641">
        <v>1</v>
      </c>
      <c r="E18" s="16" t="str">
        <f ca="1">IF(INDEX($K18:$O18,,MATCH($D18,$K$12:$O$12,0))=0,"No Result",INDEX($K18:$O18,,MATCH($D18,$K$12:$O$12,0)))</f>
        <v>Roper Technologies, Inc.</v>
      </c>
      <c r="F18" s="16" t="str">
        <f ca="1">IF(INDEX($Q18:$U18,,MATCH($D18,$Q$12:$U$12,0))=0,"",INDEX($Q18:$U18,,MATCH($D18,$Q$12:$U$12,0)))</f>
        <v>IQ22751</v>
      </c>
      <c r="G18" s="461">
        <f ca="1">IF(OR(_xll.ciqfunctions.udf.CIQ($F18,"IQ_COMPANY_TICKER")=0,_xll.ciqfunctions.udf.CIQ($F18,"IQ_COMPANY_TICKER")="(Invalid Identifier)"),"-",_xll.ciqfunctions.udf.CIQ($F18,"IQ_COMPANY_TICKER"))</f>
      </c>
      <c r="H18" s="647"/>
      <c r="I18" s="647"/>
      <c r="J18" s="16">
        <f ca="1">_xll.ciqfunctions.udf.CIQRANGEA($B18,"IQ_COMPANY_NAME_QUICK_MATCH",1,5,,,,,,,"NAME")</f>
      </c>
      <c r="K18" s="16" t="s">
        <v>641</v>
      </c>
      <c r="L18" s="16" t="s">
        <v>642</v>
      </c>
      <c r="M18" s="16" t="s">
        <v>643</v>
      </c>
      <c r="N18" s="16" t="s">
        <v>644</v>
      </c>
      <c r="O18" s="647"/>
      <c r="P18" s="647">
        <f ca="1">_xll.ciqfunctions.udf.CIQRANGEA($B18,"IQ_COMPANY_ID_QUICK_MATCH",1,5,,,,,,,"ID")</f>
      </c>
      <c r="Q18" s="647" t="s">
        <v>595</v>
      </c>
      <c r="R18" s="647" t="s">
        <v>645</v>
      </c>
      <c r="S18" s="647" t="s">
        <v>646</v>
      </c>
      <c r="T18" s="647" t="s">
        <v>647</v>
      </c>
      <c r="U18" s="647"/>
      <c r="V18" s="16"/>
      <c r="W18" s="16"/>
      <c r="X18" s="16"/>
      <c r="Y18" s="16"/>
      <c r="Z18" s="16"/>
      <c r="AA18" s="16"/>
      <c r="AB18" s="16"/>
      <c r="AC18" s="16"/>
    </row>
    <row r="19" ht="12.75" customHeight="1" spans="1:29" x14ac:dyDescent="0.25">
      <c r="A19" s="16"/>
      <c r="B19" s="641" t="s">
        <v>648</v>
      </c>
      <c r="C19" s="506" t="str">
        <f ca="1">IF(J19="","",IFERROR(MATCH(B19,$K19:O19,0),"NO"))</f>
        <v/>
      </c>
      <c r="D19" s="641">
        <v>1</v>
      </c>
      <c r="E19" s="16" t="str">
        <f ca="1">IF(INDEX($K19:$O19,,MATCH($D19,$K$12:$O$12,0))=0,"No Result",INDEX($K19:$O19,,MATCH($D19,$K$12:$O$12,0)))</f>
        <v>Emerson Electric Co.</v>
      </c>
      <c r="F19" s="16" t="str">
        <f ca="1">IF(INDEX($Q19:$U19,,MATCH($D19,$Q$12:$U$12,0))=0,"",INDEX($Q19:$U19,,MATCH($D19,$Q$12:$U$12,0)))</f>
        <v>IQ269231</v>
      </c>
      <c r="G19" s="461">
        <f ca="1">IF(OR(_xll.ciqfunctions.udf.CIQ($F19,"IQ_COMPANY_TICKER")=0,_xll.ciqfunctions.udf.CIQ($F19,"IQ_COMPANY_TICKER")="(Invalid Identifier)"),"-",_xll.ciqfunctions.udf.CIQ($F19,"IQ_COMPANY_TICKER"))</f>
      </c>
      <c r="H19" s="647"/>
      <c r="I19" s="647"/>
      <c r="J19" s="16">
        <f ca="1">_xll.ciqfunctions.udf.CIQRANGEA($B19,"IQ_COMPANY_NAME_QUICK_MATCH",1,5,,,,,,,"NAME")</f>
      </c>
      <c r="K19" s="16" t="s">
        <v>648</v>
      </c>
      <c r="L19" s="16" t="s">
        <v>649</v>
      </c>
      <c r="M19" s="16" t="s">
        <v>650</v>
      </c>
      <c r="N19" s="16" t="s">
        <v>651</v>
      </c>
      <c r="O19" s="647" t="s">
        <v>652</v>
      </c>
      <c r="P19" s="647">
        <f ca="1">_xll.ciqfunctions.udf.CIQRANGEA($B19,"IQ_COMPANY_ID_QUICK_MATCH",1,5,,,,,,,"ID")</f>
      </c>
      <c r="Q19" s="647" t="s">
        <v>601</v>
      </c>
      <c r="R19" s="647" t="s">
        <v>653</v>
      </c>
      <c r="S19" s="647" t="s">
        <v>654</v>
      </c>
      <c r="T19" s="647" t="s">
        <v>655</v>
      </c>
      <c r="U19" s="647" t="s">
        <v>656</v>
      </c>
      <c r="V19" s="16"/>
      <c r="W19" s="16"/>
      <c r="X19" s="16"/>
      <c r="Y19" s="16"/>
      <c r="Z19" s="16"/>
      <c r="AA19" s="16"/>
      <c r="AB19" s="16"/>
      <c r="AC19" s="16"/>
    </row>
    <row r="20" ht="12.75" customHeight="1" spans="1:29" x14ac:dyDescent="0.25">
      <c r="A20" s="16"/>
      <c r="B20" s="641" t="s">
        <v>578</v>
      </c>
      <c r="C20" s="506" t="str">
        <f ca="1">IF(J20="","",IFERROR(MATCH(B20,$K20:O20,0),"NO"))</f>
        <v/>
      </c>
      <c r="D20" s="641">
        <v>1</v>
      </c>
      <c r="E20" s="16" t="str">
        <f ca="1">IF(INDEX($K20:$O20,,MATCH($D20,$K$12:$O$12,0))=0,"No Result",INDEX($K20:$O20,,MATCH($D20,$K$12:$O$12,0)))</f>
        <v>Apple Inc.</v>
      </c>
      <c r="F20" s="16" t="str">
        <f ca="1">IF(INDEX($Q20:$U20,,MATCH($D20,$Q$12:$U$12,0))=0,"",INDEX($Q20:$U20,,MATCH($D20,$Q$12:$U$12,0)))</f>
        <v>IQ24937</v>
      </c>
      <c r="G20" s="461">
        <f ca="1">IF(OR(_xll.ciqfunctions.udf.CIQ($F20,"IQ_COMPANY_TICKER")=0,_xll.ciqfunctions.udf.CIQ($F20,"IQ_COMPANY_TICKER")="(Invalid Identifier)"),"-",_xll.ciqfunctions.udf.CIQ($F20,"IQ_COMPANY_TICKER"))</f>
      </c>
      <c r="H20" s="647"/>
      <c r="I20" s="647"/>
      <c r="J20" s="16">
        <f ca="1">_xll.ciqfunctions.udf.CIQRANGEA($B20,"IQ_COMPANY_NAME_QUICK_MATCH",1,5,,,,,,,"NAME")</f>
      </c>
      <c r="K20" s="16" t="s">
        <v>657</v>
      </c>
      <c r="L20" s="16" t="s">
        <v>578</v>
      </c>
      <c r="M20" s="16" t="s">
        <v>658</v>
      </c>
      <c r="N20" s="16" t="s">
        <v>659</v>
      </c>
      <c r="O20" s="647" t="s">
        <v>657</v>
      </c>
      <c r="P20" s="647">
        <f ca="1">_xll.ciqfunctions.udf.CIQRANGEA($B20,"IQ_COMPANY_ID_QUICK_MATCH",1,5,,,,,,,"ID")</f>
      </c>
      <c r="Q20" s="647" t="s">
        <v>660</v>
      </c>
      <c r="R20" s="647" t="s">
        <v>661</v>
      </c>
      <c r="S20" s="647" t="s">
        <v>662</v>
      </c>
      <c r="T20" s="647" t="s">
        <v>663</v>
      </c>
      <c r="U20" s="647" t="s">
        <v>664</v>
      </c>
      <c r="V20" s="16"/>
      <c r="W20" s="16"/>
      <c r="X20" s="16"/>
      <c r="Y20" s="16"/>
      <c r="Z20" s="16"/>
      <c r="AA20" s="16"/>
      <c r="AB20" s="16"/>
      <c r="AC20" s="16"/>
    </row>
    <row r="21" ht="12.75" customHeight="1" spans="1:29" x14ac:dyDescent="0.25">
      <c r="A21" s="16"/>
      <c r="B21" s="641" t="s">
        <v>665</v>
      </c>
      <c r="C21" s="506" t="str">
        <f ca="1">IF(J21="","",IFERROR(MATCH(B21,$K21:O21,0),"NO"))</f>
        <v/>
      </c>
      <c r="D21" s="641">
        <v>1</v>
      </c>
      <c r="E21" s="16" t="str">
        <f ca="1">IF(INDEX($K21:$O21,,MATCH($D21,$K$12:$O$12,0))=0,"No Result",INDEX($K21:$O21,,MATCH($D21,$K$12:$O$12,0)))</f>
        <v>Oracle Corporation</v>
      </c>
      <c r="F21" s="16" t="str">
        <f ca="1">IF(INDEX($Q21:$U21,,MATCH($D21,$Q$12:$U$12,0))=0,"",INDEX($Q21:$U21,,MATCH($D21,$Q$12:$U$12,0)))</f>
        <v>IQ22247</v>
      </c>
      <c r="G21" s="461">
        <f ca="1">IF(OR(_xll.ciqfunctions.udf.CIQ($F21,"IQ_COMPANY_TICKER")=0,_xll.ciqfunctions.udf.CIQ($F21,"IQ_COMPANY_TICKER")="(Invalid Identifier)"),"-",_xll.ciqfunctions.udf.CIQ($F21,"IQ_COMPANY_TICKER"))</f>
      </c>
      <c r="H21" s="647"/>
      <c r="I21" s="647"/>
      <c r="J21" s="16">
        <f ca="1">_xll.ciqfunctions.udf.CIQRANGEA($B21,"IQ_COMPANY_NAME_QUICK_MATCH",1,5,,,,,,,"NAME")</f>
      </c>
      <c r="K21" s="16" t="s">
        <v>666</v>
      </c>
      <c r="L21" s="16" t="s">
        <v>667</v>
      </c>
      <c r="M21" s="16" t="s">
        <v>668</v>
      </c>
      <c r="N21" s="16" t="s">
        <v>669</v>
      </c>
      <c r="O21" s="647" t="s">
        <v>670</v>
      </c>
      <c r="P21" s="647">
        <f ca="1">_xll.ciqfunctions.udf.CIQRANGEA($B21,"IQ_COMPANY_ID_QUICK_MATCH",1,5,,,,,,,"ID")</f>
      </c>
      <c r="Q21" s="647" t="s">
        <v>671</v>
      </c>
      <c r="R21" s="647" t="s">
        <v>672</v>
      </c>
      <c r="S21" s="647" t="s">
        <v>673</v>
      </c>
      <c r="T21" s="647" t="s">
        <v>674</v>
      </c>
      <c r="U21" s="647" t="s">
        <v>675</v>
      </c>
      <c r="V21" s="16"/>
      <c r="W21" s="16"/>
      <c r="X21" s="16"/>
      <c r="Y21" s="16"/>
      <c r="Z21" s="16"/>
      <c r="AA21" s="16"/>
      <c r="AB21" s="16"/>
      <c r="AC21" s="16"/>
    </row>
    <row r="22" ht="12.75" customHeight="1" spans="1:29" x14ac:dyDescent="0.25">
      <c r="A22" s="16"/>
      <c r="B22" s="641" t="s">
        <v>676</v>
      </c>
      <c r="C22" s="506" t="str">
        <f ca="1">IF(J22="","",IFERROR(MATCH(B22,$K22:O22,0),"NO"))</f>
        <v/>
      </c>
      <c r="D22" s="641">
        <v>1</v>
      </c>
      <c r="E22" s="16" t="str">
        <f ca="1">IF(INDEX($K22:$O22,,MATCH($D22,$K$12:$O$12,0))=0,"No Result",INDEX($K22:$O22,,MATCH($D22,$K$12:$O$12,0)))</f>
        <v>Citrix Systems, Inc.</v>
      </c>
      <c r="F22" s="16" t="str">
        <f ca="1">IF(INDEX($Q22:$U22,,MATCH($D22,$Q$12:$U$12,0))=0,"",INDEX($Q22:$U22,,MATCH($D22,$Q$12:$U$12,0)))</f>
        <v>IQ26524</v>
      </c>
      <c r="G22" s="461">
        <f ca="1">IF(OR(_xll.ciqfunctions.udf.CIQ($F22,"IQ_COMPANY_TICKER")=0,_xll.ciqfunctions.udf.CIQ($F22,"IQ_COMPANY_TICKER")="(Invalid Identifier)"),"-",_xll.ciqfunctions.udf.CIQ($F22,"IQ_COMPANY_TICKER"))</f>
      </c>
      <c r="H22" s="647"/>
      <c r="I22" s="647"/>
      <c r="J22" s="16">
        <f ca="1">_xll.ciqfunctions.udf.CIQRANGEA($B22,"IQ_COMPANY_NAME_QUICK_MATCH",1,5,,,,,,,"NAME")</f>
      </c>
      <c r="K22" s="16" t="s">
        <v>677</v>
      </c>
      <c r="L22" s="16" t="s">
        <v>678</v>
      </c>
      <c r="M22" s="16" t="s">
        <v>679</v>
      </c>
      <c r="N22" s="16" t="s">
        <v>680</v>
      </c>
      <c r="O22" s="647" t="s">
        <v>681</v>
      </c>
      <c r="P22" s="647">
        <f ca="1">_xll.ciqfunctions.udf.CIQRANGEA($B22,"IQ_COMPANY_ID_QUICK_MATCH",1,5,,,,,,,"ID")</f>
      </c>
      <c r="Q22" s="647" t="s">
        <v>682</v>
      </c>
      <c r="R22" s="647" t="s">
        <v>683</v>
      </c>
      <c r="S22" s="647" t="s">
        <v>684</v>
      </c>
      <c r="T22" s="647" t="s">
        <v>685</v>
      </c>
      <c r="U22" s="647" t="s">
        <v>686</v>
      </c>
      <c r="V22" s="16"/>
      <c r="W22" s="16"/>
      <c r="X22" s="16"/>
      <c r="Y22" s="16"/>
      <c r="Z22" s="16"/>
      <c r="AA22" s="16"/>
      <c r="AB22" s="16"/>
      <c r="AC22" s="16"/>
    </row>
    <row r="23" ht="12.75" customHeight="1" spans="1:29" x14ac:dyDescent="0.25">
      <c r="A23" s="16"/>
      <c r="B23" s="641" t="s">
        <v>687</v>
      </c>
      <c r="C23" s="506" t="str">
        <f ca="1">IF(J23="","",IFERROR(MATCH(B23,$K23:O23,0),"NO"))</f>
        <v/>
      </c>
      <c r="D23" s="641">
        <v>1</v>
      </c>
      <c r="E23" s="16" t="str">
        <f ca="1">IF(INDEX($K23:$O23,,MATCH($D23,$K$12:$O$12,0))=0,"No Result",INDEX($K23:$O23,,MATCH($D23,$K$12:$O$12,0)))</f>
        <v>Cyren Ltd.</v>
      </c>
      <c r="F23" s="16" t="str">
        <f ca="1">IF(INDEX($Q23:$U23,,MATCH($D23,$Q$12:$U$12,0))=0,"",INDEX($Q23:$U23,,MATCH($D23,$Q$12:$U$12,0)))</f>
        <v>IQ26767</v>
      </c>
      <c r="G23" s="461">
        <f ca="1">IF(OR(_xll.ciqfunctions.udf.CIQ($F23,"IQ_COMPANY_TICKER")=0,_xll.ciqfunctions.udf.CIQ($F23,"IQ_COMPANY_TICKER")="(Invalid Identifier)"),"-",_xll.ciqfunctions.udf.CIQ($F23,"IQ_COMPANY_TICKER"))</f>
      </c>
      <c r="H23" s="647"/>
      <c r="I23" s="647"/>
      <c r="J23" s="16">
        <f ca="1">_xll.ciqfunctions.udf.CIQRANGEA($B23,"IQ_COMPANY_NAME_QUICK_MATCH",1,5,,,,,,,"NAME")</f>
      </c>
      <c r="K23" s="16" t="s">
        <v>688</v>
      </c>
      <c r="L23" s="16" t="s">
        <v>689</v>
      </c>
      <c r="M23" s="16" t="s">
        <v>690</v>
      </c>
      <c r="N23" s="16" t="s">
        <v>691</v>
      </c>
      <c r="O23" s="647" t="s">
        <v>692</v>
      </c>
      <c r="P23" s="647">
        <f ca="1">_xll.ciqfunctions.udf.CIQRANGEA($B23,"IQ_COMPANY_ID_QUICK_MATCH",1,5,,,,,,,"ID")</f>
      </c>
      <c r="Q23" s="647" t="s">
        <v>693</v>
      </c>
      <c r="R23" s="647" t="s">
        <v>694</v>
      </c>
      <c r="S23" s="647" t="s">
        <v>695</v>
      </c>
      <c r="T23" s="647" t="s">
        <v>696</v>
      </c>
      <c r="U23" s="647" t="s">
        <v>697</v>
      </c>
      <c r="V23" s="16"/>
      <c r="W23" s="16"/>
      <c r="X23" s="16"/>
      <c r="Y23" s="16"/>
      <c r="Z23" s="16"/>
      <c r="AA23" s="16"/>
      <c r="AB23" s="16"/>
      <c r="AC23" s="16"/>
    </row>
    <row r="24" ht="12.75" customHeight="1" spans="1:29" x14ac:dyDescent="0.25">
      <c r="A24" s="16"/>
      <c r="B24" s="641" t="s">
        <v>698</v>
      </c>
      <c r="C24" s="506" t="str">
        <f ca="1">IF(J24="","",IFERROR(MATCH(B24,$K24:O24,0),"NO"))</f>
        <v/>
      </c>
      <c r="D24" s="641">
        <v>1</v>
      </c>
      <c r="E24" s="16" t="str">
        <f ca="1">IF(INDEX($K24:$O24,,MATCH($D24,$K$12:$O$12,0))=0,"No Result",INDEX($K24:$O24,,MATCH($D24,$K$12:$O$12,0)))</f>
        <v>Commvault Systems, Inc.</v>
      </c>
      <c r="F24" s="16" t="str">
        <f ca="1">IF(INDEX($Q24:$U24,,MATCH($D24,$Q$12:$U$12,0))=0,"",INDEX($Q24:$U24,,MATCH($D24,$Q$12:$U$12,0)))</f>
        <v>IQ26789</v>
      </c>
      <c r="G24" s="461">
        <f ca="1">IF(OR(_xll.ciqfunctions.udf.CIQ($F24,"IQ_COMPANY_TICKER")=0,_xll.ciqfunctions.udf.CIQ($F24,"IQ_COMPANY_TICKER")="(Invalid Identifier)"),"-",_xll.ciqfunctions.udf.CIQ($F24,"IQ_COMPANY_TICKER"))</f>
      </c>
      <c r="H24" s="647"/>
      <c r="I24" s="647"/>
      <c r="J24" s="16">
        <f ca="1">_xll.ciqfunctions.udf.CIQRANGEA($B24,"IQ_COMPANY_NAME_QUICK_MATCH",1,5,,,,,,,"NAME")</f>
      </c>
      <c r="K24" s="16" t="s">
        <v>699</v>
      </c>
      <c r="L24" s="16" t="s">
        <v>700</v>
      </c>
      <c r="M24" s="16" t="s">
        <v>701</v>
      </c>
      <c r="N24" s="16" t="s">
        <v>702</v>
      </c>
      <c r="O24" s="647" t="s">
        <v>703</v>
      </c>
      <c r="P24" s="647">
        <f ca="1">_xll.ciqfunctions.udf.CIQRANGEA($B24,"IQ_COMPANY_ID_QUICK_MATCH",1,5,,,,,,,"ID")</f>
      </c>
      <c r="Q24" s="647" t="s">
        <v>704</v>
      </c>
      <c r="R24" s="647" t="s">
        <v>705</v>
      </c>
      <c r="S24" s="647" t="s">
        <v>706</v>
      </c>
      <c r="T24" s="647" t="s">
        <v>707</v>
      </c>
      <c r="U24" s="647" t="s">
        <v>708</v>
      </c>
      <c r="V24" s="16"/>
      <c r="W24" s="16"/>
      <c r="X24" s="16"/>
      <c r="Y24" s="16"/>
      <c r="Z24" s="16"/>
      <c r="AA24" s="16"/>
      <c r="AB24" s="16"/>
      <c r="AC24" s="16"/>
    </row>
    <row r="25" ht="12.75" customHeight="1" spans="1:29" x14ac:dyDescent="0.25">
      <c r="A25" s="16"/>
      <c r="B25" s="641" t="s">
        <v>709</v>
      </c>
      <c r="C25" s="506" t="str">
        <f ca="1">IF(J25="","",IFERROR(MATCH(B25,$K25:O25,0),"NO"))</f>
        <v/>
      </c>
      <c r="D25" s="641">
        <v>1</v>
      </c>
      <c r="E25" s="16" t="str">
        <f ca="1">IF(INDEX($K25:$O25,,MATCH($D25,$K$12:$O$12,0))=0,"No Result",INDEX($K25:$O25,,MATCH($D25,$K$12:$O$12,0)))</f>
        <v>eGain Corporation</v>
      </c>
      <c r="F25" s="16" t="str">
        <f ca="1">IF(INDEX($Q25:$U25,,MATCH($D25,$Q$12:$U$12,0))=0,"",INDEX($Q25:$U25,,MATCH($D25,$Q$12:$U$12,0)))</f>
        <v>IQ27928</v>
      </c>
      <c r="G25" s="461">
        <f ca="1">IF(OR(_xll.ciqfunctions.udf.CIQ($F25,"IQ_COMPANY_TICKER")=0,_xll.ciqfunctions.udf.CIQ($F25,"IQ_COMPANY_TICKER")="(Invalid Identifier)"),"-",_xll.ciqfunctions.udf.CIQ($F25,"IQ_COMPANY_TICKER"))</f>
      </c>
      <c r="H25" s="647"/>
      <c r="I25" s="647"/>
      <c r="J25" s="16">
        <f ca="1">_xll.ciqfunctions.udf.CIQRANGEA($B25,"IQ_COMPANY_NAME_QUICK_MATCH",1,5,,,,,,,"NAME")</f>
      </c>
      <c r="K25" s="16" t="s">
        <v>709</v>
      </c>
      <c r="L25" s="16" t="s">
        <v>710</v>
      </c>
      <c r="M25" s="16" t="s">
        <v>711</v>
      </c>
      <c r="N25" s="16" t="s">
        <v>712</v>
      </c>
      <c r="O25" s="647" t="s">
        <v>713</v>
      </c>
      <c r="P25" s="647">
        <f ca="1">_xll.ciqfunctions.udf.CIQRANGEA($B25,"IQ_COMPANY_ID_QUICK_MATCH",1,5,,,,,,,"ID")</f>
      </c>
      <c r="Q25" s="647" t="s">
        <v>714</v>
      </c>
      <c r="R25" s="647" t="s">
        <v>715</v>
      </c>
      <c r="S25" s="647" t="s">
        <v>716</v>
      </c>
      <c r="T25" s="647" t="s">
        <v>717</v>
      </c>
      <c r="U25" s="647" t="s">
        <v>718</v>
      </c>
      <c r="V25" s="16"/>
      <c r="W25" s="16"/>
      <c r="X25" s="16"/>
      <c r="Y25" s="16"/>
      <c r="Z25" s="16"/>
      <c r="AA25" s="16"/>
      <c r="AB25" s="16"/>
      <c r="AC25" s="16"/>
    </row>
    <row r="26" ht="12.75" customHeight="1" spans="1:29" x14ac:dyDescent="0.25">
      <c r="A26" s="16"/>
      <c r="B26" s="641" t="s">
        <v>719</v>
      </c>
      <c r="C26" s="506" t="str">
        <f ca="1">IF(J26="","",IFERROR(MATCH(B26,$K26:O26,0),"NO"))</f>
        <v/>
      </c>
      <c r="D26" s="641">
        <v>1</v>
      </c>
      <c r="E26" s="16" t="str">
        <f ca="1">IF(INDEX($K26:$O26,,MATCH($D26,$K$12:$O$12,0))=0,"No Result",INDEX($K26:$O26,,MATCH($D26,$K$12:$O$12,0)))</f>
        <v>Harmonic Inc.</v>
      </c>
      <c r="F26" s="16" t="str">
        <f ca="1">IF(INDEX($Q26:$U26,,MATCH($D26,$Q$12:$U$12,0))=0,"",INDEX($Q26:$U26,,MATCH($D26,$Q$12:$U$12,0)))</f>
        <v>IQ29282</v>
      </c>
      <c r="G26" s="461">
        <f ca="1">IF(OR(_xll.ciqfunctions.udf.CIQ($F26,"IQ_COMPANY_TICKER")=0,_xll.ciqfunctions.udf.CIQ($F26,"IQ_COMPANY_TICKER")="(Invalid Identifier)"),"-",_xll.ciqfunctions.udf.CIQ($F26,"IQ_COMPANY_TICKER"))</f>
      </c>
      <c r="H26" s="647"/>
      <c r="I26" s="647"/>
      <c r="J26" s="16">
        <f ca="1">_xll.ciqfunctions.udf.CIQRANGEA($B26,"IQ_COMPANY_NAME_QUICK_MATCH",1,5,,,,,,,"NAME")</f>
      </c>
      <c r="K26" s="16" t="s">
        <v>720</v>
      </c>
      <c r="L26" s="16" t="s">
        <v>721</v>
      </c>
      <c r="M26" s="16" t="s">
        <v>722</v>
      </c>
      <c r="N26" s="16" t="s">
        <v>723</v>
      </c>
      <c r="O26" s="647" t="s">
        <v>724</v>
      </c>
      <c r="P26" s="647">
        <f ca="1">_xll.ciqfunctions.udf.CIQRANGEA($B26,"IQ_COMPANY_ID_QUICK_MATCH",1,5,,,,,,,"ID")</f>
      </c>
      <c r="Q26" s="647" t="s">
        <v>725</v>
      </c>
      <c r="R26" s="647" t="s">
        <v>726</v>
      </c>
      <c r="S26" s="647" t="s">
        <v>727</v>
      </c>
      <c r="T26" s="647" t="s">
        <v>728</v>
      </c>
      <c r="U26" s="647" t="s">
        <v>729</v>
      </c>
      <c r="V26" s="16"/>
      <c r="W26" s="16"/>
      <c r="X26" s="16"/>
      <c r="Y26" s="16"/>
      <c r="Z26" s="16"/>
      <c r="AA26" s="16"/>
      <c r="AB26" s="16"/>
      <c r="AC26" s="16"/>
    </row>
    <row r="27" ht="12.75" customHeight="1" spans="1:29" x14ac:dyDescent="0.25">
      <c r="A27" s="16"/>
      <c r="B27" s="641" t="s">
        <v>730</v>
      </c>
      <c r="C27" s="506" t="str">
        <f ca="1">IF(J27="","",IFERROR(MATCH(B27,$K27:O27,0),"NO"))</f>
        <v/>
      </c>
      <c r="D27" s="641">
        <v>1</v>
      </c>
      <c r="E27" s="16" t="str">
        <f ca="1">IF(INDEX($K27:$O27,,MATCH($D27,$K$12:$O$12,0))=0,"No Result",INDEX($K27:$O27,,MATCH($D27,$K$12:$O$12,0)))</f>
        <v>NetApp, Inc.</v>
      </c>
      <c r="F27" s="16" t="str">
        <f ca="1">IF(INDEX($Q27:$U27,,MATCH($D27,$Q$12:$U$12,0))=0,"",INDEX($Q27:$U27,,MATCH($D27,$Q$12:$U$12,0)))</f>
        <v>IQ32052</v>
      </c>
      <c r="G27" s="461">
        <f ca="1">IF(OR(_xll.ciqfunctions.udf.CIQ($F27,"IQ_COMPANY_TICKER")=0,_xll.ciqfunctions.udf.CIQ($F27,"IQ_COMPANY_TICKER")="(Invalid Identifier)"),"-",_xll.ciqfunctions.udf.CIQ($F27,"IQ_COMPANY_TICKER"))</f>
      </c>
      <c r="H27" s="647"/>
      <c r="I27" s="647"/>
      <c r="J27" s="16">
        <f ca="1">_xll.ciqfunctions.udf.CIQRANGEA($B27,"IQ_COMPANY_NAME_QUICK_MATCH",1,5,,,,,,,"NAME")</f>
      </c>
      <c r="K27" s="16" t="s">
        <v>731</v>
      </c>
      <c r="L27" s="16" t="s">
        <v>732</v>
      </c>
      <c r="M27" s="16" t="s">
        <v>733</v>
      </c>
      <c r="N27" s="16" t="s">
        <v>734</v>
      </c>
      <c r="O27" s="647" t="s">
        <v>735</v>
      </c>
      <c r="P27" s="647">
        <f ca="1">_xll.ciqfunctions.udf.CIQRANGEA($B27,"IQ_COMPANY_ID_QUICK_MATCH",1,5,,,,,,,"ID")</f>
      </c>
      <c r="Q27" s="647" t="s">
        <v>736</v>
      </c>
      <c r="R27" s="647" t="s">
        <v>737</v>
      </c>
      <c r="S27" s="647" t="s">
        <v>738</v>
      </c>
      <c r="T27" s="647" t="s">
        <v>739</v>
      </c>
      <c r="U27" s="647" t="s">
        <v>740</v>
      </c>
      <c r="V27" s="16"/>
      <c r="W27" s="16"/>
      <c r="X27" s="16"/>
      <c r="Y27" s="16"/>
      <c r="Z27" s="16"/>
      <c r="AA27" s="16"/>
      <c r="AB27" s="16"/>
      <c r="AC27" s="16"/>
    </row>
    <row r="28" ht="12.75" customHeight="1" spans="1:29" x14ac:dyDescent="0.25">
      <c r="A28" s="16"/>
      <c r="B28" s="641" t="s">
        <v>741</v>
      </c>
      <c r="C28" s="506" t="str">
        <f ca="1">IF(J28="","",IFERROR(MATCH(B28,$K28:O28,0),"NO"))</f>
        <v/>
      </c>
      <c r="D28" s="641">
        <v>1</v>
      </c>
      <c r="E28" s="16" t="str">
        <f ca="1">IF(INDEX($K28:$O28,,MATCH($D28,$K$12:$O$12,0))=0,"No Result",INDEX($K28:$O28,,MATCH($D28,$K$12:$O$12,0)))</f>
        <v>Inseego Corp.</v>
      </c>
      <c r="F28" s="16" t="str">
        <f ca="1">IF(INDEX($Q28:$U28,,MATCH($D28,$Q$12:$U$12,0))=0,"",INDEX($Q28:$U28,,MATCH($D28,$Q$12:$U$12,0)))</f>
        <v>IQ32261</v>
      </c>
      <c r="G28" s="461">
        <f ca="1">IF(OR(_xll.ciqfunctions.udf.CIQ($F28,"IQ_COMPANY_TICKER")=0,_xll.ciqfunctions.udf.CIQ($F28,"IQ_COMPANY_TICKER")="(Invalid Identifier)"),"-",_xll.ciqfunctions.udf.CIQ($F28,"IQ_COMPANY_TICKER"))</f>
      </c>
      <c r="H28" s="647"/>
      <c r="I28" s="647"/>
      <c r="J28" s="16">
        <f ca="1">_xll.ciqfunctions.udf.CIQRANGEA($B28,"IQ_COMPANY_NAME_QUICK_MATCH",1,5,,,,,,,"NAME")</f>
      </c>
      <c r="K28" s="16" t="s">
        <v>742</v>
      </c>
      <c r="L28" s="16" t="s">
        <v>743</v>
      </c>
      <c r="M28" s="16" t="s">
        <v>744</v>
      </c>
      <c r="N28" s="16" t="s">
        <v>745</v>
      </c>
      <c r="O28" s="647" t="s">
        <v>746</v>
      </c>
      <c r="P28" s="647">
        <f ca="1">_xll.ciqfunctions.udf.CIQRANGEA($B28,"IQ_COMPANY_ID_QUICK_MATCH",1,5,,,,,,,"ID")</f>
      </c>
      <c r="Q28" s="647" t="s">
        <v>747</v>
      </c>
      <c r="R28" s="647" t="s">
        <v>748</v>
      </c>
      <c r="S28" s="647" t="s">
        <v>749</v>
      </c>
      <c r="T28" s="647" t="s">
        <v>750</v>
      </c>
      <c r="U28" s="647" t="s">
        <v>751</v>
      </c>
      <c r="V28" s="16"/>
      <c r="W28" s="16"/>
      <c r="X28" s="16"/>
      <c r="Y28" s="16"/>
      <c r="Z28" s="16"/>
      <c r="AA28" s="16"/>
      <c r="AB28" s="16"/>
      <c r="AC28" s="16"/>
    </row>
    <row r="29" ht="12.75" customHeight="1" spans="1:29" x14ac:dyDescent="0.25">
      <c r="A29" s="16"/>
      <c r="B29" s="641" t="s">
        <v>752</v>
      </c>
      <c r="C29" s="506" t="str">
        <f ca="1">IF(J29="","",IFERROR(MATCH(B29,$K29:O29,0),"NO"))</f>
        <v/>
      </c>
      <c r="D29" s="641">
        <v>1</v>
      </c>
      <c r="E29" s="16" t="str">
        <f ca="1">IF(INDEX($K29:$O29,,MATCH($D29,$K$12:$O$12,0))=0,"No Result",INDEX($K29:$O29,,MATCH($D29,$K$12:$O$12,0)))</f>
        <v>Intouch Insight Ltd.</v>
      </c>
      <c r="F29" s="16" t="str">
        <f ca="1">IF(INDEX($Q29:$U29,,MATCH($D29,$Q$12:$U$12,0))=0,"",INDEX($Q29:$U29,,MATCH($D29,$Q$12:$U$12,0)))</f>
        <v>IQ3160034</v>
      </c>
      <c r="G29" s="461">
        <f ca="1">IF(OR(_xll.ciqfunctions.udf.CIQ($F29,"IQ_COMPANY_TICKER")=0,_xll.ciqfunctions.udf.CIQ($F29,"IQ_COMPANY_TICKER")="(Invalid Identifier)"),"-",_xll.ciqfunctions.udf.CIQ($F29,"IQ_COMPANY_TICKER"))</f>
      </c>
      <c r="H29" s="647"/>
      <c r="I29" s="647"/>
      <c r="J29" s="16">
        <f ca="1">_xll.ciqfunctions.udf.CIQRANGEA($B29,"IQ_COMPANY_NAME_QUICK_MATCH",1,5,,,,,,,"NAME")</f>
      </c>
      <c r="K29" s="16" t="s">
        <v>753</v>
      </c>
      <c r="L29" s="16" t="s">
        <v>754</v>
      </c>
      <c r="M29" s="16"/>
      <c r="N29" s="16"/>
      <c r="O29" s="647"/>
      <c r="P29" s="647">
        <f ca="1">_xll.ciqfunctions.udf.CIQRANGEA($B29,"IQ_COMPANY_ID_QUICK_MATCH",1,5,,,,,,,"ID")</f>
      </c>
      <c r="Q29" s="647" t="s">
        <v>755</v>
      </c>
      <c r="R29" s="647" t="s">
        <v>756</v>
      </c>
      <c r="S29" s="647"/>
      <c r="T29" s="647"/>
      <c r="U29" s="647"/>
      <c r="V29" s="16"/>
      <c r="W29" s="16"/>
      <c r="X29" s="16"/>
      <c r="Y29" s="16"/>
      <c r="Z29" s="16"/>
      <c r="AA29" s="16"/>
      <c r="AB29" s="16"/>
      <c r="AC29" s="16"/>
    </row>
    <row r="30" ht="12.75" customHeight="1" spans="1:29" x14ac:dyDescent="0.25">
      <c r="A30" s="16"/>
      <c r="B30" s="641" t="s">
        <v>757</v>
      </c>
      <c r="C30" s="506" t="str">
        <f ca="1">IF(J30="","",IFERROR(MATCH(B30,$K30:O30,0),"NO"))</f>
        <v/>
      </c>
      <c r="D30" s="641">
        <v>1</v>
      </c>
      <c r="E30" s="16" t="str">
        <f ca="1">IF(INDEX($K30:$O30,,MATCH($D30,$K$12:$O$12,0))=0,"No Result",INDEX($K30:$O30,,MATCH($D30,$K$12:$O$12,0)))</f>
        <v>Energy Plug Technologies Corp.</v>
      </c>
      <c r="F30" s="16" t="str">
        <f ca="1">IF(INDEX($Q30:$U30,,MATCH($D30,$Q$12:$U$12,0))=0,"",INDEX($Q30:$U30,,MATCH($D30,$Q$12:$U$12,0)))</f>
        <v>IQ282167789</v>
      </c>
      <c r="G30" s="461">
        <f ca="1">IF(OR(_xll.ciqfunctions.udf.CIQ($F30,"IQ_COMPANY_TICKER")=0,_xll.ciqfunctions.udf.CIQ($F30,"IQ_COMPANY_TICKER")="(Invalid Identifier)"),"-",_xll.ciqfunctions.udf.CIQ($F30,"IQ_COMPANY_TICKER"))</f>
      </c>
      <c r="H30" s="647"/>
      <c r="I30" s="647"/>
      <c r="J30" s="16">
        <f ca="1">_xll.ciqfunctions.udf.CIQRANGEA($B30,"IQ_COMPANY_NAME_QUICK_MATCH",1,5,,,,,,,"NAME")</f>
      </c>
      <c r="K30" s="16" t="s">
        <v>758</v>
      </c>
      <c r="L30" s="16"/>
      <c r="M30" s="16"/>
      <c r="N30" s="16"/>
      <c r="O30" s="647"/>
      <c r="P30" s="647">
        <f ca="1">_xll.ciqfunctions.udf.CIQRANGEA($B30,"IQ_COMPANY_ID_QUICK_MATCH",1,5,,,,,,,"ID")</f>
      </c>
      <c r="Q30" s="647" t="s">
        <v>759</v>
      </c>
      <c r="R30" s="647"/>
      <c r="S30" s="647"/>
      <c r="T30" s="647"/>
      <c r="U30" s="647"/>
      <c r="V30" s="16"/>
      <c r="W30" s="16"/>
      <c r="X30" s="16"/>
      <c r="Y30" s="16"/>
      <c r="Z30" s="16"/>
      <c r="AA30" s="16"/>
      <c r="AB30" s="16"/>
      <c r="AC30" s="16"/>
    </row>
    <row r="31" ht="12.75" customHeight="1" spans="1:29" x14ac:dyDescent="0.25">
      <c r="A31" s="16"/>
      <c r="B31" s="16"/>
      <c r="C31" s="16"/>
      <c r="D31" s="16"/>
      <c r="E31" s="16"/>
      <c r="F31" s="16"/>
      <c r="G31" s="16"/>
      <c r="H31" s="647"/>
      <c r="I31" s="647"/>
      <c r="J31" s="647"/>
      <c r="K31" s="647"/>
      <c r="L31" s="647"/>
      <c r="M31" s="647"/>
      <c r="N31" s="647"/>
      <c r="O31" s="647"/>
      <c r="P31" s="647"/>
      <c r="Q31" s="647"/>
      <c r="R31" s="647"/>
      <c r="S31" s="647"/>
      <c r="T31" s="647"/>
      <c r="U31" s="16"/>
      <c r="V31" s="16"/>
      <c r="W31" s="16"/>
      <c r="X31" s="16"/>
      <c r="Y31" s="16"/>
      <c r="Z31" s="16"/>
      <c r="AA31" s="16"/>
      <c r="AB31" s="16"/>
      <c r="AC31" s="16"/>
    </row>
    <row r="32" ht="12.75" customHeight="1" spans="1:29" x14ac:dyDescent="0.25">
      <c r="A32" s="16"/>
      <c r="B32" s="16"/>
      <c r="C32" s="16"/>
      <c r="D32" s="16"/>
      <c r="E32" s="16"/>
      <c r="F32" s="16"/>
      <c r="G32" s="16"/>
      <c r="H32" s="647"/>
      <c r="I32" s="647"/>
      <c r="J32" s="647"/>
      <c r="K32" s="647"/>
      <c r="L32" s="647"/>
      <c r="M32" s="647"/>
      <c r="N32" s="647"/>
      <c r="O32" s="647"/>
      <c r="P32" s="647"/>
      <c r="Q32" s="647"/>
      <c r="R32" s="647"/>
      <c r="S32" s="647"/>
      <c r="T32" s="647"/>
      <c r="U32" s="16"/>
      <c r="V32" s="16"/>
      <c r="W32" s="16"/>
      <c r="X32" s="16"/>
      <c r="Y32" s="16"/>
      <c r="Z32" s="16"/>
      <c r="AA32" s="16"/>
      <c r="AB32" s="16"/>
      <c r="AC32" s="16"/>
    </row>
    <row r="33" ht="12.75" customHeight="1" spans="1:29" x14ac:dyDescent="0.25">
      <c r="A33" s="16"/>
      <c r="B33" s="16"/>
      <c r="C33" s="16"/>
      <c r="D33" s="16"/>
      <c r="E33" s="16"/>
      <c r="F33" s="16"/>
      <c r="G33" s="16"/>
      <c r="H33" s="647"/>
      <c r="I33" s="647"/>
      <c r="J33" s="647"/>
      <c r="K33" s="647"/>
      <c r="L33" s="647"/>
      <c r="M33" s="647"/>
      <c r="N33" s="647"/>
      <c r="O33" s="647"/>
      <c r="P33" s="647"/>
      <c r="Q33" s="647"/>
      <c r="R33" s="647"/>
      <c r="S33" s="647"/>
      <c r="T33" s="647"/>
      <c r="U33" s="16"/>
      <c r="V33" s="16"/>
      <c r="W33" s="16"/>
      <c r="X33" s="16"/>
      <c r="Y33" s="16"/>
      <c r="Z33" s="16"/>
      <c r="AA33" s="16"/>
      <c r="AB33" s="16"/>
      <c r="AC33" s="16"/>
    </row>
    <row r="34" ht="12.75" customHeight="1" spans="1:29" x14ac:dyDescent="0.25">
      <c r="A34" s="16"/>
      <c r="B34" s="16"/>
      <c r="C34" s="16"/>
      <c r="D34" s="16"/>
      <c r="E34" s="16"/>
      <c r="F34" s="16"/>
      <c r="G34" s="16"/>
      <c r="H34" s="647"/>
      <c r="I34" s="647"/>
      <c r="J34" s="647"/>
      <c r="K34" s="647"/>
      <c r="L34" s="647"/>
      <c r="M34" s="647"/>
      <c r="N34" s="647"/>
      <c r="O34" s="647"/>
      <c r="P34" s="647"/>
      <c r="Q34" s="647"/>
      <c r="R34" s="647"/>
      <c r="S34" s="647"/>
      <c r="T34" s="647"/>
      <c r="U34" s="16"/>
      <c r="V34" s="16"/>
      <c r="W34" s="16"/>
      <c r="X34" s="16"/>
      <c r="Y34" s="16"/>
      <c r="Z34" s="16"/>
      <c r="AA34" s="16"/>
      <c r="AB34" s="16"/>
      <c r="AC34" s="16"/>
    </row>
    <row r="35" ht="12.75" customHeight="1" spans="1:29" x14ac:dyDescent="0.25">
      <c r="A35" s="16"/>
      <c r="B35" s="16"/>
      <c r="C35" s="16"/>
      <c r="D35" s="16"/>
      <c r="E35" s="16"/>
      <c r="F35" s="16"/>
      <c r="G35" s="16"/>
      <c r="H35" s="647"/>
      <c r="I35" s="647"/>
      <c r="J35" s="647"/>
      <c r="K35" s="647"/>
      <c r="L35" s="647"/>
      <c r="M35" s="647"/>
      <c r="N35" s="647"/>
      <c r="O35" s="647"/>
      <c r="P35" s="647"/>
      <c r="Q35" s="647"/>
      <c r="R35" s="647"/>
      <c r="S35" s="647"/>
      <c r="T35" s="647"/>
      <c r="U35" s="16"/>
      <c r="V35" s="16"/>
      <c r="W35" s="16"/>
      <c r="X35" s="16"/>
      <c r="Y35" s="16"/>
      <c r="Z35" s="16"/>
      <c r="AA35" s="16"/>
      <c r="AB35" s="16"/>
      <c r="AC35" s="16"/>
    </row>
    <row r="36" ht="12.75" customHeight="1" spans="1:29" x14ac:dyDescent="0.25">
      <c r="A36" s="16"/>
      <c r="B36" s="16"/>
      <c r="C36" s="16"/>
      <c r="D36" s="16"/>
      <c r="E36" s="16"/>
      <c r="F36" s="16"/>
      <c r="G36" s="16"/>
      <c r="H36" s="647"/>
      <c r="I36" s="647"/>
      <c r="J36" s="647"/>
      <c r="K36" s="647"/>
      <c r="L36" s="647"/>
      <c r="M36" s="647"/>
      <c r="N36" s="647"/>
      <c r="O36" s="647"/>
      <c r="P36" s="647"/>
      <c r="Q36" s="647"/>
      <c r="R36" s="647"/>
      <c r="S36" s="647"/>
      <c r="T36" s="647"/>
      <c r="U36" s="16"/>
      <c r="V36" s="16"/>
      <c r="W36" s="16"/>
      <c r="X36" s="16"/>
      <c r="Y36" s="16"/>
      <c r="Z36" s="16"/>
      <c r="AA36" s="16"/>
      <c r="AB36" s="16"/>
      <c r="AC36" s="16"/>
    </row>
    <row r="37" ht="12.75" customHeight="1" spans="1:29" x14ac:dyDescent="0.25">
      <c r="A37" s="16"/>
      <c r="B37" s="16"/>
      <c r="C37" s="16"/>
      <c r="D37" s="16"/>
      <c r="E37" s="16"/>
      <c r="F37" s="16"/>
      <c r="G37" s="16"/>
      <c r="H37" s="647"/>
      <c r="I37" s="647"/>
      <c r="J37" s="647"/>
      <c r="K37" s="647"/>
      <c r="L37" s="647"/>
      <c r="M37" s="647"/>
      <c r="N37" s="647"/>
      <c r="O37" s="647"/>
      <c r="P37" s="647"/>
      <c r="Q37" s="647"/>
      <c r="R37" s="647"/>
      <c r="S37" s="647"/>
      <c r="T37" s="647"/>
      <c r="U37" s="16"/>
      <c r="V37" s="16"/>
      <c r="W37" s="16"/>
      <c r="X37" s="16"/>
      <c r="Y37" s="16"/>
      <c r="Z37" s="16"/>
      <c r="AA37" s="16"/>
      <c r="AB37" s="16"/>
      <c r="AC37" s="16"/>
    </row>
    <row r="38" ht="12.75" customHeight="1" spans="1:29" x14ac:dyDescent="0.25">
      <c r="A38" s="16"/>
      <c r="B38" s="16"/>
      <c r="C38" s="16"/>
      <c r="D38" s="16"/>
      <c r="E38" s="16"/>
      <c r="F38" s="16"/>
      <c r="G38" s="16"/>
      <c r="H38" s="647"/>
      <c r="I38" s="647"/>
      <c r="J38" s="647"/>
      <c r="K38" s="647"/>
      <c r="L38" s="647"/>
      <c r="M38" s="647"/>
      <c r="N38" s="647"/>
      <c r="O38" s="647"/>
      <c r="P38" s="647"/>
      <c r="Q38" s="647"/>
      <c r="R38" s="647"/>
      <c r="S38" s="647"/>
      <c r="T38" s="647"/>
      <c r="U38" s="16"/>
      <c r="V38" s="16"/>
      <c r="W38" s="16"/>
      <c r="X38" s="16"/>
      <c r="Y38" s="16"/>
      <c r="Z38" s="16"/>
      <c r="AA38" s="16"/>
      <c r="AB38" s="16"/>
      <c r="AC38" s="16"/>
    </row>
    <row r="39" ht="12.75" customHeight="1" spans="1:29" x14ac:dyDescent="0.25">
      <c r="A39" s="16"/>
      <c r="B39" s="16"/>
      <c r="C39" s="16"/>
      <c r="D39" s="16"/>
      <c r="E39" s="16"/>
      <c r="F39" s="16"/>
      <c r="G39" s="16"/>
      <c r="H39" s="647"/>
      <c r="I39" s="647"/>
      <c r="J39" s="647"/>
      <c r="K39" s="647"/>
      <c r="L39" s="647"/>
      <c r="M39" s="647"/>
      <c r="N39" s="647"/>
      <c r="O39" s="647"/>
      <c r="P39" s="647"/>
      <c r="Q39" s="647"/>
      <c r="R39" s="647"/>
      <c r="S39" s="647"/>
      <c r="T39" s="647"/>
      <c r="U39" s="16"/>
      <c r="V39" s="16"/>
      <c r="W39" s="16"/>
      <c r="X39" s="16"/>
      <c r="Y39" s="16"/>
      <c r="Z39" s="16"/>
      <c r="AA39" s="16"/>
      <c r="AB39" s="16"/>
      <c r="AC39" s="16"/>
    </row>
    <row r="40" ht="12.75" customHeight="1" spans="1:29" x14ac:dyDescent="0.25">
      <c r="A40" s="16"/>
      <c r="B40" s="16"/>
      <c r="C40" s="16"/>
      <c r="D40" s="16"/>
      <c r="E40" s="16"/>
      <c r="F40" s="16"/>
      <c r="G40" s="16"/>
      <c r="H40" s="647"/>
      <c r="I40" s="647"/>
      <c r="J40" s="647"/>
      <c r="K40" s="647"/>
      <c r="L40" s="647"/>
      <c r="M40" s="647"/>
      <c r="N40" s="647"/>
      <c r="O40" s="647"/>
      <c r="P40" s="647"/>
      <c r="Q40" s="647"/>
      <c r="R40" s="647"/>
      <c r="S40" s="647"/>
      <c r="T40" s="647"/>
      <c r="U40" s="16"/>
      <c r="V40" s="16"/>
      <c r="W40" s="16"/>
      <c r="X40" s="16"/>
      <c r="Y40" s="16"/>
      <c r="Z40" s="16"/>
      <c r="AA40" s="16"/>
      <c r="AB40" s="16"/>
      <c r="AC40" s="16"/>
    </row>
    <row r="41" ht="12.75" customHeight="1" spans="1:29" x14ac:dyDescent="0.25">
      <c r="A41" s="16"/>
      <c r="B41" s="16"/>
      <c r="C41" s="16"/>
      <c r="D41" s="16"/>
      <c r="E41" s="16"/>
      <c r="F41" s="16"/>
      <c r="G41" s="16"/>
      <c r="H41" s="647"/>
      <c r="I41" s="647"/>
      <c r="J41" s="647"/>
      <c r="K41" s="647"/>
      <c r="L41" s="647"/>
      <c r="M41" s="647"/>
      <c r="N41" s="647"/>
      <c r="O41" s="647"/>
      <c r="P41" s="647"/>
      <c r="Q41" s="647"/>
      <c r="R41" s="647"/>
      <c r="S41" s="647"/>
      <c r="T41" s="647"/>
      <c r="U41" s="16"/>
      <c r="V41" s="16"/>
      <c r="W41" s="16"/>
      <c r="X41" s="16"/>
      <c r="Y41" s="16"/>
      <c r="Z41" s="16"/>
      <c r="AA41" s="16"/>
      <c r="AB41" s="16"/>
      <c r="AC41" s="16"/>
    </row>
    <row r="42" ht="12.75" customHeight="1" spans="1:29" x14ac:dyDescent="0.25">
      <c r="A42" s="16"/>
      <c r="B42" s="16"/>
      <c r="C42" s="16"/>
      <c r="D42" s="16"/>
      <c r="E42" s="16"/>
      <c r="F42" s="16"/>
      <c r="G42" s="16"/>
      <c r="H42" s="647"/>
      <c r="I42" s="647"/>
      <c r="J42" s="647"/>
      <c r="K42" s="647"/>
      <c r="L42" s="647"/>
      <c r="M42" s="647"/>
      <c r="N42" s="647"/>
      <c r="O42" s="647"/>
      <c r="P42" s="647"/>
      <c r="Q42" s="647"/>
      <c r="R42" s="647"/>
      <c r="S42" s="647"/>
      <c r="T42" s="647"/>
      <c r="U42" s="16"/>
      <c r="V42" s="16"/>
      <c r="W42" s="16"/>
      <c r="X42" s="16"/>
      <c r="Y42" s="16"/>
      <c r="Z42" s="16"/>
      <c r="AA42" s="16"/>
      <c r="AB42" s="16"/>
      <c r="AC42" s="16"/>
    </row>
    <row r="43" ht="12.75" customHeight="1" spans="1:29" x14ac:dyDescent="0.25">
      <c r="A43" s="16"/>
      <c r="B43" s="16"/>
      <c r="C43" s="16"/>
      <c r="D43" s="16"/>
      <c r="E43" s="16"/>
      <c r="F43" s="16"/>
      <c r="G43" s="16"/>
      <c r="H43" s="647"/>
      <c r="I43" s="647"/>
      <c r="J43" s="647"/>
      <c r="K43" s="647"/>
      <c r="L43" s="647"/>
      <c r="M43" s="647"/>
      <c r="N43" s="647"/>
      <c r="O43" s="647"/>
      <c r="P43" s="647"/>
      <c r="Q43" s="647"/>
      <c r="R43" s="647"/>
      <c r="S43" s="647"/>
      <c r="T43" s="647"/>
      <c r="U43" s="16"/>
      <c r="V43" s="16"/>
      <c r="W43" s="16"/>
      <c r="X43" s="16"/>
      <c r="Y43" s="16"/>
      <c r="Z43" s="16"/>
      <c r="AA43" s="16"/>
      <c r="AB43" s="16"/>
      <c r="AC43" s="16"/>
    </row>
    <row r="44" ht="12.75" customHeight="1" spans="1:29" x14ac:dyDescent="0.25">
      <c r="A44" s="16"/>
      <c r="B44" s="16"/>
      <c r="C44" s="16"/>
      <c r="D44" s="16"/>
      <c r="E44" s="16"/>
      <c r="F44" s="16"/>
      <c r="G44" s="16"/>
      <c r="H44" s="647"/>
      <c r="I44" s="647"/>
      <c r="J44" s="647"/>
      <c r="K44" s="647"/>
      <c r="L44" s="647"/>
      <c r="M44" s="647"/>
      <c r="N44" s="647"/>
      <c r="O44" s="647"/>
      <c r="P44" s="647"/>
      <c r="Q44" s="647"/>
      <c r="R44" s="647"/>
      <c r="S44" s="647"/>
      <c r="T44" s="647"/>
      <c r="U44" s="16"/>
      <c r="V44" s="16"/>
      <c r="W44" s="16"/>
      <c r="X44" s="16"/>
      <c r="Y44" s="16"/>
      <c r="Z44" s="16"/>
      <c r="AA44" s="16"/>
      <c r="AB44" s="16"/>
      <c r="AC44" s="16"/>
    </row>
    <row r="45" ht="12.75" customHeight="1" spans="1:29" x14ac:dyDescent="0.25">
      <c r="A45" s="16"/>
      <c r="B45" s="16"/>
      <c r="C45" s="16"/>
      <c r="D45" s="16"/>
      <c r="E45" s="16"/>
      <c r="F45" s="16"/>
      <c r="G45" s="16"/>
      <c r="H45" s="647"/>
      <c r="I45" s="647"/>
      <c r="J45" s="647"/>
      <c r="K45" s="647"/>
      <c r="L45" s="647"/>
      <c r="M45" s="647"/>
      <c r="N45" s="647"/>
      <c r="O45" s="647"/>
      <c r="P45" s="647"/>
      <c r="Q45" s="647"/>
      <c r="R45" s="647"/>
      <c r="S45" s="647"/>
      <c r="T45" s="647"/>
      <c r="U45" s="16"/>
      <c r="V45" s="16"/>
      <c r="W45" s="16"/>
      <c r="X45" s="16"/>
      <c r="Y45" s="16"/>
      <c r="Z45" s="16"/>
      <c r="AA45" s="16"/>
      <c r="AB45" s="16"/>
      <c r="AC45" s="16"/>
    </row>
    <row r="46" ht="12.75" customHeight="1" spans="1:29" x14ac:dyDescent="0.25">
      <c r="A46" s="16"/>
      <c r="B46" s="16"/>
      <c r="C46" s="16"/>
      <c r="D46" s="16"/>
      <c r="E46" s="16"/>
      <c r="F46" s="16"/>
      <c r="G46" s="16"/>
      <c r="H46" s="647"/>
      <c r="I46" s="647"/>
      <c r="J46" s="647"/>
      <c r="K46" s="647"/>
      <c r="L46" s="647"/>
      <c r="M46" s="647"/>
      <c r="N46" s="647"/>
      <c r="O46" s="647"/>
      <c r="P46" s="647"/>
      <c r="Q46" s="647"/>
      <c r="R46" s="647"/>
      <c r="S46" s="647"/>
      <c r="T46" s="647"/>
      <c r="U46" s="16"/>
      <c r="V46" s="16"/>
      <c r="W46" s="16"/>
      <c r="X46" s="16"/>
      <c r="Y46" s="16"/>
      <c r="Z46" s="16"/>
      <c r="AA46" s="16"/>
      <c r="AB46" s="16"/>
      <c r="AC46" s="16"/>
    </row>
    <row r="47" ht="12.75" customHeight="1" spans="1:29" x14ac:dyDescent="0.25">
      <c r="A47" s="16"/>
      <c r="B47" s="16"/>
      <c r="C47" s="16"/>
      <c r="D47" s="16"/>
      <c r="E47" s="16"/>
      <c r="F47" s="16"/>
      <c r="G47" s="16"/>
      <c r="H47" s="647"/>
      <c r="I47" s="647"/>
      <c r="J47" s="647"/>
      <c r="K47" s="647"/>
      <c r="L47" s="647"/>
      <c r="M47" s="647"/>
      <c r="N47" s="647"/>
      <c r="O47" s="647"/>
      <c r="P47" s="647"/>
      <c r="Q47" s="647"/>
      <c r="R47" s="647"/>
      <c r="S47" s="647"/>
      <c r="T47" s="647"/>
      <c r="U47" s="16"/>
      <c r="V47" s="16"/>
      <c r="W47" s="16"/>
      <c r="X47" s="16"/>
      <c r="Y47" s="16"/>
      <c r="Z47" s="16"/>
      <c r="AA47" s="16"/>
      <c r="AB47" s="16"/>
      <c r="AC47" s="16"/>
    </row>
    <row r="48" ht="12.75" customHeight="1" spans="1:29" x14ac:dyDescent="0.25">
      <c r="A48" s="16"/>
      <c r="B48" s="16"/>
      <c r="C48" s="16"/>
      <c r="D48" s="16"/>
      <c r="E48" s="16"/>
      <c r="F48" s="16"/>
      <c r="G48" s="16"/>
      <c r="H48" s="647"/>
      <c r="I48" s="647"/>
      <c r="J48" s="647"/>
      <c r="K48" s="647"/>
      <c r="L48" s="647"/>
      <c r="M48" s="647"/>
      <c r="N48" s="647"/>
      <c r="O48" s="647"/>
      <c r="P48" s="647"/>
      <c r="Q48" s="647"/>
      <c r="R48" s="647"/>
      <c r="S48" s="647"/>
      <c r="T48" s="647"/>
      <c r="U48" s="16"/>
      <c r="V48" s="16"/>
      <c r="W48" s="16"/>
      <c r="X48" s="16"/>
      <c r="Y48" s="16"/>
      <c r="Z48" s="16"/>
      <c r="AA48" s="16"/>
      <c r="AB48" s="16"/>
      <c r="AC48" s="16"/>
    </row>
    <row r="49" ht="12.75" customHeight="1" spans="1:29" x14ac:dyDescent="0.25">
      <c r="A49" s="16"/>
      <c r="B49" s="16"/>
      <c r="C49" s="16"/>
      <c r="D49" s="16"/>
      <c r="E49" s="16"/>
      <c r="F49" s="16"/>
      <c r="G49" s="16"/>
      <c r="H49" s="647"/>
      <c r="I49" s="647"/>
      <c r="J49" s="647"/>
      <c r="K49" s="647"/>
      <c r="L49" s="647"/>
      <c r="M49" s="647"/>
      <c r="N49" s="647"/>
      <c r="O49" s="647"/>
      <c r="P49" s="647"/>
      <c r="Q49" s="647"/>
      <c r="R49" s="647"/>
      <c r="S49" s="647"/>
      <c r="T49" s="647"/>
      <c r="U49" s="16"/>
      <c r="V49" s="16"/>
      <c r="W49" s="16"/>
      <c r="X49" s="16"/>
      <c r="Y49" s="16"/>
      <c r="Z49" s="16"/>
      <c r="AA49" s="16"/>
      <c r="AB49" s="16"/>
      <c r="AC49" s="16"/>
    </row>
    <row r="50" ht="12.75" customHeight="1" spans="1:29" x14ac:dyDescent="0.25">
      <c r="A50" s="16"/>
      <c r="B50" s="16"/>
      <c r="C50" s="16"/>
      <c r="D50" s="16"/>
      <c r="E50" s="16"/>
      <c r="F50" s="16"/>
      <c r="G50" s="16"/>
      <c r="H50" s="647"/>
      <c r="I50" s="647"/>
      <c r="J50" s="647"/>
      <c r="K50" s="647"/>
      <c r="L50" s="647"/>
      <c r="M50" s="647"/>
      <c r="N50" s="647"/>
      <c r="O50" s="647"/>
      <c r="P50" s="647"/>
      <c r="Q50" s="647"/>
      <c r="R50" s="647"/>
      <c r="S50" s="647"/>
      <c r="T50" s="647"/>
      <c r="U50" s="16"/>
      <c r="V50" s="16"/>
      <c r="W50" s="16"/>
      <c r="X50" s="16"/>
      <c r="Y50" s="16"/>
      <c r="Z50" s="16"/>
      <c r="AA50" s="16"/>
      <c r="AB50" s="16"/>
      <c r="AC50" s="16"/>
    </row>
    <row r="51" ht="12.75" customHeight="1" spans="1:29" x14ac:dyDescent="0.25">
      <c r="A51" s="16"/>
      <c r="B51" s="16"/>
      <c r="C51" s="16"/>
      <c r="D51" s="16"/>
      <c r="E51" s="16"/>
      <c r="F51" s="16"/>
      <c r="G51" s="16"/>
      <c r="H51" s="647"/>
      <c r="I51" s="647"/>
      <c r="J51" s="647"/>
      <c r="K51" s="647"/>
      <c r="L51" s="647"/>
      <c r="M51" s="647"/>
      <c r="N51" s="647"/>
      <c r="O51" s="647"/>
      <c r="P51" s="647"/>
      <c r="Q51" s="647"/>
      <c r="R51" s="647"/>
      <c r="S51" s="647"/>
      <c r="T51" s="647"/>
      <c r="U51" s="16"/>
      <c r="V51" s="16"/>
      <c r="W51" s="16"/>
      <c r="X51" s="16"/>
      <c r="Y51" s="16"/>
      <c r="Z51" s="16"/>
      <c r="AA51" s="16"/>
      <c r="AB51" s="16"/>
      <c r="AC51" s="16"/>
    </row>
    <row r="52" ht="12.75" customHeight="1" spans="1:29" x14ac:dyDescent="0.25">
      <c r="A52" s="16"/>
      <c r="B52" s="16"/>
      <c r="C52" s="16"/>
      <c r="D52" s="16"/>
      <c r="E52" s="16"/>
      <c r="F52" s="16"/>
      <c r="G52" s="16"/>
      <c r="H52" s="647"/>
      <c r="I52" s="647"/>
      <c r="J52" s="647"/>
      <c r="K52" s="647"/>
      <c r="L52" s="647"/>
      <c r="M52" s="647"/>
      <c r="N52" s="647"/>
      <c r="O52" s="647"/>
      <c r="P52" s="647"/>
      <c r="Q52" s="647"/>
      <c r="R52" s="647"/>
      <c r="S52" s="647"/>
      <c r="T52" s="647"/>
      <c r="U52" s="16"/>
      <c r="V52" s="16"/>
      <c r="W52" s="16"/>
      <c r="X52" s="16"/>
      <c r="Y52" s="16"/>
      <c r="Z52" s="16"/>
      <c r="AA52" s="16"/>
      <c r="AB52" s="16"/>
      <c r="AC52" s="16"/>
    </row>
    <row r="53" ht="12.75" customHeight="1" spans="1:29" x14ac:dyDescent="0.25">
      <c r="A53" s="16"/>
      <c r="B53" s="16"/>
      <c r="C53" s="16"/>
      <c r="D53" s="16"/>
      <c r="E53" s="16"/>
      <c r="F53" s="16"/>
      <c r="G53" s="16"/>
      <c r="H53" s="647"/>
      <c r="I53" s="647"/>
      <c r="J53" s="647"/>
      <c r="K53" s="647"/>
      <c r="L53" s="647"/>
      <c r="M53" s="647"/>
      <c r="N53" s="647"/>
      <c r="O53" s="647"/>
      <c r="P53" s="647"/>
      <c r="Q53" s="647"/>
      <c r="R53" s="647"/>
      <c r="S53" s="647"/>
      <c r="T53" s="647"/>
      <c r="U53" s="16"/>
      <c r="V53" s="16"/>
      <c r="W53" s="16"/>
      <c r="X53" s="16"/>
      <c r="Y53" s="16"/>
      <c r="Z53" s="16"/>
      <c r="AA53" s="16"/>
      <c r="AB53" s="16"/>
      <c r="AC53" s="16"/>
    </row>
    <row r="54" ht="12.75" customHeight="1" spans="1:29" x14ac:dyDescent="0.25">
      <c r="A54" s="16"/>
      <c r="B54" s="16"/>
      <c r="C54" s="16"/>
      <c r="D54" s="16"/>
      <c r="E54" s="16"/>
      <c r="F54" s="16"/>
      <c r="G54" s="16"/>
      <c r="H54" s="647"/>
      <c r="I54" s="647"/>
      <c r="J54" s="647"/>
      <c r="K54" s="647"/>
      <c r="L54" s="647"/>
      <c r="M54" s="647"/>
      <c r="N54" s="647"/>
      <c r="O54" s="647"/>
      <c r="P54" s="647"/>
      <c r="Q54" s="647"/>
      <c r="R54" s="647"/>
      <c r="S54" s="647"/>
      <c r="T54" s="647"/>
      <c r="U54" s="16"/>
      <c r="V54" s="16"/>
      <c r="W54" s="16"/>
      <c r="X54" s="16"/>
      <c r="Y54" s="16"/>
      <c r="Z54" s="16"/>
      <c r="AA54" s="16"/>
      <c r="AB54" s="16"/>
      <c r="AC54" s="16"/>
    </row>
    <row r="55" ht="12.75" customHeight="1" spans="1:29" x14ac:dyDescent="0.25">
      <c r="A55" s="16"/>
      <c r="B55" s="16"/>
      <c r="C55" s="16"/>
      <c r="D55" s="16"/>
      <c r="E55" s="16"/>
      <c r="F55" s="16"/>
      <c r="G55" s="16"/>
      <c r="H55" s="647"/>
      <c r="I55" s="647"/>
      <c r="J55" s="647"/>
      <c r="K55" s="647"/>
      <c r="L55" s="647"/>
      <c r="M55" s="647"/>
      <c r="N55" s="647"/>
      <c r="O55" s="647"/>
      <c r="P55" s="647"/>
      <c r="Q55" s="647"/>
      <c r="R55" s="647"/>
      <c r="S55" s="647"/>
      <c r="T55" s="647"/>
      <c r="U55" s="16"/>
      <c r="V55" s="16"/>
      <c r="W55" s="16"/>
      <c r="X55" s="16"/>
      <c r="Y55" s="16"/>
      <c r="Z55" s="16"/>
      <c r="AA55" s="16"/>
      <c r="AB55" s="16"/>
      <c r="AC55" s="16"/>
    </row>
    <row r="56" ht="12.75" customHeight="1" spans="1:29" x14ac:dyDescent="0.25">
      <c r="A56" s="16"/>
      <c r="B56" s="16"/>
      <c r="C56" s="16"/>
      <c r="D56" s="16"/>
      <c r="E56" s="16"/>
      <c r="F56" s="16"/>
      <c r="G56" s="16"/>
      <c r="H56" s="647"/>
      <c r="I56" s="647"/>
      <c r="J56" s="647"/>
      <c r="K56" s="647"/>
      <c r="L56" s="647"/>
      <c r="M56" s="647"/>
      <c r="N56" s="647"/>
      <c r="O56" s="647"/>
      <c r="P56" s="647"/>
      <c r="Q56" s="647"/>
      <c r="R56" s="647"/>
      <c r="S56" s="647"/>
      <c r="T56" s="647"/>
      <c r="U56" s="16"/>
      <c r="V56" s="16"/>
      <c r="W56" s="16"/>
      <c r="X56" s="16"/>
      <c r="Y56" s="16"/>
      <c r="Z56" s="16"/>
      <c r="AA56" s="16"/>
      <c r="AB56" s="16"/>
      <c r="AC56" s="16"/>
    </row>
    <row r="57" ht="12.75" customHeight="1" spans="1:29" x14ac:dyDescent="0.25">
      <c r="A57" s="16"/>
      <c r="B57" s="16"/>
      <c r="C57" s="16"/>
      <c r="D57" s="16"/>
      <c r="E57" s="16"/>
      <c r="F57" s="16"/>
      <c r="G57" s="16"/>
      <c r="H57" s="647"/>
      <c r="I57" s="647"/>
      <c r="J57" s="647"/>
      <c r="K57" s="647"/>
      <c r="L57" s="647"/>
      <c r="M57" s="647"/>
      <c r="N57" s="647"/>
      <c r="O57" s="647"/>
      <c r="P57" s="647"/>
      <c r="Q57" s="647"/>
      <c r="R57" s="647"/>
      <c r="S57" s="647"/>
      <c r="T57" s="647"/>
      <c r="U57" s="16"/>
      <c r="V57" s="16"/>
      <c r="W57" s="16"/>
      <c r="X57" s="16"/>
      <c r="Y57" s="16"/>
      <c r="Z57" s="16"/>
      <c r="AA57" s="16"/>
      <c r="AB57" s="16"/>
      <c r="AC57" s="16"/>
    </row>
    <row r="58" ht="12.75" customHeight="1" spans="1:29" x14ac:dyDescent="0.25">
      <c r="A58" s="16"/>
      <c r="B58" s="16"/>
      <c r="C58" s="16"/>
      <c r="D58" s="16"/>
      <c r="E58" s="16"/>
      <c r="F58" s="16"/>
      <c r="G58" s="16"/>
      <c r="H58" s="647"/>
      <c r="I58" s="647"/>
      <c r="J58" s="647"/>
      <c r="K58" s="647"/>
      <c r="L58" s="647"/>
      <c r="M58" s="647"/>
      <c r="N58" s="647"/>
      <c r="O58" s="647"/>
      <c r="P58" s="647"/>
      <c r="Q58" s="647"/>
      <c r="R58" s="647"/>
      <c r="S58" s="647"/>
      <c r="T58" s="647"/>
      <c r="U58" s="16"/>
      <c r="V58" s="16"/>
      <c r="W58" s="16"/>
      <c r="X58" s="16"/>
      <c r="Y58" s="16"/>
      <c r="Z58" s="16"/>
      <c r="AA58" s="16"/>
      <c r="AB58" s="16"/>
      <c r="AC58" s="16"/>
    </row>
    <row r="59" ht="12.75" customHeight="1" spans="1:29" x14ac:dyDescent="0.25">
      <c r="A59" s="16"/>
      <c r="B59" s="16"/>
      <c r="C59" s="16"/>
      <c r="D59" s="16"/>
      <c r="E59" s="16"/>
      <c r="F59" s="16"/>
      <c r="G59" s="16"/>
      <c r="H59" s="647"/>
      <c r="I59" s="647"/>
      <c r="J59" s="647"/>
      <c r="K59" s="647"/>
      <c r="L59" s="647"/>
      <c r="M59" s="647"/>
      <c r="N59" s="647"/>
      <c r="O59" s="647"/>
      <c r="P59" s="647"/>
      <c r="Q59" s="647"/>
      <c r="R59" s="647"/>
      <c r="S59" s="647"/>
      <c r="T59" s="647"/>
      <c r="U59" s="16"/>
      <c r="V59" s="16"/>
      <c r="W59" s="16"/>
      <c r="X59" s="16"/>
      <c r="Y59" s="16"/>
      <c r="Z59" s="16"/>
      <c r="AA59" s="16"/>
      <c r="AB59" s="16"/>
      <c r="AC59" s="16"/>
    </row>
    <row r="60" ht="12.75" customHeight="1" spans="1:29" x14ac:dyDescent="0.25">
      <c r="A60" s="16"/>
      <c r="B60" s="16"/>
      <c r="C60" s="16"/>
      <c r="D60" s="16"/>
      <c r="E60" s="16"/>
      <c r="F60" s="16"/>
      <c r="G60" s="16"/>
      <c r="H60" s="647"/>
      <c r="I60" s="647"/>
      <c r="J60" s="647"/>
      <c r="K60" s="647"/>
      <c r="L60" s="647"/>
      <c r="M60" s="647"/>
      <c r="N60" s="647"/>
      <c r="O60" s="647"/>
      <c r="P60" s="647"/>
      <c r="Q60" s="647"/>
      <c r="R60" s="647"/>
      <c r="S60" s="647"/>
      <c r="T60" s="647"/>
      <c r="U60" s="16"/>
      <c r="V60" s="16"/>
      <c r="W60" s="16"/>
      <c r="X60" s="16"/>
      <c r="Y60" s="16"/>
      <c r="Z60" s="16"/>
      <c r="AA60" s="16"/>
      <c r="AB60" s="16"/>
      <c r="AC60" s="16"/>
    </row>
    <row r="61" ht="12.75" customHeight="1" spans="1:29" x14ac:dyDescent="0.25">
      <c r="A61" s="16"/>
      <c r="B61" s="16"/>
      <c r="C61" s="16"/>
      <c r="D61" s="16"/>
      <c r="E61" s="16"/>
      <c r="F61" s="16"/>
      <c r="G61" s="16"/>
      <c r="H61" s="647"/>
      <c r="I61" s="647"/>
      <c r="J61" s="647"/>
      <c r="K61" s="647"/>
      <c r="L61" s="647"/>
      <c r="M61" s="647"/>
      <c r="N61" s="647"/>
      <c r="O61" s="647"/>
      <c r="P61" s="647"/>
      <c r="Q61" s="647"/>
      <c r="R61" s="647"/>
      <c r="S61" s="647"/>
      <c r="T61" s="647"/>
      <c r="U61" s="16"/>
      <c r="V61" s="16"/>
      <c r="W61" s="16"/>
      <c r="X61" s="16"/>
      <c r="Y61" s="16"/>
      <c r="Z61" s="16"/>
      <c r="AA61" s="16"/>
      <c r="AB61" s="16"/>
      <c r="AC61" s="16"/>
    </row>
    <row r="62" ht="12.75" customHeight="1" spans="1:29" x14ac:dyDescent="0.25">
      <c r="A62" s="16"/>
      <c r="B62" s="16"/>
      <c r="C62" s="16"/>
      <c r="D62" s="16"/>
      <c r="E62" s="16"/>
      <c r="F62" s="16"/>
      <c r="G62" s="16"/>
      <c r="H62" s="647"/>
      <c r="I62" s="647"/>
      <c r="J62" s="647"/>
      <c r="K62" s="647"/>
      <c r="L62" s="647"/>
      <c r="M62" s="647"/>
      <c r="N62" s="647"/>
      <c r="O62" s="647"/>
      <c r="P62" s="647"/>
      <c r="Q62" s="647"/>
      <c r="R62" s="647"/>
      <c r="S62" s="647"/>
      <c r="T62" s="647"/>
      <c r="U62" s="16"/>
      <c r="V62" s="16"/>
      <c r="W62" s="16"/>
      <c r="X62" s="16"/>
      <c r="Y62" s="16"/>
      <c r="Z62" s="16"/>
      <c r="AA62" s="16"/>
      <c r="AB62" s="16"/>
      <c r="AC62" s="16"/>
    </row>
    <row r="63" ht="12.75" customHeight="1" spans="1:29" x14ac:dyDescent="0.25">
      <c r="A63" s="16"/>
      <c r="B63" s="16"/>
      <c r="C63" s="16"/>
      <c r="D63" s="16"/>
      <c r="E63" s="16"/>
      <c r="F63" s="16"/>
      <c r="G63" s="16"/>
      <c r="H63" s="647"/>
      <c r="I63" s="647"/>
      <c r="J63" s="647"/>
      <c r="K63" s="647"/>
      <c r="L63" s="647"/>
      <c r="M63" s="647"/>
      <c r="N63" s="647"/>
      <c r="O63" s="647"/>
      <c r="P63" s="647"/>
      <c r="Q63" s="647"/>
      <c r="R63" s="647"/>
      <c r="S63" s="647"/>
      <c r="T63" s="647"/>
      <c r="U63" s="16"/>
      <c r="V63" s="16"/>
      <c r="W63" s="16"/>
      <c r="X63" s="16"/>
      <c r="Y63" s="16"/>
      <c r="Z63" s="16"/>
      <c r="AA63" s="16"/>
      <c r="AB63" s="16"/>
      <c r="AC63" s="16"/>
    </row>
    <row r="64" ht="12.75" customHeight="1" spans="1:29" x14ac:dyDescent="0.25">
      <c r="A64" s="16"/>
      <c r="B64" s="16"/>
      <c r="C64" s="16"/>
      <c r="D64" s="16"/>
      <c r="E64" s="16"/>
      <c r="F64" s="16"/>
      <c r="G64" s="16"/>
      <c r="H64" s="647"/>
      <c r="I64" s="647"/>
      <c r="J64" s="647"/>
      <c r="K64" s="647"/>
      <c r="L64" s="647"/>
      <c r="M64" s="647"/>
      <c r="N64" s="647"/>
      <c r="O64" s="647"/>
      <c r="P64" s="647"/>
      <c r="Q64" s="647"/>
      <c r="R64" s="647"/>
      <c r="S64" s="647"/>
      <c r="T64" s="647"/>
      <c r="U64" s="16"/>
      <c r="V64" s="16"/>
      <c r="W64" s="16"/>
      <c r="X64" s="16"/>
      <c r="Y64" s="16"/>
      <c r="Z64" s="16"/>
      <c r="AA64" s="16"/>
      <c r="AB64" s="16"/>
      <c r="AC64" s="16"/>
    </row>
    <row r="65" ht="12.75" customHeight="1" spans="1:29" x14ac:dyDescent="0.25">
      <c r="A65" s="16"/>
      <c r="B65" s="16"/>
      <c r="C65" s="16"/>
      <c r="D65" s="16"/>
      <c r="E65" s="16"/>
      <c r="F65" s="16"/>
      <c r="G65" s="16"/>
      <c r="H65" s="647"/>
      <c r="I65" s="647"/>
      <c r="J65" s="647"/>
      <c r="K65" s="647"/>
      <c r="L65" s="647"/>
      <c r="M65" s="647"/>
      <c r="N65" s="647"/>
      <c r="O65" s="647"/>
      <c r="P65" s="647"/>
      <c r="Q65" s="647"/>
      <c r="R65" s="647"/>
      <c r="S65" s="647"/>
      <c r="T65" s="647"/>
      <c r="U65" s="16"/>
      <c r="V65" s="16"/>
      <c r="W65" s="16"/>
      <c r="X65" s="16"/>
      <c r="Y65" s="16"/>
      <c r="Z65" s="16"/>
      <c r="AA65" s="16"/>
      <c r="AB65" s="16"/>
      <c r="AC65" s="16"/>
    </row>
    <row r="66" ht="12.75" customHeight="1" spans="1:29" x14ac:dyDescent="0.25">
      <c r="A66" s="16"/>
      <c r="B66" s="16"/>
      <c r="C66" s="16"/>
      <c r="D66" s="16"/>
      <c r="E66" s="16"/>
      <c r="F66" s="16"/>
      <c r="G66" s="16"/>
      <c r="H66" s="647"/>
      <c r="I66" s="647"/>
      <c r="J66" s="647"/>
      <c r="K66" s="647"/>
      <c r="L66" s="647"/>
      <c r="M66" s="647"/>
      <c r="N66" s="647"/>
      <c r="O66" s="647"/>
      <c r="P66" s="647"/>
      <c r="Q66" s="647"/>
      <c r="R66" s="647"/>
      <c r="S66" s="647"/>
      <c r="T66" s="647"/>
      <c r="U66" s="16"/>
      <c r="V66" s="16"/>
      <c r="W66" s="16"/>
      <c r="X66" s="16"/>
      <c r="Y66" s="16"/>
      <c r="Z66" s="16"/>
      <c r="AA66" s="16"/>
      <c r="AB66" s="16"/>
      <c r="AC66" s="16"/>
    </row>
    <row r="67" ht="12.75" customHeight="1" spans="1:29" x14ac:dyDescent="0.25">
      <c r="A67" s="16"/>
      <c r="B67" s="16"/>
      <c r="C67" s="16"/>
      <c r="D67" s="16"/>
      <c r="E67" s="16"/>
      <c r="F67" s="16"/>
      <c r="G67" s="16"/>
      <c r="H67" s="647"/>
      <c r="I67" s="647"/>
      <c r="J67" s="647"/>
      <c r="K67" s="647"/>
      <c r="L67" s="647"/>
      <c r="M67" s="647"/>
      <c r="N67" s="647"/>
      <c r="O67" s="647"/>
      <c r="P67" s="647"/>
      <c r="Q67" s="647"/>
      <c r="R67" s="647"/>
      <c r="S67" s="647"/>
      <c r="T67" s="647"/>
      <c r="U67" s="16"/>
      <c r="V67" s="16"/>
      <c r="W67" s="16"/>
      <c r="X67" s="16"/>
      <c r="Y67" s="16"/>
      <c r="Z67" s="16"/>
      <c r="AA67" s="16"/>
      <c r="AB67" s="16"/>
      <c r="AC67" s="16"/>
    </row>
    <row r="68" ht="12.75" customHeight="1" spans="1:29" x14ac:dyDescent="0.25">
      <c r="A68" s="16"/>
      <c r="B68" s="16"/>
      <c r="C68" s="16"/>
      <c r="D68" s="16"/>
      <c r="E68" s="16"/>
      <c r="F68" s="16"/>
      <c r="G68" s="16"/>
      <c r="H68" s="647"/>
      <c r="I68" s="647"/>
      <c r="J68" s="647"/>
      <c r="K68" s="647"/>
      <c r="L68" s="647"/>
      <c r="M68" s="647"/>
      <c r="N68" s="647"/>
      <c r="O68" s="647"/>
      <c r="P68" s="647"/>
      <c r="Q68" s="647"/>
      <c r="R68" s="647"/>
      <c r="S68" s="647"/>
      <c r="T68" s="647"/>
      <c r="U68" s="16"/>
      <c r="V68" s="16"/>
      <c r="W68" s="16"/>
      <c r="X68" s="16"/>
      <c r="Y68" s="16"/>
      <c r="Z68" s="16"/>
      <c r="AA68" s="16"/>
      <c r="AB68" s="16"/>
      <c r="AC68" s="16"/>
    </row>
    <row r="69" ht="12.75" customHeight="1" spans="1:29" x14ac:dyDescent="0.25">
      <c r="A69" s="16"/>
      <c r="B69" s="16"/>
      <c r="C69" s="16"/>
      <c r="D69" s="16"/>
      <c r="E69" s="16"/>
      <c r="F69" s="16"/>
      <c r="G69" s="16"/>
      <c r="H69" s="647"/>
      <c r="I69" s="647"/>
      <c r="J69" s="647"/>
      <c r="K69" s="647"/>
      <c r="L69" s="647"/>
      <c r="M69" s="647"/>
      <c r="N69" s="647"/>
      <c r="O69" s="647"/>
      <c r="P69" s="647"/>
      <c r="Q69" s="647"/>
      <c r="R69" s="647"/>
      <c r="S69" s="647"/>
      <c r="T69" s="647"/>
      <c r="U69" s="16"/>
      <c r="V69" s="16"/>
      <c r="W69" s="16"/>
      <c r="X69" s="16"/>
      <c r="Y69" s="16"/>
      <c r="Z69" s="16"/>
      <c r="AA69" s="16"/>
      <c r="AB69" s="16"/>
      <c r="AC69" s="16"/>
    </row>
    <row r="70" ht="12.75" customHeight="1" spans="1:29" x14ac:dyDescent="0.25">
      <c r="A70" s="16"/>
      <c r="B70" s="16"/>
      <c r="C70" s="16"/>
      <c r="D70" s="16"/>
      <c r="E70" s="16"/>
      <c r="F70" s="16"/>
      <c r="G70" s="16"/>
      <c r="H70" s="647"/>
      <c r="I70" s="647"/>
      <c r="J70" s="647"/>
      <c r="K70" s="647"/>
      <c r="L70" s="647"/>
      <c r="M70" s="647"/>
      <c r="N70" s="647"/>
      <c r="O70" s="647"/>
      <c r="P70" s="647"/>
      <c r="Q70" s="647"/>
      <c r="R70" s="647"/>
      <c r="S70" s="647"/>
      <c r="T70" s="647"/>
      <c r="U70" s="16"/>
      <c r="V70" s="16"/>
      <c r="W70" s="16"/>
      <c r="X70" s="16"/>
      <c r="Y70" s="16"/>
      <c r="Z70" s="16"/>
      <c r="AA70" s="16"/>
      <c r="AB70" s="16"/>
      <c r="AC70" s="16"/>
    </row>
    <row r="71" ht="12.75" customHeight="1" spans="1:29" x14ac:dyDescent="0.25">
      <c r="A71" s="16"/>
      <c r="B71" s="16"/>
      <c r="C71" s="16"/>
      <c r="D71" s="16"/>
      <c r="E71" s="16"/>
      <c r="F71" s="16"/>
      <c r="G71" s="16"/>
      <c r="H71" s="647"/>
      <c r="I71" s="647"/>
      <c r="J71" s="647"/>
      <c r="K71" s="647"/>
      <c r="L71" s="647"/>
      <c r="M71" s="647"/>
      <c r="N71" s="647"/>
      <c r="O71" s="647"/>
      <c r="P71" s="647"/>
      <c r="Q71" s="647"/>
      <c r="R71" s="647"/>
      <c r="S71" s="647"/>
      <c r="T71" s="647"/>
      <c r="U71" s="16"/>
      <c r="V71" s="16"/>
      <c r="W71" s="16"/>
      <c r="X71" s="16"/>
      <c r="Y71" s="16"/>
      <c r="Z71" s="16"/>
      <c r="AA71" s="16"/>
      <c r="AB71" s="16"/>
      <c r="AC71" s="16"/>
    </row>
    <row r="72" ht="12.75" customHeight="1" spans="1:29" x14ac:dyDescent="0.25">
      <c r="A72" s="16"/>
      <c r="B72" s="16"/>
      <c r="C72" s="16"/>
      <c r="D72" s="16"/>
      <c r="E72" s="16"/>
      <c r="F72" s="16"/>
      <c r="G72" s="16"/>
      <c r="H72" s="647"/>
      <c r="I72" s="647"/>
      <c r="J72" s="647"/>
      <c r="K72" s="647"/>
      <c r="L72" s="647"/>
      <c r="M72" s="647"/>
      <c r="N72" s="647"/>
      <c r="O72" s="647"/>
      <c r="P72" s="647"/>
      <c r="Q72" s="647"/>
      <c r="R72" s="647"/>
      <c r="S72" s="647"/>
      <c r="T72" s="647"/>
      <c r="U72" s="16"/>
      <c r="V72" s="16"/>
      <c r="W72" s="16"/>
      <c r="X72" s="16"/>
      <c r="Y72" s="16"/>
      <c r="Z72" s="16"/>
      <c r="AA72" s="16"/>
      <c r="AB72" s="16"/>
      <c r="AC72" s="16"/>
    </row>
    <row r="73" ht="12.75" customHeight="1" spans="1:29" x14ac:dyDescent="0.25">
      <c r="A73" s="16"/>
      <c r="B73" s="16"/>
      <c r="C73" s="16"/>
      <c r="D73" s="16"/>
      <c r="E73" s="16"/>
      <c r="F73" s="16"/>
      <c r="G73" s="16"/>
      <c r="H73" s="647"/>
      <c r="I73" s="647"/>
      <c r="J73" s="647"/>
      <c r="K73" s="647"/>
      <c r="L73" s="647"/>
      <c r="M73" s="647"/>
      <c r="N73" s="647"/>
      <c r="O73" s="647"/>
      <c r="P73" s="647"/>
      <c r="Q73" s="647"/>
      <c r="R73" s="647"/>
      <c r="S73" s="647"/>
      <c r="T73" s="647"/>
      <c r="U73" s="16"/>
      <c r="V73" s="16"/>
      <c r="W73" s="16"/>
      <c r="X73" s="16"/>
      <c r="Y73" s="16"/>
      <c r="Z73" s="16"/>
      <c r="AA73" s="16"/>
      <c r="AB73" s="16"/>
      <c r="AC73" s="16"/>
    </row>
    <row r="74" ht="12.75" customHeight="1" spans="1:29" x14ac:dyDescent="0.25">
      <c r="A74" s="16"/>
      <c r="B74" s="16"/>
      <c r="C74" s="16"/>
      <c r="D74" s="16"/>
      <c r="E74" s="16"/>
      <c r="F74" s="16"/>
      <c r="G74" s="16"/>
      <c r="H74" s="647"/>
      <c r="I74" s="647"/>
      <c r="J74" s="647"/>
      <c r="K74" s="647"/>
      <c r="L74" s="647"/>
      <c r="M74" s="647"/>
      <c r="N74" s="647"/>
      <c r="O74" s="647"/>
      <c r="P74" s="647"/>
      <c r="Q74" s="647"/>
      <c r="R74" s="647"/>
      <c r="S74" s="647"/>
      <c r="T74" s="647"/>
      <c r="U74" s="16"/>
      <c r="V74" s="16"/>
      <c r="W74" s="16"/>
      <c r="X74" s="16"/>
      <c r="Y74" s="16"/>
      <c r="Z74" s="16"/>
      <c r="AA74" s="16"/>
      <c r="AB74" s="16"/>
      <c r="AC74" s="16"/>
    </row>
    <row r="75" ht="12.75" customHeight="1" spans="1:29" x14ac:dyDescent="0.25">
      <c r="A75" s="16"/>
      <c r="B75" s="16"/>
      <c r="C75" s="16"/>
      <c r="D75" s="16"/>
      <c r="E75" s="16"/>
      <c r="F75" s="16"/>
      <c r="G75" s="16"/>
      <c r="H75" s="647"/>
      <c r="I75" s="647"/>
      <c r="J75" s="647"/>
      <c r="K75" s="647"/>
      <c r="L75" s="647"/>
      <c r="M75" s="647"/>
      <c r="N75" s="647"/>
      <c r="O75" s="647"/>
      <c r="P75" s="647"/>
      <c r="Q75" s="647"/>
      <c r="R75" s="647"/>
      <c r="S75" s="647"/>
      <c r="T75" s="647"/>
      <c r="U75" s="16"/>
      <c r="V75" s="16"/>
      <c r="W75" s="16"/>
      <c r="X75" s="16"/>
      <c r="Y75" s="16"/>
      <c r="Z75" s="16"/>
      <c r="AA75" s="16"/>
      <c r="AB75" s="16"/>
      <c r="AC75" s="16"/>
    </row>
    <row r="76" ht="12.75" customHeight="1" spans="1:29" x14ac:dyDescent="0.25">
      <c r="A76" s="16"/>
      <c r="B76" s="16"/>
      <c r="C76" s="16"/>
      <c r="D76" s="16"/>
      <c r="E76" s="16"/>
      <c r="F76" s="16"/>
      <c r="G76" s="16"/>
      <c r="H76" s="647"/>
      <c r="I76" s="647"/>
      <c r="J76" s="647"/>
      <c r="K76" s="647"/>
      <c r="L76" s="647"/>
      <c r="M76" s="647"/>
      <c r="N76" s="647"/>
      <c r="O76" s="647"/>
      <c r="P76" s="647"/>
      <c r="Q76" s="647"/>
      <c r="R76" s="647"/>
      <c r="S76" s="647"/>
      <c r="T76" s="647"/>
      <c r="U76" s="16"/>
      <c r="V76" s="16"/>
      <c r="W76" s="16"/>
      <c r="X76" s="16"/>
      <c r="Y76" s="16"/>
      <c r="Z76" s="16"/>
      <c r="AA76" s="16"/>
      <c r="AB76" s="16"/>
      <c r="AC76" s="16"/>
    </row>
    <row r="77" ht="12.75" customHeight="1" spans="1:29" x14ac:dyDescent="0.25">
      <c r="A77" s="16"/>
      <c r="B77" s="16"/>
      <c r="C77" s="16"/>
      <c r="D77" s="16"/>
      <c r="E77" s="16"/>
      <c r="F77" s="16"/>
      <c r="G77" s="16"/>
      <c r="H77" s="647"/>
      <c r="I77" s="647"/>
      <c r="J77" s="647"/>
      <c r="K77" s="647"/>
      <c r="L77" s="647"/>
      <c r="M77" s="647"/>
      <c r="N77" s="647"/>
      <c r="O77" s="647"/>
      <c r="P77" s="647"/>
      <c r="Q77" s="647"/>
      <c r="R77" s="647"/>
      <c r="S77" s="647"/>
      <c r="T77" s="647"/>
      <c r="U77" s="16"/>
      <c r="V77" s="16"/>
      <c r="W77" s="16"/>
      <c r="X77" s="16"/>
      <c r="Y77" s="16"/>
      <c r="Z77" s="16"/>
      <c r="AA77" s="16"/>
      <c r="AB77" s="16"/>
      <c r="AC77" s="16"/>
    </row>
    <row r="78" ht="12.75" customHeight="1" spans="1:29" x14ac:dyDescent="0.25">
      <c r="A78" s="16"/>
      <c r="B78" s="16"/>
      <c r="C78" s="16"/>
      <c r="D78" s="16"/>
      <c r="E78" s="16"/>
      <c r="F78" s="16"/>
      <c r="G78" s="16"/>
      <c r="H78" s="647"/>
      <c r="I78" s="647"/>
      <c r="J78" s="647"/>
      <c r="K78" s="647"/>
      <c r="L78" s="647"/>
      <c r="M78" s="647"/>
      <c r="N78" s="647"/>
      <c r="O78" s="647"/>
      <c r="P78" s="647"/>
      <c r="Q78" s="647"/>
      <c r="R78" s="647"/>
      <c r="S78" s="647"/>
      <c r="T78" s="647"/>
      <c r="U78" s="16"/>
      <c r="V78" s="16"/>
      <c r="W78" s="16"/>
      <c r="X78" s="16"/>
      <c r="Y78" s="16"/>
      <c r="Z78" s="16"/>
      <c r="AA78" s="16"/>
      <c r="AB78" s="16"/>
      <c r="AC78" s="16"/>
    </row>
    <row r="79" ht="12.75" customHeight="1" spans="1:29" x14ac:dyDescent="0.25">
      <c r="A79" s="16"/>
      <c r="B79" s="16"/>
      <c r="C79" s="16"/>
      <c r="D79" s="16"/>
      <c r="E79" s="16"/>
      <c r="F79" s="16"/>
      <c r="G79" s="16"/>
      <c r="H79" s="647"/>
      <c r="I79" s="647"/>
      <c r="J79" s="647"/>
      <c r="K79" s="647"/>
      <c r="L79" s="647"/>
      <c r="M79" s="647"/>
      <c r="N79" s="647"/>
      <c r="O79" s="647"/>
      <c r="P79" s="647"/>
      <c r="Q79" s="647"/>
      <c r="R79" s="647"/>
      <c r="S79" s="647"/>
      <c r="T79" s="647"/>
      <c r="U79" s="16"/>
      <c r="V79" s="16"/>
      <c r="W79" s="16"/>
      <c r="X79" s="16"/>
      <c r="Y79" s="16"/>
      <c r="Z79" s="16"/>
      <c r="AA79" s="16"/>
      <c r="AB79" s="16"/>
      <c r="AC79" s="16"/>
    </row>
    <row r="80" ht="12.75" customHeight="1" spans="1:29" x14ac:dyDescent="0.25">
      <c r="A80" s="16"/>
      <c r="B80" s="16"/>
      <c r="C80" s="16"/>
      <c r="D80" s="16"/>
      <c r="E80" s="16"/>
      <c r="F80" s="16"/>
      <c r="G80" s="16"/>
      <c r="H80" s="647"/>
      <c r="I80" s="647"/>
      <c r="J80" s="647"/>
      <c r="K80" s="647"/>
      <c r="L80" s="647"/>
      <c r="M80" s="647"/>
      <c r="N80" s="647"/>
      <c r="O80" s="647"/>
      <c r="P80" s="647"/>
      <c r="Q80" s="647"/>
      <c r="R80" s="647"/>
      <c r="S80" s="647"/>
      <c r="T80" s="647"/>
      <c r="U80" s="16"/>
      <c r="V80" s="16"/>
      <c r="W80" s="16"/>
      <c r="X80" s="16"/>
      <c r="Y80" s="16"/>
      <c r="Z80" s="16"/>
      <c r="AA80" s="16"/>
      <c r="AB80" s="16"/>
      <c r="AC80" s="16"/>
    </row>
    <row r="81" ht="12.75" customHeight="1" spans="1:29" x14ac:dyDescent="0.25">
      <c r="A81" s="16"/>
      <c r="B81" s="16"/>
      <c r="C81" s="16"/>
      <c r="D81" s="16"/>
      <c r="E81" s="16"/>
      <c r="F81" s="16"/>
      <c r="G81" s="16"/>
      <c r="H81" s="647"/>
      <c r="I81" s="647"/>
      <c r="J81" s="647"/>
      <c r="K81" s="647"/>
      <c r="L81" s="647"/>
      <c r="M81" s="647"/>
      <c r="N81" s="647"/>
      <c r="O81" s="647"/>
      <c r="P81" s="647"/>
      <c r="Q81" s="647"/>
      <c r="R81" s="647"/>
      <c r="S81" s="647"/>
      <c r="T81" s="647"/>
      <c r="U81" s="16"/>
      <c r="V81" s="16"/>
      <c r="W81" s="16"/>
      <c r="X81" s="16"/>
      <c r="Y81" s="16"/>
      <c r="Z81" s="16"/>
      <c r="AA81" s="16"/>
      <c r="AB81" s="16"/>
      <c r="AC81" s="16"/>
    </row>
    <row r="82" ht="12.75" customHeight="1" spans="1:29" x14ac:dyDescent="0.25">
      <c r="A82" s="16"/>
      <c r="B82" s="16"/>
      <c r="C82" s="16"/>
      <c r="D82" s="16"/>
      <c r="E82" s="16"/>
      <c r="F82" s="16"/>
      <c r="G82" s="16"/>
      <c r="H82" s="647"/>
      <c r="I82" s="647"/>
      <c r="J82" s="647"/>
      <c r="K82" s="647"/>
      <c r="L82" s="647"/>
      <c r="M82" s="647"/>
      <c r="N82" s="647"/>
      <c r="O82" s="647"/>
      <c r="P82" s="647"/>
      <c r="Q82" s="647"/>
      <c r="R82" s="647"/>
      <c r="S82" s="647"/>
      <c r="T82" s="647"/>
      <c r="U82" s="16"/>
      <c r="V82" s="16"/>
      <c r="W82" s="16"/>
      <c r="X82" s="16"/>
      <c r="Y82" s="16"/>
      <c r="Z82" s="16"/>
      <c r="AA82" s="16"/>
      <c r="AB82" s="16"/>
      <c r="AC82" s="16"/>
    </row>
    <row r="83" ht="12.75" customHeight="1" spans="1:29" x14ac:dyDescent="0.25">
      <c r="A83" s="16"/>
      <c r="B83" s="16"/>
      <c r="C83" s="16"/>
      <c r="D83" s="16"/>
      <c r="E83" s="16"/>
      <c r="F83" s="16"/>
      <c r="G83" s="16"/>
      <c r="H83" s="647"/>
      <c r="I83" s="647"/>
      <c r="J83" s="647"/>
      <c r="K83" s="647"/>
      <c r="L83" s="647"/>
      <c r="M83" s="647"/>
      <c r="N83" s="647"/>
      <c r="O83" s="647"/>
      <c r="P83" s="647"/>
      <c r="Q83" s="647"/>
      <c r="R83" s="647"/>
      <c r="S83" s="647"/>
      <c r="T83" s="647"/>
      <c r="U83" s="16"/>
      <c r="V83" s="16"/>
      <c r="W83" s="16"/>
      <c r="X83" s="16"/>
      <c r="Y83" s="16"/>
      <c r="Z83" s="16"/>
      <c r="AA83" s="16"/>
      <c r="AB83" s="16"/>
      <c r="AC83" s="16"/>
    </row>
    <row r="84" ht="12.75" customHeight="1" spans="1:29" x14ac:dyDescent="0.25">
      <c r="A84" s="16"/>
      <c r="B84" s="16"/>
      <c r="C84" s="16"/>
      <c r="D84" s="16"/>
      <c r="E84" s="16"/>
      <c r="F84" s="16"/>
      <c r="G84" s="16"/>
      <c r="H84" s="647"/>
      <c r="I84" s="647"/>
      <c r="J84" s="647"/>
      <c r="K84" s="647"/>
      <c r="L84" s="647"/>
      <c r="M84" s="647"/>
      <c r="N84" s="647"/>
      <c r="O84" s="647"/>
      <c r="P84" s="647"/>
      <c r="Q84" s="647"/>
      <c r="R84" s="647"/>
      <c r="S84" s="647"/>
      <c r="T84" s="647"/>
      <c r="U84" s="16"/>
      <c r="V84" s="16"/>
      <c r="W84" s="16"/>
      <c r="X84" s="16"/>
      <c r="Y84" s="16"/>
      <c r="Z84" s="16"/>
      <c r="AA84" s="16"/>
      <c r="AB84" s="16"/>
      <c r="AC84" s="16"/>
    </row>
    <row r="85" ht="12.75" customHeight="1" spans="1:29" x14ac:dyDescent="0.25">
      <c r="A85" s="16"/>
      <c r="B85" s="16"/>
      <c r="C85" s="16"/>
      <c r="D85" s="16"/>
      <c r="E85" s="16"/>
      <c r="F85" s="16"/>
      <c r="G85" s="16"/>
      <c r="H85" s="647"/>
      <c r="I85" s="647"/>
      <c r="J85" s="647"/>
      <c r="K85" s="647"/>
      <c r="L85" s="647"/>
      <c r="M85" s="647"/>
      <c r="N85" s="647"/>
      <c r="O85" s="647"/>
      <c r="P85" s="647"/>
      <c r="Q85" s="647"/>
      <c r="R85" s="647"/>
      <c r="S85" s="647"/>
      <c r="T85" s="647"/>
      <c r="U85" s="16"/>
      <c r="V85" s="16"/>
      <c r="W85" s="16"/>
      <c r="X85" s="16"/>
      <c r="Y85" s="16"/>
      <c r="Z85" s="16"/>
      <c r="AA85" s="16"/>
      <c r="AB85" s="16"/>
      <c r="AC85" s="16"/>
    </row>
    <row r="86" ht="12.75" customHeight="1" spans="1:29" x14ac:dyDescent="0.25">
      <c r="A86" s="16"/>
      <c r="B86" s="16"/>
      <c r="C86" s="16"/>
      <c r="D86" s="16"/>
      <c r="E86" s="16"/>
      <c r="F86" s="16"/>
      <c r="G86" s="16"/>
      <c r="H86" s="647"/>
      <c r="I86" s="647"/>
      <c r="J86" s="647"/>
      <c r="K86" s="647"/>
      <c r="L86" s="647"/>
      <c r="M86" s="647"/>
      <c r="N86" s="647"/>
      <c r="O86" s="647"/>
      <c r="P86" s="647"/>
      <c r="Q86" s="647"/>
      <c r="R86" s="647"/>
      <c r="S86" s="647"/>
      <c r="T86" s="647"/>
      <c r="U86" s="16"/>
      <c r="V86" s="16"/>
      <c r="W86" s="16"/>
      <c r="X86" s="16"/>
      <c r="Y86" s="16"/>
      <c r="Z86" s="16"/>
      <c r="AA86" s="16"/>
      <c r="AB86" s="16"/>
      <c r="AC86" s="16"/>
    </row>
    <row r="87" ht="12.75" customHeight="1" spans="1:29" x14ac:dyDescent="0.25">
      <c r="A87" s="16"/>
      <c r="B87" s="16"/>
      <c r="C87" s="16"/>
      <c r="D87" s="16"/>
      <c r="E87" s="16"/>
      <c r="F87" s="16"/>
      <c r="G87" s="16"/>
      <c r="H87" s="647"/>
      <c r="I87" s="647"/>
      <c r="J87" s="647"/>
      <c r="K87" s="647"/>
      <c r="L87" s="647"/>
      <c r="M87" s="647"/>
      <c r="N87" s="647"/>
      <c r="O87" s="647"/>
      <c r="P87" s="647"/>
      <c r="Q87" s="647"/>
      <c r="R87" s="647"/>
      <c r="S87" s="647"/>
      <c r="T87" s="647"/>
      <c r="U87" s="16"/>
      <c r="V87" s="16"/>
      <c r="W87" s="16"/>
      <c r="X87" s="16"/>
      <c r="Y87" s="16"/>
      <c r="Z87" s="16"/>
      <c r="AA87" s="16"/>
      <c r="AB87" s="16"/>
      <c r="AC87" s="16"/>
    </row>
    <row r="88" ht="12.75" customHeight="1" spans="1:29" x14ac:dyDescent="0.25">
      <c r="A88" s="16"/>
      <c r="B88" s="16"/>
      <c r="C88" s="16"/>
      <c r="D88" s="16"/>
      <c r="E88" s="16"/>
      <c r="F88" s="16"/>
      <c r="G88" s="16"/>
      <c r="H88" s="647"/>
      <c r="I88" s="647"/>
      <c r="J88" s="647"/>
      <c r="K88" s="647"/>
      <c r="L88" s="647"/>
      <c r="M88" s="647"/>
      <c r="N88" s="647"/>
      <c r="O88" s="647"/>
      <c r="P88" s="647"/>
      <c r="Q88" s="647"/>
      <c r="R88" s="647"/>
      <c r="S88" s="647"/>
      <c r="T88" s="647"/>
      <c r="U88" s="16"/>
      <c r="V88" s="16"/>
      <c r="W88" s="16"/>
      <c r="X88" s="16"/>
      <c r="Y88" s="16"/>
      <c r="Z88" s="16"/>
      <c r="AA88" s="16"/>
      <c r="AB88" s="16"/>
      <c r="AC88" s="16"/>
    </row>
    <row r="89" ht="12.75" customHeight="1" spans="1:29" x14ac:dyDescent="0.25">
      <c r="A89" s="16"/>
      <c r="B89" s="16"/>
      <c r="C89" s="16"/>
      <c r="D89" s="16"/>
      <c r="E89" s="16"/>
      <c r="F89" s="16"/>
      <c r="G89" s="16"/>
      <c r="H89" s="647"/>
      <c r="I89" s="647"/>
      <c r="J89" s="647"/>
      <c r="K89" s="647"/>
      <c r="L89" s="647"/>
      <c r="M89" s="647"/>
      <c r="N89" s="647"/>
      <c r="O89" s="647"/>
      <c r="P89" s="647"/>
      <c r="Q89" s="647"/>
      <c r="R89" s="647"/>
      <c r="S89" s="647"/>
      <c r="T89" s="647"/>
      <c r="U89" s="16"/>
      <c r="V89" s="16"/>
      <c r="W89" s="16"/>
      <c r="X89" s="16"/>
      <c r="Y89" s="16"/>
      <c r="Z89" s="16"/>
      <c r="AA89" s="16"/>
      <c r="AB89" s="16"/>
      <c r="AC89" s="16"/>
    </row>
    <row r="90" ht="12.75" customHeight="1" spans="1:29" x14ac:dyDescent="0.25">
      <c r="A90" s="16"/>
      <c r="B90" s="16"/>
      <c r="C90" s="16"/>
      <c r="D90" s="16"/>
      <c r="E90" s="16"/>
      <c r="F90" s="16"/>
      <c r="G90" s="16"/>
      <c r="H90" s="647"/>
      <c r="I90" s="647"/>
      <c r="J90" s="647"/>
      <c r="K90" s="647"/>
      <c r="L90" s="647"/>
      <c r="M90" s="647"/>
      <c r="N90" s="647"/>
      <c r="O90" s="647"/>
      <c r="P90" s="647"/>
      <c r="Q90" s="647"/>
      <c r="R90" s="647"/>
      <c r="S90" s="647"/>
      <c r="T90" s="647"/>
      <c r="U90" s="16"/>
      <c r="V90" s="16"/>
      <c r="W90" s="16"/>
      <c r="X90" s="16"/>
      <c r="Y90" s="16"/>
      <c r="Z90" s="16"/>
      <c r="AA90" s="16"/>
      <c r="AB90" s="16"/>
      <c r="AC90" s="16"/>
    </row>
    <row r="91" ht="12.75" customHeight="1" spans="1:29" x14ac:dyDescent="0.25">
      <c r="A91" s="16"/>
      <c r="B91" s="16"/>
      <c r="C91" s="16"/>
      <c r="D91" s="16"/>
      <c r="E91" s="16"/>
      <c r="F91" s="16"/>
      <c r="G91" s="16"/>
      <c r="H91" s="647"/>
      <c r="I91" s="647"/>
      <c r="J91" s="647"/>
      <c r="K91" s="647"/>
      <c r="L91" s="647"/>
      <c r="M91" s="647"/>
      <c r="N91" s="647"/>
      <c r="O91" s="647"/>
      <c r="P91" s="647"/>
      <c r="Q91" s="647"/>
      <c r="R91" s="647"/>
      <c r="S91" s="647"/>
      <c r="T91" s="647"/>
      <c r="U91" s="16"/>
      <c r="V91" s="16"/>
      <c r="W91" s="16"/>
      <c r="X91" s="16"/>
      <c r="Y91" s="16"/>
      <c r="Z91" s="16"/>
      <c r="AA91" s="16"/>
      <c r="AB91" s="16"/>
      <c r="AC91" s="16"/>
    </row>
    <row r="92" ht="12.75" customHeight="1" spans="1:29" x14ac:dyDescent="0.25">
      <c r="A92" s="16"/>
      <c r="B92" s="16"/>
      <c r="C92" s="16"/>
      <c r="D92" s="16"/>
      <c r="E92" s="16"/>
      <c r="F92" s="16"/>
      <c r="G92" s="16"/>
      <c r="H92" s="647"/>
      <c r="I92" s="647"/>
      <c r="J92" s="647"/>
      <c r="K92" s="647"/>
      <c r="L92" s="647"/>
      <c r="M92" s="647"/>
      <c r="N92" s="647"/>
      <c r="O92" s="647"/>
      <c r="P92" s="647"/>
      <c r="Q92" s="647"/>
      <c r="R92" s="647"/>
      <c r="S92" s="647"/>
      <c r="T92" s="647"/>
      <c r="U92" s="16"/>
      <c r="V92" s="16"/>
      <c r="W92" s="16"/>
      <c r="X92" s="16"/>
      <c r="Y92" s="16"/>
      <c r="Z92" s="16"/>
      <c r="AA92" s="16"/>
      <c r="AB92" s="16"/>
      <c r="AC92" s="16"/>
    </row>
    <row r="93" ht="12.75" customHeight="1" spans="1:29" x14ac:dyDescent="0.25">
      <c r="A93" s="16"/>
      <c r="B93" s="16"/>
      <c r="C93" s="16"/>
      <c r="D93" s="16"/>
      <c r="E93" s="16"/>
      <c r="F93" s="16"/>
      <c r="G93" s="16"/>
      <c r="H93" s="647"/>
      <c r="I93" s="647"/>
      <c r="J93" s="647"/>
      <c r="K93" s="647"/>
      <c r="L93" s="647"/>
      <c r="M93" s="647"/>
      <c r="N93" s="647"/>
      <c r="O93" s="647"/>
      <c r="P93" s="647"/>
      <c r="Q93" s="647"/>
      <c r="R93" s="647"/>
      <c r="S93" s="647"/>
      <c r="T93" s="647"/>
      <c r="U93" s="16"/>
      <c r="V93" s="16"/>
      <c r="W93" s="16"/>
      <c r="X93" s="16"/>
      <c r="Y93" s="16"/>
      <c r="Z93" s="16"/>
      <c r="AA93" s="16"/>
      <c r="AB93" s="16"/>
      <c r="AC93" s="16"/>
    </row>
    <row r="94" ht="12.75" customHeight="1" spans="1:29" x14ac:dyDescent="0.25">
      <c r="A94" s="16"/>
      <c r="B94" s="16"/>
      <c r="C94" s="16"/>
      <c r="D94" s="16"/>
      <c r="E94" s="16"/>
      <c r="F94" s="16"/>
      <c r="G94" s="16"/>
      <c r="H94" s="647"/>
      <c r="I94" s="647"/>
      <c r="J94" s="647"/>
      <c r="K94" s="647"/>
      <c r="L94" s="647"/>
      <c r="M94" s="647"/>
      <c r="N94" s="647"/>
      <c r="O94" s="647"/>
      <c r="P94" s="647"/>
      <c r="Q94" s="647"/>
      <c r="R94" s="647"/>
      <c r="S94" s="647"/>
      <c r="T94" s="647"/>
      <c r="U94" s="16"/>
      <c r="V94" s="16"/>
      <c r="W94" s="16"/>
      <c r="X94" s="16"/>
      <c r="Y94" s="16"/>
      <c r="Z94" s="16"/>
      <c r="AA94" s="16"/>
      <c r="AB94" s="16"/>
      <c r="AC94" s="16"/>
    </row>
    <row r="95" ht="12.75" customHeight="1" spans="1:29" x14ac:dyDescent="0.25">
      <c r="A95" s="16"/>
      <c r="B95" s="16"/>
      <c r="C95" s="16"/>
      <c r="D95" s="16"/>
      <c r="E95" s="16"/>
      <c r="F95" s="16"/>
      <c r="G95" s="16"/>
      <c r="H95" s="647"/>
      <c r="I95" s="647"/>
      <c r="J95" s="647"/>
      <c r="K95" s="647"/>
      <c r="L95" s="647"/>
      <c r="M95" s="647"/>
      <c r="N95" s="647"/>
      <c r="O95" s="647"/>
      <c r="P95" s="647"/>
      <c r="Q95" s="647"/>
      <c r="R95" s="647"/>
      <c r="S95" s="647"/>
      <c r="T95" s="647"/>
      <c r="U95" s="16"/>
      <c r="V95" s="16"/>
      <c r="W95" s="16"/>
      <c r="X95" s="16"/>
      <c r="Y95" s="16"/>
      <c r="Z95" s="16"/>
      <c r="AA95" s="16"/>
      <c r="AB95" s="16"/>
      <c r="AC95" s="16"/>
    </row>
    <row r="96" ht="12.75" customHeight="1" spans="1:29" x14ac:dyDescent="0.25">
      <c r="A96" s="16"/>
      <c r="B96" s="16"/>
      <c r="C96" s="16"/>
      <c r="D96" s="16"/>
      <c r="E96" s="16"/>
      <c r="F96" s="16"/>
      <c r="G96" s="16"/>
      <c r="H96" s="647"/>
      <c r="I96" s="647"/>
      <c r="J96" s="647"/>
      <c r="K96" s="647"/>
      <c r="L96" s="647"/>
      <c r="M96" s="647"/>
      <c r="N96" s="647"/>
      <c r="O96" s="647"/>
      <c r="P96" s="647"/>
      <c r="Q96" s="647"/>
      <c r="R96" s="647"/>
      <c r="S96" s="647"/>
      <c r="T96" s="647"/>
      <c r="U96" s="16"/>
      <c r="V96" s="16"/>
      <c r="W96" s="16"/>
      <c r="X96" s="16"/>
      <c r="Y96" s="16"/>
      <c r="Z96" s="16"/>
      <c r="AA96" s="16"/>
      <c r="AB96" s="16"/>
      <c r="AC96" s="16"/>
    </row>
    <row r="97" ht="12.75" customHeight="1" spans="1:29" x14ac:dyDescent="0.25">
      <c r="A97" s="16"/>
      <c r="B97" s="16"/>
      <c r="C97" s="16"/>
      <c r="D97" s="16"/>
      <c r="E97" s="16"/>
      <c r="F97" s="16"/>
      <c r="G97" s="16"/>
      <c r="H97" s="647"/>
      <c r="I97" s="647"/>
      <c r="J97" s="647"/>
      <c r="K97" s="647"/>
      <c r="L97" s="647"/>
      <c r="M97" s="647"/>
      <c r="N97" s="647"/>
      <c r="O97" s="647"/>
      <c r="P97" s="647"/>
      <c r="Q97" s="647"/>
      <c r="R97" s="647"/>
      <c r="S97" s="647"/>
      <c r="T97" s="647"/>
      <c r="U97" s="16"/>
      <c r="V97" s="16"/>
      <c r="W97" s="16"/>
      <c r="X97" s="16"/>
      <c r="Y97" s="16"/>
      <c r="Z97" s="16"/>
      <c r="AA97" s="16"/>
      <c r="AB97" s="16"/>
      <c r="AC97" s="16"/>
    </row>
    <row r="98" ht="12.75" customHeight="1" spans="1:29" x14ac:dyDescent="0.25">
      <c r="A98" s="16"/>
      <c r="B98" s="16"/>
      <c r="C98" s="16"/>
      <c r="D98" s="16"/>
      <c r="E98" s="16"/>
      <c r="F98" s="16"/>
      <c r="G98" s="16"/>
      <c r="H98" s="647"/>
      <c r="I98" s="647"/>
      <c r="J98" s="647"/>
      <c r="K98" s="647"/>
      <c r="L98" s="647"/>
      <c r="M98" s="647"/>
      <c r="N98" s="647"/>
      <c r="O98" s="647"/>
      <c r="P98" s="647"/>
      <c r="Q98" s="647"/>
      <c r="R98" s="647"/>
      <c r="S98" s="647"/>
      <c r="T98" s="647"/>
      <c r="U98" s="16"/>
      <c r="V98" s="16"/>
      <c r="W98" s="16"/>
      <c r="X98" s="16"/>
      <c r="Y98" s="16"/>
      <c r="Z98" s="16"/>
      <c r="AA98" s="16"/>
      <c r="AB98" s="16"/>
      <c r="AC98" s="16"/>
    </row>
    <row r="99" ht="12.75" customHeight="1" spans="1:29" x14ac:dyDescent="0.25">
      <c r="A99" s="16"/>
      <c r="B99" s="16"/>
      <c r="C99" s="16"/>
      <c r="D99" s="16"/>
      <c r="E99" s="16"/>
      <c r="F99" s="16"/>
      <c r="G99" s="16"/>
      <c r="H99" s="647"/>
      <c r="I99" s="647"/>
      <c r="J99" s="647"/>
      <c r="K99" s="647"/>
      <c r="L99" s="647"/>
      <c r="M99" s="647"/>
      <c r="N99" s="647"/>
      <c r="O99" s="647"/>
      <c r="P99" s="647"/>
      <c r="Q99" s="647"/>
      <c r="R99" s="647"/>
      <c r="S99" s="647"/>
      <c r="T99" s="647"/>
      <c r="U99" s="16"/>
      <c r="V99" s="16"/>
      <c r="W99" s="16"/>
      <c r="X99" s="16"/>
      <c r="Y99" s="16"/>
      <c r="Z99" s="16"/>
      <c r="AA99" s="16"/>
      <c r="AB99" s="16"/>
      <c r="AC99" s="16"/>
    </row>
    <row r="100" ht="12.75" customHeight="1" spans="1:29" x14ac:dyDescent="0.25">
      <c r="A100" s="16"/>
      <c r="B100" s="16"/>
      <c r="C100" s="16"/>
      <c r="D100" s="16"/>
      <c r="E100" s="16"/>
      <c r="F100" s="16"/>
      <c r="G100" s="16"/>
      <c r="H100" s="647"/>
      <c r="I100" s="647"/>
      <c r="J100" s="647"/>
      <c r="K100" s="647"/>
      <c r="L100" s="647"/>
      <c r="M100" s="647"/>
      <c r="N100" s="647"/>
      <c r="O100" s="647"/>
      <c r="P100" s="647"/>
      <c r="Q100" s="647"/>
      <c r="R100" s="647"/>
      <c r="S100" s="647"/>
      <c r="T100" s="647"/>
      <c r="U100" s="16"/>
      <c r="V100" s="16"/>
      <c r="W100" s="16"/>
      <c r="X100" s="16"/>
      <c r="Y100" s="16"/>
      <c r="Z100" s="16"/>
      <c r="AA100" s="16"/>
      <c r="AB100" s="16"/>
      <c r="AC100" s="16"/>
    </row>
    <row r="101" ht="12.75" customHeight="1" spans="1:29" x14ac:dyDescent="0.25">
      <c r="A101" s="16"/>
      <c r="B101" s="16"/>
      <c r="C101" s="16"/>
      <c r="D101" s="16"/>
      <c r="E101" s="16"/>
      <c r="F101" s="16"/>
      <c r="G101" s="16"/>
      <c r="H101" s="647"/>
      <c r="I101" s="647"/>
      <c r="J101" s="647"/>
      <c r="K101" s="647"/>
      <c r="L101" s="647"/>
      <c r="M101" s="647"/>
      <c r="N101" s="647"/>
      <c r="O101" s="647"/>
      <c r="P101" s="647"/>
      <c r="Q101" s="647"/>
      <c r="R101" s="647"/>
      <c r="S101" s="647"/>
      <c r="T101" s="647"/>
      <c r="U101" s="16"/>
      <c r="V101" s="16"/>
      <c r="W101" s="16"/>
      <c r="X101" s="16"/>
      <c r="Y101" s="16"/>
      <c r="Z101" s="16"/>
      <c r="AA101" s="16"/>
      <c r="AB101" s="16"/>
      <c r="AC101" s="16"/>
    </row>
    <row r="102" ht="12.75" customHeight="1" spans="1:29" x14ac:dyDescent="0.25">
      <c r="A102" s="16"/>
      <c r="B102" s="16"/>
      <c r="C102" s="16"/>
      <c r="D102" s="16"/>
      <c r="E102" s="16"/>
      <c r="F102" s="16"/>
      <c r="G102" s="16"/>
      <c r="H102" s="647"/>
      <c r="I102" s="647"/>
      <c r="J102" s="647"/>
      <c r="K102" s="647"/>
      <c r="L102" s="647"/>
      <c r="M102" s="647"/>
      <c r="N102" s="647"/>
      <c r="O102" s="647"/>
      <c r="P102" s="647"/>
      <c r="Q102" s="647"/>
      <c r="R102" s="647"/>
      <c r="S102" s="647"/>
      <c r="T102" s="647"/>
      <c r="U102" s="16"/>
      <c r="V102" s="16"/>
      <c r="W102" s="16"/>
      <c r="X102" s="16"/>
      <c r="Y102" s="16"/>
      <c r="Z102" s="16"/>
      <c r="AA102" s="16"/>
      <c r="AB102" s="16"/>
      <c r="AC102" s="16"/>
    </row>
    <row r="103" ht="12.75" customHeight="1" spans="1:29" x14ac:dyDescent="0.25">
      <c r="A103" s="16"/>
      <c r="B103" s="16"/>
      <c r="C103" s="16"/>
      <c r="D103" s="16"/>
      <c r="E103" s="16"/>
      <c r="F103" s="16"/>
      <c r="G103" s="16"/>
      <c r="H103" s="647"/>
      <c r="I103" s="647"/>
      <c r="J103" s="647"/>
      <c r="K103" s="647"/>
      <c r="L103" s="647"/>
      <c r="M103" s="647"/>
      <c r="N103" s="647"/>
      <c r="O103" s="647"/>
      <c r="P103" s="647"/>
      <c r="Q103" s="647"/>
      <c r="R103" s="647"/>
      <c r="S103" s="647"/>
      <c r="T103" s="647"/>
      <c r="U103" s="16"/>
      <c r="V103" s="16"/>
      <c r="W103" s="16"/>
      <c r="X103" s="16"/>
      <c r="Y103" s="16"/>
      <c r="Z103" s="16"/>
      <c r="AA103" s="16"/>
      <c r="AB103" s="16"/>
      <c r="AC103" s="16"/>
    </row>
    <row r="104" ht="12.75" customHeight="1" spans="1:29" x14ac:dyDescent="0.25">
      <c r="A104" s="16"/>
      <c r="B104" s="16"/>
      <c r="C104" s="16"/>
      <c r="D104" s="16"/>
      <c r="E104" s="16"/>
      <c r="F104" s="16"/>
      <c r="G104" s="16"/>
      <c r="H104" s="647"/>
      <c r="I104" s="647"/>
      <c r="J104" s="647"/>
      <c r="K104" s="647"/>
      <c r="L104" s="647"/>
      <c r="M104" s="647"/>
      <c r="N104" s="647"/>
      <c r="O104" s="647"/>
      <c r="P104" s="647"/>
      <c r="Q104" s="647"/>
      <c r="R104" s="647"/>
      <c r="S104" s="647"/>
      <c r="T104" s="647"/>
      <c r="U104" s="16"/>
      <c r="V104" s="16"/>
      <c r="W104" s="16"/>
      <c r="X104" s="16"/>
      <c r="Y104" s="16"/>
      <c r="Z104" s="16"/>
      <c r="AA104" s="16"/>
      <c r="AB104" s="16"/>
      <c r="AC104" s="16"/>
    </row>
    <row r="105" ht="12.75" customHeight="1" spans="1:29" x14ac:dyDescent="0.25">
      <c r="A105" s="16"/>
      <c r="B105" s="16"/>
      <c r="C105" s="16"/>
      <c r="D105" s="16"/>
      <c r="E105" s="16"/>
      <c r="F105" s="16"/>
      <c r="G105" s="16"/>
      <c r="H105" s="647"/>
      <c r="I105" s="647"/>
      <c r="J105" s="647"/>
      <c r="K105" s="647"/>
      <c r="L105" s="647"/>
      <c r="M105" s="647"/>
      <c r="N105" s="647"/>
      <c r="O105" s="647"/>
      <c r="P105" s="647"/>
      <c r="Q105" s="647"/>
      <c r="R105" s="647"/>
      <c r="S105" s="647"/>
      <c r="T105" s="647"/>
      <c r="U105" s="16"/>
      <c r="V105" s="16"/>
      <c r="W105" s="16"/>
      <c r="X105" s="16"/>
      <c r="Y105" s="16"/>
      <c r="Z105" s="16"/>
      <c r="AA105" s="16"/>
      <c r="AB105" s="16"/>
      <c r="AC105" s="16"/>
    </row>
    <row r="106" ht="12.75" customHeight="1" spans="1:29" x14ac:dyDescent="0.25">
      <c r="A106" s="16"/>
      <c r="B106" s="16"/>
      <c r="C106" s="16"/>
      <c r="D106" s="16"/>
      <c r="E106" s="16"/>
      <c r="F106" s="16"/>
      <c r="G106" s="16"/>
      <c r="H106" s="647"/>
      <c r="I106" s="647"/>
      <c r="J106" s="647"/>
      <c r="K106" s="647"/>
      <c r="L106" s="647"/>
      <c r="M106" s="647"/>
      <c r="N106" s="647"/>
      <c r="O106" s="647"/>
      <c r="P106" s="647"/>
      <c r="Q106" s="647"/>
      <c r="R106" s="647"/>
      <c r="S106" s="647"/>
      <c r="T106" s="647"/>
      <c r="U106" s="16"/>
      <c r="V106" s="16"/>
      <c r="W106" s="16"/>
      <c r="X106" s="16"/>
      <c r="Y106" s="16"/>
      <c r="Z106" s="16"/>
      <c r="AA106" s="16"/>
      <c r="AB106" s="16"/>
      <c r="AC106" s="16"/>
    </row>
    <row r="107" ht="12.75" customHeight="1" spans="1:29" x14ac:dyDescent="0.25">
      <c r="A107" s="16"/>
      <c r="B107" s="16"/>
      <c r="C107" s="16"/>
      <c r="D107" s="16"/>
      <c r="E107" s="16"/>
      <c r="F107" s="16"/>
      <c r="G107" s="16"/>
      <c r="H107" s="647"/>
      <c r="I107" s="647"/>
      <c r="J107" s="647"/>
      <c r="K107" s="647"/>
      <c r="L107" s="647"/>
      <c r="M107" s="647"/>
      <c r="N107" s="647"/>
      <c r="O107" s="647"/>
      <c r="P107" s="647"/>
      <c r="Q107" s="647"/>
      <c r="R107" s="647"/>
      <c r="S107" s="647"/>
      <c r="T107" s="647"/>
      <c r="U107" s="16"/>
      <c r="V107" s="16"/>
      <c r="W107" s="16"/>
      <c r="X107" s="16"/>
      <c r="Y107" s="16"/>
      <c r="Z107" s="16"/>
      <c r="AA107" s="16"/>
      <c r="AB107" s="16"/>
      <c r="AC107" s="16"/>
    </row>
    <row r="108" ht="12.75" customHeight="1" spans="1:29" x14ac:dyDescent="0.25">
      <c r="A108" s="16"/>
      <c r="B108" s="16"/>
      <c r="C108" s="16"/>
      <c r="D108" s="16"/>
      <c r="E108" s="16"/>
      <c r="F108" s="16"/>
      <c r="G108" s="16"/>
      <c r="H108" s="647"/>
      <c r="I108" s="647"/>
      <c r="J108" s="647"/>
      <c r="K108" s="647"/>
      <c r="L108" s="647"/>
      <c r="M108" s="647"/>
      <c r="N108" s="647"/>
      <c r="O108" s="647"/>
      <c r="P108" s="647"/>
      <c r="Q108" s="647"/>
      <c r="R108" s="647"/>
      <c r="S108" s="647"/>
      <c r="T108" s="647"/>
      <c r="U108" s="16"/>
      <c r="V108" s="16"/>
      <c r="W108" s="16"/>
      <c r="X108" s="16"/>
      <c r="Y108" s="16"/>
      <c r="Z108" s="16"/>
      <c r="AA108" s="16"/>
      <c r="AB108" s="16"/>
      <c r="AC108" s="16"/>
    </row>
    <row r="109" ht="12.75" customHeight="1" spans="1:29" x14ac:dyDescent="0.25">
      <c r="A109" s="16"/>
      <c r="B109" s="16"/>
      <c r="C109" s="16"/>
      <c r="D109" s="16"/>
      <c r="E109" s="16"/>
      <c r="F109" s="16"/>
      <c r="G109" s="16"/>
      <c r="H109" s="647"/>
      <c r="I109" s="647"/>
      <c r="J109" s="647"/>
      <c r="K109" s="647"/>
      <c r="L109" s="647"/>
      <c r="M109" s="647"/>
      <c r="N109" s="647"/>
      <c r="O109" s="647"/>
      <c r="P109" s="647"/>
      <c r="Q109" s="647"/>
      <c r="R109" s="647"/>
      <c r="S109" s="647"/>
      <c r="T109" s="647"/>
      <c r="U109" s="16"/>
      <c r="V109" s="16"/>
      <c r="W109" s="16"/>
      <c r="X109" s="16"/>
      <c r="Y109" s="16"/>
      <c r="Z109" s="16"/>
      <c r="AA109" s="16"/>
      <c r="AB109" s="16"/>
      <c r="AC109" s="16"/>
    </row>
    <row r="110" ht="12.75" customHeight="1" spans="1:29" x14ac:dyDescent="0.25">
      <c r="A110" s="16"/>
      <c r="B110" s="16"/>
      <c r="C110" s="16"/>
      <c r="D110" s="16"/>
      <c r="E110" s="16"/>
      <c r="F110" s="16"/>
      <c r="G110" s="16"/>
      <c r="H110" s="647"/>
      <c r="I110" s="647"/>
      <c r="J110" s="647"/>
      <c r="K110" s="647"/>
      <c r="L110" s="647"/>
      <c r="M110" s="647"/>
      <c r="N110" s="647"/>
      <c r="O110" s="647"/>
      <c r="P110" s="647"/>
      <c r="Q110" s="647"/>
      <c r="R110" s="647"/>
      <c r="S110" s="647"/>
      <c r="T110" s="647"/>
      <c r="U110" s="16"/>
      <c r="V110" s="16"/>
      <c r="W110" s="16"/>
      <c r="X110" s="16"/>
      <c r="Y110" s="16"/>
      <c r="Z110" s="16"/>
      <c r="AA110" s="16"/>
      <c r="AB110" s="16"/>
      <c r="AC110" s="16"/>
    </row>
    <row r="111" ht="12.75" customHeight="1" spans="1:29" x14ac:dyDescent="0.25">
      <c r="A111" s="16"/>
      <c r="B111" s="16"/>
      <c r="C111" s="16"/>
      <c r="D111" s="16"/>
      <c r="E111" s="16"/>
      <c r="F111" s="16"/>
      <c r="G111" s="16"/>
      <c r="H111" s="647"/>
      <c r="I111" s="647"/>
      <c r="J111" s="647"/>
      <c r="K111" s="647"/>
      <c r="L111" s="647"/>
      <c r="M111" s="647"/>
      <c r="N111" s="647"/>
      <c r="O111" s="647"/>
      <c r="P111" s="647"/>
      <c r="Q111" s="647"/>
      <c r="R111" s="647"/>
      <c r="S111" s="647"/>
      <c r="T111" s="647"/>
      <c r="U111" s="16"/>
      <c r="V111" s="16"/>
      <c r="W111" s="16"/>
      <c r="X111" s="16"/>
      <c r="Y111" s="16"/>
      <c r="Z111" s="16"/>
      <c r="AA111" s="16"/>
      <c r="AB111" s="16"/>
      <c r="AC111" s="16"/>
    </row>
    <row r="112" ht="12.75" customHeight="1" spans="1:29" x14ac:dyDescent="0.25">
      <c r="A112" s="16"/>
      <c r="B112" s="16"/>
      <c r="C112" s="16"/>
      <c r="D112" s="16"/>
      <c r="E112" s="16"/>
      <c r="F112" s="16"/>
      <c r="G112" s="16"/>
      <c r="H112" s="647"/>
      <c r="I112" s="647"/>
      <c r="J112" s="647"/>
      <c r="K112" s="647"/>
      <c r="L112" s="647"/>
      <c r="M112" s="647"/>
      <c r="N112" s="647"/>
      <c r="O112" s="647"/>
      <c r="P112" s="647"/>
      <c r="Q112" s="647"/>
      <c r="R112" s="647"/>
      <c r="S112" s="647"/>
      <c r="T112" s="647"/>
      <c r="U112" s="16"/>
      <c r="V112" s="16"/>
      <c r="W112" s="16"/>
      <c r="X112" s="16"/>
      <c r="Y112" s="16"/>
      <c r="Z112" s="16"/>
      <c r="AA112" s="16"/>
      <c r="AB112" s="16"/>
      <c r="AC112" s="16"/>
    </row>
    <row r="113" ht="12.75" customHeight="1" spans="1:29" x14ac:dyDescent="0.25">
      <c r="A113" s="16"/>
      <c r="B113" s="16"/>
      <c r="C113" s="16"/>
      <c r="D113" s="16"/>
      <c r="E113" s="16"/>
      <c r="F113" s="16"/>
      <c r="G113" s="16"/>
      <c r="H113" s="647"/>
      <c r="I113" s="647"/>
      <c r="J113" s="647"/>
      <c r="K113" s="647"/>
      <c r="L113" s="647"/>
      <c r="M113" s="647"/>
      <c r="N113" s="647"/>
      <c r="O113" s="647"/>
      <c r="P113" s="647"/>
      <c r="Q113" s="647"/>
      <c r="R113" s="647"/>
      <c r="S113" s="647"/>
      <c r="T113" s="647"/>
      <c r="U113" s="16"/>
      <c r="V113" s="16"/>
      <c r="W113" s="16"/>
      <c r="X113" s="16"/>
      <c r="Y113" s="16"/>
      <c r="Z113" s="16"/>
      <c r="AA113" s="16"/>
      <c r="AB113" s="16"/>
      <c r="AC113" s="16"/>
    </row>
    <row r="114" ht="12.75" customHeight="1" spans="1:29" x14ac:dyDescent="0.25">
      <c r="A114" s="16"/>
      <c r="B114" s="16"/>
      <c r="C114" s="16"/>
      <c r="D114" s="16"/>
      <c r="E114" s="16"/>
      <c r="F114" s="16"/>
      <c r="G114" s="16"/>
      <c r="H114" s="647"/>
      <c r="I114" s="647"/>
      <c r="J114" s="647"/>
      <c r="K114" s="647"/>
      <c r="L114" s="647"/>
      <c r="M114" s="647"/>
      <c r="N114" s="647"/>
      <c r="O114" s="647"/>
      <c r="P114" s="647"/>
      <c r="Q114" s="647"/>
      <c r="R114" s="647"/>
      <c r="S114" s="647"/>
      <c r="T114" s="647"/>
      <c r="U114" s="16"/>
      <c r="V114" s="16"/>
      <c r="W114" s="16"/>
      <c r="X114" s="16"/>
      <c r="Y114" s="16"/>
      <c r="Z114" s="16"/>
      <c r="AA114" s="16"/>
      <c r="AB114" s="16"/>
      <c r="AC114" s="16"/>
    </row>
    <row r="115" ht="12.75" customHeight="1" spans="1:29" x14ac:dyDescent="0.25">
      <c r="A115" s="16"/>
      <c r="B115" s="16"/>
      <c r="C115" s="16"/>
      <c r="D115" s="16"/>
      <c r="E115" s="16"/>
      <c r="F115" s="16"/>
      <c r="G115" s="16"/>
      <c r="H115" s="647"/>
      <c r="I115" s="647"/>
      <c r="J115" s="647"/>
      <c r="K115" s="647"/>
      <c r="L115" s="647"/>
      <c r="M115" s="647"/>
      <c r="N115" s="647"/>
      <c r="O115" s="647"/>
      <c r="P115" s="647"/>
      <c r="Q115" s="647"/>
      <c r="R115" s="647"/>
      <c r="S115" s="647"/>
      <c r="T115" s="647"/>
      <c r="U115" s="16"/>
      <c r="V115" s="16"/>
      <c r="W115" s="16"/>
      <c r="X115" s="16"/>
      <c r="Y115" s="16"/>
      <c r="Z115" s="16"/>
      <c r="AA115" s="16"/>
      <c r="AB115" s="16"/>
      <c r="AC115" s="16"/>
    </row>
    <row r="116" ht="12.75" customHeight="1" spans="1:29" x14ac:dyDescent="0.25">
      <c r="A116" s="16"/>
      <c r="B116" s="16"/>
      <c r="C116" s="16"/>
      <c r="D116" s="16"/>
      <c r="E116" s="16"/>
      <c r="F116" s="16"/>
      <c r="G116" s="16"/>
      <c r="H116" s="647"/>
      <c r="I116" s="647"/>
      <c r="J116" s="647"/>
      <c r="K116" s="647"/>
      <c r="L116" s="647"/>
      <c r="M116" s="647"/>
      <c r="N116" s="647"/>
      <c r="O116" s="647"/>
      <c r="P116" s="647"/>
      <c r="Q116" s="647"/>
      <c r="R116" s="647"/>
      <c r="S116" s="647"/>
      <c r="T116" s="647"/>
      <c r="U116" s="16"/>
      <c r="V116" s="16"/>
      <c r="W116" s="16"/>
      <c r="X116" s="16"/>
      <c r="Y116" s="16"/>
      <c r="Z116" s="16"/>
      <c r="AA116" s="16"/>
      <c r="AB116" s="16"/>
      <c r="AC116" s="16"/>
    </row>
    <row r="117" ht="12.75" customHeight="1" spans="1:29" x14ac:dyDescent="0.25">
      <c r="A117" s="16"/>
      <c r="B117" s="16"/>
      <c r="C117" s="16"/>
      <c r="D117" s="16"/>
      <c r="E117" s="16"/>
      <c r="F117" s="16"/>
      <c r="G117" s="16"/>
      <c r="H117" s="647"/>
      <c r="I117" s="647"/>
      <c r="J117" s="647"/>
      <c r="K117" s="647"/>
      <c r="L117" s="647"/>
      <c r="M117" s="647"/>
      <c r="N117" s="647"/>
      <c r="O117" s="647"/>
      <c r="P117" s="647"/>
      <c r="Q117" s="647"/>
      <c r="R117" s="647"/>
      <c r="S117" s="647"/>
      <c r="T117" s="647"/>
      <c r="U117" s="16"/>
      <c r="V117" s="16"/>
      <c r="W117" s="16"/>
      <c r="X117" s="16"/>
      <c r="Y117" s="16"/>
      <c r="Z117" s="16"/>
      <c r="AA117" s="16"/>
      <c r="AB117" s="16"/>
      <c r="AC117" s="16"/>
    </row>
    <row r="118" ht="12.75" customHeight="1" spans="1:29" x14ac:dyDescent="0.25">
      <c r="A118" s="16"/>
      <c r="B118" s="16"/>
      <c r="C118" s="16"/>
      <c r="D118" s="16"/>
      <c r="E118" s="16"/>
      <c r="F118" s="16"/>
      <c r="G118" s="16"/>
      <c r="H118" s="647"/>
      <c r="I118" s="647"/>
      <c r="J118" s="647"/>
      <c r="K118" s="647"/>
      <c r="L118" s="647"/>
      <c r="M118" s="647"/>
      <c r="N118" s="647"/>
      <c r="O118" s="647"/>
      <c r="P118" s="647"/>
      <c r="Q118" s="647"/>
      <c r="R118" s="647"/>
      <c r="S118" s="647"/>
      <c r="T118" s="647"/>
      <c r="U118" s="16"/>
      <c r="V118" s="16"/>
      <c r="W118" s="16"/>
      <c r="X118" s="16"/>
      <c r="Y118" s="16"/>
      <c r="Z118" s="16"/>
      <c r="AA118" s="16"/>
      <c r="AB118" s="16"/>
      <c r="AC118" s="16"/>
    </row>
    <row r="119" ht="12.75" customHeight="1" spans="1:29" x14ac:dyDescent="0.25">
      <c r="A119" s="16"/>
      <c r="B119" s="16"/>
      <c r="C119" s="16"/>
      <c r="D119" s="16"/>
      <c r="E119" s="16"/>
      <c r="F119" s="16"/>
      <c r="G119" s="16"/>
      <c r="H119" s="647"/>
      <c r="I119" s="647"/>
      <c r="J119" s="647"/>
      <c r="K119" s="647"/>
      <c r="L119" s="647"/>
      <c r="M119" s="647"/>
      <c r="N119" s="647"/>
      <c r="O119" s="647"/>
      <c r="P119" s="647"/>
      <c r="Q119" s="647"/>
      <c r="R119" s="647"/>
      <c r="S119" s="647"/>
      <c r="T119" s="647"/>
      <c r="U119" s="16"/>
      <c r="V119" s="16"/>
      <c r="W119" s="16"/>
      <c r="X119" s="16"/>
      <c r="Y119" s="16"/>
      <c r="Z119" s="16"/>
      <c r="AA119" s="16"/>
      <c r="AB119" s="16"/>
      <c r="AC119" s="16"/>
    </row>
    <row r="120" ht="12.75" customHeight="1" spans="1:29" x14ac:dyDescent="0.25">
      <c r="A120" s="16"/>
      <c r="B120" s="16"/>
      <c r="C120" s="16"/>
      <c r="D120" s="16"/>
      <c r="E120" s="16"/>
      <c r="F120" s="16"/>
      <c r="G120" s="16"/>
      <c r="H120" s="647"/>
      <c r="I120" s="647"/>
      <c r="J120" s="647"/>
      <c r="K120" s="647"/>
      <c r="L120" s="647"/>
      <c r="M120" s="647"/>
      <c r="N120" s="647"/>
      <c r="O120" s="647"/>
      <c r="P120" s="647"/>
      <c r="Q120" s="647"/>
      <c r="R120" s="647"/>
      <c r="S120" s="647"/>
      <c r="T120" s="647"/>
      <c r="U120" s="16"/>
      <c r="V120" s="16"/>
      <c r="W120" s="16"/>
      <c r="X120" s="16"/>
      <c r="Y120" s="16"/>
      <c r="Z120" s="16"/>
      <c r="AA120" s="16"/>
      <c r="AB120" s="16"/>
      <c r="AC120" s="16"/>
    </row>
    <row r="121" ht="12.75" customHeight="1" spans="1:29" x14ac:dyDescent="0.25">
      <c r="A121" s="16"/>
      <c r="B121" s="16"/>
      <c r="C121" s="16"/>
      <c r="D121" s="16"/>
      <c r="E121" s="16"/>
      <c r="F121" s="16"/>
      <c r="G121" s="16"/>
      <c r="H121" s="647"/>
      <c r="I121" s="647"/>
      <c r="J121" s="647"/>
      <c r="K121" s="647"/>
      <c r="L121" s="647"/>
      <c r="M121" s="647"/>
      <c r="N121" s="647"/>
      <c r="O121" s="647"/>
      <c r="P121" s="647"/>
      <c r="Q121" s="647"/>
      <c r="R121" s="647"/>
      <c r="S121" s="647"/>
      <c r="T121" s="647"/>
      <c r="U121" s="16"/>
      <c r="V121" s="16"/>
      <c r="W121" s="16"/>
      <c r="X121" s="16"/>
      <c r="Y121" s="16"/>
      <c r="Z121" s="16"/>
      <c r="AA121" s="16"/>
      <c r="AB121" s="16"/>
      <c r="AC121" s="16"/>
    </row>
    <row r="122" ht="12.75" customHeight="1" spans="1:29" x14ac:dyDescent="0.25">
      <c r="A122" s="16"/>
      <c r="B122" s="16"/>
      <c r="C122" s="16"/>
      <c r="D122" s="16"/>
      <c r="E122" s="16"/>
      <c r="F122" s="16"/>
      <c r="G122" s="16"/>
      <c r="H122" s="647"/>
      <c r="I122" s="647"/>
      <c r="J122" s="647"/>
      <c r="K122" s="647"/>
      <c r="L122" s="647"/>
      <c r="M122" s="647"/>
      <c r="N122" s="647"/>
      <c r="O122" s="647"/>
      <c r="P122" s="647"/>
      <c r="Q122" s="647"/>
      <c r="R122" s="647"/>
      <c r="S122" s="647"/>
      <c r="T122" s="647"/>
      <c r="U122" s="16"/>
      <c r="V122" s="16"/>
      <c r="W122" s="16"/>
      <c r="X122" s="16"/>
      <c r="Y122" s="16"/>
      <c r="Z122" s="16"/>
      <c r="AA122" s="16"/>
      <c r="AB122" s="16"/>
      <c r="AC122" s="16"/>
    </row>
    <row r="123" ht="12.75" customHeight="1" spans="1:29" x14ac:dyDescent="0.25">
      <c r="A123" s="16"/>
      <c r="B123" s="16"/>
      <c r="C123" s="16"/>
      <c r="D123" s="16"/>
      <c r="E123" s="16"/>
      <c r="F123" s="16"/>
      <c r="G123" s="16"/>
      <c r="H123" s="647"/>
      <c r="I123" s="647"/>
      <c r="J123" s="647"/>
      <c r="K123" s="647"/>
      <c r="L123" s="647"/>
      <c r="M123" s="647"/>
      <c r="N123" s="647"/>
      <c r="O123" s="647"/>
      <c r="P123" s="647"/>
      <c r="Q123" s="647"/>
      <c r="R123" s="647"/>
      <c r="S123" s="647"/>
      <c r="T123" s="647"/>
      <c r="U123" s="16"/>
      <c r="V123" s="16"/>
      <c r="W123" s="16"/>
      <c r="X123" s="16"/>
      <c r="Y123" s="16"/>
      <c r="Z123" s="16"/>
      <c r="AA123" s="16"/>
      <c r="AB123" s="16"/>
      <c r="AC123" s="16"/>
    </row>
    <row r="124" ht="12.75" customHeight="1" spans="1:29" x14ac:dyDescent="0.25">
      <c r="A124" s="16"/>
      <c r="B124" s="16"/>
      <c r="C124" s="16"/>
      <c r="D124" s="16"/>
      <c r="E124" s="16"/>
      <c r="F124" s="16"/>
      <c r="G124" s="16"/>
      <c r="H124" s="647"/>
      <c r="I124" s="647"/>
      <c r="J124" s="647"/>
      <c r="K124" s="647"/>
      <c r="L124" s="647"/>
      <c r="M124" s="647"/>
      <c r="N124" s="647"/>
      <c r="O124" s="647"/>
      <c r="P124" s="647"/>
      <c r="Q124" s="647"/>
      <c r="R124" s="647"/>
      <c r="S124" s="647"/>
      <c r="T124" s="647"/>
      <c r="U124" s="16"/>
      <c r="V124" s="16"/>
      <c r="W124" s="16"/>
      <c r="X124" s="16"/>
      <c r="Y124" s="16"/>
      <c r="Z124" s="16"/>
      <c r="AA124" s="16"/>
      <c r="AB124" s="16"/>
      <c r="AC124" s="16"/>
    </row>
    <row r="125" ht="12.75" customHeight="1" spans="1:29" x14ac:dyDescent="0.25">
      <c r="A125" s="16"/>
      <c r="B125" s="16"/>
      <c r="C125" s="16"/>
      <c r="D125" s="16"/>
      <c r="E125" s="16"/>
      <c r="F125" s="16"/>
      <c r="G125" s="16"/>
      <c r="H125" s="647"/>
      <c r="I125" s="647"/>
      <c r="J125" s="647"/>
      <c r="K125" s="647"/>
      <c r="L125" s="647"/>
      <c r="M125" s="647"/>
      <c r="N125" s="647"/>
      <c r="O125" s="647"/>
      <c r="P125" s="647"/>
      <c r="Q125" s="647"/>
      <c r="R125" s="647"/>
      <c r="S125" s="647"/>
      <c r="T125" s="647"/>
      <c r="U125" s="16"/>
      <c r="V125" s="16"/>
      <c r="W125" s="16"/>
      <c r="X125" s="16"/>
      <c r="Y125" s="16"/>
      <c r="Z125" s="16"/>
      <c r="AA125" s="16"/>
      <c r="AB125" s="16"/>
      <c r="AC125" s="16"/>
    </row>
    <row r="126" ht="12.75" customHeight="1" spans="1:29" x14ac:dyDescent="0.25">
      <c r="A126" s="16"/>
      <c r="B126" s="16"/>
      <c r="C126" s="16"/>
      <c r="D126" s="16"/>
      <c r="E126" s="16"/>
      <c r="F126" s="16"/>
      <c r="G126" s="16"/>
      <c r="H126" s="647"/>
      <c r="I126" s="647"/>
      <c r="J126" s="647"/>
      <c r="K126" s="647"/>
      <c r="L126" s="647"/>
      <c r="M126" s="647"/>
      <c r="N126" s="647"/>
      <c r="O126" s="647"/>
      <c r="P126" s="647"/>
      <c r="Q126" s="647"/>
      <c r="R126" s="647"/>
      <c r="S126" s="647"/>
      <c r="T126" s="647"/>
      <c r="U126" s="16"/>
      <c r="V126" s="16"/>
      <c r="W126" s="16"/>
      <c r="X126" s="16"/>
      <c r="Y126" s="16"/>
      <c r="Z126" s="16"/>
      <c r="AA126" s="16"/>
      <c r="AB126" s="16"/>
      <c r="AC126" s="16"/>
    </row>
    <row r="127" ht="12.75" customHeight="1" spans="1:29" x14ac:dyDescent="0.25">
      <c r="A127" s="16"/>
      <c r="B127" s="16"/>
      <c r="C127" s="16"/>
      <c r="D127" s="16"/>
      <c r="E127" s="16"/>
      <c r="F127" s="16"/>
      <c r="G127" s="16"/>
      <c r="H127" s="647"/>
      <c r="I127" s="647"/>
      <c r="J127" s="647"/>
      <c r="K127" s="647"/>
      <c r="L127" s="647"/>
      <c r="M127" s="647"/>
      <c r="N127" s="647"/>
      <c r="O127" s="647"/>
      <c r="P127" s="647"/>
      <c r="Q127" s="647"/>
      <c r="R127" s="647"/>
      <c r="S127" s="647"/>
      <c r="T127" s="647"/>
      <c r="U127" s="16"/>
      <c r="V127" s="16"/>
      <c r="W127" s="16"/>
      <c r="X127" s="16"/>
      <c r="Y127" s="16"/>
      <c r="Z127" s="16"/>
      <c r="AA127" s="16"/>
      <c r="AB127" s="16"/>
      <c r="AC127" s="16"/>
    </row>
    <row r="128" ht="12.75" customHeight="1" spans="1:29" x14ac:dyDescent="0.25">
      <c r="A128" s="16"/>
      <c r="B128" s="16"/>
      <c r="C128" s="16"/>
      <c r="D128" s="16"/>
      <c r="E128" s="16"/>
      <c r="F128" s="16"/>
      <c r="G128" s="16"/>
      <c r="H128" s="647"/>
      <c r="I128" s="647"/>
      <c r="J128" s="647"/>
      <c r="K128" s="647"/>
      <c r="L128" s="647"/>
      <c r="M128" s="647"/>
      <c r="N128" s="647"/>
      <c r="O128" s="647"/>
      <c r="P128" s="647"/>
      <c r="Q128" s="647"/>
      <c r="R128" s="647"/>
      <c r="S128" s="647"/>
      <c r="T128" s="647"/>
      <c r="U128" s="16"/>
      <c r="V128" s="16"/>
      <c r="W128" s="16"/>
      <c r="X128" s="16"/>
      <c r="Y128" s="16"/>
      <c r="Z128" s="16"/>
      <c r="AA128" s="16"/>
      <c r="AB128" s="16"/>
      <c r="AC128" s="16"/>
    </row>
    <row r="129" ht="12.75" customHeight="1" spans="1:29" x14ac:dyDescent="0.25">
      <c r="A129" s="16"/>
      <c r="B129" s="16"/>
      <c r="C129" s="16"/>
      <c r="D129" s="16"/>
      <c r="E129" s="16"/>
      <c r="F129" s="16"/>
      <c r="G129" s="16"/>
      <c r="H129" s="647"/>
      <c r="I129" s="647"/>
      <c r="J129" s="647"/>
      <c r="K129" s="647"/>
      <c r="L129" s="647"/>
      <c r="M129" s="647"/>
      <c r="N129" s="647"/>
      <c r="O129" s="647"/>
      <c r="P129" s="647"/>
      <c r="Q129" s="647"/>
      <c r="R129" s="647"/>
      <c r="S129" s="647"/>
      <c r="T129" s="647"/>
      <c r="U129" s="16"/>
      <c r="V129" s="16"/>
      <c r="W129" s="16"/>
      <c r="X129" s="16"/>
      <c r="Y129" s="16"/>
      <c r="Z129" s="16"/>
      <c r="AA129" s="16"/>
      <c r="AB129" s="16"/>
      <c r="AC129" s="16"/>
    </row>
    <row r="130" ht="12.75" customHeight="1" spans="1:29" x14ac:dyDescent="0.25">
      <c r="A130" s="16"/>
      <c r="B130" s="16"/>
      <c r="C130" s="16"/>
      <c r="D130" s="16"/>
      <c r="E130" s="16"/>
      <c r="F130" s="16"/>
      <c r="G130" s="16"/>
      <c r="H130" s="647"/>
      <c r="I130" s="647"/>
      <c r="J130" s="647"/>
      <c r="K130" s="647"/>
      <c r="L130" s="647"/>
      <c r="M130" s="647"/>
      <c r="N130" s="647"/>
      <c r="O130" s="647"/>
      <c r="P130" s="647"/>
      <c r="Q130" s="647"/>
      <c r="R130" s="647"/>
      <c r="S130" s="647"/>
      <c r="T130" s="647"/>
      <c r="U130" s="16"/>
      <c r="V130" s="16"/>
      <c r="W130" s="16"/>
      <c r="X130" s="16"/>
      <c r="Y130" s="16"/>
      <c r="Z130" s="16"/>
      <c r="AA130" s="16"/>
      <c r="AB130" s="16"/>
      <c r="AC130" s="16"/>
    </row>
    <row r="131" ht="12.75" customHeight="1" spans="1:29" x14ac:dyDescent="0.25">
      <c r="A131" s="16"/>
      <c r="B131" s="16"/>
      <c r="C131" s="16"/>
      <c r="D131" s="16"/>
      <c r="E131" s="16"/>
      <c r="F131" s="16"/>
      <c r="G131" s="16"/>
      <c r="H131" s="647"/>
      <c r="I131" s="647"/>
      <c r="J131" s="647"/>
      <c r="K131" s="647"/>
      <c r="L131" s="647"/>
      <c r="M131" s="647"/>
      <c r="N131" s="647"/>
      <c r="O131" s="647"/>
      <c r="P131" s="647"/>
      <c r="Q131" s="647"/>
      <c r="R131" s="647"/>
      <c r="S131" s="647"/>
      <c r="T131" s="647"/>
      <c r="U131" s="16"/>
      <c r="V131" s="16"/>
      <c r="W131" s="16"/>
      <c r="X131" s="16"/>
      <c r="Y131" s="16"/>
      <c r="Z131" s="16"/>
      <c r="AA131" s="16"/>
      <c r="AB131" s="16"/>
      <c r="AC131" s="16"/>
    </row>
    <row r="132" ht="12.75" customHeight="1" spans="1:29" x14ac:dyDescent="0.25">
      <c r="A132" s="16"/>
      <c r="B132" s="16"/>
      <c r="C132" s="16"/>
      <c r="D132" s="16"/>
      <c r="E132" s="16"/>
      <c r="F132" s="16"/>
      <c r="G132" s="16"/>
      <c r="H132" s="647"/>
      <c r="I132" s="647"/>
      <c r="J132" s="647"/>
      <c r="K132" s="647"/>
      <c r="L132" s="647"/>
      <c r="M132" s="647"/>
      <c r="N132" s="647"/>
      <c r="O132" s="647"/>
      <c r="P132" s="647"/>
      <c r="Q132" s="647"/>
      <c r="R132" s="647"/>
      <c r="S132" s="647"/>
      <c r="T132" s="647"/>
      <c r="U132" s="16"/>
      <c r="V132" s="16"/>
      <c r="W132" s="16"/>
      <c r="X132" s="16"/>
      <c r="Y132" s="16"/>
      <c r="Z132" s="16"/>
      <c r="AA132" s="16"/>
      <c r="AB132" s="16"/>
      <c r="AC132" s="16"/>
    </row>
    <row r="133" ht="12.75" customHeight="1" spans="1:29" x14ac:dyDescent="0.25">
      <c r="A133" s="16"/>
      <c r="B133" s="16"/>
      <c r="C133" s="16"/>
      <c r="D133" s="16"/>
      <c r="E133" s="16"/>
      <c r="F133" s="16"/>
      <c r="G133" s="16"/>
      <c r="H133" s="647"/>
      <c r="I133" s="647"/>
      <c r="J133" s="647"/>
      <c r="K133" s="647"/>
      <c r="L133" s="647"/>
      <c r="M133" s="647"/>
      <c r="N133" s="647"/>
      <c r="O133" s="647"/>
      <c r="P133" s="647"/>
      <c r="Q133" s="647"/>
      <c r="R133" s="647"/>
      <c r="S133" s="647"/>
      <c r="T133" s="647"/>
      <c r="U133" s="16"/>
      <c r="V133" s="16"/>
      <c r="W133" s="16"/>
      <c r="X133" s="16"/>
      <c r="Y133" s="16"/>
      <c r="Z133" s="16"/>
      <c r="AA133" s="16"/>
      <c r="AB133" s="16"/>
      <c r="AC133" s="16"/>
    </row>
    <row r="134" ht="12.75" customHeight="1" spans="1:29" x14ac:dyDescent="0.25">
      <c r="A134" s="16"/>
      <c r="B134" s="16"/>
      <c r="C134" s="16"/>
      <c r="D134" s="16"/>
      <c r="E134" s="16"/>
      <c r="F134" s="16"/>
      <c r="G134" s="16"/>
      <c r="H134" s="647"/>
      <c r="I134" s="647"/>
      <c r="J134" s="647"/>
      <c r="K134" s="647"/>
      <c r="L134" s="647"/>
      <c r="M134" s="647"/>
      <c r="N134" s="647"/>
      <c r="O134" s="647"/>
      <c r="P134" s="647"/>
      <c r="Q134" s="647"/>
      <c r="R134" s="647"/>
      <c r="S134" s="647"/>
      <c r="T134" s="647"/>
      <c r="U134" s="16"/>
      <c r="V134" s="16"/>
      <c r="W134" s="16"/>
      <c r="X134" s="16"/>
      <c r="Y134" s="16"/>
      <c r="Z134" s="16"/>
      <c r="AA134" s="16"/>
      <c r="AB134" s="16"/>
      <c r="AC134" s="16"/>
    </row>
    <row r="135" ht="12.75" customHeight="1" spans="1:29" x14ac:dyDescent="0.25">
      <c r="A135" s="16"/>
      <c r="B135" s="16"/>
      <c r="C135" s="16"/>
      <c r="D135" s="16"/>
      <c r="E135" s="16"/>
      <c r="F135" s="16"/>
      <c r="G135" s="16"/>
      <c r="H135" s="647"/>
      <c r="I135" s="647"/>
      <c r="J135" s="647"/>
      <c r="K135" s="647"/>
      <c r="L135" s="647"/>
      <c r="M135" s="647"/>
      <c r="N135" s="647"/>
      <c r="O135" s="647"/>
      <c r="P135" s="647"/>
      <c r="Q135" s="647"/>
      <c r="R135" s="647"/>
      <c r="S135" s="647"/>
      <c r="T135" s="647"/>
      <c r="U135" s="16"/>
      <c r="V135" s="16"/>
      <c r="W135" s="16"/>
      <c r="X135" s="16"/>
      <c r="Y135" s="16"/>
      <c r="Z135" s="16"/>
      <c r="AA135" s="16"/>
      <c r="AB135" s="16"/>
      <c r="AC135" s="16"/>
    </row>
    <row r="136" ht="12.75" customHeight="1" spans="1:29" x14ac:dyDescent="0.25">
      <c r="A136" s="16"/>
      <c r="B136" s="16"/>
      <c r="C136" s="16"/>
      <c r="D136" s="16"/>
      <c r="E136" s="16"/>
      <c r="F136" s="16"/>
      <c r="G136" s="16"/>
      <c r="H136" s="647"/>
      <c r="I136" s="647"/>
      <c r="J136" s="647"/>
      <c r="K136" s="647"/>
      <c r="L136" s="647"/>
      <c r="M136" s="647"/>
      <c r="N136" s="647"/>
      <c r="O136" s="647"/>
      <c r="P136" s="647"/>
      <c r="Q136" s="647"/>
      <c r="R136" s="647"/>
      <c r="S136" s="647"/>
      <c r="T136" s="647"/>
      <c r="U136" s="16"/>
      <c r="V136" s="16"/>
      <c r="W136" s="16"/>
      <c r="X136" s="16"/>
      <c r="Y136" s="16"/>
      <c r="Z136" s="16"/>
      <c r="AA136" s="16"/>
      <c r="AB136" s="16"/>
      <c r="AC136" s="16"/>
    </row>
    <row r="137" ht="12.75" customHeight="1" spans="1:29" x14ac:dyDescent="0.25">
      <c r="A137" s="16"/>
      <c r="B137" s="16"/>
      <c r="C137" s="16"/>
      <c r="D137" s="16"/>
      <c r="E137" s="16"/>
      <c r="F137" s="16"/>
      <c r="G137" s="16"/>
      <c r="H137" s="647"/>
      <c r="I137" s="647"/>
      <c r="J137" s="647"/>
      <c r="K137" s="647"/>
      <c r="L137" s="647"/>
      <c r="M137" s="647"/>
      <c r="N137" s="647"/>
      <c r="O137" s="647"/>
      <c r="P137" s="647"/>
      <c r="Q137" s="647"/>
      <c r="R137" s="647"/>
      <c r="S137" s="647"/>
      <c r="T137" s="647"/>
      <c r="U137" s="16"/>
      <c r="V137" s="16"/>
      <c r="W137" s="16"/>
      <c r="X137" s="16"/>
      <c r="Y137" s="16"/>
      <c r="Z137" s="16"/>
      <c r="AA137" s="16"/>
      <c r="AB137" s="16"/>
      <c r="AC137" s="16"/>
    </row>
    <row r="138" ht="12.75" customHeight="1" spans="1:29" x14ac:dyDescent="0.25">
      <c r="A138" s="16"/>
      <c r="B138" s="16"/>
      <c r="C138" s="16"/>
      <c r="D138" s="16"/>
      <c r="E138" s="16"/>
      <c r="F138" s="16"/>
      <c r="G138" s="16"/>
      <c r="H138" s="647"/>
      <c r="I138" s="647"/>
      <c r="J138" s="647"/>
      <c r="K138" s="647"/>
      <c r="L138" s="647"/>
      <c r="M138" s="647"/>
      <c r="N138" s="647"/>
      <c r="O138" s="647"/>
      <c r="P138" s="647"/>
      <c r="Q138" s="647"/>
      <c r="R138" s="647"/>
      <c r="S138" s="647"/>
      <c r="T138" s="647"/>
      <c r="U138" s="16"/>
      <c r="V138" s="16"/>
      <c r="W138" s="16"/>
      <c r="X138" s="16"/>
      <c r="Y138" s="16"/>
      <c r="Z138" s="16"/>
      <c r="AA138" s="16"/>
      <c r="AB138" s="16"/>
      <c r="AC138" s="16"/>
    </row>
    <row r="139" ht="12.75" customHeight="1" spans="1:29" x14ac:dyDescent="0.25">
      <c r="A139" s="16"/>
      <c r="B139" s="16"/>
      <c r="C139" s="16"/>
      <c r="D139" s="16"/>
      <c r="E139" s="16"/>
      <c r="F139" s="16"/>
      <c r="G139" s="16"/>
      <c r="H139" s="647"/>
      <c r="I139" s="647"/>
      <c r="J139" s="647"/>
      <c r="K139" s="647"/>
      <c r="L139" s="647"/>
      <c r="M139" s="647"/>
      <c r="N139" s="647"/>
      <c r="O139" s="647"/>
      <c r="P139" s="647"/>
      <c r="Q139" s="647"/>
      <c r="R139" s="647"/>
      <c r="S139" s="647"/>
      <c r="T139" s="647"/>
      <c r="U139" s="16"/>
      <c r="V139" s="16"/>
      <c r="W139" s="16"/>
      <c r="X139" s="16"/>
      <c r="Y139" s="16"/>
      <c r="Z139" s="16"/>
      <c r="AA139" s="16"/>
      <c r="AB139" s="16"/>
      <c r="AC139" s="16"/>
    </row>
    <row r="140" ht="12.75" customHeight="1" spans="1:29" x14ac:dyDescent="0.25">
      <c r="A140" s="16"/>
      <c r="B140" s="16"/>
      <c r="C140" s="16"/>
      <c r="D140" s="16"/>
      <c r="E140" s="16"/>
      <c r="F140" s="16"/>
      <c r="G140" s="16"/>
      <c r="H140" s="647"/>
      <c r="I140" s="647"/>
      <c r="J140" s="647"/>
      <c r="K140" s="647"/>
      <c r="L140" s="647"/>
      <c r="M140" s="647"/>
      <c r="N140" s="647"/>
      <c r="O140" s="647"/>
      <c r="P140" s="647"/>
      <c r="Q140" s="647"/>
      <c r="R140" s="647"/>
      <c r="S140" s="647"/>
      <c r="T140" s="647"/>
      <c r="U140" s="16"/>
      <c r="V140" s="16"/>
      <c r="W140" s="16"/>
      <c r="X140" s="16"/>
      <c r="Y140" s="16"/>
      <c r="Z140" s="16"/>
      <c r="AA140" s="16"/>
      <c r="AB140" s="16"/>
      <c r="AC140" s="16"/>
    </row>
    <row r="141" ht="12.75" customHeight="1" spans="1:29" x14ac:dyDescent="0.25">
      <c r="A141" s="16"/>
      <c r="B141" s="16"/>
      <c r="C141" s="16"/>
      <c r="D141" s="16"/>
      <c r="E141" s="16"/>
      <c r="F141" s="16"/>
      <c r="G141" s="16"/>
      <c r="H141" s="647"/>
      <c r="I141" s="647"/>
      <c r="J141" s="647"/>
      <c r="K141" s="647"/>
      <c r="L141" s="647"/>
      <c r="M141" s="647"/>
      <c r="N141" s="647"/>
      <c r="O141" s="647"/>
      <c r="P141" s="647"/>
      <c r="Q141" s="647"/>
      <c r="R141" s="647"/>
      <c r="S141" s="647"/>
      <c r="T141" s="647"/>
      <c r="U141" s="16"/>
      <c r="V141" s="16"/>
      <c r="W141" s="16"/>
      <c r="X141" s="16"/>
      <c r="Y141" s="16"/>
      <c r="Z141" s="16"/>
      <c r="AA141" s="16"/>
      <c r="AB141" s="16"/>
      <c r="AC141" s="16"/>
    </row>
    <row r="142" ht="12.75" customHeight="1" spans="1:29" x14ac:dyDescent="0.25">
      <c r="A142" s="16"/>
      <c r="B142" s="16"/>
      <c r="C142" s="16"/>
      <c r="D142" s="16"/>
      <c r="E142" s="16"/>
      <c r="F142" s="16"/>
      <c r="G142" s="16"/>
      <c r="H142" s="647"/>
      <c r="I142" s="647"/>
      <c r="J142" s="647"/>
      <c r="K142" s="647"/>
      <c r="L142" s="647"/>
      <c r="M142" s="647"/>
      <c r="N142" s="647"/>
      <c r="O142" s="647"/>
      <c r="P142" s="647"/>
      <c r="Q142" s="647"/>
      <c r="R142" s="647"/>
      <c r="S142" s="647"/>
      <c r="T142" s="647"/>
      <c r="U142" s="16"/>
      <c r="V142" s="16"/>
      <c r="W142" s="16"/>
      <c r="X142" s="16"/>
      <c r="Y142" s="16"/>
      <c r="Z142" s="16"/>
      <c r="AA142" s="16"/>
      <c r="AB142" s="16"/>
      <c r="AC142" s="16"/>
    </row>
    <row r="143" ht="12.75" customHeight="1" spans="1:29" x14ac:dyDescent="0.25">
      <c r="A143" s="16"/>
      <c r="B143" s="16"/>
      <c r="C143" s="16"/>
      <c r="D143" s="16"/>
      <c r="E143" s="16"/>
      <c r="F143" s="16"/>
      <c r="G143" s="16"/>
      <c r="H143" s="647"/>
      <c r="I143" s="647"/>
      <c r="J143" s="647"/>
      <c r="K143" s="647"/>
      <c r="L143" s="647"/>
      <c r="M143" s="647"/>
      <c r="N143" s="647"/>
      <c r="O143" s="647"/>
      <c r="P143" s="647"/>
      <c r="Q143" s="647"/>
      <c r="R143" s="647"/>
      <c r="S143" s="647"/>
      <c r="T143" s="647"/>
      <c r="U143" s="16"/>
      <c r="V143" s="16"/>
      <c r="W143" s="16"/>
      <c r="X143" s="16"/>
      <c r="Y143" s="16"/>
      <c r="Z143" s="16"/>
      <c r="AA143" s="16"/>
      <c r="AB143" s="16"/>
      <c r="AC143" s="16"/>
    </row>
    <row r="144" ht="12.75" customHeight="1" spans="1:29" x14ac:dyDescent="0.25">
      <c r="A144" s="16"/>
      <c r="B144" s="16"/>
      <c r="C144" s="16"/>
      <c r="D144" s="16"/>
      <c r="E144" s="16"/>
      <c r="F144" s="16"/>
      <c r="G144" s="16"/>
      <c r="H144" s="647"/>
      <c r="I144" s="647"/>
      <c r="J144" s="647"/>
      <c r="K144" s="647"/>
      <c r="L144" s="647"/>
      <c r="M144" s="647"/>
      <c r="N144" s="647"/>
      <c r="O144" s="647"/>
      <c r="P144" s="647"/>
      <c r="Q144" s="647"/>
      <c r="R144" s="647"/>
      <c r="S144" s="647"/>
      <c r="T144" s="647"/>
      <c r="U144" s="16"/>
      <c r="V144" s="16"/>
      <c r="W144" s="16"/>
      <c r="X144" s="16"/>
      <c r="Y144" s="16"/>
      <c r="Z144" s="16"/>
      <c r="AA144" s="16"/>
      <c r="AB144" s="16"/>
      <c r="AC144" s="16"/>
    </row>
    <row r="145" ht="12.75" customHeight="1" spans="1:29" x14ac:dyDescent="0.25">
      <c r="A145" s="16"/>
      <c r="B145" s="16"/>
      <c r="C145" s="16"/>
      <c r="D145" s="16"/>
      <c r="E145" s="16"/>
      <c r="F145" s="16"/>
      <c r="G145" s="16"/>
      <c r="H145" s="647"/>
      <c r="I145" s="647"/>
      <c r="J145" s="647"/>
      <c r="K145" s="647"/>
      <c r="L145" s="647"/>
      <c r="M145" s="647"/>
      <c r="N145" s="647"/>
      <c r="O145" s="647"/>
      <c r="P145" s="647"/>
      <c r="Q145" s="647"/>
      <c r="R145" s="647"/>
      <c r="S145" s="647"/>
      <c r="T145" s="647"/>
      <c r="U145" s="16"/>
      <c r="V145" s="16"/>
      <c r="W145" s="16"/>
      <c r="X145" s="16"/>
      <c r="Y145" s="16"/>
      <c r="Z145" s="16"/>
      <c r="AA145" s="16"/>
      <c r="AB145" s="16"/>
      <c r="AC145" s="16"/>
    </row>
    <row r="146" ht="12.75" customHeight="1" spans="1:29" x14ac:dyDescent="0.25">
      <c r="A146" s="16"/>
      <c r="B146" s="16"/>
      <c r="C146" s="16"/>
      <c r="D146" s="16"/>
      <c r="E146" s="16"/>
      <c r="F146" s="16"/>
      <c r="G146" s="16"/>
      <c r="H146" s="647"/>
      <c r="I146" s="647"/>
      <c r="J146" s="647"/>
      <c r="K146" s="647"/>
      <c r="L146" s="647"/>
      <c r="M146" s="647"/>
      <c r="N146" s="647"/>
      <c r="O146" s="647"/>
      <c r="P146" s="647"/>
      <c r="Q146" s="647"/>
      <c r="R146" s="647"/>
      <c r="S146" s="647"/>
      <c r="T146" s="647"/>
      <c r="U146" s="16"/>
      <c r="V146" s="16"/>
      <c r="W146" s="16"/>
      <c r="X146" s="16"/>
      <c r="Y146" s="16"/>
      <c r="Z146" s="16"/>
      <c r="AA146" s="16"/>
      <c r="AB146" s="16"/>
      <c r="AC146" s="16"/>
    </row>
    <row r="147" ht="12.75" customHeight="1" spans="1:29" x14ac:dyDescent="0.25">
      <c r="A147" s="16"/>
      <c r="B147" s="16"/>
      <c r="C147" s="16"/>
      <c r="D147" s="16"/>
      <c r="E147" s="16"/>
      <c r="F147" s="16"/>
      <c r="G147" s="16"/>
      <c r="H147" s="647"/>
      <c r="I147" s="647"/>
      <c r="J147" s="647"/>
      <c r="K147" s="647"/>
      <c r="L147" s="647"/>
      <c r="M147" s="647"/>
      <c r="N147" s="647"/>
      <c r="O147" s="647"/>
      <c r="P147" s="647"/>
      <c r="Q147" s="647"/>
      <c r="R147" s="647"/>
      <c r="S147" s="647"/>
      <c r="T147" s="647"/>
      <c r="U147" s="16"/>
      <c r="V147" s="16"/>
      <c r="W147" s="16"/>
      <c r="X147" s="16"/>
      <c r="Y147" s="16"/>
      <c r="Z147" s="16"/>
      <c r="AA147" s="16"/>
      <c r="AB147" s="16"/>
      <c r="AC147" s="16"/>
    </row>
    <row r="148" ht="12.75" customHeight="1" spans="1:29" x14ac:dyDescent="0.25">
      <c r="A148" s="16"/>
      <c r="B148" s="16"/>
      <c r="C148" s="16"/>
      <c r="D148" s="16"/>
      <c r="E148" s="16"/>
      <c r="F148" s="16"/>
      <c r="G148" s="16"/>
      <c r="H148" s="647"/>
      <c r="I148" s="647"/>
      <c r="J148" s="647"/>
      <c r="K148" s="647"/>
      <c r="L148" s="647"/>
      <c r="M148" s="647"/>
      <c r="N148" s="647"/>
      <c r="O148" s="647"/>
      <c r="P148" s="647"/>
      <c r="Q148" s="647"/>
      <c r="R148" s="647"/>
      <c r="S148" s="647"/>
      <c r="T148" s="647"/>
      <c r="U148" s="16"/>
      <c r="V148" s="16"/>
      <c r="W148" s="16"/>
      <c r="X148" s="16"/>
      <c r="Y148" s="16"/>
      <c r="Z148" s="16"/>
      <c r="AA148" s="16"/>
      <c r="AB148" s="16"/>
      <c r="AC148" s="16"/>
    </row>
    <row r="149" ht="12.75" customHeight="1" spans="1:29" x14ac:dyDescent="0.25">
      <c r="A149" s="16"/>
      <c r="B149" s="16"/>
      <c r="C149" s="16"/>
      <c r="D149" s="16"/>
      <c r="E149" s="16"/>
      <c r="F149" s="16"/>
      <c r="G149" s="16"/>
      <c r="H149" s="647"/>
      <c r="I149" s="647"/>
      <c r="J149" s="647"/>
      <c r="K149" s="647"/>
      <c r="L149" s="647"/>
      <c r="M149" s="647"/>
      <c r="N149" s="647"/>
      <c r="O149" s="647"/>
      <c r="P149" s="647"/>
      <c r="Q149" s="647"/>
      <c r="R149" s="647"/>
      <c r="S149" s="647"/>
      <c r="T149" s="647"/>
      <c r="U149" s="16"/>
      <c r="V149" s="16"/>
      <c r="W149" s="16"/>
      <c r="X149" s="16"/>
      <c r="Y149" s="16"/>
      <c r="Z149" s="16"/>
      <c r="AA149" s="16"/>
      <c r="AB149" s="16"/>
      <c r="AC149" s="16"/>
    </row>
    <row r="150" ht="12.75" customHeight="1" spans="1:29" x14ac:dyDescent="0.25">
      <c r="A150" s="16"/>
      <c r="B150" s="16"/>
      <c r="C150" s="16"/>
      <c r="D150" s="16"/>
      <c r="E150" s="16"/>
      <c r="F150" s="16"/>
      <c r="G150" s="16"/>
      <c r="H150" s="647"/>
      <c r="I150" s="647"/>
      <c r="J150" s="647"/>
      <c r="K150" s="647"/>
      <c r="L150" s="647"/>
      <c r="M150" s="647"/>
      <c r="N150" s="647"/>
      <c r="O150" s="647"/>
      <c r="P150" s="647"/>
      <c r="Q150" s="647"/>
      <c r="R150" s="647"/>
      <c r="S150" s="647"/>
      <c r="T150" s="647"/>
      <c r="U150" s="16"/>
      <c r="V150" s="16"/>
      <c r="W150" s="16"/>
      <c r="X150" s="16"/>
      <c r="Y150" s="16"/>
      <c r="Z150" s="16"/>
      <c r="AA150" s="16"/>
      <c r="AB150" s="16"/>
      <c r="AC150" s="16"/>
    </row>
    <row r="151" ht="12.75" customHeight="1" spans="1:29" x14ac:dyDescent="0.25">
      <c r="A151" s="16"/>
      <c r="B151" s="16"/>
      <c r="C151" s="16"/>
      <c r="D151" s="16"/>
      <c r="E151" s="16"/>
      <c r="F151" s="16"/>
      <c r="G151" s="16"/>
      <c r="H151" s="647"/>
      <c r="I151" s="647"/>
      <c r="J151" s="647"/>
      <c r="K151" s="647"/>
      <c r="L151" s="647"/>
      <c r="M151" s="647"/>
      <c r="N151" s="647"/>
      <c r="O151" s="647"/>
      <c r="P151" s="647"/>
      <c r="Q151" s="647"/>
      <c r="R151" s="647"/>
      <c r="S151" s="647"/>
      <c r="T151" s="647"/>
      <c r="U151" s="16"/>
      <c r="V151" s="16"/>
      <c r="W151" s="16"/>
      <c r="X151" s="16"/>
      <c r="Y151" s="16"/>
      <c r="Z151" s="16"/>
      <c r="AA151" s="16"/>
      <c r="AB151" s="16"/>
      <c r="AC151" s="16"/>
    </row>
    <row r="152" ht="12.75" customHeight="1" spans="1:29" x14ac:dyDescent="0.25">
      <c r="A152" s="16"/>
      <c r="B152" s="16"/>
      <c r="C152" s="16"/>
      <c r="D152" s="16"/>
      <c r="E152" s="16"/>
      <c r="F152" s="16"/>
      <c r="G152" s="16"/>
      <c r="H152" s="647"/>
      <c r="I152" s="647"/>
      <c r="J152" s="647"/>
      <c r="K152" s="647"/>
      <c r="L152" s="647"/>
      <c r="M152" s="647"/>
      <c r="N152" s="647"/>
      <c r="O152" s="647"/>
      <c r="P152" s="647"/>
      <c r="Q152" s="647"/>
      <c r="R152" s="647"/>
      <c r="S152" s="647"/>
      <c r="T152" s="647"/>
      <c r="U152" s="16"/>
      <c r="V152" s="16"/>
      <c r="W152" s="16"/>
      <c r="X152" s="16"/>
      <c r="Y152" s="16"/>
      <c r="Z152" s="16"/>
      <c r="AA152" s="16"/>
      <c r="AB152" s="16"/>
      <c r="AC152" s="16"/>
    </row>
    <row r="153" ht="12.75" customHeight="1" spans="1:29" x14ac:dyDescent="0.25">
      <c r="A153" s="16"/>
      <c r="B153" s="16"/>
      <c r="C153" s="16"/>
      <c r="D153" s="16"/>
      <c r="E153" s="16"/>
      <c r="F153" s="16"/>
      <c r="G153" s="16"/>
      <c r="H153" s="647"/>
      <c r="I153" s="647"/>
      <c r="J153" s="647"/>
      <c r="K153" s="647"/>
      <c r="L153" s="647"/>
      <c r="M153" s="647"/>
      <c r="N153" s="647"/>
      <c r="O153" s="647"/>
      <c r="P153" s="647"/>
      <c r="Q153" s="647"/>
      <c r="R153" s="647"/>
      <c r="S153" s="647"/>
      <c r="T153" s="647"/>
      <c r="U153" s="16"/>
      <c r="V153" s="16"/>
      <c r="W153" s="16"/>
      <c r="X153" s="16"/>
      <c r="Y153" s="16"/>
      <c r="Z153" s="16"/>
      <c r="AA153" s="16"/>
      <c r="AB153" s="16"/>
      <c r="AC153" s="16"/>
    </row>
    <row r="154" ht="12.75" customHeight="1" spans="1:29" x14ac:dyDescent="0.25">
      <c r="A154" s="16"/>
      <c r="B154" s="16"/>
      <c r="C154" s="16"/>
      <c r="D154" s="16"/>
      <c r="E154" s="16"/>
      <c r="F154" s="16"/>
      <c r="G154" s="16"/>
      <c r="H154" s="647"/>
      <c r="I154" s="647"/>
      <c r="J154" s="647"/>
      <c r="K154" s="647"/>
      <c r="L154" s="647"/>
      <c r="M154" s="647"/>
      <c r="N154" s="647"/>
      <c r="O154" s="647"/>
      <c r="P154" s="647"/>
      <c r="Q154" s="647"/>
      <c r="R154" s="647"/>
      <c r="S154" s="647"/>
      <c r="T154" s="647"/>
      <c r="U154" s="16"/>
      <c r="V154" s="16"/>
      <c r="W154" s="16"/>
      <c r="X154" s="16"/>
      <c r="Y154" s="16"/>
      <c r="Z154" s="16"/>
      <c r="AA154" s="16"/>
      <c r="AB154" s="16"/>
      <c r="AC154" s="16"/>
    </row>
    <row r="155" ht="12.75" customHeight="1" spans="1:29" x14ac:dyDescent="0.25">
      <c r="A155" s="16"/>
      <c r="B155" s="16"/>
      <c r="C155" s="16"/>
      <c r="D155" s="16"/>
      <c r="E155" s="16"/>
      <c r="F155" s="16"/>
      <c r="G155" s="16"/>
      <c r="H155" s="647"/>
      <c r="I155" s="647"/>
      <c r="J155" s="647"/>
      <c r="K155" s="647"/>
      <c r="L155" s="647"/>
      <c r="M155" s="647"/>
      <c r="N155" s="647"/>
      <c r="O155" s="647"/>
      <c r="P155" s="647"/>
      <c r="Q155" s="647"/>
      <c r="R155" s="647"/>
      <c r="S155" s="647"/>
      <c r="T155" s="647"/>
      <c r="U155" s="16"/>
      <c r="V155" s="16"/>
      <c r="W155" s="16"/>
      <c r="X155" s="16"/>
      <c r="Y155" s="16"/>
      <c r="Z155" s="16"/>
      <c r="AA155" s="16"/>
      <c r="AB155" s="16"/>
      <c r="AC155" s="16"/>
    </row>
    <row r="156" ht="12.75" customHeight="1" spans="1:29" x14ac:dyDescent="0.25">
      <c r="A156" s="16"/>
      <c r="B156" s="16"/>
      <c r="C156" s="16"/>
      <c r="D156" s="16"/>
      <c r="E156" s="16"/>
      <c r="F156" s="16"/>
      <c r="G156" s="16"/>
      <c r="H156" s="647"/>
      <c r="I156" s="647"/>
      <c r="J156" s="647"/>
      <c r="K156" s="647"/>
      <c r="L156" s="647"/>
      <c r="M156" s="647"/>
      <c r="N156" s="647"/>
      <c r="O156" s="647"/>
      <c r="P156" s="647"/>
      <c r="Q156" s="647"/>
      <c r="R156" s="647"/>
      <c r="S156" s="647"/>
      <c r="T156" s="647"/>
      <c r="U156" s="16"/>
      <c r="V156" s="16"/>
      <c r="W156" s="16"/>
      <c r="X156" s="16"/>
      <c r="Y156" s="16"/>
      <c r="Z156" s="16"/>
      <c r="AA156" s="16"/>
      <c r="AB156" s="16"/>
      <c r="AC156" s="16"/>
    </row>
    <row r="157" ht="12.75" customHeight="1" spans="1:29" x14ac:dyDescent="0.25">
      <c r="A157" s="16"/>
      <c r="B157" s="16"/>
      <c r="C157" s="16"/>
      <c r="D157" s="16"/>
      <c r="E157" s="16"/>
      <c r="F157" s="16"/>
      <c r="G157" s="16"/>
      <c r="H157" s="647"/>
      <c r="I157" s="647"/>
      <c r="J157" s="647"/>
      <c r="K157" s="647"/>
      <c r="L157" s="647"/>
      <c r="M157" s="647"/>
      <c r="N157" s="647"/>
      <c r="O157" s="647"/>
      <c r="P157" s="647"/>
      <c r="Q157" s="647"/>
      <c r="R157" s="647"/>
      <c r="S157" s="647"/>
      <c r="T157" s="647"/>
      <c r="U157" s="16"/>
      <c r="V157" s="16"/>
      <c r="W157" s="16"/>
      <c r="X157" s="16"/>
      <c r="Y157" s="16"/>
      <c r="Z157" s="16"/>
      <c r="AA157" s="16"/>
      <c r="AB157" s="16"/>
      <c r="AC157" s="16"/>
    </row>
    <row r="158" ht="12.75" customHeight="1" spans="1:29" x14ac:dyDescent="0.25">
      <c r="A158" s="16"/>
      <c r="B158" s="16"/>
      <c r="C158" s="16"/>
      <c r="D158" s="16"/>
      <c r="E158" s="16"/>
      <c r="F158" s="16"/>
      <c r="G158" s="16"/>
      <c r="H158" s="647"/>
      <c r="I158" s="647"/>
      <c r="J158" s="647"/>
      <c r="K158" s="647"/>
      <c r="L158" s="647"/>
      <c r="M158" s="647"/>
      <c r="N158" s="647"/>
      <c r="O158" s="647"/>
      <c r="P158" s="647"/>
      <c r="Q158" s="647"/>
      <c r="R158" s="647"/>
      <c r="S158" s="647"/>
      <c r="T158" s="647"/>
      <c r="U158" s="16"/>
      <c r="V158" s="16"/>
      <c r="W158" s="16"/>
      <c r="X158" s="16"/>
      <c r="Y158" s="16"/>
      <c r="Z158" s="16"/>
      <c r="AA158" s="16"/>
      <c r="AB158" s="16"/>
      <c r="AC158" s="16"/>
    </row>
    <row r="159" ht="12.75" customHeight="1" spans="1:29" x14ac:dyDescent="0.25">
      <c r="A159" s="16"/>
      <c r="B159" s="16"/>
      <c r="C159" s="16"/>
      <c r="D159" s="16"/>
      <c r="E159" s="16"/>
      <c r="F159" s="16"/>
      <c r="G159" s="16"/>
      <c r="H159" s="647"/>
      <c r="I159" s="647"/>
      <c r="J159" s="647"/>
      <c r="K159" s="647"/>
      <c r="L159" s="647"/>
      <c r="M159" s="647"/>
      <c r="N159" s="647"/>
      <c r="O159" s="647"/>
      <c r="P159" s="647"/>
      <c r="Q159" s="647"/>
      <c r="R159" s="647"/>
      <c r="S159" s="647"/>
      <c r="T159" s="647"/>
      <c r="U159" s="16"/>
      <c r="V159" s="16"/>
      <c r="W159" s="16"/>
      <c r="X159" s="16"/>
      <c r="Y159" s="16"/>
      <c r="Z159" s="16"/>
      <c r="AA159" s="16"/>
      <c r="AB159" s="16"/>
      <c r="AC159" s="16"/>
    </row>
    <row r="160" ht="12.75" customHeight="1" spans="1:29" x14ac:dyDescent="0.25">
      <c r="A160" s="16"/>
      <c r="B160" s="16"/>
      <c r="C160" s="16"/>
      <c r="D160" s="16"/>
      <c r="E160" s="16"/>
      <c r="F160" s="16"/>
      <c r="G160" s="16"/>
      <c r="H160" s="647"/>
      <c r="I160" s="647"/>
      <c r="J160" s="647"/>
      <c r="K160" s="647"/>
      <c r="L160" s="647"/>
      <c r="M160" s="647"/>
      <c r="N160" s="647"/>
      <c r="O160" s="647"/>
      <c r="P160" s="647"/>
      <c r="Q160" s="647"/>
      <c r="R160" s="647"/>
      <c r="S160" s="647"/>
      <c r="T160" s="647"/>
      <c r="U160" s="16"/>
      <c r="V160" s="16"/>
      <c r="W160" s="16"/>
      <c r="X160" s="16"/>
      <c r="Y160" s="16"/>
      <c r="Z160" s="16"/>
      <c r="AA160" s="16"/>
      <c r="AB160" s="16"/>
      <c r="AC160" s="16"/>
    </row>
    <row r="161" ht="12.75" customHeight="1" spans="1:29" x14ac:dyDescent="0.25">
      <c r="A161" s="16"/>
      <c r="B161" s="16"/>
      <c r="C161" s="16"/>
      <c r="D161" s="16"/>
      <c r="E161" s="16"/>
      <c r="F161" s="16"/>
      <c r="G161" s="16"/>
      <c r="H161" s="647"/>
      <c r="I161" s="647"/>
      <c r="J161" s="647"/>
      <c r="K161" s="647"/>
      <c r="L161" s="647"/>
      <c r="M161" s="647"/>
      <c r="N161" s="647"/>
      <c r="O161" s="647"/>
      <c r="P161" s="647"/>
      <c r="Q161" s="647"/>
      <c r="R161" s="647"/>
      <c r="S161" s="647"/>
      <c r="T161" s="647"/>
      <c r="U161" s="16"/>
      <c r="V161" s="16"/>
      <c r="W161" s="16"/>
      <c r="X161" s="16"/>
      <c r="Y161" s="16"/>
      <c r="Z161" s="16"/>
      <c r="AA161" s="16"/>
      <c r="AB161" s="16"/>
      <c r="AC161" s="16"/>
    </row>
    <row r="162" ht="12.75" customHeight="1" spans="1:29" x14ac:dyDescent="0.25">
      <c r="A162" s="16"/>
      <c r="B162" s="16"/>
      <c r="C162" s="16"/>
      <c r="D162" s="16"/>
      <c r="E162" s="16"/>
      <c r="F162" s="16"/>
      <c r="G162" s="16"/>
      <c r="H162" s="647"/>
      <c r="I162" s="647"/>
      <c r="J162" s="647"/>
      <c r="K162" s="647"/>
      <c r="L162" s="647"/>
      <c r="M162" s="647"/>
      <c r="N162" s="647"/>
      <c r="O162" s="647"/>
      <c r="P162" s="647"/>
      <c r="Q162" s="647"/>
      <c r="R162" s="647"/>
      <c r="S162" s="647"/>
      <c r="T162" s="647"/>
      <c r="U162" s="16"/>
      <c r="V162" s="16"/>
      <c r="W162" s="16"/>
      <c r="X162" s="16"/>
      <c r="Y162" s="16"/>
      <c r="Z162" s="16"/>
      <c r="AA162" s="16"/>
      <c r="AB162" s="16"/>
      <c r="AC162" s="16"/>
    </row>
    <row r="163" ht="12.75" customHeight="1" spans="1:29" x14ac:dyDescent="0.25">
      <c r="A163" s="16"/>
      <c r="B163" s="16"/>
      <c r="C163" s="16"/>
      <c r="D163" s="16"/>
      <c r="E163" s="16"/>
      <c r="F163" s="16"/>
      <c r="G163" s="16"/>
      <c r="H163" s="647"/>
      <c r="I163" s="647"/>
      <c r="J163" s="647"/>
      <c r="K163" s="647"/>
      <c r="L163" s="647"/>
      <c r="M163" s="647"/>
      <c r="N163" s="647"/>
      <c r="O163" s="647"/>
      <c r="P163" s="647"/>
      <c r="Q163" s="647"/>
      <c r="R163" s="647"/>
      <c r="S163" s="647"/>
      <c r="T163" s="647"/>
      <c r="U163" s="16"/>
      <c r="V163" s="16"/>
      <c r="W163" s="16"/>
      <c r="X163" s="16"/>
      <c r="Y163" s="16"/>
      <c r="Z163" s="16"/>
      <c r="AA163" s="16"/>
      <c r="AB163" s="16"/>
      <c r="AC163" s="16"/>
    </row>
    <row r="164" ht="12.75" customHeight="1" spans="1:29" x14ac:dyDescent="0.25">
      <c r="A164" s="16"/>
      <c r="B164" s="16"/>
      <c r="C164" s="16"/>
      <c r="D164" s="16"/>
      <c r="E164" s="16"/>
      <c r="F164" s="16"/>
      <c r="G164" s="16"/>
      <c r="H164" s="647"/>
      <c r="I164" s="647"/>
      <c r="J164" s="647"/>
      <c r="K164" s="647"/>
      <c r="L164" s="647"/>
      <c r="M164" s="647"/>
      <c r="N164" s="647"/>
      <c r="O164" s="647"/>
      <c r="P164" s="647"/>
      <c r="Q164" s="647"/>
      <c r="R164" s="647"/>
      <c r="S164" s="647"/>
      <c r="T164" s="647"/>
      <c r="U164" s="16"/>
      <c r="V164" s="16"/>
      <c r="W164" s="16"/>
      <c r="X164" s="16"/>
      <c r="Y164" s="16"/>
      <c r="Z164" s="16"/>
      <c r="AA164" s="16"/>
      <c r="AB164" s="16"/>
      <c r="AC164" s="16"/>
    </row>
    <row r="165" ht="12.75" customHeight="1" spans="1:29" x14ac:dyDescent="0.25">
      <c r="A165" s="16"/>
      <c r="B165" s="16"/>
      <c r="C165" s="16"/>
      <c r="D165" s="16"/>
      <c r="E165" s="16"/>
      <c r="F165" s="16"/>
      <c r="G165" s="16"/>
      <c r="H165" s="647"/>
      <c r="I165" s="647"/>
      <c r="J165" s="647"/>
      <c r="K165" s="647"/>
      <c r="L165" s="647"/>
      <c r="M165" s="647"/>
      <c r="N165" s="647"/>
      <c r="O165" s="647"/>
      <c r="P165" s="647"/>
      <c r="Q165" s="647"/>
      <c r="R165" s="647"/>
      <c r="S165" s="647"/>
      <c r="T165" s="647"/>
      <c r="U165" s="16"/>
      <c r="V165" s="16"/>
      <c r="W165" s="16"/>
      <c r="X165" s="16"/>
      <c r="Y165" s="16"/>
      <c r="Z165" s="16"/>
      <c r="AA165" s="16"/>
      <c r="AB165" s="16"/>
      <c r="AC165" s="16"/>
    </row>
    <row r="166" ht="12.75" customHeight="1" spans="1:29" x14ac:dyDescent="0.25">
      <c r="A166" s="16"/>
      <c r="B166" s="16"/>
      <c r="C166" s="16"/>
      <c r="D166" s="16"/>
      <c r="E166" s="16"/>
      <c r="F166" s="16"/>
      <c r="G166" s="16"/>
      <c r="H166" s="647"/>
      <c r="I166" s="647"/>
      <c r="J166" s="647"/>
      <c r="K166" s="647"/>
      <c r="L166" s="647"/>
      <c r="M166" s="647"/>
      <c r="N166" s="647"/>
      <c r="O166" s="647"/>
      <c r="P166" s="647"/>
      <c r="Q166" s="647"/>
      <c r="R166" s="647"/>
      <c r="S166" s="647"/>
      <c r="T166" s="647"/>
      <c r="U166" s="16"/>
      <c r="V166" s="16"/>
      <c r="W166" s="16"/>
      <c r="X166" s="16"/>
      <c r="Y166" s="16"/>
      <c r="Z166" s="16"/>
      <c r="AA166" s="16"/>
      <c r="AB166" s="16"/>
      <c r="AC166" s="16"/>
    </row>
    <row r="167" ht="12.75" customHeight="1" spans="1:29" x14ac:dyDescent="0.25">
      <c r="A167" s="16"/>
      <c r="B167" s="16"/>
      <c r="C167" s="16"/>
      <c r="D167" s="16"/>
      <c r="E167" s="16"/>
      <c r="F167" s="16"/>
      <c r="G167" s="16"/>
      <c r="H167" s="647"/>
      <c r="I167" s="647"/>
      <c r="J167" s="647"/>
      <c r="K167" s="647"/>
      <c r="L167" s="647"/>
      <c r="M167" s="647"/>
      <c r="N167" s="647"/>
      <c r="O167" s="647"/>
      <c r="P167" s="647"/>
      <c r="Q167" s="647"/>
      <c r="R167" s="647"/>
      <c r="S167" s="647"/>
      <c r="T167" s="647"/>
      <c r="U167" s="16"/>
      <c r="V167" s="16"/>
      <c r="W167" s="16"/>
      <c r="X167" s="16"/>
      <c r="Y167" s="16"/>
      <c r="Z167" s="16"/>
      <c r="AA167" s="16"/>
      <c r="AB167" s="16"/>
      <c r="AC167" s="16"/>
    </row>
    <row r="168" ht="12.75" customHeight="1" spans="1:29" x14ac:dyDescent="0.25">
      <c r="A168" s="16"/>
      <c r="B168" s="16"/>
      <c r="C168" s="16"/>
      <c r="D168" s="16"/>
      <c r="E168" s="16"/>
      <c r="F168" s="16"/>
      <c r="G168" s="16"/>
      <c r="H168" s="647"/>
      <c r="I168" s="647"/>
      <c r="J168" s="647"/>
      <c r="K168" s="647"/>
      <c r="L168" s="647"/>
      <c r="M168" s="647"/>
      <c r="N168" s="647"/>
      <c r="O168" s="647"/>
      <c r="P168" s="647"/>
      <c r="Q168" s="647"/>
      <c r="R168" s="647"/>
      <c r="S168" s="647"/>
      <c r="T168" s="647"/>
      <c r="U168" s="16"/>
      <c r="V168" s="16"/>
      <c r="W168" s="16"/>
      <c r="X168" s="16"/>
      <c r="Y168" s="16"/>
      <c r="Z168" s="16"/>
      <c r="AA168" s="16"/>
      <c r="AB168" s="16"/>
      <c r="AC168" s="16"/>
    </row>
    <row r="169" ht="12.75" customHeight="1" spans="1:29" x14ac:dyDescent="0.25">
      <c r="A169" s="16"/>
      <c r="B169" s="16"/>
      <c r="C169" s="16"/>
      <c r="D169" s="16"/>
      <c r="E169" s="16"/>
      <c r="F169" s="16"/>
      <c r="G169" s="16"/>
      <c r="H169" s="647"/>
      <c r="I169" s="647"/>
      <c r="J169" s="647"/>
      <c r="K169" s="647"/>
      <c r="L169" s="647"/>
      <c r="M169" s="647"/>
      <c r="N169" s="647"/>
      <c r="O169" s="647"/>
      <c r="P169" s="647"/>
      <c r="Q169" s="647"/>
      <c r="R169" s="647"/>
      <c r="S169" s="647"/>
      <c r="T169" s="647"/>
      <c r="U169" s="16"/>
      <c r="V169" s="16"/>
      <c r="W169" s="16"/>
      <c r="X169" s="16"/>
      <c r="Y169" s="16"/>
      <c r="Z169" s="16"/>
      <c r="AA169" s="16"/>
      <c r="AB169" s="16"/>
      <c r="AC169" s="16"/>
    </row>
    <row r="170" ht="12.75" customHeight="1" spans="1:29" x14ac:dyDescent="0.25">
      <c r="A170" s="16"/>
      <c r="B170" s="16"/>
      <c r="C170" s="16"/>
      <c r="D170" s="16"/>
      <c r="E170" s="16"/>
      <c r="F170" s="16"/>
      <c r="G170" s="16"/>
      <c r="H170" s="647"/>
      <c r="I170" s="647"/>
      <c r="J170" s="647"/>
      <c r="K170" s="647"/>
      <c r="L170" s="647"/>
      <c r="M170" s="647"/>
      <c r="N170" s="647"/>
      <c r="O170" s="647"/>
      <c r="P170" s="647"/>
      <c r="Q170" s="647"/>
      <c r="R170" s="647"/>
      <c r="S170" s="647"/>
      <c r="T170" s="647"/>
      <c r="U170" s="16"/>
      <c r="V170" s="16"/>
      <c r="W170" s="16"/>
      <c r="X170" s="16"/>
      <c r="Y170" s="16"/>
      <c r="Z170" s="16"/>
      <c r="AA170" s="16"/>
      <c r="AB170" s="16"/>
      <c r="AC170" s="16"/>
    </row>
    <row r="171" ht="12.75" customHeight="1" spans="1:29" x14ac:dyDescent="0.25">
      <c r="A171" s="16"/>
      <c r="B171" s="16"/>
      <c r="C171" s="16"/>
      <c r="D171" s="16"/>
      <c r="E171" s="16"/>
      <c r="F171" s="16"/>
      <c r="G171" s="16"/>
      <c r="H171" s="647"/>
      <c r="I171" s="647"/>
      <c r="J171" s="647"/>
      <c r="K171" s="647"/>
      <c r="L171" s="647"/>
      <c r="M171" s="647"/>
      <c r="N171" s="647"/>
      <c r="O171" s="647"/>
      <c r="P171" s="647"/>
      <c r="Q171" s="647"/>
      <c r="R171" s="647"/>
      <c r="S171" s="647"/>
      <c r="T171" s="647"/>
      <c r="U171" s="16"/>
      <c r="V171" s="16"/>
      <c r="W171" s="16"/>
      <c r="X171" s="16"/>
      <c r="Y171" s="16"/>
      <c r="Z171" s="16"/>
      <c r="AA171" s="16"/>
      <c r="AB171" s="16"/>
      <c r="AC171" s="16"/>
    </row>
    <row r="172" ht="12.75" customHeight="1" spans="1:29" x14ac:dyDescent="0.25">
      <c r="A172" s="16"/>
      <c r="B172" s="16"/>
      <c r="C172" s="16"/>
      <c r="D172" s="16"/>
      <c r="E172" s="16"/>
      <c r="F172" s="16"/>
      <c r="G172" s="16"/>
      <c r="H172" s="647"/>
      <c r="I172" s="647"/>
      <c r="J172" s="647"/>
      <c r="K172" s="647"/>
      <c r="L172" s="647"/>
      <c r="M172" s="647"/>
      <c r="N172" s="647"/>
      <c r="O172" s="647"/>
      <c r="P172" s="647"/>
      <c r="Q172" s="647"/>
      <c r="R172" s="647"/>
      <c r="S172" s="647"/>
      <c r="T172" s="647"/>
      <c r="U172" s="16"/>
      <c r="V172" s="16"/>
      <c r="W172" s="16"/>
      <c r="X172" s="16"/>
      <c r="Y172" s="16"/>
      <c r="Z172" s="16"/>
      <c r="AA172" s="16"/>
      <c r="AB172" s="16"/>
      <c r="AC172" s="16"/>
    </row>
    <row r="173" ht="12.75" customHeight="1" spans="1:29" x14ac:dyDescent="0.25">
      <c r="A173" s="16"/>
      <c r="B173" s="16"/>
      <c r="C173" s="16"/>
      <c r="D173" s="16"/>
      <c r="E173" s="16"/>
      <c r="F173" s="16"/>
      <c r="G173" s="16"/>
      <c r="H173" s="647"/>
      <c r="I173" s="647"/>
      <c r="J173" s="647"/>
      <c r="K173" s="647"/>
      <c r="L173" s="647"/>
      <c r="M173" s="647"/>
      <c r="N173" s="647"/>
      <c r="O173" s="647"/>
      <c r="P173" s="647"/>
      <c r="Q173" s="647"/>
      <c r="R173" s="647"/>
      <c r="S173" s="647"/>
      <c r="T173" s="647"/>
      <c r="U173" s="16"/>
      <c r="V173" s="16"/>
      <c r="W173" s="16"/>
      <c r="X173" s="16"/>
      <c r="Y173" s="16"/>
      <c r="Z173" s="16"/>
      <c r="AA173" s="16"/>
      <c r="AB173" s="16"/>
      <c r="AC173" s="16"/>
    </row>
    <row r="174" ht="12.75" customHeight="1" spans="1:29" x14ac:dyDescent="0.25">
      <c r="A174" s="16"/>
      <c r="B174" s="16"/>
      <c r="C174" s="16"/>
      <c r="D174" s="16"/>
      <c r="E174" s="16"/>
      <c r="F174" s="16"/>
      <c r="G174" s="16"/>
      <c r="H174" s="647"/>
      <c r="I174" s="647"/>
      <c r="J174" s="647"/>
      <c r="K174" s="647"/>
      <c r="L174" s="647"/>
      <c r="M174" s="647"/>
      <c r="N174" s="647"/>
      <c r="O174" s="647"/>
      <c r="P174" s="647"/>
      <c r="Q174" s="647"/>
      <c r="R174" s="647"/>
      <c r="S174" s="647"/>
      <c r="T174" s="647"/>
      <c r="U174" s="16"/>
      <c r="V174" s="16"/>
      <c r="W174" s="16"/>
      <c r="X174" s="16"/>
      <c r="Y174" s="16"/>
      <c r="Z174" s="16"/>
      <c r="AA174" s="16"/>
      <c r="AB174" s="16"/>
      <c r="AC174" s="16"/>
    </row>
    <row r="175" ht="12.75" customHeight="1" spans="1:29" x14ac:dyDescent="0.25">
      <c r="A175" s="16"/>
      <c r="B175" s="16"/>
      <c r="C175" s="16"/>
      <c r="D175" s="16"/>
      <c r="E175" s="16"/>
      <c r="F175" s="16"/>
      <c r="G175" s="16"/>
      <c r="H175" s="647"/>
      <c r="I175" s="647"/>
      <c r="J175" s="647"/>
      <c r="K175" s="647"/>
      <c r="L175" s="647"/>
      <c r="M175" s="647"/>
      <c r="N175" s="647"/>
      <c r="O175" s="647"/>
      <c r="P175" s="647"/>
      <c r="Q175" s="647"/>
      <c r="R175" s="647"/>
      <c r="S175" s="647"/>
      <c r="T175" s="647"/>
      <c r="U175" s="16"/>
      <c r="V175" s="16"/>
      <c r="W175" s="16"/>
      <c r="X175" s="16"/>
      <c r="Y175" s="16"/>
      <c r="Z175" s="16"/>
      <c r="AA175" s="16"/>
      <c r="AB175" s="16"/>
      <c r="AC175" s="16"/>
    </row>
    <row r="176" ht="12.75" customHeight="1" spans="1:29" x14ac:dyDescent="0.25">
      <c r="A176" s="16"/>
      <c r="B176" s="16"/>
      <c r="C176" s="16"/>
      <c r="D176" s="16"/>
      <c r="E176" s="16"/>
      <c r="F176" s="16"/>
      <c r="G176" s="16"/>
      <c r="H176" s="647"/>
      <c r="I176" s="647"/>
      <c r="J176" s="647"/>
      <c r="K176" s="647"/>
      <c r="L176" s="647"/>
      <c r="M176" s="647"/>
      <c r="N176" s="647"/>
      <c r="O176" s="647"/>
      <c r="P176" s="647"/>
      <c r="Q176" s="647"/>
      <c r="R176" s="647"/>
      <c r="S176" s="647"/>
      <c r="T176" s="647"/>
      <c r="U176" s="16"/>
      <c r="V176" s="16"/>
      <c r="W176" s="16"/>
      <c r="X176" s="16"/>
      <c r="Y176" s="16"/>
      <c r="Z176" s="16"/>
      <c r="AA176" s="16"/>
      <c r="AB176" s="16"/>
      <c r="AC176" s="16"/>
    </row>
    <row r="177" ht="12.75" customHeight="1" spans="1:29" x14ac:dyDescent="0.25">
      <c r="A177" s="16"/>
      <c r="B177" s="16"/>
      <c r="C177" s="16"/>
      <c r="D177" s="16"/>
      <c r="E177" s="16"/>
      <c r="F177" s="16"/>
      <c r="G177" s="16"/>
      <c r="H177" s="647"/>
      <c r="I177" s="647"/>
      <c r="J177" s="647"/>
      <c r="K177" s="647"/>
      <c r="L177" s="647"/>
      <c r="M177" s="647"/>
      <c r="N177" s="647"/>
      <c r="O177" s="647"/>
      <c r="P177" s="647"/>
      <c r="Q177" s="647"/>
      <c r="R177" s="647"/>
      <c r="S177" s="647"/>
      <c r="T177" s="647"/>
      <c r="U177" s="16"/>
      <c r="V177" s="16"/>
      <c r="W177" s="16"/>
      <c r="X177" s="16"/>
      <c r="Y177" s="16"/>
      <c r="Z177" s="16"/>
      <c r="AA177" s="16"/>
      <c r="AB177" s="16"/>
      <c r="AC177" s="16"/>
    </row>
    <row r="178" ht="12.75" customHeight="1" spans="1:29" x14ac:dyDescent="0.25">
      <c r="A178" s="16"/>
      <c r="B178" s="16"/>
      <c r="C178" s="16"/>
      <c r="D178" s="16"/>
      <c r="E178" s="16"/>
      <c r="F178" s="16"/>
      <c r="G178" s="16"/>
      <c r="H178" s="647"/>
      <c r="I178" s="647"/>
      <c r="J178" s="647"/>
      <c r="K178" s="647"/>
      <c r="L178" s="647"/>
      <c r="M178" s="647"/>
      <c r="N178" s="647"/>
      <c r="O178" s="647"/>
      <c r="P178" s="647"/>
      <c r="Q178" s="647"/>
      <c r="R178" s="647"/>
      <c r="S178" s="647"/>
      <c r="T178" s="647"/>
      <c r="U178" s="16"/>
      <c r="V178" s="16"/>
      <c r="W178" s="16"/>
      <c r="X178" s="16"/>
      <c r="Y178" s="16"/>
      <c r="Z178" s="16"/>
      <c r="AA178" s="16"/>
      <c r="AB178" s="16"/>
      <c r="AC178" s="16"/>
    </row>
    <row r="179" ht="12.75" customHeight="1" spans="1:29" x14ac:dyDescent="0.25">
      <c r="A179" s="16"/>
      <c r="B179" s="16"/>
      <c r="C179" s="16"/>
      <c r="D179" s="16"/>
      <c r="E179" s="16"/>
      <c r="F179" s="16"/>
      <c r="G179" s="16"/>
      <c r="H179" s="647"/>
      <c r="I179" s="647"/>
      <c r="J179" s="647"/>
      <c r="K179" s="647"/>
      <c r="L179" s="647"/>
      <c r="M179" s="647"/>
      <c r="N179" s="647"/>
      <c r="O179" s="647"/>
      <c r="P179" s="647"/>
      <c r="Q179" s="647"/>
      <c r="R179" s="647"/>
      <c r="S179" s="647"/>
      <c r="T179" s="647"/>
      <c r="U179" s="16"/>
      <c r="V179" s="16"/>
      <c r="W179" s="16"/>
      <c r="X179" s="16"/>
      <c r="Y179" s="16"/>
      <c r="Z179" s="16"/>
      <c r="AA179" s="16"/>
      <c r="AB179" s="16"/>
      <c r="AC179" s="16"/>
    </row>
    <row r="180" ht="12.75" customHeight="1" spans="1:29" x14ac:dyDescent="0.25">
      <c r="A180" s="16"/>
      <c r="B180" s="16"/>
      <c r="C180" s="16"/>
      <c r="D180" s="16"/>
      <c r="E180" s="16"/>
      <c r="F180" s="16"/>
      <c r="G180" s="16"/>
      <c r="H180" s="647"/>
      <c r="I180" s="647"/>
      <c r="J180" s="647"/>
      <c r="K180" s="647"/>
      <c r="L180" s="647"/>
      <c r="M180" s="647"/>
      <c r="N180" s="647"/>
      <c r="O180" s="647"/>
      <c r="P180" s="647"/>
      <c r="Q180" s="647"/>
      <c r="R180" s="647"/>
      <c r="S180" s="647"/>
      <c r="T180" s="647"/>
      <c r="U180" s="16"/>
      <c r="V180" s="16"/>
      <c r="W180" s="16"/>
      <c r="X180" s="16"/>
      <c r="Y180" s="16"/>
      <c r="Z180" s="16"/>
      <c r="AA180" s="16"/>
      <c r="AB180" s="16"/>
      <c r="AC180" s="16"/>
    </row>
    <row r="181" ht="12.75" customHeight="1" spans="1:29" x14ac:dyDescent="0.25">
      <c r="A181" s="16"/>
      <c r="B181" s="16"/>
      <c r="C181" s="16"/>
      <c r="D181" s="16"/>
      <c r="E181" s="16"/>
      <c r="F181" s="16"/>
      <c r="G181" s="16"/>
      <c r="H181" s="647"/>
      <c r="I181" s="647"/>
      <c r="J181" s="647"/>
      <c r="K181" s="647"/>
      <c r="L181" s="647"/>
      <c r="M181" s="647"/>
      <c r="N181" s="647"/>
      <c r="O181" s="647"/>
      <c r="P181" s="647"/>
      <c r="Q181" s="647"/>
      <c r="R181" s="647"/>
      <c r="S181" s="647"/>
      <c r="T181" s="647"/>
      <c r="U181" s="16"/>
      <c r="V181" s="16"/>
      <c r="W181" s="16"/>
      <c r="X181" s="16"/>
      <c r="Y181" s="16"/>
      <c r="Z181" s="16"/>
      <c r="AA181" s="16"/>
      <c r="AB181" s="16"/>
      <c r="AC181" s="16"/>
    </row>
    <row r="182" ht="12.75" customHeight="1" spans="1:29" x14ac:dyDescent="0.25">
      <c r="A182" s="16"/>
      <c r="B182" s="16"/>
      <c r="C182" s="16"/>
      <c r="D182" s="16"/>
      <c r="E182" s="16"/>
      <c r="F182" s="16"/>
      <c r="G182" s="16"/>
      <c r="H182" s="647"/>
      <c r="I182" s="647"/>
      <c r="J182" s="647"/>
      <c r="K182" s="647"/>
      <c r="L182" s="647"/>
      <c r="M182" s="647"/>
      <c r="N182" s="647"/>
      <c r="O182" s="647"/>
      <c r="P182" s="647"/>
      <c r="Q182" s="647"/>
      <c r="R182" s="647"/>
      <c r="S182" s="647"/>
      <c r="T182" s="647"/>
      <c r="U182" s="16"/>
      <c r="V182" s="16"/>
      <c r="W182" s="16"/>
      <c r="X182" s="16"/>
      <c r="Y182" s="16"/>
      <c r="Z182" s="16"/>
      <c r="AA182" s="16"/>
      <c r="AB182" s="16"/>
      <c r="AC182" s="16"/>
    </row>
    <row r="183" ht="12.75" customHeight="1" spans="1:29" x14ac:dyDescent="0.25">
      <c r="A183" s="16"/>
      <c r="B183" s="16"/>
      <c r="C183" s="16"/>
      <c r="D183" s="16"/>
      <c r="E183" s="16"/>
      <c r="F183" s="16"/>
      <c r="G183" s="16"/>
      <c r="H183" s="647"/>
      <c r="I183" s="647"/>
      <c r="J183" s="647"/>
      <c r="K183" s="647"/>
      <c r="L183" s="647"/>
      <c r="M183" s="647"/>
      <c r="N183" s="647"/>
      <c r="O183" s="647"/>
      <c r="P183" s="647"/>
      <c r="Q183" s="647"/>
      <c r="R183" s="647"/>
      <c r="S183" s="647"/>
      <c r="T183" s="647"/>
      <c r="U183" s="16"/>
      <c r="V183" s="16"/>
      <c r="W183" s="16"/>
      <c r="X183" s="16"/>
      <c r="Y183" s="16"/>
      <c r="Z183" s="16"/>
      <c r="AA183" s="16"/>
      <c r="AB183" s="16"/>
      <c r="AC183" s="16"/>
    </row>
    <row r="184" ht="12.75" customHeight="1" spans="1:29" x14ac:dyDescent="0.25">
      <c r="A184" s="16"/>
      <c r="B184" s="16"/>
      <c r="C184" s="16"/>
      <c r="D184" s="16"/>
      <c r="E184" s="16"/>
      <c r="F184" s="16"/>
      <c r="G184" s="16"/>
      <c r="H184" s="647"/>
      <c r="I184" s="647"/>
      <c r="J184" s="647"/>
      <c r="K184" s="647"/>
      <c r="L184" s="647"/>
      <c r="M184" s="647"/>
      <c r="N184" s="647"/>
      <c r="O184" s="647"/>
      <c r="P184" s="647"/>
      <c r="Q184" s="647"/>
      <c r="R184" s="647"/>
      <c r="S184" s="647"/>
      <c r="T184" s="647"/>
      <c r="U184" s="16"/>
      <c r="V184" s="16"/>
      <c r="W184" s="16"/>
      <c r="X184" s="16"/>
      <c r="Y184" s="16"/>
      <c r="Z184" s="16"/>
      <c r="AA184" s="16"/>
      <c r="AB184" s="16"/>
      <c r="AC184" s="16"/>
    </row>
    <row r="185" ht="12.75" customHeight="1" spans="1:29" x14ac:dyDescent="0.25">
      <c r="A185" s="16"/>
      <c r="B185" s="16"/>
      <c r="C185" s="16"/>
      <c r="D185" s="16"/>
      <c r="E185" s="16"/>
      <c r="F185" s="16"/>
      <c r="G185" s="16"/>
      <c r="H185" s="647"/>
      <c r="I185" s="647"/>
      <c r="J185" s="647"/>
      <c r="K185" s="647"/>
      <c r="L185" s="647"/>
      <c r="M185" s="647"/>
      <c r="N185" s="647"/>
      <c r="O185" s="647"/>
      <c r="P185" s="647"/>
      <c r="Q185" s="647"/>
      <c r="R185" s="647"/>
      <c r="S185" s="647"/>
      <c r="T185" s="647"/>
      <c r="U185" s="16"/>
      <c r="V185" s="16"/>
      <c r="W185" s="16"/>
      <c r="X185" s="16"/>
      <c r="Y185" s="16"/>
      <c r="Z185" s="16"/>
      <c r="AA185" s="16"/>
      <c r="AB185" s="16"/>
      <c r="AC185" s="16"/>
    </row>
    <row r="186" ht="12.75" customHeight="1" spans="1:29" x14ac:dyDescent="0.25">
      <c r="A186" s="16"/>
      <c r="B186" s="16"/>
      <c r="C186" s="16"/>
      <c r="D186" s="16"/>
      <c r="E186" s="16"/>
      <c r="F186" s="16"/>
      <c r="G186" s="16"/>
      <c r="H186" s="647"/>
      <c r="I186" s="647"/>
      <c r="J186" s="647"/>
      <c r="K186" s="647"/>
      <c r="L186" s="647"/>
      <c r="M186" s="647"/>
      <c r="N186" s="647"/>
      <c r="O186" s="647"/>
      <c r="P186" s="647"/>
      <c r="Q186" s="647"/>
      <c r="R186" s="647"/>
      <c r="S186" s="647"/>
      <c r="T186" s="647"/>
      <c r="U186" s="16"/>
      <c r="V186" s="16"/>
      <c r="W186" s="16"/>
      <c r="X186" s="16"/>
      <c r="Y186" s="16"/>
      <c r="Z186" s="16"/>
      <c r="AA186" s="16"/>
      <c r="AB186" s="16"/>
      <c r="AC186" s="16"/>
    </row>
    <row r="187" ht="12.75" customHeight="1" spans="1:29" x14ac:dyDescent="0.25">
      <c r="A187" s="16"/>
      <c r="B187" s="16"/>
      <c r="C187" s="16"/>
      <c r="D187" s="16"/>
      <c r="E187" s="16"/>
      <c r="F187" s="16"/>
      <c r="G187" s="16"/>
      <c r="H187" s="647"/>
      <c r="I187" s="647"/>
      <c r="J187" s="647"/>
      <c r="K187" s="647"/>
      <c r="L187" s="647"/>
      <c r="M187" s="647"/>
      <c r="N187" s="647"/>
      <c r="O187" s="647"/>
      <c r="P187" s="647"/>
      <c r="Q187" s="647"/>
      <c r="R187" s="647"/>
      <c r="S187" s="647"/>
      <c r="T187" s="647"/>
      <c r="U187" s="16"/>
      <c r="V187" s="16"/>
      <c r="W187" s="16"/>
      <c r="X187" s="16"/>
      <c r="Y187" s="16"/>
      <c r="Z187" s="16"/>
      <c r="AA187" s="16"/>
      <c r="AB187" s="16"/>
      <c r="AC187" s="16"/>
    </row>
    <row r="188" ht="12.75" customHeight="1" spans="1:29" x14ac:dyDescent="0.25">
      <c r="A188" s="16"/>
      <c r="B188" s="16"/>
      <c r="C188" s="16"/>
      <c r="D188" s="16"/>
      <c r="E188" s="16"/>
      <c r="F188" s="16"/>
      <c r="G188" s="16"/>
      <c r="H188" s="647"/>
      <c r="I188" s="647"/>
      <c r="J188" s="647"/>
      <c r="K188" s="647"/>
      <c r="L188" s="647"/>
      <c r="M188" s="647"/>
      <c r="N188" s="647"/>
      <c r="O188" s="647"/>
      <c r="P188" s="647"/>
      <c r="Q188" s="647"/>
      <c r="R188" s="647"/>
      <c r="S188" s="647"/>
      <c r="T188" s="647"/>
      <c r="U188" s="16"/>
      <c r="V188" s="16"/>
      <c r="W188" s="16"/>
      <c r="X188" s="16"/>
      <c r="Y188" s="16"/>
      <c r="Z188" s="16"/>
      <c r="AA188" s="16"/>
      <c r="AB188" s="16"/>
      <c r="AC188" s="16"/>
    </row>
    <row r="189" ht="12.75" customHeight="1" spans="1:29" x14ac:dyDescent="0.25">
      <c r="A189" s="16"/>
      <c r="B189" s="16"/>
      <c r="C189" s="16"/>
      <c r="D189" s="16"/>
      <c r="E189" s="16"/>
      <c r="F189" s="16"/>
      <c r="G189" s="16"/>
      <c r="H189" s="647"/>
      <c r="I189" s="647"/>
      <c r="J189" s="647"/>
      <c r="K189" s="647"/>
      <c r="L189" s="647"/>
      <c r="M189" s="647"/>
      <c r="N189" s="647"/>
      <c r="O189" s="647"/>
      <c r="P189" s="647"/>
      <c r="Q189" s="647"/>
      <c r="R189" s="647"/>
      <c r="S189" s="647"/>
      <c r="T189" s="647"/>
      <c r="U189" s="16"/>
      <c r="V189" s="16"/>
      <c r="W189" s="16"/>
      <c r="X189" s="16"/>
      <c r="Y189" s="16"/>
      <c r="Z189" s="16"/>
      <c r="AA189" s="16"/>
      <c r="AB189" s="16"/>
      <c r="AC189" s="16"/>
    </row>
    <row r="190" ht="12.75" customHeight="1" spans="1:29" x14ac:dyDescent="0.25">
      <c r="A190" s="16"/>
      <c r="B190" s="16"/>
      <c r="C190" s="16"/>
      <c r="D190" s="16"/>
      <c r="E190" s="16"/>
      <c r="F190" s="16"/>
      <c r="G190" s="16"/>
      <c r="H190" s="647"/>
      <c r="I190" s="647"/>
      <c r="J190" s="647"/>
      <c r="K190" s="647"/>
      <c r="L190" s="647"/>
      <c r="M190" s="647"/>
      <c r="N190" s="647"/>
      <c r="O190" s="647"/>
      <c r="P190" s="647"/>
      <c r="Q190" s="647"/>
      <c r="R190" s="647"/>
      <c r="S190" s="647"/>
      <c r="T190" s="647"/>
      <c r="U190" s="16"/>
      <c r="V190" s="16"/>
      <c r="W190" s="16"/>
      <c r="X190" s="16"/>
      <c r="Y190" s="16"/>
      <c r="Z190" s="16"/>
      <c r="AA190" s="16"/>
      <c r="AB190" s="16"/>
      <c r="AC190" s="16"/>
    </row>
    <row r="191" ht="12.75" customHeight="1" spans="1:29" x14ac:dyDescent="0.25">
      <c r="A191" s="16"/>
      <c r="B191" s="16"/>
      <c r="C191" s="16"/>
      <c r="D191" s="16"/>
      <c r="E191" s="16"/>
      <c r="F191" s="16"/>
      <c r="G191" s="16"/>
      <c r="H191" s="647"/>
      <c r="I191" s="647"/>
      <c r="J191" s="647"/>
      <c r="K191" s="647"/>
      <c r="L191" s="647"/>
      <c r="M191" s="647"/>
      <c r="N191" s="647"/>
      <c r="O191" s="647"/>
      <c r="P191" s="647"/>
      <c r="Q191" s="647"/>
      <c r="R191" s="647"/>
      <c r="S191" s="647"/>
      <c r="T191" s="647"/>
      <c r="U191" s="16"/>
      <c r="V191" s="16"/>
      <c r="W191" s="16"/>
      <c r="X191" s="16"/>
      <c r="Y191" s="16"/>
      <c r="Z191" s="16"/>
      <c r="AA191" s="16"/>
      <c r="AB191" s="16"/>
      <c r="AC191" s="16"/>
    </row>
    <row r="192" ht="12.75" customHeight="1" spans="1:29" x14ac:dyDescent="0.25">
      <c r="A192" s="16"/>
      <c r="B192" s="16"/>
      <c r="C192" s="16"/>
      <c r="D192" s="16"/>
      <c r="E192" s="16"/>
      <c r="F192" s="16"/>
      <c r="G192" s="16"/>
      <c r="H192" s="647"/>
      <c r="I192" s="647"/>
      <c r="J192" s="647"/>
      <c r="K192" s="647"/>
      <c r="L192" s="647"/>
      <c r="M192" s="647"/>
      <c r="N192" s="647"/>
      <c r="O192" s="647"/>
      <c r="P192" s="647"/>
      <c r="Q192" s="647"/>
      <c r="R192" s="647"/>
      <c r="S192" s="647"/>
      <c r="T192" s="647"/>
      <c r="U192" s="16"/>
      <c r="V192" s="16"/>
      <c r="W192" s="16"/>
      <c r="X192" s="16"/>
      <c r="Y192" s="16"/>
      <c r="Z192" s="16"/>
      <c r="AA192" s="16"/>
      <c r="AB192" s="16"/>
      <c r="AC192" s="16"/>
    </row>
    <row r="193" ht="12.75" customHeight="1" spans="1:29" x14ac:dyDescent="0.25">
      <c r="A193" s="16"/>
      <c r="B193" s="16"/>
      <c r="C193" s="16"/>
      <c r="D193" s="16"/>
      <c r="E193" s="16"/>
      <c r="F193" s="16"/>
      <c r="G193" s="16"/>
      <c r="H193" s="647"/>
      <c r="I193" s="647"/>
      <c r="J193" s="647"/>
      <c r="K193" s="647"/>
      <c r="L193" s="647"/>
      <c r="M193" s="647"/>
      <c r="N193" s="647"/>
      <c r="O193" s="647"/>
      <c r="P193" s="647"/>
      <c r="Q193" s="647"/>
      <c r="R193" s="647"/>
      <c r="S193" s="647"/>
      <c r="T193" s="647"/>
      <c r="U193" s="16"/>
      <c r="V193" s="16"/>
      <c r="W193" s="16"/>
      <c r="X193" s="16"/>
      <c r="Y193" s="16"/>
      <c r="Z193" s="16"/>
      <c r="AA193" s="16"/>
      <c r="AB193" s="16"/>
      <c r="AC193" s="16"/>
    </row>
    <row r="194" ht="12.75" customHeight="1" spans="1:29" x14ac:dyDescent="0.25">
      <c r="A194" s="16"/>
      <c r="B194" s="16"/>
      <c r="C194" s="16"/>
      <c r="D194" s="16"/>
      <c r="E194" s="16"/>
      <c r="F194" s="16"/>
      <c r="G194" s="16"/>
      <c r="H194" s="647"/>
      <c r="I194" s="647"/>
      <c r="J194" s="647"/>
      <c r="K194" s="647"/>
      <c r="L194" s="647"/>
      <c r="M194" s="647"/>
      <c r="N194" s="647"/>
      <c r="O194" s="647"/>
      <c r="P194" s="647"/>
      <c r="Q194" s="647"/>
      <c r="R194" s="647"/>
      <c r="S194" s="647"/>
      <c r="T194" s="647"/>
      <c r="U194" s="16"/>
      <c r="V194" s="16"/>
      <c r="W194" s="16"/>
      <c r="X194" s="16"/>
      <c r="Y194" s="16"/>
      <c r="Z194" s="16"/>
      <c r="AA194" s="16"/>
      <c r="AB194" s="16"/>
      <c r="AC194" s="16"/>
    </row>
    <row r="195" ht="12.75" customHeight="1" spans="1:29" x14ac:dyDescent="0.25">
      <c r="A195" s="16"/>
      <c r="B195" s="16"/>
      <c r="C195" s="16"/>
      <c r="D195" s="16"/>
      <c r="E195" s="16"/>
      <c r="F195" s="16"/>
      <c r="G195" s="16"/>
      <c r="H195" s="647"/>
      <c r="I195" s="647"/>
      <c r="J195" s="647"/>
      <c r="K195" s="647"/>
      <c r="L195" s="647"/>
      <c r="M195" s="647"/>
      <c r="N195" s="647"/>
      <c r="O195" s="647"/>
      <c r="P195" s="647"/>
      <c r="Q195" s="647"/>
      <c r="R195" s="647"/>
      <c r="S195" s="647"/>
      <c r="T195" s="647"/>
      <c r="U195" s="16"/>
      <c r="V195" s="16"/>
      <c r="W195" s="16"/>
      <c r="X195" s="16"/>
      <c r="Y195" s="16"/>
      <c r="Z195" s="16"/>
      <c r="AA195" s="16"/>
      <c r="AB195" s="16"/>
      <c r="AC195" s="16"/>
    </row>
    <row r="196" ht="12.75" customHeight="1" spans="1:29" x14ac:dyDescent="0.25">
      <c r="A196" s="16"/>
      <c r="B196" s="16"/>
      <c r="C196" s="16"/>
      <c r="D196" s="16"/>
      <c r="E196" s="16"/>
      <c r="F196" s="16"/>
      <c r="G196" s="16"/>
      <c r="H196" s="647"/>
      <c r="I196" s="647"/>
      <c r="J196" s="647"/>
      <c r="K196" s="647"/>
      <c r="L196" s="647"/>
      <c r="M196" s="647"/>
      <c r="N196" s="647"/>
      <c r="O196" s="647"/>
      <c r="P196" s="647"/>
      <c r="Q196" s="647"/>
      <c r="R196" s="647"/>
      <c r="S196" s="647"/>
      <c r="T196" s="647"/>
      <c r="U196" s="16"/>
      <c r="V196" s="16"/>
      <c r="W196" s="16"/>
      <c r="X196" s="16"/>
      <c r="Y196" s="16"/>
      <c r="Z196" s="16"/>
      <c r="AA196" s="16"/>
      <c r="AB196" s="16"/>
      <c r="AC196" s="16"/>
    </row>
    <row r="197" ht="12.75" customHeight="1" spans="1:29" x14ac:dyDescent="0.25">
      <c r="A197" s="16"/>
      <c r="B197" s="16"/>
      <c r="C197" s="16"/>
      <c r="D197" s="16"/>
      <c r="E197" s="16"/>
      <c r="F197" s="16"/>
      <c r="G197" s="16"/>
      <c r="H197" s="647"/>
      <c r="I197" s="647"/>
      <c r="J197" s="647"/>
      <c r="K197" s="647"/>
      <c r="L197" s="647"/>
      <c r="M197" s="647"/>
      <c r="N197" s="647"/>
      <c r="O197" s="647"/>
      <c r="P197" s="647"/>
      <c r="Q197" s="647"/>
      <c r="R197" s="647"/>
      <c r="S197" s="647"/>
      <c r="T197" s="647"/>
      <c r="U197" s="16"/>
      <c r="V197" s="16"/>
      <c r="W197" s="16"/>
      <c r="X197" s="16"/>
      <c r="Y197" s="16"/>
      <c r="Z197" s="16"/>
      <c r="AA197" s="16"/>
      <c r="AB197" s="16"/>
      <c r="AC197" s="16"/>
    </row>
    <row r="198" ht="12.75" customHeight="1" spans="1:29" x14ac:dyDescent="0.25">
      <c r="A198" s="16"/>
      <c r="B198" s="16"/>
      <c r="C198" s="16"/>
      <c r="D198" s="16"/>
      <c r="E198" s="16"/>
      <c r="F198" s="16"/>
      <c r="G198" s="16"/>
      <c r="H198" s="647"/>
      <c r="I198" s="647"/>
      <c r="J198" s="647"/>
      <c r="K198" s="647"/>
      <c r="L198" s="647"/>
      <c r="M198" s="647"/>
      <c r="N198" s="647"/>
      <c r="O198" s="647"/>
      <c r="P198" s="647"/>
      <c r="Q198" s="647"/>
      <c r="R198" s="647"/>
      <c r="S198" s="647"/>
      <c r="T198" s="647"/>
      <c r="U198" s="16"/>
      <c r="V198" s="16"/>
      <c r="W198" s="16"/>
      <c r="X198" s="16"/>
      <c r="Y198" s="16"/>
      <c r="Z198" s="16"/>
      <c r="AA198" s="16"/>
      <c r="AB198" s="16"/>
      <c r="AC198" s="16"/>
    </row>
    <row r="199" ht="12.75" customHeight="1" spans="1:29" x14ac:dyDescent="0.25">
      <c r="A199" s="16"/>
      <c r="B199" s="16"/>
      <c r="C199" s="16"/>
      <c r="D199" s="16"/>
      <c r="E199" s="16"/>
      <c r="F199" s="16"/>
      <c r="G199" s="16"/>
      <c r="H199" s="647"/>
      <c r="I199" s="647"/>
      <c r="J199" s="647"/>
      <c r="K199" s="647"/>
      <c r="L199" s="647"/>
      <c r="M199" s="647"/>
      <c r="N199" s="647"/>
      <c r="O199" s="647"/>
      <c r="P199" s="647"/>
      <c r="Q199" s="647"/>
      <c r="R199" s="647"/>
      <c r="S199" s="647"/>
      <c r="T199" s="647"/>
      <c r="U199" s="16"/>
      <c r="V199" s="16"/>
      <c r="W199" s="16"/>
      <c r="X199" s="16"/>
      <c r="Y199" s="16"/>
      <c r="Z199" s="16"/>
      <c r="AA199" s="16"/>
      <c r="AB199" s="16"/>
      <c r="AC199" s="16"/>
    </row>
    <row r="200" ht="12.75" customHeight="1" spans="1:29" x14ac:dyDescent="0.25">
      <c r="A200" s="16"/>
      <c r="B200" s="16"/>
      <c r="C200" s="16"/>
      <c r="D200" s="16"/>
      <c r="E200" s="16"/>
      <c r="F200" s="16"/>
      <c r="G200" s="16"/>
      <c r="H200" s="647"/>
      <c r="I200" s="647"/>
      <c r="J200" s="647"/>
      <c r="K200" s="647"/>
      <c r="L200" s="647"/>
      <c r="M200" s="647"/>
      <c r="N200" s="647"/>
      <c r="O200" s="647"/>
      <c r="P200" s="647"/>
      <c r="Q200" s="647"/>
      <c r="R200" s="647"/>
      <c r="S200" s="647"/>
      <c r="T200" s="647"/>
      <c r="U200" s="16"/>
      <c r="V200" s="16"/>
      <c r="W200" s="16"/>
      <c r="X200" s="16"/>
      <c r="Y200" s="16"/>
      <c r="Z200" s="16"/>
      <c r="AA200" s="16"/>
      <c r="AB200" s="16"/>
      <c r="AC200" s="16"/>
    </row>
    <row r="201" ht="12.75" customHeight="1" spans="1:29" x14ac:dyDescent="0.25">
      <c r="A201" s="16"/>
      <c r="B201" s="16"/>
      <c r="C201" s="16"/>
      <c r="D201" s="16"/>
      <c r="E201" s="16"/>
      <c r="F201" s="16"/>
      <c r="G201" s="16"/>
      <c r="H201" s="647"/>
      <c r="I201" s="647"/>
      <c r="J201" s="647"/>
      <c r="K201" s="647"/>
      <c r="L201" s="647"/>
      <c r="M201" s="647"/>
      <c r="N201" s="647"/>
      <c r="O201" s="647"/>
      <c r="P201" s="647"/>
      <c r="Q201" s="647"/>
      <c r="R201" s="647"/>
      <c r="S201" s="647"/>
      <c r="T201" s="647"/>
      <c r="U201" s="16"/>
      <c r="V201" s="16"/>
      <c r="W201" s="16"/>
      <c r="X201" s="16"/>
      <c r="Y201" s="16"/>
      <c r="Z201" s="16"/>
      <c r="AA201" s="16"/>
      <c r="AB201" s="16"/>
      <c r="AC201" s="16"/>
    </row>
    <row r="202" ht="12.75" customHeight="1" spans="1:29" x14ac:dyDescent="0.25">
      <c r="A202" s="16"/>
      <c r="B202" s="16"/>
      <c r="C202" s="16"/>
      <c r="D202" s="16"/>
      <c r="E202" s="16"/>
      <c r="F202" s="16"/>
      <c r="G202" s="16"/>
      <c r="H202" s="647"/>
      <c r="I202" s="647"/>
      <c r="J202" s="647"/>
      <c r="K202" s="647"/>
      <c r="L202" s="647"/>
      <c r="M202" s="647"/>
      <c r="N202" s="647"/>
      <c r="O202" s="647"/>
      <c r="P202" s="647"/>
      <c r="Q202" s="647"/>
      <c r="R202" s="647"/>
      <c r="S202" s="647"/>
      <c r="T202" s="647"/>
      <c r="U202" s="16"/>
      <c r="V202" s="16"/>
      <c r="W202" s="16"/>
      <c r="X202" s="16"/>
      <c r="Y202" s="16"/>
      <c r="Z202" s="16"/>
      <c r="AA202" s="16"/>
      <c r="AB202" s="16"/>
      <c r="AC202" s="16"/>
    </row>
    <row r="203" ht="12.75" customHeight="1" spans="1:29" x14ac:dyDescent="0.25">
      <c r="A203" s="16"/>
      <c r="B203" s="16"/>
      <c r="C203" s="16"/>
      <c r="D203" s="16"/>
      <c r="E203" s="16"/>
      <c r="F203" s="16"/>
      <c r="G203" s="16"/>
      <c r="H203" s="647"/>
      <c r="I203" s="647"/>
      <c r="J203" s="647"/>
      <c r="K203" s="647"/>
      <c r="L203" s="647"/>
      <c r="M203" s="647"/>
      <c r="N203" s="647"/>
      <c r="O203" s="647"/>
      <c r="P203" s="647"/>
      <c r="Q203" s="647"/>
      <c r="R203" s="647"/>
      <c r="S203" s="647"/>
      <c r="T203" s="647"/>
      <c r="U203" s="16"/>
      <c r="V203" s="16"/>
      <c r="W203" s="16"/>
      <c r="X203" s="16"/>
      <c r="Y203" s="16"/>
      <c r="Z203" s="16"/>
      <c r="AA203" s="16"/>
      <c r="AB203" s="16"/>
      <c r="AC203" s="16"/>
    </row>
    <row r="204" ht="12.75" customHeight="1" spans="1:29" x14ac:dyDescent="0.25">
      <c r="A204" s="16"/>
      <c r="B204" s="16"/>
      <c r="C204" s="16"/>
      <c r="D204" s="16"/>
      <c r="E204" s="16"/>
      <c r="F204" s="16"/>
      <c r="G204" s="16"/>
      <c r="H204" s="647"/>
      <c r="I204" s="647"/>
      <c r="J204" s="647"/>
      <c r="K204" s="647"/>
      <c r="L204" s="647"/>
      <c r="M204" s="647"/>
      <c r="N204" s="647"/>
      <c r="O204" s="647"/>
      <c r="P204" s="647"/>
      <c r="Q204" s="647"/>
      <c r="R204" s="647"/>
      <c r="S204" s="647"/>
      <c r="T204" s="647"/>
      <c r="U204" s="16"/>
      <c r="V204" s="16"/>
      <c r="W204" s="16"/>
      <c r="X204" s="16"/>
      <c r="Y204" s="16"/>
      <c r="Z204" s="16"/>
      <c r="AA204" s="16"/>
      <c r="AB204" s="16"/>
      <c r="AC204" s="16"/>
    </row>
    <row r="205" ht="12.75" customHeight="1" spans="1:29" x14ac:dyDescent="0.25">
      <c r="A205" s="16"/>
      <c r="B205" s="16"/>
      <c r="C205" s="16"/>
      <c r="D205" s="16"/>
      <c r="E205" s="16"/>
      <c r="F205" s="16"/>
      <c r="G205" s="16"/>
      <c r="H205" s="647"/>
      <c r="I205" s="647"/>
      <c r="J205" s="647"/>
      <c r="K205" s="647"/>
      <c r="L205" s="647"/>
      <c r="M205" s="647"/>
      <c r="N205" s="647"/>
      <c r="O205" s="647"/>
      <c r="P205" s="647"/>
      <c r="Q205" s="647"/>
      <c r="R205" s="647"/>
      <c r="S205" s="647"/>
      <c r="T205" s="647"/>
      <c r="U205" s="16"/>
      <c r="V205" s="16"/>
      <c r="W205" s="16"/>
      <c r="X205" s="16"/>
      <c r="Y205" s="16"/>
      <c r="Z205" s="16"/>
      <c r="AA205" s="16"/>
      <c r="AB205" s="16"/>
      <c r="AC205" s="16"/>
    </row>
    <row r="206" ht="12.75" customHeight="1" spans="1:29" x14ac:dyDescent="0.25">
      <c r="A206" s="16"/>
      <c r="B206" s="16"/>
      <c r="C206" s="16"/>
      <c r="D206" s="16"/>
      <c r="E206" s="16"/>
      <c r="F206" s="16"/>
      <c r="G206" s="16"/>
      <c r="H206" s="647"/>
      <c r="I206" s="647"/>
      <c r="J206" s="647"/>
      <c r="K206" s="647"/>
      <c r="L206" s="647"/>
      <c r="M206" s="647"/>
      <c r="N206" s="647"/>
      <c r="O206" s="647"/>
      <c r="P206" s="647"/>
      <c r="Q206" s="647"/>
      <c r="R206" s="647"/>
      <c r="S206" s="647"/>
      <c r="T206" s="647"/>
      <c r="U206" s="16"/>
      <c r="V206" s="16"/>
      <c r="W206" s="16"/>
      <c r="X206" s="16"/>
      <c r="Y206" s="16"/>
      <c r="Z206" s="16"/>
      <c r="AA206" s="16"/>
      <c r="AB206" s="16"/>
      <c r="AC206" s="16"/>
    </row>
    <row r="207" ht="12.75" customHeight="1" spans="1:29" x14ac:dyDescent="0.25">
      <c r="A207" s="16"/>
      <c r="B207" s="16"/>
      <c r="C207" s="16"/>
      <c r="D207" s="16"/>
      <c r="E207" s="16"/>
      <c r="F207" s="16"/>
      <c r="G207" s="16"/>
      <c r="H207" s="647"/>
      <c r="I207" s="647"/>
      <c r="J207" s="647"/>
      <c r="K207" s="647"/>
      <c r="L207" s="647"/>
      <c r="M207" s="647"/>
      <c r="N207" s="647"/>
      <c r="O207" s="647"/>
      <c r="P207" s="647"/>
      <c r="Q207" s="647"/>
      <c r="R207" s="647"/>
      <c r="S207" s="647"/>
      <c r="T207" s="647"/>
      <c r="U207" s="16"/>
      <c r="V207" s="16"/>
      <c r="W207" s="16"/>
      <c r="X207" s="16"/>
      <c r="Y207" s="16"/>
      <c r="Z207" s="16"/>
      <c r="AA207" s="16"/>
      <c r="AB207" s="16"/>
      <c r="AC207" s="16"/>
    </row>
    <row r="208" ht="12.75" customHeight="1" spans="1:29" x14ac:dyDescent="0.25">
      <c r="A208" s="16"/>
      <c r="B208" s="16"/>
      <c r="C208" s="16"/>
      <c r="D208" s="16"/>
      <c r="E208" s="16"/>
      <c r="F208" s="16"/>
      <c r="G208" s="16"/>
      <c r="H208" s="647"/>
      <c r="I208" s="647"/>
      <c r="J208" s="647"/>
      <c r="K208" s="647"/>
      <c r="L208" s="647"/>
      <c r="M208" s="647"/>
      <c r="N208" s="647"/>
      <c r="O208" s="647"/>
      <c r="P208" s="647"/>
      <c r="Q208" s="647"/>
      <c r="R208" s="647"/>
      <c r="S208" s="647"/>
      <c r="T208" s="647"/>
      <c r="U208" s="16"/>
      <c r="V208" s="16"/>
      <c r="W208" s="16"/>
      <c r="X208" s="16"/>
      <c r="Y208" s="16"/>
      <c r="Z208" s="16"/>
      <c r="AA208" s="16"/>
      <c r="AB208" s="16"/>
      <c r="AC208" s="16"/>
    </row>
    <row r="209" ht="12.75" customHeight="1" spans="1:29" x14ac:dyDescent="0.25">
      <c r="A209" s="16"/>
      <c r="B209" s="16"/>
      <c r="C209" s="16"/>
      <c r="D209" s="16"/>
      <c r="E209" s="16"/>
      <c r="F209" s="16"/>
      <c r="G209" s="16"/>
      <c r="H209" s="647"/>
      <c r="I209" s="647"/>
      <c r="J209" s="647"/>
      <c r="K209" s="647"/>
      <c r="L209" s="647"/>
      <c r="M209" s="647"/>
      <c r="N209" s="647"/>
      <c r="O209" s="647"/>
      <c r="P209" s="647"/>
      <c r="Q209" s="647"/>
      <c r="R209" s="647"/>
      <c r="S209" s="647"/>
      <c r="T209" s="647"/>
      <c r="U209" s="16"/>
      <c r="V209" s="16"/>
      <c r="W209" s="16"/>
      <c r="X209" s="16"/>
      <c r="Y209" s="16"/>
      <c r="Z209" s="16"/>
      <c r="AA209" s="16"/>
      <c r="AB209" s="16"/>
      <c r="AC209" s="16"/>
    </row>
    <row r="210" ht="12.75" customHeight="1" spans="1:29" x14ac:dyDescent="0.25">
      <c r="A210" s="16"/>
      <c r="B210" s="16"/>
      <c r="C210" s="16"/>
      <c r="D210" s="16"/>
      <c r="E210" s="16"/>
      <c r="F210" s="16"/>
      <c r="G210" s="16"/>
      <c r="H210" s="647"/>
      <c r="I210" s="647"/>
      <c r="J210" s="647"/>
      <c r="K210" s="647"/>
      <c r="L210" s="647"/>
      <c r="M210" s="647"/>
      <c r="N210" s="647"/>
      <c r="O210" s="647"/>
      <c r="P210" s="647"/>
      <c r="Q210" s="647"/>
      <c r="R210" s="647"/>
      <c r="S210" s="647"/>
      <c r="T210" s="647"/>
      <c r="U210" s="16"/>
      <c r="V210" s="16"/>
      <c r="W210" s="16"/>
      <c r="X210" s="16"/>
      <c r="Y210" s="16"/>
      <c r="Z210" s="16"/>
      <c r="AA210" s="16"/>
      <c r="AB210" s="16"/>
      <c r="AC210" s="16"/>
    </row>
    <row r="211" ht="12.75" customHeight="1" spans="1:29" x14ac:dyDescent="0.25">
      <c r="A211" s="16"/>
      <c r="B211" s="16"/>
      <c r="C211" s="16"/>
      <c r="D211" s="16"/>
      <c r="E211" s="16"/>
      <c r="F211" s="16"/>
      <c r="G211" s="16"/>
      <c r="H211" s="647"/>
      <c r="I211" s="647"/>
      <c r="J211" s="647"/>
      <c r="K211" s="647"/>
      <c r="L211" s="647"/>
      <c r="M211" s="647"/>
      <c r="N211" s="647"/>
      <c r="O211" s="647"/>
      <c r="P211" s="647"/>
      <c r="Q211" s="647"/>
      <c r="R211" s="647"/>
      <c r="S211" s="647"/>
      <c r="T211" s="647"/>
      <c r="U211" s="16"/>
      <c r="V211" s="16"/>
      <c r="W211" s="16"/>
      <c r="X211" s="16"/>
      <c r="Y211" s="16"/>
      <c r="Z211" s="16"/>
      <c r="AA211" s="16"/>
      <c r="AB211" s="16"/>
      <c r="AC211" s="16"/>
    </row>
    <row r="212" ht="12.75" customHeight="1" spans="1:29" x14ac:dyDescent="0.25">
      <c r="A212" s="16"/>
      <c r="B212" s="16"/>
      <c r="C212" s="16"/>
      <c r="D212" s="16"/>
      <c r="E212" s="16"/>
      <c r="F212" s="16"/>
      <c r="G212" s="16"/>
      <c r="H212" s="647"/>
      <c r="I212" s="647"/>
      <c r="J212" s="647"/>
      <c r="K212" s="647"/>
      <c r="L212" s="647"/>
      <c r="M212" s="647"/>
      <c r="N212" s="647"/>
      <c r="O212" s="647"/>
      <c r="P212" s="647"/>
      <c r="Q212" s="647"/>
      <c r="R212" s="647"/>
      <c r="S212" s="647"/>
      <c r="T212" s="647"/>
      <c r="U212" s="16"/>
      <c r="V212" s="16"/>
      <c r="W212" s="16"/>
      <c r="X212" s="16"/>
      <c r="Y212" s="16"/>
      <c r="Z212" s="16"/>
      <c r="AA212" s="16"/>
      <c r="AB212" s="16"/>
      <c r="AC212" s="16"/>
    </row>
    <row r="213" ht="12.75" customHeight="1" spans="1:29" x14ac:dyDescent="0.25">
      <c r="A213" s="16"/>
      <c r="B213" s="16"/>
      <c r="C213" s="16"/>
      <c r="D213" s="16"/>
      <c r="E213" s="16"/>
      <c r="F213" s="16"/>
      <c r="G213" s="16"/>
      <c r="H213" s="647"/>
      <c r="I213" s="647"/>
      <c r="J213" s="647"/>
      <c r="K213" s="647"/>
      <c r="L213" s="647"/>
      <c r="M213" s="647"/>
      <c r="N213" s="647"/>
      <c r="O213" s="647"/>
      <c r="P213" s="647"/>
      <c r="Q213" s="647"/>
      <c r="R213" s="647"/>
      <c r="S213" s="647"/>
      <c r="T213" s="647"/>
      <c r="U213" s="16"/>
      <c r="V213" s="16"/>
      <c r="W213" s="16"/>
      <c r="X213" s="16"/>
      <c r="Y213" s="16"/>
      <c r="Z213" s="16"/>
      <c r="AA213" s="16"/>
      <c r="AB213" s="16"/>
      <c r="AC213" s="16"/>
    </row>
    <row r="214" ht="12.75" customHeight="1" spans="1:29" x14ac:dyDescent="0.25">
      <c r="A214" s="16"/>
      <c r="B214" s="16"/>
      <c r="C214" s="16"/>
      <c r="D214" s="16"/>
      <c r="E214" s="16"/>
      <c r="F214" s="16"/>
      <c r="G214" s="16"/>
      <c r="H214" s="647"/>
      <c r="I214" s="647"/>
      <c r="J214" s="647"/>
      <c r="K214" s="647"/>
      <c r="L214" s="647"/>
      <c r="M214" s="647"/>
      <c r="N214" s="647"/>
      <c r="O214" s="647"/>
      <c r="P214" s="647"/>
      <c r="Q214" s="647"/>
      <c r="R214" s="647"/>
      <c r="S214" s="647"/>
      <c r="T214" s="647"/>
      <c r="U214" s="16"/>
      <c r="V214" s="16"/>
      <c r="W214" s="16"/>
      <c r="X214" s="16"/>
      <c r="Y214" s="16"/>
      <c r="Z214" s="16"/>
      <c r="AA214" s="16"/>
      <c r="AB214" s="16"/>
      <c r="AC214" s="16"/>
    </row>
    <row r="215" ht="12.75" customHeight="1" spans="1:29" x14ac:dyDescent="0.25">
      <c r="A215" s="16"/>
      <c r="B215" s="16"/>
      <c r="C215" s="16"/>
      <c r="D215" s="16"/>
      <c r="E215" s="16"/>
      <c r="F215" s="16"/>
      <c r="G215" s="16"/>
      <c r="H215" s="647"/>
      <c r="I215" s="647"/>
      <c r="J215" s="647"/>
      <c r="K215" s="647"/>
      <c r="L215" s="647"/>
      <c r="M215" s="647"/>
      <c r="N215" s="647"/>
      <c r="O215" s="647"/>
      <c r="P215" s="647"/>
      <c r="Q215" s="647"/>
      <c r="R215" s="647"/>
      <c r="S215" s="647"/>
      <c r="T215" s="647"/>
      <c r="U215" s="16"/>
      <c r="V215" s="16"/>
      <c r="W215" s="16"/>
      <c r="X215" s="16"/>
      <c r="Y215" s="16"/>
      <c r="Z215" s="16"/>
      <c r="AA215" s="16"/>
      <c r="AB215" s="16"/>
      <c r="AC215" s="16"/>
    </row>
    <row r="216" ht="12.75" customHeight="1" spans="1:29" x14ac:dyDescent="0.25">
      <c r="A216" s="16"/>
      <c r="B216" s="16"/>
      <c r="C216" s="16"/>
      <c r="D216" s="16"/>
      <c r="E216" s="16"/>
      <c r="F216" s="16"/>
      <c r="G216" s="16"/>
      <c r="H216" s="647"/>
      <c r="I216" s="647"/>
      <c r="J216" s="647"/>
      <c r="K216" s="647"/>
      <c r="L216" s="647"/>
      <c r="M216" s="647"/>
      <c r="N216" s="647"/>
      <c r="O216" s="647"/>
      <c r="P216" s="647"/>
      <c r="Q216" s="647"/>
      <c r="R216" s="647"/>
      <c r="S216" s="647"/>
      <c r="T216" s="647"/>
      <c r="U216" s="16"/>
      <c r="V216" s="16"/>
      <c r="W216" s="16"/>
      <c r="X216" s="16"/>
      <c r="Y216" s="16"/>
      <c r="Z216" s="16"/>
      <c r="AA216" s="16"/>
      <c r="AB216" s="16"/>
      <c r="AC216" s="16"/>
    </row>
    <row r="217" ht="12.75" customHeight="1" spans="1:29" x14ac:dyDescent="0.25">
      <c r="A217" s="16"/>
      <c r="B217" s="16"/>
      <c r="C217" s="16"/>
      <c r="D217" s="16"/>
      <c r="E217" s="16"/>
      <c r="F217" s="16"/>
      <c r="G217" s="16"/>
      <c r="H217" s="647"/>
      <c r="I217" s="647"/>
      <c r="J217" s="647"/>
      <c r="K217" s="647"/>
      <c r="L217" s="647"/>
      <c r="M217" s="647"/>
      <c r="N217" s="647"/>
      <c r="O217" s="647"/>
      <c r="P217" s="647"/>
      <c r="Q217" s="647"/>
      <c r="R217" s="647"/>
      <c r="S217" s="647"/>
      <c r="T217" s="647"/>
      <c r="U217" s="16"/>
      <c r="V217" s="16"/>
      <c r="W217" s="16"/>
      <c r="X217" s="16"/>
      <c r="Y217" s="16"/>
      <c r="Z217" s="16"/>
      <c r="AA217" s="16"/>
      <c r="AB217" s="16"/>
      <c r="AC217" s="16"/>
    </row>
    <row r="218" ht="12.75" customHeight="1" spans="1:29" x14ac:dyDescent="0.25">
      <c r="A218" s="16"/>
      <c r="B218" s="16"/>
      <c r="C218" s="16"/>
      <c r="D218" s="16"/>
      <c r="E218" s="16"/>
      <c r="F218" s="16"/>
      <c r="G218" s="16"/>
      <c r="H218" s="647"/>
      <c r="I218" s="647"/>
      <c r="J218" s="647"/>
      <c r="K218" s="647"/>
      <c r="L218" s="647"/>
      <c r="M218" s="647"/>
      <c r="N218" s="647"/>
      <c r="O218" s="647"/>
      <c r="P218" s="647"/>
      <c r="Q218" s="647"/>
      <c r="R218" s="647"/>
      <c r="S218" s="647"/>
      <c r="T218" s="647"/>
      <c r="U218" s="16"/>
      <c r="V218" s="16"/>
      <c r="W218" s="16"/>
      <c r="X218" s="16"/>
      <c r="Y218" s="16"/>
      <c r="Z218" s="16"/>
      <c r="AA218" s="16"/>
      <c r="AB218" s="16"/>
      <c r="AC218" s="16"/>
    </row>
    <row r="219" ht="12.75" customHeight="1" spans="1:29" x14ac:dyDescent="0.25">
      <c r="A219" s="16"/>
      <c r="B219" s="16"/>
      <c r="C219" s="16"/>
      <c r="D219" s="16"/>
      <c r="E219" s="16"/>
      <c r="F219" s="16"/>
      <c r="G219" s="16"/>
      <c r="H219" s="647"/>
      <c r="I219" s="647"/>
      <c r="J219" s="647"/>
      <c r="K219" s="647"/>
      <c r="L219" s="647"/>
      <c r="M219" s="647"/>
      <c r="N219" s="647"/>
      <c r="O219" s="647"/>
      <c r="P219" s="647"/>
      <c r="Q219" s="647"/>
      <c r="R219" s="647"/>
      <c r="S219" s="647"/>
      <c r="T219" s="647"/>
      <c r="U219" s="16"/>
      <c r="V219" s="16"/>
      <c r="W219" s="16"/>
      <c r="X219" s="16"/>
      <c r="Y219" s="16"/>
      <c r="Z219" s="16"/>
      <c r="AA219" s="16"/>
      <c r="AB219" s="16"/>
      <c r="AC219" s="16"/>
    </row>
    <row r="220" ht="12.75" customHeight="1" spans="1:29" x14ac:dyDescent="0.25">
      <c r="A220" s="16"/>
      <c r="B220" s="16"/>
      <c r="C220" s="16"/>
      <c r="D220" s="16"/>
      <c r="E220" s="16"/>
      <c r="F220" s="16"/>
      <c r="G220" s="16"/>
      <c r="H220" s="647"/>
      <c r="I220" s="647"/>
      <c r="J220" s="647"/>
      <c r="K220" s="647"/>
      <c r="L220" s="647"/>
      <c r="M220" s="647"/>
      <c r="N220" s="647"/>
      <c r="O220" s="647"/>
      <c r="P220" s="647"/>
      <c r="Q220" s="647"/>
      <c r="R220" s="647"/>
      <c r="S220" s="647"/>
      <c r="T220" s="647"/>
      <c r="U220" s="16"/>
      <c r="V220" s="16"/>
      <c r="W220" s="16"/>
      <c r="X220" s="16"/>
      <c r="Y220" s="16"/>
      <c r="Z220" s="16"/>
      <c r="AA220" s="16"/>
      <c r="AB220" s="16"/>
      <c r="AC220" s="16"/>
    </row>
    <row r="221" ht="12.75" customHeight="1" spans="1:29" x14ac:dyDescent="0.25">
      <c r="A221" s="16"/>
      <c r="B221" s="16"/>
      <c r="C221" s="16"/>
      <c r="D221" s="16"/>
      <c r="E221" s="16"/>
      <c r="F221" s="16"/>
      <c r="G221" s="16"/>
      <c r="H221" s="647"/>
      <c r="I221" s="647"/>
      <c r="J221" s="647"/>
      <c r="K221" s="647"/>
      <c r="L221" s="647"/>
      <c r="M221" s="647"/>
      <c r="N221" s="647"/>
      <c r="O221" s="647"/>
      <c r="P221" s="647"/>
      <c r="Q221" s="647"/>
      <c r="R221" s="647"/>
      <c r="S221" s="647"/>
      <c r="T221" s="647"/>
      <c r="U221" s="16"/>
      <c r="V221" s="16"/>
      <c r="W221" s="16"/>
      <c r="X221" s="16"/>
      <c r="Y221" s="16"/>
      <c r="Z221" s="16"/>
      <c r="AA221" s="16"/>
      <c r="AB221" s="16"/>
      <c r="AC221" s="16"/>
    </row>
    <row r="222" ht="12.75" customHeight="1" spans="1:29" x14ac:dyDescent="0.25">
      <c r="A222" s="16"/>
      <c r="B222" s="16"/>
      <c r="C222" s="16"/>
      <c r="D222" s="16"/>
      <c r="E222" s="16"/>
      <c r="F222" s="16"/>
      <c r="G222" s="16"/>
      <c r="H222" s="647"/>
      <c r="I222" s="647"/>
      <c r="J222" s="647"/>
      <c r="K222" s="647"/>
      <c r="L222" s="647"/>
      <c r="M222" s="647"/>
      <c r="N222" s="647"/>
      <c r="O222" s="647"/>
      <c r="P222" s="647"/>
      <c r="Q222" s="647"/>
      <c r="R222" s="647"/>
      <c r="S222" s="647"/>
      <c r="T222" s="647"/>
      <c r="U222" s="16"/>
      <c r="V222" s="16"/>
      <c r="W222" s="16"/>
      <c r="X222" s="16"/>
      <c r="Y222" s="16"/>
      <c r="Z222" s="16"/>
      <c r="AA222" s="16"/>
      <c r="AB222" s="16"/>
      <c r="AC222" s="16"/>
    </row>
    <row r="223" ht="12.75" customHeight="1" spans="1:29" x14ac:dyDescent="0.25">
      <c r="A223" s="16"/>
      <c r="B223" s="16"/>
      <c r="C223" s="16"/>
      <c r="D223" s="16"/>
      <c r="E223" s="16"/>
      <c r="F223" s="16"/>
      <c r="G223" s="16"/>
      <c r="H223" s="647"/>
      <c r="I223" s="647"/>
      <c r="J223" s="647"/>
      <c r="K223" s="647"/>
      <c r="L223" s="647"/>
      <c r="M223" s="647"/>
      <c r="N223" s="647"/>
      <c r="O223" s="647"/>
      <c r="P223" s="647"/>
      <c r="Q223" s="647"/>
      <c r="R223" s="647"/>
      <c r="S223" s="647"/>
      <c r="T223" s="647"/>
      <c r="U223" s="16"/>
      <c r="V223" s="16"/>
      <c r="W223" s="16"/>
      <c r="X223" s="16"/>
      <c r="Y223" s="16"/>
      <c r="Z223" s="16"/>
      <c r="AA223" s="16"/>
      <c r="AB223" s="16"/>
      <c r="AC223" s="16"/>
    </row>
    <row r="224" ht="12.75" customHeight="1" spans="1:29" x14ac:dyDescent="0.25">
      <c r="A224" s="16"/>
      <c r="B224" s="16"/>
      <c r="C224" s="16"/>
      <c r="D224" s="16"/>
      <c r="E224" s="16"/>
      <c r="F224" s="16"/>
      <c r="G224" s="16"/>
      <c r="H224" s="647"/>
      <c r="I224" s="647"/>
      <c r="J224" s="647"/>
      <c r="K224" s="647"/>
      <c r="L224" s="647"/>
      <c r="M224" s="647"/>
      <c r="N224" s="647"/>
      <c r="O224" s="647"/>
      <c r="P224" s="647"/>
      <c r="Q224" s="647"/>
      <c r="R224" s="647"/>
      <c r="S224" s="647"/>
      <c r="T224" s="647"/>
      <c r="U224" s="16"/>
      <c r="V224" s="16"/>
      <c r="W224" s="16"/>
      <c r="X224" s="16"/>
      <c r="Y224" s="16"/>
      <c r="Z224" s="16"/>
      <c r="AA224" s="16"/>
      <c r="AB224" s="16"/>
      <c r="AC224" s="16"/>
    </row>
    <row r="225" ht="12.75" customHeight="1" spans="1:29" x14ac:dyDescent="0.25">
      <c r="A225" s="16"/>
      <c r="B225" s="16"/>
      <c r="C225" s="16"/>
      <c r="D225" s="16"/>
      <c r="E225" s="16"/>
      <c r="F225" s="16"/>
      <c r="G225" s="16"/>
      <c r="H225" s="647"/>
      <c r="I225" s="647"/>
      <c r="J225" s="647"/>
      <c r="K225" s="647"/>
      <c r="L225" s="647"/>
      <c r="M225" s="647"/>
      <c r="N225" s="647"/>
      <c r="O225" s="647"/>
      <c r="P225" s="647"/>
      <c r="Q225" s="647"/>
      <c r="R225" s="647"/>
      <c r="S225" s="647"/>
      <c r="T225" s="647"/>
      <c r="U225" s="16"/>
      <c r="V225" s="16"/>
      <c r="W225" s="16"/>
      <c r="X225" s="16"/>
      <c r="Y225" s="16"/>
      <c r="Z225" s="16"/>
      <c r="AA225" s="16"/>
      <c r="AB225" s="16"/>
      <c r="AC225" s="16"/>
    </row>
    <row r="226" ht="12.75" customHeight="1" spans="1:29" x14ac:dyDescent="0.25">
      <c r="A226" s="16"/>
      <c r="B226" s="16"/>
      <c r="C226" s="16"/>
      <c r="D226" s="16"/>
      <c r="E226" s="16"/>
      <c r="F226" s="16"/>
      <c r="G226" s="16"/>
      <c r="H226" s="647"/>
      <c r="I226" s="647"/>
      <c r="J226" s="647"/>
      <c r="K226" s="647"/>
      <c r="L226" s="647"/>
      <c r="M226" s="647"/>
      <c r="N226" s="647"/>
      <c r="O226" s="647"/>
      <c r="P226" s="647"/>
      <c r="Q226" s="647"/>
      <c r="R226" s="647"/>
      <c r="S226" s="647"/>
      <c r="T226" s="647"/>
      <c r="U226" s="16"/>
      <c r="V226" s="16"/>
      <c r="W226" s="16"/>
      <c r="X226" s="16"/>
      <c r="Y226" s="16"/>
      <c r="Z226" s="16"/>
      <c r="AA226" s="16"/>
      <c r="AB226" s="16"/>
      <c r="AC226" s="16"/>
    </row>
    <row r="227" ht="12.75" customHeight="1" spans="1:29" x14ac:dyDescent="0.25">
      <c r="A227" s="16"/>
      <c r="B227" s="16"/>
      <c r="C227" s="16"/>
      <c r="D227" s="16"/>
      <c r="E227" s="16"/>
      <c r="F227" s="16"/>
      <c r="G227" s="16"/>
      <c r="H227" s="647"/>
      <c r="I227" s="647"/>
      <c r="J227" s="647"/>
      <c r="K227" s="647"/>
      <c r="L227" s="647"/>
      <c r="M227" s="647"/>
      <c r="N227" s="647"/>
      <c r="O227" s="647"/>
      <c r="P227" s="647"/>
      <c r="Q227" s="647"/>
      <c r="R227" s="647"/>
      <c r="S227" s="647"/>
      <c r="T227" s="647"/>
      <c r="U227" s="16"/>
      <c r="V227" s="16"/>
      <c r="W227" s="16"/>
      <c r="X227" s="16"/>
      <c r="Y227" s="16"/>
      <c r="Z227" s="16"/>
      <c r="AA227" s="16"/>
      <c r="AB227" s="16"/>
      <c r="AC227" s="16"/>
    </row>
    <row r="228" ht="12.75" customHeight="1" spans="1:29" x14ac:dyDescent="0.25">
      <c r="A228" s="16"/>
      <c r="B228" s="16"/>
      <c r="C228" s="16"/>
      <c r="D228" s="16"/>
      <c r="E228" s="16"/>
      <c r="F228" s="16"/>
      <c r="G228" s="16"/>
      <c r="H228" s="647"/>
      <c r="I228" s="647"/>
      <c r="J228" s="647"/>
      <c r="K228" s="647"/>
      <c r="L228" s="647"/>
      <c r="M228" s="647"/>
      <c r="N228" s="647"/>
      <c r="O228" s="647"/>
      <c r="P228" s="647"/>
      <c r="Q228" s="647"/>
      <c r="R228" s="647"/>
      <c r="S228" s="647"/>
      <c r="T228" s="647"/>
      <c r="U228" s="16"/>
      <c r="V228" s="16"/>
      <c r="W228" s="16"/>
      <c r="X228" s="16"/>
      <c r="Y228" s="16"/>
      <c r="Z228" s="16"/>
      <c r="AA228" s="16"/>
      <c r="AB228" s="16"/>
      <c r="AC228" s="16"/>
    </row>
    <row r="229" ht="12.75" customHeight="1" spans="1:29" x14ac:dyDescent="0.25">
      <c r="A229" s="16"/>
      <c r="B229" s="16"/>
      <c r="C229" s="16"/>
      <c r="D229" s="16"/>
      <c r="E229" s="16"/>
      <c r="F229" s="16"/>
      <c r="G229" s="16"/>
      <c r="H229" s="647"/>
      <c r="I229" s="647"/>
      <c r="J229" s="647"/>
      <c r="K229" s="647"/>
      <c r="L229" s="647"/>
      <c r="M229" s="647"/>
      <c r="N229" s="647"/>
      <c r="O229" s="647"/>
      <c r="P229" s="647"/>
      <c r="Q229" s="647"/>
      <c r="R229" s="647"/>
      <c r="S229" s="647"/>
      <c r="T229" s="647"/>
      <c r="U229" s="16"/>
      <c r="V229" s="16"/>
      <c r="W229" s="16"/>
      <c r="X229" s="16"/>
      <c r="Y229" s="16"/>
      <c r="Z229" s="16"/>
      <c r="AA229" s="16"/>
      <c r="AB229" s="16"/>
      <c r="AC229" s="16"/>
    </row>
    <row r="230" ht="12.75" customHeight="1" spans="1:29" x14ac:dyDescent="0.25">
      <c r="A230" s="16"/>
      <c r="B230" s="16"/>
      <c r="C230" s="16"/>
      <c r="D230" s="16"/>
      <c r="E230" s="16"/>
      <c r="F230" s="16"/>
      <c r="G230" s="16"/>
      <c r="H230" s="647"/>
      <c r="I230" s="647"/>
      <c r="J230" s="647"/>
      <c r="K230" s="647"/>
      <c r="L230" s="647"/>
      <c r="M230" s="647"/>
      <c r="N230" s="647"/>
      <c r="O230" s="647"/>
      <c r="P230" s="647"/>
      <c r="Q230" s="647"/>
      <c r="R230" s="647"/>
      <c r="S230" s="647"/>
      <c r="T230" s="647"/>
      <c r="U230" s="16"/>
      <c r="V230" s="16"/>
      <c r="W230" s="16"/>
      <c r="X230" s="16"/>
      <c r="Y230" s="16"/>
      <c r="Z230" s="16"/>
      <c r="AA230" s="16"/>
      <c r="AB230" s="16"/>
      <c r="AC230" s="16"/>
    </row>
    <row r="231" ht="12.75" customHeight="1" spans="1:29" x14ac:dyDescent="0.25">
      <c r="A231" s="16"/>
      <c r="B231" s="16"/>
      <c r="C231" s="16"/>
      <c r="D231" s="16"/>
      <c r="E231" s="16"/>
      <c r="F231" s="16"/>
      <c r="G231" s="16"/>
      <c r="H231" s="647"/>
      <c r="I231" s="647"/>
      <c r="J231" s="647"/>
      <c r="K231" s="647"/>
      <c r="L231" s="647"/>
      <c r="M231" s="647"/>
      <c r="N231" s="647"/>
      <c r="O231" s="647"/>
      <c r="P231" s="647"/>
      <c r="Q231" s="647"/>
      <c r="R231" s="647"/>
      <c r="S231" s="647"/>
      <c r="T231" s="647"/>
      <c r="U231" s="16"/>
      <c r="V231" s="16"/>
      <c r="W231" s="16"/>
      <c r="X231" s="16"/>
      <c r="Y231" s="16"/>
      <c r="Z231" s="16"/>
      <c r="AA231" s="16"/>
      <c r="AB231" s="16"/>
      <c r="AC231" s="16"/>
    </row>
    <row r="232" ht="12.75" customHeight="1" spans="1:29" x14ac:dyDescent="0.25">
      <c r="A232" s="16"/>
      <c r="B232" s="16"/>
      <c r="C232" s="16"/>
      <c r="D232" s="16"/>
      <c r="E232" s="16"/>
      <c r="F232" s="16"/>
      <c r="G232" s="16"/>
      <c r="H232" s="647"/>
      <c r="I232" s="647"/>
      <c r="J232" s="647"/>
      <c r="K232" s="647"/>
      <c r="L232" s="647"/>
      <c r="M232" s="647"/>
      <c r="N232" s="647"/>
      <c r="O232" s="647"/>
      <c r="P232" s="647"/>
      <c r="Q232" s="647"/>
      <c r="R232" s="647"/>
      <c r="S232" s="647"/>
      <c r="T232" s="647"/>
      <c r="U232" s="16"/>
      <c r="V232" s="16"/>
      <c r="W232" s="16"/>
      <c r="X232" s="16"/>
      <c r="Y232" s="16"/>
      <c r="Z232" s="16"/>
      <c r="AA232" s="16"/>
      <c r="AB232" s="16"/>
      <c r="AC232" s="16"/>
    </row>
    <row r="233" ht="12.75" customHeight="1" spans="1:29" x14ac:dyDescent="0.25">
      <c r="A233" s="16"/>
      <c r="B233" s="16"/>
      <c r="C233" s="16"/>
      <c r="D233" s="16"/>
      <c r="E233" s="16"/>
      <c r="F233" s="16"/>
      <c r="G233" s="16"/>
      <c r="H233" s="647"/>
      <c r="I233" s="647"/>
      <c r="J233" s="647"/>
      <c r="K233" s="647"/>
      <c r="L233" s="647"/>
      <c r="M233" s="647"/>
      <c r="N233" s="647"/>
      <c r="O233" s="647"/>
      <c r="P233" s="647"/>
      <c r="Q233" s="647"/>
      <c r="R233" s="647"/>
      <c r="S233" s="647"/>
      <c r="T233" s="647"/>
      <c r="U233" s="16"/>
      <c r="V233" s="16"/>
      <c r="W233" s="16"/>
      <c r="X233" s="16"/>
      <c r="Y233" s="16"/>
      <c r="Z233" s="16"/>
      <c r="AA233" s="16"/>
      <c r="AB233" s="16"/>
      <c r="AC233" s="16"/>
    </row>
    <row r="234" ht="12.75" customHeight="1" spans="1:29" x14ac:dyDescent="0.25">
      <c r="A234" s="16"/>
      <c r="B234" s="16"/>
      <c r="C234" s="16"/>
      <c r="D234" s="16"/>
      <c r="E234" s="16"/>
      <c r="F234" s="16"/>
      <c r="G234" s="16"/>
      <c r="H234" s="647"/>
      <c r="I234" s="647"/>
      <c r="J234" s="647"/>
      <c r="K234" s="647"/>
      <c r="L234" s="647"/>
      <c r="M234" s="647"/>
      <c r="N234" s="647"/>
      <c r="O234" s="647"/>
      <c r="P234" s="647"/>
      <c r="Q234" s="647"/>
      <c r="R234" s="647"/>
      <c r="S234" s="647"/>
      <c r="T234" s="647"/>
      <c r="U234" s="16"/>
      <c r="V234" s="16"/>
      <c r="W234" s="16"/>
      <c r="X234" s="16"/>
      <c r="Y234" s="16"/>
      <c r="Z234" s="16"/>
      <c r="AA234" s="16"/>
      <c r="AB234" s="16"/>
      <c r="AC234" s="16"/>
    </row>
    <row r="235" ht="12.75" customHeight="1" spans="1:29" x14ac:dyDescent="0.25">
      <c r="A235" s="16"/>
      <c r="B235" s="16"/>
      <c r="C235" s="16"/>
      <c r="D235" s="16"/>
      <c r="E235" s="16"/>
      <c r="F235" s="16"/>
      <c r="G235" s="16"/>
      <c r="H235" s="647"/>
      <c r="I235" s="647"/>
      <c r="J235" s="647"/>
      <c r="K235" s="647"/>
      <c r="L235" s="647"/>
      <c r="M235" s="647"/>
      <c r="N235" s="647"/>
      <c r="O235" s="647"/>
      <c r="P235" s="647"/>
      <c r="Q235" s="647"/>
      <c r="R235" s="647"/>
      <c r="S235" s="647"/>
      <c r="T235" s="647"/>
      <c r="U235" s="16"/>
      <c r="V235" s="16"/>
      <c r="W235" s="16"/>
      <c r="X235" s="16"/>
      <c r="Y235" s="16"/>
      <c r="Z235" s="16"/>
      <c r="AA235" s="16"/>
      <c r="AB235" s="16"/>
      <c r="AC235" s="16"/>
    </row>
    <row r="236" ht="12.75" customHeight="1" spans="1:29" x14ac:dyDescent="0.25">
      <c r="A236" s="16"/>
      <c r="B236" s="16"/>
      <c r="C236" s="16"/>
      <c r="D236" s="16"/>
      <c r="E236" s="16"/>
      <c r="F236" s="16"/>
      <c r="G236" s="16"/>
      <c r="H236" s="647"/>
      <c r="I236" s="647"/>
      <c r="J236" s="647"/>
      <c r="K236" s="647"/>
      <c r="L236" s="647"/>
      <c r="M236" s="647"/>
      <c r="N236" s="647"/>
      <c r="O236" s="647"/>
      <c r="P236" s="647"/>
      <c r="Q236" s="647"/>
      <c r="R236" s="647"/>
      <c r="S236" s="647"/>
      <c r="T236" s="647"/>
      <c r="U236" s="16"/>
      <c r="V236" s="16"/>
      <c r="W236" s="16"/>
      <c r="X236" s="16"/>
      <c r="Y236" s="16"/>
      <c r="Z236" s="16"/>
      <c r="AA236" s="16"/>
      <c r="AB236" s="16"/>
      <c r="AC236" s="16"/>
    </row>
    <row r="237" ht="12.75" customHeight="1" spans="1:29" x14ac:dyDescent="0.25">
      <c r="A237" s="16"/>
      <c r="B237" s="16"/>
      <c r="C237" s="16"/>
      <c r="D237" s="16"/>
      <c r="E237" s="16"/>
      <c r="F237" s="16"/>
      <c r="G237" s="16"/>
      <c r="H237" s="647"/>
      <c r="I237" s="647"/>
      <c r="J237" s="647"/>
      <c r="K237" s="647"/>
      <c r="L237" s="647"/>
      <c r="M237" s="647"/>
      <c r="N237" s="647"/>
      <c r="O237" s="647"/>
      <c r="P237" s="647"/>
      <c r="Q237" s="647"/>
      <c r="R237" s="647"/>
      <c r="S237" s="647"/>
      <c r="T237" s="647"/>
      <c r="U237" s="16"/>
      <c r="V237" s="16"/>
      <c r="W237" s="16"/>
      <c r="X237" s="16"/>
      <c r="Y237" s="16"/>
      <c r="Z237" s="16"/>
      <c r="AA237" s="16"/>
      <c r="AB237" s="16"/>
      <c r="AC237" s="16"/>
    </row>
    <row r="238" ht="12.75" customHeight="1" spans="1:29" x14ac:dyDescent="0.25">
      <c r="A238" s="16"/>
      <c r="B238" s="16"/>
      <c r="C238" s="16"/>
      <c r="D238" s="16"/>
      <c r="E238" s="16"/>
      <c r="F238" s="16"/>
      <c r="G238" s="16"/>
      <c r="H238" s="647"/>
      <c r="I238" s="647"/>
      <c r="J238" s="647"/>
      <c r="K238" s="647"/>
      <c r="L238" s="647"/>
      <c r="M238" s="647"/>
      <c r="N238" s="647"/>
      <c r="O238" s="647"/>
      <c r="P238" s="647"/>
      <c r="Q238" s="647"/>
      <c r="R238" s="647"/>
      <c r="S238" s="647"/>
      <c r="T238" s="647"/>
      <c r="U238" s="16"/>
      <c r="V238" s="16"/>
      <c r="W238" s="16"/>
      <c r="X238" s="16"/>
      <c r="Y238" s="16"/>
      <c r="Z238" s="16"/>
      <c r="AA238" s="16"/>
      <c r="AB238" s="16"/>
      <c r="AC238" s="16"/>
    </row>
    <row r="239" ht="12.75" customHeight="1" spans="1:29" x14ac:dyDescent="0.25">
      <c r="A239" s="16"/>
      <c r="B239" s="16"/>
      <c r="C239" s="16"/>
      <c r="D239" s="16"/>
      <c r="E239" s="16"/>
      <c r="F239" s="16"/>
      <c r="G239" s="16"/>
      <c r="H239" s="647"/>
      <c r="I239" s="647"/>
      <c r="J239" s="647"/>
      <c r="K239" s="647"/>
      <c r="L239" s="647"/>
      <c r="M239" s="647"/>
      <c r="N239" s="647"/>
      <c r="O239" s="647"/>
      <c r="P239" s="647"/>
      <c r="Q239" s="647"/>
      <c r="R239" s="647"/>
      <c r="S239" s="647"/>
      <c r="T239" s="647"/>
      <c r="U239" s="16"/>
      <c r="V239" s="16"/>
      <c r="W239" s="16"/>
      <c r="X239" s="16"/>
      <c r="Y239" s="16"/>
      <c r="Z239" s="16"/>
      <c r="AA239" s="16"/>
      <c r="AB239" s="16"/>
      <c r="AC239" s="16"/>
    </row>
    <row r="240" ht="12.75" customHeight="1" spans="1:29" x14ac:dyDescent="0.25">
      <c r="A240" s="16"/>
      <c r="B240" s="16"/>
      <c r="C240" s="16"/>
      <c r="D240" s="16"/>
      <c r="E240" s="16"/>
      <c r="F240" s="16"/>
      <c r="G240" s="16"/>
      <c r="H240" s="647"/>
      <c r="I240" s="647"/>
      <c r="J240" s="647"/>
      <c r="K240" s="647"/>
      <c r="L240" s="647"/>
      <c r="M240" s="647"/>
      <c r="N240" s="647"/>
      <c r="O240" s="647"/>
      <c r="P240" s="647"/>
      <c r="Q240" s="647"/>
      <c r="R240" s="647"/>
      <c r="S240" s="647"/>
      <c r="T240" s="647"/>
      <c r="U240" s="16"/>
      <c r="V240" s="16"/>
      <c r="W240" s="16"/>
      <c r="X240" s="16"/>
      <c r="Y240" s="16"/>
      <c r="Z240" s="16"/>
      <c r="AA240" s="16"/>
      <c r="AB240" s="16"/>
      <c r="AC240" s="16"/>
    </row>
    <row r="241" ht="12.75" customHeight="1" spans="1:29" x14ac:dyDescent="0.25">
      <c r="A241" s="16"/>
      <c r="B241" s="16"/>
      <c r="C241" s="16"/>
      <c r="D241" s="16"/>
      <c r="E241" s="16"/>
      <c r="F241" s="16"/>
      <c r="G241" s="16"/>
      <c r="H241" s="647"/>
      <c r="I241" s="647"/>
      <c r="J241" s="647"/>
      <c r="K241" s="647"/>
      <c r="L241" s="647"/>
      <c r="M241" s="647"/>
      <c r="N241" s="647"/>
      <c r="O241" s="647"/>
      <c r="P241" s="647"/>
      <c r="Q241" s="647"/>
      <c r="R241" s="647"/>
      <c r="S241" s="647"/>
      <c r="T241" s="647"/>
      <c r="U241" s="16"/>
      <c r="V241" s="16"/>
      <c r="W241" s="16"/>
      <c r="X241" s="16"/>
      <c r="Y241" s="16"/>
      <c r="Z241" s="16"/>
      <c r="AA241" s="16"/>
      <c r="AB241" s="16"/>
      <c r="AC241" s="16"/>
    </row>
    <row r="242" ht="12.75" customHeight="1" spans="1:29" x14ac:dyDescent="0.25">
      <c r="A242" s="16"/>
      <c r="B242" s="16"/>
      <c r="C242" s="16"/>
      <c r="D242" s="16"/>
      <c r="E242" s="16"/>
      <c r="F242" s="16"/>
      <c r="G242" s="16"/>
      <c r="H242" s="647"/>
      <c r="I242" s="647"/>
      <c r="J242" s="647"/>
      <c r="K242" s="647"/>
      <c r="L242" s="647"/>
      <c r="M242" s="647"/>
      <c r="N242" s="647"/>
      <c r="O242" s="647"/>
      <c r="P242" s="647"/>
      <c r="Q242" s="647"/>
      <c r="R242" s="647"/>
      <c r="S242" s="647"/>
      <c r="T242" s="647"/>
      <c r="U242" s="16"/>
      <c r="V242" s="16"/>
      <c r="W242" s="16"/>
      <c r="X242" s="16"/>
      <c r="Y242" s="16"/>
      <c r="Z242" s="16"/>
      <c r="AA242" s="16"/>
      <c r="AB242" s="16"/>
      <c r="AC242" s="16"/>
    </row>
    <row r="243" ht="12.75" customHeight="1" spans="1:29" x14ac:dyDescent="0.25">
      <c r="A243" s="16"/>
      <c r="B243" s="16"/>
      <c r="C243" s="16"/>
      <c r="D243" s="16"/>
      <c r="E243" s="16"/>
      <c r="F243" s="16"/>
      <c r="G243" s="16"/>
      <c r="H243" s="647"/>
      <c r="I243" s="647"/>
      <c r="J243" s="647"/>
      <c r="K243" s="647"/>
      <c r="L243" s="647"/>
      <c r="M243" s="647"/>
      <c r="N243" s="647"/>
      <c r="O243" s="647"/>
      <c r="P243" s="647"/>
      <c r="Q243" s="647"/>
      <c r="R243" s="647"/>
      <c r="S243" s="647"/>
      <c r="T243" s="647"/>
      <c r="U243" s="16"/>
      <c r="V243" s="16"/>
      <c r="W243" s="16"/>
      <c r="X243" s="16"/>
      <c r="Y243" s="16"/>
      <c r="Z243" s="16"/>
      <c r="AA243" s="16"/>
      <c r="AB243" s="16"/>
      <c r="AC243" s="16"/>
    </row>
    <row r="244" ht="12.75" customHeight="1" spans="1:29" x14ac:dyDescent="0.25">
      <c r="A244" s="16"/>
      <c r="B244" s="16"/>
      <c r="C244" s="16"/>
      <c r="D244" s="16"/>
      <c r="E244" s="16"/>
      <c r="F244" s="16"/>
      <c r="G244" s="16"/>
      <c r="H244" s="647"/>
      <c r="I244" s="647"/>
      <c r="J244" s="647"/>
      <c r="K244" s="647"/>
      <c r="L244" s="647"/>
      <c r="M244" s="647"/>
      <c r="N244" s="647"/>
      <c r="O244" s="647"/>
      <c r="P244" s="647"/>
      <c r="Q244" s="647"/>
      <c r="R244" s="647"/>
      <c r="S244" s="647"/>
      <c r="T244" s="647"/>
      <c r="U244" s="16"/>
      <c r="V244" s="16"/>
      <c r="W244" s="16"/>
      <c r="X244" s="16"/>
      <c r="Y244" s="16"/>
      <c r="Z244" s="16"/>
      <c r="AA244" s="16"/>
      <c r="AB244" s="16"/>
      <c r="AC244" s="16"/>
    </row>
    <row r="245" ht="12.75" customHeight="1" spans="1:29" x14ac:dyDescent="0.25">
      <c r="A245" s="16"/>
      <c r="B245" s="16"/>
      <c r="C245" s="16"/>
      <c r="D245" s="16"/>
      <c r="E245" s="16"/>
      <c r="F245" s="16"/>
      <c r="G245" s="16"/>
      <c r="H245" s="647"/>
      <c r="I245" s="647"/>
      <c r="J245" s="647"/>
      <c r="K245" s="647"/>
      <c r="L245" s="647"/>
      <c r="M245" s="647"/>
      <c r="N245" s="647"/>
      <c r="O245" s="647"/>
      <c r="P245" s="647"/>
      <c r="Q245" s="647"/>
      <c r="R245" s="647"/>
      <c r="S245" s="647"/>
      <c r="T245" s="647"/>
      <c r="U245" s="16"/>
      <c r="V245" s="16"/>
      <c r="W245" s="16"/>
      <c r="X245" s="16"/>
      <c r="Y245" s="16"/>
      <c r="Z245" s="16"/>
      <c r="AA245" s="16"/>
      <c r="AB245" s="16"/>
      <c r="AC245" s="16"/>
    </row>
    <row r="246" ht="12.75" customHeight="1" spans="1:29" x14ac:dyDescent="0.25">
      <c r="A246" s="16"/>
      <c r="B246" s="16"/>
      <c r="C246" s="16"/>
      <c r="D246" s="16"/>
      <c r="E246" s="16"/>
      <c r="F246" s="16"/>
      <c r="G246" s="16"/>
      <c r="H246" s="647"/>
      <c r="I246" s="647"/>
      <c r="J246" s="647"/>
      <c r="K246" s="647"/>
      <c r="L246" s="647"/>
      <c r="M246" s="647"/>
      <c r="N246" s="647"/>
      <c r="O246" s="647"/>
      <c r="P246" s="647"/>
      <c r="Q246" s="647"/>
      <c r="R246" s="647"/>
      <c r="S246" s="647"/>
      <c r="T246" s="647"/>
      <c r="U246" s="16"/>
      <c r="V246" s="16"/>
      <c r="W246" s="16"/>
      <c r="X246" s="16"/>
      <c r="Y246" s="16"/>
      <c r="Z246" s="16"/>
      <c r="AA246" s="16"/>
      <c r="AB246" s="16"/>
      <c r="AC246" s="16"/>
    </row>
    <row r="247" ht="12.75" customHeight="1" spans="1:29" x14ac:dyDescent="0.25">
      <c r="A247" s="16"/>
      <c r="B247" s="16"/>
      <c r="C247" s="16"/>
      <c r="D247" s="16"/>
      <c r="E247" s="16"/>
      <c r="F247" s="16"/>
      <c r="G247" s="16"/>
      <c r="H247" s="647"/>
      <c r="I247" s="647"/>
      <c r="J247" s="647"/>
      <c r="K247" s="647"/>
      <c r="L247" s="647"/>
      <c r="M247" s="647"/>
      <c r="N247" s="647"/>
      <c r="O247" s="647"/>
      <c r="P247" s="647"/>
      <c r="Q247" s="647"/>
      <c r="R247" s="647"/>
      <c r="S247" s="647"/>
      <c r="T247" s="647"/>
      <c r="U247" s="16"/>
      <c r="V247" s="16"/>
      <c r="W247" s="16"/>
      <c r="X247" s="16"/>
      <c r="Y247" s="16"/>
      <c r="Z247" s="16"/>
      <c r="AA247" s="16"/>
      <c r="AB247" s="16"/>
      <c r="AC247" s="16"/>
    </row>
    <row r="248" ht="12.75" customHeight="1" spans="1:29" x14ac:dyDescent="0.25">
      <c r="A248" s="16"/>
      <c r="B248" s="16"/>
      <c r="C248" s="16"/>
      <c r="D248" s="16"/>
      <c r="E248" s="16"/>
      <c r="F248" s="16"/>
      <c r="G248" s="16"/>
      <c r="H248" s="647"/>
      <c r="I248" s="647"/>
      <c r="J248" s="647"/>
      <c r="K248" s="647"/>
      <c r="L248" s="647"/>
      <c r="M248" s="647"/>
      <c r="N248" s="647"/>
      <c r="O248" s="647"/>
      <c r="P248" s="647"/>
      <c r="Q248" s="647"/>
      <c r="R248" s="647"/>
      <c r="S248" s="647"/>
      <c r="T248" s="647"/>
      <c r="U248" s="16"/>
      <c r="V248" s="16"/>
      <c r="W248" s="16"/>
      <c r="X248" s="16"/>
      <c r="Y248" s="16"/>
      <c r="Z248" s="16"/>
      <c r="AA248" s="16"/>
      <c r="AB248" s="16"/>
      <c r="AC248" s="16"/>
    </row>
    <row r="249" ht="12.75" customHeight="1" spans="1:29" x14ac:dyDescent="0.25">
      <c r="A249" s="16"/>
      <c r="B249" s="16"/>
      <c r="C249" s="16"/>
      <c r="D249" s="16"/>
      <c r="E249" s="16"/>
      <c r="F249" s="16"/>
      <c r="G249" s="16"/>
      <c r="H249" s="647"/>
      <c r="I249" s="647"/>
      <c r="J249" s="647"/>
      <c r="K249" s="647"/>
      <c r="L249" s="647"/>
      <c r="M249" s="647"/>
      <c r="N249" s="647"/>
      <c r="O249" s="647"/>
      <c r="P249" s="647"/>
      <c r="Q249" s="647"/>
      <c r="R249" s="647"/>
      <c r="S249" s="647"/>
      <c r="T249" s="647"/>
      <c r="U249" s="16"/>
      <c r="V249" s="16"/>
      <c r="W249" s="16"/>
      <c r="X249" s="16"/>
      <c r="Y249" s="16"/>
      <c r="Z249" s="16"/>
      <c r="AA249" s="16"/>
      <c r="AB249" s="16"/>
      <c r="AC249" s="16"/>
    </row>
    <row r="250" ht="12.75" customHeight="1" spans="1:29" x14ac:dyDescent="0.25">
      <c r="A250" s="16"/>
      <c r="B250" s="16"/>
      <c r="C250" s="16"/>
      <c r="D250" s="16"/>
      <c r="E250" s="16"/>
      <c r="F250" s="16"/>
      <c r="G250" s="16"/>
      <c r="H250" s="647"/>
      <c r="I250" s="647"/>
      <c r="J250" s="647"/>
      <c r="K250" s="647"/>
      <c r="L250" s="647"/>
      <c r="M250" s="647"/>
      <c r="N250" s="647"/>
      <c r="O250" s="647"/>
      <c r="P250" s="647"/>
      <c r="Q250" s="647"/>
      <c r="R250" s="647"/>
      <c r="S250" s="647"/>
      <c r="T250" s="647"/>
      <c r="U250" s="16"/>
      <c r="V250" s="16"/>
      <c r="W250" s="16"/>
      <c r="X250" s="16"/>
      <c r="Y250" s="16"/>
      <c r="Z250" s="16"/>
      <c r="AA250" s="16"/>
      <c r="AB250" s="16"/>
      <c r="AC250" s="16"/>
    </row>
    <row r="251" ht="12.75" customHeight="1" spans="1:29" x14ac:dyDescent="0.25">
      <c r="A251" s="16"/>
      <c r="B251" s="16"/>
      <c r="C251" s="16"/>
      <c r="D251" s="16"/>
      <c r="E251" s="16"/>
      <c r="F251" s="16"/>
      <c r="G251" s="16"/>
      <c r="H251" s="647"/>
      <c r="I251" s="647"/>
      <c r="J251" s="647"/>
      <c r="K251" s="647"/>
      <c r="L251" s="647"/>
      <c r="M251" s="647"/>
      <c r="N251" s="647"/>
      <c r="O251" s="647"/>
      <c r="P251" s="647"/>
      <c r="Q251" s="647"/>
      <c r="R251" s="647"/>
      <c r="S251" s="647"/>
      <c r="T251" s="647"/>
      <c r="U251" s="16"/>
      <c r="V251" s="16"/>
      <c r="W251" s="16"/>
      <c r="X251" s="16"/>
      <c r="Y251" s="16"/>
      <c r="Z251" s="16"/>
      <c r="AA251" s="16"/>
      <c r="AB251" s="16"/>
      <c r="AC251" s="16"/>
    </row>
    <row r="252" ht="12.75" customHeight="1" spans="1:29" x14ac:dyDescent="0.25">
      <c r="A252" s="16"/>
      <c r="B252" s="16"/>
      <c r="C252" s="16"/>
      <c r="D252" s="16"/>
      <c r="E252" s="16"/>
      <c r="F252" s="16"/>
      <c r="G252" s="16"/>
      <c r="H252" s="647"/>
      <c r="I252" s="647"/>
      <c r="J252" s="647"/>
      <c r="K252" s="647"/>
      <c r="L252" s="647"/>
      <c r="M252" s="647"/>
      <c r="N252" s="647"/>
      <c r="O252" s="647"/>
      <c r="P252" s="647"/>
      <c r="Q252" s="647"/>
      <c r="R252" s="647"/>
      <c r="S252" s="647"/>
      <c r="T252" s="647"/>
      <c r="U252" s="16"/>
      <c r="V252" s="16"/>
      <c r="W252" s="16"/>
      <c r="X252" s="16"/>
      <c r="Y252" s="16"/>
      <c r="Z252" s="16"/>
      <c r="AA252" s="16"/>
      <c r="AB252" s="16"/>
      <c r="AC252" s="16"/>
    </row>
    <row r="253" ht="12.75" customHeight="1" spans="1:29" x14ac:dyDescent="0.25">
      <c r="A253" s="16"/>
      <c r="B253" s="16"/>
      <c r="C253" s="16"/>
      <c r="D253" s="16"/>
      <c r="E253" s="16"/>
      <c r="F253" s="16"/>
      <c r="G253" s="16"/>
      <c r="H253" s="647"/>
      <c r="I253" s="647"/>
      <c r="J253" s="647"/>
      <c r="K253" s="647"/>
      <c r="L253" s="647"/>
      <c r="M253" s="647"/>
      <c r="N253" s="647"/>
      <c r="O253" s="647"/>
      <c r="P253" s="647"/>
      <c r="Q253" s="647"/>
      <c r="R253" s="647"/>
      <c r="S253" s="647"/>
      <c r="T253" s="647"/>
      <c r="U253" s="16"/>
      <c r="V253" s="16"/>
      <c r="W253" s="16"/>
      <c r="X253" s="16"/>
      <c r="Y253" s="16"/>
      <c r="Z253" s="16"/>
      <c r="AA253" s="16"/>
      <c r="AB253" s="16"/>
      <c r="AC253" s="16"/>
    </row>
    <row r="254" ht="12.75" customHeight="1" spans="1:29" x14ac:dyDescent="0.25">
      <c r="A254" s="16"/>
      <c r="B254" s="16"/>
      <c r="C254" s="16"/>
      <c r="D254" s="16"/>
      <c r="E254" s="16"/>
      <c r="F254" s="16"/>
      <c r="G254" s="16"/>
      <c r="H254" s="647"/>
      <c r="I254" s="647"/>
      <c r="J254" s="647"/>
      <c r="K254" s="647"/>
      <c r="L254" s="647"/>
      <c r="M254" s="647"/>
      <c r="N254" s="647"/>
      <c r="O254" s="647"/>
      <c r="P254" s="647"/>
      <c r="Q254" s="647"/>
      <c r="R254" s="647"/>
      <c r="S254" s="647"/>
      <c r="T254" s="647"/>
      <c r="U254" s="16"/>
      <c r="V254" s="16"/>
      <c r="W254" s="16"/>
      <c r="X254" s="16"/>
      <c r="Y254" s="16"/>
      <c r="Z254" s="16"/>
      <c r="AA254" s="16"/>
      <c r="AB254" s="16"/>
      <c r="AC254" s="16"/>
    </row>
    <row r="255" ht="12.75" customHeight="1" spans="1:29" x14ac:dyDescent="0.25">
      <c r="A255" s="16"/>
      <c r="B255" s="16"/>
      <c r="C255" s="16"/>
      <c r="D255" s="16"/>
      <c r="E255" s="16"/>
      <c r="F255" s="16"/>
      <c r="G255" s="16"/>
      <c r="H255" s="647"/>
      <c r="I255" s="647"/>
      <c r="J255" s="647"/>
      <c r="K255" s="647"/>
      <c r="L255" s="647"/>
      <c r="M255" s="647"/>
      <c r="N255" s="647"/>
      <c r="O255" s="647"/>
      <c r="P255" s="647"/>
      <c r="Q255" s="647"/>
      <c r="R255" s="647"/>
      <c r="S255" s="647"/>
      <c r="T255" s="647"/>
      <c r="U255" s="16"/>
      <c r="V255" s="16"/>
      <c r="W255" s="16"/>
      <c r="X255" s="16"/>
      <c r="Y255" s="16"/>
      <c r="Z255" s="16"/>
      <c r="AA255" s="16"/>
      <c r="AB255" s="16"/>
      <c r="AC255" s="16"/>
    </row>
    <row r="256" ht="12.75" customHeight="1" spans="1:29" x14ac:dyDescent="0.25">
      <c r="A256" s="16"/>
      <c r="B256" s="16"/>
      <c r="C256" s="16"/>
      <c r="D256" s="16"/>
      <c r="E256" s="16"/>
      <c r="F256" s="16"/>
      <c r="G256" s="16"/>
      <c r="H256" s="647"/>
      <c r="I256" s="647"/>
      <c r="J256" s="647"/>
      <c r="K256" s="647"/>
      <c r="L256" s="647"/>
      <c r="M256" s="647"/>
      <c r="N256" s="647"/>
      <c r="O256" s="647"/>
      <c r="P256" s="647"/>
      <c r="Q256" s="647"/>
      <c r="R256" s="647"/>
      <c r="S256" s="647"/>
      <c r="T256" s="647"/>
      <c r="U256" s="16"/>
      <c r="V256" s="16"/>
      <c r="W256" s="16"/>
      <c r="X256" s="16"/>
      <c r="Y256" s="16"/>
      <c r="Z256" s="16"/>
      <c r="AA256" s="16"/>
      <c r="AB256" s="16"/>
      <c r="AC256" s="16"/>
    </row>
    <row r="257" ht="12.75" customHeight="1" spans="1:29" x14ac:dyDescent="0.25">
      <c r="A257" s="16"/>
      <c r="B257" s="16"/>
      <c r="C257" s="16"/>
      <c r="D257" s="16"/>
      <c r="E257" s="16"/>
      <c r="F257" s="16"/>
      <c r="G257" s="16"/>
      <c r="H257" s="647"/>
      <c r="I257" s="647"/>
      <c r="J257" s="647"/>
      <c r="K257" s="647"/>
      <c r="L257" s="647"/>
      <c r="M257" s="647"/>
      <c r="N257" s="647"/>
      <c r="O257" s="647"/>
      <c r="P257" s="647"/>
      <c r="Q257" s="647"/>
      <c r="R257" s="647"/>
      <c r="S257" s="647"/>
      <c r="T257" s="647"/>
      <c r="U257" s="16"/>
      <c r="V257" s="16"/>
      <c r="W257" s="16"/>
      <c r="X257" s="16"/>
      <c r="Y257" s="16"/>
      <c r="Z257" s="16"/>
      <c r="AA257" s="16"/>
      <c r="AB257" s="16"/>
      <c r="AC257" s="16"/>
    </row>
    <row r="258" ht="12.75" customHeight="1" spans="1:29" x14ac:dyDescent="0.25">
      <c r="A258" s="16"/>
      <c r="B258" s="16"/>
      <c r="C258" s="16"/>
      <c r="D258" s="16"/>
      <c r="E258" s="16"/>
      <c r="F258" s="16"/>
      <c r="G258" s="16"/>
      <c r="H258" s="647"/>
      <c r="I258" s="647"/>
      <c r="J258" s="647"/>
      <c r="K258" s="647"/>
      <c r="L258" s="647"/>
      <c r="M258" s="647"/>
      <c r="N258" s="647"/>
      <c r="O258" s="647"/>
      <c r="P258" s="647"/>
      <c r="Q258" s="647"/>
      <c r="R258" s="647"/>
      <c r="S258" s="647"/>
      <c r="T258" s="647"/>
      <c r="U258" s="16"/>
      <c r="V258" s="16"/>
      <c r="W258" s="16"/>
      <c r="X258" s="16"/>
      <c r="Y258" s="16"/>
      <c r="Z258" s="16"/>
      <c r="AA258" s="16"/>
      <c r="AB258" s="16"/>
      <c r="AC258" s="16"/>
    </row>
    <row r="259" ht="12.75" customHeight="1" spans="1:29" x14ac:dyDescent="0.25">
      <c r="A259" s="16"/>
      <c r="B259" s="16"/>
      <c r="C259" s="16"/>
      <c r="D259" s="16"/>
      <c r="E259" s="16"/>
      <c r="F259" s="16"/>
      <c r="G259" s="16"/>
      <c r="H259" s="647"/>
      <c r="I259" s="647"/>
      <c r="J259" s="647"/>
      <c r="K259" s="647"/>
      <c r="L259" s="647"/>
      <c r="M259" s="647"/>
      <c r="N259" s="647"/>
      <c r="O259" s="647"/>
      <c r="P259" s="647"/>
      <c r="Q259" s="647"/>
      <c r="R259" s="647"/>
      <c r="S259" s="647"/>
      <c r="T259" s="647"/>
      <c r="U259" s="16"/>
      <c r="V259" s="16"/>
      <c r="W259" s="16"/>
      <c r="X259" s="16"/>
      <c r="Y259" s="16"/>
      <c r="Z259" s="16"/>
      <c r="AA259" s="16"/>
      <c r="AB259" s="16"/>
      <c r="AC259" s="16"/>
    </row>
    <row r="260" ht="12.75" customHeight="1" spans="1:29" x14ac:dyDescent="0.25">
      <c r="A260" s="16"/>
      <c r="B260" s="16"/>
      <c r="C260" s="16"/>
      <c r="D260" s="16"/>
      <c r="E260" s="16"/>
      <c r="F260" s="16"/>
      <c r="G260" s="16"/>
      <c r="H260" s="647"/>
      <c r="I260" s="647"/>
      <c r="J260" s="647"/>
      <c r="K260" s="647"/>
      <c r="L260" s="647"/>
      <c r="M260" s="647"/>
      <c r="N260" s="647"/>
      <c r="O260" s="647"/>
      <c r="P260" s="647"/>
      <c r="Q260" s="647"/>
      <c r="R260" s="647"/>
      <c r="S260" s="647"/>
      <c r="T260" s="647"/>
      <c r="U260" s="16"/>
      <c r="V260" s="16"/>
      <c r="W260" s="16"/>
      <c r="X260" s="16"/>
      <c r="Y260" s="16"/>
      <c r="Z260" s="16"/>
      <c r="AA260" s="16"/>
      <c r="AB260" s="16"/>
      <c r="AC260" s="16"/>
    </row>
    <row r="261" ht="12.75" customHeight="1" spans="1:29" x14ac:dyDescent="0.25">
      <c r="A261" s="16"/>
      <c r="B261" s="16"/>
      <c r="C261" s="16"/>
      <c r="D261" s="16"/>
      <c r="E261" s="16"/>
      <c r="F261" s="16"/>
      <c r="G261" s="16"/>
      <c r="H261" s="647"/>
      <c r="I261" s="647"/>
      <c r="J261" s="647"/>
      <c r="K261" s="647"/>
      <c r="L261" s="647"/>
      <c r="M261" s="647"/>
      <c r="N261" s="647"/>
      <c r="O261" s="647"/>
      <c r="P261" s="647"/>
      <c r="Q261" s="647"/>
      <c r="R261" s="647"/>
      <c r="S261" s="647"/>
      <c r="T261" s="647"/>
      <c r="U261" s="16"/>
      <c r="V261" s="16"/>
      <c r="W261" s="16"/>
      <c r="X261" s="16"/>
      <c r="Y261" s="16"/>
      <c r="Z261" s="16"/>
      <c r="AA261" s="16"/>
      <c r="AB261" s="16"/>
      <c r="AC261" s="16"/>
    </row>
    <row r="262" ht="12.75" customHeight="1" spans="1:29" x14ac:dyDescent="0.25">
      <c r="A262" s="16"/>
      <c r="B262" s="16"/>
      <c r="C262" s="16"/>
      <c r="D262" s="16"/>
      <c r="E262" s="16"/>
      <c r="F262" s="16"/>
      <c r="G262" s="16"/>
      <c r="H262" s="647"/>
      <c r="I262" s="647"/>
      <c r="J262" s="647"/>
      <c r="K262" s="647"/>
      <c r="L262" s="647"/>
      <c r="M262" s="647"/>
      <c r="N262" s="647"/>
      <c r="O262" s="647"/>
      <c r="P262" s="647"/>
      <c r="Q262" s="647"/>
      <c r="R262" s="647"/>
      <c r="S262" s="647"/>
      <c r="T262" s="647"/>
      <c r="U262" s="16"/>
      <c r="V262" s="16"/>
      <c r="W262" s="16"/>
      <c r="X262" s="16"/>
      <c r="Y262" s="16"/>
      <c r="Z262" s="16"/>
      <c r="AA262" s="16"/>
      <c r="AB262" s="16"/>
      <c r="AC262" s="16"/>
    </row>
    <row r="263" ht="12.75" customHeight="1" spans="1:29" x14ac:dyDescent="0.25">
      <c r="A263" s="16"/>
      <c r="B263" s="16"/>
      <c r="C263" s="16"/>
      <c r="D263" s="16"/>
      <c r="E263" s="16"/>
      <c r="F263" s="16"/>
      <c r="G263" s="16"/>
      <c r="H263" s="647"/>
      <c r="I263" s="647"/>
      <c r="J263" s="647"/>
      <c r="K263" s="647"/>
      <c r="L263" s="647"/>
      <c r="M263" s="647"/>
      <c r="N263" s="647"/>
      <c r="O263" s="647"/>
      <c r="P263" s="647"/>
      <c r="Q263" s="647"/>
      <c r="R263" s="647"/>
      <c r="S263" s="647"/>
      <c r="T263" s="647"/>
      <c r="U263" s="16"/>
      <c r="V263" s="16"/>
      <c r="W263" s="16"/>
      <c r="X263" s="16"/>
      <c r="Y263" s="16"/>
      <c r="Z263" s="16"/>
      <c r="AA263" s="16"/>
      <c r="AB263" s="16"/>
      <c r="AC263" s="16"/>
    </row>
    <row r="264" ht="12.75" customHeight="1" spans="1:29" x14ac:dyDescent="0.25">
      <c r="A264" s="16"/>
      <c r="B264" s="16"/>
      <c r="C264" s="16"/>
      <c r="D264" s="16"/>
      <c r="E264" s="16"/>
      <c r="F264" s="16"/>
      <c r="G264" s="16"/>
      <c r="H264" s="647"/>
      <c r="I264" s="647"/>
      <c r="J264" s="647"/>
      <c r="K264" s="647"/>
      <c r="L264" s="647"/>
      <c r="M264" s="647"/>
      <c r="N264" s="647"/>
      <c r="O264" s="647"/>
      <c r="P264" s="647"/>
      <c r="Q264" s="647"/>
      <c r="R264" s="647"/>
      <c r="S264" s="647"/>
      <c r="T264" s="647"/>
      <c r="U264" s="16"/>
      <c r="V264" s="16"/>
      <c r="W264" s="16"/>
      <c r="X264" s="16"/>
      <c r="Y264" s="16"/>
      <c r="Z264" s="16"/>
      <c r="AA264" s="16"/>
      <c r="AB264" s="16"/>
      <c r="AC264" s="16"/>
    </row>
    <row r="265" ht="12.75" customHeight="1" spans="1:29" x14ac:dyDescent="0.25">
      <c r="A265" s="16"/>
      <c r="B265" s="16"/>
      <c r="C265" s="16"/>
      <c r="D265" s="16"/>
      <c r="E265" s="16"/>
      <c r="F265" s="16"/>
      <c r="G265" s="16"/>
      <c r="H265" s="647"/>
      <c r="I265" s="647"/>
      <c r="J265" s="647"/>
      <c r="K265" s="647"/>
      <c r="L265" s="647"/>
      <c r="M265" s="647"/>
      <c r="N265" s="647"/>
      <c r="O265" s="647"/>
      <c r="P265" s="647"/>
      <c r="Q265" s="647"/>
      <c r="R265" s="647"/>
      <c r="S265" s="647"/>
      <c r="T265" s="647"/>
      <c r="U265" s="16"/>
      <c r="V265" s="16"/>
      <c r="W265" s="16"/>
      <c r="X265" s="16"/>
      <c r="Y265" s="16"/>
      <c r="Z265" s="16"/>
      <c r="AA265" s="16"/>
      <c r="AB265" s="16"/>
      <c r="AC265" s="16"/>
    </row>
    <row r="266" ht="12.75" customHeight="1" spans="1:29" x14ac:dyDescent="0.25">
      <c r="A266" s="16"/>
      <c r="B266" s="16"/>
      <c r="C266" s="16"/>
      <c r="D266" s="16"/>
      <c r="E266" s="16"/>
      <c r="F266" s="16"/>
      <c r="G266" s="16"/>
      <c r="H266" s="647"/>
      <c r="I266" s="647"/>
      <c r="J266" s="647"/>
      <c r="K266" s="647"/>
      <c r="L266" s="647"/>
      <c r="M266" s="647"/>
      <c r="N266" s="647"/>
      <c r="O266" s="647"/>
      <c r="P266" s="647"/>
      <c r="Q266" s="647"/>
      <c r="R266" s="647"/>
      <c r="S266" s="647"/>
      <c r="T266" s="647"/>
      <c r="U266" s="16"/>
      <c r="V266" s="16"/>
      <c r="W266" s="16"/>
      <c r="X266" s="16"/>
      <c r="Y266" s="16"/>
      <c r="Z266" s="16"/>
      <c r="AA266" s="16"/>
      <c r="AB266" s="16"/>
      <c r="AC266" s="16"/>
    </row>
    <row r="267" ht="12.75" customHeight="1" spans="1:29" x14ac:dyDescent="0.25">
      <c r="A267" s="16"/>
      <c r="B267" s="16"/>
      <c r="C267" s="16"/>
      <c r="D267" s="16"/>
      <c r="E267" s="16"/>
      <c r="F267" s="16"/>
      <c r="G267" s="16"/>
      <c r="H267" s="647"/>
      <c r="I267" s="647"/>
      <c r="J267" s="647"/>
      <c r="K267" s="647"/>
      <c r="L267" s="647"/>
      <c r="M267" s="647"/>
      <c r="N267" s="647"/>
      <c r="O267" s="647"/>
      <c r="P267" s="647"/>
      <c r="Q267" s="647"/>
      <c r="R267" s="647"/>
      <c r="S267" s="647"/>
      <c r="T267" s="647"/>
      <c r="U267" s="16"/>
      <c r="V267" s="16"/>
      <c r="W267" s="16"/>
      <c r="X267" s="16"/>
      <c r="Y267" s="16"/>
      <c r="Z267" s="16"/>
      <c r="AA267" s="16"/>
      <c r="AB267" s="16"/>
      <c r="AC267" s="16"/>
    </row>
    <row r="268" ht="12.75" customHeight="1" spans="1:29" x14ac:dyDescent="0.25">
      <c r="A268" s="16"/>
      <c r="B268" s="16"/>
      <c r="C268" s="16"/>
      <c r="D268" s="16"/>
      <c r="E268" s="16"/>
      <c r="F268" s="16"/>
      <c r="G268" s="16"/>
      <c r="H268" s="647"/>
      <c r="I268" s="647"/>
      <c r="J268" s="647"/>
      <c r="K268" s="647"/>
      <c r="L268" s="647"/>
      <c r="M268" s="647"/>
      <c r="N268" s="647"/>
      <c r="O268" s="647"/>
      <c r="P268" s="647"/>
      <c r="Q268" s="647"/>
      <c r="R268" s="647"/>
      <c r="S268" s="647"/>
      <c r="T268" s="647"/>
      <c r="U268" s="16"/>
      <c r="V268" s="16"/>
      <c r="W268" s="16"/>
      <c r="X268" s="16"/>
      <c r="Y268" s="16"/>
      <c r="Z268" s="16"/>
      <c r="AA268" s="16"/>
      <c r="AB268" s="16"/>
      <c r="AC268" s="16"/>
    </row>
    <row r="269" ht="12.75" customHeight="1" spans="1:29" x14ac:dyDescent="0.25">
      <c r="A269" s="16"/>
      <c r="B269" s="16"/>
      <c r="C269" s="16"/>
      <c r="D269" s="16"/>
      <c r="E269" s="16"/>
      <c r="F269" s="16"/>
      <c r="G269" s="16"/>
      <c r="H269" s="647"/>
      <c r="I269" s="647"/>
      <c r="J269" s="647"/>
      <c r="K269" s="647"/>
      <c r="L269" s="647"/>
      <c r="M269" s="647"/>
      <c r="N269" s="647"/>
      <c r="O269" s="647"/>
      <c r="P269" s="647"/>
      <c r="Q269" s="647"/>
      <c r="R269" s="647"/>
      <c r="S269" s="647"/>
      <c r="T269" s="647"/>
      <c r="U269" s="16"/>
      <c r="V269" s="16"/>
      <c r="W269" s="16"/>
      <c r="X269" s="16"/>
      <c r="Y269" s="16"/>
      <c r="Z269" s="16"/>
      <c r="AA269" s="16"/>
      <c r="AB269" s="16"/>
      <c r="AC269" s="16"/>
    </row>
    <row r="270" ht="12.75" customHeight="1" spans="1:29" x14ac:dyDescent="0.25">
      <c r="A270" s="16"/>
      <c r="B270" s="16"/>
      <c r="C270" s="16"/>
      <c r="D270" s="16"/>
      <c r="E270" s="16"/>
      <c r="F270" s="16"/>
      <c r="G270" s="16"/>
      <c r="H270" s="647"/>
      <c r="I270" s="647"/>
      <c r="J270" s="647"/>
      <c r="K270" s="647"/>
      <c r="L270" s="647"/>
      <c r="M270" s="647"/>
      <c r="N270" s="647"/>
      <c r="O270" s="647"/>
      <c r="P270" s="647"/>
      <c r="Q270" s="647"/>
      <c r="R270" s="647"/>
      <c r="S270" s="647"/>
      <c r="T270" s="647"/>
      <c r="U270" s="16"/>
      <c r="V270" s="16"/>
      <c r="W270" s="16"/>
      <c r="X270" s="16"/>
      <c r="Y270" s="16"/>
      <c r="Z270" s="16"/>
      <c r="AA270" s="16"/>
      <c r="AB270" s="16"/>
      <c r="AC270" s="16"/>
    </row>
    <row r="271" ht="12.75" customHeight="1" spans="1:29" x14ac:dyDescent="0.25">
      <c r="A271" s="16"/>
      <c r="B271" s="16"/>
      <c r="C271" s="16"/>
      <c r="D271" s="16"/>
      <c r="E271" s="16"/>
      <c r="F271" s="16"/>
      <c r="G271" s="16"/>
      <c r="H271" s="647"/>
      <c r="I271" s="647"/>
      <c r="J271" s="647"/>
      <c r="K271" s="647"/>
      <c r="L271" s="647"/>
      <c r="M271" s="647"/>
      <c r="N271" s="647"/>
      <c r="O271" s="647"/>
      <c r="P271" s="647"/>
      <c r="Q271" s="647"/>
      <c r="R271" s="647"/>
      <c r="S271" s="647"/>
      <c r="T271" s="647"/>
      <c r="U271" s="16"/>
      <c r="V271" s="16"/>
      <c r="W271" s="16"/>
      <c r="X271" s="16"/>
      <c r="Y271" s="16"/>
      <c r="Z271" s="16"/>
      <c r="AA271" s="16"/>
      <c r="AB271" s="16"/>
      <c r="AC271" s="16"/>
    </row>
    <row r="272" ht="12.75" customHeight="1" spans="1:29" x14ac:dyDescent="0.25">
      <c r="A272" s="16"/>
      <c r="B272" s="16"/>
      <c r="C272" s="16"/>
      <c r="D272" s="16"/>
      <c r="E272" s="16"/>
      <c r="F272" s="16"/>
      <c r="G272" s="16"/>
      <c r="H272" s="647"/>
      <c r="I272" s="647"/>
      <c r="J272" s="647"/>
      <c r="K272" s="647"/>
      <c r="L272" s="647"/>
      <c r="M272" s="647"/>
      <c r="N272" s="647"/>
      <c r="O272" s="647"/>
      <c r="P272" s="647"/>
      <c r="Q272" s="647"/>
      <c r="R272" s="647"/>
      <c r="S272" s="647"/>
      <c r="T272" s="647"/>
      <c r="U272" s="16"/>
      <c r="V272" s="16"/>
      <c r="W272" s="16"/>
      <c r="X272" s="16"/>
      <c r="Y272" s="16"/>
      <c r="Z272" s="16"/>
      <c r="AA272" s="16"/>
      <c r="AB272" s="16"/>
      <c r="AC272" s="16"/>
    </row>
    <row r="273" ht="12.75" customHeight="1" spans="1:29" x14ac:dyDescent="0.25">
      <c r="A273" s="16"/>
      <c r="B273" s="16"/>
      <c r="C273" s="16"/>
      <c r="D273" s="16"/>
      <c r="E273" s="16"/>
      <c r="F273" s="16"/>
      <c r="G273" s="16"/>
      <c r="H273" s="647"/>
      <c r="I273" s="647"/>
      <c r="J273" s="647"/>
      <c r="K273" s="647"/>
      <c r="L273" s="647"/>
      <c r="M273" s="647"/>
      <c r="N273" s="647"/>
      <c r="O273" s="647"/>
      <c r="P273" s="647"/>
      <c r="Q273" s="647"/>
      <c r="R273" s="647"/>
      <c r="S273" s="647"/>
      <c r="T273" s="647"/>
      <c r="U273" s="16"/>
      <c r="V273" s="16"/>
      <c r="W273" s="16"/>
      <c r="X273" s="16"/>
      <c r="Y273" s="16"/>
      <c r="Z273" s="16"/>
      <c r="AA273" s="16"/>
      <c r="AB273" s="16"/>
      <c r="AC273" s="16"/>
    </row>
    <row r="274" ht="12.75" customHeight="1" spans="1:29" x14ac:dyDescent="0.25">
      <c r="A274" s="16"/>
      <c r="B274" s="16"/>
      <c r="C274" s="16"/>
      <c r="D274" s="16"/>
      <c r="E274" s="16"/>
      <c r="F274" s="16"/>
      <c r="G274" s="16"/>
      <c r="H274" s="647"/>
      <c r="I274" s="647"/>
      <c r="J274" s="647"/>
      <c r="K274" s="647"/>
      <c r="L274" s="647"/>
      <c r="M274" s="647"/>
      <c r="N274" s="647"/>
      <c r="O274" s="647"/>
      <c r="P274" s="647"/>
      <c r="Q274" s="647"/>
      <c r="R274" s="647"/>
      <c r="S274" s="647"/>
      <c r="T274" s="647"/>
      <c r="U274" s="16"/>
      <c r="V274" s="16"/>
      <c r="W274" s="16"/>
      <c r="X274" s="16"/>
      <c r="Y274" s="16"/>
      <c r="Z274" s="16"/>
      <c r="AA274" s="16"/>
      <c r="AB274" s="16"/>
      <c r="AC274" s="16"/>
    </row>
    <row r="275" ht="12.75" customHeight="1" spans="1:29" x14ac:dyDescent="0.25">
      <c r="A275" s="16"/>
      <c r="B275" s="16"/>
      <c r="C275" s="16"/>
      <c r="D275" s="16"/>
      <c r="E275" s="16"/>
      <c r="F275" s="16"/>
      <c r="G275" s="16"/>
      <c r="H275" s="647"/>
      <c r="I275" s="647"/>
      <c r="J275" s="647"/>
      <c r="K275" s="647"/>
      <c r="L275" s="647"/>
      <c r="M275" s="647"/>
      <c r="N275" s="647"/>
      <c r="O275" s="647"/>
      <c r="P275" s="647"/>
      <c r="Q275" s="647"/>
      <c r="R275" s="647"/>
      <c r="S275" s="647"/>
      <c r="T275" s="647"/>
      <c r="U275" s="16"/>
      <c r="V275" s="16"/>
      <c r="W275" s="16"/>
      <c r="X275" s="16"/>
      <c r="Y275" s="16"/>
      <c r="Z275" s="16"/>
      <c r="AA275" s="16"/>
      <c r="AB275" s="16"/>
      <c r="AC275" s="16"/>
    </row>
    <row r="276" ht="12.75" customHeight="1" spans="1:29" x14ac:dyDescent="0.25">
      <c r="A276" s="16"/>
      <c r="B276" s="16"/>
      <c r="C276" s="16"/>
      <c r="D276" s="16"/>
      <c r="E276" s="16"/>
      <c r="F276" s="16"/>
      <c r="G276" s="16"/>
      <c r="H276" s="647"/>
      <c r="I276" s="647"/>
      <c r="J276" s="647"/>
      <c r="K276" s="647"/>
      <c r="L276" s="647"/>
      <c r="M276" s="647"/>
      <c r="N276" s="647"/>
      <c r="O276" s="647"/>
      <c r="P276" s="647"/>
      <c r="Q276" s="647"/>
      <c r="R276" s="647"/>
      <c r="S276" s="647"/>
      <c r="T276" s="647"/>
      <c r="U276" s="16"/>
      <c r="V276" s="16"/>
      <c r="W276" s="16"/>
      <c r="X276" s="16"/>
      <c r="Y276" s="16"/>
      <c r="Z276" s="16"/>
      <c r="AA276" s="16"/>
      <c r="AB276" s="16"/>
      <c r="AC276" s="16"/>
    </row>
    <row r="277" ht="12.75" customHeight="1" spans="1:29" x14ac:dyDescent="0.25">
      <c r="A277" s="16"/>
      <c r="B277" s="16"/>
      <c r="C277" s="16"/>
      <c r="D277" s="16"/>
      <c r="E277" s="16"/>
      <c r="F277" s="16"/>
      <c r="G277" s="16"/>
      <c r="H277" s="647"/>
      <c r="I277" s="647"/>
      <c r="J277" s="647"/>
      <c r="K277" s="647"/>
      <c r="L277" s="647"/>
      <c r="M277" s="647"/>
      <c r="N277" s="647"/>
      <c r="O277" s="647"/>
      <c r="P277" s="647"/>
      <c r="Q277" s="647"/>
      <c r="R277" s="647"/>
      <c r="S277" s="647"/>
      <c r="T277" s="647"/>
      <c r="U277" s="16"/>
      <c r="V277" s="16"/>
      <c r="W277" s="16"/>
      <c r="X277" s="16"/>
      <c r="Y277" s="16"/>
      <c r="Z277" s="16"/>
      <c r="AA277" s="16"/>
      <c r="AB277" s="16"/>
      <c r="AC277" s="16"/>
    </row>
    <row r="278" ht="12.75" customHeight="1" spans="1:29" x14ac:dyDescent="0.25">
      <c r="A278" s="16"/>
      <c r="B278" s="16"/>
      <c r="C278" s="16"/>
      <c r="D278" s="16"/>
      <c r="E278" s="16"/>
      <c r="F278" s="16"/>
      <c r="G278" s="16"/>
      <c r="H278" s="647"/>
      <c r="I278" s="647"/>
      <c r="J278" s="647"/>
      <c r="K278" s="647"/>
      <c r="L278" s="647"/>
      <c r="M278" s="647"/>
      <c r="N278" s="647"/>
      <c r="O278" s="647"/>
      <c r="P278" s="647"/>
      <c r="Q278" s="647"/>
      <c r="R278" s="647"/>
      <c r="S278" s="647"/>
      <c r="T278" s="647"/>
      <c r="U278" s="16"/>
      <c r="V278" s="16"/>
      <c r="W278" s="16"/>
      <c r="X278" s="16"/>
      <c r="Y278" s="16"/>
      <c r="Z278" s="16"/>
      <c r="AA278" s="16"/>
      <c r="AB278" s="16"/>
      <c r="AC278" s="16"/>
    </row>
    <row r="279" ht="12.75" customHeight="1" spans="1:29" x14ac:dyDescent="0.25">
      <c r="A279" s="16"/>
      <c r="B279" s="16"/>
      <c r="C279" s="16"/>
      <c r="D279" s="16"/>
      <c r="E279" s="16"/>
      <c r="F279" s="16"/>
      <c r="G279" s="16"/>
      <c r="H279" s="647"/>
      <c r="I279" s="647"/>
      <c r="J279" s="647"/>
      <c r="K279" s="647"/>
      <c r="L279" s="647"/>
      <c r="M279" s="647"/>
      <c r="N279" s="647"/>
      <c r="O279" s="647"/>
      <c r="P279" s="647"/>
      <c r="Q279" s="647"/>
      <c r="R279" s="647"/>
      <c r="S279" s="647"/>
      <c r="T279" s="647"/>
      <c r="U279" s="16"/>
      <c r="V279" s="16"/>
      <c r="W279" s="16"/>
      <c r="X279" s="16"/>
      <c r="Y279" s="16"/>
      <c r="Z279" s="16"/>
      <c r="AA279" s="16"/>
      <c r="AB279" s="16"/>
      <c r="AC279" s="16"/>
    </row>
    <row r="280" ht="12.75" customHeight="1" spans="1:29" x14ac:dyDescent="0.25">
      <c r="A280" s="16"/>
      <c r="B280" s="16"/>
      <c r="C280" s="16"/>
      <c r="D280" s="16"/>
      <c r="E280" s="16"/>
      <c r="F280" s="16"/>
      <c r="G280" s="16"/>
      <c r="H280" s="647"/>
      <c r="I280" s="647"/>
      <c r="J280" s="647"/>
      <c r="K280" s="647"/>
      <c r="L280" s="647"/>
      <c r="M280" s="647"/>
      <c r="N280" s="647"/>
      <c r="O280" s="647"/>
      <c r="P280" s="647"/>
      <c r="Q280" s="647"/>
      <c r="R280" s="647"/>
      <c r="S280" s="647"/>
      <c r="T280" s="647"/>
      <c r="U280" s="16"/>
      <c r="V280" s="16"/>
      <c r="W280" s="16"/>
      <c r="X280" s="16"/>
      <c r="Y280" s="16"/>
      <c r="Z280" s="16"/>
      <c r="AA280" s="16"/>
      <c r="AB280" s="16"/>
      <c r="AC280" s="16"/>
    </row>
    <row r="281" ht="12.75" customHeight="1" spans="1:29" x14ac:dyDescent="0.25">
      <c r="A281" s="16"/>
      <c r="B281" s="16"/>
      <c r="C281" s="16"/>
      <c r="D281" s="16"/>
      <c r="E281" s="16"/>
      <c r="F281" s="16"/>
      <c r="G281" s="16"/>
      <c r="H281" s="647"/>
      <c r="I281" s="647"/>
      <c r="J281" s="647"/>
      <c r="K281" s="647"/>
      <c r="L281" s="647"/>
      <c r="M281" s="647"/>
      <c r="N281" s="647"/>
      <c r="O281" s="647"/>
      <c r="P281" s="647"/>
      <c r="Q281" s="647"/>
      <c r="R281" s="647"/>
      <c r="S281" s="647"/>
      <c r="T281" s="647"/>
      <c r="U281" s="16"/>
      <c r="V281" s="16"/>
      <c r="W281" s="16"/>
      <c r="X281" s="16"/>
      <c r="Y281" s="16"/>
      <c r="Z281" s="16"/>
      <c r="AA281" s="16"/>
      <c r="AB281" s="16"/>
      <c r="AC281" s="16"/>
    </row>
    <row r="282" ht="12.75" customHeight="1" spans="1:29" x14ac:dyDescent="0.25">
      <c r="A282" s="16"/>
      <c r="B282" s="16"/>
      <c r="C282" s="16"/>
      <c r="D282" s="16"/>
      <c r="E282" s="16"/>
      <c r="F282" s="16"/>
      <c r="G282" s="16"/>
      <c r="H282" s="647"/>
      <c r="I282" s="647"/>
      <c r="J282" s="647"/>
      <c r="K282" s="647"/>
      <c r="L282" s="647"/>
      <c r="M282" s="647"/>
      <c r="N282" s="647"/>
      <c r="O282" s="647"/>
      <c r="P282" s="647"/>
      <c r="Q282" s="647"/>
      <c r="R282" s="647"/>
      <c r="S282" s="647"/>
      <c r="T282" s="647"/>
      <c r="U282" s="16"/>
      <c r="V282" s="16"/>
      <c r="W282" s="16"/>
      <c r="X282" s="16"/>
      <c r="Y282" s="16"/>
      <c r="Z282" s="16"/>
      <c r="AA282" s="16"/>
      <c r="AB282" s="16"/>
      <c r="AC282" s="16"/>
    </row>
    <row r="283" ht="12.75" customHeight="1" spans="1:29" x14ac:dyDescent="0.25">
      <c r="A283" s="16"/>
      <c r="B283" s="16"/>
      <c r="C283" s="16"/>
      <c r="D283" s="16"/>
      <c r="E283" s="16"/>
      <c r="F283" s="16"/>
      <c r="G283" s="16"/>
      <c r="H283" s="647"/>
      <c r="I283" s="647"/>
      <c r="J283" s="647"/>
      <c r="K283" s="647"/>
      <c r="L283" s="647"/>
      <c r="M283" s="647"/>
      <c r="N283" s="647"/>
      <c r="O283" s="647"/>
      <c r="P283" s="647"/>
      <c r="Q283" s="647"/>
      <c r="R283" s="647"/>
      <c r="S283" s="647"/>
      <c r="T283" s="647"/>
      <c r="U283" s="16"/>
      <c r="V283" s="16"/>
      <c r="W283" s="16"/>
      <c r="X283" s="16"/>
      <c r="Y283" s="16"/>
      <c r="Z283" s="16"/>
      <c r="AA283" s="16"/>
      <c r="AB283" s="16"/>
      <c r="AC283" s="16"/>
    </row>
    <row r="284" ht="12.75" customHeight="1" spans="1:29" x14ac:dyDescent="0.25">
      <c r="A284" s="16"/>
      <c r="B284" s="16"/>
      <c r="C284" s="16"/>
      <c r="D284" s="16"/>
      <c r="E284" s="16"/>
      <c r="F284" s="16"/>
      <c r="G284" s="16"/>
      <c r="H284" s="647"/>
      <c r="I284" s="647"/>
      <c r="J284" s="647"/>
      <c r="K284" s="647"/>
      <c r="L284" s="647"/>
      <c r="M284" s="647"/>
      <c r="N284" s="647"/>
      <c r="O284" s="647"/>
      <c r="P284" s="647"/>
      <c r="Q284" s="647"/>
      <c r="R284" s="647"/>
      <c r="S284" s="647"/>
      <c r="T284" s="647"/>
      <c r="U284" s="16"/>
      <c r="V284" s="16"/>
      <c r="W284" s="16"/>
      <c r="X284" s="16"/>
      <c r="Y284" s="16"/>
      <c r="Z284" s="16"/>
      <c r="AA284" s="16"/>
      <c r="AB284" s="16"/>
      <c r="AC284" s="16"/>
    </row>
    <row r="285" ht="12.75" customHeight="1" spans="1:29" x14ac:dyDescent="0.25">
      <c r="A285" s="16"/>
      <c r="B285" s="16"/>
      <c r="C285" s="16"/>
      <c r="D285" s="16"/>
      <c r="E285" s="16"/>
      <c r="F285" s="16"/>
      <c r="G285" s="16"/>
      <c r="H285" s="647"/>
      <c r="I285" s="647"/>
      <c r="J285" s="647"/>
      <c r="K285" s="647"/>
      <c r="L285" s="647"/>
      <c r="M285" s="647"/>
      <c r="N285" s="647"/>
      <c r="O285" s="647"/>
      <c r="P285" s="647"/>
      <c r="Q285" s="647"/>
      <c r="R285" s="647"/>
      <c r="S285" s="647"/>
      <c r="T285" s="647"/>
      <c r="U285" s="16"/>
      <c r="V285" s="16"/>
      <c r="W285" s="16"/>
      <c r="X285" s="16"/>
      <c r="Y285" s="16"/>
      <c r="Z285" s="16"/>
      <c r="AA285" s="16"/>
      <c r="AB285" s="16"/>
      <c r="AC285" s="16"/>
    </row>
    <row r="286" ht="12.75" customHeight="1" spans="1:29" x14ac:dyDescent="0.25">
      <c r="A286" s="16"/>
      <c r="B286" s="16"/>
      <c r="C286" s="16"/>
      <c r="D286" s="16"/>
      <c r="E286" s="16"/>
      <c r="F286" s="16"/>
      <c r="G286" s="16"/>
      <c r="H286" s="647"/>
      <c r="I286" s="647"/>
      <c r="J286" s="647"/>
      <c r="K286" s="647"/>
      <c r="L286" s="647"/>
      <c r="M286" s="647"/>
      <c r="N286" s="647"/>
      <c r="O286" s="647"/>
      <c r="P286" s="647"/>
      <c r="Q286" s="647"/>
      <c r="R286" s="647"/>
      <c r="S286" s="647"/>
      <c r="T286" s="647"/>
      <c r="U286" s="16"/>
      <c r="V286" s="16"/>
      <c r="W286" s="16"/>
      <c r="X286" s="16"/>
      <c r="Y286" s="16"/>
      <c r="Z286" s="16"/>
      <c r="AA286" s="16"/>
      <c r="AB286" s="16"/>
      <c r="AC286" s="16"/>
    </row>
    <row r="287" ht="12.75" customHeight="1" spans="1:29" x14ac:dyDescent="0.25">
      <c r="A287" s="16"/>
      <c r="B287" s="16"/>
      <c r="C287" s="16"/>
      <c r="D287" s="16"/>
      <c r="E287" s="16"/>
      <c r="F287" s="16"/>
      <c r="G287" s="16"/>
      <c r="H287" s="647"/>
      <c r="I287" s="647"/>
      <c r="J287" s="647"/>
      <c r="K287" s="647"/>
      <c r="L287" s="647"/>
      <c r="M287" s="647"/>
      <c r="N287" s="647"/>
      <c r="O287" s="647"/>
      <c r="P287" s="647"/>
      <c r="Q287" s="647"/>
      <c r="R287" s="647"/>
      <c r="S287" s="647"/>
      <c r="T287" s="647"/>
      <c r="U287" s="16"/>
      <c r="V287" s="16"/>
      <c r="W287" s="16"/>
      <c r="X287" s="16"/>
      <c r="Y287" s="16"/>
      <c r="Z287" s="16"/>
      <c r="AA287" s="16"/>
      <c r="AB287" s="16"/>
      <c r="AC287" s="16"/>
    </row>
    <row r="288" ht="12.75" customHeight="1" spans="1:29" x14ac:dyDescent="0.25">
      <c r="A288" s="16"/>
      <c r="B288" s="16"/>
      <c r="C288" s="16"/>
      <c r="D288" s="16"/>
      <c r="E288" s="16"/>
      <c r="F288" s="16"/>
      <c r="G288" s="16"/>
      <c r="H288" s="647"/>
      <c r="I288" s="647"/>
      <c r="J288" s="647"/>
      <c r="K288" s="647"/>
      <c r="L288" s="647"/>
      <c r="M288" s="647"/>
      <c r="N288" s="647"/>
      <c r="O288" s="647"/>
      <c r="P288" s="647"/>
      <c r="Q288" s="647"/>
      <c r="R288" s="647"/>
      <c r="S288" s="647"/>
      <c r="T288" s="647"/>
      <c r="U288" s="16"/>
      <c r="V288" s="16"/>
      <c r="W288" s="16"/>
      <c r="X288" s="16"/>
      <c r="Y288" s="16"/>
      <c r="Z288" s="16"/>
      <c r="AA288" s="16"/>
      <c r="AB288" s="16"/>
      <c r="AC288" s="16"/>
    </row>
    <row r="289" ht="12.75" customHeight="1" spans="1:29" x14ac:dyDescent="0.25">
      <c r="A289" s="16"/>
      <c r="B289" s="16"/>
      <c r="C289" s="16"/>
      <c r="D289" s="16"/>
      <c r="E289" s="16"/>
      <c r="F289" s="16"/>
      <c r="G289" s="16"/>
      <c r="H289" s="647"/>
      <c r="I289" s="647"/>
      <c r="J289" s="647"/>
      <c r="K289" s="647"/>
      <c r="L289" s="647"/>
      <c r="M289" s="647"/>
      <c r="N289" s="647"/>
      <c r="O289" s="647"/>
      <c r="P289" s="647"/>
      <c r="Q289" s="647"/>
      <c r="R289" s="647"/>
      <c r="S289" s="647"/>
      <c r="T289" s="647"/>
      <c r="U289" s="16"/>
      <c r="V289" s="16"/>
      <c r="W289" s="16"/>
      <c r="X289" s="16"/>
      <c r="Y289" s="16"/>
      <c r="Z289" s="16"/>
      <c r="AA289" s="16"/>
      <c r="AB289" s="16"/>
      <c r="AC289" s="16"/>
    </row>
    <row r="290" ht="12.75" customHeight="1" spans="1:29" x14ac:dyDescent="0.25">
      <c r="A290" s="16"/>
      <c r="B290" s="16"/>
      <c r="C290" s="16"/>
      <c r="D290" s="16"/>
      <c r="E290" s="16"/>
      <c r="F290" s="16"/>
      <c r="G290" s="16"/>
      <c r="H290" s="647"/>
      <c r="I290" s="647"/>
      <c r="J290" s="647"/>
      <c r="K290" s="647"/>
      <c r="L290" s="647"/>
      <c r="M290" s="647"/>
      <c r="N290" s="647"/>
      <c r="O290" s="647"/>
      <c r="P290" s="647"/>
      <c r="Q290" s="647"/>
      <c r="R290" s="647"/>
      <c r="S290" s="647"/>
      <c r="T290" s="647"/>
      <c r="U290" s="16"/>
      <c r="V290" s="16"/>
      <c r="W290" s="16"/>
      <c r="X290" s="16"/>
      <c r="Y290" s="16"/>
      <c r="Z290" s="16"/>
      <c r="AA290" s="16"/>
      <c r="AB290" s="16"/>
      <c r="AC290" s="16"/>
    </row>
    <row r="291" ht="12.75" customHeight="1" spans="1:29" x14ac:dyDescent="0.25">
      <c r="A291" s="16"/>
      <c r="B291" s="16"/>
      <c r="C291" s="16"/>
      <c r="D291" s="16"/>
      <c r="E291" s="16"/>
      <c r="F291" s="16"/>
      <c r="G291" s="16"/>
      <c r="H291" s="647"/>
      <c r="I291" s="647"/>
      <c r="J291" s="647"/>
      <c r="K291" s="647"/>
      <c r="L291" s="647"/>
      <c r="M291" s="647"/>
      <c r="N291" s="647"/>
      <c r="O291" s="647"/>
      <c r="P291" s="647"/>
      <c r="Q291" s="647"/>
      <c r="R291" s="647"/>
      <c r="S291" s="647"/>
      <c r="T291" s="647"/>
      <c r="U291" s="16"/>
      <c r="V291" s="16"/>
      <c r="W291" s="16"/>
      <c r="X291" s="16"/>
      <c r="Y291" s="16"/>
      <c r="Z291" s="16"/>
      <c r="AA291" s="16"/>
      <c r="AB291" s="16"/>
      <c r="AC291" s="16"/>
    </row>
    <row r="292" ht="12.75" customHeight="1" spans="1:29" x14ac:dyDescent="0.25">
      <c r="A292" s="16"/>
      <c r="B292" s="16"/>
      <c r="C292" s="16"/>
      <c r="D292" s="16"/>
      <c r="E292" s="16"/>
      <c r="F292" s="16"/>
      <c r="G292" s="16"/>
      <c r="H292" s="647"/>
      <c r="I292" s="647"/>
      <c r="J292" s="647"/>
      <c r="K292" s="647"/>
      <c r="L292" s="647"/>
      <c r="M292" s="647"/>
      <c r="N292" s="647"/>
      <c r="O292" s="647"/>
      <c r="P292" s="647"/>
      <c r="Q292" s="647"/>
      <c r="R292" s="647"/>
      <c r="S292" s="647"/>
      <c r="T292" s="647"/>
      <c r="U292" s="16"/>
      <c r="V292" s="16"/>
      <c r="W292" s="16"/>
      <c r="X292" s="16"/>
      <c r="Y292" s="16"/>
      <c r="Z292" s="16"/>
      <c r="AA292" s="16"/>
      <c r="AB292" s="16"/>
      <c r="AC292" s="16"/>
    </row>
    <row r="293" ht="12.75" customHeight="1" spans="1:29" x14ac:dyDescent="0.25">
      <c r="A293" s="16"/>
      <c r="B293" s="16"/>
      <c r="C293" s="16"/>
      <c r="D293" s="16"/>
      <c r="E293" s="16"/>
      <c r="F293" s="16"/>
      <c r="G293" s="16"/>
      <c r="H293" s="647"/>
      <c r="I293" s="647"/>
      <c r="J293" s="647"/>
      <c r="K293" s="647"/>
      <c r="L293" s="647"/>
      <c r="M293" s="647"/>
      <c r="N293" s="647"/>
      <c r="O293" s="647"/>
      <c r="P293" s="647"/>
      <c r="Q293" s="647"/>
      <c r="R293" s="647"/>
      <c r="S293" s="647"/>
      <c r="T293" s="647"/>
      <c r="U293" s="16"/>
      <c r="V293" s="16"/>
      <c r="W293" s="16"/>
      <c r="X293" s="16"/>
      <c r="Y293" s="16"/>
      <c r="Z293" s="16"/>
      <c r="AA293" s="16"/>
      <c r="AB293" s="16"/>
      <c r="AC293" s="16"/>
    </row>
    <row r="294" ht="12.75" customHeight="1" spans="1:29" x14ac:dyDescent="0.25">
      <c r="A294" s="16"/>
      <c r="B294" s="16"/>
      <c r="C294" s="16"/>
      <c r="D294" s="16"/>
      <c r="E294" s="16"/>
      <c r="F294" s="16"/>
      <c r="G294" s="16"/>
      <c r="H294" s="647"/>
      <c r="I294" s="647"/>
      <c r="J294" s="647"/>
      <c r="K294" s="647"/>
      <c r="L294" s="647"/>
      <c r="M294" s="647"/>
      <c r="N294" s="647"/>
      <c r="O294" s="647"/>
      <c r="P294" s="647"/>
      <c r="Q294" s="647"/>
      <c r="R294" s="647"/>
      <c r="S294" s="647"/>
      <c r="T294" s="647"/>
      <c r="U294" s="16"/>
      <c r="V294" s="16"/>
      <c r="W294" s="16"/>
      <c r="X294" s="16"/>
      <c r="Y294" s="16"/>
      <c r="Z294" s="16"/>
      <c r="AA294" s="16"/>
      <c r="AB294" s="16"/>
      <c r="AC294" s="16"/>
    </row>
    <row r="295" ht="12.75" customHeight="1" spans="1:29" x14ac:dyDescent="0.25">
      <c r="A295" s="16"/>
      <c r="B295" s="16"/>
      <c r="C295" s="16"/>
      <c r="D295" s="16"/>
      <c r="E295" s="16"/>
      <c r="F295" s="16"/>
      <c r="G295" s="16"/>
      <c r="H295" s="647"/>
      <c r="I295" s="647"/>
      <c r="J295" s="647"/>
      <c r="K295" s="647"/>
      <c r="L295" s="647"/>
      <c r="M295" s="647"/>
      <c r="N295" s="647"/>
      <c r="O295" s="647"/>
      <c r="P295" s="647"/>
      <c r="Q295" s="647"/>
      <c r="R295" s="647"/>
      <c r="S295" s="647"/>
      <c r="T295" s="647"/>
      <c r="U295" s="16"/>
      <c r="V295" s="16"/>
      <c r="W295" s="16"/>
      <c r="X295" s="16"/>
      <c r="Y295" s="16"/>
      <c r="Z295" s="16"/>
      <c r="AA295" s="16"/>
      <c r="AB295" s="16"/>
      <c r="AC295" s="16"/>
    </row>
    <row r="296" ht="12.75" customHeight="1" spans="1:29" x14ac:dyDescent="0.25">
      <c r="A296" s="16"/>
      <c r="B296" s="16"/>
      <c r="C296" s="16"/>
      <c r="D296" s="16"/>
      <c r="E296" s="16"/>
      <c r="F296" s="16"/>
      <c r="G296" s="16"/>
      <c r="H296" s="647"/>
      <c r="I296" s="647"/>
      <c r="J296" s="647"/>
      <c r="K296" s="647"/>
      <c r="L296" s="647"/>
      <c r="M296" s="647"/>
      <c r="N296" s="647"/>
      <c r="O296" s="647"/>
      <c r="P296" s="647"/>
      <c r="Q296" s="647"/>
      <c r="R296" s="647"/>
      <c r="S296" s="647"/>
      <c r="T296" s="647"/>
      <c r="U296" s="16"/>
      <c r="V296" s="16"/>
      <c r="W296" s="16"/>
      <c r="X296" s="16"/>
      <c r="Y296" s="16"/>
      <c r="Z296" s="16"/>
      <c r="AA296" s="16"/>
      <c r="AB296" s="16"/>
      <c r="AC296" s="16"/>
    </row>
    <row r="297" ht="12.75" customHeight="1" spans="1:29" x14ac:dyDescent="0.25">
      <c r="A297" s="16"/>
      <c r="B297" s="16"/>
      <c r="C297" s="16"/>
      <c r="D297" s="16"/>
      <c r="E297" s="16"/>
      <c r="F297" s="16"/>
      <c r="G297" s="16"/>
      <c r="H297" s="647"/>
      <c r="I297" s="647"/>
      <c r="J297" s="647"/>
      <c r="K297" s="647"/>
      <c r="L297" s="647"/>
      <c r="M297" s="647"/>
      <c r="N297" s="647"/>
      <c r="O297" s="647"/>
      <c r="P297" s="647"/>
      <c r="Q297" s="647"/>
      <c r="R297" s="647"/>
      <c r="S297" s="647"/>
      <c r="T297" s="647"/>
      <c r="U297" s="16"/>
      <c r="V297" s="16"/>
      <c r="W297" s="16"/>
      <c r="X297" s="16"/>
      <c r="Y297" s="16"/>
      <c r="Z297" s="16"/>
      <c r="AA297" s="16"/>
      <c r="AB297" s="16"/>
      <c r="AC297" s="16"/>
    </row>
    <row r="298" ht="12.75" customHeight="1" spans="1:29" x14ac:dyDescent="0.25">
      <c r="A298" s="16"/>
      <c r="B298" s="16"/>
      <c r="C298" s="16"/>
      <c r="D298" s="16"/>
      <c r="E298" s="16"/>
      <c r="F298" s="16"/>
      <c r="G298" s="16"/>
      <c r="H298" s="647"/>
      <c r="I298" s="647"/>
      <c r="J298" s="647"/>
      <c r="K298" s="647"/>
      <c r="L298" s="647"/>
      <c r="M298" s="647"/>
      <c r="N298" s="647"/>
      <c r="O298" s="647"/>
      <c r="P298" s="647"/>
      <c r="Q298" s="647"/>
      <c r="R298" s="647"/>
      <c r="S298" s="647"/>
      <c r="T298" s="647"/>
      <c r="U298" s="16"/>
      <c r="V298" s="16"/>
      <c r="W298" s="16"/>
      <c r="X298" s="16"/>
      <c r="Y298" s="16"/>
      <c r="Z298" s="16"/>
      <c r="AA298" s="16"/>
      <c r="AB298" s="16"/>
      <c r="AC298" s="16"/>
    </row>
    <row r="299" ht="12.75" customHeight="1" spans="1:29" x14ac:dyDescent="0.25">
      <c r="A299" s="16"/>
      <c r="B299" s="16"/>
      <c r="C299" s="16"/>
      <c r="D299" s="16"/>
      <c r="E299" s="16"/>
      <c r="F299" s="16"/>
      <c r="G299" s="16"/>
      <c r="H299" s="647"/>
      <c r="I299" s="647"/>
      <c r="J299" s="647"/>
      <c r="K299" s="647"/>
      <c r="L299" s="647"/>
      <c r="M299" s="647"/>
      <c r="N299" s="647"/>
      <c r="O299" s="647"/>
      <c r="P299" s="647"/>
      <c r="Q299" s="647"/>
      <c r="R299" s="647"/>
      <c r="S299" s="647"/>
      <c r="T299" s="647"/>
      <c r="U299" s="16"/>
      <c r="V299" s="16"/>
      <c r="W299" s="16"/>
      <c r="X299" s="16"/>
      <c r="Y299" s="16"/>
      <c r="Z299" s="16"/>
      <c r="AA299" s="16"/>
      <c r="AB299" s="16"/>
      <c r="AC299" s="16"/>
    </row>
    <row r="300" ht="12.75" customHeight="1" spans="1:29" x14ac:dyDescent="0.25">
      <c r="A300" s="16"/>
      <c r="B300" s="16"/>
      <c r="C300" s="16"/>
      <c r="D300" s="16"/>
      <c r="E300" s="16"/>
      <c r="F300" s="16"/>
      <c r="G300" s="16"/>
      <c r="H300" s="647"/>
      <c r="I300" s="647"/>
      <c r="J300" s="647"/>
      <c r="K300" s="647"/>
      <c r="L300" s="647"/>
      <c r="M300" s="647"/>
      <c r="N300" s="647"/>
      <c r="O300" s="647"/>
      <c r="P300" s="647"/>
      <c r="Q300" s="647"/>
      <c r="R300" s="647"/>
      <c r="S300" s="647"/>
      <c r="T300" s="647"/>
      <c r="U300" s="16"/>
      <c r="V300" s="16"/>
      <c r="W300" s="16"/>
      <c r="X300" s="16"/>
      <c r="Y300" s="16"/>
      <c r="Z300" s="16"/>
      <c r="AA300" s="16"/>
      <c r="AB300" s="16"/>
      <c r="AC300" s="16"/>
    </row>
    <row r="301" ht="12.75" customHeight="1" spans="1:29" x14ac:dyDescent="0.25">
      <c r="A301" s="16"/>
      <c r="B301" s="16"/>
      <c r="C301" s="16"/>
      <c r="D301" s="16"/>
      <c r="E301" s="16"/>
      <c r="F301" s="16"/>
      <c r="G301" s="16"/>
      <c r="H301" s="647"/>
      <c r="I301" s="647"/>
      <c r="J301" s="647"/>
      <c r="K301" s="647"/>
      <c r="L301" s="647"/>
      <c r="M301" s="647"/>
      <c r="N301" s="647"/>
      <c r="O301" s="647"/>
      <c r="P301" s="647"/>
      <c r="Q301" s="647"/>
      <c r="R301" s="647"/>
      <c r="S301" s="647"/>
      <c r="T301" s="647"/>
      <c r="U301" s="16"/>
      <c r="V301" s="16"/>
      <c r="W301" s="16"/>
      <c r="X301" s="16"/>
      <c r="Y301" s="16"/>
      <c r="Z301" s="16"/>
      <c r="AA301" s="16"/>
      <c r="AB301" s="16"/>
      <c r="AC301" s="16"/>
    </row>
    <row r="302" ht="12.75" customHeight="1" spans="1:29" x14ac:dyDescent="0.25">
      <c r="A302" s="16"/>
      <c r="B302" s="16"/>
      <c r="C302" s="16"/>
      <c r="D302" s="16"/>
      <c r="E302" s="16"/>
      <c r="F302" s="16"/>
      <c r="G302" s="16"/>
      <c r="H302" s="647"/>
      <c r="I302" s="647"/>
      <c r="J302" s="647"/>
      <c r="K302" s="647"/>
      <c r="L302" s="647"/>
      <c r="M302" s="647"/>
      <c r="N302" s="647"/>
      <c r="O302" s="647"/>
      <c r="P302" s="647"/>
      <c r="Q302" s="647"/>
      <c r="R302" s="647"/>
      <c r="S302" s="647"/>
      <c r="T302" s="647"/>
      <c r="U302" s="16"/>
      <c r="V302" s="16"/>
      <c r="W302" s="16"/>
      <c r="X302" s="16"/>
      <c r="Y302" s="16"/>
      <c r="Z302" s="16"/>
      <c r="AA302" s="16"/>
      <c r="AB302" s="16"/>
      <c r="AC302" s="16"/>
    </row>
    <row r="303" ht="12.75" customHeight="1" spans="1:29" x14ac:dyDescent="0.25">
      <c r="A303" s="16"/>
      <c r="B303" s="16"/>
      <c r="C303" s="16"/>
      <c r="D303" s="16"/>
      <c r="E303" s="16"/>
      <c r="F303" s="16"/>
      <c r="G303" s="16"/>
      <c r="H303" s="647"/>
      <c r="I303" s="647"/>
      <c r="J303" s="647"/>
      <c r="K303" s="647"/>
      <c r="L303" s="647"/>
      <c r="M303" s="647"/>
      <c r="N303" s="647"/>
      <c r="O303" s="647"/>
      <c r="P303" s="647"/>
      <c r="Q303" s="647"/>
      <c r="R303" s="647"/>
      <c r="S303" s="647"/>
      <c r="T303" s="647"/>
      <c r="U303" s="16"/>
      <c r="V303" s="16"/>
      <c r="W303" s="16"/>
      <c r="X303" s="16"/>
      <c r="Y303" s="16"/>
      <c r="Z303" s="16"/>
      <c r="AA303" s="16"/>
      <c r="AB303" s="16"/>
      <c r="AC303" s="16"/>
    </row>
    <row r="304" ht="12.75" customHeight="1" spans="1:29" x14ac:dyDescent="0.25">
      <c r="A304" s="16"/>
      <c r="B304" s="16"/>
      <c r="C304" s="16"/>
      <c r="D304" s="16"/>
      <c r="E304" s="16"/>
      <c r="F304" s="16"/>
      <c r="G304" s="16"/>
      <c r="H304" s="647"/>
      <c r="I304" s="647"/>
      <c r="J304" s="647"/>
      <c r="K304" s="647"/>
      <c r="L304" s="647"/>
      <c r="M304" s="647"/>
      <c r="N304" s="647"/>
      <c r="O304" s="647"/>
      <c r="P304" s="647"/>
      <c r="Q304" s="647"/>
      <c r="R304" s="647"/>
      <c r="S304" s="647"/>
      <c r="T304" s="647"/>
      <c r="U304" s="16"/>
      <c r="V304" s="16"/>
      <c r="W304" s="16"/>
      <c r="X304" s="16"/>
      <c r="Y304" s="16"/>
      <c r="Z304" s="16"/>
      <c r="AA304" s="16"/>
      <c r="AB304" s="16"/>
      <c r="AC304" s="16"/>
    </row>
    <row r="305" ht="12.75" customHeight="1" spans="1:29" x14ac:dyDescent="0.25">
      <c r="A305" s="16"/>
      <c r="B305" s="16"/>
      <c r="C305" s="16"/>
      <c r="D305" s="16"/>
      <c r="E305" s="16"/>
      <c r="F305" s="16"/>
      <c r="G305" s="16"/>
      <c r="H305" s="647"/>
      <c r="I305" s="647"/>
      <c r="J305" s="647"/>
      <c r="K305" s="647"/>
      <c r="L305" s="647"/>
      <c r="M305" s="647"/>
      <c r="N305" s="647"/>
      <c r="O305" s="647"/>
      <c r="P305" s="647"/>
      <c r="Q305" s="647"/>
      <c r="R305" s="647"/>
      <c r="S305" s="647"/>
      <c r="T305" s="647"/>
      <c r="U305" s="16"/>
      <c r="V305" s="16"/>
      <c r="W305" s="16"/>
      <c r="X305" s="16"/>
      <c r="Y305" s="16"/>
      <c r="Z305" s="16"/>
      <c r="AA305" s="16"/>
      <c r="AB305" s="16"/>
      <c r="AC305" s="16"/>
    </row>
    <row r="306" ht="12.75" customHeight="1" spans="1:29" x14ac:dyDescent="0.25">
      <c r="A306" s="16"/>
      <c r="B306" s="16"/>
      <c r="C306" s="16"/>
      <c r="D306" s="16"/>
      <c r="E306" s="16"/>
      <c r="F306" s="16"/>
      <c r="G306" s="16"/>
      <c r="H306" s="647"/>
      <c r="I306" s="647"/>
      <c r="J306" s="647"/>
      <c r="K306" s="647"/>
      <c r="L306" s="647"/>
      <c r="M306" s="647"/>
      <c r="N306" s="647"/>
      <c r="O306" s="647"/>
      <c r="P306" s="647"/>
      <c r="Q306" s="647"/>
      <c r="R306" s="647"/>
      <c r="S306" s="647"/>
      <c r="T306" s="647"/>
      <c r="U306" s="16"/>
      <c r="V306" s="16"/>
      <c r="W306" s="16"/>
      <c r="X306" s="16"/>
      <c r="Y306" s="16"/>
      <c r="Z306" s="16"/>
      <c r="AA306" s="16"/>
      <c r="AB306" s="16"/>
      <c r="AC306" s="16"/>
    </row>
    <row r="307" ht="12.75" customHeight="1" spans="1:29" x14ac:dyDescent="0.25">
      <c r="A307" s="16"/>
      <c r="B307" s="16"/>
      <c r="C307" s="16"/>
      <c r="D307" s="16"/>
      <c r="E307" s="16"/>
      <c r="F307" s="16"/>
      <c r="G307" s="16"/>
      <c r="H307" s="647"/>
      <c r="I307" s="647"/>
      <c r="J307" s="647"/>
      <c r="K307" s="647"/>
      <c r="L307" s="647"/>
      <c r="M307" s="647"/>
      <c r="N307" s="647"/>
      <c r="O307" s="647"/>
      <c r="P307" s="647"/>
      <c r="Q307" s="647"/>
      <c r="R307" s="647"/>
      <c r="S307" s="647"/>
      <c r="T307" s="647"/>
      <c r="U307" s="16"/>
      <c r="V307" s="16"/>
      <c r="W307" s="16"/>
      <c r="X307" s="16"/>
      <c r="Y307" s="16"/>
      <c r="Z307" s="16"/>
      <c r="AA307" s="16"/>
      <c r="AB307" s="16"/>
      <c r="AC307" s="16"/>
    </row>
    <row r="308" ht="12.75" customHeight="1" spans="1:29" x14ac:dyDescent="0.25">
      <c r="A308" s="16"/>
      <c r="B308" s="16"/>
      <c r="C308" s="16"/>
      <c r="D308" s="16"/>
      <c r="E308" s="16"/>
      <c r="F308" s="16"/>
      <c r="G308" s="16"/>
      <c r="H308" s="647"/>
      <c r="I308" s="647"/>
      <c r="J308" s="647"/>
      <c r="K308" s="647"/>
      <c r="L308" s="647"/>
      <c r="M308" s="647"/>
      <c r="N308" s="647"/>
      <c r="O308" s="647"/>
      <c r="P308" s="647"/>
      <c r="Q308" s="647"/>
      <c r="R308" s="647"/>
      <c r="S308" s="647"/>
      <c r="T308" s="647"/>
      <c r="U308" s="16"/>
      <c r="V308" s="16"/>
      <c r="W308" s="16"/>
      <c r="X308" s="16"/>
      <c r="Y308" s="16"/>
      <c r="Z308" s="16"/>
      <c r="AA308" s="16"/>
      <c r="AB308" s="16"/>
      <c r="AC308" s="16"/>
    </row>
    <row r="309" ht="12.75" customHeight="1" spans="1:29" x14ac:dyDescent="0.25">
      <c r="A309" s="16"/>
      <c r="B309" s="16"/>
      <c r="C309" s="16"/>
      <c r="D309" s="16"/>
      <c r="E309" s="16"/>
      <c r="F309" s="16"/>
      <c r="G309" s="16"/>
      <c r="H309" s="647"/>
      <c r="I309" s="647"/>
      <c r="J309" s="647"/>
      <c r="K309" s="647"/>
      <c r="L309" s="647"/>
      <c r="M309" s="647"/>
      <c r="N309" s="647"/>
      <c r="O309" s="647"/>
      <c r="P309" s="647"/>
      <c r="Q309" s="647"/>
      <c r="R309" s="647"/>
      <c r="S309" s="647"/>
      <c r="T309" s="647"/>
      <c r="U309" s="16"/>
      <c r="V309" s="16"/>
      <c r="W309" s="16"/>
      <c r="X309" s="16"/>
      <c r="Y309" s="16"/>
      <c r="Z309" s="16"/>
      <c r="AA309" s="16"/>
      <c r="AB309" s="16"/>
      <c r="AC309" s="16"/>
    </row>
    <row r="310" ht="12.75" customHeight="1" spans="1:29" x14ac:dyDescent="0.25">
      <c r="A310" s="16"/>
      <c r="B310" s="16"/>
      <c r="C310" s="16"/>
      <c r="D310" s="16"/>
      <c r="E310" s="16"/>
      <c r="F310" s="16"/>
      <c r="G310" s="16"/>
      <c r="H310" s="647"/>
      <c r="I310" s="647"/>
      <c r="J310" s="647"/>
      <c r="K310" s="647"/>
      <c r="L310" s="647"/>
      <c r="M310" s="647"/>
      <c r="N310" s="647"/>
      <c r="O310" s="647"/>
      <c r="P310" s="647"/>
      <c r="Q310" s="647"/>
      <c r="R310" s="647"/>
      <c r="S310" s="647"/>
      <c r="T310" s="647"/>
      <c r="U310" s="16"/>
      <c r="V310" s="16"/>
      <c r="W310" s="16"/>
      <c r="X310" s="16"/>
      <c r="Y310" s="16"/>
      <c r="Z310" s="16"/>
      <c r="AA310" s="16"/>
      <c r="AB310" s="16"/>
      <c r="AC310" s="16"/>
    </row>
    <row r="311" ht="12.75" customHeight="1" spans="1:29" x14ac:dyDescent="0.25">
      <c r="A311" s="16"/>
      <c r="B311" s="16"/>
      <c r="C311" s="16"/>
      <c r="D311" s="16"/>
      <c r="E311" s="16"/>
      <c r="F311" s="16"/>
      <c r="G311" s="16"/>
      <c r="H311" s="647"/>
      <c r="I311" s="647"/>
      <c r="J311" s="647"/>
      <c r="K311" s="647"/>
      <c r="L311" s="647"/>
      <c r="M311" s="647"/>
      <c r="N311" s="647"/>
      <c r="O311" s="647"/>
      <c r="P311" s="647"/>
      <c r="Q311" s="647"/>
      <c r="R311" s="647"/>
      <c r="S311" s="647"/>
      <c r="T311" s="647"/>
      <c r="U311" s="16"/>
      <c r="V311" s="16"/>
      <c r="W311" s="16"/>
      <c r="X311" s="16"/>
      <c r="Y311" s="16"/>
      <c r="Z311" s="16"/>
      <c r="AA311" s="16"/>
      <c r="AB311" s="16"/>
      <c r="AC311" s="16"/>
    </row>
    <row r="312" ht="12.75" customHeight="1" spans="1:29" x14ac:dyDescent="0.25">
      <c r="A312" s="16"/>
      <c r="B312" s="16"/>
      <c r="C312" s="16"/>
      <c r="D312" s="16"/>
      <c r="E312" s="16"/>
      <c r="F312" s="16"/>
      <c r="G312" s="16"/>
      <c r="H312" s="647"/>
      <c r="I312" s="647"/>
      <c r="J312" s="647"/>
      <c r="K312" s="647"/>
      <c r="L312" s="647"/>
      <c r="M312" s="647"/>
      <c r="N312" s="647"/>
      <c r="O312" s="647"/>
      <c r="P312" s="647"/>
      <c r="Q312" s="647"/>
      <c r="R312" s="647"/>
      <c r="S312" s="647"/>
      <c r="T312" s="647"/>
      <c r="U312" s="16"/>
      <c r="V312" s="16"/>
      <c r="W312" s="16"/>
      <c r="X312" s="16"/>
      <c r="Y312" s="16"/>
      <c r="Z312" s="16"/>
      <c r="AA312" s="16"/>
      <c r="AB312" s="16"/>
      <c r="AC312" s="16"/>
    </row>
    <row r="313" ht="12.75" customHeight="1" spans="1:29" x14ac:dyDescent="0.25">
      <c r="A313" s="16"/>
      <c r="B313" s="16"/>
      <c r="C313" s="16"/>
      <c r="D313" s="16"/>
      <c r="E313" s="16"/>
      <c r="F313" s="16"/>
      <c r="G313" s="16"/>
      <c r="H313" s="647"/>
      <c r="I313" s="647"/>
      <c r="J313" s="647"/>
      <c r="K313" s="647"/>
      <c r="L313" s="647"/>
      <c r="M313" s="647"/>
      <c r="N313" s="647"/>
      <c r="O313" s="647"/>
      <c r="P313" s="647"/>
      <c r="Q313" s="647"/>
      <c r="R313" s="647"/>
      <c r="S313" s="647"/>
      <c r="T313" s="647"/>
      <c r="U313" s="16"/>
      <c r="V313" s="16"/>
      <c r="W313" s="16"/>
      <c r="X313" s="16"/>
      <c r="Y313" s="16"/>
      <c r="Z313" s="16"/>
      <c r="AA313" s="16"/>
      <c r="AB313" s="16"/>
      <c r="AC313" s="16"/>
    </row>
    <row r="314" ht="12.75" customHeight="1" spans="1:29" x14ac:dyDescent="0.25">
      <c r="A314" s="16"/>
      <c r="B314" s="16"/>
      <c r="C314" s="16"/>
      <c r="D314" s="16"/>
      <c r="E314" s="16"/>
      <c r="F314" s="16"/>
      <c r="G314" s="16"/>
      <c r="H314" s="647"/>
      <c r="I314" s="647"/>
      <c r="J314" s="647"/>
      <c r="K314" s="647"/>
      <c r="L314" s="647"/>
      <c r="M314" s="647"/>
      <c r="N314" s="647"/>
      <c r="O314" s="647"/>
      <c r="P314" s="647"/>
      <c r="Q314" s="647"/>
      <c r="R314" s="647"/>
      <c r="S314" s="647"/>
      <c r="T314" s="647"/>
      <c r="U314" s="16"/>
      <c r="V314" s="16"/>
      <c r="W314" s="16"/>
      <c r="X314" s="16"/>
      <c r="Y314" s="16"/>
      <c r="Z314" s="16"/>
      <c r="AA314" s="16"/>
      <c r="AB314" s="16"/>
      <c r="AC314" s="16"/>
    </row>
    <row r="315" ht="12.75" customHeight="1" spans="1:29" x14ac:dyDescent="0.25">
      <c r="A315" s="16"/>
      <c r="B315" s="16"/>
      <c r="C315" s="16"/>
      <c r="D315" s="16"/>
      <c r="E315" s="16"/>
      <c r="F315" s="16"/>
      <c r="G315" s="16"/>
      <c r="H315" s="647"/>
      <c r="I315" s="647"/>
      <c r="J315" s="647"/>
      <c r="K315" s="647"/>
      <c r="L315" s="647"/>
      <c r="M315" s="647"/>
      <c r="N315" s="647"/>
      <c r="O315" s="647"/>
      <c r="P315" s="647"/>
      <c r="Q315" s="647"/>
      <c r="R315" s="647"/>
      <c r="S315" s="647"/>
      <c r="T315" s="647"/>
      <c r="U315" s="16"/>
      <c r="V315" s="16"/>
      <c r="W315" s="16"/>
      <c r="X315" s="16"/>
      <c r="Y315" s="16"/>
      <c r="Z315" s="16"/>
      <c r="AA315" s="16"/>
      <c r="AB315" s="16"/>
      <c r="AC315" s="16"/>
    </row>
    <row r="316" ht="12.75" customHeight="1" spans="1:29" x14ac:dyDescent="0.25">
      <c r="A316" s="16"/>
      <c r="B316" s="16"/>
      <c r="C316" s="16"/>
      <c r="D316" s="16"/>
      <c r="E316" s="16"/>
      <c r="F316" s="16"/>
      <c r="G316" s="16"/>
      <c r="H316" s="647"/>
      <c r="I316" s="647"/>
      <c r="J316" s="647"/>
      <c r="K316" s="647"/>
      <c r="L316" s="647"/>
      <c r="M316" s="647"/>
      <c r="N316" s="647"/>
      <c r="O316" s="647"/>
      <c r="P316" s="647"/>
      <c r="Q316" s="647"/>
      <c r="R316" s="647"/>
      <c r="S316" s="647"/>
      <c r="T316" s="647"/>
      <c r="U316" s="16"/>
      <c r="V316" s="16"/>
      <c r="W316" s="16"/>
      <c r="X316" s="16"/>
      <c r="Y316" s="16"/>
      <c r="Z316" s="16"/>
      <c r="AA316" s="16"/>
      <c r="AB316" s="16"/>
      <c r="AC316" s="16"/>
    </row>
    <row r="317" ht="12.75" customHeight="1" spans="1:29" x14ac:dyDescent="0.25">
      <c r="A317" s="16"/>
      <c r="B317" s="16"/>
      <c r="C317" s="16"/>
      <c r="D317" s="16"/>
      <c r="E317" s="16"/>
      <c r="F317" s="16"/>
      <c r="G317" s="16"/>
      <c r="H317" s="647"/>
      <c r="I317" s="647"/>
      <c r="J317" s="647"/>
      <c r="K317" s="647"/>
      <c r="L317" s="647"/>
      <c r="M317" s="647"/>
      <c r="N317" s="647"/>
      <c r="O317" s="647"/>
      <c r="P317" s="647"/>
      <c r="Q317" s="647"/>
      <c r="R317" s="647"/>
      <c r="S317" s="647"/>
      <c r="T317" s="647"/>
      <c r="U317" s="16"/>
      <c r="V317" s="16"/>
      <c r="W317" s="16"/>
      <c r="X317" s="16"/>
      <c r="Y317" s="16"/>
      <c r="Z317" s="16"/>
      <c r="AA317" s="16"/>
      <c r="AB317" s="16"/>
      <c r="AC317" s="16"/>
    </row>
    <row r="318" ht="12.75" customHeight="1" spans="1:29" x14ac:dyDescent="0.25">
      <c r="A318" s="16"/>
      <c r="B318" s="16"/>
      <c r="C318" s="16"/>
      <c r="D318" s="16"/>
      <c r="E318" s="16"/>
      <c r="F318" s="16"/>
      <c r="G318" s="16"/>
      <c r="H318" s="647"/>
      <c r="I318" s="647"/>
      <c r="J318" s="647"/>
      <c r="K318" s="647"/>
      <c r="L318" s="647"/>
      <c r="M318" s="647"/>
      <c r="N318" s="647"/>
      <c r="O318" s="647"/>
      <c r="P318" s="647"/>
      <c r="Q318" s="647"/>
      <c r="R318" s="647"/>
      <c r="S318" s="647"/>
      <c r="T318" s="647"/>
      <c r="U318" s="16"/>
      <c r="V318" s="16"/>
      <c r="W318" s="16"/>
      <c r="X318" s="16"/>
      <c r="Y318" s="16"/>
      <c r="Z318" s="16"/>
      <c r="AA318" s="16"/>
      <c r="AB318" s="16"/>
      <c r="AC318" s="16"/>
    </row>
    <row r="319" ht="12.75" customHeight="1" spans="1:29" x14ac:dyDescent="0.25">
      <c r="A319" s="16"/>
      <c r="B319" s="16"/>
      <c r="C319" s="16"/>
      <c r="D319" s="16"/>
      <c r="E319" s="16"/>
      <c r="F319" s="16"/>
      <c r="G319" s="16"/>
      <c r="H319" s="647"/>
      <c r="I319" s="647"/>
      <c r="J319" s="647"/>
      <c r="K319" s="647"/>
      <c r="L319" s="647"/>
      <c r="M319" s="647"/>
      <c r="N319" s="647"/>
      <c r="O319" s="647"/>
      <c r="P319" s="647"/>
      <c r="Q319" s="647"/>
      <c r="R319" s="647"/>
      <c r="S319" s="647"/>
      <c r="T319" s="647"/>
      <c r="U319" s="16"/>
      <c r="V319" s="16"/>
      <c r="W319" s="16"/>
      <c r="X319" s="16"/>
      <c r="Y319" s="16"/>
      <c r="Z319" s="16"/>
      <c r="AA319" s="16"/>
      <c r="AB319" s="16"/>
      <c r="AC319" s="16"/>
    </row>
    <row r="320" ht="12.75" customHeight="1" spans="1:29" x14ac:dyDescent="0.25">
      <c r="A320" s="16"/>
      <c r="B320" s="16"/>
      <c r="C320" s="16"/>
      <c r="D320" s="16"/>
      <c r="E320" s="16"/>
      <c r="F320" s="16"/>
      <c r="G320" s="16"/>
      <c r="H320" s="647"/>
      <c r="I320" s="647"/>
      <c r="J320" s="647"/>
      <c r="K320" s="647"/>
      <c r="L320" s="647"/>
      <c r="M320" s="647"/>
      <c r="N320" s="647"/>
      <c r="O320" s="647"/>
      <c r="P320" s="647"/>
      <c r="Q320" s="647"/>
      <c r="R320" s="647"/>
      <c r="S320" s="647"/>
      <c r="T320" s="647"/>
      <c r="U320" s="16"/>
      <c r="V320" s="16"/>
      <c r="W320" s="16"/>
      <c r="X320" s="16"/>
      <c r="Y320" s="16"/>
      <c r="Z320" s="16"/>
      <c r="AA320" s="16"/>
      <c r="AB320" s="16"/>
      <c r="AC320" s="16"/>
    </row>
    <row r="321" ht="12.75" customHeight="1" spans="1:29" x14ac:dyDescent="0.25">
      <c r="A321" s="16"/>
      <c r="B321" s="16"/>
      <c r="C321" s="16"/>
      <c r="D321" s="16"/>
      <c r="E321" s="16"/>
      <c r="F321" s="16"/>
      <c r="G321" s="16"/>
      <c r="H321" s="647"/>
      <c r="I321" s="647"/>
      <c r="J321" s="647"/>
      <c r="K321" s="647"/>
      <c r="L321" s="647"/>
      <c r="M321" s="647"/>
      <c r="N321" s="647"/>
      <c r="O321" s="647"/>
      <c r="P321" s="647"/>
      <c r="Q321" s="647"/>
      <c r="R321" s="647"/>
      <c r="S321" s="647"/>
      <c r="T321" s="647"/>
      <c r="U321" s="16"/>
      <c r="V321" s="16"/>
      <c r="W321" s="16"/>
      <c r="X321" s="16"/>
      <c r="Y321" s="16"/>
      <c r="Z321" s="16"/>
      <c r="AA321" s="16"/>
      <c r="AB321" s="16"/>
      <c r="AC321" s="16"/>
    </row>
    <row r="322" ht="12.75" customHeight="1" spans="1:29" x14ac:dyDescent="0.25">
      <c r="A322" s="16"/>
      <c r="B322" s="16"/>
      <c r="C322" s="16"/>
      <c r="D322" s="16"/>
      <c r="E322" s="16"/>
      <c r="F322" s="16"/>
      <c r="G322" s="16"/>
      <c r="H322" s="647"/>
      <c r="I322" s="647"/>
      <c r="J322" s="647"/>
      <c r="K322" s="647"/>
      <c r="L322" s="647"/>
      <c r="M322" s="647"/>
      <c r="N322" s="647"/>
      <c r="O322" s="647"/>
      <c r="P322" s="647"/>
      <c r="Q322" s="647"/>
      <c r="R322" s="647"/>
      <c r="S322" s="647"/>
      <c r="T322" s="647"/>
      <c r="U322" s="16"/>
      <c r="V322" s="16"/>
      <c r="W322" s="16"/>
      <c r="X322" s="16"/>
      <c r="Y322" s="16"/>
      <c r="Z322" s="16"/>
      <c r="AA322" s="16"/>
      <c r="AB322" s="16"/>
      <c r="AC322" s="16"/>
    </row>
    <row r="323" ht="12.75" customHeight="1" spans="1:29" x14ac:dyDescent="0.25">
      <c r="A323" s="16"/>
      <c r="B323" s="16"/>
      <c r="C323" s="16"/>
      <c r="D323" s="16"/>
      <c r="E323" s="16"/>
      <c r="F323" s="16"/>
      <c r="G323" s="16"/>
      <c r="H323" s="647"/>
      <c r="I323" s="647"/>
      <c r="J323" s="647"/>
      <c r="K323" s="647"/>
      <c r="L323" s="647"/>
      <c r="M323" s="647"/>
      <c r="N323" s="647"/>
      <c r="O323" s="647"/>
      <c r="P323" s="647"/>
      <c r="Q323" s="647"/>
      <c r="R323" s="647"/>
      <c r="S323" s="647"/>
      <c r="T323" s="647"/>
      <c r="U323" s="16"/>
      <c r="V323" s="16"/>
      <c r="W323" s="16"/>
      <c r="X323" s="16"/>
      <c r="Y323" s="16"/>
      <c r="Z323" s="16"/>
      <c r="AA323" s="16"/>
      <c r="AB323" s="16"/>
      <c r="AC323" s="16"/>
    </row>
    <row r="324" ht="12.75" customHeight="1" spans="1:29" x14ac:dyDescent="0.25">
      <c r="A324" s="16"/>
      <c r="B324" s="16"/>
      <c r="C324" s="16"/>
      <c r="D324" s="16"/>
      <c r="E324" s="16"/>
      <c r="F324" s="16"/>
      <c r="G324" s="16"/>
      <c r="H324" s="647"/>
      <c r="I324" s="647"/>
      <c r="J324" s="647"/>
      <c r="K324" s="647"/>
      <c r="L324" s="647"/>
      <c r="M324" s="647"/>
      <c r="N324" s="647"/>
      <c r="O324" s="647"/>
      <c r="P324" s="647"/>
      <c r="Q324" s="647"/>
      <c r="R324" s="647"/>
      <c r="S324" s="647"/>
      <c r="T324" s="647"/>
      <c r="U324" s="16"/>
      <c r="V324" s="16"/>
      <c r="W324" s="16"/>
      <c r="X324" s="16"/>
      <c r="Y324" s="16"/>
      <c r="Z324" s="16"/>
      <c r="AA324" s="16"/>
      <c r="AB324" s="16"/>
      <c r="AC324" s="16"/>
    </row>
    <row r="325" ht="12.75" customHeight="1" spans="1:29" x14ac:dyDescent="0.25">
      <c r="A325" s="16"/>
      <c r="B325" s="16"/>
      <c r="C325" s="16"/>
      <c r="D325" s="16"/>
      <c r="E325" s="16"/>
      <c r="F325" s="16"/>
      <c r="G325" s="16"/>
      <c r="H325" s="647"/>
      <c r="I325" s="647"/>
      <c r="J325" s="647"/>
      <c r="K325" s="647"/>
      <c r="L325" s="647"/>
      <c r="M325" s="647"/>
      <c r="N325" s="647"/>
      <c r="O325" s="647"/>
      <c r="P325" s="647"/>
      <c r="Q325" s="647"/>
      <c r="R325" s="647"/>
      <c r="S325" s="647"/>
      <c r="T325" s="647"/>
      <c r="U325" s="16"/>
      <c r="V325" s="16"/>
      <c r="W325" s="16"/>
      <c r="X325" s="16"/>
      <c r="Y325" s="16"/>
      <c r="Z325" s="16"/>
      <c r="AA325" s="16"/>
      <c r="AB325" s="16"/>
      <c r="AC325" s="16"/>
    </row>
    <row r="326" ht="12.75" customHeight="1" spans="1:29" x14ac:dyDescent="0.25">
      <c r="A326" s="16"/>
      <c r="B326" s="16"/>
      <c r="C326" s="16"/>
      <c r="D326" s="16"/>
      <c r="E326" s="16"/>
      <c r="F326" s="16"/>
      <c r="G326" s="16"/>
      <c r="H326" s="647"/>
      <c r="I326" s="647"/>
      <c r="J326" s="647"/>
      <c r="K326" s="647"/>
      <c r="L326" s="647"/>
      <c r="M326" s="647"/>
      <c r="N326" s="647"/>
      <c r="O326" s="647"/>
      <c r="P326" s="647"/>
      <c r="Q326" s="647"/>
      <c r="R326" s="647"/>
      <c r="S326" s="647"/>
      <c r="T326" s="647"/>
      <c r="U326" s="16"/>
      <c r="V326" s="16"/>
      <c r="W326" s="16"/>
      <c r="X326" s="16"/>
      <c r="Y326" s="16"/>
      <c r="Z326" s="16"/>
      <c r="AA326" s="16"/>
      <c r="AB326" s="16"/>
      <c r="AC326" s="16"/>
    </row>
    <row r="327" ht="12.75" customHeight="1" spans="1:29" x14ac:dyDescent="0.25">
      <c r="A327" s="16"/>
      <c r="B327" s="16"/>
      <c r="C327" s="16"/>
      <c r="D327" s="16"/>
      <c r="E327" s="16"/>
      <c r="F327" s="16"/>
      <c r="G327" s="16"/>
      <c r="H327" s="647"/>
      <c r="I327" s="647"/>
      <c r="J327" s="647"/>
      <c r="K327" s="647"/>
      <c r="L327" s="647"/>
      <c r="M327" s="647"/>
      <c r="N327" s="647"/>
      <c r="O327" s="647"/>
      <c r="P327" s="647"/>
      <c r="Q327" s="647"/>
      <c r="R327" s="647"/>
      <c r="S327" s="647"/>
      <c r="T327" s="647"/>
      <c r="U327" s="16"/>
      <c r="V327" s="16"/>
      <c r="W327" s="16"/>
      <c r="X327" s="16"/>
      <c r="Y327" s="16"/>
      <c r="Z327" s="16"/>
      <c r="AA327" s="16"/>
      <c r="AB327" s="16"/>
      <c r="AC327" s="16"/>
    </row>
    <row r="328" ht="12.75" customHeight="1" spans="1:29" x14ac:dyDescent="0.25">
      <c r="A328" s="16"/>
      <c r="B328" s="16"/>
      <c r="C328" s="16"/>
      <c r="D328" s="16"/>
      <c r="E328" s="16"/>
      <c r="F328" s="16"/>
      <c r="G328" s="16"/>
      <c r="H328" s="647"/>
      <c r="I328" s="647"/>
      <c r="J328" s="647"/>
      <c r="K328" s="647"/>
      <c r="L328" s="647"/>
      <c r="M328" s="647"/>
      <c r="N328" s="647"/>
      <c r="O328" s="647"/>
      <c r="P328" s="647"/>
      <c r="Q328" s="647"/>
      <c r="R328" s="647"/>
      <c r="S328" s="647"/>
      <c r="T328" s="647"/>
      <c r="U328" s="16"/>
      <c r="V328" s="16"/>
      <c r="W328" s="16"/>
      <c r="X328" s="16"/>
      <c r="Y328" s="16"/>
      <c r="Z328" s="16"/>
      <c r="AA328" s="16"/>
      <c r="AB328" s="16"/>
      <c r="AC328" s="16"/>
    </row>
    <row r="329" ht="12.75" customHeight="1" spans="1:29" x14ac:dyDescent="0.25">
      <c r="A329" s="16"/>
      <c r="B329" s="16"/>
      <c r="C329" s="16"/>
      <c r="D329" s="16"/>
      <c r="E329" s="16"/>
      <c r="F329" s="16"/>
      <c r="G329" s="16"/>
      <c r="H329" s="647"/>
      <c r="I329" s="647"/>
      <c r="J329" s="647"/>
      <c r="K329" s="647"/>
      <c r="L329" s="647"/>
      <c r="M329" s="647"/>
      <c r="N329" s="647"/>
      <c r="O329" s="647"/>
      <c r="P329" s="647"/>
      <c r="Q329" s="647"/>
      <c r="R329" s="647"/>
      <c r="S329" s="647"/>
      <c r="T329" s="647"/>
      <c r="U329" s="16"/>
      <c r="V329" s="16"/>
      <c r="W329" s="16"/>
      <c r="X329" s="16"/>
      <c r="Y329" s="16"/>
      <c r="Z329" s="16"/>
      <c r="AA329" s="16"/>
      <c r="AB329" s="16"/>
      <c r="AC329" s="16"/>
    </row>
    <row r="330" ht="12.75" customHeight="1" spans="1:29" x14ac:dyDescent="0.25">
      <c r="A330" s="16"/>
      <c r="B330" s="16"/>
      <c r="C330" s="16"/>
      <c r="D330" s="16"/>
      <c r="E330" s="16"/>
      <c r="F330" s="16"/>
      <c r="G330" s="16"/>
      <c r="H330" s="647"/>
      <c r="I330" s="647"/>
      <c r="J330" s="647"/>
      <c r="K330" s="647"/>
      <c r="L330" s="647"/>
      <c r="M330" s="647"/>
      <c r="N330" s="647"/>
      <c r="O330" s="647"/>
      <c r="P330" s="647"/>
      <c r="Q330" s="647"/>
      <c r="R330" s="647"/>
      <c r="S330" s="647"/>
      <c r="T330" s="647"/>
      <c r="U330" s="16"/>
      <c r="V330" s="16"/>
      <c r="W330" s="16"/>
      <c r="X330" s="16"/>
      <c r="Y330" s="16"/>
      <c r="Z330" s="16"/>
      <c r="AA330" s="16"/>
      <c r="AB330" s="16"/>
      <c r="AC330" s="16"/>
    </row>
    <row r="331" ht="12.75" customHeight="1" spans="1:29" x14ac:dyDescent="0.25">
      <c r="A331" s="16"/>
      <c r="B331" s="16"/>
      <c r="C331" s="16"/>
      <c r="D331" s="16"/>
      <c r="E331" s="16"/>
      <c r="F331" s="16"/>
      <c r="G331" s="16"/>
      <c r="H331" s="647"/>
      <c r="I331" s="647"/>
      <c r="J331" s="647"/>
      <c r="K331" s="647"/>
      <c r="L331" s="647"/>
      <c r="M331" s="647"/>
      <c r="N331" s="647"/>
      <c r="O331" s="647"/>
      <c r="P331" s="647"/>
      <c r="Q331" s="647"/>
      <c r="R331" s="647"/>
      <c r="S331" s="647"/>
      <c r="T331" s="647"/>
      <c r="U331" s="16"/>
      <c r="V331" s="16"/>
      <c r="W331" s="16"/>
      <c r="X331" s="16"/>
      <c r="Y331" s="16"/>
      <c r="Z331" s="16"/>
      <c r="AA331" s="16"/>
      <c r="AB331" s="16"/>
      <c r="AC331" s="16"/>
    </row>
    <row r="332" ht="12.75" customHeight="1" spans="1:29" x14ac:dyDescent="0.25">
      <c r="A332" s="16"/>
      <c r="B332" s="16"/>
      <c r="C332" s="16"/>
      <c r="D332" s="16"/>
      <c r="E332" s="16"/>
      <c r="F332" s="16"/>
      <c r="G332" s="16"/>
      <c r="H332" s="647"/>
      <c r="I332" s="647"/>
      <c r="J332" s="647"/>
      <c r="K332" s="647"/>
      <c r="L332" s="647"/>
      <c r="M332" s="647"/>
      <c r="N332" s="647"/>
      <c r="O332" s="647"/>
      <c r="P332" s="647"/>
      <c r="Q332" s="647"/>
      <c r="R332" s="647"/>
      <c r="S332" s="647"/>
      <c r="T332" s="647"/>
      <c r="U332" s="16"/>
      <c r="V332" s="16"/>
      <c r="W332" s="16"/>
      <c r="X332" s="16"/>
      <c r="Y332" s="16"/>
      <c r="Z332" s="16"/>
      <c r="AA332" s="16"/>
      <c r="AB332" s="16"/>
      <c r="AC332" s="16"/>
    </row>
    <row r="333" ht="12.75" customHeight="1" spans="1:29" x14ac:dyDescent="0.25">
      <c r="A333" s="16"/>
      <c r="B333" s="16"/>
      <c r="C333" s="16"/>
      <c r="D333" s="16"/>
      <c r="E333" s="16"/>
      <c r="F333" s="16"/>
      <c r="G333" s="16"/>
      <c r="H333" s="647"/>
      <c r="I333" s="647"/>
      <c r="J333" s="647"/>
      <c r="K333" s="647"/>
      <c r="L333" s="647"/>
      <c r="M333" s="647"/>
      <c r="N333" s="647"/>
      <c r="O333" s="647"/>
      <c r="P333" s="647"/>
      <c r="Q333" s="647"/>
      <c r="R333" s="647"/>
      <c r="S333" s="647"/>
      <c r="T333" s="647"/>
      <c r="U333" s="16"/>
      <c r="V333" s="16"/>
      <c r="W333" s="16"/>
      <c r="X333" s="16"/>
      <c r="Y333" s="16"/>
      <c r="Z333" s="16"/>
      <c r="AA333" s="16"/>
      <c r="AB333" s="16"/>
      <c r="AC333" s="16"/>
    </row>
    <row r="334" ht="12.75" customHeight="1" spans="1:29" x14ac:dyDescent="0.25">
      <c r="A334" s="16"/>
      <c r="B334" s="16"/>
      <c r="C334" s="16"/>
      <c r="D334" s="16"/>
      <c r="E334" s="16"/>
      <c r="F334" s="16"/>
      <c r="G334" s="16"/>
      <c r="H334" s="647"/>
      <c r="I334" s="647"/>
      <c r="J334" s="647"/>
      <c r="K334" s="647"/>
      <c r="L334" s="647"/>
      <c r="M334" s="647"/>
      <c r="N334" s="647"/>
      <c r="O334" s="647"/>
      <c r="P334" s="647"/>
      <c r="Q334" s="647"/>
      <c r="R334" s="647"/>
      <c r="S334" s="647"/>
      <c r="T334" s="647"/>
      <c r="U334" s="16"/>
      <c r="V334" s="16"/>
      <c r="W334" s="16"/>
      <c r="X334" s="16"/>
      <c r="Y334" s="16"/>
      <c r="Z334" s="16"/>
      <c r="AA334" s="16"/>
      <c r="AB334" s="16"/>
      <c r="AC334" s="16"/>
    </row>
    <row r="335" ht="12.75" customHeight="1" spans="1:29" x14ac:dyDescent="0.25">
      <c r="A335" s="16"/>
      <c r="B335" s="16"/>
      <c r="C335" s="16"/>
      <c r="D335" s="16"/>
      <c r="E335" s="16"/>
      <c r="F335" s="16"/>
      <c r="G335" s="16"/>
      <c r="H335" s="647"/>
      <c r="I335" s="647"/>
      <c r="J335" s="647"/>
      <c r="K335" s="647"/>
      <c r="L335" s="647"/>
      <c r="M335" s="647"/>
      <c r="N335" s="647"/>
      <c r="O335" s="647"/>
      <c r="P335" s="647"/>
      <c r="Q335" s="647"/>
      <c r="R335" s="647"/>
      <c r="S335" s="647"/>
      <c r="T335" s="647"/>
      <c r="U335" s="16"/>
      <c r="V335" s="16"/>
      <c r="W335" s="16"/>
      <c r="X335" s="16"/>
      <c r="Y335" s="16"/>
      <c r="Z335" s="16"/>
      <c r="AA335" s="16"/>
      <c r="AB335" s="16"/>
      <c r="AC335" s="16"/>
    </row>
    <row r="336" ht="12.75" customHeight="1" spans="1:29" x14ac:dyDescent="0.25">
      <c r="A336" s="16"/>
      <c r="B336" s="16"/>
      <c r="C336" s="16"/>
      <c r="D336" s="16"/>
      <c r="E336" s="16"/>
      <c r="F336" s="16"/>
      <c r="G336" s="16"/>
      <c r="H336" s="647"/>
      <c r="I336" s="647"/>
      <c r="J336" s="647"/>
      <c r="K336" s="647"/>
      <c r="L336" s="647"/>
      <c r="M336" s="647"/>
      <c r="N336" s="647"/>
      <c r="O336" s="647"/>
      <c r="P336" s="647"/>
      <c r="Q336" s="647"/>
      <c r="R336" s="647"/>
      <c r="S336" s="647"/>
      <c r="T336" s="647"/>
      <c r="U336" s="16"/>
      <c r="V336" s="16"/>
      <c r="W336" s="16"/>
      <c r="X336" s="16"/>
      <c r="Y336" s="16"/>
      <c r="Z336" s="16"/>
      <c r="AA336" s="16"/>
      <c r="AB336" s="16"/>
      <c r="AC336" s="16"/>
    </row>
    <row r="337" ht="12.75" customHeight="1" spans="1:29" x14ac:dyDescent="0.25">
      <c r="A337" s="16"/>
      <c r="B337" s="16"/>
      <c r="C337" s="16"/>
      <c r="D337" s="16"/>
      <c r="E337" s="16"/>
      <c r="F337" s="16"/>
      <c r="G337" s="16"/>
      <c r="H337" s="647"/>
      <c r="I337" s="647"/>
      <c r="J337" s="647"/>
      <c r="K337" s="647"/>
      <c r="L337" s="647"/>
      <c r="M337" s="647"/>
      <c r="N337" s="647"/>
      <c r="O337" s="647"/>
      <c r="P337" s="647"/>
      <c r="Q337" s="647"/>
      <c r="R337" s="647"/>
      <c r="S337" s="647"/>
      <c r="T337" s="647"/>
      <c r="U337" s="16"/>
      <c r="V337" s="16"/>
      <c r="W337" s="16"/>
      <c r="X337" s="16"/>
      <c r="Y337" s="16"/>
      <c r="Z337" s="16"/>
      <c r="AA337" s="16"/>
      <c r="AB337" s="16"/>
      <c r="AC337" s="16"/>
    </row>
    <row r="338" ht="12.75" customHeight="1" spans="1:29" x14ac:dyDescent="0.25">
      <c r="A338" s="16"/>
      <c r="B338" s="16"/>
      <c r="C338" s="16"/>
      <c r="D338" s="16"/>
      <c r="E338" s="16"/>
      <c r="F338" s="16"/>
      <c r="G338" s="16"/>
      <c r="H338" s="647"/>
      <c r="I338" s="647"/>
      <c r="J338" s="647"/>
      <c r="K338" s="647"/>
      <c r="L338" s="647"/>
      <c r="M338" s="647"/>
      <c r="N338" s="647"/>
      <c r="O338" s="647"/>
      <c r="P338" s="647"/>
      <c r="Q338" s="647"/>
      <c r="R338" s="647"/>
      <c r="S338" s="647"/>
      <c r="T338" s="647"/>
      <c r="U338" s="16"/>
      <c r="V338" s="16"/>
      <c r="W338" s="16"/>
      <c r="X338" s="16"/>
      <c r="Y338" s="16"/>
      <c r="Z338" s="16"/>
      <c r="AA338" s="16"/>
      <c r="AB338" s="16"/>
      <c r="AC338" s="16"/>
    </row>
    <row r="339" ht="12.75" customHeight="1" spans="1:29" x14ac:dyDescent="0.25">
      <c r="A339" s="16"/>
      <c r="B339" s="16"/>
      <c r="C339" s="16"/>
      <c r="D339" s="16"/>
      <c r="E339" s="16"/>
      <c r="F339" s="16"/>
      <c r="G339" s="16"/>
      <c r="H339" s="647"/>
      <c r="I339" s="647"/>
      <c r="J339" s="647"/>
      <c r="K339" s="647"/>
      <c r="L339" s="647"/>
      <c r="M339" s="647"/>
      <c r="N339" s="647"/>
      <c r="O339" s="647"/>
      <c r="P339" s="647"/>
      <c r="Q339" s="647"/>
      <c r="R339" s="647"/>
      <c r="S339" s="647"/>
      <c r="T339" s="647"/>
      <c r="U339" s="16"/>
      <c r="V339" s="16"/>
      <c r="W339" s="16"/>
      <c r="X339" s="16"/>
      <c r="Y339" s="16"/>
      <c r="Z339" s="16"/>
      <c r="AA339" s="16"/>
      <c r="AB339" s="16"/>
      <c r="AC339" s="16"/>
    </row>
    <row r="340" ht="12.75" customHeight="1" spans="1:29" x14ac:dyDescent="0.25">
      <c r="A340" s="16"/>
      <c r="B340" s="16"/>
      <c r="C340" s="16"/>
      <c r="D340" s="16"/>
      <c r="E340" s="16"/>
      <c r="F340" s="16"/>
      <c r="G340" s="16"/>
      <c r="H340" s="647"/>
      <c r="I340" s="647"/>
      <c r="J340" s="647"/>
      <c r="K340" s="647"/>
      <c r="L340" s="647"/>
      <c r="M340" s="647"/>
      <c r="N340" s="647"/>
      <c r="O340" s="647"/>
      <c r="P340" s="647"/>
      <c r="Q340" s="647"/>
      <c r="R340" s="647"/>
      <c r="S340" s="647"/>
      <c r="T340" s="647"/>
      <c r="U340" s="16"/>
      <c r="V340" s="16"/>
      <c r="W340" s="16"/>
      <c r="X340" s="16"/>
      <c r="Y340" s="16"/>
      <c r="Z340" s="16"/>
      <c r="AA340" s="16"/>
      <c r="AB340" s="16"/>
      <c r="AC340" s="16"/>
    </row>
    <row r="341" ht="12.75" customHeight="1" spans="1:29" x14ac:dyDescent="0.25">
      <c r="A341" s="16"/>
      <c r="B341" s="16"/>
      <c r="C341" s="16"/>
      <c r="D341" s="16"/>
      <c r="E341" s="16"/>
      <c r="F341" s="16"/>
      <c r="G341" s="16"/>
      <c r="H341" s="647"/>
      <c r="I341" s="647"/>
      <c r="J341" s="647"/>
      <c r="K341" s="647"/>
      <c r="L341" s="647"/>
      <c r="M341" s="647"/>
      <c r="N341" s="647"/>
      <c r="O341" s="647"/>
      <c r="P341" s="647"/>
      <c r="Q341" s="647"/>
      <c r="R341" s="647"/>
      <c r="S341" s="647"/>
      <c r="T341" s="647"/>
      <c r="U341" s="16"/>
      <c r="V341" s="16"/>
      <c r="W341" s="16"/>
      <c r="X341" s="16"/>
      <c r="Y341" s="16"/>
      <c r="Z341" s="16"/>
      <c r="AA341" s="16"/>
      <c r="AB341" s="16"/>
      <c r="AC341" s="16"/>
    </row>
    <row r="342" ht="12.75" customHeight="1" spans="1:29" x14ac:dyDescent="0.25">
      <c r="A342" s="16"/>
      <c r="B342" s="16"/>
      <c r="C342" s="16"/>
      <c r="D342" s="16"/>
      <c r="E342" s="16"/>
      <c r="F342" s="16"/>
      <c r="G342" s="16"/>
      <c r="H342" s="647"/>
      <c r="I342" s="647"/>
      <c r="J342" s="647"/>
      <c r="K342" s="647"/>
      <c r="L342" s="647"/>
      <c r="M342" s="647"/>
      <c r="N342" s="647"/>
      <c r="O342" s="647"/>
      <c r="P342" s="647"/>
      <c r="Q342" s="647"/>
      <c r="R342" s="647"/>
      <c r="S342" s="647"/>
      <c r="T342" s="647"/>
      <c r="U342" s="16"/>
      <c r="V342" s="16"/>
      <c r="W342" s="16"/>
      <c r="X342" s="16"/>
      <c r="Y342" s="16"/>
      <c r="Z342" s="16"/>
      <c r="AA342" s="16"/>
      <c r="AB342" s="16"/>
      <c r="AC342" s="16"/>
    </row>
    <row r="343" ht="12.75" customHeight="1" spans="1:29" x14ac:dyDescent="0.25">
      <c r="A343" s="16"/>
      <c r="B343" s="16"/>
      <c r="C343" s="16"/>
      <c r="D343" s="16"/>
      <c r="E343" s="16"/>
      <c r="F343" s="16"/>
      <c r="G343" s="16"/>
      <c r="H343" s="647"/>
      <c r="I343" s="647"/>
      <c r="J343" s="647"/>
      <c r="K343" s="647"/>
      <c r="L343" s="647"/>
      <c r="M343" s="647"/>
      <c r="N343" s="647"/>
      <c r="O343" s="647"/>
      <c r="P343" s="647"/>
      <c r="Q343" s="647"/>
      <c r="R343" s="647"/>
      <c r="S343" s="647"/>
      <c r="T343" s="647"/>
      <c r="U343" s="16"/>
      <c r="V343" s="16"/>
      <c r="W343" s="16"/>
      <c r="X343" s="16"/>
      <c r="Y343" s="16"/>
      <c r="Z343" s="16"/>
      <c r="AA343" s="16"/>
      <c r="AB343" s="16"/>
      <c r="AC343" s="16"/>
    </row>
    <row r="344" ht="12.75" customHeight="1" spans="1:29" x14ac:dyDescent="0.25">
      <c r="A344" s="16"/>
      <c r="B344" s="16"/>
      <c r="C344" s="16"/>
      <c r="D344" s="16"/>
      <c r="E344" s="16"/>
      <c r="F344" s="16"/>
      <c r="G344" s="16"/>
      <c r="H344" s="647"/>
      <c r="I344" s="647"/>
      <c r="J344" s="647"/>
      <c r="K344" s="647"/>
      <c r="L344" s="647"/>
      <c r="M344" s="647"/>
      <c r="N344" s="647"/>
      <c r="O344" s="647"/>
      <c r="P344" s="647"/>
      <c r="Q344" s="647"/>
      <c r="R344" s="647"/>
      <c r="S344" s="647"/>
      <c r="T344" s="647"/>
      <c r="U344" s="16"/>
      <c r="V344" s="16"/>
      <c r="W344" s="16"/>
      <c r="X344" s="16"/>
      <c r="Y344" s="16"/>
      <c r="Z344" s="16"/>
      <c r="AA344" s="16"/>
      <c r="AB344" s="16"/>
      <c r="AC344" s="16"/>
    </row>
    <row r="345" ht="12.75" customHeight="1" spans="1:29" x14ac:dyDescent="0.25">
      <c r="A345" s="16"/>
      <c r="B345" s="16"/>
      <c r="C345" s="16"/>
      <c r="D345" s="16"/>
      <c r="E345" s="16"/>
      <c r="F345" s="16"/>
      <c r="G345" s="16"/>
      <c r="H345" s="647"/>
      <c r="I345" s="647"/>
      <c r="J345" s="647"/>
      <c r="K345" s="647"/>
      <c r="L345" s="647"/>
      <c r="M345" s="647"/>
      <c r="N345" s="647"/>
      <c r="O345" s="647"/>
      <c r="P345" s="647"/>
      <c r="Q345" s="647"/>
      <c r="R345" s="647"/>
      <c r="S345" s="647"/>
      <c r="T345" s="647"/>
      <c r="U345" s="16"/>
      <c r="V345" s="16"/>
      <c r="W345" s="16"/>
      <c r="X345" s="16"/>
      <c r="Y345" s="16"/>
      <c r="Z345" s="16"/>
      <c r="AA345" s="16"/>
      <c r="AB345" s="16"/>
      <c r="AC345" s="16"/>
    </row>
    <row r="346" ht="12.75" customHeight="1" spans="1:29" x14ac:dyDescent="0.25">
      <c r="A346" s="16"/>
      <c r="B346" s="16"/>
      <c r="C346" s="16"/>
      <c r="D346" s="16"/>
      <c r="E346" s="16"/>
      <c r="F346" s="16"/>
      <c r="G346" s="16"/>
      <c r="H346" s="647"/>
      <c r="I346" s="647"/>
      <c r="J346" s="647"/>
      <c r="K346" s="647"/>
      <c r="L346" s="647"/>
      <c r="M346" s="647"/>
      <c r="N346" s="647"/>
      <c r="O346" s="647"/>
      <c r="P346" s="647"/>
      <c r="Q346" s="647"/>
      <c r="R346" s="647"/>
      <c r="S346" s="647"/>
      <c r="T346" s="647"/>
      <c r="U346" s="16"/>
      <c r="V346" s="16"/>
      <c r="W346" s="16"/>
      <c r="X346" s="16"/>
      <c r="Y346" s="16"/>
      <c r="Z346" s="16"/>
      <c r="AA346" s="16"/>
      <c r="AB346" s="16"/>
      <c r="AC346" s="16"/>
    </row>
    <row r="347" ht="12.75" customHeight="1" spans="1:29" x14ac:dyDescent="0.25">
      <c r="A347" s="16"/>
      <c r="B347" s="16"/>
      <c r="C347" s="16"/>
      <c r="D347" s="16"/>
      <c r="E347" s="16"/>
      <c r="F347" s="16"/>
      <c r="G347" s="16"/>
      <c r="H347" s="647"/>
      <c r="I347" s="647"/>
      <c r="J347" s="647"/>
      <c r="K347" s="647"/>
      <c r="L347" s="647"/>
      <c r="M347" s="647"/>
      <c r="N347" s="647"/>
      <c r="O347" s="647"/>
      <c r="P347" s="647"/>
      <c r="Q347" s="647"/>
      <c r="R347" s="647"/>
      <c r="S347" s="647"/>
      <c r="T347" s="647"/>
      <c r="U347" s="16"/>
      <c r="V347" s="16"/>
      <c r="W347" s="16"/>
      <c r="X347" s="16"/>
      <c r="Y347" s="16"/>
      <c r="Z347" s="16"/>
      <c r="AA347" s="16"/>
      <c r="AB347" s="16"/>
      <c r="AC347" s="16"/>
    </row>
    <row r="348" ht="12.75" customHeight="1" spans="1:29" x14ac:dyDescent="0.25">
      <c r="A348" s="16"/>
      <c r="B348" s="16"/>
      <c r="C348" s="16"/>
      <c r="D348" s="16"/>
      <c r="E348" s="16"/>
      <c r="F348" s="16"/>
      <c r="G348" s="16"/>
      <c r="H348" s="647"/>
      <c r="I348" s="647"/>
      <c r="J348" s="647"/>
      <c r="K348" s="647"/>
      <c r="L348" s="647"/>
      <c r="M348" s="647"/>
      <c r="N348" s="647"/>
      <c r="O348" s="647"/>
      <c r="P348" s="647"/>
      <c r="Q348" s="647"/>
      <c r="R348" s="647"/>
      <c r="S348" s="647"/>
      <c r="T348" s="647"/>
      <c r="U348" s="16"/>
      <c r="V348" s="16"/>
      <c r="W348" s="16"/>
      <c r="X348" s="16"/>
      <c r="Y348" s="16"/>
      <c r="Z348" s="16"/>
      <c r="AA348" s="16"/>
      <c r="AB348" s="16"/>
      <c r="AC348" s="16"/>
    </row>
    <row r="349" ht="12.75" customHeight="1" spans="1:29" x14ac:dyDescent="0.25">
      <c r="A349" s="16"/>
      <c r="B349" s="16"/>
      <c r="C349" s="16"/>
      <c r="D349" s="16"/>
      <c r="E349" s="16"/>
      <c r="F349" s="16"/>
      <c r="G349" s="16"/>
      <c r="H349" s="647"/>
      <c r="I349" s="647"/>
      <c r="J349" s="647"/>
      <c r="K349" s="647"/>
      <c r="L349" s="647"/>
      <c r="M349" s="647"/>
      <c r="N349" s="647"/>
      <c r="O349" s="647"/>
      <c r="P349" s="647"/>
      <c r="Q349" s="647"/>
      <c r="R349" s="647"/>
      <c r="S349" s="647"/>
      <c r="T349" s="647"/>
      <c r="U349" s="16"/>
      <c r="V349" s="16"/>
      <c r="W349" s="16"/>
      <c r="X349" s="16"/>
      <c r="Y349" s="16"/>
      <c r="Z349" s="16"/>
      <c r="AA349" s="16"/>
      <c r="AB349" s="16"/>
      <c r="AC349" s="16"/>
    </row>
    <row r="350" ht="12.75" customHeight="1" spans="1:29" x14ac:dyDescent="0.25">
      <c r="A350" s="16"/>
      <c r="B350" s="16"/>
      <c r="C350" s="16"/>
      <c r="D350" s="16"/>
      <c r="E350" s="16"/>
      <c r="F350" s="16"/>
      <c r="G350" s="16"/>
      <c r="H350" s="647"/>
      <c r="I350" s="647"/>
      <c r="J350" s="647"/>
      <c r="K350" s="647"/>
      <c r="L350" s="647"/>
      <c r="M350" s="647"/>
      <c r="N350" s="647"/>
      <c r="O350" s="647"/>
      <c r="P350" s="647"/>
      <c r="Q350" s="647"/>
      <c r="R350" s="647"/>
      <c r="S350" s="647"/>
      <c r="T350" s="647"/>
      <c r="U350" s="16"/>
      <c r="V350" s="16"/>
      <c r="W350" s="16"/>
      <c r="X350" s="16"/>
      <c r="Y350" s="16"/>
      <c r="Z350" s="16"/>
      <c r="AA350" s="16"/>
      <c r="AB350" s="16"/>
      <c r="AC350" s="16"/>
    </row>
    <row r="351" ht="12.75" customHeight="1" spans="1:29" x14ac:dyDescent="0.25">
      <c r="A351" s="16"/>
      <c r="B351" s="16"/>
      <c r="C351" s="16"/>
      <c r="D351" s="16"/>
      <c r="E351" s="16"/>
      <c r="F351" s="16"/>
      <c r="G351" s="16"/>
      <c r="H351" s="647"/>
      <c r="I351" s="647"/>
      <c r="J351" s="647"/>
      <c r="K351" s="647"/>
      <c r="L351" s="647"/>
      <c r="M351" s="647"/>
      <c r="N351" s="647"/>
      <c r="O351" s="647"/>
      <c r="P351" s="647"/>
      <c r="Q351" s="647"/>
      <c r="R351" s="647"/>
      <c r="S351" s="647"/>
      <c r="T351" s="647"/>
      <c r="U351" s="16"/>
      <c r="V351" s="16"/>
      <c r="W351" s="16"/>
      <c r="X351" s="16"/>
      <c r="Y351" s="16"/>
      <c r="Z351" s="16"/>
      <c r="AA351" s="16"/>
      <c r="AB351" s="16"/>
      <c r="AC351" s="16"/>
    </row>
    <row r="352" ht="12.75" customHeight="1" spans="1:29" x14ac:dyDescent="0.25">
      <c r="A352" s="16"/>
      <c r="B352" s="16"/>
      <c r="C352" s="16"/>
      <c r="D352" s="16"/>
      <c r="E352" s="16"/>
      <c r="F352" s="16"/>
      <c r="G352" s="16"/>
      <c r="H352" s="647"/>
      <c r="I352" s="647"/>
      <c r="J352" s="647"/>
      <c r="K352" s="647"/>
      <c r="L352" s="647"/>
      <c r="M352" s="647"/>
      <c r="N352" s="647"/>
      <c r="O352" s="647"/>
      <c r="P352" s="647"/>
      <c r="Q352" s="647"/>
      <c r="R352" s="647"/>
      <c r="S352" s="647"/>
      <c r="T352" s="647"/>
      <c r="U352" s="16"/>
      <c r="V352" s="16"/>
      <c r="W352" s="16"/>
      <c r="X352" s="16"/>
      <c r="Y352" s="16"/>
      <c r="Z352" s="16"/>
      <c r="AA352" s="16"/>
      <c r="AB352" s="16"/>
      <c r="AC352" s="16"/>
    </row>
    <row r="353" ht="12.75" customHeight="1" spans="1:29" x14ac:dyDescent="0.25">
      <c r="A353" s="16"/>
      <c r="B353" s="16"/>
      <c r="C353" s="16"/>
      <c r="D353" s="16"/>
      <c r="E353" s="16"/>
      <c r="F353" s="16"/>
      <c r="G353" s="16"/>
      <c r="H353" s="647"/>
      <c r="I353" s="647"/>
      <c r="J353" s="647"/>
      <c r="K353" s="647"/>
      <c r="L353" s="647"/>
      <c r="M353" s="647"/>
      <c r="N353" s="647"/>
      <c r="O353" s="647"/>
      <c r="P353" s="647"/>
      <c r="Q353" s="647"/>
      <c r="R353" s="647"/>
      <c r="S353" s="647"/>
      <c r="T353" s="647"/>
      <c r="U353" s="16"/>
      <c r="V353" s="16"/>
      <c r="W353" s="16"/>
      <c r="X353" s="16"/>
      <c r="Y353" s="16"/>
      <c r="Z353" s="16"/>
      <c r="AA353" s="16"/>
      <c r="AB353" s="16"/>
      <c r="AC353" s="16"/>
    </row>
    <row r="354" ht="12.75" customHeight="1" spans="1:29" x14ac:dyDescent="0.25">
      <c r="A354" s="16"/>
      <c r="B354" s="16"/>
      <c r="C354" s="16"/>
      <c r="D354" s="16"/>
      <c r="E354" s="16"/>
      <c r="F354" s="16"/>
      <c r="G354" s="16"/>
      <c r="H354" s="647"/>
      <c r="I354" s="647"/>
      <c r="J354" s="647"/>
      <c r="K354" s="647"/>
      <c r="L354" s="647"/>
      <c r="M354" s="647"/>
      <c r="N354" s="647"/>
      <c r="O354" s="647"/>
      <c r="P354" s="647"/>
      <c r="Q354" s="647"/>
      <c r="R354" s="647"/>
      <c r="S354" s="647"/>
      <c r="T354" s="647"/>
      <c r="U354" s="16"/>
      <c r="V354" s="16"/>
      <c r="W354" s="16"/>
      <c r="X354" s="16"/>
      <c r="Y354" s="16"/>
      <c r="Z354" s="16"/>
      <c r="AA354" s="16"/>
      <c r="AB354" s="16"/>
      <c r="AC354" s="16"/>
    </row>
    <row r="355" ht="12.75" customHeight="1" spans="1:29" x14ac:dyDescent="0.25">
      <c r="A355" s="16"/>
      <c r="B355" s="16"/>
      <c r="C355" s="16"/>
      <c r="D355" s="16"/>
      <c r="E355" s="16"/>
      <c r="F355" s="16"/>
      <c r="G355" s="16"/>
      <c r="H355" s="647"/>
      <c r="I355" s="647"/>
      <c r="J355" s="647"/>
      <c r="K355" s="647"/>
      <c r="L355" s="647"/>
      <c r="M355" s="647"/>
      <c r="N355" s="647"/>
      <c r="O355" s="647"/>
      <c r="P355" s="647"/>
      <c r="Q355" s="647"/>
      <c r="R355" s="647"/>
      <c r="S355" s="647"/>
      <c r="T355" s="647"/>
      <c r="U355" s="16"/>
      <c r="V355" s="16"/>
      <c r="W355" s="16"/>
      <c r="X355" s="16"/>
      <c r="Y355" s="16"/>
      <c r="Z355" s="16"/>
      <c r="AA355" s="16"/>
      <c r="AB355" s="16"/>
      <c r="AC355" s="16"/>
    </row>
    <row r="356" ht="12.75" customHeight="1" spans="1:29" x14ac:dyDescent="0.25">
      <c r="A356" s="16"/>
      <c r="B356" s="16"/>
      <c r="C356" s="16"/>
      <c r="D356" s="16"/>
      <c r="E356" s="16"/>
      <c r="F356" s="16"/>
      <c r="G356" s="16"/>
      <c r="H356" s="647"/>
      <c r="I356" s="647"/>
      <c r="J356" s="647"/>
      <c r="K356" s="647"/>
      <c r="L356" s="647"/>
      <c r="M356" s="647"/>
      <c r="N356" s="647"/>
      <c r="O356" s="647"/>
      <c r="P356" s="647"/>
      <c r="Q356" s="647"/>
      <c r="R356" s="647"/>
      <c r="S356" s="647"/>
      <c r="T356" s="647"/>
      <c r="U356" s="16"/>
      <c r="V356" s="16"/>
      <c r="W356" s="16"/>
      <c r="X356" s="16"/>
      <c r="Y356" s="16"/>
      <c r="Z356" s="16"/>
      <c r="AA356" s="16"/>
      <c r="AB356" s="16"/>
      <c r="AC356" s="16"/>
    </row>
    <row r="357" ht="12.75" customHeight="1" spans="1:29" x14ac:dyDescent="0.25">
      <c r="A357" s="16"/>
      <c r="B357" s="16"/>
      <c r="C357" s="16"/>
      <c r="D357" s="16"/>
      <c r="E357" s="16"/>
      <c r="F357" s="16"/>
      <c r="G357" s="16"/>
      <c r="H357" s="647"/>
      <c r="I357" s="647"/>
      <c r="J357" s="647"/>
      <c r="K357" s="647"/>
      <c r="L357" s="647"/>
      <c r="M357" s="647"/>
      <c r="N357" s="647"/>
      <c r="O357" s="647"/>
      <c r="P357" s="647"/>
      <c r="Q357" s="647"/>
      <c r="R357" s="647"/>
      <c r="S357" s="647"/>
      <c r="T357" s="647"/>
      <c r="U357" s="16"/>
      <c r="V357" s="16"/>
      <c r="W357" s="16"/>
      <c r="X357" s="16"/>
      <c r="Y357" s="16"/>
      <c r="Z357" s="16"/>
      <c r="AA357" s="16"/>
      <c r="AB357" s="16"/>
      <c r="AC357" s="16"/>
    </row>
    <row r="358" ht="12.75" customHeight="1" spans="1:29" x14ac:dyDescent="0.25">
      <c r="A358" s="16"/>
      <c r="B358" s="16"/>
      <c r="C358" s="16"/>
      <c r="D358" s="16"/>
      <c r="E358" s="16"/>
      <c r="F358" s="16"/>
      <c r="G358" s="16"/>
      <c r="H358" s="647"/>
      <c r="I358" s="647"/>
      <c r="J358" s="647"/>
      <c r="K358" s="647"/>
      <c r="L358" s="647"/>
      <c r="M358" s="647"/>
      <c r="N358" s="647"/>
      <c r="O358" s="647"/>
      <c r="P358" s="647"/>
      <c r="Q358" s="647"/>
      <c r="R358" s="647"/>
      <c r="S358" s="647"/>
      <c r="T358" s="647"/>
      <c r="U358" s="16"/>
      <c r="V358" s="16"/>
      <c r="W358" s="16"/>
      <c r="X358" s="16"/>
      <c r="Y358" s="16"/>
      <c r="Z358" s="16"/>
      <c r="AA358" s="16"/>
      <c r="AB358" s="16"/>
      <c r="AC358" s="16"/>
    </row>
    <row r="359" ht="12.75" customHeight="1" spans="1:29" x14ac:dyDescent="0.25">
      <c r="A359" s="16"/>
      <c r="B359" s="16"/>
      <c r="C359" s="16"/>
      <c r="D359" s="16"/>
      <c r="E359" s="16"/>
      <c r="F359" s="16"/>
      <c r="G359" s="16"/>
      <c r="H359" s="647"/>
      <c r="I359" s="647"/>
      <c r="J359" s="647"/>
      <c r="K359" s="647"/>
      <c r="L359" s="647"/>
      <c r="M359" s="647"/>
      <c r="N359" s="647"/>
      <c r="O359" s="647"/>
      <c r="P359" s="647"/>
      <c r="Q359" s="647"/>
      <c r="R359" s="647"/>
      <c r="S359" s="647"/>
      <c r="T359" s="647"/>
      <c r="U359" s="16"/>
      <c r="V359" s="16"/>
      <c r="W359" s="16"/>
      <c r="X359" s="16"/>
      <c r="Y359" s="16"/>
      <c r="Z359" s="16"/>
      <c r="AA359" s="16"/>
      <c r="AB359" s="16"/>
      <c r="AC359" s="16"/>
    </row>
    <row r="360" ht="12.75" customHeight="1" spans="1:29" x14ac:dyDescent="0.25">
      <c r="A360" s="16"/>
      <c r="B360" s="16"/>
      <c r="C360" s="16"/>
      <c r="D360" s="16"/>
      <c r="E360" s="16"/>
      <c r="F360" s="16"/>
      <c r="G360" s="16"/>
      <c r="H360" s="647"/>
      <c r="I360" s="647"/>
      <c r="J360" s="647"/>
      <c r="K360" s="647"/>
      <c r="L360" s="647"/>
      <c r="M360" s="647"/>
      <c r="N360" s="647"/>
      <c r="O360" s="647"/>
      <c r="P360" s="647"/>
      <c r="Q360" s="647"/>
      <c r="R360" s="647"/>
      <c r="S360" s="647"/>
      <c r="T360" s="647"/>
      <c r="U360" s="16"/>
      <c r="V360" s="16"/>
      <c r="W360" s="16"/>
      <c r="X360" s="16"/>
      <c r="Y360" s="16"/>
      <c r="Z360" s="16"/>
      <c r="AA360" s="16"/>
      <c r="AB360" s="16"/>
      <c r="AC360" s="16"/>
    </row>
    <row r="361" ht="12.75" customHeight="1" spans="1:29" x14ac:dyDescent="0.25">
      <c r="A361" s="16"/>
      <c r="B361" s="16"/>
      <c r="C361" s="16"/>
      <c r="D361" s="16"/>
      <c r="E361" s="16"/>
      <c r="F361" s="16"/>
      <c r="G361" s="16"/>
      <c r="H361" s="647"/>
      <c r="I361" s="647"/>
      <c r="J361" s="647"/>
      <c r="K361" s="647"/>
      <c r="L361" s="647"/>
      <c r="M361" s="647"/>
      <c r="N361" s="647"/>
      <c r="O361" s="647"/>
      <c r="P361" s="647"/>
      <c r="Q361" s="647"/>
      <c r="R361" s="647"/>
      <c r="S361" s="647"/>
      <c r="T361" s="647"/>
      <c r="U361" s="16"/>
      <c r="V361" s="16"/>
      <c r="W361" s="16"/>
      <c r="X361" s="16"/>
      <c r="Y361" s="16"/>
      <c r="Z361" s="16"/>
      <c r="AA361" s="16"/>
      <c r="AB361" s="16"/>
      <c r="AC361" s="16"/>
    </row>
    <row r="362" ht="12.75" customHeight="1" spans="1:29" x14ac:dyDescent="0.25">
      <c r="A362" s="16"/>
      <c r="B362" s="16"/>
      <c r="C362" s="16"/>
      <c r="D362" s="16"/>
      <c r="E362" s="16"/>
      <c r="F362" s="16"/>
      <c r="G362" s="16"/>
      <c r="H362" s="647"/>
      <c r="I362" s="647"/>
      <c r="J362" s="647"/>
      <c r="K362" s="647"/>
      <c r="L362" s="647"/>
      <c r="M362" s="647"/>
      <c r="N362" s="647"/>
      <c r="O362" s="647"/>
      <c r="P362" s="647"/>
      <c r="Q362" s="647"/>
      <c r="R362" s="647"/>
      <c r="S362" s="647"/>
      <c r="T362" s="647"/>
      <c r="U362" s="16"/>
      <c r="V362" s="16"/>
      <c r="W362" s="16"/>
      <c r="X362" s="16"/>
      <c r="Y362" s="16"/>
      <c r="Z362" s="16"/>
      <c r="AA362" s="16"/>
      <c r="AB362" s="16"/>
      <c r="AC362" s="16"/>
    </row>
    <row r="363" ht="12.75" customHeight="1" spans="1:29" x14ac:dyDescent="0.25">
      <c r="A363" s="16"/>
      <c r="B363" s="16"/>
      <c r="C363" s="16"/>
      <c r="D363" s="16"/>
      <c r="E363" s="16"/>
      <c r="F363" s="16"/>
      <c r="G363" s="16"/>
      <c r="H363" s="647"/>
      <c r="I363" s="647"/>
      <c r="J363" s="647"/>
      <c r="K363" s="647"/>
      <c r="L363" s="647"/>
      <c r="M363" s="647"/>
      <c r="N363" s="647"/>
      <c r="O363" s="647"/>
      <c r="P363" s="647"/>
      <c r="Q363" s="647"/>
      <c r="R363" s="647"/>
      <c r="S363" s="647"/>
      <c r="T363" s="647"/>
      <c r="U363" s="16"/>
      <c r="V363" s="16"/>
      <c r="W363" s="16"/>
      <c r="X363" s="16"/>
      <c r="Y363" s="16"/>
      <c r="Z363" s="16"/>
      <c r="AA363" s="16"/>
      <c r="AB363" s="16"/>
      <c r="AC363" s="16"/>
    </row>
    <row r="364" ht="12.75" customHeight="1" spans="1:29" x14ac:dyDescent="0.25">
      <c r="A364" s="16"/>
      <c r="B364" s="16"/>
      <c r="C364" s="16"/>
      <c r="D364" s="16"/>
      <c r="E364" s="16"/>
      <c r="F364" s="16"/>
      <c r="G364" s="16"/>
      <c r="H364" s="647"/>
      <c r="I364" s="647"/>
      <c r="J364" s="647"/>
      <c r="K364" s="647"/>
      <c r="L364" s="647"/>
      <c r="M364" s="647"/>
      <c r="N364" s="647"/>
      <c r="O364" s="647"/>
      <c r="P364" s="647"/>
      <c r="Q364" s="647"/>
      <c r="R364" s="647"/>
      <c r="S364" s="647"/>
      <c r="T364" s="647"/>
      <c r="U364" s="16"/>
      <c r="V364" s="16"/>
      <c r="W364" s="16"/>
      <c r="X364" s="16"/>
      <c r="Y364" s="16"/>
      <c r="Z364" s="16"/>
      <c r="AA364" s="16"/>
      <c r="AB364" s="16"/>
      <c r="AC364" s="16"/>
    </row>
    <row r="365" ht="12.75" customHeight="1" spans="1:29" x14ac:dyDescent="0.25">
      <c r="A365" s="16"/>
      <c r="B365" s="16"/>
      <c r="C365" s="16"/>
      <c r="D365" s="16"/>
      <c r="E365" s="16"/>
      <c r="F365" s="16"/>
      <c r="G365" s="16"/>
      <c r="H365" s="647"/>
      <c r="I365" s="647"/>
      <c r="J365" s="647"/>
      <c r="K365" s="647"/>
      <c r="L365" s="647"/>
      <c r="M365" s="647"/>
      <c r="N365" s="647"/>
      <c r="O365" s="647"/>
      <c r="P365" s="647"/>
      <c r="Q365" s="647"/>
      <c r="R365" s="647"/>
      <c r="S365" s="647"/>
      <c r="T365" s="647"/>
      <c r="U365" s="16"/>
      <c r="V365" s="16"/>
      <c r="W365" s="16"/>
      <c r="X365" s="16"/>
      <c r="Y365" s="16"/>
      <c r="Z365" s="16"/>
      <c r="AA365" s="16"/>
      <c r="AB365" s="16"/>
      <c r="AC365" s="16"/>
    </row>
    <row r="366" ht="12.75" customHeight="1" spans="1:29" x14ac:dyDescent="0.25">
      <c r="A366" s="16"/>
      <c r="B366" s="16"/>
      <c r="C366" s="16"/>
      <c r="D366" s="16"/>
      <c r="E366" s="16"/>
      <c r="F366" s="16"/>
      <c r="G366" s="16"/>
      <c r="H366" s="647"/>
      <c r="I366" s="647"/>
      <c r="J366" s="647"/>
      <c r="K366" s="647"/>
      <c r="L366" s="647"/>
      <c r="M366" s="647"/>
      <c r="N366" s="647"/>
      <c r="O366" s="647"/>
      <c r="P366" s="647"/>
      <c r="Q366" s="647"/>
      <c r="R366" s="647"/>
      <c r="S366" s="647"/>
      <c r="T366" s="647"/>
      <c r="U366" s="16"/>
      <c r="V366" s="16"/>
      <c r="W366" s="16"/>
      <c r="X366" s="16"/>
      <c r="Y366" s="16"/>
      <c r="Z366" s="16"/>
      <c r="AA366" s="16"/>
      <c r="AB366" s="16"/>
      <c r="AC366" s="16"/>
    </row>
    <row r="367" ht="12.75" customHeight="1" spans="1:29" x14ac:dyDescent="0.25">
      <c r="A367" s="16"/>
      <c r="B367" s="16"/>
      <c r="C367" s="16"/>
      <c r="D367" s="16"/>
      <c r="E367" s="16"/>
      <c r="F367" s="16"/>
      <c r="G367" s="16"/>
      <c r="H367" s="647"/>
      <c r="I367" s="647"/>
      <c r="J367" s="647"/>
      <c r="K367" s="647"/>
      <c r="L367" s="647"/>
      <c r="M367" s="647"/>
      <c r="N367" s="647"/>
      <c r="O367" s="647"/>
      <c r="P367" s="647"/>
      <c r="Q367" s="647"/>
      <c r="R367" s="647"/>
      <c r="S367" s="647"/>
      <c r="T367" s="647"/>
      <c r="U367" s="16"/>
      <c r="V367" s="16"/>
      <c r="W367" s="16"/>
      <c r="X367" s="16"/>
      <c r="Y367" s="16"/>
      <c r="Z367" s="16"/>
      <c r="AA367" s="16"/>
      <c r="AB367" s="16"/>
      <c r="AC367" s="16"/>
    </row>
    <row r="368" ht="12.75" customHeight="1" spans="1:29" x14ac:dyDescent="0.25">
      <c r="A368" s="16"/>
      <c r="B368" s="16"/>
      <c r="C368" s="16"/>
      <c r="D368" s="16"/>
      <c r="E368" s="16"/>
      <c r="F368" s="16"/>
      <c r="G368" s="16"/>
      <c r="H368" s="647"/>
      <c r="I368" s="647"/>
      <c r="J368" s="647"/>
      <c r="K368" s="647"/>
      <c r="L368" s="647"/>
      <c r="M368" s="647"/>
      <c r="N368" s="647"/>
      <c r="O368" s="647"/>
      <c r="P368" s="647"/>
      <c r="Q368" s="647"/>
      <c r="R368" s="647"/>
      <c r="S368" s="647"/>
      <c r="T368" s="647"/>
      <c r="U368" s="16"/>
      <c r="V368" s="16"/>
      <c r="W368" s="16"/>
      <c r="X368" s="16"/>
      <c r="Y368" s="16"/>
      <c r="Z368" s="16"/>
      <c r="AA368" s="16"/>
      <c r="AB368" s="16"/>
      <c r="AC368" s="16"/>
    </row>
    <row r="369" ht="12.75" customHeight="1" spans="1:29" x14ac:dyDescent="0.25">
      <c r="A369" s="16"/>
      <c r="B369" s="16"/>
      <c r="C369" s="16"/>
      <c r="D369" s="16"/>
      <c r="E369" s="16"/>
      <c r="F369" s="16"/>
      <c r="G369" s="16"/>
      <c r="H369" s="647"/>
      <c r="I369" s="647"/>
      <c r="J369" s="647"/>
      <c r="K369" s="647"/>
      <c r="L369" s="647"/>
      <c r="M369" s="647"/>
      <c r="N369" s="647"/>
      <c r="O369" s="647"/>
      <c r="P369" s="647"/>
      <c r="Q369" s="647"/>
      <c r="R369" s="647"/>
      <c r="S369" s="647"/>
      <c r="T369" s="647"/>
      <c r="U369" s="16"/>
      <c r="V369" s="16"/>
      <c r="W369" s="16"/>
      <c r="X369" s="16"/>
      <c r="Y369" s="16"/>
      <c r="Z369" s="16"/>
      <c r="AA369" s="16"/>
      <c r="AB369" s="16"/>
      <c r="AC369" s="16"/>
    </row>
    <row r="370" ht="12.75" customHeight="1" spans="1:29" x14ac:dyDescent="0.25">
      <c r="A370" s="16"/>
      <c r="B370" s="16"/>
      <c r="C370" s="16"/>
      <c r="D370" s="16"/>
      <c r="E370" s="16"/>
      <c r="F370" s="16"/>
      <c r="G370" s="16"/>
      <c r="H370" s="647"/>
      <c r="I370" s="647"/>
      <c r="J370" s="647"/>
      <c r="K370" s="647"/>
      <c r="L370" s="647"/>
      <c r="M370" s="647"/>
      <c r="N370" s="647"/>
      <c r="O370" s="647"/>
      <c r="P370" s="647"/>
      <c r="Q370" s="647"/>
      <c r="R370" s="647"/>
      <c r="S370" s="647"/>
      <c r="T370" s="647"/>
      <c r="U370" s="16"/>
      <c r="V370" s="16"/>
      <c r="W370" s="16"/>
      <c r="X370" s="16"/>
      <c r="Y370" s="16"/>
      <c r="Z370" s="16"/>
      <c r="AA370" s="16"/>
      <c r="AB370" s="16"/>
      <c r="AC370" s="16"/>
    </row>
    <row r="371" ht="12.75" customHeight="1" spans="1:29" x14ac:dyDescent="0.25">
      <c r="A371" s="16"/>
      <c r="B371" s="16"/>
      <c r="C371" s="16"/>
      <c r="D371" s="16"/>
      <c r="E371" s="16"/>
      <c r="F371" s="16"/>
      <c r="G371" s="16"/>
      <c r="H371" s="647"/>
      <c r="I371" s="647"/>
      <c r="J371" s="647"/>
      <c r="K371" s="647"/>
      <c r="L371" s="647"/>
      <c r="M371" s="647"/>
      <c r="N371" s="647"/>
      <c r="O371" s="647"/>
      <c r="P371" s="647"/>
      <c r="Q371" s="647"/>
      <c r="R371" s="647"/>
      <c r="S371" s="647"/>
      <c r="T371" s="647"/>
      <c r="U371" s="16"/>
      <c r="V371" s="16"/>
      <c r="W371" s="16"/>
      <c r="X371" s="16"/>
      <c r="Y371" s="16"/>
      <c r="Z371" s="16"/>
      <c r="AA371" s="16"/>
      <c r="AB371" s="16"/>
      <c r="AC371" s="16"/>
    </row>
    <row r="372" ht="12.75" customHeight="1" spans="1:29" x14ac:dyDescent="0.25">
      <c r="A372" s="16"/>
      <c r="B372" s="16"/>
      <c r="C372" s="16"/>
      <c r="D372" s="16"/>
      <c r="E372" s="16"/>
      <c r="F372" s="16"/>
      <c r="G372" s="16"/>
      <c r="H372" s="647"/>
      <c r="I372" s="647"/>
      <c r="J372" s="647"/>
      <c r="K372" s="647"/>
      <c r="L372" s="647"/>
      <c r="M372" s="647"/>
      <c r="N372" s="647"/>
      <c r="O372" s="647"/>
      <c r="P372" s="647"/>
      <c r="Q372" s="647"/>
      <c r="R372" s="647"/>
      <c r="S372" s="647"/>
      <c r="T372" s="647"/>
      <c r="U372" s="16"/>
      <c r="V372" s="16"/>
      <c r="W372" s="16"/>
      <c r="X372" s="16"/>
      <c r="Y372" s="16"/>
      <c r="Z372" s="16"/>
      <c r="AA372" s="16"/>
      <c r="AB372" s="16"/>
      <c r="AC372" s="16"/>
    </row>
    <row r="373" ht="12.75" customHeight="1" spans="1:29" x14ac:dyDescent="0.25">
      <c r="A373" s="16"/>
      <c r="B373" s="16"/>
      <c r="C373" s="16"/>
      <c r="D373" s="16"/>
      <c r="E373" s="16"/>
      <c r="F373" s="16"/>
      <c r="G373" s="16"/>
      <c r="H373" s="647"/>
      <c r="I373" s="647"/>
      <c r="J373" s="647"/>
      <c r="K373" s="647"/>
      <c r="L373" s="647"/>
      <c r="M373" s="647"/>
      <c r="N373" s="647"/>
      <c r="O373" s="647"/>
      <c r="P373" s="647"/>
      <c r="Q373" s="647"/>
      <c r="R373" s="647"/>
      <c r="S373" s="647"/>
      <c r="T373" s="647"/>
      <c r="U373" s="16"/>
      <c r="V373" s="16"/>
      <c r="W373" s="16"/>
      <c r="X373" s="16"/>
      <c r="Y373" s="16"/>
      <c r="Z373" s="16"/>
      <c r="AA373" s="16"/>
      <c r="AB373" s="16"/>
      <c r="AC373" s="16"/>
    </row>
    <row r="374" ht="12.75" customHeight="1" spans="1:29" x14ac:dyDescent="0.25">
      <c r="A374" s="16"/>
      <c r="B374" s="16"/>
      <c r="C374" s="16"/>
      <c r="D374" s="16"/>
      <c r="E374" s="16"/>
      <c r="F374" s="16"/>
      <c r="G374" s="16"/>
      <c r="H374" s="647"/>
      <c r="I374" s="647"/>
      <c r="J374" s="647"/>
      <c r="K374" s="647"/>
      <c r="L374" s="647"/>
      <c r="M374" s="647"/>
      <c r="N374" s="647"/>
      <c r="O374" s="647"/>
      <c r="P374" s="647"/>
      <c r="Q374" s="647"/>
      <c r="R374" s="647"/>
      <c r="S374" s="647"/>
      <c r="T374" s="647"/>
      <c r="U374" s="16"/>
      <c r="V374" s="16"/>
      <c r="W374" s="16"/>
      <c r="X374" s="16"/>
      <c r="Y374" s="16"/>
      <c r="Z374" s="16"/>
      <c r="AA374" s="16"/>
      <c r="AB374" s="16"/>
      <c r="AC374" s="16"/>
    </row>
    <row r="375" ht="12.75" customHeight="1" spans="1:29" x14ac:dyDescent="0.25">
      <c r="A375" s="16"/>
      <c r="B375" s="16"/>
      <c r="C375" s="16"/>
      <c r="D375" s="16"/>
      <c r="E375" s="16"/>
      <c r="F375" s="16"/>
      <c r="G375" s="16"/>
      <c r="H375" s="647"/>
      <c r="I375" s="647"/>
      <c r="J375" s="647"/>
      <c r="K375" s="647"/>
      <c r="L375" s="647"/>
      <c r="M375" s="647"/>
      <c r="N375" s="647"/>
      <c r="O375" s="647"/>
      <c r="P375" s="647"/>
      <c r="Q375" s="647"/>
      <c r="R375" s="647"/>
      <c r="S375" s="647"/>
      <c r="T375" s="647"/>
      <c r="U375" s="16"/>
      <c r="V375" s="16"/>
      <c r="W375" s="16"/>
      <c r="X375" s="16"/>
      <c r="Y375" s="16"/>
      <c r="Z375" s="16"/>
      <c r="AA375" s="16"/>
      <c r="AB375" s="16"/>
      <c r="AC375" s="16"/>
    </row>
    <row r="376" ht="12.75" customHeight="1" spans="1:29" x14ac:dyDescent="0.25">
      <c r="A376" s="16"/>
      <c r="B376" s="16"/>
      <c r="C376" s="16"/>
      <c r="D376" s="16"/>
      <c r="E376" s="16"/>
      <c r="F376" s="16"/>
      <c r="G376" s="16"/>
      <c r="H376" s="647"/>
      <c r="I376" s="647"/>
      <c r="J376" s="647"/>
      <c r="K376" s="647"/>
      <c r="L376" s="647"/>
      <c r="M376" s="647"/>
      <c r="N376" s="647"/>
      <c r="O376" s="647"/>
      <c r="P376" s="647"/>
      <c r="Q376" s="647"/>
      <c r="R376" s="647"/>
      <c r="S376" s="647"/>
      <c r="T376" s="647"/>
      <c r="U376" s="16"/>
      <c r="V376" s="16"/>
      <c r="W376" s="16"/>
      <c r="X376" s="16"/>
      <c r="Y376" s="16"/>
      <c r="Z376" s="16"/>
      <c r="AA376" s="16"/>
      <c r="AB376" s="16"/>
      <c r="AC376" s="16"/>
    </row>
    <row r="377" ht="12.75" customHeight="1" spans="1:29" x14ac:dyDescent="0.25">
      <c r="A377" s="16"/>
      <c r="B377" s="16"/>
      <c r="C377" s="16"/>
      <c r="D377" s="16"/>
      <c r="E377" s="16"/>
      <c r="F377" s="16"/>
      <c r="G377" s="16"/>
      <c r="H377" s="647"/>
      <c r="I377" s="647"/>
      <c r="J377" s="647"/>
      <c r="K377" s="647"/>
      <c r="L377" s="647"/>
      <c r="M377" s="647"/>
      <c r="N377" s="647"/>
      <c r="O377" s="647"/>
      <c r="P377" s="647"/>
      <c r="Q377" s="647"/>
      <c r="R377" s="647"/>
      <c r="S377" s="647"/>
      <c r="T377" s="647"/>
      <c r="U377" s="16"/>
      <c r="V377" s="16"/>
      <c r="W377" s="16"/>
      <c r="X377" s="16"/>
      <c r="Y377" s="16"/>
      <c r="Z377" s="16"/>
      <c r="AA377" s="16"/>
      <c r="AB377" s="16"/>
      <c r="AC377" s="16"/>
    </row>
    <row r="378" ht="12.75" customHeight="1" spans="1:29" x14ac:dyDescent="0.25">
      <c r="A378" s="16"/>
      <c r="B378" s="16"/>
      <c r="C378" s="16"/>
      <c r="D378" s="16"/>
      <c r="E378" s="16"/>
      <c r="F378" s="16"/>
      <c r="G378" s="16"/>
      <c r="H378" s="647"/>
      <c r="I378" s="647"/>
      <c r="J378" s="647"/>
      <c r="K378" s="647"/>
      <c r="L378" s="647"/>
      <c r="M378" s="647"/>
      <c r="N378" s="647"/>
      <c r="O378" s="647"/>
      <c r="P378" s="647"/>
      <c r="Q378" s="647"/>
      <c r="R378" s="647"/>
      <c r="S378" s="647"/>
      <c r="T378" s="647"/>
      <c r="U378" s="16"/>
      <c r="V378" s="16"/>
      <c r="W378" s="16"/>
      <c r="X378" s="16"/>
      <c r="Y378" s="16"/>
      <c r="Z378" s="16"/>
      <c r="AA378" s="16"/>
      <c r="AB378" s="16"/>
      <c r="AC378" s="16"/>
    </row>
    <row r="379" ht="12.75" customHeight="1" spans="1:29" x14ac:dyDescent="0.25">
      <c r="A379" s="16"/>
      <c r="B379" s="16"/>
      <c r="C379" s="16"/>
      <c r="D379" s="16"/>
      <c r="E379" s="16"/>
      <c r="F379" s="16"/>
      <c r="G379" s="16"/>
      <c r="H379" s="647"/>
      <c r="I379" s="647"/>
      <c r="J379" s="647"/>
      <c r="K379" s="647"/>
      <c r="L379" s="647"/>
      <c r="M379" s="647"/>
      <c r="N379" s="647"/>
      <c r="O379" s="647"/>
      <c r="P379" s="647"/>
      <c r="Q379" s="647"/>
      <c r="R379" s="647"/>
      <c r="S379" s="647"/>
      <c r="T379" s="647"/>
      <c r="U379" s="16"/>
      <c r="V379" s="16"/>
      <c r="W379" s="16"/>
      <c r="X379" s="16"/>
      <c r="Y379" s="16"/>
      <c r="Z379" s="16"/>
      <c r="AA379" s="16"/>
      <c r="AB379" s="16"/>
      <c r="AC379" s="16"/>
    </row>
    <row r="380" ht="12.75" customHeight="1" spans="1:29" x14ac:dyDescent="0.25">
      <c r="A380" s="16"/>
      <c r="B380" s="16"/>
      <c r="C380" s="16"/>
      <c r="D380" s="16"/>
      <c r="E380" s="16"/>
      <c r="F380" s="16"/>
      <c r="G380" s="16"/>
      <c r="H380" s="647"/>
      <c r="I380" s="647"/>
      <c r="J380" s="647"/>
      <c r="K380" s="647"/>
      <c r="L380" s="647"/>
      <c r="M380" s="647"/>
      <c r="N380" s="647"/>
      <c r="O380" s="647"/>
      <c r="P380" s="647"/>
      <c r="Q380" s="647"/>
      <c r="R380" s="647"/>
      <c r="S380" s="647"/>
      <c r="T380" s="647"/>
      <c r="U380" s="16"/>
      <c r="V380" s="16"/>
      <c r="W380" s="16"/>
      <c r="X380" s="16"/>
      <c r="Y380" s="16"/>
      <c r="Z380" s="16"/>
      <c r="AA380" s="16"/>
      <c r="AB380" s="16"/>
      <c r="AC380" s="16"/>
    </row>
    <row r="381" ht="12.75" customHeight="1" spans="1:29" x14ac:dyDescent="0.25">
      <c r="A381" s="16"/>
      <c r="B381" s="16"/>
      <c r="C381" s="16"/>
      <c r="D381" s="16"/>
      <c r="E381" s="16"/>
      <c r="F381" s="16"/>
      <c r="G381" s="16"/>
      <c r="H381" s="647"/>
      <c r="I381" s="647"/>
      <c r="J381" s="647"/>
      <c r="K381" s="647"/>
      <c r="L381" s="647"/>
      <c r="M381" s="647"/>
      <c r="N381" s="647"/>
      <c r="O381" s="647"/>
      <c r="P381" s="647"/>
      <c r="Q381" s="647"/>
      <c r="R381" s="647"/>
      <c r="S381" s="647"/>
      <c r="T381" s="647"/>
      <c r="U381" s="16"/>
      <c r="V381" s="16"/>
      <c r="W381" s="16"/>
      <c r="X381" s="16"/>
      <c r="Y381" s="16"/>
      <c r="Z381" s="16"/>
      <c r="AA381" s="16"/>
      <c r="AB381" s="16"/>
      <c r="AC381" s="16"/>
    </row>
    <row r="382" ht="12.75" customHeight="1" spans="1:29" x14ac:dyDescent="0.25">
      <c r="A382" s="16"/>
      <c r="B382" s="16"/>
      <c r="C382" s="16"/>
      <c r="D382" s="16"/>
      <c r="E382" s="16"/>
      <c r="F382" s="16"/>
      <c r="G382" s="16"/>
      <c r="H382" s="647"/>
      <c r="I382" s="647"/>
      <c r="J382" s="647"/>
      <c r="K382" s="647"/>
      <c r="L382" s="647"/>
      <c r="M382" s="647"/>
      <c r="N382" s="647"/>
      <c r="O382" s="647"/>
      <c r="P382" s="647"/>
      <c r="Q382" s="647"/>
      <c r="R382" s="647"/>
      <c r="S382" s="647"/>
      <c r="T382" s="647"/>
      <c r="U382" s="16"/>
      <c r="V382" s="16"/>
      <c r="W382" s="16"/>
      <c r="X382" s="16"/>
      <c r="Y382" s="16"/>
      <c r="Z382" s="16"/>
      <c r="AA382" s="16"/>
      <c r="AB382" s="16"/>
      <c r="AC382" s="16"/>
    </row>
    <row r="383" ht="12.75" customHeight="1" spans="1:29" x14ac:dyDescent="0.25">
      <c r="A383" s="16"/>
      <c r="B383" s="16"/>
      <c r="C383" s="16"/>
      <c r="D383" s="16"/>
      <c r="E383" s="16"/>
      <c r="F383" s="16"/>
      <c r="G383" s="16"/>
      <c r="H383" s="647"/>
      <c r="I383" s="647"/>
      <c r="J383" s="647"/>
      <c r="K383" s="647"/>
      <c r="L383" s="647"/>
      <c r="M383" s="647"/>
      <c r="N383" s="647"/>
      <c r="O383" s="647"/>
      <c r="P383" s="647"/>
      <c r="Q383" s="647"/>
      <c r="R383" s="647"/>
      <c r="S383" s="647"/>
      <c r="T383" s="647"/>
      <c r="U383" s="16"/>
      <c r="V383" s="16"/>
      <c r="W383" s="16"/>
      <c r="X383" s="16"/>
      <c r="Y383" s="16"/>
      <c r="Z383" s="16"/>
      <c r="AA383" s="16"/>
      <c r="AB383" s="16"/>
      <c r="AC383" s="16"/>
    </row>
    <row r="384" ht="12.75" customHeight="1" spans="1:29" x14ac:dyDescent="0.25">
      <c r="A384" s="16"/>
      <c r="B384" s="16"/>
      <c r="C384" s="16"/>
      <c r="D384" s="16"/>
      <c r="E384" s="16"/>
      <c r="F384" s="16"/>
      <c r="G384" s="16"/>
      <c r="H384" s="647"/>
      <c r="I384" s="647"/>
      <c r="J384" s="647"/>
      <c r="K384" s="647"/>
      <c r="L384" s="647"/>
      <c r="M384" s="647"/>
      <c r="N384" s="647"/>
      <c r="O384" s="647"/>
      <c r="P384" s="647"/>
      <c r="Q384" s="647"/>
      <c r="R384" s="647"/>
      <c r="S384" s="647"/>
      <c r="T384" s="647"/>
      <c r="U384" s="16"/>
      <c r="V384" s="16"/>
      <c r="W384" s="16"/>
      <c r="X384" s="16"/>
      <c r="Y384" s="16"/>
      <c r="Z384" s="16"/>
      <c r="AA384" s="16"/>
      <c r="AB384" s="16"/>
      <c r="AC384" s="16"/>
    </row>
    <row r="385" ht="12.75" customHeight="1" spans="1:29" x14ac:dyDescent="0.25">
      <c r="A385" s="16"/>
      <c r="B385" s="16"/>
      <c r="C385" s="16"/>
      <c r="D385" s="16"/>
      <c r="E385" s="16"/>
      <c r="F385" s="16"/>
      <c r="G385" s="16"/>
      <c r="H385" s="647"/>
      <c r="I385" s="647"/>
      <c r="J385" s="647"/>
      <c r="K385" s="647"/>
      <c r="L385" s="647"/>
      <c r="M385" s="647"/>
      <c r="N385" s="647"/>
      <c r="O385" s="647"/>
      <c r="P385" s="647"/>
      <c r="Q385" s="647"/>
      <c r="R385" s="647"/>
      <c r="S385" s="647"/>
      <c r="T385" s="647"/>
      <c r="U385" s="16"/>
      <c r="V385" s="16"/>
      <c r="W385" s="16"/>
      <c r="X385" s="16"/>
      <c r="Y385" s="16"/>
      <c r="Z385" s="16"/>
      <c r="AA385" s="16"/>
      <c r="AB385" s="16"/>
      <c r="AC385" s="16"/>
    </row>
    <row r="386" ht="12.75" customHeight="1" spans="1:29" x14ac:dyDescent="0.25">
      <c r="A386" s="16"/>
      <c r="B386" s="16"/>
      <c r="C386" s="16"/>
      <c r="D386" s="16"/>
      <c r="E386" s="16"/>
      <c r="F386" s="16"/>
      <c r="G386" s="16"/>
      <c r="H386" s="647"/>
      <c r="I386" s="647"/>
      <c r="J386" s="647"/>
      <c r="K386" s="647"/>
      <c r="L386" s="647"/>
      <c r="M386" s="647"/>
      <c r="N386" s="647"/>
      <c r="O386" s="647"/>
      <c r="P386" s="647"/>
      <c r="Q386" s="647"/>
      <c r="R386" s="647"/>
      <c r="S386" s="647"/>
      <c r="T386" s="647"/>
      <c r="U386" s="16"/>
      <c r="V386" s="16"/>
      <c r="W386" s="16"/>
      <c r="X386" s="16"/>
      <c r="Y386" s="16"/>
      <c r="Z386" s="16"/>
      <c r="AA386" s="16"/>
      <c r="AB386" s="16"/>
      <c r="AC386" s="16"/>
    </row>
    <row r="387" ht="12.75" customHeight="1" spans="1:29" x14ac:dyDescent="0.25">
      <c r="A387" s="16"/>
      <c r="B387" s="16"/>
      <c r="C387" s="16"/>
      <c r="D387" s="16"/>
      <c r="E387" s="16"/>
      <c r="F387" s="16"/>
      <c r="G387" s="16"/>
      <c r="H387" s="647"/>
      <c r="I387" s="647"/>
      <c r="J387" s="647"/>
      <c r="K387" s="647"/>
      <c r="L387" s="647"/>
      <c r="M387" s="647"/>
      <c r="N387" s="647"/>
      <c r="O387" s="647"/>
      <c r="P387" s="647"/>
      <c r="Q387" s="647"/>
      <c r="R387" s="647"/>
      <c r="S387" s="647"/>
      <c r="T387" s="647"/>
      <c r="U387" s="16"/>
      <c r="V387" s="16"/>
      <c r="W387" s="16"/>
      <c r="X387" s="16"/>
      <c r="Y387" s="16"/>
      <c r="Z387" s="16"/>
      <c r="AA387" s="16"/>
      <c r="AB387" s="16"/>
      <c r="AC387" s="16"/>
    </row>
    <row r="388" ht="12.75" customHeight="1" spans="1:29" x14ac:dyDescent="0.25">
      <c r="A388" s="16"/>
      <c r="B388" s="16"/>
      <c r="C388" s="16"/>
      <c r="D388" s="16"/>
      <c r="E388" s="16"/>
      <c r="F388" s="16"/>
      <c r="G388" s="16"/>
      <c r="H388" s="647"/>
      <c r="I388" s="647"/>
      <c r="J388" s="647"/>
      <c r="K388" s="647"/>
      <c r="L388" s="647"/>
      <c r="M388" s="647"/>
      <c r="N388" s="647"/>
      <c r="O388" s="647"/>
      <c r="P388" s="647"/>
      <c r="Q388" s="647"/>
      <c r="R388" s="647"/>
      <c r="S388" s="647"/>
      <c r="T388" s="647"/>
      <c r="U388" s="16"/>
      <c r="V388" s="16"/>
      <c r="W388" s="16"/>
      <c r="X388" s="16"/>
      <c r="Y388" s="16"/>
      <c r="Z388" s="16"/>
      <c r="AA388" s="16"/>
      <c r="AB388" s="16"/>
      <c r="AC388" s="16"/>
    </row>
    <row r="389" ht="12.75" customHeight="1" spans="1:29" x14ac:dyDescent="0.25">
      <c r="A389" s="16"/>
      <c r="B389" s="16"/>
      <c r="C389" s="16"/>
      <c r="D389" s="16"/>
      <c r="E389" s="16"/>
      <c r="F389" s="16"/>
      <c r="G389" s="16"/>
      <c r="H389" s="647"/>
      <c r="I389" s="647"/>
      <c r="J389" s="647"/>
      <c r="K389" s="647"/>
      <c r="L389" s="647"/>
      <c r="M389" s="647"/>
      <c r="N389" s="647"/>
      <c r="O389" s="647"/>
      <c r="P389" s="647"/>
      <c r="Q389" s="647"/>
      <c r="R389" s="647"/>
      <c r="S389" s="647"/>
      <c r="T389" s="647"/>
      <c r="U389" s="16"/>
      <c r="V389" s="16"/>
      <c r="W389" s="16"/>
      <c r="X389" s="16"/>
      <c r="Y389" s="16"/>
      <c r="Z389" s="16"/>
      <c r="AA389" s="16"/>
      <c r="AB389" s="16"/>
      <c r="AC389" s="16"/>
    </row>
    <row r="390" ht="12.75" customHeight="1" spans="1:29" x14ac:dyDescent="0.25">
      <c r="A390" s="16"/>
      <c r="B390" s="16"/>
      <c r="C390" s="16"/>
      <c r="D390" s="16"/>
      <c r="E390" s="16"/>
      <c r="F390" s="16"/>
      <c r="G390" s="16"/>
      <c r="H390" s="647"/>
      <c r="I390" s="647"/>
      <c r="J390" s="647"/>
      <c r="K390" s="647"/>
      <c r="L390" s="647"/>
      <c r="M390" s="647"/>
      <c r="N390" s="647"/>
      <c r="O390" s="647"/>
      <c r="P390" s="647"/>
      <c r="Q390" s="647"/>
      <c r="R390" s="647"/>
      <c r="S390" s="647"/>
      <c r="T390" s="647"/>
      <c r="U390" s="16"/>
      <c r="V390" s="16"/>
      <c r="W390" s="16"/>
      <c r="X390" s="16"/>
      <c r="Y390" s="16"/>
      <c r="Z390" s="16"/>
      <c r="AA390" s="16"/>
      <c r="AB390" s="16"/>
      <c r="AC390" s="16"/>
    </row>
    <row r="391" ht="12.75" customHeight="1" spans="1:29" x14ac:dyDescent="0.25">
      <c r="A391" s="16"/>
      <c r="B391" s="16"/>
      <c r="C391" s="16"/>
      <c r="D391" s="16"/>
      <c r="E391" s="16"/>
      <c r="F391" s="16"/>
      <c r="G391" s="16"/>
      <c r="H391" s="647"/>
      <c r="I391" s="647"/>
      <c r="J391" s="647"/>
      <c r="K391" s="647"/>
      <c r="L391" s="647"/>
      <c r="M391" s="647"/>
      <c r="N391" s="647"/>
      <c r="O391" s="647"/>
      <c r="P391" s="647"/>
      <c r="Q391" s="647"/>
      <c r="R391" s="647"/>
      <c r="S391" s="647"/>
      <c r="T391" s="647"/>
      <c r="U391" s="16"/>
      <c r="V391" s="16"/>
      <c r="W391" s="16"/>
      <c r="X391" s="16"/>
      <c r="Y391" s="16"/>
      <c r="Z391" s="16"/>
      <c r="AA391" s="16"/>
      <c r="AB391" s="16"/>
      <c r="AC391" s="16"/>
    </row>
    <row r="392" ht="12.75" customHeight="1" spans="1:29" x14ac:dyDescent="0.25">
      <c r="A392" s="16"/>
      <c r="B392" s="16"/>
      <c r="C392" s="16"/>
      <c r="D392" s="16"/>
      <c r="E392" s="16"/>
      <c r="F392" s="16"/>
      <c r="G392" s="16"/>
      <c r="H392" s="647"/>
      <c r="I392" s="647"/>
      <c r="J392" s="647"/>
      <c r="K392" s="647"/>
      <c r="L392" s="647"/>
      <c r="M392" s="647"/>
      <c r="N392" s="647"/>
      <c r="O392" s="647"/>
      <c r="P392" s="647"/>
      <c r="Q392" s="647"/>
      <c r="R392" s="647"/>
      <c r="S392" s="647"/>
      <c r="T392" s="647"/>
      <c r="U392" s="16"/>
      <c r="V392" s="16"/>
      <c r="W392" s="16"/>
      <c r="X392" s="16"/>
      <c r="Y392" s="16"/>
      <c r="Z392" s="16"/>
      <c r="AA392" s="16"/>
      <c r="AB392" s="16"/>
      <c r="AC392" s="16"/>
    </row>
    <row r="393" ht="12.75" customHeight="1" spans="1:29" x14ac:dyDescent="0.25">
      <c r="A393" s="16"/>
      <c r="B393" s="16"/>
      <c r="C393" s="16"/>
      <c r="D393" s="16"/>
      <c r="E393" s="16"/>
      <c r="F393" s="16"/>
      <c r="G393" s="16"/>
      <c r="H393" s="647"/>
      <c r="I393" s="647"/>
      <c r="J393" s="647"/>
      <c r="K393" s="647"/>
      <c r="L393" s="647"/>
      <c r="M393" s="647"/>
      <c r="N393" s="647"/>
      <c r="O393" s="647"/>
      <c r="P393" s="647"/>
      <c r="Q393" s="647"/>
      <c r="R393" s="647"/>
      <c r="S393" s="647"/>
      <c r="T393" s="647"/>
      <c r="U393" s="16"/>
      <c r="V393" s="16"/>
      <c r="W393" s="16"/>
      <c r="X393" s="16"/>
      <c r="Y393" s="16"/>
      <c r="Z393" s="16"/>
      <c r="AA393" s="16"/>
      <c r="AB393" s="16"/>
      <c r="AC393" s="16"/>
    </row>
    <row r="394" ht="12.75" customHeight="1" spans="1:29" x14ac:dyDescent="0.25">
      <c r="A394" s="16"/>
      <c r="B394" s="16"/>
      <c r="C394" s="16"/>
      <c r="D394" s="16"/>
      <c r="E394" s="16"/>
      <c r="F394" s="16"/>
      <c r="G394" s="16"/>
      <c r="H394" s="647"/>
      <c r="I394" s="647"/>
      <c r="J394" s="647"/>
      <c r="K394" s="647"/>
      <c r="L394" s="647"/>
      <c r="M394" s="647"/>
      <c r="N394" s="647"/>
      <c r="O394" s="647"/>
      <c r="P394" s="647"/>
      <c r="Q394" s="647"/>
      <c r="R394" s="647"/>
      <c r="S394" s="647"/>
      <c r="T394" s="647"/>
      <c r="U394" s="16"/>
      <c r="V394" s="16"/>
      <c r="W394" s="16"/>
      <c r="X394" s="16"/>
      <c r="Y394" s="16"/>
      <c r="Z394" s="16"/>
      <c r="AA394" s="16"/>
      <c r="AB394" s="16"/>
      <c r="AC394" s="16"/>
    </row>
    <row r="395" ht="12.75" customHeight="1" spans="1:29" x14ac:dyDescent="0.25">
      <c r="A395" s="16"/>
      <c r="B395" s="16"/>
      <c r="C395" s="16"/>
      <c r="D395" s="16"/>
      <c r="E395" s="16"/>
      <c r="F395" s="16"/>
      <c r="G395" s="16"/>
      <c r="H395" s="647"/>
      <c r="I395" s="647"/>
      <c r="J395" s="647"/>
      <c r="K395" s="647"/>
      <c r="L395" s="647"/>
      <c r="M395" s="647"/>
      <c r="N395" s="647"/>
      <c r="O395" s="647"/>
      <c r="P395" s="647"/>
      <c r="Q395" s="647"/>
      <c r="R395" s="647"/>
      <c r="S395" s="647"/>
      <c r="T395" s="647"/>
      <c r="U395" s="16"/>
      <c r="V395" s="16"/>
      <c r="W395" s="16"/>
      <c r="X395" s="16"/>
      <c r="Y395" s="16"/>
      <c r="Z395" s="16"/>
      <c r="AA395" s="16"/>
      <c r="AB395" s="16"/>
      <c r="AC395" s="16"/>
    </row>
    <row r="396" ht="12.75" customHeight="1" spans="1:29" x14ac:dyDescent="0.25">
      <c r="A396" s="16"/>
      <c r="B396" s="16"/>
      <c r="C396" s="16"/>
      <c r="D396" s="16"/>
      <c r="E396" s="16"/>
      <c r="F396" s="16"/>
      <c r="G396" s="16"/>
      <c r="H396" s="647"/>
      <c r="I396" s="647"/>
      <c r="J396" s="647"/>
      <c r="K396" s="647"/>
      <c r="L396" s="647"/>
      <c r="M396" s="647"/>
      <c r="N396" s="647"/>
      <c r="O396" s="647"/>
      <c r="P396" s="647"/>
      <c r="Q396" s="647"/>
      <c r="R396" s="647"/>
      <c r="S396" s="647"/>
      <c r="T396" s="647"/>
      <c r="U396" s="16"/>
      <c r="V396" s="16"/>
      <c r="W396" s="16"/>
      <c r="X396" s="16"/>
      <c r="Y396" s="16"/>
      <c r="Z396" s="16"/>
      <c r="AA396" s="16"/>
      <c r="AB396" s="16"/>
      <c r="AC396" s="16"/>
    </row>
    <row r="397" ht="12.75" customHeight="1" spans="1:29" x14ac:dyDescent="0.25">
      <c r="A397" s="16"/>
      <c r="B397" s="16"/>
      <c r="C397" s="16"/>
      <c r="D397" s="16"/>
      <c r="E397" s="16"/>
      <c r="F397" s="16"/>
      <c r="G397" s="16"/>
      <c r="H397" s="647"/>
      <c r="I397" s="647"/>
      <c r="J397" s="647"/>
      <c r="K397" s="647"/>
      <c r="L397" s="647"/>
      <c r="M397" s="647"/>
      <c r="N397" s="647"/>
      <c r="O397" s="647"/>
      <c r="P397" s="647"/>
      <c r="Q397" s="647"/>
      <c r="R397" s="647"/>
      <c r="S397" s="647"/>
      <c r="T397" s="647"/>
      <c r="U397" s="16"/>
      <c r="V397" s="16"/>
      <c r="W397" s="16"/>
      <c r="X397" s="16"/>
      <c r="Y397" s="16"/>
      <c r="Z397" s="16"/>
      <c r="AA397" s="16"/>
      <c r="AB397" s="16"/>
      <c r="AC397" s="16"/>
    </row>
    <row r="398" ht="12.75" customHeight="1" spans="1:29" x14ac:dyDescent="0.25">
      <c r="A398" s="16"/>
      <c r="B398" s="16"/>
      <c r="C398" s="16"/>
      <c r="D398" s="16"/>
      <c r="E398" s="16"/>
      <c r="F398" s="16"/>
      <c r="G398" s="16"/>
      <c r="H398" s="647"/>
      <c r="I398" s="647"/>
      <c r="J398" s="647"/>
      <c r="K398" s="647"/>
      <c r="L398" s="647"/>
      <c r="M398" s="647"/>
      <c r="N398" s="647"/>
      <c r="O398" s="647"/>
      <c r="P398" s="647"/>
      <c r="Q398" s="647"/>
      <c r="R398" s="647"/>
      <c r="S398" s="647"/>
      <c r="T398" s="647"/>
      <c r="U398" s="16"/>
      <c r="V398" s="16"/>
      <c r="W398" s="16"/>
      <c r="X398" s="16"/>
      <c r="Y398" s="16"/>
      <c r="Z398" s="16"/>
      <c r="AA398" s="16"/>
      <c r="AB398" s="16"/>
      <c r="AC398" s="16"/>
    </row>
    <row r="399" ht="12.75" customHeight="1" spans="1:29" x14ac:dyDescent="0.25">
      <c r="A399" s="16"/>
      <c r="B399" s="16"/>
      <c r="C399" s="16"/>
      <c r="D399" s="16"/>
      <c r="E399" s="16"/>
      <c r="F399" s="16"/>
      <c r="G399" s="16"/>
      <c r="H399" s="647"/>
      <c r="I399" s="647"/>
      <c r="J399" s="647"/>
      <c r="K399" s="647"/>
      <c r="L399" s="647"/>
      <c r="M399" s="647"/>
      <c r="N399" s="647"/>
      <c r="O399" s="647"/>
      <c r="P399" s="647"/>
      <c r="Q399" s="647"/>
      <c r="R399" s="647"/>
      <c r="S399" s="647"/>
      <c r="T399" s="647"/>
      <c r="U399" s="16"/>
      <c r="V399" s="16"/>
      <c r="W399" s="16"/>
      <c r="X399" s="16"/>
      <c r="Y399" s="16"/>
      <c r="Z399" s="16"/>
      <c r="AA399" s="16"/>
      <c r="AB399" s="16"/>
      <c r="AC399" s="16"/>
    </row>
    <row r="400" ht="12.75" customHeight="1" spans="1:29" x14ac:dyDescent="0.25">
      <c r="A400" s="16"/>
      <c r="B400" s="16"/>
      <c r="C400" s="16"/>
      <c r="D400" s="16"/>
      <c r="E400" s="16"/>
      <c r="F400" s="16"/>
      <c r="G400" s="16"/>
      <c r="H400" s="647"/>
      <c r="I400" s="647"/>
      <c r="J400" s="647"/>
      <c r="K400" s="647"/>
      <c r="L400" s="647"/>
      <c r="M400" s="647"/>
      <c r="N400" s="647"/>
      <c r="O400" s="647"/>
      <c r="P400" s="647"/>
      <c r="Q400" s="647"/>
      <c r="R400" s="647"/>
      <c r="S400" s="647"/>
      <c r="T400" s="647"/>
      <c r="U400" s="16"/>
      <c r="V400" s="16"/>
      <c r="W400" s="16"/>
      <c r="X400" s="16"/>
      <c r="Y400" s="16"/>
      <c r="Z400" s="16"/>
      <c r="AA400" s="16"/>
      <c r="AB400" s="16"/>
      <c r="AC400" s="16"/>
    </row>
    <row r="401" ht="12.75" customHeight="1" spans="1:29" x14ac:dyDescent="0.25">
      <c r="A401" s="16"/>
      <c r="B401" s="16"/>
      <c r="C401" s="16"/>
      <c r="D401" s="16"/>
      <c r="E401" s="16"/>
      <c r="F401" s="16"/>
      <c r="G401" s="16"/>
      <c r="H401" s="647"/>
      <c r="I401" s="647"/>
      <c r="J401" s="647"/>
      <c r="K401" s="647"/>
      <c r="L401" s="647"/>
      <c r="M401" s="647"/>
      <c r="N401" s="647"/>
      <c r="O401" s="647"/>
      <c r="P401" s="647"/>
      <c r="Q401" s="647"/>
      <c r="R401" s="647"/>
      <c r="S401" s="647"/>
      <c r="T401" s="647"/>
      <c r="U401" s="16"/>
      <c r="V401" s="16"/>
      <c r="W401" s="16"/>
      <c r="X401" s="16"/>
      <c r="Y401" s="16"/>
      <c r="Z401" s="16"/>
      <c r="AA401" s="16"/>
      <c r="AB401" s="16"/>
      <c r="AC401" s="16"/>
    </row>
    <row r="402" ht="12.75" customHeight="1" spans="1:29" x14ac:dyDescent="0.25">
      <c r="A402" s="16"/>
      <c r="B402" s="16"/>
      <c r="C402" s="16"/>
      <c r="D402" s="16"/>
      <c r="E402" s="16"/>
      <c r="F402" s="16"/>
      <c r="G402" s="16"/>
      <c r="H402" s="647"/>
      <c r="I402" s="647"/>
      <c r="J402" s="647"/>
      <c r="K402" s="647"/>
      <c r="L402" s="647"/>
      <c r="M402" s="647"/>
      <c r="N402" s="647"/>
      <c r="O402" s="647"/>
      <c r="P402" s="647"/>
      <c r="Q402" s="647"/>
      <c r="R402" s="647"/>
      <c r="S402" s="647"/>
      <c r="T402" s="647"/>
      <c r="U402" s="16"/>
      <c r="V402" s="16"/>
      <c r="W402" s="16"/>
      <c r="X402" s="16"/>
      <c r="Y402" s="16"/>
      <c r="Z402" s="16"/>
      <c r="AA402" s="16"/>
      <c r="AB402" s="16"/>
      <c r="AC402" s="16"/>
    </row>
    <row r="403" ht="12.75" customHeight="1" spans="1:29" x14ac:dyDescent="0.25">
      <c r="A403" s="16"/>
      <c r="B403" s="16"/>
      <c r="C403" s="16"/>
      <c r="D403" s="16"/>
      <c r="E403" s="16"/>
      <c r="F403" s="16"/>
      <c r="G403" s="16"/>
      <c r="H403" s="647"/>
      <c r="I403" s="647"/>
      <c r="J403" s="647"/>
      <c r="K403" s="647"/>
      <c r="L403" s="647"/>
      <c r="M403" s="647"/>
      <c r="N403" s="647"/>
      <c r="O403" s="647"/>
      <c r="P403" s="647"/>
      <c r="Q403" s="647"/>
      <c r="R403" s="647"/>
      <c r="S403" s="647"/>
      <c r="T403" s="647"/>
      <c r="U403" s="16"/>
      <c r="V403" s="16"/>
      <c r="W403" s="16"/>
      <c r="X403" s="16"/>
      <c r="Y403" s="16"/>
      <c r="Z403" s="16"/>
      <c r="AA403" s="16"/>
      <c r="AB403" s="16"/>
      <c r="AC403" s="16"/>
    </row>
    <row r="404" ht="12.75" customHeight="1" spans="1:29" x14ac:dyDescent="0.25">
      <c r="A404" s="16"/>
      <c r="B404" s="16"/>
      <c r="C404" s="16"/>
      <c r="D404" s="16"/>
      <c r="E404" s="16"/>
      <c r="F404" s="16"/>
      <c r="G404" s="16"/>
      <c r="H404" s="647"/>
      <c r="I404" s="647"/>
      <c r="J404" s="647"/>
      <c r="K404" s="647"/>
      <c r="L404" s="647"/>
      <c r="M404" s="647"/>
      <c r="N404" s="647"/>
      <c r="O404" s="647"/>
      <c r="P404" s="647"/>
      <c r="Q404" s="647"/>
      <c r="R404" s="647"/>
      <c r="S404" s="647"/>
      <c r="T404" s="647"/>
      <c r="U404" s="16"/>
      <c r="V404" s="16"/>
      <c r="W404" s="16"/>
      <c r="X404" s="16"/>
      <c r="Y404" s="16"/>
      <c r="Z404" s="16"/>
      <c r="AA404" s="16"/>
      <c r="AB404" s="16"/>
      <c r="AC404" s="16"/>
    </row>
    <row r="405" ht="12.75" customHeight="1" spans="1:29" x14ac:dyDescent="0.25">
      <c r="A405" s="16"/>
      <c r="B405" s="16"/>
      <c r="C405" s="16"/>
      <c r="D405" s="16"/>
      <c r="E405" s="16"/>
      <c r="F405" s="16"/>
      <c r="G405" s="16"/>
      <c r="H405" s="647"/>
      <c r="I405" s="647"/>
      <c r="J405" s="647"/>
      <c r="K405" s="647"/>
      <c r="L405" s="647"/>
      <c r="M405" s="647"/>
      <c r="N405" s="647"/>
      <c r="O405" s="647"/>
      <c r="P405" s="647"/>
      <c r="Q405" s="647"/>
      <c r="R405" s="647"/>
      <c r="S405" s="647"/>
      <c r="T405" s="647"/>
      <c r="U405" s="16"/>
      <c r="V405" s="16"/>
      <c r="W405" s="16"/>
      <c r="X405" s="16"/>
      <c r="Y405" s="16"/>
      <c r="Z405" s="16"/>
      <c r="AA405" s="16"/>
      <c r="AB405" s="16"/>
      <c r="AC405" s="16"/>
    </row>
    <row r="406" ht="12.75" customHeight="1" spans="1:29" x14ac:dyDescent="0.25">
      <c r="A406" s="16"/>
      <c r="B406" s="16"/>
      <c r="C406" s="16"/>
      <c r="D406" s="16"/>
      <c r="E406" s="16"/>
      <c r="F406" s="16"/>
      <c r="G406" s="16"/>
      <c r="H406" s="647"/>
      <c r="I406" s="647"/>
      <c r="J406" s="647"/>
      <c r="K406" s="647"/>
      <c r="L406" s="647"/>
      <c r="M406" s="647"/>
      <c r="N406" s="647"/>
      <c r="O406" s="647"/>
      <c r="P406" s="647"/>
      <c r="Q406" s="647"/>
      <c r="R406" s="647"/>
      <c r="S406" s="647"/>
      <c r="T406" s="647"/>
      <c r="U406" s="16"/>
      <c r="V406" s="16"/>
      <c r="W406" s="16"/>
      <c r="X406" s="16"/>
      <c r="Y406" s="16"/>
      <c r="Z406" s="16"/>
      <c r="AA406" s="16"/>
      <c r="AB406" s="16"/>
      <c r="AC406" s="16"/>
    </row>
    <row r="407" ht="12.75" customHeight="1" spans="1:29" x14ac:dyDescent="0.25">
      <c r="A407" s="16"/>
      <c r="B407" s="16"/>
      <c r="C407" s="16"/>
      <c r="D407" s="16"/>
      <c r="E407" s="16"/>
      <c r="F407" s="16"/>
      <c r="G407" s="16"/>
      <c r="H407" s="647"/>
      <c r="I407" s="647"/>
      <c r="J407" s="647"/>
      <c r="K407" s="647"/>
      <c r="L407" s="647"/>
      <c r="M407" s="647"/>
      <c r="N407" s="647"/>
      <c r="O407" s="647"/>
      <c r="P407" s="647"/>
      <c r="Q407" s="647"/>
      <c r="R407" s="647"/>
      <c r="S407" s="647"/>
      <c r="T407" s="647"/>
      <c r="U407" s="16"/>
      <c r="V407" s="16"/>
      <c r="W407" s="16"/>
      <c r="X407" s="16"/>
      <c r="Y407" s="16"/>
      <c r="Z407" s="16"/>
      <c r="AA407" s="16"/>
      <c r="AB407" s="16"/>
      <c r="AC407" s="16"/>
    </row>
    <row r="408" ht="12.75" customHeight="1" spans="1:29" x14ac:dyDescent="0.25">
      <c r="A408" s="16"/>
      <c r="B408" s="16"/>
      <c r="C408" s="16"/>
      <c r="D408" s="16"/>
      <c r="E408" s="16"/>
      <c r="F408" s="16"/>
      <c r="G408" s="16"/>
      <c r="H408" s="647"/>
      <c r="I408" s="647"/>
      <c r="J408" s="647"/>
      <c r="K408" s="647"/>
      <c r="L408" s="647"/>
      <c r="M408" s="647"/>
      <c r="N408" s="647"/>
      <c r="O408" s="647"/>
      <c r="P408" s="647"/>
      <c r="Q408" s="647"/>
      <c r="R408" s="647"/>
      <c r="S408" s="647"/>
      <c r="T408" s="647"/>
      <c r="U408" s="16"/>
      <c r="V408" s="16"/>
      <c r="W408" s="16"/>
      <c r="X408" s="16"/>
      <c r="Y408" s="16"/>
      <c r="Z408" s="16"/>
      <c r="AA408" s="16"/>
      <c r="AB408" s="16"/>
      <c r="AC408" s="16"/>
    </row>
    <row r="409" ht="12.75" customHeight="1" spans="1:29" x14ac:dyDescent="0.25">
      <c r="A409" s="16"/>
      <c r="B409" s="16"/>
      <c r="C409" s="16"/>
      <c r="D409" s="16"/>
      <c r="E409" s="16"/>
      <c r="F409" s="16"/>
      <c r="G409" s="16"/>
      <c r="H409" s="647"/>
      <c r="I409" s="647"/>
      <c r="J409" s="647"/>
      <c r="K409" s="647"/>
      <c r="L409" s="647"/>
      <c r="M409" s="647"/>
      <c r="N409" s="647"/>
      <c r="O409" s="647"/>
      <c r="P409" s="647"/>
      <c r="Q409" s="647"/>
      <c r="R409" s="647"/>
      <c r="S409" s="647"/>
      <c r="T409" s="647"/>
      <c r="U409" s="16"/>
      <c r="V409" s="16"/>
      <c r="W409" s="16"/>
      <c r="X409" s="16"/>
      <c r="Y409" s="16"/>
      <c r="Z409" s="16"/>
      <c r="AA409" s="16"/>
      <c r="AB409" s="16"/>
      <c r="AC409" s="16"/>
    </row>
    <row r="410" ht="12.75" customHeight="1" spans="1:29" x14ac:dyDescent="0.25">
      <c r="A410" s="16"/>
      <c r="B410" s="16"/>
      <c r="C410" s="16"/>
      <c r="D410" s="16"/>
      <c r="E410" s="16"/>
      <c r="F410" s="16"/>
      <c r="G410" s="16"/>
      <c r="H410" s="647"/>
      <c r="I410" s="647"/>
      <c r="J410" s="647"/>
      <c r="K410" s="647"/>
      <c r="L410" s="647"/>
      <c r="M410" s="647"/>
      <c r="N410" s="647"/>
      <c r="O410" s="647"/>
      <c r="P410" s="647"/>
      <c r="Q410" s="647"/>
      <c r="R410" s="647"/>
      <c r="S410" s="647"/>
      <c r="T410" s="647"/>
      <c r="U410" s="16"/>
      <c r="V410" s="16"/>
      <c r="W410" s="16"/>
      <c r="X410" s="16"/>
      <c r="Y410" s="16"/>
      <c r="Z410" s="16"/>
      <c r="AA410" s="16"/>
      <c r="AB410" s="16"/>
      <c r="AC410" s="16"/>
    </row>
    <row r="411" ht="12.75" customHeight="1" spans="1:29" x14ac:dyDescent="0.25">
      <c r="A411" s="16"/>
      <c r="B411" s="16"/>
      <c r="C411" s="16"/>
      <c r="D411" s="16"/>
      <c r="E411" s="16"/>
      <c r="F411" s="16"/>
      <c r="G411" s="16"/>
      <c r="H411" s="647"/>
      <c r="I411" s="647"/>
      <c r="J411" s="647"/>
      <c r="K411" s="647"/>
      <c r="L411" s="647"/>
      <c r="M411" s="647"/>
      <c r="N411" s="647"/>
      <c r="O411" s="647"/>
      <c r="P411" s="647"/>
      <c r="Q411" s="647"/>
      <c r="R411" s="647"/>
      <c r="S411" s="647"/>
      <c r="T411" s="647"/>
      <c r="U411" s="16"/>
      <c r="V411" s="16"/>
      <c r="W411" s="16"/>
      <c r="X411" s="16"/>
      <c r="Y411" s="16"/>
      <c r="Z411" s="16"/>
      <c r="AA411" s="16"/>
      <c r="AB411" s="16"/>
      <c r="AC411" s="16"/>
    </row>
    <row r="412" ht="12.75" customHeight="1" spans="1:29" x14ac:dyDescent="0.25">
      <c r="A412" s="16"/>
      <c r="B412" s="16"/>
      <c r="C412" s="16"/>
      <c r="D412" s="16"/>
      <c r="E412" s="16"/>
      <c r="F412" s="16"/>
      <c r="G412" s="16"/>
      <c r="H412" s="647"/>
      <c r="I412" s="647"/>
      <c r="J412" s="647"/>
      <c r="K412" s="647"/>
      <c r="L412" s="647"/>
      <c r="M412" s="647"/>
      <c r="N412" s="647"/>
      <c r="O412" s="647"/>
      <c r="P412" s="647"/>
      <c r="Q412" s="647"/>
      <c r="R412" s="647"/>
      <c r="S412" s="647"/>
      <c r="T412" s="647"/>
      <c r="U412" s="16"/>
      <c r="V412" s="16"/>
      <c r="W412" s="16"/>
      <c r="X412" s="16"/>
      <c r="Y412" s="16"/>
      <c r="Z412" s="16"/>
      <c r="AA412" s="16"/>
      <c r="AB412" s="16"/>
      <c r="AC412" s="16"/>
    </row>
    <row r="413" ht="12.75" customHeight="1" spans="1:29" x14ac:dyDescent="0.25">
      <c r="A413" s="16"/>
      <c r="B413" s="16"/>
      <c r="C413" s="16"/>
      <c r="D413" s="16"/>
      <c r="E413" s="16"/>
      <c r="F413" s="16"/>
      <c r="G413" s="16"/>
      <c r="H413" s="647"/>
      <c r="I413" s="647"/>
      <c r="J413" s="647"/>
      <c r="K413" s="647"/>
      <c r="L413" s="647"/>
      <c r="M413" s="647"/>
      <c r="N413" s="647"/>
      <c r="O413" s="647"/>
      <c r="P413" s="647"/>
      <c r="Q413" s="647"/>
      <c r="R413" s="647"/>
      <c r="S413" s="647"/>
      <c r="T413" s="647"/>
      <c r="U413" s="16"/>
      <c r="V413" s="16"/>
      <c r="W413" s="16"/>
      <c r="X413" s="16"/>
      <c r="Y413" s="16"/>
      <c r="Z413" s="16"/>
      <c r="AA413" s="16"/>
      <c r="AB413" s="16"/>
      <c r="AC413" s="16"/>
    </row>
    <row r="414" ht="12.75" customHeight="1" spans="1:29" x14ac:dyDescent="0.25">
      <c r="A414" s="16"/>
      <c r="B414" s="16"/>
      <c r="C414" s="16"/>
      <c r="D414" s="16"/>
      <c r="E414" s="16"/>
      <c r="F414" s="16"/>
      <c r="G414" s="16"/>
      <c r="H414" s="647"/>
      <c r="I414" s="647"/>
      <c r="J414" s="647"/>
      <c r="K414" s="647"/>
      <c r="L414" s="647"/>
      <c r="M414" s="647"/>
      <c r="N414" s="647"/>
      <c r="O414" s="647"/>
      <c r="P414" s="647"/>
      <c r="Q414" s="647"/>
      <c r="R414" s="647"/>
      <c r="S414" s="647"/>
      <c r="T414" s="647"/>
      <c r="U414" s="16"/>
      <c r="V414" s="16"/>
      <c r="W414" s="16"/>
      <c r="X414" s="16"/>
      <c r="Y414" s="16"/>
      <c r="Z414" s="16"/>
      <c r="AA414" s="16"/>
      <c r="AB414" s="16"/>
      <c r="AC414" s="16"/>
    </row>
    <row r="415" ht="12.75" customHeight="1" spans="1:29" x14ac:dyDescent="0.25">
      <c r="A415" s="16"/>
      <c r="B415" s="16"/>
      <c r="C415" s="16"/>
      <c r="D415" s="16"/>
      <c r="E415" s="16"/>
      <c r="F415" s="16"/>
      <c r="G415" s="16"/>
      <c r="H415" s="647"/>
      <c r="I415" s="647"/>
      <c r="J415" s="647"/>
      <c r="K415" s="647"/>
      <c r="L415" s="647"/>
      <c r="M415" s="647"/>
      <c r="N415" s="647"/>
      <c r="O415" s="647"/>
      <c r="P415" s="647"/>
      <c r="Q415" s="647"/>
      <c r="R415" s="647"/>
      <c r="S415" s="647"/>
      <c r="T415" s="647"/>
      <c r="U415" s="16"/>
      <c r="V415" s="16"/>
      <c r="W415" s="16"/>
      <c r="X415" s="16"/>
      <c r="Y415" s="16"/>
      <c r="Z415" s="16"/>
      <c r="AA415" s="16"/>
      <c r="AB415" s="16"/>
      <c r="AC415" s="16"/>
    </row>
    <row r="416" ht="12.75" customHeight="1" spans="1:29" x14ac:dyDescent="0.25">
      <c r="A416" s="16"/>
      <c r="B416" s="16"/>
      <c r="C416" s="16"/>
      <c r="D416" s="16"/>
      <c r="E416" s="16"/>
      <c r="F416" s="16"/>
      <c r="G416" s="16"/>
      <c r="H416" s="647"/>
      <c r="I416" s="647"/>
      <c r="J416" s="647"/>
      <c r="K416" s="647"/>
      <c r="L416" s="647"/>
      <c r="M416" s="647"/>
      <c r="N416" s="647"/>
      <c r="O416" s="647"/>
      <c r="P416" s="647"/>
      <c r="Q416" s="647"/>
      <c r="R416" s="647"/>
      <c r="S416" s="647"/>
      <c r="T416" s="647"/>
      <c r="U416" s="16"/>
      <c r="V416" s="16"/>
      <c r="W416" s="16"/>
      <c r="X416" s="16"/>
      <c r="Y416" s="16"/>
      <c r="Z416" s="16"/>
      <c r="AA416" s="16"/>
      <c r="AB416" s="16"/>
      <c r="AC416" s="16"/>
    </row>
    <row r="417" ht="12.75" customHeight="1" spans="1:29" x14ac:dyDescent="0.25">
      <c r="A417" s="16"/>
      <c r="B417" s="16"/>
      <c r="C417" s="16"/>
      <c r="D417" s="16"/>
      <c r="E417" s="16"/>
      <c r="F417" s="16"/>
      <c r="G417" s="16"/>
      <c r="H417" s="647"/>
      <c r="I417" s="647"/>
      <c r="J417" s="647"/>
      <c r="K417" s="647"/>
      <c r="L417" s="647"/>
      <c r="M417" s="647"/>
      <c r="N417" s="647"/>
      <c r="O417" s="647"/>
      <c r="P417" s="647"/>
      <c r="Q417" s="647"/>
      <c r="R417" s="647"/>
      <c r="S417" s="647"/>
      <c r="T417" s="647"/>
      <c r="U417" s="16"/>
      <c r="V417" s="16"/>
      <c r="W417" s="16"/>
      <c r="X417" s="16"/>
      <c r="Y417" s="16"/>
      <c r="Z417" s="16"/>
      <c r="AA417" s="16"/>
      <c r="AB417" s="16"/>
      <c r="AC417" s="16"/>
    </row>
    <row r="418" ht="12.75" customHeight="1" spans="1:29" x14ac:dyDescent="0.25">
      <c r="A418" s="16"/>
      <c r="B418" s="16"/>
      <c r="C418" s="16"/>
      <c r="D418" s="16"/>
      <c r="E418" s="16"/>
      <c r="F418" s="16"/>
      <c r="G418" s="16"/>
      <c r="H418" s="647"/>
      <c r="I418" s="647"/>
      <c r="J418" s="647"/>
      <c r="K418" s="647"/>
      <c r="L418" s="647"/>
      <c r="M418" s="647"/>
      <c r="N418" s="647"/>
      <c r="O418" s="647"/>
      <c r="P418" s="647"/>
      <c r="Q418" s="647"/>
      <c r="R418" s="647"/>
      <c r="S418" s="647"/>
      <c r="T418" s="647"/>
      <c r="U418" s="16"/>
      <c r="V418" s="16"/>
      <c r="W418" s="16"/>
      <c r="X418" s="16"/>
      <c r="Y418" s="16"/>
      <c r="Z418" s="16"/>
      <c r="AA418" s="16"/>
      <c r="AB418" s="16"/>
      <c r="AC418" s="16"/>
    </row>
    <row r="419" ht="12.75" customHeight="1" spans="1:29" x14ac:dyDescent="0.25">
      <c r="A419" s="16"/>
      <c r="B419" s="16"/>
      <c r="C419" s="16"/>
      <c r="D419" s="16"/>
      <c r="E419" s="16"/>
      <c r="F419" s="16"/>
      <c r="G419" s="16"/>
      <c r="H419" s="647"/>
      <c r="I419" s="647"/>
      <c r="J419" s="647"/>
      <c r="K419" s="647"/>
      <c r="L419" s="647"/>
      <c r="M419" s="647"/>
      <c r="N419" s="647"/>
      <c r="O419" s="647"/>
      <c r="P419" s="647"/>
      <c r="Q419" s="647"/>
      <c r="R419" s="647"/>
      <c r="S419" s="647"/>
      <c r="T419" s="647"/>
      <c r="U419" s="16"/>
      <c r="V419" s="16"/>
      <c r="W419" s="16"/>
      <c r="X419" s="16"/>
      <c r="Y419" s="16"/>
      <c r="Z419" s="16"/>
      <c r="AA419" s="16"/>
      <c r="AB419" s="16"/>
      <c r="AC419" s="16"/>
    </row>
    <row r="420" ht="12.75" customHeight="1" spans="1:29" x14ac:dyDescent="0.25">
      <c r="A420" s="16"/>
      <c r="B420" s="16"/>
      <c r="C420" s="16"/>
      <c r="D420" s="16"/>
      <c r="E420" s="16"/>
      <c r="F420" s="16"/>
      <c r="G420" s="16"/>
      <c r="H420" s="647"/>
      <c r="I420" s="647"/>
      <c r="J420" s="647"/>
      <c r="K420" s="647"/>
      <c r="L420" s="647"/>
      <c r="M420" s="647"/>
      <c r="N420" s="647"/>
      <c r="O420" s="647"/>
      <c r="P420" s="647"/>
      <c r="Q420" s="647"/>
      <c r="R420" s="647"/>
      <c r="S420" s="647"/>
      <c r="T420" s="647"/>
      <c r="U420" s="16"/>
      <c r="V420" s="16"/>
      <c r="W420" s="16"/>
      <c r="X420" s="16"/>
      <c r="Y420" s="16"/>
      <c r="Z420" s="16"/>
      <c r="AA420" s="16"/>
      <c r="AB420" s="16"/>
      <c r="AC420" s="16"/>
    </row>
    <row r="421" ht="12.75" customHeight="1" spans="1:29" x14ac:dyDescent="0.25">
      <c r="A421" s="16"/>
      <c r="B421" s="16"/>
      <c r="C421" s="16"/>
      <c r="D421" s="16"/>
      <c r="E421" s="16"/>
      <c r="F421" s="16"/>
      <c r="G421" s="16"/>
      <c r="H421" s="647"/>
      <c r="I421" s="647"/>
      <c r="J421" s="647"/>
      <c r="K421" s="647"/>
      <c r="L421" s="647"/>
      <c r="M421" s="647"/>
      <c r="N421" s="647"/>
      <c r="O421" s="647"/>
      <c r="P421" s="647"/>
      <c r="Q421" s="647"/>
      <c r="R421" s="647"/>
      <c r="S421" s="647"/>
      <c r="T421" s="647"/>
      <c r="U421" s="16"/>
      <c r="V421" s="16"/>
      <c r="W421" s="16"/>
      <c r="X421" s="16"/>
      <c r="Y421" s="16"/>
      <c r="Z421" s="16"/>
      <c r="AA421" s="16"/>
      <c r="AB421" s="16"/>
      <c r="AC421" s="16"/>
    </row>
    <row r="422" ht="12.75" customHeight="1" spans="1:29" x14ac:dyDescent="0.25">
      <c r="A422" s="16"/>
      <c r="B422" s="16"/>
      <c r="C422" s="16"/>
      <c r="D422" s="16"/>
      <c r="E422" s="16"/>
      <c r="F422" s="16"/>
      <c r="G422" s="16"/>
      <c r="H422" s="647"/>
      <c r="I422" s="647"/>
      <c r="J422" s="647"/>
      <c r="K422" s="647"/>
      <c r="L422" s="647"/>
      <c r="M422" s="647"/>
      <c r="N422" s="647"/>
      <c r="O422" s="647"/>
      <c r="P422" s="647"/>
      <c r="Q422" s="647"/>
      <c r="R422" s="647"/>
      <c r="S422" s="647"/>
      <c r="T422" s="647"/>
      <c r="U422" s="16"/>
      <c r="V422" s="16"/>
      <c r="W422" s="16"/>
      <c r="X422" s="16"/>
      <c r="Y422" s="16"/>
      <c r="Z422" s="16"/>
      <c r="AA422" s="16"/>
      <c r="AB422" s="16"/>
      <c r="AC422" s="16"/>
    </row>
    <row r="423" ht="12.75" customHeight="1" spans="1:29" x14ac:dyDescent="0.25">
      <c r="A423" s="16"/>
      <c r="B423" s="16"/>
      <c r="C423" s="16"/>
      <c r="D423" s="16"/>
      <c r="E423" s="16"/>
      <c r="F423" s="16"/>
      <c r="G423" s="16"/>
      <c r="H423" s="647"/>
      <c r="I423" s="647"/>
      <c r="J423" s="647"/>
      <c r="K423" s="647"/>
      <c r="L423" s="647"/>
      <c r="M423" s="647"/>
      <c r="N423" s="647"/>
      <c r="O423" s="647"/>
      <c r="P423" s="647"/>
      <c r="Q423" s="647"/>
      <c r="R423" s="647"/>
      <c r="S423" s="647"/>
      <c r="T423" s="647"/>
      <c r="U423" s="16"/>
      <c r="V423" s="16"/>
      <c r="W423" s="16"/>
      <c r="X423" s="16"/>
      <c r="Y423" s="16"/>
      <c r="Z423" s="16"/>
      <c r="AA423" s="16"/>
      <c r="AB423" s="16"/>
      <c r="AC423" s="16"/>
    </row>
    <row r="424" ht="12.75" customHeight="1" spans="1:29" x14ac:dyDescent="0.25">
      <c r="A424" s="16"/>
      <c r="B424" s="16"/>
      <c r="C424" s="16"/>
      <c r="D424" s="16"/>
      <c r="E424" s="16"/>
      <c r="F424" s="16"/>
      <c r="G424" s="16"/>
      <c r="H424" s="647"/>
      <c r="I424" s="647"/>
      <c r="J424" s="647"/>
      <c r="K424" s="647"/>
      <c r="L424" s="647"/>
      <c r="M424" s="647"/>
      <c r="N424" s="647"/>
      <c r="O424" s="647"/>
      <c r="P424" s="647"/>
      <c r="Q424" s="647"/>
      <c r="R424" s="647"/>
      <c r="S424" s="647"/>
      <c r="T424" s="647"/>
      <c r="U424" s="16"/>
      <c r="V424" s="16"/>
      <c r="W424" s="16"/>
      <c r="X424" s="16"/>
      <c r="Y424" s="16"/>
      <c r="Z424" s="16"/>
      <c r="AA424" s="16"/>
      <c r="AB424" s="16"/>
      <c r="AC424" s="16"/>
    </row>
    <row r="425" ht="12.75" customHeight="1" spans="1:29" x14ac:dyDescent="0.25">
      <c r="A425" s="16"/>
      <c r="B425" s="16"/>
      <c r="C425" s="16"/>
      <c r="D425" s="16"/>
      <c r="E425" s="16"/>
      <c r="F425" s="16"/>
      <c r="G425" s="16"/>
      <c r="H425" s="647"/>
      <c r="I425" s="647"/>
      <c r="J425" s="647"/>
      <c r="K425" s="647"/>
      <c r="L425" s="647"/>
      <c r="M425" s="647"/>
      <c r="N425" s="647"/>
      <c r="O425" s="647"/>
      <c r="P425" s="647"/>
      <c r="Q425" s="647"/>
      <c r="R425" s="647"/>
      <c r="S425" s="647"/>
      <c r="T425" s="647"/>
      <c r="U425" s="16"/>
      <c r="V425" s="16"/>
      <c r="W425" s="16"/>
      <c r="X425" s="16"/>
      <c r="Y425" s="16"/>
      <c r="Z425" s="16"/>
      <c r="AA425" s="16"/>
      <c r="AB425" s="16"/>
      <c r="AC425" s="16"/>
    </row>
    <row r="426" ht="12.75" customHeight="1" spans="1:29" x14ac:dyDescent="0.25">
      <c r="A426" s="16"/>
      <c r="B426" s="16"/>
      <c r="C426" s="16"/>
      <c r="D426" s="16"/>
      <c r="E426" s="16"/>
      <c r="F426" s="16"/>
      <c r="G426" s="16"/>
      <c r="H426" s="647"/>
      <c r="I426" s="647"/>
      <c r="J426" s="647"/>
      <c r="K426" s="647"/>
      <c r="L426" s="647"/>
      <c r="M426" s="647"/>
      <c r="N426" s="647"/>
      <c r="O426" s="647"/>
      <c r="P426" s="647"/>
      <c r="Q426" s="647"/>
      <c r="R426" s="647"/>
      <c r="S426" s="647"/>
      <c r="T426" s="647"/>
      <c r="U426" s="16"/>
      <c r="V426" s="16"/>
      <c r="W426" s="16"/>
      <c r="X426" s="16"/>
      <c r="Y426" s="16"/>
      <c r="Z426" s="16"/>
      <c r="AA426" s="16"/>
      <c r="AB426" s="16"/>
      <c r="AC426" s="16"/>
    </row>
    <row r="427" ht="12.75" customHeight="1" spans="1:29" x14ac:dyDescent="0.25">
      <c r="A427" s="16"/>
      <c r="B427" s="16"/>
      <c r="C427" s="16"/>
      <c r="D427" s="16"/>
      <c r="E427" s="16"/>
      <c r="F427" s="16"/>
      <c r="G427" s="16"/>
      <c r="H427" s="647"/>
      <c r="I427" s="647"/>
      <c r="J427" s="647"/>
      <c r="K427" s="647"/>
      <c r="L427" s="647"/>
      <c r="M427" s="647"/>
      <c r="N427" s="647"/>
      <c r="O427" s="647"/>
      <c r="P427" s="647"/>
      <c r="Q427" s="647"/>
      <c r="R427" s="647"/>
      <c r="S427" s="647"/>
      <c r="T427" s="647"/>
      <c r="U427" s="16"/>
      <c r="V427" s="16"/>
      <c r="W427" s="16"/>
      <c r="X427" s="16"/>
      <c r="Y427" s="16"/>
      <c r="Z427" s="16"/>
      <c r="AA427" s="16"/>
      <c r="AB427" s="16"/>
      <c r="AC427" s="16"/>
    </row>
    <row r="428" ht="12.75" customHeight="1" spans="1:29" x14ac:dyDescent="0.25">
      <c r="A428" s="16"/>
      <c r="B428" s="16"/>
      <c r="C428" s="16"/>
      <c r="D428" s="16"/>
      <c r="E428" s="16"/>
      <c r="F428" s="16"/>
      <c r="G428" s="16"/>
      <c r="H428" s="647"/>
      <c r="I428" s="647"/>
      <c r="J428" s="647"/>
      <c r="K428" s="647"/>
      <c r="L428" s="647"/>
      <c r="M428" s="647"/>
      <c r="N428" s="647"/>
      <c r="O428" s="647"/>
      <c r="P428" s="647"/>
      <c r="Q428" s="647"/>
      <c r="R428" s="647"/>
      <c r="S428" s="647"/>
      <c r="T428" s="647"/>
      <c r="U428" s="16"/>
      <c r="V428" s="16"/>
      <c r="W428" s="16"/>
      <c r="X428" s="16"/>
      <c r="Y428" s="16"/>
      <c r="Z428" s="16"/>
      <c r="AA428" s="16"/>
      <c r="AB428" s="16"/>
      <c r="AC428" s="16"/>
    </row>
    <row r="429" ht="12.75" customHeight="1" spans="1:29" x14ac:dyDescent="0.25">
      <c r="A429" s="16"/>
      <c r="B429" s="16"/>
      <c r="C429" s="16"/>
      <c r="D429" s="16"/>
      <c r="E429" s="16"/>
      <c r="F429" s="16"/>
      <c r="G429" s="16"/>
      <c r="H429" s="647"/>
      <c r="I429" s="647"/>
      <c r="J429" s="647"/>
      <c r="K429" s="647"/>
      <c r="L429" s="647"/>
      <c r="M429" s="647"/>
      <c r="N429" s="647"/>
      <c r="O429" s="647"/>
      <c r="P429" s="647"/>
      <c r="Q429" s="647"/>
      <c r="R429" s="647"/>
      <c r="S429" s="647"/>
      <c r="T429" s="647"/>
      <c r="U429" s="16"/>
      <c r="V429" s="16"/>
      <c r="W429" s="16"/>
      <c r="X429" s="16"/>
      <c r="Y429" s="16"/>
      <c r="Z429" s="16"/>
      <c r="AA429" s="16"/>
      <c r="AB429" s="16"/>
      <c r="AC429" s="16"/>
    </row>
    <row r="430" ht="12.75" customHeight="1" spans="1:29" x14ac:dyDescent="0.25">
      <c r="A430" s="16"/>
      <c r="B430" s="16"/>
      <c r="C430" s="16"/>
      <c r="D430" s="16"/>
      <c r="E430" s="16"/>
      <c r="F430" s="16"/>
      <c r="G430" s="16"/>
      <c r="H430" s="647"/>
      <c r="I430" s="647"/>
      <c r="J430" s="647"/>
      <c r="K430" s="647"/>
      <c r="L430" s="647"/>
      <c r="M430" s="647"/>
      <c r="N430" s="647"/>
      <c r="O430" s="647"/>
      <c r="P430" s="647"/>
      <c r="Q430" s="647"/>
      <c r="R430" s="647"/>
      <c r="S430" s="647"/>
      <c r="T430" s="647"/>
      <c r="U430" s="16"/>
      <c r="V430" s="16"/>
      <c r="W430" s="16"/>
      <c r="X430" s="16"/>
      <c r="Y430" s="16"/>
      <c r="Z430" s="16"/>
      <c r="AA430" s="16"/>
      <c r="AB430" s="16"/>
      <c r="AC430" s="16"/>
    </row>
    <row r="431" ht="12.75" customHeight="1" spans="1:29" x14ac:dyDescent="0.25">
      <c r="A431" s="16"/>
      <c r="B431" s="16"/>
      <c r="C431" s="16"/>
      <c r="D431" s="16"/>
      <c r="E431" s="16"/>
      <c r="F431" s="16"/>
      <c r="G431" s="16"/>
      <c r="H431" s="647"/>
      <c r="I431" s="647"/>
      <c r="J431" s="647"/>
      <c r="K431" s="647"/>
      <c r="L431" s="647"/>
      <c r="M431" s="647"/>
      <c r="N431" s="647"/>
      <c r="O431" s="647"/>
      <c r="P431" s="647"/>
      <c r="Q431" s="647"/>
      <c r="R431" s="647"/>
      <c r="S431" s="647"/>
      <c r="T431" s="647"/>
      <c r="U431" s="16"/>
      <c r="V431" s="16"/>
      <c r="W431" s="16"/>
      <c r="X431" s="16"/>
      <c r="Y431" s="16"/>
      <c r="Z431" s="16"/>
      <c r="AA431" s="16"/>
      <c r="AB431" s="16"/>
      <c r="AC431" s="16"/>
    </row>
    <row r="432" ht="12.75" customHeight="1" spans="1:29" x14ac:dyDescent="0.25">
      <c r="A432" s="16"/>
      <c r="B432" s="16"/>
      <c r="C432" s="16"/>
      <c r="D432" s="16"/>
      <c r="E432" s="16"/>
      <c r="F432" s="16"/>
      <c r="G432" s="16"/>
      <c r="H432" s="647"/>
      <c r="I432" s="647"/>
      <c r="J432" s="647"/>
      <c r="K432" s="647"/>
      <c r="L432" s="647"/>
      <c r="M432" s="647"/>
      <c r="N432" s="647"/>
      <c r="O432" s="647"/>
      <c r="P432" s="647"/>
      <c r="Q432" s="647"/>
      <c r="R432" s="647"/>
      <c r="S432" s="647"/>
      <c r="T432" s="647"/>
      <c r="U432" s="16"/>
      <c r="V432" s="16"/>
      <c r="W432" s="16"/>
      <c r="X432" s="16"/>
      <c r="Y432" s="16"/>
      <c r="Z432" s="16"/>
      <c r="AA432" s="16"/>
      <c r="AB432" s="16"/>
      <c r="AC432" s="16"/>
    </row>
    <row r="433" ht="12.75" customHeight="1" spans="1:29" x14ac:dyDescent="0.25">
      <c r="A433" s="16"/>
      <c r="B433" s="16"/>
      <c r="C433" s="16"/>
      <c r="D433" s="16"/>
      <c r="E433" s="16"/>
      <c r="F433" s="16"/>
      <c r="G433" s="16"/>
      <c r="H433" s="647"/>
      <c r="I433" s="647"/>
      <c r="J433" s="647"/>
      <c r="K433" s="647"/>
      <c r="L433" s="647"/>
      <c r="M433" s="647"/>
      <c r="N433" s="647"/>
      <c r="O433" s="647"/>
      <c r="P433" s="647"/>
      <c r="Q433" s="647"/>
      <c r="R433" s="647"/>
      <c r="S433" s="647"/>
      <c r="T433" s="647"/>
      <c r="U433" s="16"/>
      <c r="V433" s="16"/>
      <c r="W433" s="16"/>
      <c r="X433" s="16"/>
      <c r="Y433" s="16"/>
      <c r="Z433" s="16"/>
      <c r="AA433" s="16"/>
      <c r="AB433" s="16"/>
      <c r="AC433" s="16"/>
    </row>
    <row r="434" ht="12.75" customHeight="1" spans="1:29" x14ac:dyDescent="0.25">
      <c r="A434" s="16"/>
      <c r="B434" s="16"/>
      <c r="C434" s="16"/>
      <c r="D434" s="16"/>
      <c r="E434" s="16"/>
      <c r="F434" s="16"/>
      <c r="G434" s="16"/>
      <c r="H434" s="647"/>
      <c r="I434" s="647"/>
      <c r="J434" s="647"/>
      <c r="K434" s="647"/>
      <c r="L434" s="647"/>
      <c r="M434" s="647"/>
      <c r="N434" s="647"/>
      <c r="O434" s="647"/>
      <c r="P434" s="647"/>
      <c r="Q434" s="647"/>
      <c r="R434" s="647"/>
      <c r="S434" s="647"/>
      <c r="T434" s="647"/>
      <c r="U434" s="16"/>
      <c r="V434" s="16"/>
      <c r="W434" s="16"/>
      <c r="X434" s="16"/>
      <c r="Y434" s="16"/>
      <c r="Z434" s="16"/>
      <c r="AA434" s="16"/>
      <c r="AB434" s="16"/>
      <c r="AC434" s="16"/>
    </row>
    <row r="435" ht="12.75" customHeight="1" spans="1:29" x14ac:dyDescent="0.25">
      <c r="A435" s="16"/>
      <c r="B435" s="16"/>
      <c r="C435" s="16"/>
      <c r="D435" s="16"/>
      <c r="E435" s="16"/>
      <c r="F435" s="16"/>
      <c r="G435" s="16"/>
      <c r="H435" s="647"/>
      <c r="I435" s="647"/>
      <c r="J435" s="647"/>
      <c r="K435" s="647"/>
      <c r="L435" s="647"/>
      <c r="M435" s="647"/>
      <c r="N435" s="647"/>
      <c r="O435" s="647"/>
      <c r="P435" s="647"/>
      <c r="Q435" s="647"/>
      <c r="R435" s="647"/>
      <c r="S435" s="647"/>
      <c r="T435" s="647"/>
      <c r="U435" s="16"/>
      <c r="V435" s="16"/>
      <c r="W435" s="16"/>
      <c r="X435" s="16"/>
      <c r="Y435" s="16"/>
      <c r="Z435" s="16"/>
      <c r="AA435" s="16"/>
      <c r="AB435" s="16"/>
      <c r="AC435" s="16"/>
    </row>
    <row r="436" ht="12.75" customHeight="1" spans="1:29" x14ac:dyDescent="0.25">
      <c r="A436" s="16"/>
      <c r="B436" s="16"/>
      <c r="C436" s="16"/>
      <c r="D436" s="16"/>
      <c r="E436" s="16"/>
      <c r="F436" s="16"/>
      <c r="G436" s="16"/>
      <c r="H436" s="647"/>
      <c r="I436" s="647"/>
      <c r="J436" s="647"/>
      <c r="K436" s="647"/>
      <c r="L436" s="647"/>
      <c r="M436" s="647"/>
      <c r="N436" s="647"/>
      <c r="O436" s="647"/>
      <c r="P436" s="647"/>
      <c r="Q436" s="647"/>
      <c r="R436" s="647"/>
      <c r="S436" s="647"/>
      <c r="T436" s="647"/>
      <c r="U436" s="16"/>
      <c r="V436" s="16"/>
      <c r="W436" s="16"/>
      <c r="X436" s="16"/>
      <c r="Y436" s="16"/>
      <c r="Z436" s="16"/>
      <c r="AA436" s="16"/>
      <c r="AB436" s="16"/>
      <c r="AC436" s="16"/>
    </row>
    <row r="437" ht="12.75" customHeight="1" spans="1:29" x14ac:dyDescent="0.25">
      <c r="A437" s="16"/>
      <c r="B437" s="16"/>
      <c r="C437" s="16"/>
      <c r="D437" s="16"/>
      <c r="E437" s="16"/>
      <c r="F437" s="16"/>
      <c r="G437" s="16"/>
      <c r="H437" s="647"/>
      <c r="I437" s="647"/>
      <c r="J437" s="647"/>
      <c r="K437" s="647"/>
      <c r="L437" s="647"/>
      <c r="M437" s="647"/>
      <c r="N437" s="647"/>
      <c r="O437" s="647"/>
      <c r="P437" s="647"/>
      <c r="Q437" s="647"/>
      <c r="R437" s="647"/>
      <c r="S437" s="647"/>
      <c r="T437" s="647"/>
      <c r="U437" s="16"/>
      <c r="V437" s="16"/>
      <c r="W437" s="16"/>
      <c r="X437" s="16"/>
      <c r="Y437" s="16"/>
      <c r="Z437" s="16"/>
      <c r="AA437" s="16"/>
      <c r="AB437" s="16"/>
      <c r="AC437" s="16"/>
    </row>
    <row r="438" ht="12.75" customHeight="1" spans="1:29" x14ac:dyDescent="0.25">
      <c r="A438" s="16"/>
      <c r="B438" s="16"/>
      <c r="C438" s="16"/>
      <c r="D438" s="16"/>
      <c r="E438" s="16"/>
      <c r="F438" s="16"/>
      <c r="G438" s="16"/>
      <c r="H438" s="647"/>
      <c r="I438" s="647"/>
      <c r="J438" s="647"/>
      <c r="K438" s="647"/>
      <c r="L438" s="647"/>
      <c r="M438" s="647"/>
      <c r="N438" s="647"/>
      <c r="O438" s="647"/>
      <c r="P438" s="647"/>
      <c r="Q438" s="647"/>
      <c r="R438" s="647"/>
      <c r="S438" s="647"/>
      <c r="T438" s="647"/>
      <c r="U438" s="16"/>
      <c r="V438" s="16"/>
      <c r="W438" s="16"/>
      <c r="X438" s="16"/>
      <c r="Y438" s="16"/>
      <c r="Z438" s="16"/>
      <c r="AA438" s="16"/>
      <c r="AB438" s="16"/>
      <c r="AC438" s="16"/>
    </row>
    <row r="439" ht="12.75" customHeight="1" spans="1:29" x14ac:dyDescent="0.25">
      <c r="A439" s="16"/>
      <c r="B439" s="16"/>
      <c r="C439" s="16"/>
      <c r="D439" s="16"/>
      <c r="E439" s="16"/>
      <c r="F439" s="16"/>
      <c r="G439" s="16"/>
      <c r="H439" s="647"/>
      <c r="I439" s="647"/>
      <c r="J439" s="647"/>
      <c r="K439" s="647"/>
      <c r="L439" s="647"/>
      <c r="M439" s="647"/>
      <c r="N439" s="647"/>
      <c r="O439" s="647"/>
      <c r="P439" s="647"/>
      <c r="Q439" s="647"/>
      <c r="R439" s="647"/>
      <c r="S439" s="647"/>
      <c r="T439" s="647"/>
      <c r="U439" s="16"/>
      <c r="V439" s="16"/>
      <c r="W439" s="16"/>
      <c r="X439" s="16"/>
      <c r="Y439" s="16"/>
      <c r="Z439" s="16"/>
      <c r="AA439" s="16"/>
      <c r="AB439" s="16"/>
      <c r="AC439" s="16"/>
    </row>
    <row r="440" ht="12.75" customHeight="1" spans="1:29" x14ac:dyDescent="0.25">
      <c r="A440" s="16"/>
      <c r="B440" s="16"/>
      <c r="C440" s="16"/>
      <c r="D440" s="16"/>
      <c r="E440" s="16"/>
      <c r="F440" s="16"/>
      <c r="G440" s="16"/>
      <c r="H440" s="647"/>
      <c r="I440" s="647"/>
      <c r="J440" s="647"/>
      <c r="K440" s="647"/>
      <c r="L440" s="647"/>
      <c r="M440" s="647"/>
      <c r="N440" s="647"/>
      <c r="O440" s="647"/>
      <c r="P440" s="647"/>
      <c r="Q440" s="647"/>
      <c r="R440" s="647"/>
      <c r="S440" s="647"/>
      <c r="T440" s="647"/>
      <c r="U440" s="16"/>
      <c r="V440" s="16"/>
      <c r="W440" s="16"/>
      <c r="X440" s="16"/>
      <c r="Y440" s="16"/>
      <c r="Z440" s="16"/>
      <c r="AA440" s="16"/>
      <c r="AB440" s="16"/>
      <c r="AC440" s="16"/>
    </row>
    <row r="441" ht="12.75" customHeight="1" spans="1:29" x14ac:dyDescent="0.25">
      <c r="A441" s="16"/>
      <c r="B441" s="16"/>
      <c r="C441" s="16"/>
      <c r="D441" s="16"/>
      <c r="E441" s="16"/>
      <c r="F441" s="16"/>
      <c r="G441" s="16"/>
      <c r="H441" s="647"/>
      <c r="I441" s="647"/>
      <c r="J441" s="647"/>
      <c r="K441" s="647"/>
      <c r="L441" s="647"/>
      <c r="M441" s="647"/>
      <c r="N441" s="647"/>
      <c r="O441" s="647"/>
      <c r="P441" s="647"/>
      <c r="Q441" s="647"/>
      <c r="R441" s="647"/>
      <c r="S441" s="647"/>
      <c r="T441" s="647"/>
      <c r="U441" s="16"/>
      <c r="V441" s="16"/>
      <c r="W441" s="16"/>
      <c r="X441" s="16"/>
      <c r="Y441" s="16"/>
      <c r="Z441" s="16"/>
      <c r="AA441" s="16"/>
      <c r="AB441" s="16"/>
      <c r="AC441" s="16"/>
    </row>
    <row r="442" ht="12.75" customHeight="1" spans="1:29" x14ac:dyDescent="0.25">
      <c r="A442" s="16"/>
      <c r="B442" s="16"/>
      <c r="C442" s="16"/>
      <c r="D442" s="16"/>
      <c r="E442" s="16"/>
      <c r="F442" s="16"/>
      <c r="G442" s="16"/>
      <c r="H442" s="647"/>
      <c r="I442" s="647"/>
      <c r="J442" s="647"/>
      <c r="K442" s="647"/>
      <c r="L442" s="647"/>
      <c r="M442" s="647"/>
      <c r="N442" s="647"/>
      <c r="O442" s="647"/>
      <c r="P442" s="647"/>
      <c r="Q442" s="647"/>
      <c r="R442" s="647"/>
      <c r="S442" s="647"/>
      <c r="T442" s="647"/>
      <c r="U442" s="16"/>
      <c r="V442" s="16"/>
      <c r="W442" s="16"/>
      <c r="X442" s="16"/>
      <c r="Y442" s="16"/>
      <c r="Z442" s="16"/>
      <c r="AA442" s="16"/>
      <c r="AB442" s="16"/>
      <c r="AC442" s="16"/>
    </row>
    <row r="443" ht="12.75" customHeight="1" spans="1:29" x14ac:dyDescent="0.25">
      <c r="A443" s="16"/>
      <c r="B443" s="16"/>
      <c r="C443" s="16"/>
      <c r="D443" s="16"/>
      <c r="E443" s="16"/>
      <c r="F443" s="16"/>
      <c r="G443" s="16"/>
      <c r="H443" s="647"/>
      <c r="I443" s="647"/>
      <c r="J443" s="647"/>
      <c r="K443" s="647"/>
      <c r="L443" s="647"/>
      <c r="M443" s="647"/>
      <c r="N443" s="647"/>
      <c r="O443" s="647"/>
      <c r="P443" s="647"/>
      <c r="Q443" s="647"/>
      <c r="R443" s="647"/>
      <c r="S443" s="647"/>
      <c r="T443" s="647"/>
      <c r="U443" s="16"/>
      <c r="V443" s="16"/>
      <c r="W443" s="16"/>
      <c r="X443" s="16"/>
      <c r="Y443" s="16"/>
      <c r="Z443" s="16"/>
      <c r="AA443" s="16"/>
      <c r="AB443" s="16"/>
      <c r="AC443" s="16"/>
    </row>
    <row r="444" ht="12.75" customHeight="1" spans="1:29" x14ac:dyDescent="0.25">
      <c r="A444" s="16"/>
      <c r="B444" s="16"/>
      <c r="C444" s="16"/>
      <c r="D444" s="16"/>
      <c r="E444" s="16"/>
      <c r="F444" s="16"/>
      <c r="G444" s="16"/>
      <c r="H444" s="647"/>
      <c r="I444" s="647"/>
      <c r="J444" s="647"/>
      <c r="K444" s="647"/>
      <c r="L444" s="647"/>
      <c r="M444" s="647"/>
      <c r="N444" s="647"/>
      <c r="O444" s="647"/>
      <c r="P444" s="647"/>
      <c r="Q444" s="647"/>
      <c r="R444" s="647"/>
      <c r="S444" s="647"/>
      <c r="T444" s="647"/>
      <c r="U444" s="16"/>
      <c r="V444" s="16"/>
      <c r="W444" s="16"/>
      <c r="X444" s="16"/>
      <c r="Y444" s="16"/>
      <c r="Z444" s="16"/>
      <c r="AA444" s="16"/>
      <c r="AB444" s="16"/>
      <c r="AC444" s="16"/>
    </row>
    <row r="445" ht="12.75" customHeight="1" spans="1:29" x14ac:dyDescent="0.25">
      <c r="A445" s="16"/>
      <c r="B445" s="16"/>
      <c r="C445" s="16"/>
      <c r="D445" s="16"/>
      <c r="E445" s="16"/>
      <c r="F445" s="16"/>
      <c r="G445" s="16"/>
      <c r="H445" s="647"/>
      <c r="I445" s="647"/>
      <c r="J445" s="647"/>
      <c r="K445" s="647"/>
      <c r="L445" s="647"/>
      <c r="M445" s="647"/>
      <c r="N445" s="647"/>
      <c r="O445" s="647"/>
      <c r="P445" s="647"/>
      <c r="Q445" s="647"/>
      <c r="R445" s="647"/>
      <c r="S445" s="647"/>
      <c r="T445" s="647"/>
      <c r="U445" s="16"/>
      <c r="V445" s="16"/>
      <c r="W445" s="16"/>
      <c r="X445" s="16"/>
      <c r="Y445" s="16"/>
      <c r="Z445" s="16"/>
      <c r="AA445" s="16"/>
      <c r="AB445" s="16"/>
      <c r="AC445" s="16"/>
    </row>
    <row r="446" ht="12.75" customHeight="1" spans="1:29" x14ac:dyDescent="0.25">
      <c r="A446" s="16"/>
      <c r="B446" s="16"/>
      <c r="C446" s="16"/>
      <c r="D446" s="16"/>
      <c r="E446" s="16"/>
      <c r="F446" s="16"/>
      <c r="G446" s="16"/>
      <c r="H446" s="647"/>
      <c r="I446" s="647"/>
      <c r="J446" s="647"/>
      <c r="K446" s="647"/>
      <c r="L446" s="647"/>
      <c r="M446" s="647"/>
      <c r="N446" s="647"/>
      <c r="O446" s="647"/>
      <c r="P446" s="647"/>
      <c r="Q446" s="647"/>
      <c r="R446" s="647"/>
      <c r="S446" s="647"/>
      <c r="T446" s="647"/>
      <c r="U446" s="16"/>
      <c r="V446" s="16"/>
      <c r="W446" s="16"/>
      <c r="X446" s="16"/>
      <c r="Y446" s="16"/>
      <c r="Z446" s="16"/>
      <c r="AA446" s="16"/>
      <c r="AB446" s="16"/>
      <c r="AC446" s="16"/>
    </row>
    <row r="447" ht="12.75" customHeight="1" spans="1:29" x14ac:dyDescent="0.25">
      <c r="A447" s="16"/>
      <c r="B447" s="16"/>
      <c r="C447" s="16"/>
      <c r="D447" s="16"/>
      <c r="E447" s="16"/>
      <c r="F447" s="16"/>
      <c r="G447" s="16"/>
      <c r="H447" s="647"/>
      <c r="I447" s="647"/>
      <c r="J447" s="647"/>
      <c r="K447" s="647"/>
      <c r="L447" s="647"/>
      <c r="M447" s="647"/>
      <c r="N447" s="647"/>
      <c r="O447" s="647"/>
      <c r="P447" s="647"/>
      <c r="Q447" s="647"/>
      <c r="R447" s="647"/>
      <c r="S447" s="647"/>
      <c r="T447" s="647"/>
      <c r="U447" s="16"/>
      <c r="V447" s="16"/>
      <c r="W447" s="16"/>
      <c r="X447" s="16"/>
      <c r="Y447" s="16"/>
      <c r="Z447" s="16"/>
      <c r="AA447" s="16"/>
      <c r="AB447" s="16"/>
      <c r="AC447" s="16"/>
    </row>
    <row r="448" ht="12.75" customHeight="1" spans="1:29" x14ac:dyDescent="0.25">
      <c r="A448" s="16"/>
      <c r="B448" s="16"/>
      <c r="C448" s="16"/>
      <c r="D448" s="16"/>
      <c r="E448" s="16"/>
      <c r="F448" s="16"/>
      <c r="G448" s="16"/>
      <c r="H448" s="647"/>
      <c r="I448" s="647"/>
      <c r="J448" s="647"/>
      <c r="K448" s="647"/>
      <c r="L448" s="647"/>
      <c r="M448" s="647"/>
      <c r="N448" s="647"/>
      <c r="O448" s="647"/>
      <c r="P448" s="647"/>
      <c r="Q448" s="647"/>
      <c r="R448" s="647"/>
      <c r="S448" s="647"/>
      <c r="T448" s="647"/>
      <c r="U448" s="16"/>
      <c r="V448" s="16"/>
      <c r="W448" s="16"/>
      <c r="X448" s="16"/>
      <c r="Y448" s="16"/>
      <c r="Z448" s="16"/>
      <c r="AA448" s="16"/>
      <c r="AB448" s="16"/>
      <c r="AC448" s="16"/>
    </row>
    <row r="449" ht="12.75" customHeight="1" spans="1:29" x14ac:dyDescent="0.25">
      <c r="A449" s="16"/>
      <c r="B449" s="16"/>
      <c r="C449" s="16"/>
      <c r="D449" s="16"/>
      <c r="E449" s="16"/>
      <c r="F449" s="16"/>
      <c r="G449" s="16"/>
      <c r="H449" s="647"/>
      <c r="I449" s="647"/>
      <c r="J449" s="647"/>
      <c r="K449" s="647"/>
      <c r="L449" s="647"/>
      <c r="M449" s="647"/>
      <c r="N449" s="647"/>
      <c r="O449" s="647"/>
      <c r="P449" s="647"/>
      <c r="Q449" s="647"/>
      <c r="R449" s="647"/>
      <c r="S449" s="647"/>
      <c r="T449" s="647"/>
      <c r="U449" s="16"/>
      <c r="V449" s="16"/>
      <c r="W449" s="16"/>
      <c r="X449" s="16"/>
      <c r="Y449" s="16"/>
      <c r="Z449" s="16"/>
      <c r="AA449" s="16"/>
      <c r="AB449" s="16"/>
      <c r="AC449" s="16"/>
    </row>
    <row r="450" ht="12.75" customHeight="1" spans="1:29" x14ac:dyDescent="0.25">
      <c r="A450" s="16"/>
      <c r="B450" s="16"/>
      <c r="C450" s="16"/>
      <c r="D450" s="16"/>
      <c r="E450" s="16"/>
      <c r="F450" s="16"/>
      <c r="G450" s="16"/>
      <c r="H450" s="647"/>
      <c r="I450" s="647"/>
      <c r="J450" s="647"/>
      <c r="K450" s="647"/>
      <c r="L450" s="647"/>
      <c r="M450" s="647"/>
      <c r="N450" s="647"/>
      <c r="O450" s="647"/>
      <c r="P450" s="647"/>
      <c r="Q450" s="647"/>
      <c r="R450" s="647"/>
      <c r="S450" s="647"/>
      <c r="T450" s="647"/>
      <c r="U450" s="16"/>
      <c r="V450" s="16"/>
      <c r="W450" s="16"/>
      <c r="X450" s="16"/>
      <c r="Y450" s="16"/>
      <c r="Z450" s="16"/>
      <c r="AA450" s="16"/>
      <c r="AB450" s="16"/>
      <c r="AC450" s="16"/>
    </row>
    <row r="451" ht="12.75" customHeight="1" spans="1:29" x14ac:dyDescent="0.25">
      <c r="A451" s="16"/>
      <c r="B451" s="16"/>
      <c r="C451" s="16"/>
      <c r="D451" s="16"/>
      <c r="E451" s="16"/>
      <c r="F451" s="16"/>
      <c r="G451" s="16"/>
      <c r="H451" s="647"/>
      <c r="I451" s="647"/>
      <c r="J451" s="647"/>
      <c r="K451" s="647"/>
      <c r="L451" s="647"/>
      <c r="M451" s="647"/>
      <c r="N451" s="647"/>
      <c r="O451" s="647"/>
      <c r="P451" s="647"/>
      <c r="Q451" s="647"/>
      <c r="R451" s="647"/>
      <c r="S451" s="647"/>
      <c r="T451" s="647"/>
      <c r="U451" s="16"/>
      <c r="V451" s="16"/>
      <c r="W451" s="16"/>
      <c r="X451" s="16"/>
      <c r="Y451" s="16"/>
      <c r="Z451" s="16"/>
      <c r="AA451" s="16"/>
      <c r="AB451" s="16"/>
      <c r="AC451" s="16"/>
    </row>
    <row r="452" ht="12.75" customHeight="1" spans="1:29" x14ac:dyDescent="0.25">
      <c r="A452" s="16"/>
      <c r="B452" s="16"/>
      <c r="C452" s="16"/>
      <c r="D452" s="16"/>
      <c r="E452" s="16"/>
      <c r="F452" s="16"/>
      <c r="G452" s="16"/>
      <c r="H452" s="647"/>
      <c r="I452" s="647"/>
      <c r="J452" s="647"/>
      <c r="K452" s="647"/>
      <c r="L452" s="647"/>
      <c r="M452" s="647"/>
      <c r="N452" s="647"/>
      <c r="O452" s="647"/>
      <c r="P452" s="647"/>
      <c r="Q452" s="647"/>
      <c r="R452" s="647"/>
      <c r="S452" s="647"/>
      <c r="T452" s="647"/>
      <c r="U452" s="16"/>
      <c r="V452" s="16"/>
      <c r="W452" s="16"/>
      <c r="X452" s="16"/>
      <c r="Y452" s="16"/>
      <c r="Z452" s="16"/>
      <c r="AA452" s="16"/>
      <c r="AB452" s="16"/>
      <c r="AC452" s="16"/>
    </row>
    <row r="453" ht="12.75" customHeight="1" spans="1:29" x14ac:dyDescent="0.25">
      <c r="A453" s="16"/>
      <c r="B453" s="16"/>
      <c r="C453" s="16"/>
      <c r="D453" s="16"/>
      <c r="E453" s="16"/>
      <c r="F453" s="16"/>
      <c r="G453" s="16"/>
      <c r="H453" s="647"/>
      <c r="I453" s="647"/>
      <c r="J453" s="647"/>
      <c r="K453" s="647"/>
      <c r="L453" s="647"/>
      <c r="M453" s="647"/>
      <c r="N453" s="647"/>
      <c r="O453" s="647"/>
      <c r="P453" s="647"/>
      <c r="Q453" s="647"/>
      <c r="R453" s="647"/>
      <c r="S453" s="647"/>
      <c r="T453" s="647"/>
      <c r="U453" s="16"/>
      <c r="V453" s="16"/>
      <c r="W453" s="16"/>
      <c r="X453" s="16"/>
      <c r="Y453" s="16"/>
      <c r="Z453" s="16"/>
      <c r="AA453" s="16"/>
      <c r="AB453" s="16"/>
      <c r="AC453" s="16"/>
    </row>
    <row r="454" ht="12.75" customHeight="1" spans="1:29" x14ac:dyDescent="0.25">
      <c r="A454" s="16"/>
      <c r="B454" s="16"/>
      <c r="C454" s="16"/>
      <c r="D454" s="16"/>
      <c r="E454" s="16"/>
      <c r="F454" s="16"/>
      <c r="G454" s="16"/>
      <c r="H454" s="647"/>
      <c r="I454" s="647"/>
      <c r="J454" s="647"/>
      <c r="K454" s="647"/>
      <c r="L454" s="647"/>
      <c r="M454" s="647"/>
      <c r="N454" s="647"/>
      <c r="O454" s="647"/>
      <c r="P454" s="647"/>
      <c r="Q454" s="647"/>
      <c r="R454" s="647"/>
      <c r="S454" s="647"/>
      <c r="T454" s="647"/>
      <c r="U454" s="16"/>
      <c r="V454" s="16"/>
      <c r="W454" s="16"/>
      <c r="X454" s="16"/>
      <c r="Y454" s="16"/>
      <c r="Z454" s="16"/>
      <c r="AA454" s="16"/>
      <c r="AB454" s="16"/>
      <c r="AC454" s="16"/>
    </row>
    <row r="455" ht="12.75" customHeight="1" spans="1:29" x14ac:dyDescent="0.25">
      <c r="A455" s="16"/>
      <c r="B455" s="16"/>
      <c r="C455" s="16"/>
      <c r="D455" s="16"/>
      <c r="E455" s="16"/>
      <c r="F455" s="16"/>
      <c r="G455" s="16"/>
      <c r="H455" s="647"/>
      <c r="I455" s="647"/>
      <c r="J455" s="647"/>
      <c r="K455" s="647"/>
      <c r="L455" s="647"/>
      <c r="M455" s="647"/>
      <c r="N455" s="647"/>
      <c r="O455" s="647"/>
      <c r="P455" s="647"/>
      <c r="Q455" s="647"/>
      <c r="R455" s="647"/>
      <c r="S455" s="647"/>
      <c r="T455" s="647"/>
      <c r="U455" s="16"/>
      <c r="V455" s="16"/>
      <c r="W455" s="16"/>
      <c r="X455" s="16"/>
      <c r="Y455" s="16"/>
      <c r="Z455" s="16"/>
      <c r="AA455" s="16"/>
      <c r="AB455" s="16"/>
      <c r="AC455" s="16"/>
    </row>
    <row r="456" ht="12.75" customHeight="1" spans="1:29" x14ac:dyDescent="0.25">
      <c r="A456" s="16"/>
      <c r="B456" s="16"/>
      <c r="C456" s="16"/>
      <c r="D456" s="16"/>
      <c r="E456" s="16"/>
      <c r="F456" s="16"/>
      <c r="G456" s="16"/>
      <c r="H456" s="647"/>
      <c r="I456" s="647"/>
      <c r="J456" s="647"/>
      <c r="K456" s="647"/>
      <c r="L456" s="647"/>
      <c r="M456" s="647"/>
      <c r="N456" s="647"/>
      <c r="O456" s="647"/>
      <c r="P456" s="647"/>
      <c r="Q456" s="647"/>
      <c r="R456" s="647"/>
      <c r="S456" s="647"/>
      <c r="T456" s="647"/>
      <c r="U456" s="16"/>
      <c r="V456" s="16"/>
      <c r="W456" s="16"/>
      <c r="X456" s="16"/>
      <c r="Y456" s="16"/>
      <c r="Z456" s="16"/>
      <c r="AA456" s="16"/>
      <c r="AB456" s="16"/>
      <c r="AC456" s="16"/>
    </row>
    <row r="457" ht="12.75" customHeight="1" spans="1:29" x14ac:dyDescent="0.25">
      <c r="A457" s="16"/>
      <c r="B457" s="16"/>
      <c r="C457" s="16"/>
      <c r="D457" s="16"/>
      <c r="E457" s="16"/>
      <c r="F457" s="16"/>
      <c r="G457" s="16"/>
      <c r="H457" s="647"/>
      <c r="I457" s="647"/>
      <c r="J457" s="647"/>
      <c r="K457" s="647"/>
      <c r="L457" s="647"/>
      <c r="M457" s="647"/>
      <c r="N457" s="647"/>
      <c r="O457" s="647"/>
      <c r="P457" s="647"/>
      <c r="Q457" s="647"/>
      <c r="R457" s="647"/>
      <c r="S457" s="647"/>
      <c r="T457" s="647"/>
      <c r="U457" s="16"/>
      <c r="V457" s="16"/>
      <c r="W457" s="16"/>
      <c r="X457" s="16"/>
      <c r="Y457" s="16"/>
      <c r="Z457" s="16"/>
      <c r="AA457" s="16"/>
      <c r="AB457" s="16"/>
      <c r="AC457" s="16"/>
    </row>
    <row r="458" ht="12.75" customHeight="1" spans="1:29" x14ac:dyDescent="0.25">
      <c r="A458" s="16"/>
      <c r="B458" s="16"/>
      <c r="C458" s="16"/>
      <c r="D458" s="16"/>
      <c r="E458" s="16"/>
      <c r="F458" s="16"/>
      <c r="G458" s="16"/>
      <c r="H458" s="647"/>
      <c r="I458" s="647"/>
      <c r="J458" s="647"/>
      <c r="K458" s="647"/>
      <c r="L458" s="647"/>
      <c r="M458" s="647"/>
      <c r="N458" s="647"/>
      <c r="O458" s="647"/>
      <c r="P458" s="647"/>
      <c r="Q458" s="647"/>
      <c r="R458" s="647"/>
      <c r="S458" s="647"/>
      <c r="T458" s="647"/>
      <c r="U458" s="16"/>
      <c r="V458" s="16"/>
      <c r="W458" s="16"/>
      <c r="X458" s="16"/>
      <c r="Y458" s="16"/>
      <c r="Z458" s="16"/>
      <c r="AA458" s="16"/>
      <c r="AB458" s="16"/>
      <c r="AC458" s="16"/>
    </row>
    <row r="459" ht="12.75" customHeight="1" spans="1:29" x14ac:dyDescent="0.25">
      <c r="A459" s="16"/>
      <c r="B459" s="16"/>
      <c r="C459" s="16"/>
      <c r="D459" s="16"/>
      <c r="E459" s="16"/>
      <c r="F459" s="16"/>
      <c r="G459" s="16"/>
      <c r="H459" s="647"/>
      <c r="I459" s="647"/>
      <c r="J459" s="647"/>
      <c r="K459" s="647"/>
      <c r="L459" s="647"/>
      <c r="M459" s="647"/>
      <c r="N459" s="647"/>
      <c r="O459" s="647"/>
      <c r="P459" s="647"/>
      <c r="Q459" s="647"/>
      <c r="R459" s="647"/>
      <c r="S459" s="647"/>
      <c r="T459" s="647"/>
      <c r="U459" s="16"/>
      <c r="V459" s="16"/>
      <c r="W459" s="16"/>
      <c r="X459" s="16"/>
      <c r="Y459" s="16"/>
      <c r="Z459" s="16"/>
      <c r="AA459" s="16"/>
      <c r="AB459" s="16"/>
      <c r="AC459" s="16"/>
    </row>
    <row r="460" ht="12.75" customHeight="1" spans="1:29" x14ac:dyDescent="0.25">
      <c r="A460" s="16"/>
      <c r="B460" s="16"/>
      <c r="C460" s="16"/>
      <c r="D460" s="16"/>
      <c r="E460" s="16"/>
      <c r="F460" s="16"/>
      <c r="G460" s="16"/>
      <c r="H460" s="647"/>
      <c r="I460" s="647"/>
      <c r="J460" s="647"/>
      <c r="K460" s="647"/>
      <c r="L460" s="647"/>
      <c r="M460" s="647"/>
      <c r="N460" s="647"/>
      <c r="O460" s="647"/>
      <c r="P460" s="647"/>
      <c r="Q460" s="647"/>
      <c r="R460" s="647"/>
      <c r="S460" s="647"/>
      <c r="T460" s="647"/>
      <c r="U460" s="16"/>
      <c r="V460" s="16"/>
      <c r="W460" s="16"/>
      <c r="X460" s="16"/>
      <c r="Y460" s="16"/>
      <c r="Z460" s="16"/>
      <c r="AA460" s="16"/>
      <c r="AB460" s="16"/>
      <c r="AC460" s="16"/>
    </row>
    <row r="461" ht="12.75" customHeight="1" spans="1:29" x14ac:dyDescent="0.25">
      <c r="A461" s="16"/>
      <c r="B461" s="16"/>
      <c r="C461" s="16"/>
      <c r="D461" s="16"/>
      <c r="E461" s="16"/>
      <c r="F461" s="16"/>
      <c r="G461" s="16"/>
      <c r="H461" s="647"/>
      <c r="I461" s="647"/>
      <c r="J461" s="647"/>
      <c r="K461" s="647"/>
      <c r="L461" s="647"/>
      <c r="M461" s="647"/>
      <c r="N461" s="647"/>
      <c r="O461" s="647"/>
      <c r="P461" s="647"/>
      <c r="Q461" s="647"/>
      <c r="R461" s="647"/>
      <c r="S461" s="647"/>
      <c r="T461" s="647"/>
      <c r="U461" s="16"/>
      <c r="V461" s="16"/>
      <c r="W461" s="16"/>
      <c r="X461" s="16"/>
      <c r="Y461" s="16"/>
      <c r="Z461" s="16"/>
      <c r="AA461" s="16"/>
      <c r="AB461" s="16"/>
      <c r="AC461" s="16"/>
    </row>
    <row r="462" ht="12.75" customHeight="1" spans="1:29" x14ac:dyDescent="0.25">
      <c r="A462" s="16"/>
      <c r="B462" s="16"/>
      <c r="C462" s="16"/>
      <c r="D462" s="16"/>
      <c r="E462" s="16"/>
      <c r="F462" s="16"/>
      <c r="G462" s="16"/>
      <c r="H462" s="647"/>
      <c r="I462" s="647"/>
      <c r="J462" s="647"/>
      <c r="K462" s="647"/>
      <c r="L462" s="647"/>
      <c r="M462" s="647"/>
      <c r="N462" s="647"/>
      <c r="O462" s="647"/>
      <c r="P462" s="647"/>
      <c r="Q462" s="647"/>
      <c r="R462" s="647"/>
      <c r="S462" s="647"/>
      <c r="T462" s="647"/>
      <c r="U462" s="16"/>
      <c r="V462" s="16"/>
      <c r="W462" s="16"/>
      <c r="X462" s="16"/>
      <c r="Y462" s="16"/>
      <c r="Z462" s="16"/>
      <c r="AA462" s="16"/>
      <c r="AB462" s="16"/>
      <c r="AC462" s="16"/>
    </row>
    <row r="463" ht="12.75" customHeight="1" spans="1:29" x14ac:dyDescent="0.25">
      <c r="A463" s="16"/>
      <c r="B463" s="16"/>
      <c r="C463" s="16"/>
      <c r="D463" s="16"/>
      <c r="E463" s="16"/>
      <c r="F463" s="16"/>
      <c r="G463" s="16"/>
      <c r="H463" s="647"/>
      <c r="I463" s="647"/>
      <c r="J463" s="647"/>
      <c r="K463" s="647"/>
      <c r="L463" s="647"/>
      <c r="M463" s="647"/>
      <c r="N463" s="647"/>
      <c r="O463" s="647"/>
      <c r="P463" s="647"/>
      <c r="Q463" s="647"/>
      <c r="R463" s="647"/>
      <c r="S463" s="647"/>
      <c r="T463" s="647"/>
      <c r="U463" s="16"/>
      <c r="V463" s="16"/>
      <c r="W463" s="16"/>
      <c r="X463" s="16"/>
      <c r="Y463" s="16"/>
      <c r="Z463" s="16"/>
      <c r="AA463" s="16"/>
      <c r="AB463" s="16"/>
      <c r="AC463" s="16"/>
    </row>
    <row r="464" ht="12.75" customHeight="1" spans="1:29" x14ac:dyDescent="0.25">
      <c r="A464" s="16"/>
      <c r="B464" s="16"/>
      <c r="C464" s="16"/>
      <c r="D464" s="16"/>
      <c r="E464" s="16"/>
      <c r="F464" s="16"/>
      <c r="G464" s="16"/>
      <c r="H464" s="647"/>
      <c r="I464" s="647"/>
      <c r="J464" s="647"/>
      <c r="K464" s="647"/>
      <c r="L464" s="647"/>
      <c r="M464" s="647"/>
      <c r="N464" s="647"/>
      <c r="O464" s="647"/>
      <c r="P464" s="647"/>
      <c r="Q464" s="647"/>
      <c r="R464" s="647"/>
      <c r="S464" s="647"/>
      <c r="T464" s="647"/>
      <c r="U464" s="16"/>
      <c r="V464" s="16"/>
      <c r="W464" s="16"/>
      <c r="X464" s="16"/>
      <c r="Y464" s="16"/>
      <c r="Z464" s="16"/>
      <c r="AA464" s="16"/>
      <c r="AB464" s="16"/>
      <c r="AC464" s="16"/>
    </row>
    <row r="465" ht="12.75" customHeight="1" spans="1:29" x14ac:dyDescent="0.25">
      <c r="A465" s="16"/>
      <c r="B465" s="16"/>
      <c r="C465" s="16"/>
      <c r="D465" s="16"/>
      <c r="E465" s="16"/>
      <c r="F465" s="16"/>
      <c r="G465" s="16"/>
      <c r="H465" s="647"/>
      <c r="I465" s="647"/>
      <c r="J465" s="647"/>
      <c r="K465" s="647"/>
      <c r="L465" s="647"/>
      <c r="M465" s="647"/>
      <c r="N465" s="647"/>
      <c r="O465" s="647"/>
      <c r="P465" s="647"/>
      <c r="Q465" s="647"/>
      <c r="R465" s="647"/>
      <c r="S465" s="647"/>
      <c r="T465" s="647"/>
      <c r="U465" s="16"/>
      <c r="V465" s="16"/>
      <c r="W465" s="16"/>
      <c r="X465" s="16"/>
      <c r="Y465" s="16"/>
      <c r="Z465" s="16"/>
      <c r="AA465" s="16"/>
      <c r="AB465" s="16"/>
      <c r="AC465" s="16"/>
    </row>
    <row r="466" ht="12.75" customHeight="1" spans="1:29" x14ac:dyDescent="0.25">
      <c r="A466" s="16"/>
      <c r="B466" s="16"/>
      <c r="C466" s="16"/>
      <c r="D466" s="16"/>
      <c r="E466" s="16"/>
      <c r="F466" s="16"/>
      <c r="G466" s="16"/>
      <c r="H466" s="647"/>
      <c r="I466" s="647"/>
      <c r="J466" s="647"/>
      <c r="K466" s="647"/>
      <c r="L466" s="647"/>
      <c r="M466" s="647"/>
      <c r="N466" s="647"/>
      <c r="O466" s="647"/>
      <c r="P466" s="647"/>
      <c r="Q466" s="647"/>
      <c r="R466" s="647"/>
      <c r="S466" s="647"/>
      <c r="T466" s="647"/>
      <c r="U466" s="16"/>
      <c r="V466" s="16"/>
      <c r="W466" s="16"/>
      <c r="X466" s="16"/>
      <c r="Y466" s="16"/>
      <c r="Z466" s="16"/>
      <c r="AA466" s="16"/>
      <c r="AB466" s="16"/>
      <c r="AC466" s="16"/>
    </row>
    <row r="467" ht="12.75" customHeight="1" spans="1:29" x14ac:dyDescent="0.25">
      <c r="A467" s="16"/>
      <c r="B467" s="16"/>
      <c r="C467" s="16"/>
      <c r="D467" s="16"/>
      <c r="E467" s="16"/>
      <c r="F467" s="16"/>
      <c r="G467" s="16"/>
      <c r="H467" s="647"/>
      <c r="I467" s="647"/>
      <c r="J467" s="647"/>
      <c r="K467" s="647"/>
      <c r="L467" s="647"/>
      <c r="M467" s="647"/>
      <c r="N467" s="647"/>
      <c r="O467" s="647"/>
      <c r="P467" s="647"/>
      <c r="Q467" s="647"/>
      <c r="R467" s="647"/>
      <c r="S467" s="647"/>
      <c r="T467" s="647"/>
      <c r="U467" s="16"/>
      <c r="V467" s="16"/>
      <c r="W467" s="16"/>
      <c r="X467" s="16"/>
      <c r="Y467" s="16"/>
      <c r="Z467" s="16"/>
      <c r="AA467" s="16"/>
      <c r="AB467" s="16"/>
      <c r="AC467" s="16"/>
    </row>
    <row r="468" ht="12.75" customHeight="1" spans="1:29" x14ac:dyDescent="0.25">
      <c r="A468" s="16"/>
      <c r="B468" s="16"/>
      <c r="C468" s="16"/>
      <c r="D468" s="16"/>
      <c r="E468" s="16"/>
      <c r="F468" s="16"/>
      <c r="G468" s="16"/>
      <c r="H468" s="647"/>
      <c r="I468" s="647"/>
      <c r="J468" s="647"/>
      <c r="K468" s="647"/>
      <c r="L468" s="647"/>
      <c r="M468" s="647"/>
      <c r="N468" s="647"/>
      <c r="O468" s="647"/>
      <c r="P468" s="647"/>
      <c r="Q468" s="647"/>
      <c r="R468" s="647"/>
      <c r="S468" s="647"/>
      <c r="T468" s="647"/>
      <c r="U468" s="16"/>
      <c r="V468" s="16"/>
      <c r="W468" s="16"/>
      <c r="X468" s="16"/>
      <c r="Y468" s="16"/>
      <c r="Z468" s="16"/>
      <c r="AA468" s="16"/>
      <c r="AB468" s="16"/>
      <c r="AC468" s="16"/>
    </row>
    <row r="469" ht="12.75" customHeight="1" spans="1:29" x14ac:dyDescent="0.25">
      <c r="A469" s="16"/>
      <c r="B469" s="16"/>
      <c r="C469" s="16"/>
      <c r="D469" s="16"/>
      <c r="E469" s="16"/>
      <c r="F469" s="16"/>
      <c r="G469" s="16"/>
      <c r="H469" s="647"/>
      <c r="I469" s="647"/>
      <c r="J469" s="647"/>
      <c r="K469" s="647"/>
      <c r="L469" s="647"/>
      <c r="M469" s="647"/>
      <c r="N469" s="647"/>
      <c r="O469" s="647"/>
      <c r="P469" s="647"/>
      <c r="Q469" s="647"/>
      <c r="R469" s="647"/>
      <c r="S469" s="647"/>
      <c r="T469" s="647"/>
      <c r="U469" s="16"/>
      <c r="V469" s="16"/>
      <c r="W469" s="16"/>
      <c r="X469" s="16"/>
      <c r="Y469" s="16"/>
      <c r="Z469" s="16"/>
      <c r="AA469" s="16"/>
      <c r="AB469" s="16"/>
      <c r="AC469" s="16"/>
    </row>
    <row r="470" ht="12.75" customHeight="1" spans="1:29" x14ac:dyDescent="0.25">
      <c r="A470" s="16"/>
      <c r="B470" s="16"/>
      <c r="C470" s="16"/>
      <c r="D470" s="16"/>
      <c r="E470" s="16"/>
      <c r="F470" s="16"/>
      <c r="G470" s="16"/>
      <c r="H470" s="647"/>
      <c r="I470" s="647"/>
      <c r="J470" s="647"/>
      <c r="K470" s="647"/>
      <c r="L470" s="647"/>
      <c r="M470" s="647"/>
      <c r="N470" s="647"/>
      <c r="O470" s="647"/>
      <c r="P470" s="647"/>
      <c r="Q470" s="647"/>
      <c r="R470" s="647"/>
      <c r="S470" s="647"/>
      <c r="T470" s="647"/>
      <c r="U470" s="16"/>
      <c r="V470" s="16"/>
      <c r="W470" s="16"/>
      <c r="X470" s="16"/>
      <c r="Y470" s="16"/>
      <c r="Z470" s="16"/>
      <c r="AA470" s="16"/>
      <c r="AB470" s="16"/>
      <c r="AC470" s="16"/>
    </row>
    <row r="471" ht="12.75" customHeight="1" spans="1:29" x14ac:dyDescent="0.25">
      <c r="A471" s="16"/>
      <c r="B471" s="16"/>
      <c r="C471" s="16"/>
      <c r="D471" s="16"/>
      <c r="E471" s="16"/>
      <c r="F471" s="16"/>
      <c r="G471" s="16"/>
      <c r="H471" s="647"/>
      <c r="I471" s="647"/>
      <c r="J471" s="647"/>
      <c r="K471" s="647"/>
      <c r="L471" s="647"/>
      <c r="M471" s="647"/>
      <c r="N471" s="647"/>
      <c r="O471" s="647"/>
      <c r="P471" s="647"/>
      <c r="Q471" s="647"/>
      <c r="R471" s="647"/>
      <c r="S471" s="647"/>
      <c r="T471" s="647"/>
      <c r="U471" s="16"/>
      <c r="V471" s="16"/>
      <c r="W471" s="16"/>
      <c r="X471" s="16"/>
      <c r="Y471" s="16"/>
      <c r="Z471" s="16"/>
      <c r="AA471" s="16"/>
      <c r="AB471" s="16"/>
      <c r="AC471" s="16"/>
    </row>
    <row r="472" ht="12.75" customHeight="1" spans="1:29" x14ac:dyDescent="0.25">
      <c r="A472" s="16"/>
      <c r="B472" s="16"/>
      <c r="C472" s="16"/>
      <c r="D472" s="16"/>
      <c r="E472" s="16"/>
      <c r="F472" s="16"/>
      <c r="G472" s="16"/>
      <c r="H472" s="647"/>
      <c r="I472" s="647"/>
      <c r="J472" s="647"/>
      <c r="K472" s="647"/>
      <c r="L472" s="647"/>
      <c r="M472" s="647"/>
      <c r="N472" s="647"/>
      <c r="O472" s="647"/>
      <c r="P472" s="647"/>
      <c r="Q472" s="647"/>
      <c r="R472" s="647"/>
      <c r="S472" s="647"/>
      <c r="T472" s="647"/>
      <c r="U472" s="16"/>
      <c r="V472" s="16"/>
      <c r="W472" s="16"/>
      <c r="X472" s="16"/>
      <c r="Y472" s="16"/>
      <c r="Z472" s="16"/>
      <c r="AA472" s="16"/>
      <c r="AB472" s="16"/>
      <c r="AC472" s="16"/>
    </row>
    <row r="473" ht="12.75" customHeight="1" spans="1:29" x14ac:dyDescent="0.25">
      <c r="A473" s="16"/>
      <c r="B473" s="16"/>
      <c r="C473" s="16"/>
      <c r="D473" s="16"/>
      <c r="E473" s="16"/>
      <c r="F473" s="16"/>
      <c r="G473" s="16"/>
      <c r="H473" s="647"/>
      <c r="I473" s="647"/>
      <c r="J473" s="647"/>
      <c r="K473" s="647"/>
      <c r="L473" s="647"/>
      <c r="M473" s="647"/>
      <c r="N473" s="647"/>
      <c r="O473" s="647"/>
      <c r="P473" s="647"/>
      <c r="Q473" s="647"/>
      <c r="R473" s="647"/>
      <c r="S473" s="647"/>
      <c r="T473" s="647"/>
      <c r="U473" s="16"/>
      <c r="V473" s="16"/>
      <c r="W473" s="16"/>
      <c r="X473" s="16"/>
      <c r="Y473" s="16"/>
      <c r="Z473" s="16"/>
      <c r="AA473" s="16"/>
      <c r="AB473" s="16"/>
      <c r="AC473" s="16"/>
    </row>
    <row r="474" ht="12.75" customHeight="1" spans="1:29" x14ac:dyDescent="0.25">
      <c r="A474" s="16"/>
      <c r="B474" s="16"/>
      <c r="C474" s="16"/>
      <c r="D474" s="16"/>
      <c r="E474" s="16"/>
      <c r="F474" s="16"/>
      <c r="G474" s="16"/>
      <c r="H474" s="647"/>
      <c r="I474" s="647"/>
      <c r="J474" s="647"/>
      <c r="K474" s="647"/>
      <c r="L474" s="647"/>
      <c r="M474" s="647"/>
      <c r="N474" s="647"/>
      <c r="O474" s="647"/>
      <c r="P474" s="647"/>
      <c r="Q474" s="647"/>
      <c r="R474" s="647"/>
      <c r="S474" s="647"/>
      <c r="T474" s="647"/>
      <c r="U474" s="16"/>
      <c r="V474" s="16"/>
      <c r="W474" s="16"/>
      <c r="X474" s="16"/>
      <c r="Y474" s="16"/>
      <c r="Z474" s="16"/>
      <c r="AA474" s="16"/>
      <c r="AB474" s="16"/>
      <c r="AC474" s="16"/>
    </row>
    <row r="475" ht="12.75" customHeight="1" spans="1:29" x14ac:dyDescent="0.25">
      <c r="A475" s="16"/>
      <c r="B475" s="16"/>
      <c r="C475" s="16"/>
      <c r="D475" s="16"/>
      <c r="E475" s="16"/>
      <c r="F475" s="16"/>
      <c r="G475" s="16"/>
      <c r="H475" s="647"/>
      <c r="I475" s="647"/>
      <c r="J475" s="647"/>
      <c r="K475" s="647"/>
      <c r="L475" s="647"/>
      <c r="M475" s="647"/>
      <c r="N475" s="647"/>
      <c r="O475" s="647"/>
      <c r="P475" s="647"/>
      <c r="Q475" s="647"/>
      <c r="R475" s="647"/>
      <c r="S475" s="647"/>
      <c r="T475" s="647"/>
      <c r="U475" s="16"/>
      <c r="V475" s="16"/>
      <c r="W475" s="16"/>
      <c r="X475" s="16"/>
      <c r="Y475" s="16"/>
      <c r="Z475" s="16"/>
      <c r="AA475" s="16"/>
      <c r="AB475" s="16"/>
      <c r="AC475" s="16"/>
    </row>
    <row r="476" ht="12.75" customHeight="1" spans="1:29" x14ac:dyDescent="0.25">
      <c r="A476" s="16"/>
      <c r="B476" s="16"/>
      <c r="C476" s="16"/>
      <c r="D476" s="16"/>
      <c r="E476" s="16"/>
      <c r="F476" s="16"/>
      <c r="G476" s="16"/>
      <c r="H476" s="647"/>
      <c r="I476" s="647"/>
      <c r="J476" s="647"/>
      <c r="K476" s="647"/>
      <c r="L476" s="647"/>
      <c r="M476" s="647"/>
      <c r="N476" s="647"/>
      <c r="O476" s="647"/>
      <c r="P476" s="647"/>
      <c r="Q476" s="647"/>
      <c r="R476" s="647"/>
      <c r="S476" s="647"/>
      <c r="T476" s="647"/>
      <c r="U476" s="16"/>
      <c r="V476" s="16"/>
      <c r="W476" s="16"/>
      <c r="X476" s="16"/>
      <c r="Y476" s="16"/>
      <c r="Z476" s="16"/>
      <c r="AA476" s="16"/>
      <c r="AB476" s="16"/>
      <c r="AC476" s="16"/>
    </row>
    <row r="477" ht="12.75" customHeight="1" spans="1:29" x14ac:dyDescent="0.25">
      <c r="A477" s="16"/>
      <c r="B477" s="16"/>
      <c r="C477" s="16"/>
      <c r="D477" s="16"/>
      <c r="E477" s="16"/>
      <c r="F477" s="16"/>
      <c r="G477" s="16"/>
      <c r="H477" s="647"/>
      <c r="I477" s="647"/>
      <c r="J477" s="647"/>
      <c r="K477" s="647"/>
      <c r="L477" s="647"/>
      <c r="M477" s="647"/>
      <c r="N477" s="647"/>
      <c r="O477" s="647"/>
      <c r="P477" s="647"/>
      <c r="Q477" s="647"/>
      <c r="R477" s="647"/>
      <c r="S477" s="647"/>
      <c r="T477" s="647"/>
      <c r="U477" s="16"/>
      <c r="V477" s="16"/>
      <c r="W477" s="16"/>
      <c r="X477" s="16"/>
      <c r="Y477" s="16"/>
      <c r="Z477" s="16"/>
      <c r="AA477" s="16"/>
      <c r="AB477" s="16"/>
      <c r="AC477" s="16"/>
    </row>
    <row r="478" ht="12.75" customHeight="1" spans="1:29" x14ac:dyDescent="0.25">
      <c r="A478" s="16"/>
      <c r="B478" s="16"/>
      <c r="C478" s="16"/>
      <c r="D478" s="16"/>
      <c r="E478" s="16"/>
      <c r="F478" s="16"/>
      <c r="G478" s="16"/>
      <c r="H478" s="647"/>
      <c r="I478" s="647"/>
      <c r="J478" s="647"/>
      <c r="K478" s="647"/>
      <c r="L478" s="647"/>
      <c r="M478" s="647"/>
      <c r="N478" s="647"/>
      <c r="O478" s="647"/>
      <c r="P478" s="647"/>
      <c r="Q478" s="647"/>
      <c r="R478" s="647"/>
      <c r="S478" s="647"/>
      <c r="T478" s="647"/>
      <c r="U478" s="16"/>
      <c r="V478" s="16"/>
      <c r="W478" s="16"/>
      <c r="X478" s="16"/>
      <c r="Y478" s="16"/>
      <c r="Z478" s="16"/>
      <c r="AA478" s="16"/>
      <c r="AB478" s="16"/>
      <c r="AC478" s="16"/>
    </row>
    <row r="479" ht="12.75" customHeight="1" spans="1:29" x14ac:dyDescent="0.25">
      <c r="A479" s="16"/>
      <c r="B479" s="16"/>
      <c r="C479" s="16"/>
      <c r="D479" s="16"/>
      <c r="E479" s="16"/>
      <c r="F479" s="16"/>
      <c r="G479" s="16"/>
      <c r="H479" s="647"/>
      <c r="I479" s="647"/>
      <c r="J479" s="647"/>
      <c r="K479" s="647"/>
      <c r="L479" s="647"/>
      <c r="M479" s="647"/>
      <c r="N479" s="647"/>
      <c r="O479" s="647"/>
      <c r="P479" s="647"/>
      <c r="Q479" s="647"/>
      <c r="R479" s="647"/>
      <c r="S479" s="647"/>
      <c r="T479" s="647"/>
      <c r="U479" s="16"/>
      <c r="V479" s="16"/>
      <c r="W479" s="16"/>
      <c r="X479" s="16"/>
      <c r="Y479" s="16"/>
      <c r="Z479" s="16"/>
      <c r="AA479" s="16"/>
      <c r="AB479" s="16"/>
      <c r="AC479" s="16"/>
    </row>
    <row r="480" ht="12.75" customHeight="1" spans="1:29" x14ac:dyDescent="0.25">
      <c r="A480" s="16"/>
      <c r="B480" s="16"/>
      <c r="C480" s="16"/>
      <c r="D480" s="16"/>
      <c r="E480" s="16"/>
      <c r="F480" s="16"/>
      <c r="G480" s="16"/>
      <c r="H480" s="647"/>
      <c r="I480" s="647"/>
      <c r="J480" s="647"/>
      <c r="K480" s="647"/>
      <c r="L480" s="647"/>
      <c r="M480" s="647"/>
      <c r="N480" s="647"/>
      <c r="O480" s="647"/>
      <c r="P480" s="647"/>
      <c r="Q480" s="647"/>
      <c r="R480" s="647"/>
      <c r="S480" s="647"/>
      <c r="T480" s="647"/>
      <c r="U480" s="16"/>
      <c r="V480" s="16"/>
      <c r="W480" s="16"/>
      <c r="X480" s="16"/>
      <c r="Y480" s="16"/>
      <c r="Z480" s="16"/>
      <c r="AA480" s="16"/>
      <c r="AB480" s="16"/>
      <c r="AC480" s="16"/>
    </row>
    <row r="481" ht="12.75" customHeight="1" spans="1:29" x14ac:dyDescent="0.25">
      <c r="A481" s="16"/>
      <c r="B481" s="16"/>
      <c r="C481" s="16"/>
      <c r="D481" s="16"/>
      <c r="E481" s="16"/>
      <c r="F481" s="16"/>
      <c r="G481" s="16"/>
      <c r="H481" s="647"/>
      <c r="I481" s="647"/>
      <c r="J481" s="647"/>
      <c r="K481" s="647"/>
      <c r="L481" s="647"/>
      <c r="M481" s="647"/>
      <c r="N481" s="647"/>
      <c r="O481" s="647"/>
      <c r="P481" s="647"/>
      <c r="Q481" s="647"/>
      <c r="R481" s="647"/>
      <c r="S481" s="647"/>
      <c r="T481" s="647"/>
      <c r="U481" s="16"/>
      <c r="V481" s="16"/>
      <c r="W481" s="16"/>
      <c r="X481" s="16"/>
      <c r="Y481" s="16"/>
      <c r="Z481" s="16"/>
      <c r="AA481" s="16"/>
      <c r="AB481" s="16"/>
      <c r="AC481" s="16"/>
    </row>
    <row r="482" ht="12.75" customHeight="1" spans="1:29" x14ac:dyDescent="0.25">
      <c r="A482" s="16"/>
      <c r="B482" s="16"/>
      <c r="C482" s="16"/>
      <c r="D482" s="16"/>
      <c r="E482" s="16"/>
      <c r="F482" s="16"/>
      <c r="G482" s="16"/>
      <c r="H482" s="647"/>
      <c r="I482" s="647"/>
      <c r="J482" s="647"/>
      <c r="K482" s="647"/>
      <c r="L482" s="647"/>
      <c r="M482" s="647"/>
      <c r="N482" s="647"/>
      <c r="O482" s="647"/>
      <c r="P482" s="647"/>
      <c r="Q482" s="647"/>
      <c r="R482" s="647"/>
      <c r="S482" s="647"/>
      <c r="T482" s="647"/>
      <c r="U482" s="16"/>
      <c r="V482" s="16"/>
      <c r="W482" s="16"/>
      <c r="X482" s="16"/>
      <c r="Y482" s="16"/>
      <c r="Z482" s="16"/>
      <c r="AA482" s="16"/>
      <c r="AB482" s="16"/>
      <c r="AC482" s="16"/>
    </row>
    <row r="483" ht="12.75" customHeight="1" spans="1:29" x14ac:dyDescent="0.25">
      <c r="A483" s="16"/>
      <c r="B483" s="16"/>
      <c r="C483" s="16"/>
      <c r="D483" s="16"/>
      <c r="E483" s="16"/>
      <c r="F483" s="16"/>
      <c r="G483" s="16"/>
      <c r="H483" s="647"/>
      <c r="I483" s="647"/>
      <c r="J483" s="647"/>
      <c r="K483" s="647"/>
      <c r="L483" s="647"/>
      <c r="M483" s="647"/>
      <c r="N483" s="647"/>
      <c r="O483" s="647"/>
      <c r="P483" s="647"/>
      <c r="Q483" s="647"/>
      <c r="R483" s="647"/>
      <c r="S483" s="647"/>
      <c r="T483" s="647"/>
      <c r="U483" s="16"/>
      <c r="V483" s="16"/>
      <c r="W483" s="16"/>
      <c r="X483" s="16"/>
      <c r="Y483" s="16"/>
      <c r="Z483" s="16"/>
      <c r="AA483" s="16"/>
      <c r="AB483" s="16"/>
      <c r="AC483" s="16"/>
    </row>
    <row r="484" ht="12.75" customHeight="1" spans="1:29" x14ac:dyDescent="0.25">
      <c r="A484" s="16"/>
      <c r="B484" s="16"/>
      <c r="C484" s="16"/>
      <c r="D484" s="16"/>
      <c r="E484" s="16"/>
      <c r="F484" s="16"/>
      <c r="G484" s="16"/>
      <c r="H484" s="647"/>
      <c r="I484" s="647"/>
      <c r="J484" s="647"/>
      <c r="K484" s="647"/>
      <c r="L484" s="647"/>
      <c r="M484" s="647"/>
      <c r="N484" s="647"/>
      <c r="O484" s="647"/>
      <c r="P484" s="647"/>
      <c r="Q484" s="647"/>
      <c r="R484" s="647"/>
      <c r="S484" s="647"/>
      <c r="T484" s="647"/>
      <c r="U484" s="16"/>
      <c r="V484" s="16"/>
      <c r="W484" s="16"/>
      <c r="X484" s="16"/>
      <c r="Y484" s="16"/>
      <c r="Z484" s="16"/>
      <c r="AA484" s="16"/>
      <c r="AB484" s="16"/>
      <c r="AC484" s="16"/>
    </row>
    <row r="485" ht="12.75" customHeight="1" spans="1:29" x14ac:dyDescent="0.25">
      <c r="A485" s="16"/>
      <c r="B485" s="16"/>
      <c r="C485" s="16"/>
      <c r="D485" s="16"/>
      <c r="E485" s="16"/>
      <c r="F485" s="16"/>
      <c r="G485" s="16"/>
      <c r="H485" s="647"/>
      <c r="I485" s="647"/>
      <c r="J485" s="647"/>
      <c r="K485" s="647"/>
      <c r="L485" s="647"/>
      <c r="M485" s="647"/>
      <c r="N485" s="647"/>
      <c r="O485" s="647"/>
      <c r="P485" s="647"/>
      <c r="Q485" s="647"/>
      <c r="R485" s="647"/>
      <c r="S485" s="647"/>
      <c r="T485" s="647"/>
      <c r="U485" s="16"/>
      <c r="V485" s="16"/>
      <c r="W485" s="16"/>
      <c r="X485" s="16"/>
      <c r="Y485" s="16"/>
      <c r="Z485" s="16"/>
      <c r="AA485" s="16"/>
      <c r="AB485" s="16"/>
      <c r="AC485" s="16"/>
    </row>
    <row r="486" ht="12.75" customHeight="1" spans="1:29" x14ac:dyDescent="0.25">
      <c r="A486" s="16"/>
      <c r="B486" s="16"/>
      <c r="C486" s="16"/>
      <c r="D486" s="16"/>
      <c r="E486" s="16"/>
      <c r="F486" s="16"/>
      <c r="G486" s="16"/>
      <c r="H486" s="647"/>
      <c r="I486" s="647"/>
      <c r="J486" s="647"/>
      <c r="K486" s="647"/>
      <c r="L486" s="647"/>
      <c r="M486" s="647"/>
      <c r="N486" s="647"/>
      <c r="O486" s="647"/>
      <c r="P486" s="647"/>
      <c r="Q486" s="647"/>
      <c r="R486" s="647"/>
      <c r="S486" s="647"/>
      <c r="T486" s="647"/>
      <c r="U486" s="16"/>
      <c r="V486" s="16"/>
      <c r="W486" s="16"/>
      <c r="X486" s="16"/>
      <c r="Y486" s="16"/>
      <c r="Z486" s="16"/>
      <c r="AA486" s="16"/>
      <c r="AB486" s="16"/>
      <c r="AC486" s="16"/>
    </row>
    <row r="487" ht="12.75" customHeight="1" spans="1:29" x14ac:dyDescent="0.25">
      <c r="A487" s="16"/>
      <c r="B487" s="16"/>
      <c r="C487" s="16"/>
      <c r="D487" s="16"/>
      <c r="E487" s="16"/>
      <c r="F487" s="16"/>
      <c r="G487" s="16"/>
      <c r="H487" s="647"/>
      <c r="I487" s="647"/>
      <c r="J487" s="647"/>
      <c r="K487" s="647"/>
      <c r="L487" s="647"/>
      <c r="M487" s="647"/>
      <c r="N487" s="647"/>
      <c r="O487" s="647"/>
      <c r="P487" s="647"/>
      <c r="Q487" s="647"/>
      <c r="R487" s="647"/>
      <c r="S487" s="647"/>
      <c r="T487" s="647"/>
      <c r="U487" s="16"/>
      <c r="V487" s="16"/>
      <c r="W487" s="16"/>
      <c r="X487" s="16"/>
      <c r="Y487" s="16"/>
      <c r="Z487" s="16"/>
      <c r="AA487" s="16"/>
      <c r="AB487" s="16"/>
      <c r="AC487" s="16"/>
    </row>
    <row r="488" ht="12.75" customHeight="1" spans="1:29" x14ac:dyDescent="0.25">
      <c r="A488" s="16"/>
      <c r="B488" s="16"/>
      <c r="C488" s="16"/>
      <c r="D488" s="16"/>
      <c r="E488" s="16"/>
      <c r="F488" s="16"/>
      <c r="G488" s="16"/>
      <c r="H488" s="647"/>
      <c r="I488" s="647"/>
      <c r="J488" s="647"/>
      <c r="K488" s="647"/>
      <c r="L488" s="647"/>
      <c r="M488" s="647"/>
      <c r="N488" s="647"/>
      <c r="O488" s="647"/>
      <c r="P488" s="647"/>
      <c r="Q488" s="647"/>
      <c r="R488" s="647"/>
      <c r="S488" s="647"/>
      <c r="T488" s="647"/>
      <c r="U488" s="16"/>
      <c r="V488" s="16"/>
      <c r="W488" s="16"/>
      <c r="X488" s="16"/>
      <c r="Y488" s="16"/>
      <c r="Z488" s="16"/>
      <c r="AA488" s="16"/>
      <c r="AB488" s="16"/>
      <c r="AC488" s="16"/>
    </row>
    <row r="489" ht="12.75" customHeight="1" spans="1:29" x14ac:dyDescent="0.25">
      <c r="A489" s="16"/>
      <c r="B489" s="16"/>
      <c r="C489" s="16"/>
      <c r="D489" s="16"/>
      <c r="E489" s="16"/>
      <c r="F489" s="16"/>
      <c r="G489" s="16"/>
      <c r="H489" s="647"/>
      <c r="I489" s="647"/>
      <c r="J489" s="647"/>
      <c r="K489" s="647"/>
      <c r="L489" s="647"/>
      <c r="M489" s="647"/>
      <c r="N489" s="647"/>
      <c r="O489" s="647"/>
      <c r="P489" s="647"/>
      <c r="Q489" s="647"/>
      <c r="R489" s="647"/>
      <c r="S489" s="647"/>
      <c r="T489" s="647"/>
      <c r="U489" s="16"/>
      <c r="V489" s="16"/>
      <c r="W489" s="16"/>
      <c r="X489" s="16"/>
      <c r="Y489" s="16"/>
      <c r="Z489" s="16"/>
      <c r="AA489" s="16"/>
      <c r="AB489" s="16"/>
      <c r="AC489" s="16"/>
    </row>
    <row r="490" ht="12.75" customHeight="1" spans="1:29" x14ac:dyDescent="0.25">
      <c r="A490" s="16"/>
      <c r="B490" s="16"/>
      <c r="C490" s="16"/>
      <c r="D490" s="16"/>
      <c r="E490" s="16"/>
      <c r="F490" s="16"/>
      <c r="G490" s="16"/>
      <c r="H490" s="647"/>
      <c r="I490" s="647"/>
      <c r="J490" s="647"/>
      <c r="K490" s="647"/>
      <c r="L490" s="647"/>
      <c r="M490" s="647"/>
      <c r="N490" s="647"/>
      <c r="O490" s="647"/>
      <c r="P490" s="647"/>
      <c r="Q490" s="647"/>
      <c r="R490" s="647"/>
      <c r="S490" s="647"/>
      <c r="T490" s="647"/>
      <c r="U490" s="16"/>
      <c r="V490" s="16"/>
      <c r="W490" s="16"/>
      <c r="X490" s="16"/>
      <c r="Y490" s="16"/>
      <c r="Z490" s="16"/>
      <c r="AA490" s="16"/>
      <c r="AB490" s="16"/>
      <c r="AC490" s="16"/>
    </row>
    <row r="491" ht="12.75" customHeight="1" spans="1:29" x14ac:dyDescent="0.25">
      <c r="A491" s="16"/>
      <c r="B491" s="16"/>
      <c r="C491" s="16"/>
      <c r="D491" s="16"/>
      <c r="E491" s="16"/>
      <c r="F491" s="16"/>
      <c r="G491" s="16"/>
      <c r="H491" s="647"/>
      <c r="I491" s="647"/>
      <c r="J491" s="647"/>
      <c r="K491" s="647"/>
      <c r="L491" s="647"/>
      <c r="M491" s="647"/>
      <c r="N491" s="647"/>
      <c r="O491" s="647"/>
      <c r="P491" s="647"/>
      <c r="Q491" s="647"/>
      <c r="R491" s="647"/>
      <c r="S491" s="647"/>
      <c r="T491" s="647"/>
      <c r="U491" s="16"/>
      <c r="V491" s="16"/>
      <c r="W491" s="16"/>
      <c r="X491" s="16"/>
      <c r="Y491" s="16"/>
      <c r="Z491" s="16"/>
      <c r="AA491" s="16"/>
      <c r="AB491" s="16"/>
      <c r="AC491" s="16"/>
    </row>
    <row r="492" ht="12.75" customHeight="1" spans="1:29" x14ac:dyDescent="0.25">
      <c r="A492" s="16"/>
      <c r="B492" s="16"/>
      <c r="C492" s="16"/>
      <c r="D492" s="16"/>
      <c r="E492" s="16"/>
      <c r="F492" s="16"/>
      <c r="G492" s="16"/>
      <c r="H492" s="647"/>
      <c r="I492" s="647"/>
      <c r="J492" s="647"/>
      <c r="K492" s="647"/>
      <c r="L492" s="647"/>
      <c r="M492" s="647"/>
      <c r="N492" s="647"/>
      <c r="O492" s="647"/>
      <c r="P492" s="647"/>
      <c r="Q492" s="647"/>
      <c r="R492" s="647"/>
      <c r="S492" s="647"/>
      <c r="T492" s="647"/>
      <c r="U492" s="16"/>
      <c r="V492" s="16"/>
      <c r="W492" s="16"/>
      <c r="X492" s="16"/>
      <c r="Y492" s="16"/>
      <c r="Z492" s="16"/>
      <c r="AA492" s="16"/>
      <c r="AB492" s="16"/>
      <c r="AC492" s="16"/>
    </row>
    <row r="493" ht="12.75" customHeight="1" spans="1:29" x14ac:dyDescent="0.25">
      <c r="A493" s="16"/>
      <c r="B493" s="16"/>
      <c r="C493" s="16"/>
      <c r="D493" s="16"/>
      <c r="E493" s="16"/>
      <c r="F493" s="16"/>
      <c r="G493" s="16"/>
      <c r="H493" s="647"/>
      <c r="I493" s="647"/>
      <c r="J493" s="647"/>
      <c r="K493" s="647"/>
      <c r="L493" s="647"/>
      <c r="M493" s="647"/>
      <c r="N493" s="647"/>
      <c r="O493" s="647"/>
      <c r="P493" s="647"/>
      <c r="Q493" s="647"/>
      <c r="R493" s="647"/>
      <c r="S493" s="647"/>
      <c r="T493" s="647"/>
      <c r="U493" s="16"/>
      <c r="V493" s="16"/>
      <c r="W493" s="16"/>
      <c r="X493" s="16"/>
      <c r="Y493" s="16"/>
      <c r="Z493" s="16"/>
      <c r="AA493" s="16"/>
      <c r="AB493" s="16"/>
      <c r="AC493" s="16"/>
    </row>
    <row r="494" ht="12.75" customHeight="1" spans="1:29" x14ac:dyDescent="0.25">
      <c r="A494" s="16"/>
      <c r="B494" s="16"/>
      <c r="C494" s="16"/>
      <c r="D494" s="16"/>
      <c r="E494" s="16"/>
      <c r="F494" s="16"/>
      <c r="G494" s="16"/>
      <c r="H494" s="647"/>
      <c r="I494" s="647"/>
      <c r="J494" s="647"/>
      <c r="K494" s="647"/>
      <c r="L494" s="647"/>
      <c r="M494" s="647"/>
      <c r="N494" s="647"/>
      <c r="O494" s="647"/>
      <c r="P494" s="647"/>
      <c r="Q494" s="647"/>
      <c r="R494" s="647"/>
      <c r="S494" s="647"/>
      <c r="T494" s="647"/>
      <c r="U494" s="16"/>
      <c r="V494" s="16"/>
      <c r="W494" s="16"/>
      <c r="X494" s="16"/>
      <c r="Y494" s="16"/>
      <c r="Z494" s="16"/>
      <c r="AA494" s="16"/>
      <c r="AB494" s="16"/>
      <c r="AC494" s="16"/>
    </row>
    <row r="495" ht="12.75" customHeight="1" spans="1:29" x14ac:dyDescent="0.25">
      <c r="A495" s="16"/>
      <c r="B495" s="16"/>
      <c r="C495" s="16"/>
      <c r="D495" s="16"/>
      <c r="E495" s="16"/>
      <c r="F495" s="16"/>
      <c r="G495" s="16"/>
      <c r="H495" s="647"/>
      <c r="I495" s="647"/>
      <c r="J495" s="647"/>
      <c r="K495" s="647"/>
      <c r="L495" s="647"/>
      <c r="M495" s="647"/>
      <c r="N495" s="647"/>
      <c r="O495" s="647"/>
      <c r="P495" s="647"/>
      <c r="Q495" s="647"/>
      <c r="R495" s="647"/>
      <c r="S495" s="647"/>
      <c r="T495" s="647"/>
      <c r="U495" s="16"/>
      <c r="V495" s="16"/>
      <c r="W495" s="16"/>
      <c r="X495" s="16"/>
      <c r="Y495" s="16"/>
      <c r="Z495" s="16"/>
      <c r="AA495" s="16"/>
      <c r="AB495" s="16"/>
      <c r="AC495" s="16"/>
    </row>
    <row r="496" ht="12.75" customHeight="1" spans="1:29" x14ac:dyDescent="0.25">
      <c r="A496" s="16"/>
      <c r="B496" s="16"/>
      <c r="C496" s="16"/>
      <c r="D496" s="16"/>
      <c r="E496" s="16"/>
      <c r="F496" s="16"/>
      <c r="G496" s="16"/>
      <c r="H496" s="647"/>
      <c r="I496" s="647"/>
      <c r="J496" s="647"/>
      <c r="K496" s="647"/>
      <c r="L496" s="647"/>
      <c r="M496" s="647"/>
      <c r="N496" s="647"/>
      <c r="O496" s="647"/>
      <c r="P496" s="647"/>
      <c r="Q496" s="647"/>
      <c r="R496" s="647"/>
      <c r="S496" s="647"/>
      <c r="T496" s="647"/>
      <c r="U496" s="16"/>
      <c r="V496" s="16"/>
      <c r="W496" s="16"/>
      <c r="X496" s="16"/>
      <c r="Y496" s="16"/>
      <c r="Z496" s="16"/>
      <c r="AA496" s="16"/>
      <c r="AB496" s="16"/>
      <c r="AC496" s="16"/>
    </row>
    <row r="497" ht="12.75" customHeight="1" spans="1:29" x14ac:dyDescent="0.25">
      <c r="A497" s="16"/>
      <c r="B497" s="16"/>
      <c r="C497" s="16"/>
      <c r="D497" s="16"/>
      <c r="E497" s="16"/>
      <c r="F497" s="16"/>
      <c r="G497" s="16"/>
      <c r="H497" s="647"/>
      <c r="I497" s="647"/>
      <c r="J497" s="647"/>
      <c r="K497" s="647"/>
      <c r="L497" s="647"/>
      <c r="M497" s="647"/>
      <c r="N497" s="647"/>
      <c r="O497" s="647"/>
      <c r="P497" s="647"/>
      <c r="Q497" s="647"/>
      <c r="R497" s="647"/>
      <c r="S497" s="647"/>
      <c r="T497" s="647"/>
      <c r="U497" s="16"/>
      <c r="V497" s="16"/>
      <c r="W497" s="16"/>
      <c r="X497" s="16"/>
      <c r="Y497" s="16"/>
      <c r="Z497" s="16"/>
      <c r="AA497" s="16"/>
      <c r="AB497" s="16"/>
      <c r="AC497" s="16"/>
    </row>
    <row r="498" ht="12.75" customHeight="1" spans="1:29" x14ac:dyDescent="0.25">
      <c r="A498" s="16"/>
      <c r="B498" s="16"/>
      <c r="C498" s="16"/>
      <c r="D498" s="16"/>
      <c r="E498" s="16"/>
      <c r="F498" s="16"/>
      <c r="G498" s="16"/>
      <c r="H498" s="647"/>
      <c r="I498" s="647"/>
      <c r="J498" s="647"/>
      <c r="K498" s="647"/>
      <c r="L498" s="647"/>
      <c r="M498" s="647"/>
      <c r="N498" s="647"/>
      <c r="O498" s="647"/>
      <c r="P498" s="647"/>
      <c r="Q498" s="647"/>
      <c r="R498" s="647"/>
      <c r="S498" s="647"/>
      <c r="T498" s="647"/>
      <c r="U498" s="16"/>
      <c r="V498" s="16"/>
      <c r="W498" s="16"/>
      <c r="X498" s="16"/>
      <c r="Y498" s="16"/>
      <c r="Z498" s="16"/>
      <c r="AA498" s="16"/>
      <c r="AB498" s="16"/>
      <c r="AC498" s="16"/>
    </row>
    <row r="499" ht="12.75" customHeight="1" spans="1:29" x14ac:dyDescent="0.25">
      <c r="A499" s="16"/>
      <c r="B499" s="16"/>
      <c r="C499" s="16"/>
      <c r="D499" s="16"/>
      <c r="E499" s="16"/>
      <c r="F499" s="16"/>
      <c r="G499" s="16"/>
      <c r="H499" s="647"/>
      <c r="I499" s="647"/>
      <c r="J499" s="647"/>
      <c r="K499" s="647"/>
      <c r="L499" s="647"/>
      <c r="M499" s="647"/>
      <c r="N499" s="647"/>
      <c r="O499" s="647"/>
      <c r="P499" s="647"/>
      <c r="Q499" s="647"/>
      <c r="R499" s="647"/>
      <c r="S499" s="647"/>
      <c r="T499" s="647"/>
      <c r="U499" s="16"/>
      <c r="V499" s="16"/>
      <c r="W499" s="16"/>
      <c r="X499" s="16"/>
      <c r="Y499" s="16"/>
      <c r="Z499" s="16"/>
      <c r="AA499" s="16"/>
      <c r="AB499" s="16"/>
      <c r="AC499" s="16"/>
    </row>
    <row r="500" ht="12.75" customHeight="1" spans="1:29" x14ac:dyDescent="0.25">
      <c r="A500" s="16"/>
      <c r="B500" s="16"/>
      <c r="C500" s="16"/>
      <c r="D500" s="16"/>
      <c r="E500" s="16"/>
      <c r="F500" s="16"/>
      <c r="G500" s="16"/>
      <c r="H500" s="647"/>
      <c r="I500" s="647"/>
      <c r="J500" s="647"/>
      <c r="K500" s="647"/>
      <c r="L500" s="647"/>
      <c r="M500" s="647"/>
      <c r="N500" s="647"/>
      <c r="O500" s="647"/>
      <c r="P500" s="647"/>
      <c r="Q500" s="647"/>
      <c r="R500" s="647"/>
      <c r="S500" s="647"/>
      <c r="T500" s="647"/>
      <c r="U500" s="16"/>
      <c r="V500" s="16"/>
      <c r="W500" s="16"/>
      <c r="X500" s="16"/>
      <c r="Y500" s="16"/>
      <c r="Z500" s="16"/>
      <c r="AA500" s="16"/>
      <c r="AB500" s="16"/>
      <c r="AC500" s="16"/>
    </row>
    <row r="501" ht="12.75" customHeight="1" spans="1:29" x14ac:dyDescent="0.25">
      <c r="A501" s="16"/>
      <c r="B501" s="16"/>
      <c r="C501" s="16"/>
      <c r="D501" s="16"/>
      <c r="E501" s="16"/>
      <c r="F501" s="16"/>
      <c r="G501" s="16"/>
      <c r="H501" s="647"/>
      <c r="I501" s="647"/>
      <c r="J501" s="647"/>
      <c r="K501" s="647"/>
      <c r="L501" s="647"/>
      <c r="M501" s="647"/>
      <c r="N501" s="647"/>
      <c r="O501" s="647"/>
      <c r="P501" s="647"/>
      <c r="Q501" s="647"/>
      <c r="R501" s="647"/>
      <c r="S501" s="647"/>
      <c r="T501" s="647"/>
      <c r="U501" s="16"/>
      <c r="V501" s="16"/>
      <c r="W501" s="16"/>
      <c r="X501" s="16"/>
      <c r="Y501" s="16"/>
      <c r="Z501" s="16"/>
      <c r="AA501" s="16"/>
      <c r="AB501" s="16"/>
      <c r="AC501" s="16"/>
    </row>
    <row r="502" ht="12.75" customHeight="1" spans="1:29" x14ac:dyDescent="0.25">
      <c r="A502" s="16"/>
      <c r="B502" s="16"/>
      <c r="C502" s="16"/>
      <c r="D502" s="16"/>
      <c r="E502" s="16"/>
      <c r="F502" s="16"/>
      <c r="G502" s="16"/>
      <c r="H502" s="647"/>
      <c r="I502" s="647"/>
      <c r="J502" s="647"/>
      <c r="K502" s="647"/>
      <c r="L502" s="647"/>
      <c r="M502" s="647"/>
      <c r="N502" s="647"/>
      <c r="O502" s="647"/>
      <c r="P502" s="647"/>
      <c r="Q502" s="647"/>
      <c r="R502" s="647"/>
      <c r="S502" s="647"/>
      <c r="T502" s="647"/>
      <c r="U502" s="16"/>
      <c r="V502" s="16"/>
      <c r="W502" s="16"/>
      <c r="X502" s="16"/>
      <c r="Y502" s="16"/>
      <c r="Z502" s="16"/>
      <c r="AA502" s="16"/>
      <c r="AB502" s="16"/>
      <c r="AC502" s="16"/>
    </row>
    <row r="503" ht="12.75" customHeight="1" spans="1:29" x14ac:dyDescent="0.25">
      <c r="A503" s="16"/>
      <c r="B503" s="16"/>
      <c r="C503" s="16"/>
      <c r="D503" s="16"/>
      <c r="E503" s="16"/>
      <c r="F503" s="16"/>
      <c r="G503" s="16"/>
      <c r="H503" s="647"/>
      <c r="I503" s="647"/>
      <c r="J503" s="647"/>
      <c r="K503" s="647"/>
      <c r="L503" s="647"/>
      <c r="M503" s="647"/>
      <c r="N503" s="647"/>
      <c r="O503" s="647"/>
      <c r="P503" s="647"/>
      <c r="Q503" s="647"/>
      <c r="R503" s="647"/>
      <c r="S503" s="647"/>
      <c r="T503" s="647"/>
      <c r="U503" s="16"/>
      <c r="V503" s="16"/>
      <c r="W503" s="16"/>
      <c r="X503" s="16"/>
      <c r="Y503" s="16"/>
      <c r="Z503" s="16"/>
      <c r="AA503" s="16"/>
      <c r="AB503" s="16"/>
      <c r="AC503" s="16"/>
    </row>
    <row r="504" ht="12.75" customHeight="1" spans="1:29" x14ac:dyDescent="0.25">
      <c r="A504" s="16"/>
      <c r="B504" s="16"/>
      <c r="C504" s="16"/>
      <c r="D504" s="16"/>
      <c r="E504" s="16"/>
      <c r="F504" s="16"/>
      <c r="G504" s="16"/>
      <c r="H504" s="647"/>
      <c r="I504" s="647"/>
      <c r="J504" s="647"/>
      <c r="K504" s="647"/>
      <c r="L504" s="647"/>
      <c r="M504" s="647"/>
      <c r="N504" s="647"/>
      <c r="O504" s="647"/>
      <c r="P504" s="647"/>
      <c r="Q504" s="647"/>
      <c r="R504" s="647"/>
      <c r="S504" s="647"/>
      <c r="T504" s="647"/>
      <c r="U504" s="16"/>
      <c r="V504" s="16"/>
      <c r="W504" s="16"/>
      <c r="X504" s="16"/>
      <c r="Y504" s="16"/>
      <c r="Z504" s="16"/>
      <c r="AA504" s="16"/>
      <c r="AB504" s="16"/>
      <c r="AC504" s="16"/>
    </row>
    <row r="505" ht="12.75" customHeight="1" spans="1:29" x14ac:dyDescent="0.25">
      <c r="A505" s="16"/>
      <c r="B505" s="16"/>
      <c r="C505" s="16"/>
      <c r="D505" s="16"/>
      <c r="E505" s="16"/>
      <c r="F505" s="16"/>
      <c r="G505" s="16"/>
      <c r="H505" s="647"/>
      <c r="I505" s="647"/>
      <c r="J505" s="647"/>
      <c r="K505" s="647"/>
      <c r="L505" s="647"/>
      <c r="M505" s="647"/>
      <c r="N505" s="647"/>
      <c r="O505" s="647"/>
      <c r="P505" s="647"/>
      <c r="Q505" s="647"/>
      <c r="R505" s="647"/>
      <c r="S505" s="647"/>
      <c r="T505" s="647"/>
      <c r="U505" s="16"/>
      <c r="V505" s="16"/>
      <c r="W505" s="16"/>
      <c r="X505" s="16"/>
      <c r="Y505" s="16"/>
      <c r="Z505" s="16"/>
      <c r="AA505" s="16"/>
      <c r="AB505" s="16"/>
      <c r="AC505" s="16"/>
    </row>
    <row r="506" ht="12.75" customHeight="1" spans="1:29" x14ac:dyDescent="0.25">
      <c r="A506" s="16"/>
      <c r="B506" s="16"/>
      <c r="C506" s="16"/>
      <c r="D506" s="16"/>
      <c r="E506" s="16"/>
      <c r="F506" s="16"/>
      <c r="G506" s="16"/>
      <c r="H506" s="647"/>
      <c r="I506" s="647"/>
      <c r="J506" s="647"/>
      <c r="K506" s="647"/>
      <c r="L506" s="647"/>
      <c r="M506" s="647"/>
      <c r="N506" s="647"/>
      <c r="O506" s="647"/>
      <c r="P506" s="647"/>
      <c r="Q506" s="647"/>
      <c r="R506" s="647"/>
      <c r="S506" s="647"/>
      <c r="T506" s="647"/>
      <c r="U506" s="16"/>
      <c r="V506" s="16"/>
      <c r="W506" s="16"/>
      <c r="X506" s="16"/>
      <c r="Y506" s="16"/>
      <c r="Z506" s="16"/>
      <c r="AA506" s="16"/>
      <c r="AB506" s="16"/>
      <c r="AC506" s="16"/>
    </row>
    <row r="507" ht="12.75" customHeight="1" spans="1:29" x14ac:dyDescent="0.25">
      <c r="A507" s="16"/>
      <c r="B507" s="16"/>
      <c r="C507" s="16"/>
      <c r="D507" s="16"/>
      <c r="E507" s="16"/>
      <c r="F507" s="16"/>
      <c r="G507" s="16"/>
      <c r="H507" s="647"/>
      <c r="I507" s="647"/>
      <c r="J507" s="647"/>
      <c r="K507" s="647"/>
      <c r="L507" s="647"/>
      <c r="M507" s="647"/>
      <c r="N507" s="647"/>
      <c r="O507" s="647"/>
      <c r="P507" s="647"/>
      <c r="Q507" s="647"/>
      <c r="R507" s="647"/>
      <c r="S507" s="647"/>
      <c r="T507" s="647"/>
      <c r="U507" s="16"/>
      <c r="V507" s="16"/>
      <c r="W507" s="16"/>
      <c r="X507" s="16"/>
      <c r="Y507" s="16"/>
      <c r="Z507" s="16"/>
      <c r="AA507" s="16"/>
      <c r="AB507" s="16"/>
      <c r="AC507" s="16"/>
    </row>
    <row r="508" ht="12.75" customHeight="1" spans="1:29" x14ac:dyDescent="0.25">
      <c r="A508" s="16"/>
      <c r="B508" s="16"/>
      <c r="C508" s="16"/>
      <c r="D508" s="16"/>
      <c r="E508" s="16"/>
      <c r="F508" s="16"/>
      <c r="G508" s="16"/>
      <c r="H508" s="647"/>
      <c r="I508" s="647"/>
      <c r="J508" s="647"/>
      <c r="K508" s="647"/>
      <c r="L508" s="647"/>
      <c r="M508" s="647"/>
      <c r="N508" s="647"/>
      <c r="O508" s="647"/>
      <c r="P508" s="647"/>
      <c r="Q508" s="647"/>
      <c r="R508" s="647"/>
      <c r="S508" s="647"/>
      <c r="T508" s="647"/>
      <c r="U508" s="16"/>
      <c r="V508" s="16"/>
      <c r="W508" s="16"/>
      <c r="X508" s="16"/>
      <c r="Y508" s="16"/>
      <c r="Z508" s="16"/>
      <c r="AA508" s="16"/>
      <c r="AB508" s="16"/>
      <c r="AC508" s="16"/>
    </row>
    <row r="509" ht="12.75" customHeight="1" spans="1:29" x14ac:dyDescent="0.25">
      <c r="A509" s="16"/>
      <c r="B509" s="16"/>
      <c r="C509" s="16"/>
      <c r="D509" s="16"/>
      <c r="E509" s="16"/>
      <c r="F509" s="16"/>
      <c r="G509" s="16"/>
      <c r="H509" s="647"/>
      <c r="I509" s="647"/>
      <c r="J509" s="647"/>
      <c r="K509" s="647"/>
      <c r="L509" s="647"/>
      <c r="M509" s="647"/>
      <c r="N509" s="647"/>
      <c r="O509" s="647"/>
      <c r="P509" s="647"/>
      <c r="Q509" s="647"/>
      <c r="R509" s="647"/>
      <c r="S509" s="647"/>
      <c r="T509" s="647"/>
      <c r="U509" s="16"/>
      <c r="V509" s="16"/>
      <c r="W509" s="16"/>
      <c r="X509" s="16"/>
      <c r="Y509" s="16"/>
      <c r="Z509" s="16"/>
      <c r="AA509" s="16"/>
      <c r="AB509" s="16"/>
      <c r="AC509" s="16"/>
    </row>
    <row r="510" ht="12.75" customHeight="1" spans="1:29" x14ac:dyDescent="0.25">
      <c r="A510" s="16"/>
      <c r="B510" s="16"/>
      <c r="C510" s="16"/>
      <c r="D510" s="16"/>
      <c r="E510" s="16"/>
      <c r="F510" s="16"/>
      <c r="G510" s="16"/>
      <c r="H510" s="647"/>
      <c r="I510" s="647"/>
      <c r="J510" s="647"/>
      <c r="K510" s="647"/>
      <c r="L510" s="647"/>
      <c r="M510" s="647"/>
      <c r="N510" s="647"/>
      <c r="O510" s="647"/>
      <c r="P510" s="647"/>
      <c r="Q510" s="647"/>
      <c r="R510" s="647"/>
      <c r="S510" s="647"/>
      <c r="T510" s="647"/>
      <c r="U510" s="16"/>
      <c r="V510" s="16"/>
      <c r="W510" s="16"/>
      <c r="X510" s="16"/>
      <c r="Y510" s="16"/>
      <c r="Z510" s="16"/>
      <c r="AA510" s="16"/>
      <c r="AB510" s="16"/>
      <c r="AC510" s="16"/>
    </row>
    <row r="511" ht="12.75" customHeight="1" spans="1:29" x14ac:dyDescent="0.25">
      <c r="A511" s="16"/>
      <c r="B511" s="16"/>
      <c r="C511" s="16"/>
      <c r="D511" s="16"/>
      <c r="E511" s="16"/>
      <c r="F511" s="16"/>
      <c r="G511" s="16"/>
      <c r="H511" s="647"/>
      <c r="I511" s="647"/>
      <c r="J511" s="647"/>
      <c r="K511" s="647"/>
      <c r="L511" s="647"/>
      <c r="M511" s="647"/>
      <c r="N511" s="647"/>
      <c r="O511" s="647"/>
      <c r="P511" s="647"/>
      <c r="Q511" s="647"/>
      <c r="R511" s="647"/>
      <c r="S511" s="647"/>
      <c r="T511" s="647"/>
      <c r="U511" s="16"/>
      <c r="V511" s="16"/>
      <c r="W511" s="16"/>
      <c r="X511" s="16"/>
      <c r="Y511" s="16"/>
      <c r="Z511" s="16"/>
      <c r="AA511" s="16"/>
      <c r="AB511" s="16"/>
      <c r="AC511" s="16"/>
    </row>
    <row r="512" ht="12.75" customHeight="1" spans="1:29" x14ac:dyDescent="0.25">
      <c r="A512" s="16"/>
      <c r="B512" s="16"/>
      <c r="C512" s="16"/>
      <c r="D512" s="16"/>
      <c r="E512" s="16"/>
      <c r="F512" s="16"/>
      <c r="G512" s="16"/>
      <c r="H512" s="647"/>
      <c r="I512" s="647"/>
      <c r="J512" s="647"/>
      <c r="K512" s="647"/>
      <c r="L512" s="647"/>
      <c r="M512" s="647"/>
      <c r="N512" s="647"/>
      <c r="O512" s="647"/>
      <c r="P512" s="647"/>
      <c r="Q512" s="647"/>
      <c r="R512" s="647"/>
      <c r="S512" s="647"/>
      <c r="T512" s="647"/>
      <c r="U512" s="16"/>
      <c r="V512" s="16"/>
      <c r="W512" s="16"/>
      <c r="X512" s="16"/>
      <c r="Y512" s="16"/>
      <c r="Z512" s="16"/>
      <c r="AA512" s="16"/>
      <c r="AB512" s="16"/>
      <c r="AC512" s="16"/>
    </row>
    <row r="513" ht="12.75" customHeight="1" spans="1:29" x14ac:dyDescent="0.25">
      <c r="A513" s="16"/>
      <c r="B513" s="16"/>
      <c r="C513" s="16"/>
      <c r="D513" s="16"/>
      <c r="E513" s="16"/>
      <c r="F513" s="16"/>
      <c r="G513" s="16"/>
      <c r="H513" s="647"/>
      <c r="I513" s="647"/>
      <c r="J513" s="647"/>
      <c r="K513" s="647"/>
      <c r="L513" s="647"/>
      <c r="M513" s="647"/>
      <c r="N513" s="647"/>
      <c r="O513" s="647"/>
      <c r="P513" s="647"/>
      <c r="Q513" s="647"/>
      <c r="R513" s="647"/>
      <c r="S513" s="647"/>
      <c r="T513" s="647"/>
      <c r="U513" s="16"/>
      <c r="V513" s="16"/>
      <c r="W513" s="16"/>
      <c r="X513" s="16"/>
      <c r="Y513" s="16"/>
      <c r="Z513" s="16"/>
      <c r="AA513" s="16"/>
      <c r="AB513" s="16"/>
      <c r="AC513" s="16"/>
    </row>
    <row r="514" ht="12.75" customHeight="1" spans="1:29" x14ac:dyDescent="0.25">
      <c r="A514" s="16"/>
      <c r="B514" s="16"/>
      <c r="C514" s="16"/>
      <c r="D514" s="16"/>
      <c r="E514" s="16"/>
      <c r="F514" s="16"/>
      <c r="G514" s="16"/>
      <c r="H514" s="647"/>
      <c r="I514" s="647"/>
      <c r="J514" s="647"/>
      <c r="K514" s="647"/>
      <c r="L514" s="647"/>
      <c r="M514" s="647"/>
      <c r="N514" s="647"/>
      <c r="O514" s="647"/>
      <c r="P514" s="647"/>
      <c r="Q514" s="647"/>
      <c r="R514" s="647"/>
      <c r="S514" s="647"/>
      <c r="T514" s="647"/>
      <c r="U514" s="16"/>
      <c r="V514" s="16"/>
      <c r="W514" s="16"/>
      <c r="X514" s="16"/>
      <c r="Y514" s="16"/>
      <c r="Z514" s="16"/>
      <c r="AA514" s="16"/>
      <c r="AB514" s="16"/>
      <c r="AC514" s="16"/>
    </row>
    <row r="515" ht="12.75" customHeight="1" spans="1:29" x14ac:dyDescent="0.25">
      <c r="A515" s="16"/>
      <c r="B515" s="16"/>
      <c r="C515" s="16"/>
      <c r="D515" s="16"/>
      <c r="E515" s="16"/>
      <c r="F515" s="16"/>
      <c r="G515" s="16"/>
      <c r="H515" s="647"/>
      <c r="I515" s="647"/>
      <c r="J515" s="647"/>
      <c r="K515" s="647"/>
      <c r="L515" s="647"/>
      <c r="M515" s="647"/>
      <c r="N515" s="647"/>
      <c r="O515" s="647"/>
      <c r="P515" s="647"/>
      <c r="Q515" s="647"/>
      <c r="R515" s="647"/>
      <c r="S515" s="647"/>
      <c r="T515" s="647"/>
      <c r="U515" s="16"/>
      <c r="V515" s="16"/>
      <c r="W515" s="16"/>
      <c r="X515" s="16"/>
      <c r="Y515" s="16"/>
      <c r="Z515" s="16"/>
      <c r="AA515" s="16"/>
      <c r="AB515" s="16"/>
      <c r="AC515" s="16"/>
    </row>
    <row r="516" ht="12.75" customHeight="1" spans="1:29" x14ac:dyDescent="0.25">
      <c r="A516" s="16"/>
      <c r="B516" s="16"/>
      <c r="C516" s="16"/>
      <c r="D516" s="16"/>
      <c r="E516" s="16"/>
      <c r="F516" s="16"/>
      <c r="G516" s="16"/>
      <c r="H516" s="647"/>
      <c r="I516" s="647"/>
      <c r="J516" s="647"/>
      <c r="K516" s="647"/>
      <c r="L516" s="647"/>
      <c r="M516" s="647"/>
      <c r="N516" s="647"/>
      <c r="O516" s="647"/>
      <c r="P516" s="647"/>
      <c r="Q516" s="647"/>
      <c r="R516" s="647"/>
      <c r="S516" s="647"/>
      <c r="T516" s="647"/>
      <c r="U516" s="16"/>
      <c r="V516" s="16"/>
      <c r="W516" s="16"/>
      <c r="X516" s="16"/>
      <c r="Y516" s="16"/>
      <c r="Z516" s="16"/>
      <c r="AA516" s="16"/>
      <c r="AB516" s="16"/>
      <c r="AC516" s="16"/>
    </row>
    <row r="517" ht="12.75" customHeight="1" spans="1:29" x14ac:dyDescent="0.25">
      <c r="A517" s="16"/>
      <c r="B517" s="16"/>
      <c r="C517" s="16"/>
      <c r="D517" s="16"/>
      <c r="E517" s="16"/>
      <c r="F517" s="16"/>
      <c r="G517" s="16"/>
      <c r="H517" s="647"/>
      <c r="I517" s="647"/>
      <c r="J517" s="647"/>
      <c r="K517" s="647"/>
      <c r="L517" s="647"/>
      <c r="M517" s="647"/>
      <c r="N517" s="647"/>
      <c r="O517" s="647"/>
      <c r="P517" s="647"/>
      <c r="Q517" s="647"/>
      <c r="R517" s="647"/>
      <c r="S517" s="647"/>
      <c r="T517" s="647"/>
      <c r="U517" s="16"/>
      <c r="V517" s="16"/>
      <c r="W517" s="16"/>
      <c r="X517" s="16"/>
      <c r="Y517" s="16"/>
      <c r="Z517" s="16"/>
      <c r="AA517" s="16"/>
      <c r="AB517" s="16"/>
      <c r="AC517" s="16"/>
    </row>
    <row r="518" ht="12.75" customHeight="1" spans="1:29" x14ac:dyDescent="0.25">
      <c r="A518" s="16"/>
      <c r="B518" s="16"/>
      <c r="C518" s="16"/>
      <c r="D518" s="16"/>
      <c r="E518" s="16"/>
      <c r="F518" s="16"/>
      <c r="G518" s="16"/>
      <c r="H518" s="647"/>
      <c r="I518" s="647"/>
      <c r="J518" s="647"/>
      <c r="K518" s="647"/>
      <c r="L518" s="647"/>
      <c r="M518" s="647"/>
      <c r="N518" s="647"/>
      <c r="O518" s="647"/>
      <c r="P518" s="647"/>
      <c r="Q518" s="647"/>
      <c r="R518" s="647"/>
      <c r="S518" s="647"/>
      <c r="T518" s="647"/>
      <c r="U518" s="16"/>
      <c r="V518" s="16"/>
      <c r="W518" s="16"/>
      <c r="X518" s="16"/>
      <c r="Y518" s="16"/>
      <c r="Z518" s="16"/>
      <c r="AA518" s="16"/>
      <c r="AB518" s="16"/>
      <c r="AC518" s="16"/>
    </row>
    <row r="519" ht="12.75" customHeight="1" spans="1:29" x14ac:dyDescent="0.25">
      <c r="A519" s="16"/>
      <c r="B519" s="16"/>
      <c r="C519" s="16"/>
      <c r="D519" s="16"/>
      <c r="E519" s="16"/>
      <c r="F519" s="16"/>
      <c r="G519" s="16"/>
      <c r="H519" s="647"/>
      <c r="I519" s="647"/>
      <c r="J519" s="647"/>
      <c r="K519" s="647"/>
      <c r="L519" s="647"/>
      <c r="M519" s="647"/>
      <c r="N519" s="647"/>
      <c r="O519" s="647"/>
      <c r="P519" s="647"/>
      <c r="Q519" s="647"/>
      <c r="R519" s="647"/>
      <c r="S519" s="647"/>
      <c r="T519" s="647"/>
      <c r="U519" s="16"/>
      <c r="V519" s="16"/>
      <c r="W519" s="16"/>
      <c r="X519" s="16"/>
      <c r="Y519" s="16"/>
      <c r="Z519" s="16"/>
      <c r="AA519" s="16"/>
      <c r="AB519" s="16"/>
      <c r="AC519" s="16"/>
    </row>
    <row r="520" ht="12.75" customHeight="1" spans="1:29" x14ac:dyDescent="0.25">
      <c r="A520" s="16"/>
      <c r="B520" s="16"/>
      <c r="C520" s="16"/>
      <c r="D520" s="16"/>
      <c r="E520" s="16"/>
      <c r="F520" s="16"/>
      <c r="G520" s="16"/>
      <c r="H520" s="647"/>
      <c r="I520" s="647"/>
      <c r="J520" s="647"/>
      <c r="K520" s="647"/>
      <c r="L520" s="647"/>
      <c r="M520" s="647"/>
      <c r="N520" s="647"/>
      <c r="O520" s="647"/>
      <c r="P520" s="647"/>
      <c r="Q520" s="647"/>
      <c r="R520" s="647"/>
      <c r="S520" s="647"/>
      <c r="T520" s="647"/>
      <c r="U520" s="16"/>
      <c r="V520" s="16"/>
      <c r="W520" s="16"/>
      <c r="X520" s="16"/>
      <c r="Y520" s="16"/>
      <c r="Z520" s="16"/>
      <c r="AA520" s="16"/>
      <c r="AB520" s="16"/>
      <c r="AC520" s="16"/>
    </row>
    <row r="521" ht="12.75" customHeight="1" spans="1:29" x14ac:dyDescent="0.25">
      <c r="A521" s="16"/>
      <c r="B521" s="16"/>
      <c r="C521" s="16"/>
      <c r="D521" s="16"/>
      <c r="E521" s="16"/>
      <c r="F521" s="16"/>
      <c r="G521" s="16"/>
      <c r="H521" s="647"/>
      <c r="I521" s="647"/>
      <c r="J521" s="647"/>
      <c r="K521" s="647"/>
      <c r="L521" s="647"/>
      <c r="M521" s="647"/>
      <c r="N521" s="647"/>
      <c r="O521" s="647"/>
      <c r="P521" s="647"/>
      <c r="Q521" s="647"/>
      <c r="R521" s="647"/>
      <c r="S521" s="647"/>
      <c r="T521" s="647"/>
      <c r="U521" s="16"/>
      <c r="V521" s="16"/>
      <c r="W521" s="16"/>
      <c r="X521" s="16"/>
      <c r="Y521" s="16"/>
      <c r="Z521" s="16"/>
      <c r="AA521" s="16"/>
      <c r="AB521" s="16"/>
      <c r="AC521" s="16"/>
    </row>
    <row r="522" ht="12.75" customHeight="1" spans="1:29" x14ac:dyDescent="0.25">
      <c r="A522" s="16"/>
      <c r="B522" s="16"/>
      <c r="C522" s="16"/>
      <c r="D522" s="16"/>
      <c r="E522" s="16"/>
      <c r="F522" s="16"/>
      <c r="G522" s="16"/>
      <c r="H522" s="647"/>
      <c r="I522" s="647"/>
      <c r="J522" s="647"/>
      <c r="K522" s="647"/>
      <c r="L522" s="647"/>
      <c r="M522" s="647"/>
      <c r="N522" s="647"/>
      <c r="O522" s="647"/>
      <c r="P522" s="647"/>
      <c r="Q522" s="647"/>
      <c r="R522" s="647"/>
      <c r="S522" s="647"/>
      <c r="T522" s="647"/>
      <c r="U522" s="16"/>
      <c r="V522" s="16"/>
      <c r="W522" s="16"/>
      <c r="X522" s="16"/>
      <c r="Y522" s="16"/>
      <c r="Z522" s="16"/>
      <c r="AA522" s="16"/>
      <c r="AB522" s="16"/>
      <c r="AC522" s="16"/>
    </row>
    <row r="523" ht="12.75" customHeight="1" spans="1:29" x14ac:dyDescent="0.25">
      <c r="A523" s="16"/>
      <c r="B523" s="16"/>
      <c r="C523" s="16"/>
      <c r="D523" s="16"/>
      <c r="E523" s="16"/>
      <c r="F523" s="16"/>
      <c r="G523" s="16"/>
      <c r="H523" s="647"/>
      <c r="I523" s="647"/>
      <c r="J523" s="647"/>
      <c r="K523" s="647"/>
      <c r="L523" s="647"/>
      <c r="M523" s="647"/>
      <c r="N523" s="647"/>
      <c r="O523" s="647"/>
      <c r="P523" s="647"/>
      <c r="Q523" s="647"/>
      <c r="R523" s="647"/>
      <c r="S523" s="647"/>
      <c r="T523" s="647"/>
      <c r="U523" s="16"/>
      <c r="V523" s="16"/>
      <c r="W523" s="16"/>
      <c r="X523" s="16"/>
      <c r="Y523" s="16"/>
      <c r="Z523" s="16"/>
      <c r="AA523" s="16"/>
      <c r="AB523" s="16"/>
      <c r="AC523" s="16"/>
    </row>
    <row r="524" ht="12.75" customHeight="1" spans="1:29" x14ac:dyDescent="0.25">
      <c r="A524" s="16"/>
      <c r="B524" s="16"/>
      <c r="C524" s="16"/>
      <c r="D524" s="16"/>
      <c r="E524" s="16"/>
      <c r="F524" s="16"/>
      <c r="G524" s="16"/>
      <c r="H524" s="647"/>
      <c r="I524" s="647"/>
      <c r="J524" s="647"/>
      <c r="K524" s="647"/>
      <c r="L524" s="647"/>
      <c r="M524" s="647"/>
      <c r="N524" s="647"/>
      <c r="O524" s="647"/>
      <c r="P524" s="647"/>
      <c r="Q524" s="647"/>
      <c r="R524" s="647"/>
      <c r="S524" s="647"/>
      <c r="T524" s="647"/>
      <c r="U524" s="16"/>
      <c r="V524" s="16"/>
      <c r="W524" s="16"/>
      <c r="X524" s="16"/>
      <c r="Y524" s="16"/>
      <c r="Z524" s="16"/>
      <c r="AA524" s="16"/>
      <c r="AB524" s="16"/>
      <c r="AC524" s="16"/>
    </row>
    <row r="525" ht="12.75" customHeight="1" spans="1:29" x14ac:dyDescent="0.25">
      <c r="A525" s="16"/>
      <c r="B525" s="16"/>
      <c r="C525" s="16"/>
      <c r="D525" s="16"/>
      <c r="E525" s="16"/>
      <c r="F525" s="16"/>
      <c r="G525" s="16"/>
      <c r="H525" s="647"/>
      <c r="I525" s="647"/>
      <c r="J525" s="647"/>
      <c r="K525" s="647"/>
      <c r="L525" s="647"/>
      <c r="M525" s="647"/>
      <c r="N525" s="647"/>
      <c r="O525" s="647"/>
      <c r="P525" s="647"/>
      <c r="Q525" s="647"/>
      <c r="R525" s="647"/>
      <c r="S525" s="647"/>
      <c r="T525" s="647"/>
      <c r="U525" s="16"/>
      <c r="V525" s="16"/>
      <c r="W525" s="16"/>
      <c r="X525" s="16"/>
      <c r="Y525" s="16"/>
      <c r="Z525" s="16"/>
      <c r="AA525" s="16"/>
      <c r="AB525" s="16"/>
      <c r="AC525" s="16"/>
    </row>
    <row r="526" ht="12.75" customHeight="1" spans="1:29" x14ac:dyDescent="0.25">
      <c r="A526" s="16"/>
      <c r="B526" s="16"/>
      <c r="C526" s="16"/>
      <c r="D526" s="16"/>
      <c r="E526" s="16"/>
      <c r="F526" s="16"/>
      <c r="G526" s="16"/>
      <c r="H526" s="647"/>
      <c r="I526" s="647"/>
      <c r="J526" s="647"/>
      <c r="K526" s="647"/>
      <c r="L526" s="647"/>
      <c r="M526" s="647"/>
      <c r="N526" s="647"/>
      <c r="O526" s="647"/>
      <c r="P526" s="647"/>
      <c r="Q526" s="647"/>
      <c r="R526" s="647"/>
      <c r="S526" s="647"/>
      <c r="T526" s="647"/>
      <c r="U526" s="16"/>
      <c r="V526" s="16"/>
      <c r="W526" s="16"/>
      <c r="X526" s="16"/>
      <c r="Y526" s="16"/>
      <c r="Z526" s="16"/>
      <c r="AA526" s="16"/>
      <c r="AB526" s="16"/>
      <c r="AC526" s="16"/>
    </row>
    <row r="527" ht="12.75" customHeight="1" spans="1:29" x14ac:dyDescent="0.25">
      <c r="A527" s="16"/>
      <c r="B527" s="16"/>
      <c r="C527" s="16"/>
      <c r="D527" s="16"/>
      <c r="E527" s="16"/>
      <c r="F527" s="16"/>
      <c r="G527" s="16"/>
      <c r="H527" s="647"/>
      <c r="I527" s="647"/>
      <c r="J527" s="647"/>
      <c r="K527" s="647"/>
      <c r="L527" s="647"/>
      <c r="M527" s="647"/>
      <c r="N527" s="647"/>
      <c r="O527" s="647"/>
      <c r="P527" s="647"/>
      <c r="Q527" s="647"/>
      <c r="R527" s="647"/>
      <c r="S527" s="647"/>
      <c r="T527" s="647"/>
      <c r="U527" s="16"/>
      <c r="V527" s="16"/>
      <c r="W527" s="16"/>
      <c r="X527" s="16"/>
      <c r="Y527" s="16"/>
      <c r="Z527" s="16"/>
      <c r="AA527" s="16"/>
      <c r="AB527" s="16"/>
      <c r="AC527" s="16"/>
    </row>
    <row r="528" ht="12.75" customHeight="1" spans="1:29" x14ac:dyDescent="0.25">
      <c r="A528" s="16"/>
      <c r="B528" s="16"/>
      <c r="C528" s="16"/>
      <c r="D528" s="16"/>
      <c r="E528" s="16"/>
      <c r="F528" s="16"/>
      <c r="G528" s="16"/>
      <c r="H528" s="647"/>
      <c r="I528" s="647"/>
      <c r="J528" s="647"/>
      <c r="K528" s="647"/>
      <c r="L528" s="647"/>
      <c r="M528" s="647"/>
      <c r="N528" s="647"/>
      <c r="O528" s="647"/>
      <c r="P528" s="647"/>
      <c r="Q528" s="647"/>
      <c r="R528" s="647"/>
      <c r="S528" s="647"/>
      <c r="T528" s="647"/>
      <c r="U528" s="16"/>
      <c r="V528" s="16"/>
      <c r="W528" s="16"/>
      <c r="X528" s="16"/>
      <c r="Y528" s="16"/>
      <c r="Z528" s="16"/>
      <c r="AA528" s="16"/>
      <c r="AB528" s="16"/>
      <c r="AC528" s="16"/>
    </row>
    <row r="529" ht="12.75" customHeight="1" spans="1:29" x14ac:dyDescent="0.25">
      <c r="A529" s="16"/>
      <c r="B529" s="16"/>
      <c r="C529" s="16"/>
      <c r="D529" s="16"/>
      <c r="E529" s="16"/>
      <c r="F529" s="16"/>
      <c r="G529" s="16"/>
      <c r="H529" s="647"/>
      <c r="I529" s="647"/>
      <c r="J529" s="647"/>
      <c r="K529" s="647"/>
      <c r="L529" s="647"/>
      <c r="M529" s="647"/>
      <c r="N529" s="647"/>
      <c r="O529" s="647"/>
      <c r="P529" s="647"/>
      <c r="Q529" s="647"/>
      <c r="R529" s="647"/>
      <c r="S529" s="647"/>
      <c r="T529" s="647"/>
      <c r="U529" s="16"/>
      <c r="V529" s="16"/>
      <c r="W529" s="16"/>
      <c r="X529" s="16"/>
      <c r="Y529" s="16"/>
      <c r="Z529" s="16"/>
      <c r="AA529" s="16"/>
      <c r="AB529" s="16"/>
      <c r="AC529" s="16"/>
    </row>
    <row r="530" ht="12.75" customHeight="1" spans="1:29" x14ac:dyDescent="0.25">
      <c r="A530" s="16"/>
      <c r="B530" s="16"/>
      <c r="C530" s="16"/>
      <c r="D530" s="16"/>
      <c r="E530" s="16"/>
      <c r="F530" s="16"/>
      <c r="G530" s="16"/>
      <c r="H530" s="647"/>
      <c r="I530" s="647"/>
      <c r="J530" s="647"/>
      <c r="K530" s="647"/>
      <c r="L530" s="647"/>
      <c r="M530" s="647"/>
      <c r="N530" s="647"/>
      <c r="O530" s="647"/>
      <c r="P530" s="647"/>
      <c r="Q530" s="647"/>
      <c r="R530" s="647"/>
      <c r="S530" s="647"/>
      <c r="T530" s="647"/>
      <c r="U530" s="16"/>
      <c r="V530" s="16"/>
      <c r="W530" s="16"/>
      <c r="X530" s="16"/>
      <c r="Y530" s="16"/>
      <c r="Z530" s="16"/>
      <c r="AA530" s="16"/>
      <c r="AB530" s="16"/>
      <c r="AC530" s="16"/>
    </row>
    <row r="531" ht="12.75" customHeight="1" spans="1:29" x14ac:dyDescent="0.25">
      <c r="A531" s="16"/>
      <c r="B531" s="16"/>
      <c r="C531" s="16"/>
      <c r="D531" s="16"/>
      <c r="E531" s="16"/>
      <c r="F531" s="16"/>
      <c r="G531" s="16"/>
      <c r="H531" s="647"/>
      <c r="I531" s="647"/>
      <c r="J531" s="647"/>
      <c r="K531" s="647"/>
      <c r="L531" s="647"/>
      <c r="M531" s="647"/>
      <c r="N531" s="647"/>
      <c r="O531" s="647"/>
      <c r="P531" s="647"/>
      <c r="Q531" s="647"/>
      <c r="R531" s="647"/>
      <c r="S531" s="647"/>
      <c r="T531" s="647"/>
      <c r="U531" s="16"/>
      <c r="V531" s="16"/>
      <c r="W531" s="16"/>
      <c r="X531" s="16"/>
      <c r="Y531" s="16"/>
      <c r="Z531" s="16"/>
      <c r="AA531" s="16"/>
      <c r="AB531" s="16"/>
      <c r="AC531" s="16"/>
    </row>
    <row r="532" ht="12.75" customHeight="1" spans="1:29" x14ac:dyDescent="0.25">
      <c r="A532" s="16"/>
      <c r="B532" s="16"/>
      <c r="C532" s="16"/>
      <c r="D532" s="16"/>
      <c r="E532" s="16"/>
      <c r="F532" s="16"/>
      <c r="G532" s="16"/>
      <c r="H532" s="647"/>
      <c r="I532" s="647"/>
      <c r="J532" s="647"/>
      <c r="K532" s="647"/>
      <c r="L532" s="647"/>
      <c r="M532" s="647"/>
      <c r="N532" s="647"/>
      <c r="O532" s="647"/>
      <c r="P532" s="647"/>
      <c r="Q532" s="647"/>
      <c r="R532" s="647"/>
      <c r="S532" s="647"/>
      <c r="T532" s="647"/>
      <c r="U532" s="16"/>
      <c r="V532" s="16"/>
      <c r="W532" s="16"/>
      <c r="X532" s="16"/>
      <c r="Y532" s="16"/>
      <c r="Z532" s="16"/>
      <c r="AA532" s="16"/>
      <c r="AB532" s="16"/>
      <c r="AC532" s="16"/>
    </row>
    <row r="533" ht="12.75" customHeight="1" spans="1:29" x14ac:dyDescent="0.25">
      <c r="A533" s="16"/>
      <c r="B533" s="16"/>
      <c r="C533" s="16"/>
      <c r="D533" s="16"/>
      <c r="E533" s="16"/>
      <c r="F533" s="16"/>
      <c r="G533" s="16"/>
      <c r="H533" s="647"/>
      <c r="I533" s="647"/>
      <c r="J533" s="647"/>
      <c r="K533" s="647"/>
      <c r="L533" s="647"/>
      <c r="M533" s="647"/>
      <c r="N533" s="647"/>
      <c r="O533" s="647"/>
      <c r="P533" s="647"/>
      <c r="Q533" s="647"/>
      <c r="R533" s="647"/>
      <c r="S533" s="647"/>
      <c r="T533" s="647"/>
      <c r="U533" s="16"/>
      <c r="V533" s="16"/>
      <c r="W533" s="16"/>
      <c r="X533" s="16"/>
      <c r="Y533" s="16"/>
      <c r="Z533" s="16"/>
      <c r="AA533" s="16"/>
      <c r="AB533" s="16"/>
      <c r="AC533" s="16"/>
    </row>
    <row r="534" ht="12.75" customHeight="1" spans="1:29" x14ac:dyDescent="0.25">
      <c r="A534" s="16"/>
      <c r="B534" s="16"/>
      <c r="C534" s="16"/>
      <c r="D534" s="16"/>
      <c r="E534" s="16"/>
      <c r="F534" s="16"/>
      <c r="G534" s="16"/>
      <c r="H534" s="647"/>
      <c r="I534" s="647"/>
      <c r="J534" s="647"/>
      <c r="K534" s="647"/>
      <c r="L534" s="647"/>
      <c r="M534" s="647"/>
      <c r="N534" s="647"/>
      <c r="O534" s="647"/>
      <c r="P534" s="647"/>
      <c r="Q534" s="647"/>
      <c r="R534" s="647"/>
      <c r="S534" s="647"/>
      <c r="T534" s="647"/>
      <c r="U534" s="16"/>
      <c r="V534" s="16"/>
      <c r="W534" s="16"/>
      <c r="X534" s="16"/>
      <c r="Y534" s="16"/>
      <c r="Z534" s="16"/>
      <c r="AA534" s="16"/>
      <c r="AB534" s="16"/>
      <c r="AC534" s="16"/>
    </row>
    <row r="535" ht="12.75" customHeight="1" spans="1:29" x14ac:dyDescent="0.25">
      <c r="A535" s="16"/>
      <c r="B535" s="16"/>
      <c r="C535" s="16"/>
      <c r="D535" s="16"/>
      <c r="E535" s="16"/>
      <c r="F535" s="16"/>
      <c r="G535" s="16"/>
      <c r="H535" s="647"/>
      <c r="I535" s="647"/>
      <c r="J535" s="647"/>
      <c r="K535" s="647"/>
      <c r="L535" s="647"/>
      <c r="M535" s="647"/>
      <c r="N535" s="647"/>
      <c r="O535" s="647"/>
      <c r="P535" s="647"/>
      <c r="Q535" s="647"/>
      <c r="R535" s="647"/>
      <c r="S535" s="647"/>
      <c r="T535" s="647"/>
      <c r="U535" s="16"/>
      <c r="V535" s="16"/>
      <c r="W535" s="16"/>
      <c r="X535" s="16"/>
      <c r="Y535" s="16"/>
      <c r="Z535" s="16"/>
      <c r="AA535" s="16"/>
      <c r="AB535" s="16"/>
      <c r="AC535" s="16"/>
    </row>
    <row r="536" ht="12.75" customHeight="1" spans="1:29" x14ac:dyDescent="0.25">
      <c r="A536" s="16"/>
      <c r="B536" s="16"/>
      <c r="C536" s="16"/>
      <c r="D536" s="16"/>
      <c r="E536" s="16"/>
      <c r="F536" s="16"/>
      <c r="G536" s="16"/>
      <c r="H536" s="647"/>
      <c r="I536" s="647"/>
      <c r="J536" s="647"/>
      <c r="K536" s="647"/>
      <c r="L536" s="647"/>
      <c r="M536" s="647"/>
      <c r="N536" s="647"/>
      <c r="O536" s="647"/>
      <c r="P536" s="647"/>
      <c r="Q536" s="647"/>
      <c r="R536" s="647"/>
      <c r="S536" s="647"/>
      <c r="T536" s="647"/>
      <c r="U536" s="16"/>
      <c r="V536" s="16"/>
      <c r="W536" s="16"/>
      <c r="X536" s="16"/>
      <c r="Y536" s="16"/>
      <c r="Z536" s="16"/>
      <c r="AA536" s="16"/>
      <c r="AB536" s="16"/>
      <c r="AC536" s="16"/>
    </row>
    <row r="537" ht="12.75" customHeight="1" spans="1:29" x14ac:dyDescent="0.25">
      <c r="A537" s="16"/>
      <c r="B537" s="16"/>
      <c r="C537" s="16"/>
      <c r="D537" s="16"/>
      <c r="E537" s="16"/>
      <c r="F537" s="16"/>
      <c r="G537" s="16"/>
      <c r="H537" s="647"/>
      <c r="I537" s="647"/>
      <c r="J537" s="647"/>
      <c r="K537" s="647"/>
      <c r="L537" s="647"/>
      <c r="M537" s="647"/>
      <c r="N537" s="647"/>
      <c r="O537" s="647"/>
      <c r="P537" s="647"/>
      <c r="Q537" s="647"/>
      <c r="R537" s="647"/>
      <c r="S537" s="647"/>
      <c r="T537" s="647"/>
      <c r="U537" s="16"/>
      <c r="V537" s="16"/>
      <c r="W537" s="16"/>
      <c r="X537" s="16"/>
      <c r="Y537" s="16"/>
      <c r="Z537" s="16"/>
      <c r="AA537" s="16"/>
      <c r="AB537" s="16"/>
      <c r="AC537" s="16"/>
    </row>
    <row r="538" ht="12.75" customHeight="1" spans="1:29" x14ac:dyDescent="0.25">
      <c r="A538" s="16"/>
      <c r="B538" s="16"/>
      <c r="C538" s="16"/>
      <c r="D538" s="16"/>
      <c r="E538" s="16"/>
      <c r="F538" s="16"/>
      <c r="G538" s="16"/>
      <c r="H538" s="647"/>
      <c r="I538" s="647"/>
      <c r="J538" s="647"/>
      <c r="K538" s="647"/>
      <c r="L538" s="647"/>
      <c r="M538" s="647"/>
      <c r="N538" s="647"/>
      <c r="O538" s="647"/>
      <c r="P538" s="647"/>
      <c r="Q538" s="647"/>
      <c r="R538" s="647"/>
      <c r="S538" s="647"/>
      <c r="T538" s="647"/>
      <c r="U538" s="16"/>
      <c r="V538" s="16"/>
      <c r="W538" s="16"/>
      <c r="X538" s="16"/>
      <c r="Y538" s="16"/>
      <c r="Z538" s="16"/>
      <c r="AA538" s="16"/>
      <c r="AB538" s="16"/>
      <c r="AC538" s="16"/>
    </row>
    <row r="539" ht="12.75" customHeight="1" spans="1:29" x14ac:dyDescent="0.25">
      <c r="A539" s="16"/>
      <c r="B539" s="16"/>
      <c r="C539" s="16"/>
      <c r="D539" s="16"/>
      <c r="E539" s="16"/>
      <c r="F539" s="16"/>
      <c r="G539" s="16"/>
      <c r="H539" s="647"/>
      <c r="I539" s="647"/>
      <c r="J539" s="647"/>
      <c r="K539" s="647"/>
      <c r="L539" s="647"/>
      <c r="M539" s="647"/>
      <c r="N539" s="647"/>
      <c r="O539" s="647"/>
      <c r="P539" s="647"/>
      <c r="Q539" s="647"/>
      <c r="R539" s="647"/>
      <c r="S539" s="647"/>
      <c r="T539" s="647"/>
      <c r="U539" s="16"/>
      <c r="V539" s="16"/>
      <c r="W539" s="16"/>
      <c r="X539" s="16"/>
      <c r="Y539" s="16"/>
      <c r="Z539" s="16"/>
      <c r="AA539" s="16"/>
      <c r="AB539" s="16"/>
      <c r="AC539" s="16"/>
    </row>
    <row r="540" ht="12.75" customHeight="1" spans="1:29" x14ac:dyDescent="0.25">
      <c r="A540" s="16"/>
      <c r="B540" s="16"/>
      <c r="C540" s="16"/>
      <c r="D540" s="16"/>
      <c r="E540" s="16"/>
      <c r="F540" s="16"/>
      <c r="G540" s="16"/>
      <c r="H540" s="647"/>
      <c r="I540" s="647"/>
      <c r="J540" s="647"/>
      <c r="K540" s="647"/>
      <c r="L540" s="647"/>
      <c r="M540" s="647"/>
      <c r="N540" s="647"/>
      <c r="O540" s="647"/>
      <c r="P540" s="647"/>
      <c r="Q540" s="647"/>
      <c r="R540" s="647"/>
      <c r="S540" s="647"/>
      <c r="T540" s="647"/>
      <c r="U540" s="16"/>
      <c r="V540" s="16"/>
      <c r="W540" s="16"/>
      <c r="X540" s="16"/>
      <c r="Y540" s="16"/>
      <c r="Z540" s="16"/>
      <c r="AA540" s="16"/>
      <c r="AB540" s="16"/>
      <c r="AC540" s="16"/>
    </row>
    <row r="541" ht="12.75" customHeight="1" spans="1:29" x14ac:dyDescent="0.25">
      <c r="A541" s="16"/>
      <c r="B541" s="16"/>
      <c r="C541" s="16"/>
      <c r="D541" s="16"/>
      <c r="E541" s="16"/>
      <c r="F541" s="16"/>
      <c r="G541" s="16"/>
      <c r="H541" s="647"/>
      <c r="I541" s="647"/>
      <c r="J541" s="647"/>
      <c r="K541" s="647"/>
      <c r="L541" s="647"/>
      <c r="M541" s="647"/>
      <c r="N541" s="647"/>
      <c r="O541" s="647"/>
      <c r="P541" s="647"/>
      <c r="Q541" s="647"/>
      <c r="R541" s="647"/>
      <c r="S541" s="647"/>
      <c r="T541" s="647"/>
      <c r="U541" s="16"/>
      <c r="V541" s="16"/>
      <c r="W541" s="16"/>
      <c r="X541" s="16"/>
      <c r="Y541" s="16"/>
      <c r="Z541" s="16"/>
      <c r="AA541" s="16"/>
      <c r="AB541" s="16"/>
      <c r="AC541" s="16"/>
    </row>
    <row r="542" ht="12.75" customHeight="1" spans="1:29" x14ac:dyDescent="0.25">
      <c r="A542" s="16"/>
      <c r="B542" s="16"/>
      <c r="C542" s="16"/>
      <c r="D542" s="16"/>
      <c r="E542" s="16"/>
      <c r="F542" s="16"/>
      <c r="G542" s="16"/>
      <c r="H542" s="647"/>
      <c r="I542" s="647"/>
      <c r="J542" s="647"/>
      <c r="K542" s="647"/>
      <c r="L542" s="647"/>
      <c r="M542" s="647"/>
      <c r="N542" s="647"/>
      <c r="O542" s="647"/>
      <c r="P542" s="647"/>
      <c r="Q542" s="647"/>
      <c r="R542" s="647"/>
      <c r="S542" s="647"/>
      <c r="T542" s="647"/>
      <c r="U542" s="16"/>
      <c r="V542" s="16"/>
      <c r="W542" s="16"/>
      <c r="X542" s="16"/>
      <c r="Y542" s="16"/>
      <c r="Z542" s="16"/>
      <c r="AA542" s="16"/>
      <c r="AB542" s="16"/>
      <c r="AC542" s="16"/>
    </row>
    <row r="543" ht="12.75" customHeight="1" spans="1:29" x14ac:dyDescent="0.25">
      <c r="A543" s="16"/>
      <c r="B543" s="16"/>
      <c r="C543" s="16"/>
      <c r="D543" s="16"/>
      <c r="E543" s="16"/>
      <c r="F543" s="16"/>
      <c r="G543" s="16"/>
      <c r="H543" s="647"/>
      <c r="I543" s="647"/>
      <c r="J543" s="647"/>
      <c r="K543" s="647"/>
      <c r="L543" s="647"/>
      <c r="M543" s="647"/>
      <c r="N543" s="647"/>
      <c r="O543" s="647"/>
      <c r="P543" s="647"/>
      <c r="Q543" s="647"/>
      <c r="R543" s="647"/>
      <c r="S543" s="647"/>
      <c r="T543" s="647"/>
      <c r="U543" s="16"/>
      <c r="V543" s="16"/>
      <c r="W543" s="16"/>
      <c r="X543" s="16"/>
      <c r="Y543" s="16"/>
      <c r="Z543" s="16"/>
      <c r="AA543" s="16"/>
      <c r="AB543" s="16"/>
      <c r="AC543" s="16"/>
    </row>
    <row r="544" ht="12.75" customHeight="1" spans="1:29" x14ac:dyDescent="0.25">
      <c r="A544" s="16"/>
      <c r="B544" s="16"/>
      <c r="C544" s="16"/>
      <c r="D544" s="16"/>
      <c r="E544" s="16"/>
      <c r="F544" s="16"/>
      <c r="G544" s="16"/>
      <c r="H544" s="647"/>
      <c r="I544" s="647"/>
      <c r="J544" s="647"/>
      <c r="K544" s="647"/>
      <c r="L544" s="647"/>
      <c r="M544" s="647"/>
      <c r="N544" s="647"/>
      <c r="O544" s="647"/>
      <c r="P544" s="647"/>
      <c r="Q544" s="647"/>
      <c r="R544" s="647"/>
      <c r="S544" s="647"/>
      <c r="T544" s="647"/>
      <c r="U544" s="16"/>
      <c r="V544" s="16"/>
      <c r="W544" s="16"/>
      <c r="X544" s="16"/>
      <c r="Y544" s="16"/>
      <c r="Z544" s="16"/>
      <c r="AA544" s="16"/>
      <c r="AB544" s="16"/>
      <c r="AC544" s="16"/>
    </row>
    <row r="545" ht="12.75" customHeight="1" spans="1:29" x14ac:dyDescent="0.25">
      <c r="A545" s="16"/>
      <c r="B545" s="16"/>
      <c r="C545" s="16"/>
      <c r="D545" s="16"/>
      <c r="E545" s="16"/>
      <c r="F545" s="16"/>
      <c r="G545" s="16"/>
      <c r="H545" s="647"/>
      <c r="I545" s="647"/>
      <c r="J545" s="647"/>
      <c r="K545" s="647"/>
      <c r="L545" s="647"/>
      <c r="M545" s="647"/>
      <c r="N545" s="647"/>
      <c r="O545" s="647"/>
      <c r="P545" s="647"/>
      <c r="Q545" s="647"/>
      <c r="R545" s="647"/>
      <c r="S545" s="647"/>
      <c r="T545" s="647"/>
      <c r="U545" s="16"/>
      <c r="V545" s="16"/>
      <c r="W545" s="16"/>
      <c r="X545" s="16"/>
      <c r="Y545" s="16"/>
      <c r="Z545" s="16"/>
      <c r="AA545" s="16"/>
      <c r="AB545" s="16"/>
      <c r="AC545" s="16"/>
    </row>
    <row r="546" ht="12.75" customHeight="1" spans="1:29" x14ac:dyDescent="0.25">
      <c r="A546" s="16"/>
      <c r="B546" s="16"/>
      <c r="C546" s="16"/>
      <c r="D546" s="16"/>
      <c r="E546" s="16"/>
      <c r="F546" s="16"/>
      <c r="G546" s="16"/>
      <c r="H546" s="647"/>
      <c r="I546" s="647"/>
      <c r="J546" s="647"/>
      <c r="K546" s="647"/>
      <c r="L546" s="647"/>
      <c r="M546" s="647"/>
      <c r="N546" s="647"/>
      <c r="O546" s="647"/>
      <c r="P546" s="647"/>
      <c r="Q546" s="647"/>
      <c r="R546" s="647"/>
      <c r="S546" s="647"/>
      <c r="T546" s="647"/>
      <c r="U546" s="16"/>
      <c r="V546" s="16"/>
      <c r="W546" s="16"/>
      <c r="X546" s="16"/>
      <c r="Y546" s="16"/>
      <c r="Z546" s="16"/>
      <c r="AA546" s="16"/>
      <c r="AB546" s="16"/>
      <c r="AC546" s="16"/>
    </row>
    <row r="547" ht="12.75" customHeight="1" spans="1:29" x14ac:dyDescent="0.25">
      <c r="A547" s="16"/>
      <c r="B547" s="16"/>
      <c r="C547" s="16"/>
      <c r="D547" s="16"/>
      <c r="E547" s="16"/>
      <c r="F547" s="16"/>
      <c r="G547" s="16"/>
      <c r="H547" s="647"/>
      <c r="I547" s="647"/>
      <c r="J547" s="647"/>
      <c r="K547" s="647"/>
      <c r="L547" s="647"/>
      <c r="M547" s="647"/>
      <c r="N547" s="647"/>
      <c r="O547" s="647"/>
      <c r="P547" s="647"/>
      <c r="Q547" s="647"/>
      <c r="R547" s="647"/>
      <c r="S547" s="647"/>
      <c r="T547" s="647"/>
      <c r="U547" s="16"/>
      <c r="V547" s="16"/>
      <c r="W547" s="16"/>
      <c r="X547" s="16"/>
      <c r="Y547" s="16"/>
      <c r="Z547" s="16"/>
      <c r="AA547" s="16"/>
      <c r="AB547" s="16"/>
      <c r="AC547" s="16"/>
    </row>
    <row r="548" ht="12.75" customHeight="1" spans="1:29" x14ac:dyDescent="0.25">
      <c r="A548" s="16"/>
      <c r="B548" s="16"/>
      <c r="C548" s="16"/>
      <c r="D548" s="16"/>
      <c r="E548" s="16"/>
      <c r="F548" s="16"/>
      <c r="G548" s="16"/>
      <c r="H548" s="647"/>
      <c r="I548" s="647"/>
      <c r="J548" s="647"/>
      <c r="K548" s="647"/>
      <c r="L548" s="647"/>
      <c r="M548" s="647"/>
      <c r="N548" s="647"/>
      <c r="O548" s="647"/>
      <c r="P548" s="647"/>
      <c r="Q548" s="647"/>
      <c r="R548" s="647"/>
      <c r="S548" s="647"/>
      <c r="T548" s="647"/>
      <c r="U548" s="16"/>
      <c r="V548" s="16"/>
      <c r="W548" s="16"/>
      <c r="X548" s="16"/>
      <c r="Y548" s="16"/>
      <c r="Z548" s="16"/>
      <c r="AA548" s="16"/>
      <c r="AB548" s="16"/>
      <c r="AC548" s="16"/>
    </row>
    <row r="549" ht="12.75" customHeight="1" spans="1:29" x14ac:dyDescent="0.25">
      <c r="A549" s="16"/>
      <c r="B549" s="16"/>
      <c r="C549" s="16"/>
      <c r="D549" s="16"/>
      <c r="E549" s="16"/>
      <c r="F549" s="16"/>
      <c r="G549" s="16"/>
      <c r="H549" s="647"/>
      <c r="I549" s="647"/>
      <c r="J549" s="647"/>
      <c r="K549" s="647"/>
      <c r="L549" s="647"/>
      <c r="M549" s="647"/>
      <c r="N549" s="647"/>
      <c r="O549" s="647"/>
      <c r="P549" s="647"/>
      <c r="Q549" s="647"/>
      <c r="R549" s="647"/>
      <c r="S549" s="647"/>
      <c r="T549" s="647"/>
      <c r="U549" s="16"/>
      <c r="V549" s="16"/>
      <c r="W549" s="16"/>
      <c r="X549" s="16"/>
      <c r="Y549" s="16"/>
      <c r="Z549" s="16"/>
      <c r="AA549" s="16"/>
      <c r="AB549" s="16"/>
      <c r="AC549" s="16"/>
    </row>
    <row r="550" ht="12.75" customHeight="1" spans="1:29" x14ac:dyDescent="0.25">
      <c r="A550" s="16"/>
      <c r="B550" s="16"/>
      <c r="C550" s="16"/>
      <c r="D550" s="16"/>
      <c r="E550" s="16"/>
      <c r="F550" s="16"/>
      <c r="G550" s="16"/>
      <c r="H550" s="647"/>
      <c r="I550" s="647"/>
      <c r="J550" s="647"/>
      <c r="K550" s="647"/>
      <c r="L550" s="647"/>
      <c r="M550" s="647"/>
      <c r="N550" s="647"/>
      <c r="O550" s="647"/>
      <c r="P550" s="647"/>
      <c r="Q550" s="647"/>
      <c r="R550" s="647"/>
      <c r="S550" s="647"/>
      <c r="T550" s="647"/>
      <c r="U550" s="16"/>
      <c r="V550" s="16"/>
      <c r="W550" s="16"/>
      <c r="X550" s="16"/>
      <c r="Y550" s="16"/>
      <c r="Z550" s="16"/>
      <c r="AA550" s="16"/>
      <c r="AB550" s="16"/>
      <c r="AC550" s="16"/>
    </row>
    <row r="551" ht="12.75" customHeight="1" spans="1:29" x14ac:dyDescent="0.25">
      <c r="A551" s="16"/>
      <c r="B551" s="16"/>
      <c r="C551" s="16"/>
      <c r="D551" s="16"/>
      <c r="E551" s="16"/>
      <c r="F551" s="16"/>
      <c r="G551" s="16"/>
      <c r="H551" s="647"/>
      <c r="I551" s="647"/>
      <c r="J551" s="647"/>
      <c r="K551" s="647"/>
      <c r="L551" s="647"/>
      <c r="M551" s="647"/>
      <c r="N551" s="647"/>
      <c r="O551" s="647"/>
      <c r="P551" s="647"/>
      <c r="Q551" s="647"/>
      <c r="R551" s="647"/>
      <c r="S551" s="647"/>
      <c r="T551" s="647"/>
      <c r="U551" s="16"/>
      <c r="V551" s="16"/>
      <c r="W551" s="16"/>
      <c r="X551" s="16"/>
      <c r="Y551" s="16"/>
      <c r="Z551" s="16"/>
      <c r="AA551" s="16"/>
      <c r="AB551" s="16"/>
      <c r="AC551" s="16"/>
    </row>
    <row r="552" ht="12.75" customHeight="1" spans="1:29" x14ac:dyDescent="0.25">
      <c r="A552" s="16"/>
      <c r="B552" s="16"/>
      <c r="C552" s="16"/>
      <c r="D552" s="16"/>
      <c r="E552" s="16"/>
      <c r="F552" s="16"/>
      <c r="G552" s="16"/>
      <c r="H552" s="647"/>
      <c r="I552" s="647"/>
      <c r="J552" s="647"/>
      <c r="K552" s="647"/>
      <c r="L552" s="647"/>
      <c r="M552" s="647"/>
      <c r="N552" s="647"/>
      <c r="O552" s="647"/>
      <c r="P552" s="647"/>
      <c r="Q552" s="647"/>
      <c r="R552" s="647"/>
      <c r="S552" s="647"/>
      <c r="T552" s="647"/>
      <c r="U552" s="16"/>
      <c r="V552" s="16"/>
      <c r="W552" s="16"/>
      <c r="X552" s="16"/>
      <c r="Y552" s="16"/>
      <c r="Z552" s="16"/>
      <c r="AA552" s="16"/>
      <c r="AB552" s="16"/>
      <c r="AC552" s="16"/>
    </row>
    <row r="553" ht="12.75" customHeight="1" spans="1:29" x14ac:dyDescent="0.25">
      <c r="A553" s="16"/>
      <c r="B553" s="16"/>
      <c r="C553" s="16"/>
      <c r="D553" s="16"/>
      <c r="E553" s="16"/>
      <c r="F553" s="16"/>
      <c r="G553" s="16"/>
      <c r="H553" s="647"/>
      <c r="I553" s="647"/>
      <c r="J553" s="647"/>
      <c r="K553" s="647"/>
      <c r="L553" s="647"/>
      <c r="M553" s="647"/>
      <c r="N553" s="647"/>
      <c r="O553" s="647"/>
      <c r="P553" s="647"/>
      <c r="Q553" s="647"/>
      <c r="R553" s="647"/>
      <c r="S553" s="647"/>
      <c r="T553" s="647"/>
      <c r="U553" s="16"/>
      <c r="V553" s="16"/>
      <c r="W553" s="16"/>
      <c r="X553" s="16"/>
      <c r="Y553" s="16"/>
      <c r="Z553" s="16"/>
      <c r="AA553" s="16"/>
      <c r="AB553" s="16"/>
      <c r="AC553" s="16"/>
    </row>
    <row r="554" ht="12.75" customHeight="1" spans="1:29" x14ac:dyDescent="0.25">
      <c r="A554" s="16"/>
      <c r="B554" s="16"/>
      <c r="C554" s="16"/>
      <c r="D554" s="16"/>
      <c r="E554" s="16"/>
      <c r="F554" s="16"/>
      <c r="G554" s="16"/>
      <c r="H554" s="647"/>
      <c r="I554" s="647"/>
      <c r="J554" s="647"/>
      <c r="K554" s="647"/>
      <c r="L554" s="647"/>
      <c r="M554" s="647"/>
      <c r="N554" s="647"/>
      <c r="O554" s="647"/>
      <c r="P554" s="647"/>
      <c r="Q554" s="647"/>
      <c r="R554" s="647"/>
      <c r="S554" s="647"/>
      <c r="T554" s="647"/>
      <c r="U554" s="16"/>
      <c r="V554" s="16"/>
      <c r="W554" s="16"/>
      <c r="X554" s="16"/>
      <c r="Y554" s="16"/>
      <c r="Z554" s="16"/>
      <c r="AA554" s="16"/>
      <c r="AB554" s="16"/>
      <c r="AC554" s="16"/>
    </row>
    <row r="555" ht="12.75" customHeight="1" spans="1:29" x14ac:dyDescent="0.25">
      <c r="A555" s="16"/>
      <c r="B555" s="16"/>
      <c r="C555" s="16"/>
      <c r="D555" s="16"/>
      <c r="E555" s="16"/>
      <c r="F555" s="16"/>
      <c r="G555" s="16"/>
      <c r="H555" s="647"/>
      <c r="I555" s="647"/>
      <c r="J555" s="647"/>
      <c r="K555" s="647"/>
      <c r="L555" s="647"/>
      <c r="M555" s="647"/>
      <c r="N555" s="647"/>
      <c r="O555" s="647"/>
      <c r="P555" s="647"/>
      <c r="Q555" s="647"/>
      <c r="R555" s="647"/>
      <c r="S555" s="647"/>
      <c r="T555" s="647"/>
      <c r="U555" s="16"/>
      <c r="V555" s="16"/>
      <c r="W555" s="16"/>
      <c r="X555" s="16"/>
      <c r="Y555" s="16"/>
      <c r="Z555" s="16"/>
      <c r="AA555" s="16"/>
      <c r="AB555" s="16"/>
      <c r="AC555" s="16"/>
    </row>
    <row r="556" ht="12.75" customHeight="1" spans="1:29" x14ac:dyDescent="0.25">
      <c r="A556" s="16"/>
      <c r="B556" s="16"/>
      <c r="C556" s="16"/>
      <c r="D556" s="16"/>
      <c r="E556" s="16"/>
      <c r="F556" s="16"/>
      <c r="G556" s="16"/>
      <c r="H556" s="647"/>
      <c r="I556" s="647"/>
      <c r="J556" s="647"/>
      <c r="K556" s="647"/>
      <c r="L556" s="647"/>
      <c r="M556" s="647"/>
      <c r="N556" s="647"/>
      <c r="O556" s="647"/>
      <c r="P556" s="647"/>
      <c r="Q556" s="647"/>
      <c r="R556" s="647"/>
      <c r="S556" s="647"/>
      <c r="T556" s="647"/>
      <c r="U556" s="16"/>
      <c r="V556" s="16"/>
      <c r="W556" s="16"/>
      <c r="X556" s="16"/>
      <c r="Y556" s="16"/>
      <c r="Z556" s="16"/>
      <c r="AA556" s="16"/>
      <c r="AB556" s="16"/>
      <c r="AC556" s="16"/>
    </row>
    <row r="557" ht="12.75" customHeight="1" spans="1:29" x14ac:dyDescent="0.25">
      <c r="A557" s="16"/>
      <c r="B557" s="16"/>
      <c r="C557" s="16"/>
      <c r="D557" s="16"/>
      <c r="E557" s="16"/>
      <c r="F557" s="16"/>
      <c r="G557" s="16"/>
      <c r="H557" s="647"/>
      <c r="I557" s="647"/>
      <c r="J557" s="647"/>
      <c r="K557" s="647"/>
      <c r="L557" s="647"/>
      <c r="M557" s="647"/>
      <c r="N557" s="647"/>
      <c r="O557" s="647"/>
      <c r="P557" s="647"/>
      <c r="Q557" s="647"/>
      <c r="R557" s="647"/>
      <c r="S557" s="647"/>
      <c r="T557" s="647"/>
      <c r="U557" s="16"/>
      <c r="V557" s="16"/>
      <c r="W557" s="16"/>
      <c r="X557" s="16"/>
      <c r="Y557" s="16"/>
      <c r="Z557" s="16"/>
      <c r="AA557" s="16"/>
      <c r="AB557" s="16"/>
      <c r="AC557" s="16"/>
    </row>
    <row r="558" ht="12.75" customHeight="1" spans="1:29" x14ac:dyDescent="0.25">
      <c r="A558" s="16"/>
      <c r="B558" s="16"/>
      <c r="C558" s="16"/>
      <c r="D558" s="16"/>
      <c r="E558" s="16"/>
      <c r="F558" s="16"/>
      <c r="G558" s="16"/>
      <c r="H558" s="647"/>
      <c r="I558" s="647"/>
      <c r="J558" s="647"/>
      <c r="K558" s="647"/>
      <c r="L558" s="647"/>
      <c r="M558" s="647"/>
      <c r="N558" s="647"/>
      <c r="O558" s="647"/>
      <c r="P558" s="647"/>
      <c r="Q558" s="647"/>
      <c r="R558" s="647"/>
      <c r="S558" s="647"/>
      <c r="T558" s="647"/>
      <c r="U558" s="16"/>
      <c r="V558" s="16"/>
      <c r="W558" s="16"/>
      <c r="X558" s="16"/>
      <c r="Y558" s="16"/>
      <c r="Z558" s="16"/>
      <c r="AA558" s="16"/>
      <c r="AB558" s="16"/>
      <c r="AC558" s="16"/>
    </row>
    <row r="559" ht="12.75" customHeight="1" spans="1:29" x14ac:dyDescent="0.25">
      <c r="A559" s="16"/>
      <c r="B559" s="16"/>
      <c r="C559" s="16"/>
      <c r="D559" s="16"/>
      <c r="E559" s="16"/>
      <c r="F559" s="16"/>
      <c r="G559" s="16"/>
      <c r="H559" s="647"/>
      <c r="I559" s="647"/>
      <c r="J559" s="647"/>
      <c r="K559" s="647"/>
      <c r="L559" s="647"/>
      <c r="M559" s="647"/>
      <c r="N559" s="647"/>
      <c r="O559" s="647"/>
      <c r="P559" s="647"/>
      <c r="Q559" s="647"/>
      <c r="R559" s="647"/>
      <c r="S559" s="647"/>
      <c r="T559" s="647"/>
      <c r="U559" s="16"/>
      <c r="V559" s="16"/>
      <c r="W559" s="16"/>
      <c r="X559" s="16"/>
      <c r="Y559" s="16"/>
      <c r="Z559" s="16"/>
      <c r="AA559" s="16"/>
      <c r="AB559" s="16"/>
      <c r="AC559" s="16"/>
    </row>
    <row r="560" ht="12.75" customHeight="1" spans="1:29" x14ac:dyDescent="0.25">
      <c r="A560" s="16"/>
      <c r="B560" s="16"/>
      <c r="C560" s="16"/>
      <c r="D560" s="16"/>
      <c r="E560" s="16"/>
      <c r="F560" s="16"/>
      <c r="G560" s="16"/>
      <c r="H560" s="647"/>
      <c r="I560" s="647"/>
      <c r="J560" s="647"/>
      <c r="K560" s="647"/>
      <c r="L560" s="647"/>
      <c r="M560" s="647"/>
      <c r="N560" s="647"/>
      <c r="O560" s="647"/>
      <c r="P560" s="647"/>
      <c r="Q560" s="647"/>
      <c r="R560" s="647"/>
      <c r="S560" s="647"/>
      <c r="T560" s="647"/>
      <c r="U560" s="16"/>
      <c r="V560" s="16"/>
      <c r="W560" s="16"/>
      <c r="X560" s="16"/>
      <c r="Y560" s="16"/>
      <c r="Z560" s="16"/>
      <c r="AA560" s="16"/>
      <c r="AB560" s="16"/>
      <c r="AC560" s="16"/>
    </row>
    <row r="561" ht="12.75" customHeight="1" spans="1:29" x14ac:dyDescent="0.25">
      <c r="A561" s="16"/>
      <c r="B561" s="16"/>
      <c r="C561" s="16"/>
      <c r="D561" s="16"/>
      <c r="E561" s="16"/>
      <c r="F561" s="16"/>
      <c r="G561" s="16"/>
      <c r="H561" s="647"/>
      <c r="I561" s="647"/>
      <c r="J561" s="647"/>
      <c r="K561" s="647"/>
      <c r="L561" s="647"/>
      <c r="M561" s="647"/>
      <c r="N561" s="647"/>
      <c r="O561" s="647"/>
      <c r="P561" s="647"/>
      <c r="Q561" s="647"/>
      <c r="R561" s="647"/>
      <c r="S561" s="647"/>
      <c r="T561" s="647"/>
      <c r="U561" s="16"/>
      <c r="V561" s="16"/>
      <c r="W561" s="16"/>
      <c r="X561" s="16"/>
      <c r="Y561" s="16"/>
      <c r="Z561" s="16"/>
      <c r="AA561" s="16"/>
      <c r="AB561" s="16"/>
      <c r="AC561" s="16"/>
    </row>
    <row r="562" ht="12.75" customHeight="1" spans="1:29" x14ac:dyDescent="0.25">
      <c r="A562" s="16"/>
      <c r="B562" s="16"/>
      <c r="C562" s="16"/>
      <c r="D562" s="16"/>
      <c r="E562" s="16"/>
      <c r="F562" s="16"/>
      <c r="G562" s="16"/>
      <c r="H562" s="647"/>
      <c r="I562" s="647"/>
      <c r="J562" s="647"/>
      <c r="K562" s="647"/>
      <c r="L562" s="647"/>
      <c r="M562" s="647"/>
      <c r="N562" s="647"/>
      <c r="O562" s="647"/>
      <c r="P562" s="647"/>
      <c r="Q562" s="647"/>
      <c r="R562" s="647"/>
      <c r="S562" s="647"/>
      <c r="T562" s="647"/>
      <c r="U562" s="16"/>
      <c r="V562" s="16"/>
      <c r="W562" s="16"/>
      <c r="X562" s="16"/>
      <c r="Y562" s="16"/>
      <c r="Z562" s="16"/>
      <c r="AA562" s="16"/>
      <c r="AB562" s="16"/>
      <c r="AC562" s="16"/>
    </row>
    <row r="563" ht="12.75" customHeight="1" spans="1:29" x14ac:dyDescent="0.25">
      <c r="A563" s="16"/>
      <c r="B563" s="16"/>
      <c r="C563" s="16"/>
      <c r="D563" s="16"/>
      <c r="E563" s="16"/>
      <c r="F563" s="16"/>
      <c r="G563" s="16"/>
      <c r="H563" s="647"/>
      <c r="I563" s="647"/>
      <c r="J563" s="647"/>
      <c r="K563" s="647"/>
      <c r="L563" s="647"/>
      <c r="M563" s="647"/>
      <c r="N563" s="647"/>
      <c r="O563" s="647"/>
      <c r="P563" s="647"/>
      <c r="Q563" s="647"/>
      <c r="R563" s="647"/>
      <c r="S563" s="647"/>
      <c r="T563" s="647"/>
      <c r="U563" s="16"/>
      <c r="V563" s="16"/>
      <c r="W563" s="16"/>
      <c r="X563" s="16"/>
      <c r="Y563" s="16"/>
      <c r="Z563" s="16"/>
      <c r="AA563" s="16"/>
      <c r="AB563" s="16"/>
      <c r="AC563" s="16"/>
    </row>
    <row r="564" ht="12.75" customHeight="1" spans="1:29" x14ac:dyDescent="0.25">
      <c r="A564" s="16"/>
      <c r="B564" s="16"/>
      <c r="C564" s="16"/>
      <c r="D564" s="16"/>
      <c r="E564" s="16"/>
      <c r="F564" s="16"/>
      <c r="G564" s="16"/>
      <c r="H564" s="647"/>
      <c r="I564" s="647"/>
      <c r="J564" s="647"/>
      <c r="K564" s="647"/>
      <c r="L564" s="647"/>
      <c r="M564" s="647"/>
      <c r="N564" s="647"/>
      <c r="O564" s="647"/>
      <c r="P564" s="647"/>
      <c r="Q564" s="647"/>
      <c r="R564" s="647"/>
      <c r="S564" s="647"/>
      <c r="T564" s="647"/>
      <c r="U564" s="16"/>
      <c r="V564" s="16"/>
      <c r="W564" s="16"/>
      <c r="X564" s="16"/>
      <c r="Y564" s="16"/>
      <c r="Z564" s="16"/>
      <c r="AA564" s="16"/>
      <c r="AB564" s="16"/>
      <c r="AC564" s="16"/>
    </row>
    <row r="565" ht="12.75" customHeight="1" spans="1:29" x14ac:dyDescent="0.25">
      <c r="A565" s="16"/>
      <c r="B565" s="16"/>
      <c r="C565" s="16"/>
      <c r="D565" s="16"/>
      <c r="E565" s="16"/>
      <c r="F565" s="16"/>
      <c r="G565" s="16"/>
      <c r="H565" s="647"/>
      <c r="I565" s="647"/>
      <c r="J565" s="647"/>
      <c r="K565" s="647"/>
      <c r="L565" s="647"/>
      <c r="M565" s="647"/>
      <c r="N565" s="647"/>
      <c r="O565" s="647"/>
      <c r="P565" s="647"/>
      <c r="Q565" s="647"/>
      <c r="R565" s="647"/>
      <c r="S565" s="647"/>
      <c r="T565" s="647"/>
      <c r="U565" s="16"/>
      <c r="V565" s="16"/>
      <c r="W565" s="16"/>
      <c r="X565" s="16"/>
      <c r="Y565" s="16"/>
      <c r="Z565" s="16"/>
      <c r="AA565" s="16"/>
      <c r="AB565" s="16"/>
      <c r="AC565" s="16"/>
    </row>
    <row r="566" ht="12.75" customHeight="1" spans="1:29" x14ac:dyDescent="0.25">
      <c r="A566" s="16"/>
      <c r="B566" s="16"/>
      <c r="C566" s="16"/>
      <c r="D566" s="16"/>
      <c r="E566" s="16"/>
      <c r="F566" s="16"/>
      <c r="G566" s="16"/>
      <c r="H566" s="647"/>
      <c r="I566" s="647"/>
      <c r="J566" s="647"/>
      <c r="K566" s="647"/>
      <c r="L566" s="647"/>
      <c r="M566" s="647"/>
      <c r="N566" s="647"/>
      <c r="O566" s="647"/>
      <c r="P566" s="647"/>
      <c r="Q566" s="647"/>
      <c r="R566" s="647"/>
      <c r="S566" s="647"/>
      <c r="T566" s="647"/>
      <c r="U566" s="16"/>
      <c r="V566" s="16"/>
      <c r="W566" s="16"/>
      <c r="X566" s="16"/>
      <c r="Y566" s="16"/>
      <c r="Z566" s="16"/>
      <c r="AA566" s="16"/>
      <c r="AB566" s="16"/>
      <c r="AC566" s="16"/>
    </row>
    <row r="567" ht="12.75" customHeight="1" spans="1:29" x14ac:dyDescent="0.25">
      <c r="A567" s="16"/>
      <c r="B567" s="16"/>
      <c r="C567" s="16"/>
      <c r="D567" s="16"/>
      <c r="E567" s="16"/>
      <c r="F567" s="16"/>
      <c r="G567" s="16"/>
      <c r="H567" s="647"/>
      <c r="I567" s="647"/>
      <c r="J567" s="647"/>
      <c r="K567" s="647"/>
      <c r="L567" s="647"/>
      <c r="M567" s="647"/>
      <c r="N567" s="647"/>
      <c r="O567" s="647"/>
      <c r="P567" s="647"/>
      <c r="Q567" s="647"/>
      <c r="R567" s="647"/>
      <c r="S567" s="647"/>
      <c r="T567" s="647"/>
      <c r="U567" s="16"/>
      <c r="V567" s="16"/>
      <c r="W567" s="16"/>
      <c r="X567" s="16"/>
      <c r="Y567" s="16"/>
      <c r="Z567" s="16"/>
      <c r="AA567" s="16"/>
      <c r="AB567" s="16"/>
      <c r="AC567" s="16"/>
    </row>
    <row r="568" ht="12.75" customHeight="1" spans="1:29" x14ac:dyDescent="0.25">
      <c r="A568" s="16"/>
      <c r="B568" s="16"/>
      <c r="C568" s="16"/>
      <c r="D568" s="16"/>
      <c r="E568" s="16"/>
      <c r="F568" s="16"/>
      <c r="G568" s="16"/>
      <c r="H568" s="647"/>
      <c r="I568" s="647"/>
      <c r="J568" s="647"/>
      <c r="K568" s="647"/>
      <c r="L568" s="647"/>
      <c r="M568" s="647"/>
      <c r="N568" s="647"/>
      <c r="O568" s="647"/>
      <c r="P568" s="647"/>
      <c r="Q568" s="647"/>
      <c r="R568" s="647"/>
      <c r="S568" s="647"/>
      <c r="T568" s="647"/>
      <c r="U568" s="16"/>
      <c r="V568" s="16"/>
      <c r="W568" s="16"/>
      <c r="X568" s="16"/>
      <c r="Y568" s="16"/>
      <c r="Z568" s="16"/>
      <c r="AA568" s="16"/>
      <c r="AB568" s="16"/>
      <c r="AC568" s="16"/>
    </row>
    <row r="569" ht="12.75" customHeight="1" spans="1:29" x14ac:dyDescent="0.25">
      <c r="A569" s="16"/>
      <c r="B569" s="16"/>
      <c r="C569" s="16"/>
      <c r="D569" s="16"/>
      <c r="E569" s="16"/>
      <c r="F569" s="16"/>
      <c r="G569" s="16"/>
      <c r="H569" s="647"/>
      <c r="I569" s="647"/>
      <c r="J569" s="647"/>
      <c r="K569" s="647"/>
      <c r="L569" s="647"/>
      <c r="M569" s="647"/>
      <c r="N569" s="647"/>
      <c r="O569" s="647"/>
      <c r="P569" s="647"/>
      <c r="Q569" s="647"/>
      <c r="R569" s="647"/>
      <c r="S569" s="647"/>
      <c r="T569" s="647"/>
      <c r="U569" s="16"/>
      <c r="V569" s="16"/>
      <c r="W569" s="16"/>
      <c r="X569" s="16"/>
      <c r="Y569" s="16"/>
      <c r="Z569" s="16"/>
      <c r="AA569" s="16"/>
      <c r="AB569" s="16"/>
      <c r="AC569" s="16"/>
    </row>
    <row r="570" ht="12.75" customHeight="1" spans="1:29" x14ac:dyDescent="0.25">
      <c r="A570" s="16"/>
      <c r="B570" s="16"/>
      <c r="C570" s="16"/>
      <c r="D570" s="16"/>
      <c r="E570" s="16"/>
      <c r="F570" s="16"/>
      <c r="G570" s="16"/>
      <c r="H570" s="647"/>
      <c r="I570" s="647"/>
      <c r="J570" s="647"/>
      <c r="K570" s="647"/>
      <c r="L570" s="647"/>
      <c r="M570" s="647"/>
      <c r="N570" s="647"/>
      <c r="O570" s="647"/>
      <c r="P570" s="647"/>
      <c r="Q570" s="647"/>
      <c r="R570" s="647"/>
      <c r="S570" s="647"/>
      <c r="T570" s="647"/>
      <c r="U570" s="16"/>
      <c r="V570" s="16"/>
      <c r="W570" s="16"/>
      <c r="X570" s="16"/>
      <c r="Y570" s="16"/>
      <c r="Z570" s="16"/>
      <c r="AA570" s="16"/>
      <c r="AB570" s="16"/>
      <c r="AC570" s="16"/>
    </row>
    <row r="571" ht="12.75" customHeight="1" spans="1:29" x14ac:dyDescent="0.25">
      <c r="A571" s="16"/>
      <c r="B571" s="16"/>
      <c r="C571" s="16"/>
      <c r="D571" s="16"/>
      <c r="E571" s="16"/>
      <c r="F571" s="16"/>
      <c r="G571" s="16"/>
      <c r="H571" s="647"/>
      <c r="I571" s="647"/>
      <c r="J571" s="647"/>
      <c r="K571" s="647"/>
      <c r="L571" s="647"/>
      <c r="M571" s="647"/>
      <c r="N571" s="647"/>
      <c r="O571" s="647"/>
      <c r="P571" s="647"/>
      <c r="Q571" s="647"/>
      <c r="R571" s="647"/>
      <c r="S571" s="647"/>
      <c r="T571" s="647"/>
      <c r="U571" s="16"/>
      <c r="V571" s="16"/>
      <c r="W571" s="16"/>
      <c r="X571" s="16"/>
      <c r="Y571" s="16"/>
      <c r="Z571" s="16"/>
      <c r="AA571" s="16"/>
      <c r="AB571" s="16"/>
      <c r="AC571" s="16"/>
    </row>
    <row r="572" ht="12.75" customHeight="1" spans="1:29" x14ac:dyDescent="0.25">
      <c r="A572" s="16"/>
      <c r="B572" s="16"/>
      <c r="C572" s="16"/>
      <c r="D572" s="16"/>
      <c r="E572" s="16"/>
      <c r="F572" s="16"/>
      <c r="G572" s="16"/>
      <c r="H572" s="647"/>
      <c r="I572" s="647"/>
      <c r="J572" s="647"/>
      <c r="K572" s="647"/>
      <c r="L572" s="647"/>
      <c r="M572" s="647"/>
      <c r="N572" s="647"/>
      <c r="O572" s="647"/>
      <c r="P572" s="647"/>
      <c r="Q572" s="647"/>
      <c r="R572" s="647"/>
      <c r="S572" s="647"/>
      <c r="T572" s="647"/>
      <c r="U572" s="16"/>
      <c r="V572" s="16"/>
      <c r="W572" s="16"/>
      <c r="X572" s="16"/>
      <c r="Y572" s="16"/>
      <c r="Z572" s="16"/>
      <c r="AA572" s="16"/>
      <c r="AB572" s="16"/>
      <c r="AC572" s="16"/>
    </row>
    <row r="573" ht="12.75" customHeight="1" spans="1:29" x14ac:dyDescent="0.25">
      <c r="A573" s="16"/>
      <c r="B573" s="16"/>
      <c r="C573" s="16"/>
      <c r="D573" s="16"/>
      <c r="E573" s="16"/>
      <c r="F573" s="16"/>
      <c r="G573" s="16"/>
      <c r="H573" s="647"/>
      <c r="I573" s="647"/>
      <c r="J573" s="647"/>
      <c r="K573" s="647"/>
      <c r="L573" s="647"/>
      <c r="M573" s="647"/>
      <c r="N573" s="647"/>
      <c r="O573" s="647"/>
      <c r="P573" s="647"/>
      <c r="Q573" s="647"/>
      <c r="R573" s="647"/>
      <c r="S573" s="647"/>
      <c r="T573" s="647"/>
      <c r="U573" s="16"/>
      <c r="V573" s="16"/>
      <c r="W573" s="16"/>
      <c r="X573" s="16"/>
      <c r="Y573" s="16"/>
      <c r="Z573" s="16"/>
      <c r="AA573" s="16"/>
      <c r="AB573" s="16"/>
      <c r="AC573" s="16"/>
    </row>
    <row r="574" ht="12.75" customHeight="1" spans="1:29" x14ac:dyDescent="0.25">
      <c r="A574" s="16"/>
      <c r="B574" s="16"/>
      <c r="C574" s="16"/>
      <c r="D574" s="16"/>
      <c r="E574" s="16"/>
      <c r="F574" s="16"/>
      <c r="G574" s="16"/>
      <c r="H574" s="647"/>
      <c r="I574" s="647"/>
      <c r="J574" s="647"/>
      <c r="K574" s="647"/>
      <c r="L574" s="647"/>
      <c r="M574" s="647"/>
      <c r="N574" s="647"/>
      <c r="O574" s="647"/>
      <c r="P574" s="647"/>
      <c r="Q574" s="647"/>
      <c r="R574" s="647"/>
      <c r="S574" s="647"/>
      <c r="T574" s="647"/>
      <c r="U574" s="16"/>
      <c r="V574" s="16"/>
      <c r="W574" s="16"/>
      <c r="X574" s="16"/>
      <c r="Y574" s="16"/>
      <c r="Z574" s="16"/>
      <c r="AA574" s="16"/>
      <c r="AB574" s="16"/>
      <c r="AC574" s="16"/>
    </row>
    <row r="575" ht="12.75" customHeight="1" spans="1:29" x14ac:dyDescent="0.25">
      <c r="A575" s="16"/>
      <c r="B575" s="16"/>
      <c r="C575" s="16"/>
      <c r="D575" s="16"/>
      <c r="E575" s="16"/>
      <c r="F575" s="16"/>
      <c r="G575" s="16"/>
      <c r="H575" s="647"/>
      <c r="I575" s="647"/>
      <c r="J575" s="647"/>
      <c r="K575" s="647"/>
      <c r="L575" s="647"/>
      <c r="M575" s="647"/>
      <c r="N575" s="647"/>
      <c r="O575" s="647"/>
      <c r="P575" s="647"/>
      <c r="Q575" s="647"/>
      <c r="R575" s="647"/>
      <c r="S575" s="647"/>
      <c r="T575" s="647"/>
      <c r="U575" s="16"/>
      <c r="V575" s="16"/>
      <c r="W575" s="16"/>
      <c r="X575" s="16"/>
      <c r="Y575" s="16"/>
      <c r="Z575" s="16"/>
      <c r="AA575" s="16"/>
      <c r="AB575" s="16"/>
      <c r="AC575" s="16"/>
    </row>
    <row r="576" ht="12.75" customHeight="1" spans="1:29" x14ac:dyDescent="0.25">
      <c r="A576" s="16"/>
      <c r="B576" s="16"/>
      <c r="C576" s="16"/>
      <c r="D576" s="16"/>
      <c r="E576" s="16"/>
      <c r="F576" s="16"/>
      <c r="G576" s="16"/>
      <c r="H576" s="647"/>
      <c r="I576" s="647"/>
      <c r="J576" s="647"/>
      <c r="K576" s="647"/>
      <c r="L576" s="647"/>
      <c r="M576" s="647"/>
      <c r="N576" s="647"/>
      <c r="O576" s="647"/>
      <c r="P576" s="647"/>
      <c r="Q576" s="647"/>
      <c r="R576" s="647"/>
      <c r="S576" s="647"/>
      <c r="T576" s="647"/>
      <c r="U576" s="16"/>
      <c r="V576" s="16"/>
      <c r="W576" s="16"/>
      <c r="X576" s="16"/>
      <c r="Y576" s="16"/>
      <c r="Z576" s="16"/>
      <c r="AA576" s="16"/>
      <c r="AB576" s="16"/>
      <c r="AC576" s="16"/>
    </row>
    <row r="577" ht="12.75" customHeight="1" spans="1:29" x14ac:dyDescent="0.25">
      <c r="A577" s="16"/>
      <c r="B577" s="16"/>
      <c r="C577" s="16"/>
      <c r="D577" s="16"/>
      <c r="E577" s="16"/>
      <c r="F577" s="16"/>
      <c r="G577" s="16"/>
      <c r="H577" s="647"/>
      <c r="I577" s="647"/>
      <c r="J577" s="647"/>
      <c r="K577" s="647"/>
      <c r="L577" s="647"/>
      <c r="M577" s="647"/>
      <c r="N577" s="647"/>
      <c r="O577" s="647"/>
      <c r="P577" s="647"/>
      <c r="Q577" s="647"/>
      <c r="R577" s="647"/>
      <c r="S577" s="647"/>
      <c r="T577" s="647"/>
      <c r="U577" s="16"/>
      <c r="V577" s="16"/>
      <c r="W577" s="16"/>
      <c r="X577" s="16"/>
      <c r="Y577" s="16"/>
      <c r="Z577" s="16"/>
      <c r="AA577" s="16"/>
      <c r="AB577" s="16"/>
      <c r="AC577" s="16"/>
    </row>
    <row r="578" ht="12.75" customHeight="1" spans="1:29" x14ac:dyDescent="0.25">
      <c r="A578" s="16"/>
      <c r="B578" s="16"/>
      <c r="C578" s="16"/>
      <c r="D578" s="16"/>
      <c r="E578" s="16"/>
      <c r="F578" s="16"/>
      <c r="G578" s="16"/>
      <c r="H578" s="647"/>
      <c r="I578" s="647"/>
      <c r="J578" s="647"/>
      <c r="K578" s="647"/>
      <c r="L578" s="647"/>
      <c r="M578" s="647"/>
      <c r="N578" s="647"/>
      <c r="O578" s="647"/>
      <c r="P578" s="647"/>
      <c r="Q578" s="647"/>
      <c r="R578" s="647"/>
      <c r="S578" s="647"/>
      <c r="T578" s="647"/>
      <c r="U578" s="16"/>
      <c r="V578" s="16"/>
      <c r="W578" s="16"/>
      <c r="X578" s="16"/>
      <c r="Y578" s="16"/>
      <c r="Z578" s="16"/>
      <c r="AA578" s="16"/>
      <c r="AB578" s="16"/>
      <c r="AC578" s="16"/>
    </row>
    <row r="579" ht="12.75" customHeight="1" spans="1:29" x14ac:dyDescent="0.25">
      <c r="A579" s="16"/>
      <c r="B579" s="16"/>
      <c r="C579" s="16"/>
      <c r="D579" s="16"/>
      <c r="E579" s="16"/>
      <c r="F579" s="16"/>
      <c r="G579" s="16"/>
      <c r="H579" s="647"/>
      <c r="I579" s="647"/>
      <c r="J579" s="647"/>
      <c r="K579" s="647"/>
      <c r="L579" s="647"/>
      <c r="M579" s="647"/>
      <c r="N579" s="647"/>
      <c r="O579" s="647"/>
      <c r="P579" s="647"/>
      <c r="Q579" s="647"/>
      <c r="R579" s="647"/>
      <c r="S579" s="647"/>
      <c r="T579" s="647"/>
      <c r="U579" s="16"/>
      <c r="V579" s="16"/>
      <c r="W579" s="16"/>
      <c r="X579" s="16"/>
      <c r="Y579" s="16"/>
      <c r="Z579" s="16"/>
      <c r="AA579" s="16"/>
      <c r="AB579" s="16"/>
      <c r="AC579" s="16"/>
    </row>
    <row r="580" ht="12.75" customHeight="1" spans="1:29" x14ac:dyDescent="0.25">
      <c r="A580" s="16"/>
      <c r="B580" s="16"/>
      <c r="C580" s="16"/>
      <c r="D580" s="16"/>
      <c r="E580" s="16"/>
      <c r="F580" s="16"/>
      <c r="G580" s="16"/>
      <c r="H580" s="647"/>
      <c r="I580" s="647"/>
      <c r="J580" s="647"/>
      <c r="K580" s="647"/>
      <c r="L580" s="647"/>
      <c r="M580" s="647"/>
      <c r="N580" s="647"/>
      <c r="O580" s="647"/>
      <c r="P580" s="647"/>
      <c r="Q580" s="647"/>
      <c r="R580" s="647"/>
      <c r="S580" s="647"/>
      <c r="T580" s="647"/>
      <c r="U580" s="16"/>
      <c r="V580" s="16"/>
      <c r="W580" s="16"/>
      <c r="X580" s="16"/>
      <c r="Y580" s="16"/>
      <c r="Z580" s="16"/>
      <c r="AA580" s="16"/>
      <c r="AB580" s="16"/>
      <c r="AC580" s="16"/>
    </row>
    <row r="581" ht="12.75" customHeight="1" spans="1:29" x14ac:dyDescent="0.25">
      <c r="A581" s="16"/>
      <c r="B581" s="16"/>
      <c r="C581" s="16"/>
      <c r="D581" s="16"/>
      <c r="E581" s="16"/>
      <c r="F581" s="16"/>
      <c r="G581" s="16"/>
      <c r="H581" s="647"/>
      <c r="I581" s="647"/>
      <c r="J581" s="647"/>
      <c r="K581" s="647"/>
      <c r="L581" s="647"/>
      <c r="M581" s="647"/>
      <c r="N581" s="647"/>
      <c r="O581" s="647"/>
      <c r="P581" s="647"/>
      <c r="Q581" s="647"/>
      <c r="R581" s="647"/>
      <c r="S581" s="647"/>
      <c r="T581" s="647"/>
      <c r="U581" s="16"/>
      <c r="V581" s="16"/>
      <c r="W581" s="16"/>
      <c r="X581" s="16"/>
      <c r="Y581" s="16"/>
      <c r="Z581" s="16"/>
      <c r="AA581" s="16"/>
      <c r="AB581" s="16"/>
      <c r="AC581" s="16"/>
    </row>
    <row r="582" ht="12.75" customHeight="1" spans="1:29" x14ac:dyDescent="0.25">
      <c r="A582" s="16"/>
      <c r="B582" s="16"/>
      <c r="C582" s="16"/>
      <c r="D582" s="16"/>
      <c r="E582" s="16"/>
      <c r="F582" s="16"/>
      <c r="G582" s="16"/>
      <c r="H582" s="647"/>
      <c r="I582" s="647"/>
      <c r="J582" s="647"/>
      <c r="K582" s="647"/>
      <c r="L582" s="647"/>
      <c r="M582" s="647"/>
      <c r="N582" s="647"/>
      <c r="O582" s="647"/>
      <c r="P582" s="647"/>
      <c r="Q582" s="647"/>
      <c r="R582" s="647"/>
      <c r="S582" s="647"/>
      <c r="T582" s="647"/>
      <c r="U582" s="16"/>
      <c r="V582" s="16"/>
      <c r="W582" s="16"/>
      <c r="X582" s="16"/>
      <c r="Y582" s="16"/>
      <c r="Z582" s="16"/>
      <c r="AA582" s="16"/>
      <c r="AB582" s="16"/>
      <c r="AC582" s="16"/>
    </row>
    <row r="583" ht="12.75" customHeight="1" spans="1:29" x14ac:dyDescent="0.25">
      <c r="A583" s="16"/>
      <c r="B583" s="16"/>
      <c r="C583" s="16"/>
      <c r="D583" s="16"/>
      <c r="E583" s="16"/>
      <c r="F583" s="16"/>
      <c r="G583" s="16"/>
      <c r="H583" s="647"/>
      <c r="I583" s="647"/>
      <c r="J583" s="647"/>
      <c r="K583" s="647"/>
      <c r="L583" s="647"/>
      <c r="M583" s="647"/>
      <c r="N583" s="647"/>
      <c r="O583" s="647"/>
      <c r="P583" s="647"/>
      <c r="Q583" s="647"/>
      <c r="R583" s="647"/>
      <c r="S583" s="647"/>
      <c r="T583" s="647"/>
      <c r="U583" s="16"/>
      <c r="V583" s="16"/>
      <c r="W583" s="16"/>
      <c r="X583" s="16"/>
      <c r="Y583" s="16"/>
      <c r="Z583" s="16"/>
      <c r="AA583" s="16"/>
      <c r="AB583" s="16"/>
      <c r="AC583" s="16"/>
    </row>
    <row r="584" ht="12.75" customHeight="1" spans="1:29" x14ac:dyDescent="0.25">
      <c r="A584" s="16"/>
      <c r="B584" s="16"/>
      <c r="C584" s="16"/>
      <c r="D584" s="16"/>
      <c r="E584" s="16"/>
      <c r="F584" s="16"/>
      <c r="G584" s="16"/>
      <c r="H584" s="647"/>
      <c r="I584" s="647"/>
      <c r="J584" s="647"/>
      <c r="K584" s="647"/>
      <c r="L584" s="647"/>
      <c r="M584" s="647"/>
      <c r="N584" s="647"/>
      <c r="O584" s="647"/>
      <c r="P584" s="647"/>
      <c r="Q584" s="647"/>
      <c r="R584" s="647"/>
      <c r="S584" s="647"/>
      <c r="T584" s="647"/>
      <c r="U584" s="16"/>
      <c r="V584" s="16"/>
      <c r="W584" s="16"/>
      <c r="X584" s="16"/>
      <c r="Y584" s="16"/>
      <c r="Z584" s="16"/>
      <c r="AA584" s="16"/>
      <c r="AB584" s="16"/>
      <c r="AC584" s="16"/>
    </row>
    <row r="585" ht="12.75" customHeight="1" spans="1:29" x14ac:dyDescent="0.25">
      <c r="A585" s="16"/>
      <c r="B585" s="16"/>
      <c r="C585" s="16"/>
      <c r="D585" s="16"/>
      <c r="E585" s="16"/>
      <c r="F585" s="16"/>
      <c r="G585" s="16"/>
      <c r="H585" s="647"/>
      <c r="I585" s="647"/>
      <c r="J585" s="647"/>
      <c r="K585" s="647"/>
      <c r="L585" s="647"/>
      <c r="M585" s="647"/>
      <c r="N585" s="647"/>
      <c r="O585" s="647"/>
      <c r="P585" s="647"/>
      <c r="Q585" s="647"/>
      <c r="R585" s="647"/>
      <c r="S585" s="647"/>
      <c r="T585" s="647"/>
      <c r="U585" s="16"/>
      <c r="V585" s="16"/>
      <c r="W585" s="16"/>
      <c r="X585" s="16"/>
      <c r="Y585" s="16"/>
      <c r="Z585" s="16"/>
      <c r="AA585" s="16"/>
      <c r="AB585" s="16"/>
      <c r="AC585" s="16"/>
    </row>
    <row r="586" ht="12.75" customHeight="1" spans="1:29" x14ac:dyDescent="0.25">
      <c r="A586" s="16"/>
      <c r="B586" s="16"/>
      <c r="C586" s="16"/>
      <c r="D586" s="16"/>
      <c r="E586" s="16"/>
      <c r="F586" s="16"/>
      <c r="G586" s="16"/>
      <c r="H586" s="647"/>
      <c r="I586" s="647"/>
      <c r="J586" s="647"/>
      <c r="K586" s="647"/>
      <c r="L586" s="647"/>
      <c r="M586" s="647"/>
      <c r="N586" s="647"/>
      <c r="O586" s="647"/>
      <c r="P586" s="647"/>
      <c r="Q586" s="647"/>
      <c r="R586" s="647"/>
      <c r="S586" s="647"/>
      <c r="T586" s="647"/>
      <c r="U586" s="16"/>
      <c r="V586" s="16"/>
      <c r="W586" s="16"/>
      <c r="X586" s="16"/>
      <c r="Y586" s="16"/>
      <c r="Z586" s="16"/>
      <c r="AA586" s="16"/>
      <c r="AB586" s="16"/>
      <c r="AC586" s="16"/>
    </row>
    <row r="587" ht="12.75" customHeight="1" spans="1:29" x14ac:dyDescent="0.25">
      <c r="A587" s="16"/>
      <c r="B587" s="16"/>
      <c r="C587" s="16"/>
      <c r="D587" s="16"/>
      <c r="E587" s="16"/>
      <c r="F587" s="16"/>
      <c r="G587" s="16"/>
      <c r="H587" s="647"/>
      <c r="I587" s="647"/>
      <c r="J587" s="647"/>
      <c r="K587" s="647"/>
      <c r="L587" s="647"/>
      <c r="M587" s="647"/>
      <c r="N587" s="647"/>
      <c r="O587" s="647"/>
      <c r="P587" s="647"/>
      <c r="Q587" s="647"/>
      <c r="R587" s="647"/>
      <c r="S587" s="647"/>
      <c r="T587" s="647"/>
      <c r="U587" s="16"/>
      <c r="V587" s="16"/>
      <c r="W587" s="16"/>
      <c r="X587" s="16"/>
      <c r="Y587" s="16"/>
      <c r="Z587" s="16"/>
      <c r="AA587" s="16"/>
      <c r="AB587" s="16"/>
      <c r="AC587" s="16"/>
    </row>
    <row r="588" ht="12.75" customHeight="1" spans="1:29" x14ac:dyDescent="0.25">
      <c r="A588" s="16"/>
      <c r="B588" s="16"/>
      <c r="C588" s="16"/>
      <c r="D588" s="16"/>
      <c r="E588" s="16"/>
      <c r="F588" s="16"/>
      <c r="G588" s="16"/>
      <c r="H588" s="647"/>
      <c r="I588" s="647"/>
      <c r="J588" s="647"/>
      <c r="K588" s="647"/>
      <c r="L588" s="647"/>
      <c r="M588" s="647"/>
      <c r="N588" s="647"/>
      <c r="O588" s="647"/>
      <c r="P588" s="647"/>
      <c r="Q588" s="647"/>
      <c r="R588" s="647"/>
      <c r="S588" s="647"/>
      <c r="T588" s="647"/>
      <c r="U588" s="16"/>
      <c r="V588" s="16"/>
      <c r="W588" s="16"/>
      <c r="X588" s="16"/>
      <c r="Y588" s="16"/>
      <c r="Z588" s="16"/>
      <c r="AA588" s="16"/>
      <c r="AB588" s="16"/>
      <c r="AC588" s="16"/>
    </row>
    <row r="589" ht="12.75" customHeight="1" spans="1:29" x14ac:dyDescent="0.25">
      <c r="A589" s="16"/>
      <c r="B589" s="16"/>
      <c r="C589" s="16"/>
      <c r="D589" s="16"/>
      <c r="E589" s="16"/>
      <c r="F589" s="16"/>
      <c r="G589" s="16"/>
      <c r="H589" s="647"/>
      <c r="I589" s="647"/>
      <c r="J589" s="647"/>
      <c r="K589" s="647"/>
      <c r="L589" s="647"/>
      <c r="M589" s="647"/>
      <c r="N589" s="647"/>
      <c r="O589" s="647"/>
      <c r="P589" s="647"/>
      <c r="Q589" s="647"/>
      <c r="R589" s="647"/>
      <c r="S589" s="647"/>
      <c r="T589" s="647"/>
      <c r="U589" s="16"/>
      <c r="V589" s="16"/>
      <c r="W589" s="16"/>
      <c r="X589" s="16"/>
      <c r="Y589" s="16"/>
      <c r="Z589" s="16"/>
      <c r="AA589" s="16"/>
      <c r="AB589" s="16"/>
      <c r="AC589" s="16"/>
    </row>
    <row r="590" ht="12.75" customHeight="1" spans="1:29" x14ac:dyDescent="0.25">
      <c r="A590" s="16"/>
      <c r="B590" s="16"/>
      <c r="C590" s="16"/>
      <c r="D590" s="16"/>
      <c r="E590" s="16"/>
      <c r="F590" s="16"/>
      <c r="G590" s="16"/>
      <c r="H590" s="647"/>
      <c r="I590" s="647"/>
      <c r="J590" s="647"/>
      <c r="K590" s="647"/>
      <c r="L590" s="647"/>
      <c r="M590" s="647"/>
      <c r="N590" s="647"/>
      <c r="O590" s="647"/>
      <c r="P590" s="647"/>
      <c r="Q590" s="647"/>
      <c r="R590" s="647"/>
      <c r="S590" s="647"/>
      <c r="T590" s="647"/>
      <c r="U590" s="16"/>
      <c r="V590" s="16"/>
      <c r="W590" s="16"/>
      <c r="X590" s="16"/>
      <c r="Y590" s="16"/>
      <c r="Z590" s="16"/>
      <c r="AA590" s="16"/>
      <c r="AB590" s="16"/>
      <c r="AC590" s="16"/>
    </row>
    <row r="591" ht="12.75" customHeight="1" spans="1:29" x14ac:dyDescent="0.25">
      <c r="A591" s="16"/>
      <c r="B591" s="16"/>
      <c r="C591" s="16"/>
      <c r="D591" s="16"/>
      <c r="E591" s="16"/>
      <c r="F591" s="16"/>
      <c r="G591" s="16"/>
      <c r="H591" s="647"/>
      <c r="I591" s="647"/>
      <c r="J591" s="647"/>
      <c r="K591" s="647"/>
      <c r="L591" s="647"/>
      <c r="M591" s="647"/>
      <c r="N591" s="647"/>
      <c r="O591" s="647"/>
      <c r="P591" s="647"/>
      <c r="Q591" s="647"/>
      <c r="R591" s="647"/>
      <c r="S591" s="647"/>
      <c r="T591" s="647"/>
      <c r="U591" s="16"/>
      <c r="V591" s="16"/>
      <c r="W591" s="16"/>
      <c r="X591" s="16"/>
      <c r="Y591" s="16"/>
      <c r="Z591" s="16"/>
      <c r="AA591" s="16"/>
      <c r="AB591" s="16"/>
      <c r="AC591" s="16"/>
    </row>
    <row r="592" ht="12.75" customHeight="1" spans="1:29" x14ac:dyDescent="0.25">
      <c r="A592" s="16"/>
      <c r="B592" s="16"/>
      <c r="C592" s="16"/>
      <c r="D592" s="16"/>
      <c r="E592" s="16"/>
      <c r="F592" s="16"/>
      <c r="G592" s="16"/>
      <c r="H592" s="647"/>
      <c r="I592" s="647"/>
      <c r="J592" s="647"/>
      <c r="K592" s="647"/>
      <c r="L592" s="647"/>
      <c r="M592" s="647"/>
      <c r="N592" s="647"/>
      <c r="O592" s="647"/>
      <c r="P592" s="647"/>
      <c r="Q592" s="647"/>
      <c r="R592" s="647"/>
      <c r="S592" s="647"/>
      <c r="T592" s="647"/>
      <c r="U592" s="16"/>
      <c r="V592" s="16"/>
      <c r="W592" s="16"/>
      <c r="X592" s="16"/>
      <c r="Y592" s="16"/>
      <c r="Z592" s="16"/>
      <c r="AA592" s="16"/>
      <c r="AB592" s="16"/>
      <c r="AC592" s="16"/>
    </row>
    <row r="593" ht="12.75" customHeight="1" spans="1:29" x14ac:dyDescent="0.25">
      <c r="A593" s="16"/>
      <c r="B593" s="16"/>
      <c r="C593" s="16"/>
      <c r="D593" s="16"/>
      <c r="E593" s="16"/>
      <c r="F593" s="16"/>
      <c r="G593" s="16"/>
      <c r="H593" s="647"/>
      <c r="I593" s="647"/>
      <c r="J593" s="647"/>
      <c r="K593" s="647"/>
      <c r="L593" s="647"/>
      <c r="M593" s="647"/>
      <c r="N593" s="647"/>
      <c r="O593" s="647"/>
      <c r="P593" s="647"/>
      <c r="Q593" s="647"/>
      <c r="R593" s="647"/>
      <c r="S593" s="647"/>
      <c r="T593" s="647"/>
      <c r="U593" s="16"/>
      <c r="V593" s="16"/>
      <c r="W593" s="16"/>
      <c r="X593" s="16"/>
      <c r="Y593" s="16"/>
      <c r="Z593" s="16"/>
      <c r="AA593" s="16"/>
      <c r="AB593" s="16"/>
      <c r="AC593" s="16"/>
    </row>
    <row r="594" ht="12.75" customHeight="1" spans="1:29" x14ac:dyDescent="0.25">
      <c r="A594" s="16"/>
      <c r="B594" s="16"/>
      <c r="C594" s="16"/>
      <c r="D594" s="16"/>
      <c r="E594" s="16"/>
      <c r="F594" s="16"/>
      <c r="G594" s="16"/>
      <c r="H594" s="647"/>
      <c r="I594" s="647"/>
      <c r="J594" s="647"/>
      <c r="K594" s="647"/>
      <c r="L594" s="647"/>
      <c r="M594" s="647"/>
      <c r="N594" s="647"/>
      <c r="O594" s="647"/>
      <c r="P594" s="647"/>
      <c r="Q594" s="647"/>
      <c r="R594" s="647"/>
      <c r="S594" s="647"/>
      <c r="T594" s="647"/>
      <c r="U594" s="16"/>
      <c r="V594" s="16"/>
      <c r="W594" s="16"/>
      <c r="X594" s="16"/>
      <c r="Y594" s="16"/>
      <c r="Z594" s="16"/>
      <c r="AA594" s="16"/>
      <c r="AB594" s="16"/>
      <c r="AC594" s="16"/>
    </row>
    <row r="595" ht="12.75" customHeight="1" spans="1:29" x14ac:dyDescent="0.25">
      <c r="A595" s="16"/>
      <c r="B595" s="16"/>
      <c r="C595" s="16"/>
      <c r="D595" s="16"/>
      <c r="E595" s="16"/>
      <c r="F595" s="16"/>
      <c r="G595" s="16"/>
      <c r="H595" s="647"/>
      <c r="I595" s="647"/>
      <c r="J595" s="647"/>
      <c r="K595" s="647"/>
      <c r="L595" s="647"/>
      <c r="M595" s="647"/>
      <c r="N595" s="647"/>
      <c r="O595" s="647"/>
      <c r="P595" s="647"/>
      <c r="Q595" s="647"/>
      <c r="R595" s="647"/>
      <c r="S595" s="647"/>
      <c r="T595" s="647"/>
      <c r="U595" s="16"/>
      <c r="V595" s="16"/>
      <c r="W595" s="16"/>
      <c r="X595" s="16"/>
      <c r="Y595" s="16"/>
      <c r="Z595" s="16"/>
      <c r="AA595" s="16"/>
      <c r="AB595" s="16"/>
      <c r="AC595" s="16"/>
    </row>
    <row r="596" ht="12.75" customHeight="1" spans="1:29" x14ac:dyDescent="0.25">
      <c r="A596" s="16"/>
      <c r="B596" s="16"/>
      <c r="C596" s="16"/>
      <c r="D596" s="16"/>
      <c r="E596" s="16"/>
      <c r="F596" s="16"/>
      <c r="G596" s="16"/>
      <c r="H596" s="647"/>
      <c r="I596" s="647"/>
      <c r="J596" s="647"/>
      <c r="K596" s="647"/>
      <c r="L596" s="647"/>
      <c r="M596" s="647"/>
      <c r="N596" s="647"/>
      <c r="O596" s="647"/>
      <c r="P596" s="647"/>
      <c r="Q596" s="647"/>
      <c r="R596" s="647"/>
      <c r="S596" s="647"/>
      <c r="T596" s="647"/>
      <c r="U596" s="16"/>
      <c r="V596" s="16"/>
      <c r="W596" s="16"/>
      <c r="X596" s="16"/>
      <c r="Y596" s="16"/>
      <c r="Z596" s="16"/>
      <c r="AA596" s="16"/>
      <c r="AB596" s="16"/>
      <c r="AC596" s="16"/>
    </row>
    <row r="597" ht="12.75" customHeight="1" spans="1:29" x14ac:dyDescent="0.25">
      <c r="A597" s="16"/>
      <c r="B597" s="16"/>
      <c r="C597" s="16"/>
      <c r="D597" s="16"/>
      <c r="E597" s="16"/>
      <c r="F597" s="16"/>
      <c r="G597" s="16"/>
      <c r="H597" s="647"/>
      <c r="I597" s="647"/>
      <c r="J597" s="647"/>
      <c r="K597" s="647"/>
      <c r="L597" s="647"/>
      <c r="M597" s="647"/>
      <c r="N597" s="647"/>
      <c r="O597" s="647"/>
      <c r="P597" s="647"/>
      <c r="Q597" s="647"/>
      <c r="R597" s="647"/>
      <c r="S597" s="647"/>
      <c r="T597" s="647"/>
      <c r="U597" s="16"/>
      <c r="V597" s="16"/>
      <c r="W597" s="16"/>
      <c r="X597" s="16"/>
      <c r="Y597" s="16"/>
      <c r="Z597" s="16"/>
      <c r="AA597" s="16"/>
      <c r="AB597" s="16"/>
      <c r="AC597" s="16"/>
    </row>
    <row r="598" ht="12.75" customHeight="1" spans="1:29" x14ac:dyDescent="0.25">
      <c r="A598" s="16"/>
      <c r="B598" s="16"/>
      <c r="C598" s="16"/>
      <c r="D598" s="16"/>
      <c r="E598" s="16"/>
      <c r="F598" s="16"/>
      <c r="G598" s="16"/>
      <c r="H598" s="647"/>
      <c r="I598" s="647"/>
      <c r="J598" s="647"/>
      <c r="K598" s="647"/>
      <c r="L598" s="647"/>
      <c r="M598" s="647"/>
      <c r="N598" s="647"/>
      <c r="O598" s="647"/>
      <c r="P598" s="647"/>
      <c r="Q598" s="647"/>
      <c r="R598" s="647"/>
      <c r="S598" s="647"/>
      <c r="T598" s="647"/>
      <c r="U598" s="16"/>
      <c r="V598" s="16"/>
      <c r="W598" s="16"/>
      <c r="X598" s="16"/>
      <c r="Y598" s="16"/>
      <c r="Z598" s="16"/>
      <c r="AA598" s="16"/>
      <c r="AB598" s="16"/>
      <c r="AC598" s="16"/>
    </row>
    <row r="599" ht="12.75" customHeight="1" spans="1:29" x14ac:dyDescent="0.25">
      <c r="A599" s="16"/>
      <c r="B599" s="16"/>
      <c r="C599" s="16"/>
      <c r="D599" s="16"/>
      <c r="E599" s="16"/>
      <c r="F599" s="16"/>
      <c r="G599" s="16"/>
      <c r="H599" s="647"/>
      <c r="I599" s="647"/>
      <c r="J599" s="647"/>
      <c r="K599" s="647"/>
      <c r="L599" s="647"/>
      <c r="M599" s="647"/>
      <c r="N599" s="647"/>
      <c r="O599" s="647"/>
      <c r="P599" s="647"/>
      <c r="Q599" s="647"/>
      <c r="R599" s="647"/>
      <c r="S599" s="647"/>
      <c r="T599" s="647"/>
      <c r="U599" s="16"/>
      <c r="V599" s="16"/>
      <c r="W599" s="16"/>
      <c r="X599" s="16"/>
      <c r="Y599" s="16"/>
      <c r="Z599" s="16"/>
      <c r="AA599" s="16"/>
      <c r="AB599" s="16"/>
      <c r="AC599" s="16"/>
    </row>
    <row r="600" ht="12.75" customHeight="1" spans="1:29" x14ac:dyDescent="0.25">
      <c r="A600" s="16"/>
      <c r="B600" s="16"/>
      <c r="C600" s="16"/>
      <c r="D600" s="16"/>
      <c r="E600" s="16"/>
      <c r="F600" s="16"/>
      <c r="G600" s="16"/>
      <c r="H600" s="647"/>
      <c r="I600" s="647"/>
      <c r="J600" s="647"/>
      <c r="K600" s="647"/>
      <c r="L600" s="647"/>
      <c r="M600" s="647"/>
      <c r="N600" s="647"/>
      <c r="O600" s="647"/>
      <c r="P600" s="647"/>
      <c r="Q600" s="647"/>
      <c r="R600" s="647"/>
      <c r="S600" s="647"/>
      <c r="T600" s="647"/>
      <c r="U600" s="16"/>
      <c r="V600" s="16"/>
      <c r="W600" s="16"/>
      <c r="X600" s="16"/>
      <c r="Y600" s="16"/>
      <c r="Z600" s="16"/>
      <c r="AA600" s="16"/>
      <c r="AB600" s="16"/>
      <c r="AC600" s="16"/>
    </row>
    <row r="601" ht="12.75" customHeight="1" spans="1:29" x14ac:dyDescent="0.25">
      <c r="A601" s="16"/>
      <c r="B601" s="16"/>
      <c r="C601" s="16"/>
      <c r="D601" s="16"/>
      <c r="E601" s="16"/>
      <c r="F601" s="16"/>
      <c r="G601" s="16"/>
      <c r="H601" s="647"/>
      <c r="I601" s="647"/>
      <c r="J601" s="647"/>
      <c r="K601" s="647"/>
      <c r="L601" s="647"/>
      <c r="M601" s="647"/>
      <c r="N601" s="647"/>
      <c r="O601" s="647"/>
      <c r="P601" s="647"/>
      <c r="Q601" s="647"/>
      <c r="R601" s="647"/>
      <c r="S601" s="647"/>
      <c r="T601" s="647"/>
      <c r="U601" s="16"/>
      <c r="V601" s="16"/>
      <c r="W601" s="16"/>
      <c r="X601" s="16"/>
      <c r="Y601" s="16"/>
      <c r="Z601" s="16"/>
      <c r="AA601" s="16"/>
      <c r="AB601" s="16"/>
      <c r="AC601" s="16"/>
    </row>
    <row r="602" ht="12.75" customHeight="1" spans="1:29" x14ac:dyDescent="0.25">
      <c r="A602" s="16"/>
      <c r="B602" s="16"/>
      <c r="C602" s="16"/>
      <c r="D602" s="16"/>
      <c r="E602" s="16"/>
      <c r="F602" s="16"/>
      <c r="G602" s="16"/>
      <c r="H602" s="647"/>
      <c r="I602" s="647"/>
      <c r="J602" s="647"/>
      <c r="K602" s="647"/>
      <c r="L602" s="647"/>
      <c r="M602" s="647"/>
      <c r="N602" s="647"/>
      <c r="O602" s="647"/>
      <c r="P602" s="647"/>
      <c r="Q602" s="647"/>
      <c r="R602" s="647"/>
      <c r="S602" s="647"/>
      <c r="T602" s="647"/>
      <c r="U602" s="16"/>
      <c r="V602" s="16"/>
      <c r="W602" s="16"/>
      <c r="X602" s="16"/>
      <c r="Y602" s="16"/>
      <c r="Z602" s="16"/>
      <c r="AA602" s="16"/>
      <c r="AB602" s="16"/>
      <c r="AC602" s="16"/>
    </row>
    <row r="603" ht="12.75" customHeight="1" spans="1:29" x14ac:dyDescent="0.25">
      <c r="A603" s="16"/>
      <c r="B603" s="16"/>
      <c r="C603" s="16"/>
      <c r="D603" s="16"/>
      <c r="E603" s="16"/>
      <c r="F603" s="16"/>
      <c r="G603" s="16"/>
      <c r="H603" s="647"/>
      <c r="I603" s="647"/>
      <c r="J603" s="647"/>
      <c r="K603" s="647"/>
      <c r="L603" s="647"/>
      <c r="M603" s="647"/>
      <c r="N603" s="647"/>
      <c r="O603" s="647"/>
      <c r="P603" s="647"/>
      <c r="Q603" s="647"/>
      <c r="R603" s="647"/>
      <c r="S603" s="647"/>
      <c r="T603" s="647"/>
      <c r="U603" s="16"/>
      <c r="V603" s="16"/>
      <c r="W603" s="16"/>
      <c r="X603" s="16"/>
      <c r="Y603" s="16"/>
      <c r="Z603" s="16"/>
      <c r="AA603" s="16"/>
      <c r="AB603" s="16"/>
      <c r="AC603" s="16"/>
    </row>
    <row r="604" ht="12.75" customHeight="1" spans="1:29" x14ac:dyDescent="0.25">
      <c r="A604" s="16"/>
      <c r="B604" s="16"/>
      <c r="C604" s="16"/>
      <c r="D604" s="16"/>
      <c r="E604" s="16"/>
      <c r="F604" s="16"/>
      <c r="G604" s="16"/>
      <c r="H604" s="647"/>
      <c r="I604" s="647"/>
      <c r="J604" s="647"/>
      <c r="K604" s="647"/>
      <c r="L604" s="647"/>
      <c r="M604" s="647"/>
      <c r="N604" s="647"/>
      <c r="O604" s="647"/>
      <c r="P604" s="647"/>
      <c r="Q604" s="647"/>
      <c r="R604" s="647"/>
      <c r="S604" s="647"/>
      <c r="T604" s="647"/>
      <c r="U604" s="16"/>
      <c r="V604" s="16"/>
      <c r="W604" s="16"/>
      <c r="X604" s="16"/>
      <c r="Y604" s="16"/>
      <c r="Z604" s="16"/>
      <c r="AA604" s="16"/>
      <c r="AB604" s="16"/>
      <c r="AC604" s="16"/>
    </row>
    <row r="605" ht="12.75" customHeight="1" spans="1:29" x14ac:dyDescent="0.25">
      <c r="A605" s="16"/>
      <c r="B605" s="16"/>
      <c r="C605" s="16"/>
      <c r="D605" s="16"/>
      <c r="E605" s="16"/>
      <c r="F605" s="16"/>
      <c r="G605" s="16"/>
      <c r="H605" s="647"/>
      <c r="I605" s="647"/>
      <c r="J605" s="647"/>
      <c r="K605" s="647"/>
      <c r="L605" s="647"/>
      <c r="M605" s="647"/>
      <c r="N605" s="647"/>
      <c r="O605" s="647"/>
      <c r="P605" s="647"/>
      <c r="Q605" s="647"/>
      <c r="R605" s="647"/>
      <c r="S605" s="647"/>
      <c r="T605" s="647"/>
      <c r="U605" s="16"/>
      <c r="V605" s="16"/>
      <c r="W605" s="16"/>
      <c r="X605" s="16"/>
      <c r="Y605" s="16"/>
      <c r="Z605" s="16"/>
      <c r="AA605" s="16"/>
      <c r="AB605" s="16"/>
      <c r="AC605" s="16"/>
    </row>
    <row r="606" ht="12.75" customHeight="1" spans="1:29" x14ac:dyDescent="0.25">
      <c r="A606" s="16"/>
      <c r="B606" s="16"/>
      <c r="C606" s="16"/>
      <c r="D606" s="16"/>
      <c r="E606" s="16"/>
      <c r="F606" s="16"/>
      <c r="G606" s="16"/>
      <c r="H606" s="647"/>
      <c r="I606" s="647"/>
      <c r="J606" s="647"/>
      <c r="K606" s="647"/>
      <c r="L606" s="647"/>
      <c r="M606" s="647"/>
      <c r="N606" s="647"/>
      <c r="O606" s="647"/>
      <c r="P606" s="647"/>
      <c r="Q606" s="647"/>
      <c r="R606" s="647"/>
      <c r="S606" s="647"/>
      <c r="T606" s="647"/>
      <c r="U606" s="16"/>
      <c r="V606" s="16"/>
      <c r="W606" s="16"/>
      <c r="X606" s="16"/>
      <c r="Y606" s="16"/>
      <c r="Z606" s="16"/>
      <c r="AA606" s="16"/>
      <c r="AB606" s="16"/>
      <c r="AC606" s="16"/>
    </row>
    <row r="607" ht="12.75" customHeight="1" spans="1:29" x14ac:dyDescent="0.25">
      <c r="A607" s="16"/>
      <c r="B607" s="16"/>
      <c r="C607" s="16"/>
      <c r="D607" s="16"/>
      <c r="E607" s="16"/>
      <c r="F607" s="16"/>
      <c r="G607" s="16"/>
      <c r="H607" s="647"/>
      <c r="I607" s="647"/>
      <c r="J607" s="647"/>
      <c r="K607" s="647"/>
      <c r="L607" s="647"/>
      <c r="M607" s="647"/>
      <c r="N607" s="647"/>
      <c r="O607" s="647"/>
      <c r="P607" s="647"/>
      <c r="Q607" s="647"/>
      <c r="R607" s="647"/>
      <c r="S607" s="647"/>
      <c r="T607" s="647"/>
      <c r="U607" s="16"/>
      <c r="V607" s="16"/>
      <c r="W607" s="16"/>
      <c r="X607" s="16"/>
      <c r="Y607" s="16"/>
      <c r="Z607" s="16"/>
      <c r="AA607" s="16"/>
      <c r="AB607" s="16"/>
      <c r="AC607" s="16"/>
    </row>
    <row r="608" ht="12.75" customHeight="1" spans="1:29" x14ac:dyDescent="0.25">
      <c r="A608" s="16"/>
      <c r="B608" s="16"/>
      <c r="C608" s="16"/>
      <c r="D608" s="16"/>
      <c r="E608" s="16"/>
      <c r="F608" s="16"/>
      <c r="G608" s="16"/>
      <c r="H608" s="647"/>
      <c r="I608" s="647"/>
      <c r="J608" s="647"/>
      <c r="K608" s="647"/>
      <c r="L608" s="647"/>
      <c r="M608" s="647"/>
      <c r="N608" s="647"/>
      <c r="O608" s="647"/>
      <c r="P608" s="647"/>
      <c r="Q608" s="647"/>
      <c r="R608" s="647"/>
      <c r="S608" s="647"/>
      <c r="T608" s="647"/>
      <c r="U608" s="16"/>
      <c r="V608" s="16"/>
      <c r="W608" s="16"/>
      <c r="X608" s="16"/>
      <c r="Y608" s="16"/>
      <c r="Z608" s="16"/>
      <c r="AA608" s="16"/>
      <c r="AB608" s="16"/>
      <c r="AC608" s="16"/>
    </row>
    <row r="609" ht="12.75" customHeight="1" spans="1:29" x14ac:dyDescent="0.25">
      <c r="A609" s="16"/>
      <c r="B609" s="16"/>
      <c r="C609" s="16"/>
      <c r="D609" s="16"/>
      <c r="E609" s="16"/>
      <c r="F609" s="16"/>
      <c r="G609" s="16"/>
      <c r="H609" s="647"/>
      <c r="I609" s="647"/>
      <c r="J609" s="647"/>
      <c r="K609" s="647"/>
      <c r="L609" s="647"/>
      <c r="M609" s="647"/>
      <c r="N609" s="647"/>
      <c r="O609" s="647"/>
      <c r="P609" s="647"/>
      <c r="Q609" s="647"/>
      <c r="R609" s="647"/>
      <c r="S609" s="647"/>
      <c r="T609" s="647"/>
      <c r="U609" s="16"/>
      <c r="V609" s="16"/>
      <c r="W609" s="16"/>
      <c r="X609" s="16"/>
      <c r="Y609" s="16"/>
      <c r="Z609" s="16"/>
      <c r="AA609" s="16"/>
      <c r="AB609" s="16"/>
      <c r="AC609" s="16"/>
    </row>
    <row r="610" ht="12.75" customHeight="1" spans="1:29" x14ac:dyDescent="0.25">
      <c r="A610" s="16"/>
      <c r="B610" s="16"/>
      <c r="C610" s="16"/>
      <c r="D610" s="16"/>
      <c r="E610" s="16"/>
      <c r="F610" s="16"/>
      <c r="G610" s="16"/>
      <c r="H610" s="647"/>
      <c r="I610" s="647"/>
      <c r="J610" s="647"/>
      <c r="K610" s="647"/>
      <c r="L610" s="647"/>
      <c r="M610" s="647"/>
      <c r="N610" s="647"/>
      <c r="O610" s="647"/>
      <c r="P610" s="647"/>
      <c r="Q610" s="647"/>
      <c r="R610" s="647"/>
      <c r="S610" s="647"/>
      <c r="T610" s="647"/>
      <c r="U610" s="16"/>
      <c r="V610" s="16"/>
      <c r="W610" s="16"/>
      <c r="X610" s="16"/>
      <c r="Y610" s="16"/>
      <c r="Z610" s="16"/>
      <c r="AA610" s="16"/>
      <c r="AB610" s="16"/>
      <c r="AC610" s="16"/>
    </row>
    <row r="611" ht="12.75" customHeight="1" spans="1:29" x14ac:dyDescent="0.25">
      <c r="A611" s="16"/>
      <c r="B611" s="16"/>
      <c r="C611" s="16"/>
      <c r="D611" s="16"/>
      <c r="E611" s="16"/>
      <c r="F611" s="16"/>
      <c r="G611" s="16"/>
      <c r="H611" s="647"/>
      <c r="I611" s="647"/>
      <c r="J611" s="647"/>
      <c r="K611" s="647"/>
      <c r="L611" s="647"/>
      <c r="M611" s="647"/>
      <c r="N611" s="647"/>
      <c r="O611" s="647"/>
      <c r="P611" s="647"/>
      <c r="Q611" s="647"/>
      <c r="R611" s="647"/>
      <c r="S611" s="647"/>
      <c r="T611" s="647"/>
      <c r="U611" s="16"/>
      <c r="V611" s="16"/>
      <c r="W611" s="16"/>
      <c r="X611" s="16"/>
      <c r="Y611" s="16"/>
      <c r="Z611" s="16"/>
      <c r="AA611" s="16"/>
      <c r="AB611" s="16"/>
      <c r="AC611" s="16"/>
    </row>
    <row r="612" ht="12.75" customHeight="1" spans="1:29" x14ac:dyDescent="0.25">
      <c r="A612" s="16"/>
      <c r="B612" s="16"/>
      <c r="C612" s="16"/>
      <c r="D612" s="16"/>
      <c r="E612" s="16"/>
      <c r="F612" s="16"/>
      <c r="G612" s="16"/>
      <c r="H612" s="647"/>
      <c r="I612" s="647"/>
      <c r="J612" s="647"/>
      <c r="K612" s="647"/>
      <c r="L612" s="647"/>
      <c r="M612" s="647"/>
      <c r="N612" s="647"/>
      <c r="O612" s="647"/>
      <c r="P612" s="647"/>
      <c r="Q612" s="647"/>
      <c r="R612" s="647"/>
      <c r="S612" s="647"/>
      <c r="T612" s="647"/>
      <c r="U612" s="16"/>
      <c r="V612" s="16"/>
      <c r="W612" s="16"/>
      <c r="X612" s="16"/>
      <c r="Y612" s="16"/>
      <c r="Z612" s="16"/>
      <c r="AA612" s="16"/>
      <c r="AB612" s="16"/>
      <c r="AC612" s="16"/>
    </row>
    <row r="613" ht="12.75" customHeight="1" spans="1:29" x14ac:dyDescent="0.25">
      <c r="A613" s="16"/>
      <c r="B613" s="16"/>
      <c r="C613" s="16"/>
      <c r="D613" s="16"/>
      <c r="E613" s="16"/>
      <c r="F613" s="16"/>
      <c r="G613" s="16"/>
      <c r="H613" s="647"/>
      <c r="I613" s="647"/>
      <c r="J613" s="647"/>
      <c r="K613" s="647"/>
      <c r="L613" s="647"/>
      <c r="M613" s="647"/>
      <c r="N613" s="647"/>
      <c r="O613" s="647"/>
      <c r="P613" s="647"/>
      <c r="Q613" s="647"/>
      <c r="R613" s="647"/>
      <c r="S613" s="647"/>
      <c r="T613" s="647"/>
      <c r="U613" s="16"/>
      <c r="V613" s="16"/>
      <c r="W613" s="16"/>
      <c r="X613" s="16"/>
      <c r="Y613" s="16"/>
      <c r="Z613" s="16"/>
      <c r="AA613" s="16"/>
      <c r="AB613" s="16"/>
      <c r="AC613" s="16"/>
    </row>
    <row r="614" ht="12.75" customHeight="1" spans="1:29" x14ac:dyDescent="0.25">
      <c r="A614" s="16"/>
      <c r="B614" s="16"/>
      <c r="C614" s="16"/>
      <c r="D614" s="16"/>
      <c r="E614" s="16"/>
      <c r="F614" s="16"/>
      <c r="G614" s="16"/>
      <c r="H614" s="647"/>
      <c r="I614" s="647"/>
      <c r="J614" s="647"/>
      <c r="K614" s="647"/>
      <c r="L614" s="647"/>
      <c r="M614" s="647"/>
      <c r="N614" s="647"/>
      <c r="O614" s="647"/>
      <c r="P614" s="647"/>
      <c r="Q614" s="647"/>
      <c r="R614" s="647"/>
      <c r="S614" s="647"/>
      <c r="T614" s="647"/>
      <c r="U614" s="16"/>
      <c r="V614" s="16"/>
      <c r="W614" s="16"/>
      <c r="X614" s="16"/>
      <c r="Y614" s="16"/>
      <c r="Z614" s="16"/>
      <c r="AA614" s="16"/>
      <c r="AB614" s="16"/>
      <c r="AC614" s="16"/>
    </row>
    <row r="615" ht="12.75" customHeight="1" spans="1:29" x14ac:dyDescent="0.25">
      <c r="A615" s="16"/>
      <c r="B615" s="16"/>
      <c r="C615" s="16"/>
      <c r="D615" s="16"/>
      <c r="E615" s="16"/>
      <c r="F615" s="16"/>
      <c r="G615" s="16"/>
      <c r="H615" s="647"/>
      <c r="I615" s="647"/>
      <c r="J615" s="647"/>
      <c r="K615" s="647"/>
      <c r="L615" s="647"/>
      <c r="M615" s="647"/>
      <c r="N615" s="647"/>
      <c r="O615" s="647"/>
      <c r="P615" s="647"/>
      <c r="Q615" s="647"/>
      <c r="R615" s="647"/>
      <c r="S615" s="647"/>
      <c r="T615" s="647"/>
      <c r="U615" s="16"/>
      <c r="V615" s="16"/>
      <c r="W615" s="16"/>
      <c r="X615" s="16"/>
      <c r="Y615" s="16"/>
      <c r="Z615" s="16"/>
      <c r="AA615" s="16"/>
      <c r="AB615" s="16"/>
      <c r="AC615" s="16"/>
    </row>
    <row r="616" ht="12.75" customHeight="1" spans="1:29" x14ac:dyDescent="0.25">
      <c r="A616" s="16"/>
      <c r="B616" s="16"/>
      <c r="C616" s="16"/>
      <c r="D616" s="16"/>
      <c r="E616" s="16"/>
      <c r="F616" s="16"/>
      <c r="G616" s="16"/>
      <c r="H616" s="647"/>
      <c r="I616" s="647"/>
      <c r="J616" s="647"/>
      <c r="K616" s="647"/>
      <c r="L616" s="647"/>
      <c r="M616" s="647"/>
      <c r="N616" s="647"/>
      <c r="O616" s="647"/>
      <c r="P616" s="647"/>
      <c r="Q616" s="647"/>
      <c r="R616" s="647"/>
      <c r="S616" s="647"/>
      <c r="T616" s="647"/>
      <c r="U616" s="16"/>
      <c r="V616" s="16"/>
      <c r="W616" s="16"/>
      <c r="X616" s="16"/>
      <c r="Y616" s="16"/>
      <c r="Z616" s="16"/>
      <c r="AA616" s="16"/>
      <c r="AB616" s="16"/>
      <c r="AC616" s="16"/>
    </row>
    <row r="617" ht="12.75" customHeight="1" spans="1:29" x14ac:dyDescent="0.25">
      <c r="A617" s="16"/>
      <c r="B617" s="16"/>
      <c r="C617" s="16"/>
      <c r="D617" s="16"/>
      <c r="E617" s="16"/>
      <c r="F617" s="16"/>
      <c r="G617" s="16"/>
      <c r="H617" s="647"/>
      <c r="I617" s="647"/>
      <c r="J617" s="647"/>
      <c r="K617" s="647"/>
      <c r="L617" s="647"/>
      <c r="M617" s="647"/>
      <c r="N617" s="647"/>
      <c r="O617" s="647"/>
      <c r="P617" s="647"/>
      <c r="Q617" s="647"/>
      <c r="R617" s="647"/>
      <c r="S617" s="647"/>
      <c r="T617" s="647"/>
      <c r="U617" s="16"/>
      <c r="V617" s="16"/>
      <c r="W617" s="16"/>
      <c r="X617" s="16"/>
      <c r="Y617" s="16"/>
      <c r="Z617" s="16"/>
      <c r="AA617" s="16"/>
      <c r="AB617" s="16"/>
      <c r="AC617" s="16"/>
    </row>
    <row r="618" ht="12.75" customHeight="1" spans="1:29" x14ac:dyDescent="0.25">
      <c r="A618" s="16"/>
      <c r="B618" s="16"/>
      <c r="C618" s="16"/>
      <c r="D618" s="16"/>
      <c r="E618" s="16"/>
      <c r="F618" s="16"/>
      <c r="G618" s="16"/>
      <c r="H618" s="647"/>
      <c r="I618" s="647"/>
      <c r="J618" s="647"/>
      <c r="K618" s="647"/>
      <c r="L618" s="647"/>
      <c r="M618" s="647"/>
      <c r="N618" s="647"/>
      <c r="O618" s="647"/>
      <c r="P618" s="647"/>
      <c r="Q618" s="647"/>
      <c r="R618" s="647"/>
      <c r="S618" s="647"/>
      <c r="T618" s="647"/>
      <c r="U618" s="16"/>
      <c r="V618" s="16"/>
      <c r="W618" s="16"/>
      <c r="X618" s="16"/>
      <c r="Y618" s="16"/>
      <c r="Z618" s="16"/>
      <c r="AA618" s="16"/>
      <c r="AB618" s="16"/>
      <c r="AC618" s="16"/>
    </row>
    <row r="619" ht="12.75" customHeight="1" spans="1:29" x14ac:dyDescent="0.25">
      <c r="A619" s="16"/>
      <c r="B619" s="16"/>
      <c r="C619" s="16"/>
      <c r="D619" s="16"/>
      <c r="E619" s="16"/>
      <c r="F619" s="16"/>
      <c r="G619" s="16"/>
      <c r="H619" s="647"/>
      <c r="I619" s="647"/>
      <c r="J619" s="647"/>
      <c r="K619" s="647"/>
      <c r="L619" s="647"/>
      <c r="M619" s="647"/>
      <c r="N619" s="647"/>
      <c r="O619" s="647"/>
      <c r="P619" s="647"/>
      <c r="Q619" s="647"/>
      <c r="R619" s="647"/>
      <c r="S619" s="647"/>
      <c r="T619" s="647"/>
      <c r="U619" s="16"/>
      <c r="V619" s="16"/>
      <c r="W619" s="16"/>
      <c r="X619" s="16"/>
      <c r="Y619" s="16"/>
      <c r="Z619" s="16"/>
      <c r="AA619" s="16"/>
      <c r="AB619" s="16"/>
      <c r="AC619" s="16"/>
    </row>
    <row r="620" ht="12.75" customHeight="1" spans="1:29" x14ac:dyDescent="0.25">
      <c r="A620" s="16"/>
      <c r="B620" s="16"/>
      <c r="C620" s="16"/>
      <c r="D620" s="16"/>
      <c r="E620" s="16"/>
      <c r="F620" s="16"/>
      <c r="G620" s="16"/>
      <c r="H620" s="647"/>
      <c r="I620" s="647"/>
      <c r="J620" s="647"/>
      <c r="K620" s="647"/>
      <c r="L620" s="647"/>
      <c r="M620" s="647"/>
      <c r="N620" s="647"/>
      <c r="O620" s="647"/>
      <c r="P620" s="647"/>
      <c r="Q620" s="647"/>
      <c r="R620" s="647"/>
      <c r="S620" s="647"/>
      <c r="T620" s="647"/>
      <c r="U620" s="16"/>
      <c r="V620" s="16"/>
      <c r="W620" s="16"/>
      <c r="X620" s="16"/>
      <c r="Y620" s="16"/>
      <c r="Z620" s="16"/>
      <c r="AA620" s="16"/>
      <c r="AB620" s="16"/>
      <c r="AC620" s="16"/>
    </row>
    <row r="621" ht="12.75" customHeight="1" spans="1:29" x14ac:dyDescent="0.25">
      <c r="A621" s="16"/>
      <c r="B621" s="16"/>
      <c r="C621" s="16"/>
      <c r="D621" s="16"/>
      <c r="E621" s="16"/>
      <c r="F621" s="16"/>
      <c r="G621" s="16"/>
      <c r="H621" s="647"/>
      <c r="I621" s="647"/>
      <c r="J621" s="647"/>
      <c r="K621" s="647"/>
      <c r="L621" s="647"/>
      <c r="M621" s="647"/>
      <c r="N621" s="647"/>
      <c r="O621" s="647"/>
      <c r="P621" s="647"/>
      <c r="Q621" s="647"/>
      <c r="R621" s="647"/>
      <c r="S621" s="647"/>
      <c r="T621" s="647"/>
      <c r="U621" s="16"/>
      <c r="V621" s="16"/>
      <c r="W621" s="16"/>
      <c r="X621" s="16"/>
      <c r="Y621" s="16"/>
      <c r="Z621" s="16"/>
      <c r="AA621" s="16"/>
      <c r="AB621" s="16"/>
      <c r="AC621" s="16"/>
    </row>
    <row r="622" ht="12.75" customHeight="1" spans="1:29" x14ac:dyDescent="0.25">
      <c r="A622" s="16"/>
      <c r="B622" s="16"/>
      <c r="C622" s="16"/>
      <c r="D622" s="16"/>
      <c r="E622" s="16"/>
      <c r="F622" s="16"/>
      <c r="G622" s="16"/>
      <c r="H622" s="647"/>
      <c r="I622" s="647"/>
      <c r="J622" s="647"/>
      <c r="K622" s="647"/>
      <c r="L622" s="647"/>
      <c r="M622" s="647"/>
      <c r="N622" s="647"/>
      <c r="O622" s="647"/>
      <c r="P622" s="647"/>
      <c r="Q622" s="647"/>
      <c r="R622" s="647"/>
      <c r="S622" s="647"/>
      <c r="T622" s="647"/>
      <c r="U622" s="16"/>
      <c r="V622" s="16"/>
      <c r="W622" s="16"/>
      <c r="X622" s="16"/>
      <c r="Y622" s="16"/>
      <c r="Z622" s="16"/>
      <c r="AA622" s="16"/>
      <c r="AB622" s="16"/>
      <c r="AC622" s="16"/>
    </row>
    <row r="623" ht="12.75" customHeight="1" spans="1:29" x14ac:dyDescent="0.25">
      <c r="A623" s="16"/>
      <c r="B623" s="16"/>
      <c r="C623" s="16"/>
      <c r="D623" s="16"/>
      <c r="E623" s="16"/>
      <c r="F623" s="16"/>
      <c r="G623" s="16"/>
      <c r="H623" s="647"/>
      <c r="I623" s="647"/>
      <c r="J623" s="647"/>
      <c r="K623" s="647"/>
      <c r="L623" s="647"/>
      <c r="M623" s="647"/>
      <c r="N623" s="647"/>
      <c r="O623" s="647"/>
      <c r="P623" s="647"/>
      <c r="Q623" s="647"/>
      <c r="R623" s="647"/>
      <c r="S623" s="647"/>
      <c r="T623" s="647"/>
      <c r="U623" s="16"/>
      <c r="V623" s="16"/>
      <c r="W623" s="16"/>
      <c r="X623" s="16"/>
      <c r="Y623" s="16"/>
      <c r="Z623" s="16"/>
      <c r="AA623" s="16"/>
      <c r="AB623" s="16"/>
      <c r="AC623" s="16"/>
    </row>
    <row r="624" ht="12.75" customHeight="1" spans="1:29" x14ac:dyDescent="0.25">
      <c r="A624" s="16"/>
      <c r="B624" s="16"/>
      <c r="C624" s="16"/>
      <c r="D624" s="16"/>
      <c r="E624" s="16"/>
      <c r="F624" s="16"/>
      <c r="G624" s="16"/>
      <c r="H624" s="647"/>
      <c r="I624" s="647"/>
      <c r="J624" s="647"/>
      <c r="K624" s="647"/>
      <c r="L624" s="647"/>
      <c r="M624" s="647"/>
      <c r="N624" s="647"/>
      <c r="O624" s="647"/>
      <c r="P624" s="647"/>
      <c r="Q624" s="647"/>
      <c r="R624" s="647"/>
      <c r="S624" s="647"/>
      <c r="T624" s="647"/>
      <c r="U624" s="16"/>
      <c r="V624" s="16"/>
      <c r="W624" s="16"/>
      <c r="X624" s="16"/>
      <c r="Y624" s="16"/>
      <c r="Z624" s="16"/>
      <c r="AA624" s="16"/>
      <c r="AB624" s="16"/>
      <c r="AC624" s="16"/>
    </row>
    <row r="625" ht="12.75" customHeight="1" spans="1:29" x14ac:dyDescent="0.25">
      <c r="A625" s="16"/>
      <c r="B625" s="16"/>
      <c r="C625" s="16"/>
      <c r="D625" s="16"/>
      <c r="E625" s="16"/>
      <c r="F625" s="16"/>
      <c r="G625" s="16"/>
      <c r="H625" s="647"/>
      <c r="I625" s="647"/>
      <c r="J625" s="647"/>
      <c r="K625" s="647"/>
      <c r="L625" s="647"/>
      <c r="M625" s="647"/>
      <c r="N625" s="647"/>
      <c r="O625" s="647"/>
      <c r="P625" s="647"/>
      <c r="Q625" s="647"/>
      <c r="R625" s="647"/>
      <c r="S625" s="647"/>
      <c r="T625" s="647"/>
      <c r="U625" s="16"/>
      <c r="V625" s="16"/>
      <c r="W625" s="16"/>
      <c r="X625" s="16"/>
      <c r="Y625" s="16"/>
      <c r="Z625" s="16"/>
      <c r="AA625" s="16"/>
      <c r="AB625" s="16"/>
      <c r="AC625" s="16"/>
    </row>
    <row r="626" ht="12.75" customHeight="1" spans="1:29" x14ac:dyDescent="0.25">
      <c r="A626" s="16"/>
      <c r="B626" s="16"/>
      <c r="C626" s="16"/>
      <c r="D626" s="16"/>
      <c r="E626" s="16"/>
      <c r="F626" s="16"/>
      <c r="G626" s="16"/>
      <c r="H626" s="647"/>
      <c r="I626" s="647"/>
      <c r="J626" s="647"/>
      <c r="K626" s="647"/>
      <c r="L626" s="647"/>
      <c r="M626" s="647"/>
      <c r="N626" s="647"/>
      <c r="O626" s="647"/>
      <c r="P626" s="647"/>
      <c r="Q626" s="647"/>
      <c r="R626" s="647"/>
      <c r="S626" s="647"/>
      <c r="T626" s="647"/>
      <c r="U626" s="16"/>
      <c r="V626" s="16"/>
      <c r="W626" s="16"/>
      <c r="X626" s="16"/>
      <c r="Y626" s="16"/>
      <c r="Z626" s="16"/>
      <c r="AA626" s="16"/>
      <c r="AB626" s="16"/>
      <c r="AC626" s="16"/>
    </row>
    <row r="627" ht="12.75" customHeight="1" spans="1:29" x14ac:dyDescent="0.25">
      <c r="A627" s="16"/>
      <c r="B627" s="16"/>
      <c r="C627" s="16"/>
      <c r="D627" s="16"/>
      <c r="E627" s="16"/>
      <c r="F627" s="16"/>
      <c r="G627" s="16"/>
      <c r="H627" s="647"/>
      <c r="I627" s="647"/>
      <c r="J627" s="647"/>
      <c r="K627" s="647"/>
      <c r="L627" s="647"/>
      <c r="M627" s="647"/>
      <c r="N627" s="647"/>
      <c r="O627" s="647"/>
      <c r="P627" s="647"/>
      <c r="Q627" s="647"/>
      <c r="R627" s="647"/>
      <c r="S627" s="647"/>
      <c r="T627" s="647"/>
      <c r="U627" s="16"/>
      <c r="V627" s="16"/>
      <c r="W627" s="16"/>
      <c r="X627" s="16"/>
      <c r="Y627" s="16"/>
      <c r="Z627" s="16"/>
      <c r="AA627" s="16"/>
      <c r="AB627" s="16"/>
      <c r="AC627" s="16"/>
    </row>
    <row r="628" ht="12.75" customHeight="1" spans="1:29" x14ac:dyDescent="0.25">
      <c r="A628" s="16"/>
      <c r="B628" s="16"/>
      <c r="C628" s="16"/>
      <c r="D628" s="16"/>
      <c r="E628" s="16"/>
      <c r="F628" s="16"/>
      <c r="G628" s="16"/>
      <c r="H628" s="647"/>
      <c r="I628" s="647"/>
      <c r="J628" s="647"/>
      <c r="K628" s="647"/>
      <c r="L628" s="647"/>
      <c r="M628" s="647"/>
      <c r="N628" s="647"/>
      <c r="O628" s="647"/>
      <c r="P628" s="647"/>
      <c r="Q628" s="647"/>
      <c r="R628" s="647"/>
      <c r="S628" s="647"/>
      <c r="T628" s="647"/>
      <c r="U628" s="16"/>
      <c r="V628" s="16"/>
      <c r="W628" s="16"/>
      <c r="X628" s="16"/>
      <c r="Y628" s="16"/>
      <c r="Z628" s="16"/>
      <c r="AA628" s="16"/>
      <c r="AB628" s="16"/>
      <c r="AC628" s="16"/>
    </row>
    <row r="629" ht="12.75" customHeight="1" spans="1:29" x14ac:dyDescent="0.25">
      <c r="A629" s="16"/>
      <c r="B629" s="16"/>
      <c r="C629" s="16"/>
      <c r="D629" s="16"/>
      <c r="E629" s="16"/>
      <c r="F629" s="16"/>
      <c r="G629" s="16"/>
      <c r="H629" s="647"/>
      <c r="I629" s="647"/>
      <c r="J629" s="647"/>
      <c r="K629" s="647"/>
      <c r="L629" s="647"/>
      <c r="M629" s="647"/>
      <c r="N629" s="647"/>
      <c r="O629" s="647"/>
      <c r="P629" s="647"/>
      <c r="Q629" s="647"/>
      <c r="R629" s="647"/>
      <c r="S629" s="647"/>
      <c r="T629" s="647"/>
      <c r="U629" s="16"/>
      <c r="V629" s="16"/>
      <c r="W629" s="16"/>
      <c r="X629" s="16"/>
      <c r="Y629" s="16"/>
      <c r="Z629" s="16"/>
      <c r="AA629" s="16"/>
      <c r="AB629" s="16"/>
      <c r="AC629" s="16"/>
    </row>
    <row r="630" ht="12.75" customHeight="1" spans="1:29" x14ac:dyDescent="0.25">
      <c r="A630" s="16"/>
      <c r="B630" s="16"/>
      <c r="C630" s="16"/>
      <c r="D630" s="16"/>
      <c r="E630" s="16"/>
      <c r="F630" s="16"/>
      <c r="G630" s="16"/>
      <c r="H630" s="647"/>
      <c r="I630" s="647"/>
      <c r="J630" s="647"/>
      <c r="K630" s="647"/>
      <c r="L630" s="647"/>
      <c r="M630" s="647"/>
      <c r="N630" s="647"/>
      <c r="O630" s="647"/>
      <c r="P630" s="647"/>
      <c r="Q630" s="647"/>
      <c r="R630" s="647"/>
      <c r="S630" s="647"/>
      <c r="T630" s="647"/>
      <c r="U630" s="16"/>
      <c r="V630" s="16"/>
      <c r="W630" s="16"/>
      <c r="X630" s="16"/>
      <c r="Y630" s="16"/>
      <c r="Z630" s="16"/>
      <c r="AA630" s="16"/>
      <c r="AB630" s="16"/>
      <c r="AC630" s="16"/>
    </row>
    <row r="631" ht="12.75" customHeight="1" spans="1:29" x14ac:dyDescent="0.25">
      <c r="A631" s="16"/>
      <c r="B631" s="16"/>
      <c r="C631" s="16"/>
      <c r="D631" s="16"/>
      <c r="E631" s="16"/>
      <c r="F631" s="16"/>
      <c r="G631" s="16"/>
      <c r="H631" s="647"/>
      <c r="I631" s="647"/>
      <c r="J631" s="647"/>
      <c r="K631" s="647"/>
      <c r="L631" s="647"/>
      <c r="M631" s="647"/>
      <c r="N631" s="647"/>
      <c r="O631" s="647"/>
      <c r="P631" s="647"/>
      <c r="Q631" s="647"/>
      <c r="R631" s="647"/>
      <c r="S631" s="647"/>
      <c r="T631" s="647"/>
      <c r="U631" s="16"/>
      <c r="V631" s="16"/>
      <c r="W631" s="16"/>
      <c r="X631" s="16"/>
      <c r="Y631" s="16"/>
      <c r="Z631" s="16"/>
      <c r="AA631" s="16"/>
      <c r="AB631" s="16"/>
      <c r="AC631" s="16"/>
    </row>
    <row r="632" ht="12.75" customHeight="1" spans="1:29" x14ac:dyDescent="0.25">
      <c r="A632" s="16"/>
      <c r="B632" s="16"/>
      <c r="C632" s="16"/>
      <c r="D632" s="16"/>
      <c r="E632" s="16"/>
      <c r="F632" s="16"/>
      <c r="G632" s="16"/>
      <c r="H632" s="647"/>
      <c r="I632" s="647"/>
      <c r="J632" s="647"/>
      <c r="K632" s="647"/>
      <c r="L632" s="647"/>
      <c r="M632" s="647"/>
      <c r="N632" s="647"/>
      <c r="O632" s="647"/>
      <c r="P632" s="647"/>
      <c r="Q632" s="647"/>
      <c r="R632" s="647"/>
      <c r="S632" s="647"/>
      <c r="T632" s="647"/>
      <c r="U632" s="16"/>
      <c r="V632" s="16"/>
      <c r="W632" s="16"/>
      <c r="X632" s="16"/>
      <c r="Y632" s="16"/>
      <c r="Z632" s="16"/>
      <c r="AA632" s="16"/>
      <c r="AB632" s="16"/>
      <c r="AC632" s="16"/>
    </row>
    <row r="633" ht="12.75" customHeight="1" spans="1:29" x14ac:dyDescent="0.25">
      <c r="A633" s="16"/>
      <c r="B633" s="16"/>
      <c r="C633" s="16"/>
      <c r="D633" s="16"/>
      <c r="E633" s="16"/>
      <c r="F633" s="16"/>
      <c r="G633" s="16"/>
      <c r="H633" s="647"/>
      <c r="I633" s="647"/>
      <c r="J633" s="647"/>
      <c r="K633" s="647"/>
      <c r="L633" s="647"/>
      <c r="M633" s="647"/>
      <c r="N633" s="647"/>
      <c r="O633" s="647"/>
      <c r="P633" s="647"/>
      <c r="Q633" s="647"/>
      <c r="R633" s="647"/>
      <c r="S633" s="647"/>
      <c r="T633" s="647"/>
      <c r="U633" s="16"/>
      <c r="V633" s="16"/>
      <c r="W633" s="16"/>
      <c r="X633" s="16"/>
      <c r="Y633" s="16"/>
      <c r="Z633" s="16"/>
      <c r="AA633" s="16"/>
      <c r="AB633" s="16"/>
      <c r="AC633" s="16"/>
    </row>
    <row r="634" ht="12.75" customHeight="1" spans="1:29" x14ac:dyDescent="0.25">
      <c r="A634" s="16"/>
      <c r="B634" s="16"/>
      <c r="C634" s="16"/>
      <c r="D634" s="16"/>
      <c r="E634" s="16"/>
      <c r="F634" s="16"/>
      <c r="G634" s="16"/>
      <c r="H634" s="647"/>
      <c r="I634" s="647"/>
      <c r="J634" s="647"/>
      <c r="K634" s="647"/>
      <c r="L634" s="647"/>
      <c r="M634" s="647"/>
      <c r="N634" s="647"/>
      <c r="O634" s="647"/>
      <c r="P634" s="647"/>
      <c r="Q634" s="647"/>
      <c r="R634" s="647"/>
      <c r="S634" s="647"/>
      <c r="T634" s="647"/>
      <c r="U634" s="16"/>
      <c r="V634" s="16"/>
      <c r="W634" s="16"/>
      <c r="X634" s="16"/>
      <c r="Y634" s="16"/>
      <c r="Z634" s="16"/>
      <c r="AA634" s="16"/>
      <c r="AB634" s="16"/>
      <c r="AC634" s="16"/>
    </row>
    <row r="635" ht="12.75" customHeight="1" spans="1:29" x14ac:dyDescent="0.25">
      <c r="A635" s="16"/>
      <c r="B635" s="16"/>
      <c r="C635" s="16"/>
      <c r="D635" s="16"/>
      <c r="E635" s="16"/>
      <c r="F635" s="16"/>
      <c r="G635" s="16"/>
      <c r="H635" s="647"/>
      <c r="I635" s="647"/>
      <c r="J635" s="647"/>
      <c r="K635" s="647"/>
      <c r="L635" s="647"/>
      <c r="M635" s="647"/>
      <c r="N635" s="647"/>
      <c r="O635" s="647"/>
      <c r="P635" s="647"/>
      <c r="Q635" s="647"/>
      <c r="R635" s="647"/>
      <c r="S635" s="647"/>
      <c r="T635" s="647"/>
      <c r="U635" s="16"/>
      <c r="V635" s="16"/>
      <c r="W635" s="16"/>
      <c r="X635" s="16"/>
      <c r="Y635" s="16"/>
      <c r="Z635" s="16"/>
      <c r="AA635" s="16"/>
      <c r="AB635" s="16"/>
      <c r="AC635" s="16"/>
    </row>
    <row r="636" ht="12.75" customHeight="1" spans="1:29" x14ac:dyDescent="0.25">
      <c r="A636" s="16"/>
      <c r="B636" s="16"/>
      <c r="C636" s="16"/>
      <c r="D636" s="16"/>
      <c r="E636" s="16"/>
      <c r="F636" s="16"/>
      <c r="G636" s="16"/>
      <c r="H636" s="647"/>
      <c r="I636" s="647"/>
      <c r="J636" s="647"/>
      <c r="K636" s="647"/>
      <c r="L636" s="647"/>
      <c r="M636" s="647"/>
      <c r="N636" s="647"/>
      <c r="O636" s="647"/>
      <c r="P636" s="647"/>
      <c r="Q636" s="647"/>
      <c r="R636" s="647"/>
      <c r="S636" s="647"/>
      <c r="T636" s="647"/>
      <c r="U636" s="16"/>
      <c r="V636" s="16"/>
      <c r="W636" s="16"/>
      <c r="X636" s="16"/>
      <c r="Y636" s="16"/>
      <c r="Z636" s="16"/>
      <c r="AA636" s="16"/>
      <c r="AB636" s="16"/>
      <c r="AC636" s="16"/>
    </row>
    <row r="637" ht="12.75" customHeight="1" spans="1:29" x14ac:dyDescent="0.25">
      <c r="A637" s="16"/>
      <c r="B637" s="16"/>
      <c r="C637" s="16"/>
      <c r="D637" s="16"/>
      <c r="E637" s="16"/>
      <c r="F637" s="16"/>
      <c r="G637" s="16"/>
      <c r="H637" s="647"/>
      <c r="I637" s="647"/>
      <c r="J637" s="647"/>
      <c r="K637" s="647"/>
      <c r="L637" s="647"/>
      <c r="M637" s="647"/>
      <c r="N637" s="647"/>
      <c r="O637" s="647"/>
      <c r="P637" s="647"/>
      <c r="Q637" s="647"/>
      <c r="R637" s="647"/>
      <c r="S637" s="647"/>
      <c r="T637" s="647"/>
      <c r="U637" s="16"/>
      <c r="V637" s="16"/>
      <c r="W637" s="16"/>
      <c r="X637" s="16"/>
      <c r="Y637" s="16"/>
      <c r="Z637" s="16"/>
      <c r="AA637" s="16"/>
      <c r="AB637" s="16"/>
      <c r="AC637" s="16"/>
    </row>
    <row r="638" ht="12.75" customHeight="1" spans="1:29" x14ac:dyDescent="0.25">
      <c r="A638" s="16"/>
      <c r="B638" s="16"/>
      <c r="C638" s="16"/>
      <c r="D638" s="16"/>
      <c r="E638" s="16"/>
      <c r="F638" s="16"/>
      <c r="G638" s="16"/>
      <c r="H638" s="647"/>
      <c r="I638" s="647"/>
      <c r="J638" s="647"/>
      <c r="K638" s="647"/>
      <c r="L638" s="647"/>
      <c r="M638" s="647"/>
      <c r="N638" s="647"/>
      <c r="O638" s="647"/>
      <c r="P638" s="647"/>
      <c r="Q638" s="647"/>
      <c r="R638" s="647"/>
      <c r="S638" s="647"/>
      <c r="T638" s="647"/>
      <c r="U638" s="16"/>
      <c r="V638" s="16"/>
      <c r="W638" s="16"/>
      <c r="X638" s="16"/>
      <c r="Y638" s="16"/>
      <c r="Z638" s="16"/>
      <c r="AA638" s="16"/>
      <c r="AB638" s="16"/>
      <c r="AC638" s="16"/>
    </row>
    <row r="639" ht="12.75" customHeight="1" spans="1:29" x14ac:dyDescent="0.25">
      <c r="A639" s="16"/>
      <c r="B639" s="16"/>
      <c r="C639" s="16"/>
      <c r="D639" s="16"/>
      <c r="E639" s="16"/>
      <c r="F639" s="16"/>
      <c r="G639" s="16"/>
      <c r="H639" s="647"/>
      <c r="I639" s="647"/>
      <c r="J639" s="647"/>
      <c r="K639" s="647"/>
      <c r="L639" s="647"/>
      <c r="M639" s="647"/>
      <c r="N639" s="647"/>
      <c r="O639" s="647"/>
      <c r="P639" s="647"/>
      <c r="Q639" s="647"/>
      <c r="R639" s="647"/>
      <c r="S639" s="647"/>
      <c r="T639" s="647"/>
      <c r="U639" s="16"/>
      <c r="V639" s="16"/>
      <c r="W639" s="16"/>
      <c r="X639" s="16"/>
      <c r="Y639" s="16"/>
      <c r="Z639" s="16"/>
      <c r="AA639" s="16"/>
      <c r="AB639" s="16"/>
      <c r="AC639" s="16"/>
    </row>
    <row r="640" ht="12.75" customHeight="1" spans="1:29" x14ac:dyDescent="0.25">
      <c r="A640" s="16"/>
      <c r="B640" s="16"/>
      <c r="C640" s="16"/>
      <c r="D640" s="16"/>
      <c r="E640" s="16"/>
      <c r="F640" s="16"/>
      <c r="G640" s="16"/>
      <c r="H640" s="647"/>
      <c r="I640" s="647"/>
      <c r="J640" s="647"/>
      <c r="K640" s="647"/>
      <c r="L640" s="647"/>
      <c r="M640" s="647"/>
      <c r="N640" s="647"/>
      <c r="O640" s="647"/>
      <c r="P640" s="647"/>
      <c r="Q640" s="647"/>
      <c r="R640" s="647"/>
      <c r="S640" s="647"/>
      <c r="T640" s="647"/>
      <c r="U640" s="16"/>
      <c r="V640" s="16"/>
      <c r="W640" s="16"/>
      <c r="X640" s="16"/>
      <c r="Y640" s="16"/>
      <c r="Z640" s="16"/>
      <c r="AA640" s="16"/>
      <c r="AB640" s="16"/>
      <c r="AC640" s="16"/>
    </row>
    <row r="641" ht="12.75" customHeight="1" spans="1:29" x14ac:dyDescent="0.25">
      <c r="A641" s="16"/>
      <c r="B641" s="16"/>
      <c r="C641" s="16"/>
      <c r="D641" s="16"/>
      <c r="E641" s="16"/>
      <c r="F641" s="16"/>
      <c r="G641" s="16"/>
      <c r="H641" s="647"/>
      <c r="I641" s="647"/>
      <c r="J641" s="647"/>
      <c r="K641" s="647"/>
      <c r="L641" s="647"/>
      <c r="M641" s="647"/>
      <c r="N641" s="647"/>
      <c r="O641" s="647"/>
      <c r="P641" s="647"/>
      <c r="Q641" s="647"/>
      <c r="R641" s="647"/>
      <c r="S641" s="647"/>
      <c r="T641" s="647"/>
      <c r="U641" s="16"/>
      <c r="V641" s="16"/>
      <c r="W641" s="16"/>
      <c r="X641" s="16"/>
      <c r="Y641" s="16"/>
      <c r="Z641" s="16"/>
      <c r="AA641" s="16"/>
      <c r="AB641" s="16"/>
      <c r="AC641" s="16"/>
    </row>
    <row r="642" ht="12.75" customHeight="1" spans="1:29" x14ac:dyDescent="0.25">
      <c r="A642" s="16"/>
      <c r="B642" s="16"/>
      <c r="C642" s="16"/>
      <c r="D642" s="16"/>
      <c r="E642" s="16"/>
      <c r="F642" s="16"/>
      <c r="G642" s="16"/>
      <c r="H642" s="647"/>
      <c r="I642" s="647"/>
      <c r="J642" s="647"/>
      <c r="K642" s="647"/>
      <c r="L642" s="647"/>
      <c r="M642" s="647"/>
      <c r="N642" s="647"/>
      <c r="O642" s="647"/>
      <c r="P642" s="647"/>
      <c r="Q642" s="647"/>
      <c r="R642" s="647"/>
      <c r="S642" s="647"/>
      <c r="T642" s="647"/>
      <c r="U642" s="16"/>
      <c r="V642" s="16"/>
      <c r="W642" s="16"/>
      <c r="X642" s="16"/>
      <c r="Y642" s="16"/>
      <c r="Z642" s="16"/>
      <c r="AA642" s="16"/>
      <c r="AB642" s="16"/>
      <c r="AC642" s="16"/>
    </row>
    <row r="643" ht="12.75" customHeight="1" spans="1:29" x14ac:dyDescent="0.25">
      <c r="A643" s="16"/>
      <c r="B643" s="16"/>
      <c r="C643" s="16"/>
      <c r="D643" s="16"/>
      <c r="E643" s="16"/>
      <c r="F643" s="16"/>
      <c r="G643" s="16"/>
      <c r="H643" s="647"/>
      <c r="I643" s="647"/>
      <c r="J643" s="647"/>
      <c r="K643" s="647"/>
      <c r="L643" s="647"/>
      <c r="M643" s="647"/>
      <c r="N643" s="647"/>
      <c r="O643" s="647"/>
      <c r="P643" s="647"/>
      <c r="Q643" s="647"/>
      <c r="R643" s="647"/>
      <c r="S643" s="647"/>
      <c r="T643" s="647"/>
      <c r="U643" s="16"/>
      <c r="V643" s="16"/>
      <c r="W643" s="16"/>
      <c r="X643" s="16"/>
      <c r="Y643" s="16"/>
      <c r="Z643" s="16"/>
      <c r="AA643" s="16"/>
      <c r="AB643" s="16"/>
      <c r="AC643" s="16"/>
    </row>
    <row r="644" ht="12.75" customHeight="1" spans="1:29" x14ac:dyDescent="0.25">
      <c r="A644" s="16"/>
      <c r="B644" s="16"/>
      <c r="C644" s="16"/>
      <c r="D644" s="16"/>
      <c r="E644" s="16"/>
      <c r="F644" s="16"/>
      <c r="G644" s="16"/>
      <c r="H644" s="647"/>
      <c r="I644" s="647"/>
      <c r="J644" s="647"/>
      <c r="K644" s="647"/>
      <c r="L644" s="647"/>
      <c r="M644" s="647"/>
      <c r="N644" s="647"/>
      <c r="O644" s="647"/>
      <c r="P644" s="647"/>
      <c r="Q644" s="647"/>
      <c r="R644" s="647"/>
      <c r="S644" s="647"/>
      <c r="T644" s="647"/>
      <c r="U644" s="16"/>
      <c r="V644" s="16"/>
      <c r="W644" s="16"/>
      <c r="X644" s="16"/>
      <c r="Y644" s="16"/>
      <c r="Z644" s="16"/>
      <c r="AA644" s="16"/>
      <c r="AB644" s="16"/>
      <c r="AC644" s="16"/>
    </row>
    <row r="645" ht="12.75" customHeight="1" spans="1:29" x14ac:dyDescent="0.25">
      <c r="A645" s="16"/>
      <c r="B645" s="16"/>
      <c r="C645" s="16"/>
      <c r="D645" s="16"/>
      <c r="E645" s="16"/>
      <c r="F645" s="16"/>
      <c r="G645" s="16"/>
      <c r="H645" s="647"/>
      <c r="I645" s="647"/>
      <c r="J645" s="647"/>
      <c r="K645" s="647"/>
      <c r="L645" s="647"/>
      <c r="M645" s="647"/>
      <c r="N645" s="647"/>
      <c r="O645" s="647"/>
      <c r="P645" s="647"/>
      <c r="Q645" s="647"/>
      <c r="R645" s="647"/>
      <c r="S645" s="647"/>
      <c r="T645" s="647"/>
      <c r="U645" s="16"/>
      <c r="V645" s="16"/>
      <c r="W645" s="16"/>
      <c r="X645" s="16"/>
      <c r="Y645" s="16"/>
      <c r="Z645" s="16"/>
      <c r="AA645" s="16"/>
      <c r="AB645" s="16"/>
      <c r="AC645" s="16"/>
    </row>
    <row r="646" ht="12.75" customHeight="1" spans="1:29" x14ac:dyDescent="0.25">
      <c r="A646" s="16"/>
      <c r="B646" s="16"/>
      <c r="C646" s="16"/>
      <c r="D646" s="16"/>
      <c r="E646" s="16"/>
      <c r="F646" s="16"/>
      <c r="G646" s="16"/>
      <c r="H646" s="647"/>
      <c r="I646" s="647"/>
      <c r="J646" s="647"/>
      <c r="K646" s="647"/>
      <c r="L646" s="647"/>
      <c r="M646" s="647"/>
      <c r="N646" s="647"/>
      <c r="O646" s="647"/>
      <c r="P646" s="647"/>
      <c r="Q646" s="647"/>
      <c r="R646" s="647"/>
      <c r="S646" s="647"/>
      <c r="T646" s="647"/>
      <c r="U646" s="16"/>
      <c r="V646" s="16"/>
      <c r="W646" s="16"/>
      <c r="X646" s="16"/>
      <c r="Y646" s="16"/>
      <c r="Z646" s="16"/>
      <c r="AA646" s="16"/>
      <c r="AB646" s="16"/>
      <c r="AC646" s="16"/>
    </row>
    <row r="647" ht="12.75" customHeight="1" spans="1:29" x14ac:dyDescent="0.25">
      <c r="A647" s="16"/>
      <c r="B647" s="16"/>
      <c r="C647" s="16"/>
      <c r="D647" s="16"/>
      <c r="E647" s="16"/>
      <c r="F647" s="16"/>
      <c r="G647" s="16"/>
      <c r="H647" s="647"/>
      <c r="I647" s="647"/>
      <c r="J647" s="647"/>
      <c r="K647" s="647"/>
      <c r="L647" s="647"/>
      <c r="M647" s="647"/>
      <c r="N647" s="647"/>
      <c r="O647" s="647"/>
      <c r="P647" s="647"/>
      <c r="Q647" s="647"/>
      <c r="R647" s="647"/>
      <c r="S647" s="647"/>
      <c r="T647" s="647"/>
      <c r="U647" s="16"/>
      <c r="V647" s="16"/>
      <c r="W647" s="16"/>
      <c r="X647" s="16"/>
      <c r="Y647" s="16"/>
      <c r="Z647" s="16"/>
      <c r="AA647" s="16"/>
      <c r="AB647" s="16"/>
      <c r="AC647" s="16"/>
    </row>
    <row r="648" ht="12.75" customHeight="1" spans="1:29" x14ac:dyDescent="0.25">
      <c r="A648" s="16"/>
      <c r="B648" s="16"/>
      <c r="C648" s="16"/>
      <c r="D648" s="16"/>
      <c r="E648" s="16"/>
      <c r="F648" s="16"/>
      <c r="G648" s="16"/>
      <c r="H648" s="647"/>
      <c r="I648" s="647"/>
      <c r="J648" s="647"/>
      <c r="K648" s="647"/>
      <c r="L648" s="647"/>
      <c r="M648" s="647"/>
      <c r="N648" s="647"/>
      <c r="O648" s="647"/>
      <c r="P648" s="647"/>
      <c r="Q648" s="647"/>
      <c r="R648" s="647"/>
      <c r="S648" s="647"/>
      <c r="T648" s="647"/>
      <c r="U648" s="16"/>
      <c r="V648" s="16"/>
      <c r="W648" s="16"/>
      <c r="X648" s="16"/>
      <c r="Y648" s="16"/>
      <c r="Z648" s="16"/>
      <c r="AA648" s="16"/>
      <c r="AB648" s="16"/>
      <c r="AC648" s="16"/>
    </row>
    <row r="649" ht="12.75" customHeight="1" spans="1:29" x14ac:dyDescent="0.25">
      <c r="A649" s="16"/>
      <c r="B649" s="16"/>
      <c r="C649" s="16"/>
      <c r="D649" s="16"/>
      <c r="E649" s="16"/>
      <c r="F649" s="16"/>
      <c r="G649" s="16"/>
      <c r="H649" s="647"/>
      <c r="I649" s="647"/>
      <c r="J649" s="647"/>
      <c r="K649" s="647"/>
      <c r="L649" s="647"/>
      <c r="M649" s="647"/>
      <c r="N649" s="647"/>
      <c r="O649" s="647"/>
      <c r="P649" s="647"/>
      <c r="Q649" s="647"/>
      <c r="R649" s="647"/>
      <c r="S649" s="647"/>
      <c r="T649" s="647"/>
      <c r="U649" s="16"/>
      <c r="V649" s="16"/>
      <c r="W649" s="16"/>
      <c r="X649" s="16"/>
      <c r="Y649" s="16"/>
      <c r="Z649" s="16"/>
      <c r="AA649" s="16"/>
      <c r="AB649" s="16"/>
      <c r="AC649" s="16"/>
    </row>
    <row r="650" ht="12.75" customHeight="1" spans="1:29" x14ac:dyDescent="0.25">
      <c r="A650" s="16"/>
      <c r="B650" s="16"/>
      <c r="C650" s="16"/>
      <c r="D650" s="16"/>
      <c r="E650" s="16"/>
      <c r="F650" s="16"/>
      <c r="G650" s="16"/>
      <c r="H650" s="647"/>
      <c r="I650" s="647"/>
      <c r="J650" s="647"/>
      <c r="K650" s="647"/>
      <c r="L650" s="647"/>
      <c r="M650" s="647"/>
      <c r="N650" s="647"/>
      <c r="O650" s="647"/>
      <c r="P650" s="647"/>
      <c r="Q650" s="647"/>
      <c r="R650" s="647"/>
      <c r="S650" s="647"/>
      <c r="T650" s="647"/>
      <c r="U650" s="16"/>
      <c r="V650" s="16"/>
      <c r="W650" s="16"/>
      <c r="X650" s="16"/>
      <c r="Y650" s="16"/>
      <c r="Z650" s="16"/>
      <c r="AA650" s="16"/>
      <c r="AB650" s="16"/>
      <c r="AC650" s="16"/>
    </row>
    <row r="651" ht="12.75" customHeight="1" spans="1:29" x14ac:dyDescent="0.25">
      <c r="A651" s="16"/>
      <c r="B651" s="16"/>
      <c r="C651" s="16"/>
      <c r="D651" s="16"/>
      <c r="E651" s="16"/>
      <c r="F651" s="16"/>
      <c r="G651" s="16"/>
      <c r="H651" s="647"/>
      <c r="I651" s="647"/>
      <c r="J651" s="647"/>
      <c r="K651" s="647"/>
      <c r="L651" s="647"/>
      <c r="M651" s="647"/>
      <c r="N651" s="647"/>
      <c r="O651" s="647"/>
      <c r="P651" s="647"/>
      <c r="Q651" s="647"/>
      <c r="R651" s="647"/>
      <c r="S651" s="647"/>
      <c r="T651" s="647"/>
      <c r="U651" s="16"/>
      <c r="V651" s="16"/>
      <c r="W651" s="16"/>
      <c r="X651" s="16"/>
      <c r="Y651" s="16"/>
      <c r="Z651" s="16"/>
      <c r="AA651" s="16"/>
      <c r="AB651" s="16"/>
      <c r="AC651" s="16"/>
    </row>
    <row r="652" ht="12.75" customHeight="1" spans="1:29" x14ac:dyDescent="0.25">
      <c r="A652" s="16"/>
      <c r="B652" s="16"/>
      <c r="C652" s="16"/>
      <c r="D652" s="16"/>
      <c r="E652" s="16"/>
      <c r="F652" s="16"/>
      <c r="G652" s="16"/>
      <c r="H652" s="647"/>
      <c r="I652" s="647"/>
      <c r="J652" s="647"/>
      <c r="K652" s="647"/>
      <c r="L652" s="647"/>
      <c r="M652" s="647"/>
      <c r="N652" s="647"/>
      <c r="O652" s="647"/>
      <c r="P652" s="647"/>
      <c r="Q652" s="647"/>
      <c r="R652" s="647"/>
      <c r="S652" s="647"/>
      <c r="T652" s="647"/>
      <c r="U652" s="16"/>
      <c r="V652" s="16"/>
      <c r="W652" s="16"/>
      <c r="X652" s="16"/>
      <c r="Y652" s="16"/>
      <c r="Z652" s="16"/>
      <c r="AA652" s="16"/>
      <c r="AB652" s="16"/>
      <c r="AC652" s="16"/>
    </row>
    <row r="653" ht="12.75" customHeight="1" spans="1:29" x14ac:dyDescent="0.25">
      <c r="A653" s="16"/>
      <c r="B653" s="16"/>
      <c r="C653" s="16"/>
      <c r="D653" s="16"/>
      <c r="E653" s="16"/>
      <c r="F653" s="16"/>
      <c r="G653" s="16"/>
      <c r="H653" s="647"/>
      <c r="I653" s="647"/>
      <c r="J653" s="647"/>
      <c r="K653" s="647"/>
      <c r="L653" s="647"/>
      <c r="M653" s="647"/>
      <c r="N653" s="647"/>
      <c r="O653" s="647"/>
      <c r="P653" s="647"/>
      <c r="Q653" s="647"/>
      <c r="R653" s="647"/>
      <c r="S653" s="647"/>
      <c r="T653" s="647"/>
      <c r="U653" s="16"/>
      <c r="V653" s="16"/>
      <c r="W653" s="16"/>
      <c r="X653" s="16"/>
      <c r="Y653" s="16"/>
      <c r="Z653" s="16"/>
      <c r="AA653" s="16"/>
      <c r="AB653" s="16"/>
      <c r="AC653" s="16"/>
    </row>
    <row r="654" ht="12.75" customHeight="1" spans="1:29" x14ac:dyDescent="0.25">
      <c r="A654" s="16"/>
      <c r="B654" s="16"/>
      <c r="C654" s="16"/>
      <c r="D654" s="16"/>
      <c r="E654" s="16"/>
      <c r="F654" s="16"/>
      <c r="G654" s="16"/>
      <c r="H654" s="647"/>
      <c r="I654" s="647"/>
      <c r="J654" s="647"/>
      <c r="K654" s="647"/>
      <c r="L654" s="647"/>
      <c r="M654" s="647"/>
      <c r="N654" s="647"/>
      <c r="O654" s="647"/>
      <c r="P654" s="647"/>
      <c r="Q654" s="647"/>
      <c r="R654" s="647"/>
      <c r="S654" s="647"/>
      <c r="T654" s="647"/>
      <c r="U654" s="16"/>
      <c r="V654" s="16"/>
      <c r="W654" s="16"/>
      <c r="X654" s="16"/>
      <c r="Y654" s="16"/>
      <c r="Z654" s="16"/>
      <c r="AA654" s="16"/>
      <c r="AB654" s="16"/>
      <c r="AC654" s="16"/>
    </row>
    <row r="655" ht="12.75" customHeight="1" spans="1:29" x14ac:dyDescent="0.25">
      <c r="A655" s="16"/>
      <c r="B655" s="16"/>
      <c r="C655" s="16"/>
      <c r="D655" s="16"/>
      <c r="E655" s="16"/>
      <c r="F655" s="16"/>
      <c r="G655" s="16"/>
      <c r="H655" s="647"/>
      <c r="I655" s="647"/>
      <c r="J655" s="647"/>
      <c r="K655" s="647"/>
      <c r="L655" s="647"/>
      <c r="M655" s="647"/>
      <c r="N655" s="647"/>
      <c r="O655" s="647"/>
      <c r="P655" s="647"/>
      <c r="Q655" s="647"/>
      <c r="R655" s="647"/>
      <c r="S655" s="647"/>
      <c r="T655" s="647"/>
      <c r="U655" s="16"/>
      <c r="V655" s="16"/>
      <c r="W655" s="16"/>
      <c r="X655" s="16"/>
      <c r="Y655" s="16"/>
      <c r="Z655" s="16"/>
      <c r="AA655" s="16"/>
      <c r="AB655" s="16"/>
      <c r="AC655" s="16"/>
    </row>
    <row r="656" ht="12.75" customHeight="1" spans="1:29" x14ac:dyDescent="0.25">
      <c r="A656" s="16"/>
      <c r="B656" s="16"/>
      <c r="C656" s="16"/>
      <c r="D656" s="16"/>
      <c r="E656" s="16"/>
      <c r="F656" s="16"/>
      <c r="G656" s="16"/>
      <c r="H656" s="647"/>
      <c r="I656" s="647"/>
      <c r="J656" s="647"/>
      <c r="K656" s="647"/>
      <c r="L656" s="647"/>
      <c r="M656" s="647"/>
      <c r="N656" s="647"/>
      <c r="O656" s="647"/>
      <c r="P656" s="647"/>
      <c r="Q656" s="647"/>
      <c r="R656" s="647"/>
      <c r="S656" s="647"/>
      <c r="T656" s="647"/>
      <c r="U656" s="16"/>
      <c r="V656" s="16"/>
      <c r="W656" s="16"/>
      <c r="X656" s="16"/>
      <c r="Y656" s="16"/>
      <c r="Z656" s="16"/>
      <c r="AA656" s="16"/>
      <c r="AB656" s="16"/>
      <c r="AC656" s="16"/>
    </row>
    <row r="657" ht="12.75" customHeight="1" spans="1:29" x14ac:dyDescent="0.25">
      <c r="A657" s="16"/>
      <c r="B657" s="16"/>
      <c r="C657" s="16"/>
      <c r="D657" s="16"/>
      <c r="E657" s="16"/>
      <c r="F657" s="16"/>
      <c r="G657" s="16"/>
      <c r="H657" s="647"/>
      <c r="I657" s="647"/>
      <c r="J657" s="647"/>
      <c r="K657" s="647"/>
      <c r="L657" s="647"/>
      <c r="M657" s="647"/>
      <c r="N657" s="647"/>
      <c r="O657" s="647"/>
      <c r="P657" s="647"/>
      <c r="Q657" s="647"/>
      <c r="R657" s="647"/>
      <c r="S657" s="647"/>
      <c r="T657" s="647"/>
      <c r="U657" s="16"/>
      <c r="V657" s="16"/>
      <c r="W657" s="16"/>
      <c r="X657" s="16"/>
      <c r="Y657" s="16"/>
      <c r="Z657" s="16"/>
      <c r="AA657" s="16"/>
      <c r="AB657" s="16"/>
      <c r="AC657" s="16"/>
    </row>
    <row r="658" ht="12.75" customHeight="1" spans="1:29" x14ac:dyDescent="0.25">
      <c r="A658" s="16"/>
      <c r="B658" s="16"/>
      <c r="C658" s="16"/>
      <c r="D658" s="16"/>
      <c r="E658" s="16"/>
      <c r="F658" s="16"/>
      <c r="G658" s="16"/>
      <c r="H658" s="647"/>
      <c r="I658" s="647"/>
      <c r="J658" s="647"/>
      <c r="K658" s="647"/>
      <c r="L658" s="647"/>
      <c r="M658" s="647"/>
      <c r="N658" s="647"/>
      <c r="O658" s="647"/>
      <c r="P658" s="647"/>
      <c r="Q658" s="647"/>
      <c r="R658" s="647"/>
      <c r="S658" s="647"/>
      <c r="T658" s="647"/>
      <c r="U658" s="16"/>
      <c r="V658" s="16"/>
      <c r="W658" s="16"/>
      <c r="X658" s="16"/>
      <c r="Y658" s="16"/>
      <c r="Z658" s="16"/>
      <c r="AA658" s="16"/>
      <c r="AB658" s="16"/>
      <c r="AC658" s="16"/>
    </row>
    <row r="659" ht="12.75" customHeight="1" spans="1:29" x14ac:dyDescent="0.25">
      <c r="A659" s="16"/>
      <c r="B659" s="16"/>
      <c r="C659" s="16"/>
      <c r="D659" s="16"/>
      <c r="E659" s="16"/>
      <c r="F659" s="16"/>
      <c r="G659" s="16"/>
      <c r="H659" s="647"/>
      <c r="I659" s="647"/>
      <c r="J659" s="647"/>
      <c r="K659" s="647"/>
      <c r="L659" s="647"/>
      <c r="M659" s="647"/>
      <c r="N659" s="647"/>
      <c r="O659" s="647"/>
      <c r="P659" s="647"/>
      <c r="Q659" s="647"/>
      <c r="R659" s="647"/>
      <c r="S659" s="647"/>
      <c r="T659" s="647"/>
      <c r="U659" s="16"/>
      <c r="V659" s="16"/>
      <c r="W659" s="16"/>
      <c r="X659" s="16"/>
      <c r="Y659" s="16"/>
      <c r="Z659" s="16"/>
      <c r="AA659" s="16"/>
      <c r="AB659" s="16"/>
      <c r="AC659" s="16"/>
    </row>
    <row r="660" ht="12.75" customHeight="1" spans="1:29" x14ac:dyDescent="0.25">
      <c r="A660" s="16"/>
      <c r="B660" s="16"/>
      <c r="C660" s="16"/>
      <c r="D660" s="16"/>
      <c r="E660" s="16"/>
      <c r="F660" s="16"/>
      <c r="G660" s="16"/>
      <c r="H660" s="647"/>
      <c r="I660" s="647"/>
      <c r="J660" s="647"/>
      <c r="K660" s="647"/>
      <c r="L660" s="647"/>
      <c r="M660" s="647"/>
      <c r="N660" s="647"/>
      <c r="O660" s="647"/>
      <c r="P660" s="647"/>
      <c r="Q660" s="647"/>
      <c r="R660" s="647"/>
      <c r="S660" s="647"/>
      <c r="T660" s="647"/>
      <c r="U660" s="16"/>
      <c r="V660" s="16"/>
      <c r="W660" s="16"/>
      <c r="X660" s="16"/>
      <c r="Y660" s="16"/>
      <c r="Z660" s="16"/>
      <c r="AA660" s="16"/>
      <c r="AB660" s="16"/>
      <c r="AC660" s="16"/>
    </row>
    <row r="661" ht="12.75" customHeight="1" spans="1:29" x14ac:dyDescent="0.25">
      <c r="A661" s="16"/>
      <c r="B661" s="16"/>
      <c r="C661" s="16"/>
      <c r="D661" s="16"/>
      <c r="E661" s="16"/>
      <c r="F661" s="16"/>
      <c r="G661" s="16"/>
      <c r="H661" s="647"/>
      <c r="I661" s="647"/>
      <c r="J661" s="647"/>
      <c r="K661" s="647"/>
      <c r="L661" s="647"/>
      <c r="M661" s="647"/>
      <c r="N661" s="647"/>
      <c r="O661" s="647"/>
      <c r="P661" s="647"/>
      <c r="Q661" s="647"/>
      <c r="R661" s="647"/>
      <c r="S661" s="647"/>
      <c r="T661" s="647"/>
      <c r="U661" s="16"/>
      <c r="V661" s="16"/>
      <c r="W661" s="16"/>
      <c r="X661" s="16"/>
      <c r="Y661" s="16"/>
      <c r="Z661" s="16"/>
      <c r="AA661" s="16"/>
      <c r="AB661" s="16"/>
      <c r="AC661" s="16"/>
    </row>
    <row r="662" ht="12.75" customHeight="1" spans="1:29" x14ac:dyDescent="0.25">
      <c r="A662" s="16"/>
      <c r="B662" s="16"/>
      <c r="C662" s="16"/>
      <c r="D662" s="16"/>
      <c r="E662" s="16"/>
      <c r="F662" s="16"/>
      <c r="G662" s="16"/>
      <c r="H662" s="647"/>
      <c r="I662" s="647"/>
      <c r="J662" s="647"/>
      <c r="K662" s="647"/>
      <c r="L662" s="647"/>
      <c r="M662" s="647"/>
      <c r="N662" s="647"/>
      <c r="O662" s="647"/>
      <c r="P662" s="647"/>
      <c r="Q662" s="647"/>
      <c r="R662" s="647"/>
      <c r="S662" s="647"/>
      <c r="T662" s="647"/>
      <c r="U662" s="16"/>
      <c r="V662" s="16"/>
      <c r="W662" s="16"/>
      <c r="X662" s="16"/>
      <c r="Y662" s="16"/>
      <c r="Z662" s="16"/>
      <c r="AA662" s="16"/>
      <c r="AB662" s="16"/>
      <c r="AC662" s="16"/>
    </row>
    <row r="663" ht="12.75" customHeight="1" spans="1:29" x14ac:dyDescent="0.25">
      <c r="A663" s="16"/>
      <c r="B663" s="16"/>
      <c r="C663" s="16"/>
      <c r="D663" s="16"/>
      <c r="E663" s="16"/>
      <c r="F663" s="16"/>
      <c r="G663" s="16"/>
      <c r="H663" s="647"/>
      <c r="I663" s="647"/>
      <c r="J663" s="647"/>
      <c r="K663" s="647"/>
      <c r="L663" s="647"/>
      <c r="M663" s="647"/>
      <c r="N663" s="647"/>
      <c r="O663" s="647"/>
      <c r="P663" s="647"/>
      <c r="Q663" s="647"/>
      <c r="R663" s="647"/>
      <c r="S663" s="647"/>
      <c r="T663" s="647"/>
      <c r="U663" s="16"/>
      <c r="V663" s="16"/>
      <c r="W663" s="16"/>
      <c r="X663" s="16"/>
      <c r="Y663" s="16"/>
      <c r="Z663" s="16"/>
      <c r="AA663" s="16"/>
      <c r="AB663" s="16"/>
      <c r="AC663" s="16"/>
    </row>
    <row r="664" ht="12.75" customHeight="1" spans="1:29" x14ac:dyDescent="0.25">
      <c r="A664" s="16"/>
      <c r="B664" s="16"/>
      <c r="C664" s="16"/>
      <c r="D664" s="16"/>
      <c r="E664" s="16"/>
      <c r="F664" s="16"/>
      <c r="G664" s="16"/>
      <c r="H664" s="647"/>
      <c r="I664" s="647"/>
      <c r="J664" s="647"/>
      <c r="K664" s="647"/>
      <c r="L664" s="647"/>
      <c r="M664" s="647"/>
      <c r="N664" s="647"/>
      <c r="O664" s="647"/>
      <c r="P664" s="647"/>
      <c r="Q664" s="647"/>
      <c r="R664" s="647"/>
      <c r="S664" s="647"/>
      <c r="T664" s="647"/>
      <c r="U664" s="16"/>
      <c r="V664" s="16"/>
      <c r="W664" s="16"/>
      <c r="X664" s="16"/>
      <c r="Y664" s="16"/>
      <c r="Z664" s="16"/>
      <c r="AA664" s="16"/>
      <c r="AB664" s="16"/>
      <c r="AC664" s="16"/>
    </row>
    <row r="665" ht="12.75" customHeight="1" spans="1:29" x14ac:dyDescent="0.25">
      <c r="A665" s="16"/>
      <c r="B665" s="16"/>
      <c r="C665" s="16"/>
      <c r="D665" s="16"/>
      <c r="E665" s="16"/>
      <c r="F665" s="16"/>
      <c r="G665" s="16"/>
      <c r="H665" s="647"/>
      <c r="I665" s="647"/>
      <c r="J665" s="647"/>
      <c r="K665" s="647"/>
      <c r="L665" s="647"/>
      <c r="M665" s="647"/>
      <c r="N665" s="647"/>
      <c r="O665" s="647"/>
      <c r="P665" s="647"/>
      <c r="Q665" s="647"/>
      <c r="R665" s="647"/>
      <c r="S665" s="647"/>
      <c r="T665" s="647"/>
      <c r="U665" s="16"/>
      <c r="V665" s="16"/>
      <c r="W665" s="16"/>
      <c r="X665" s="16"/>
      <c r="Y665" s="16"/>
      <c r="Z665" s="16"/>
      <c r="AA665" s="16"/>
      <c r="AB665" s="16"/>
      <c r="AC665" s="16"/>
    </row>
    <row r="666" ht="12.75" customHeight="1" spans="1:29" x14ac:dyDescent="0.25">
      <c r="A666" s="16"/>
      <c r="B666" s="16"/>
      <c r="C666" s="16"/>
      <c r="D666" s="16"/>
      <c r="E666" s="16"/>
      <c r="F666" s="16"/>
      <c r="G666" s="16"/>
      <c r="H666" s="647"/>
      <c r="I666" s="647"/>
      <c r="J666" s="647"/>
      <c r="K666" s="647"/>
      <c r="L666" s="647"/>
      <c r="M666" s="647"/>
      <c r="N666" s="647"/>
      <c r="O666" s="647"/>
      <c r="P666" s="647"/>
      <c r="Q666" s="647"/>
      <c r="R666" s="647"/>
      <c r="S666" s="647"/>
      <c r="T666" s="647"/>
      <c r="U666" s="16"/>
      <c r="V666" s="16"/>
      <c r="W666" s="16"/>
      <c r="X666" s="16"/>
      <c r="Y666" s="16"/>
      <c r="Z666" s="16"/>
      <c r="AA666" s="16"/>
      <c r="AB666" s="16"/>
      <c r="AC666" s="16"/>
    </row>
    <row r="667" ht="12.75" customHeight="1" spans="1:29" x14ac:dyDescent="0.25">
      <c r="A667" s="16"/>
      <c r="B667" s="16"/>
      <c r="C667" s="16"/>
      <c r="D667" s="16"/>
      <c r="E667" s="16"/>
      <c r="F667" s="16"/>
      <c r="G667" s="16"/>
      <c r="H667" s="647"/>
      <c r="I667" s="647"/>
      <c r="J667" s="647"/>
      <c r="K667" s="647"/>
      <c r="L667" s="647"/>
      <c r="M667" s="647"/>
      <c r="N667" s="647"/>
      <c r="O667" s="647"/>
      <c r="P667" s="647"/>
      <c r="Q667" s="647"/>
      <c r="R667" s="647"/>
      <c r="S667" s="647"/>
      <c r="T667" s="647"/>
      <c r="U667" s="16"/>
      <c r="V667" s="16"/>
      <c r="W667" s="16"/>
      <c r="X667" s="16"/>
      <c r="Y667" s="16"/>
      <c r="Z667" s="16"/>
      <c r="AA667" s="16"/>
      <c r="AB667" s="16"/>
      <c r="AC667" s="16"/>
    </row>
    <row r="668" ht="12.75" customHeight="1" spans="1:29" x14ac:dyDescent="0.25">
      <c r="A668" s="16"/>
      <c r="B668" s="16"/>
      <c r="C668" s="16"/>
      <c r="D668" s="16"/>
      <c r="E668" s="16"/>
      <c r="F668" s="16"/>
      <c r="G668" s="16"/>
      <c r="H668" s="647"/>
      <c r="I668" s="647"/>
      <c r="J668" s="647"/>
      <c r="K668" s="647"/>
      <c r="L668" s="647"/>
      <c r="M668" s="647"/>
      <c r="N668" s="647"/>
      <c r="O668" s="647"/>
      <c r="P668" s="647"/>
      <c r="Q668" s="647"/>
      <c r="R668" s="647"/>
      <c r="S668" s="647"/>
      <c r="T668" s="647"/>
      <c r="U668" s="16"/>
      <c r="V668" s="16"/>
      <c r="W668" s="16"/>
      <c r="X668" s="16"/>
      <c r="Y668" s="16"/>
      <c r="Z668" s="16"/>
      <c r="AA668" s="16"/>
      <c r="AB668" s="16"/>
      <c r="AC668" s="16"/>
    </row>
    <row r="669" ht="12.75" customHeight="1" spans="1:29" x14ac:dyDescent="0.25">
      <c r="A669" s="16"/>
      <c r="B669" s="16"/>
      <c r="C669" s="16"/>
      <c r="D669" s="16"/>
      <c r="E669" s="16"/>
      <c r="F669" s="16"/>
      <c r="G669" s="16"/>
      <c r="H669" s="647"/>
      <c r="I669" s="647"/>
      <c r="J669" s="647"/>
      <c r="K669" s="647"/>
      <c r="L669" s="647"/>
      <c r="M669" s="647"/>
      <c r="N669" s="647"/>
      <c r="O669" s="647"/>
      <c r="P669" s="647"/>
      <c r="Q669" s="647"/>
      <c r="R669" s="647"/>
      <c r="S669" s="647"/>
      <c r="T669" s="647"/>
      <c r="U669" s="16"/>
      <c r="V669" s="16"/>
      <c r="W669" s="16"/>
      <c r="X669" s="16"/>
      <c r="Y669" s="16"/>
      <c r="Z669" s="16"/>
      <c r="AA669" s="16"/>
      <c r="AB669" s="16"/>
      <c r="AC669" s="16"/>
    </row>
    <row r="670" ht="12.75" customHeight="1" spans="1:29" x14ac:dyDescent="0.25">
      <c r="A670" s="16"/>
      <c r="B670" s="16"/>
      <c r="C670" s="16"/>
      <c r="D670" s="16"/>
      <c r="E670" s="16"/>
      <c r="F670" s="16"/>
      <c r="G670" s="16"/>
      <c r="H670" s="647"/>
      <c r="I670" s="647"/>
      <c r="J670" s="647"/>
      <c r="K670" s="647"/>
      <c r="L670" s="647"/>
      <c r="M670" s="647"/>
      <c r="N670" s="647"/>
      <c r="O670" s="647"/>
      <c r="P670" s="647"/>
      <c r="Q670" s="647"/>
      <c r="R670" s="647"/>
      <c r="S670" s="647"/>
      <c r="T670" s="647"/>
      <c r="U670" s="16"/>
      <c r="V670" s="16"/>
      <c r="W670" s="16"/>
      <c r="X670" s="16"/>
      <c r="Y670" s="16"/>
      <c r="Z670" s="16"/>
      <c r="AA670" s="16"/>
      <c r="AB670" s="16"/>
      <c r="AC670" s="16"/>
    </row>
    <row r="671" ht="12.75" customHeight="1" spans="1:29" x14ac:dyDescent="0.25">
      <c r="A671" s="16"/>
      <c r="B671" s="16"/>
      <c r="C671" s="16"/>
      <c r="D671" s="16"/>
      <c r="E671" s="16"/>
      <c r="F671" s="16"/>
      <c r="G671" s="16"/>
      <c r="H671" s="647"/>
      <c r="I671" s="647"/>
      <c r="J671" s="647"/>
      <c r="K671" s="647"/>
      <c r="L671" s="647"/>
      <c r="M671" s="647"/>
      <c r="N671" s="647"/>
      <c r="O671" s="647"/>
      <c r="P671" s="647"/>
      <c r="Q671" s="647"/>
      <c r="R671" s="647"/>
      <c r="S671" s="647"/>
      <c r="T671" s="647"/>
      <c r="U671" s="16"/>
      <c r="V671" s="16"/>
      <c r="W671" s="16"/>
      <c r="X671" s="16"/>
      <c r="Y671" s="16"/>
      <c r="Z671" s="16"/>
      <c r="AA671" s="16"/>
      <c r="AB671" s="16"/>
      <c r="AC671" s="16"/>
    </row>
    <row r="672" ht="12.75" customHeight="1" spans="1:29" x14ac:dyDescent="0.25">
      <c r="A672" s="16"/>
      <c r="B672" s="16"/>
      <c r="C672" s="16"/>
      <c r="D672" s="16"/>
      <c r="E672" s="16"/>
      <c r="F672" s="16"/>
      <c r="G672" s="16"/>
      <c r="H672" s="647"/>
      <c r="I672" s="647"/>
      <c r="J672" s="647"/>
      <c r="K672" s="647"/>
      <c r="L672" s="647"/>
      <c r="M672" s="647"/>
      <c r="N672" s="647"/>
      <c r="O672" s="647"/>
      <c r="P672" s="647"/>
      <c r="Q672" s="647"/>
      <c r="R672" s="647"/>
      <c r="S672" s="647"/>
      <c r="T672" s="647"/>
      <c r="U672" s="16"/>
      <c r="V672" s="16"/>
      <c r="W672" s="16"/>
      <c r="X672" s="16"/>
      <c r="Y672" s="16"/>
      <c r="Z672" s="16"/>
      <c r="AA672" s="16"/>
      <c r="AB672" s="16"/>
      <c r="AC672" s="16"/>
    </row>
    <row r="673" ht="12.75" customHeight="1" spans="1:29" x14ac:dyDescent="0.25">
      <c r="A673" s="16"/>
      <c r="B673" s="16"/>
      <c r="C673" s="16"/>
      <c r="D673" s="16"/>
      <c r="E673" s="16"/>
      <c r="F673" s="16"/>
      <c r="G673" s="16"/>
      <c r="H673" s="647"/>
      <c r="I673" s="647"/>
      <c r="J673" s="647"/>
      <c r="K673" s="647"/>
      <c r="L673" s="647"/>
      <c r="M673" s="647"/>
      <c r="N673" s="647"/>
      <c r="O673" s="647"/>
      <c r="P673" s="647"/>
      <c r="Q673" s="647"/>
      <c r="R673" s="647"/>
      <c r="S673" s="647"/>
      <c r="T673" s="647"/>
      <c r="U673" s="16"/>
      <c r="V673" s="16"/>
      <c r="W673" s="16"/>
      <c r="X673" s="16"/>
      <c r="Y673" s="16"/>
      <c r="Z673" s="16"/>
      <c r="AA673" s="16"/>
      <c r="AB673" s="16"/>
      <c r="AC673" s="16"/>
    </row>
    <row r="674" ht="12.75" customHeight="1" spans="1:29" x14ac:dyDescent="0.25">
      <c r="A674" s="16"/>
      <c r="B674" s="16"/>
      <c r="C674" s="16"/>
      <c r="D674" s="16"/>
      <c r="E674" s="16"/>
      <c r="F674" s="16"/>
      <c r="G674" s="16"/>
      <c r="H674" s="647"/>
      <c r="I674" s="647"/>
      <c r="J674" s="647"/>
      <c r="K674" s="647"/>
      <c r="L674" s="647"/>
      <c r="M674" s="647"/>
      <c r="N674" s="647"/>
      <c r="O674" s="647"/>
      <c r="P674" s="647"/>
      <c r="Q674" s="647"/>
      <c r="R674" s="647"/>
      <c r="S674" s="647"/>
      <c r="T674" s="647"/>
      <c r="U674" s="16"/>
      <c r="V674" s="16"/>
      <c r="W674" s="16"/>
      <c r="X674" s="16"/>
      <c r="Y674" s="16"/>
      <c r="Z674" s="16"/>
      <c r="AA674" s="16"/>
      <c r="AB674" s="16"/>
      <c r="AC674" s="16"/>
    </row>
    <row r="675" ht="12.75" customHeight="1" spans="1:29" x14ac:dyDescent="0.25">
      <c r="A675" s="16"/>
      <c r="B675" s="16"/>
      <c r="C675" s="16"/>
      <c r="D675" s="16"/>
      <c r="E675" s="16"/>
      <c r="F675" s="16"/>
      <c r="G675" s="16"/>
      <c r="H675" s="647"/>
      <c r="I675" s="647"/>
      <c r="J675" s="647"/>
      <c r="K675" s="647"/>
      <c r="L675" s="647"/>
      <c r="M675" s="647"/>
      <c r="N675" s="647"/>
      <c r="O675" s="647"/>
      <c r="P675" s="647"/>
      <c r="Q675" s="647"/>
      <c r="R675" s="647"/>
      <c r="S675" s="647"/>
      <c r="T675" s="647"/>
      <c r="U675" s="16"/>
      <c r="V675" s="16"/>
      <c r="W675" s="16"/>
      <c r="X675" s="16"/>
      <c r="Y675" s="16"/>
      <c r="Z675" s="16"/>
      <c r="AA675" s="16"/>
      <c r="AB675" s="16"/>
      <c r="AC675" s="16"/>
    </row>
    <row r="676" ht="12.75" customHeight="1" spans="1:29" x14ac:dyDescent="0.25">
      <c r="A676" s="16"/>
      <c r="B676" s="16"/>
      <c r="C676" s="16"/>
      <c r="D676" s="16"/>
      <c r="E676" s="16"/>
      <c r="F676" s="16"/>
      <c r="G676" s="16"/>
      <c r="H676" s="647"/>
      <c r="I676" s="647"/>
      <c r="J676" s="647"/>
      <c r="K676" s="647"/>
      <c r="L676" s="647"/>
      <c r="M676" s="647"/>
      <c r="N676" s="647"/>
      <c r="O676" s="647"/>
      <c r="P676" s="647"/>
      <c r="Q676" s="647"/>
      <c r="R676" s="647"/>
      <c r="S676" s="647"/>
      <c r="T676" s="647"/>
      <c r="U676" s="16"/>
      <c r="V676" s="16"/>
      <c r="W676" s="16"/>
      <c r="X676" s="16"/>
      <c r="Y676" s="16"/>
      <c r="Z676" s="16"/>
      <c r="AA676" s="16"/>
      <c r="AB676" s="16"/>
      <c r="AC676" s="16"/>
    </row>
    <row r="677" ht="12.75" customHeight="1" spans="1:29" x14ac:dyDescent="0.25">
      <c r="A677" s="16"/>
      <c r="B677" s="16"/>
      <c r="C677" s="16"/>
      <c r="D677" s="16"/>
      <c r="E677" s="16"/>
      <c r="F677" s="16"/>
      <c r="G677" s="16"/>
      <c r="H677" s="647"/>
      <c r="I677" s="647"/>
      <c r="J677" s="647"/>
      <c r="K677" s="647"/>
      <c r="L677" s="647"/>
      <c r="M677" s="647"/>
      <c r="N677" s="647"/>
      <c r="O677" s="647"/>
      <c r="P677" s="647"/>
      <c r="Q677" s="647"/>
      <c r="R677" s="647"/>
      <c r="S677" s="647"/>
      <c r="T677" s="647"/>
      <c r="U677" s="16"/>
      <c r="V677" s="16"/>
      <c r="W677" s="16"/>
      <c r="X677" s="16"/>
      <c r="Y677" s="16"/>
      <c r="Z677" s="16"/>
      <c r="AA677" s="16"/>
      <c r="AB677" s="16"/>
      <c r="AC677" s="16"/>
    </row>
    <row r="678" ht="12.75" customHeight="1" spans="1:29" x14ac:dyDescent="0.25">
      <c r="A678" s="16"/>
      <c r="B678" s="16"/>
      <c r="C678" s="16"/>
      <c r="D678" s="16"/>
      <c r="E678" s="16"/>
      <c r="F678" s="16"/>
      <c r="G678" s="16"/>
      <c r="H678" s="647"/>
      <c r="I678" s="647"/>
      <c r="J678" s="647"/>
      <c r="K678" s="647"/>
      <c r="L678" s="647"/>
      <c r="M678" s="647"/>
      <c r="N678" s="647"/>
      <c r="O678" s="647"/>
      <c r="P678" s="647"/>
      <c r="Q678" s="647"/>
      <c r="R678" s="647"/>
      <c r="S678" s="647"/>
      <c r="T678" s="647"/>
      <c r="U678" s="16"/>
      <c r="V678" s="16"/>
      <c r="W678" s="16"/>
      <c r="X678" s="16"/>
      <c r="Y678" s="16"/>
      <c r="Z678" s="16"/>
      <c r="AA678" s="16"/>
      <c r="AB678" s="16"/>
      <c r="AC678" s="16"/>
    </row>
    <row r="679" ht="12.75" customHeight="1" spans="1:29" x14ac:dyDescent="0.25">
      <c r="A679" s="16"/>
      <c r="B679" s="16"/>
      <c r="C679" s="16"/>
      <c r="D679" s="16"/>
      <c r="E679" s="16"/>
      <c r="F679" s="16"/>
      <c r="G679" s="16"/>
      <c r="H679" s="647"/>
      <c r="I679" s="647"/>
      <c r="J679" s="647"/>
      <c r="K679" s="647"/>
      <c r="L679" s="647"/>
      <c r="M679" s="647"/>
      <c r="N679" s="647"/>
      <c r="O679" s="647"/>
      <c r="P679" s="647"/>
      <c r="Q679" s="647"/>
      <c r="R679" s="647"/>
      <c r="S679" s="647"/>
      <c r="T679" s="647"/>
      <c r="U679" s="16"/>
      <c r="V679" s="16"/>
      <c r="W679" s="16"/>
      <c r="X679" s="16"/>
      <c r="Y679" s="16"/>
      <c r="Z679" s="16"/>
      <c r="AA679" s="16"/>
      <c r="AB679" s="16"/>
      <c r="AC679" s="16"/>
    </row>
    <row r="680" ht="12.75" customHeight="1" spans="1:29" x14ac:dyDescent="0.25">
      <c r="A680" s="16"/>
      <c r="B680" s="16"/>
      <c r="C680" s="16"/>
      <c r="D680" s="16"/>
      <c r="E680" s="16"/>
      <c r="F680" s="16"/>
      <c r="G680" s="16"/>
      <c r="H680" s="647"/>
      <c r="I680" s="647"/>
      <c r="J680" s="647"/>
      <c r="K680" s="647"/>
      <c r="L680" s="647"/>
      <c r="M680" s="647"/>
      <c r="N680" s="647"/>
      <c r="O680" s="647"/>
      <c r="P680" s="647"/>
      <c r="Q680" s="647"/>
      <c r="R680" s="647"/>
      <c r="S680" s="647"/>
      <c r="T680" s="647"/>
      <c r="U680" s="16"/>
      <c r="V680" s="16"/>
      <c r="W680" s="16"/>
      <c r="X680" s="16"/>
      <c r="Y680" s="16"/>
      <c r="Z680" s="16"/>
      <c r="AA680" s="16"/>
      <c r="AB680" s="16"/>
      <c r="AC680" s="16"/>
    </row>
    <row r="681" ht="12.75" customHeight="1" spans="1:29" x14ac:dyDescent="0.25">
      <c r="A681" s="16"/>
      <c r="B681" s="16"/>
      <c r="C681" s="16"/>
      <c r="D681" s="16"/>
      <c r="E681" s="16"/>
      <c r="F681" s="16"/>
      <c r="G681" s="16"/>
      <c r="H681" s="647"/>
      <c r="I681" s="647"/>
      <c r="J681" s="647"/>
      <c r="K681" s="647"/>
      <c r="L681" s="647"/>
      <c r="M681" s="647"/>
      <c r="N681" s="647"/>
      <c r="O681" s="647"/>
      <c r="P681" s="647"/>
      <c r="Q681" s="647"/>
      <c r="R681" s="647"/>
      <c r="S681" s="647"/>
      <c r="T681" s="647"/>
      <c r="U681" s="16"/>
      <c r="V681" s="16"/>
      <c r="W681" s="16"/>
      <c r="X681" s="16"/>
      <c r="Y681" s="16"/>
      <c r="Z681" s="16"/>
      <c r="AA681" s="16"/>
      <c r="AB681" s="16"/>
      <c r="AC681" s="16"/>
    </row>
    <row r="682" ht="12.75" customHeight="1" spans="1:29" x14ac:dyDescent="0.25">
      <c r="A682" s="16"/>
      <c r="B682" s="16"/>
      <c r="C682" s="16"/>
      <c r="D682" s="16"/>
      <c r="E682" s="16"/>
      <c r="F682" s="16"/>
      <c r="G682" s="16"/>
      <c r="H682" s="647"/>
      <c r="I682" s="647"/>
      <c r="J682" s="647"/>
      <c r="K682" s="647"/>
      <c r="L682" s="647"/>
      <c r="M682" s="647"/>
      <c r="N682" s="647"/>
      <c r="O682" s="647"/>
      <c r="P682" s="647"/>
      <c r="Q682" s="647"/>
      <c r="R682" s="647"/>
      <c r="S682" s="647"/>
      <c r="T682" s="647"/>
      <c r="U682" s="16"/>
      <c r="V682" s="16"/>
      <c r="W682" s="16"/>
      <c r="X682" s="16"/>
      <c r="Y682" s="16"/>
      <c r="Z682" s="16"/>
      <c r="AA682" s="16"/>
      <c r="AB682" s="16"/>
      <c r="AC682" s="16"/>
    </row>
    <row r="683" ht="12.75" customHeight="1" spans="1:29" x14ac:dyDescent="0.25">
      <c r="A683" s="16"/>
      <c r="B683" s="16"/>
      <c r="C683" s="16"/>
      <c r="D683" s="16"/>
      <c r="E683" s="16"/>
      <c r="F683" s="16"/>
      <c r="G683" s="16"/>
      <c r="H683" s="647"/>
      <c r="I683" s="647"/>
      <c r="J683" s="647"/>
      <c r="K683" s="647"/>
      <c r="L683" s="647"/>
      <c r="M683" s="647"/>
      <c r="N683" s="647"/>
      <c r="O683" s="647"/>
      <c r="P683" s="647"/>
      <c r="Q683" s="647"/>
      <c r="R683" s="647"/>
      <c r="S683" s="647"/>
      <c r="T683" s="647"/>
      <c r="U683" s="16"/>
      <c r="V683" s="16"/>
      <c r="W683" s="16"/>
      <c r="X683" s="16"/>
      <c r="Y683" s="16"/>
      <c r="Z683" s="16"/>
      <c r="AA683" s="16"/>
      <c r="AB683" s="16"/>
      <c r="AC683" s="16"/>
    </row>
    <row r="684" ht="12.75" customHeight="1" spans="1:29" x14ac:dyDescent="0.25">
      <c r="A684" s="16"/>
      <c r="B684" s="16"/>
      <c r="C684" s="16"/>
      <c r="D684" s="16"/>
      <c r="E684" s="16"/>
      <c r="F684" s="16"/>
      <c r="G684" s="16"/>
      <c r="H684" s="647"/>
      <c r="I684" s="647"/>
      <c r="J684" s="647"/>
      <c r="K684" s="647"/>
      <c r="L684" s="647"/>
      <c r="M684" s="647"/>
      <c r="N684" s="647"/>
      <c r="O684" s="647"/>
      <c r="P684" s="647"/>
      <c r="Q684" s="647"/>
      <c r="R684" s="647"/>
      <c r="S684" s="647"/>
      <c r="T684" s="647"/>
      <c r="U684" s="16"/>
      <c r="V684" s="16"/>
      <c r="W684" s="16"/>
      <c r="X684" s="16"/>
      <c r="Y684" s="16"/>
      <c r="Z684" s="16"/>
      <c r="AA684" s="16"/>
      <c r="AB684" s="16"/>
      <c r="AC684" s="16"/>
    </row>
    <row r="685" ht="12.75" customHeight="1" spans="1:29" x14ac:dyDescent="0.25">
      <c r="A685" s="16"/>
      <c r="B685" s="16"/>
      <c r="C685" s="16"/>
      <c r="D685" s="16"/>
      <c r="E685" s="16"/>
      <c r="F685" s="16"/>
      <c r="G685" s="16"/>
      <c r="H685" s="647"/>
      <c r="I685" s="647"/>
      <c r="J685" s="647"/>
      <c r="K685" s="647"/>
      <c r="L685" s="647"/>
      <c r="M685" s="647"/>
      <c r="N685" s="647"/>
      <c r="O685" s="647"/>
      <c r="P685" s="647"/>
      <c r="Q685" s="647"/>
      <c r="R685" s="647"/>
      <c r="S685" s="647"/>
      <c r="T685" s="647"/>
      <c r="U685" s="16"/>
      <c r="V685" s="16"/>
      <c r="W685" s="16"/>
      <c r="X685" s="16"/>
      <c r="Y685" s="16"/>
      <c r="Z685" s="16"/>
      <c r="AA685" s="16"/>
      <c r="AB685" s="16"/>
      <c r="AC685" s="16"/>
    </row>
    <row r="686" ht="12.75" customHeight="1" spans="1:29" x14ac:dyDescent="0.25">
      <c r="A686" s="16"/>
      <c r="B686" s="16"/>
      <c r="C686" s="16"/>
      <c r="D686" s="16"/>
      <c r="E686" s="16"/>
      <c r="F686" s="16"/>
      <c r="G686" s="16"/>
      <c r="H686" s="647"/>
      <c r="I686" s="647"/>
      <c r="J686" s="647"/>
      <c r="K686" s="647"/>
      <c r="L686" s="647"/>
      <c r="M686" s="647"/>
      <c r="N686" s="647"/>
      <c r="O686" s="647"/>
      <c r="P686" s="647"/>
      <c r="Q686" s="647"/>
      <c r="R686" s="647"/>
      <c r="S686" s="647"/>
      <c r="T686" s="647"/>
      <c r="U686" s="16"/>
      <c r="V686" s="16"/>
      <c r="W686" s="16"/>
      <c r="X686" s="16"/>
      <c r="Y686" s="16"/>
      <c r="Z686" s="16"/>
      <c r="AA686" s="16"/>
      <c r="AB686" s="16"/>
      <c r="AC686" s="16"/>
    </row>
    <row r="687" ht="12.75" customHeight="1" spans="1:29" x14ac:dyDescent="0.25">
      <c r="A687" s="16"/>
      <c r="B687" s="16"/>
      <c r="C687" s="16"/>
      <c r="D687" s="16"/>
      <c r="E687" s="16"/>
      <c r="F687" s="16"/>
      <c r="G687" s="16"/>
      <c r="H687" s="647"/>
      <c r="I687" s="647"/>
      <c r="J687" s="647"/>
      <c r="K687" s="647"/>
      <c r="L687" s="647"/>
      <c r="M687" s="647"/>
      <c r="N687" s="647"/>
      <c r="O687" s="647"/>
      <c r="P687" s="647"/>
      <c r="Q687" s="647"/>
      <c r="R687" s="647"/>
      <c r="S687" s="647"/>
      <c r="T687" s="647"/>
      <c r="U687" s="16"/>
      <c r="V687" s="16"/>
      <c r="W687" s="16"/>
      <c r="X687" s="16"/>
      <c r="Y687" s="16"/>
      <c r="Z687" s="16"/>
      <c r="AA687" s="16"/>
      <c r="AB687" s="16"/>
      <c r="AC687" s="16"/>
    </row>
    <row r="688" ht="12.75" customHeight="1" spans="1:29" x14ac:dyDescent="0.25">
      <c r="A688" s="16"/>
      <c r="B688" s="16"/>
      <c r="C688" s="16"/>
      <c r="D688" s="16"/>
      <c r="E688" s="16"/>
      <c r="F688" s="16"/>
      <c r="G688" s="16"/>
      <c r="H688" s="647"/>
      <c r="I688" s="647"/>
      <c r="J688" s="647"/>
      <c r="K688" s="647"/>
      <c r="L688" s="647"/>
      <c r="M688" s="647"/>
      <c r="N688" s="647"/>
      <c r="O688" s="647"/>
      <c r="P688" s="647"/>
      <c r="Q688" s="647"/>
      <c r="R688" s="647"/>
      <c r="S688" s="647"/>
      <c r="T688" s="647"/>
      <c r="U688" s="16"/>
      <c r="V688" s="16"/>
      <c r="W688" s="16"/>
      <c r="X688" s="16"/>
      <c r="Y688" s="16"/>
      <c r="Z688" s="16"/>
      <c r="AA688" s="16"/>
      <c r="AB688" s="16"/>
      <c r="AC688" s="16"/>
    </row>
    <row r="689" ht="12.75" customHeight="1" spans="1:29" x14ac:dyDescent="0.25">
      <c r="A689" s="16"/>
      <c r="B689" s="16"/>
      <c r="C689" s="16"/>
      <c r="D689" s="16"/>
      <c r="E689" s="16"/>
      <c r="F689" s="16"/>
      <c r="G689" s="16"/>
      <c r="H689" s="647"/>
      <c r="I689" s="647"/>
      <c r="J689" s="647"/>
      <c r="K689" s="647"/>
      <c r="L689" s="647"/>
      <c r="M689" s="647"/>
      <c r="N689" s="647"/>
      <c r="O689" s="647"/>
      <c r="P689" s="647"/>
      <c r="Q689" s="647"/>
      <c r="R689" s="647"/>
      <c r="S689" s="647"/>
      <c r="T689" s="647"/>
      <c r="U689" s="16"/>
      <c r="V689" s="16"/>
      <c r="W689" s="16"/>
      <c r="X689" s="16"/>
      <c r="Y689" s="16"/>
      <c r="Z689" s="16"/>
      <c r="AA689" s="16"/>
      <c r="AB689" s="16"/>
      <c r="AC689" s="16"/>
    </row>
    <row r="690" ht="12.75" customHeight="1" spans="1:29" x14ac:dyDescent="0.25">
      <c r="A690" s="16"/>
      <c r="B690" s="16"/>
      <c r="C690" s="16"/>
      <c r="D690" s="16"/>
      <c r="E690" s="16"/>
      <c r="F690" s="16"/>
      <c r="G690" s="16"/>
      <c r="H690" s="647"/>
      <c r="I690" s="647"/>
      <c r="J690" s="647"/>
      <c r="K690" s="647"/>
      <c r="L690" s="647"/>
      <c r="M690" s="647"/>
      <c r="N690" s="647"/>
      <c r="O690" s="647"/>
      <c r="P690" s="647"/>
      <c r="Q690" s="647"/>
      <c r="R690" s="647"/>
      <c r="S690" s="647"/>
      <c r="T690" s="647"/>
      <c r="U690" s="16"/>
      <c r="V690" s="16"/>
      <c r="W690" s="16"/>
      <c r="X690" s="16"/>
      <c r="Y690" s="16"/>
      <c r="Z690" s="16"/>
      <c r="AA690" s="16"/>
      <c r="AB690" s="16"/>
      <c r="AC690" s="16"/>
    </row>
    <row r="691" ht="12.75" customHeight="1" spans="1:29" x14ac:dyDescent="0.25">
      <c r="A691" s="16"/>
      <c r="B691" s="16"/>
      <c r="C691" s="16"/>
      <c r="D691" s="16"/>
      <c r="E691" s="16"/>
      <c r="F691" s="16"/>
      <c r="G691" s="16"/>
      <c r="H691" s="647"/>
      <c r="I691" s="647"/>
      <c r="J691" s="647"/>
      <c r="K691" s="647"/>
      <c r="L691" s="647"/>
      <c r="M691" s="647"/>
      <c r="N691" s="647"/>
      <c r="O691" s="647"/>
      <c r="P691" s="647"/>
      <c r="Q691" s="647"/>
      <c r="R691" s="647"/>
      <c r="S691" s="647"/>
      <c r="T691" s="647"/>
      <c r="U691" s="16"/>
      <c r="V691" s="16"/>
      <c r="W691" s="16"/>
      <c r="X691" s="16"/>
      <c r="Y691" s="16"/>
      <c r="Z691" s="16"/>
      <c r="AA691" s="16"/>
      <c r="AB691" s="16"/>
      <c r="AC691" s="16"/>
    </row>
    <row r="692" ht="12.75" customHeight="1" spans="1:29" x14ac:dyDescent="0.25">
      <c r="A692" s="16"/>
      <c r="B692" s="16"/>
      <c r="C692" s="16"/>
      <c r="D692" s="16"/>
      <c r="E692" s="16"/>
      <c r="F692" s="16"/>
      <c r="G692" s="16"/>
      <c r="H692" s="647"/>
      <c r="I692" s="647"/>
      <c r="J692" s="647"/>
      <c r="K692" s="647"/>
      <c r="L692" s="647"/>
      <c r="M692" s="647"/>
      <c r="N692" s="647"/>
      <c r="O692" s="647"/>
      <c r="P692" s="647"/>
      <c r="Q692" s="647"/>
      <c r="R692" s="647"/>
      <c r="S692" s="647"/>
      <c r="T692" s="647"/>
      <c r="U692" s="16"/>
      <c r="V692" s="16"/>
      <c r="W692" s="16"/>
      <c r="X692" s="16"/>
      <c r="Y692" s="16"/>
      <c r="Z692" s="16"/>
      <c r="AA692" s="16"/>
      <c r="AB692" s="16"/>
      <c r="AC692" s="16"/>
    </row>
    <row r="693" ht="12.75" customHeight="1" spans="1:29" x14ac:dyDescent="0.25">
      <c r="A693" s="16"/>
      <c r="B693" s="16"/>
      <c r="C693" s="16"/>
      <c r="D693" s="16"/>
      <c r="E693" s="16"/>
      <c r="F693" s="16"/>
      <c r="G693" s="16"/>
      <c r="H693" s="647"/>
      <c r="I693" s="647"/>
      <c r="J693" s="647"/>
      <c r="K693" s="647"/>
      <c r="L693" s="647"/>
      <c r="M693" s="647"/>
      <c r="N693" s="647"/>
      <c r="O693" s="647"/>
      <c r="P693" s="647"/>
      <c r="Q693" s="647"/>
      <c r="R693" s="647"/>
      <c r="S693" s="647"/>
      <c r="T693" s="647"/>
      <c r="U693" s="16"/>
      <c r="V693" s="16"/>
      <c r="W693" s="16"/>
      <c r="X693" s="16"/>
      <c r="Y693" s="16"/>
      <c r="Z693" s="16"/>
      <c r="AA693" s="16"/>
      <c r="AB693" s="16"/>
      <c r="AC693" s="16"/>
    </row>
    <row r="694" ht="12.75" customHeight="1" spans="1:29" x14ac:dyDescent="0.25">
      <c r="A694" s="16"/>
      <c r="B694" s="16"/>
      <c r="C694" s="16"/>
      <c r="D694" s="16"/>
      <c r="E694" s="16"/>
      <c r="F694" s="16"/>
      <c r="G694" s="16"/>
      <c r="H694" s="647"/>
      <c r="I694" s="647"/>
      <c r="J694" s="647"/>
      <c r="K694" s="647"/>
      <c r="L694" s="647"/>
      <c r="M694" s="647"/>
      <c r="N694" s="647"/>
      <c r="O694" s="647"/>
      <c r="P694" s="647"/>
      <c r="Q694" s="647"/>
      <c r="R694" s="647"/>
      <c r="S694" s="647"/>
      <c r="T694" s="647"/>
      <c r="U694" s="16"/>
      <c r="V694" s="16"/>
      <c r="W694" s="16"/>
      <c r="X694" s="16"/>
      <c r="Y694" s="16"/>
      <c r="Z694" s="16"/>
      <c r="AA694" s="16"/>
      <c r="AB694" s="16"/>
      <c r="AC694" s="16"/>
    </row>
    <row r="695" ht="12.75" customHeight="1" spans="1:29" x14ac:dyDescent="0.25">
      <c r="A695" s="16"/>
      <c r="B695" s="16"/>
      <c r="C695" s="16"/>
      <c r="D695" s="16"/>
      <c r="E695" s="16"/>
      <c r="F695" s="16"/>
      <c r="G695" s="16"/>
      <c r="H695" s="647"/>
      <c r="I695" s="647"/>
      <c r="J695" s="647"/>
      <c r="K695" s="647"/>
      <c r="L695" s="647"/>
      <c r="M695" s="647"/>
      <c r="N695" s="647"/>
      <c r="O695" s="647"/>
      <c r="P695" s="647"/>
      <c r="Q695" s="647"/>
      <c r="R695" s="647"/>
      <c r="S695" s="647"/>
      <c r="T695" s="647"/>
      <c r="U695" s="16"/>
      <c r="V695" s="16"/>
      <c r="W695" s="16"/>
      <c r="X695" s="16"/>
      <c r="Y695" s="16"/>
      <c r="Z695" s="16"/>
      <c r="AA695" s="16"/>
      <c r="AB695" s="16"/>
      <c r="AC695" s="16"/>
    </row>
    <row r="696" ht="12.75" customHeight="1" spans="1:29" x14ac:dyDescent="0.25">
      <c r="A696" s="16"/>
      <c r="B696" s="16"/>
      <c r="C696" s="16"/>
      <c r="D696" s="16"/>
      <c r="E696" s="16"/>
      <c r="F696" s="16"/>
      <c r="G696" s="16"/>
      <c r="H696" s="647"/>
      <c r="I696" s="647"/>
      <c r="J696" s="647"/>
      <c r="K696" s="647"/>
      <c r="L696" s="647"/>
      <c r="M696" s="647"/>
      <c r="N696" s="647"/>
      <c r="O696" s="647"/>
      <c r="P696" s="647"/>
      <c r="Q696" s="647"/>
      <c r="R696" s="647"/>
      <c r="S696" s="647"/>
      <c r="T696" s="647"/>
      <c r="U696" s="16"/>
      <c r="V696" s="16"/>
      <c r="W696" s="16"/>
      <c r="X696" s="16"/>
      <c r="Y696" s="16"/>
      <c r="Z696" s="16"/>
      <c r="AA696" s="16"/>
      <c r="AB696" s="16"/>
      <c r="AC696" s="16"/>
    </row>
    <row r="697" ht="12.75" customHeight="1" spans="1:29" x14ac:dyDescent="0.25">
      <c r="A697" s="16"/>
      <c r="B697" s="16"/>
      <c r="C697" s="16"/>
      <c r="D697" s="16"/>
      <c r="E697" s="16"/>
      <c r="F697" s="16"/>
      <c r="G697" s="16"/>
      <c r="H697" s="647"/>
      <c r="I697" s="647"/>
      <c r="J697" s="647"/>
      <c r="K697" s="647"/>
      <c r="L697" s="647"/>
      <c r="M697" s="647"/>
      <c r="N697" s="647"/>
      <c r="O697" s="647"/>
      <c r="P697" s="647"/>
      <c r="Q697" s="647"/>
      <c r="R697" s="647"/>
      <c r="S697" s="647"/>
      <c r="T697" s="647"/>
      <c r="U697" s="16"/>
      <c r="V697" s="16"/>
      <c r="W697" s="16"/>
      <c r="X697" s="16"/>
      <c r="Y697" s="16"/>
      <c r="Z697" s="16"/>
      <c r="AA697" s="16"/>
      <c r="AB697" s="16"/>
      <c r="AC697" s="16"/>
    </row>
    <row r="698" ht="12.75" customHeight="1" spans="1:29" x14ac:dyDescent="0.25">
      <c r="A698" s="16"/>
      <c r="B698" s="16"/>
      <c r="C698" s="16"/>
      <c r="D698" s="16"/>
      <c r="E698" s="16"/>
      <c r="F698" s="16"/>
      <c r="G698" s="16"/>
      <c r="H698" s="647"/>
      <c r="I698" s="647"/>
      <c r="J698" s="647"/>
      <c r="K698" s="647"/>
      <c r="L698" s="647"/>
      <c r="M698" s="647"/>
      <c r="N698" s="647"/>
      <c r="O698" s="647"/>
      <c r="P698" s="647"/>
      <c r="Q698" s="647"/>
      <c r="R698" s="647"/>
      <c r="S698" s="647"/>
      <c r="T698" s="647"/>
      <c r="U698" s="16"/>
      <c r="V698" s="16"/>
      <c r="W698" s="16"/>
      <c r="X698" s="16"/>
      <c r="Y698" s="16"/>
      <c r="Z698" s="16"/>
      <c r="AA698" s="16"/>
      <c r="AB698" s="16"/>
      <c r="AC698" s="16"/>
    </row>
    <row r="699" ht="12.75" customHeight="1" spans="1:29" x14ac:dyDescent="0.25">
      <c r="A699" s="16"/>
      <c r="B699" s="16"/>
      <c r="C699" s="16"/>
      <c r="D699" s="16"/>
      <c r="E699" s="16"/>
      <c r="F699" s="16"/>
      <c r="G699" s="16"/>
      <c r="H699" s="647"/>
      <c r="I699" s="647"/>
      <c r="J699" s="647"/>
      <c r="K699" s="647"/>
      <c r="L699" s="647"/>
      <c r="M699" s="647"/>
      <c r="N699" s="647"/>
      <c r="O699" s="647"/>
      <c r="P699" s="647"/>
      <c r="Q699" s="647"/>
      <c r="R699" s="647"/>
      <c r="S699" s="647"/>
      <c r="T699" s="647"/>
      <c r="U699" s="16"/>
      <c r="V699" s="16"/>
      <c r="W699" s="16"/>
      <c r="X699" s="16"/>
      <c r="Y699" s="16"/>
      <c r="Z699" s="16"/>
      <c r="AA699" s="16"/>
      <c r="AB699" s="16"/>
      <c r="AC699" s="16"/>
    </row>
    <row r="700" ht="12.75" customHeight="1" spans="1:29" x14ac:dyDescent="0.25">
      <c r="A700" s="16"/>
      <c r="B700" s="16"/>
      <c r="C700" s="16"/>
      <c r="D700" s="16"/>
      <c r="E700" s="16"/>
      <c r="F700" s="16"/>
      <c r="G700" s="16"/>
      <c r="H700" s="647"/>
      <c r="I700" s="647"/>
      <c r="J700" s="647"/>
      <c r="K700" s="647"/>
      <c r="L700" s="647"/>
      <c r="M700" s="647"/>
      <c r="N700" s="647"/>
      <c r="O700" s="647"/>
      <c r="P700" s="647"/>
      <c r="Q700" s="647"/>
      <c r="R700" s="647"/>
      <c r="S700" s="647"/>
      <c r="T700" s="647"/>
      <c r="U700" s="16"/>
      <c r="V700" s="16"/>
      <c r="W700" s="16"/>
      <c r="X700" s="16"/>
      <c r="Y700" s="16"/>
      <c r="Z700" s="16"/>
      <c r="AA700" s="16"/>
      <c r="AB700" s="16"/>
      <c r="AC700" s="16"/>
    </row>
    <row r="701" ht="12.75" customHeight="1" spans="1:29" x14ac:dyDescent="0.25">
      <c r="A701" s="16"/>
      <c r="B701" s="16"/>
      <c r="C701" s="16"/>
      <c r="D701" s="16"/>
      <c r="E701" s="16"/>
      <c r="F701" s="16"/>
      <c r="G701" s="16"/>
      <c r="H701" s="647"/>
      <c r="I701" s="647"/>
      <c r="J701" s="647"/>
      <c r="K701" s="647"/>
      <c r="L701" s="647"/>
      <c r="M701" s="647"/>
      <c r="N701" s="647"/>
      <c r="O701" s="647"/>
      <c r="P701" s="647"/>
      <c r="Q701" s="647"/>
      <c r="R701" s="647"/>
      <c r="S701" s="647"/>
      <c r="T701" s="647"/>
      <c r="U701" s="16"/>
      <c r="V701" s="16"/>
      <c r="W701" s="16"/>
      <c r="X701" s="16"/>
      <c r="Y701" s="16"/>
      <c r="Z701" s="16"/>
      <c r="AA701" s="16"/>
      <c r="AB701" s="16"/>
      <c r="AC701" s="16"/>
    </row>
    <row r="702" ht="12.75" customHeight="1" spans="1:29" x14ac:dyDescent="0.25">
      <c r="A702" s="16"/>
      <c r="B702" s="16"/>
      <c r="C702" s="16"/>
      <c r="D702" s="16"/>
      <c r="E702" s="16"/>
      <c r="F702" s="16"/>
      <c r="G702" s="16"/>
      <c r="H702" s="647"/>
      <c r="I702" s="647"/>
      <c r="J702" s="647"/>
      <c r="K702" s="647"/>
      <c r="L702" s="647"/>
      <c r="M702" s="647"/>
      <c r="N702" s="647"/>
      <c r="O702" s="647"/>
      <c r="P702" s="647"/>
      <c r="Q702" s="647"/>
      <c r="R702" s="647"/>
      <c r="S702" s="647"/>
      <c r="T702" s="647"/>
      <c r="U702" s="16"/>
      <c r="V702" s="16"/>
      <c r="W702" s="16"/>
      <c r="X702" s="16"/>
      <c r="Y702" s="16"/>
      <c r="Z702" s="16"/>
      <c r="AA702" s="16"/>
      <c r="AB702" s="16"/>
      <c r="AC702" s="16"/>
    </row>
    <row r="703" ht="12.75" customHeight="1" spans="1:29" x14ac:dyDescent="0.25">
      <c r="A703" s="16"/>
      <c r="B703" s="16"/>
      <c r="C703" s="16"/>
      <c r="D703" s="16"/>
      <c r="E703" s="16"/>
      <c r="F703" s="16"/>
      <c r="G703" s="16"/>
      <c r="H703" s="647"/>
      <c r="I703" s="647"/>
      <c r="J703" s="647"/>
      <c r="K703" s="647"/>
      <c r="L703" s="647"/>
      <c r="M703" s="647"/>
      <c r="N703" s="647"/>
      <c r="O703" s="647"/>
      <c r="P703" s="647"/>
      <c r="Q703" s="647"/>
      <c r="R703" s="647"/>
      <c r="S703" s="647"/>
      <c r="T703" s="647"/>
      <c r="U703" s="16"/>
      <c r="V703" s="16"/>
      <c r="W703" s="16"/>
      <c r="X703" s="16"/>
      <c r="Y703" s="16"/>
      <c r="Z703" s="16"/>
      <c r="AA703" s="16"/>
      <c r="AB703" s="16"/>
      <c r="AC703" s="16"/>
    </row>
    <row r="704" ht="12.75" customHeight="1" spans="1:29" x14ac:dyDescent="0.25">
      <c r="A704" s="16"/>
      <c r="B704" s="16"/>
      <c r="C704" s="16"/>
      <c r="D704" s="16"/>
      <c r="E704" s="16"/>
      <c r="F704" s="16"/>
      <c r="G704" s="16"/>
      <c r="H704" s="647"/>
      <c r="I704" s="647"/>
      <c r="J704" s="647"/>
      <c r="K704" s="647"/>
      <c r="L704" s="647"/>
      <c r="M704" s="647"/>
      <c r="N704" s="647"/>
      <c r="O704" s="647"/>
      <c r="P704" s="647"/>
      <c r="Q704" s="647"/>
      <c r="R704" s="647"/>
      <c r="S704" s="647"/>
      <c r="T704" s="647"/>
      <c r="U704" s="16"/>
      <c r="V704" s="16"/>
      <c r="W704" s="16"/>
      <c r="X704" s="16"/>
      <c r="Y704" s="16"/>
      <c r="Z704" s="16"/>
      <c r="AA704" s="16"/>
      <c r="AB704" s="16"/>
      <c r="AC704" s="16"/>
    </row>
    <row r="705" ht="12.75" customHeight="1" spans="1:29" x14ac:dyDescent="0.25">
      <c r="A705" s="16"/>
      <c r="B705" s="16"/>
      <c r="C705" s="16"/>
      <c r="D705" s="16"/>
      <c r="E705" s="16"/>
      <c r="F705" s="16"/>
      <c r="G705" s="16"/>
      <c r="H705" s="647"/>
      <c r="I705" s="647"/>
      <c r="J705" s="647"/>
      <c r="K705" s="647"/>
      <c r="L705" s="647"/>
      <c r="M705" s="647"/>
      <c r="N705" s="647"/>
      <c r="O705" s="647"/>
      <c r="P705" s="647"/>
      <c r="Q705" s="647"/>
      <c r="R705" s="647"/>
      <c r="S705" s="647"/>
      <c r="T705" s="647"/>
      <c r="U705" s="16"/>
      <c r="V705" s="16"/>
      <c r="W705" s="16"/>
      <c r="X705" s="16"/>
      <c r="Y705" s="16"/>
      <c r="Z705" s="16"/>
      <c r="AA705" s="16"/>
      <c r="AB705" s="16"/>
      <c r="AC705" s="16"/>
    </row>
    <row r="706" ht="12.75" customHeight="1" spans="1:29" x14ac:dyDescent="0.25">
      <c r="A706" s="16"/>
      <c r="B706" s="16"/>
      <c r="C706" s="16"/>
      <c r="D706" s="16"/>
      <c r="E706" s="16"/>
      <c r="F706" s="16"/>
      <c r="G706" s="16"/>
      <c r="H706" s="647"/>
      <c r="I706" s="647"/>
      <c r="J706" s="647"/>
      <c r="K706" s="647"/>
      <c r="L706" s="647"/>
      <c r="M706" s="647"/>
      <c r="N706" s="647"/>
      <c r="O706" s="647"/>
      <c r="P706" s="647"/>
      <c r="Q706" s="647"/>
      <c r="R706" s="647"/>
      <c r="S706" s="647"/>
      <c r="T706" s="647"/>
      <c r="U706" s="16"/>
      <c r="V706" s="16"/>
      <c r="W706" s="16"/>
      <c r="X706" s="16"/>
      <c r="Y706" s="16"/>
      <c r="Z706" s="16"/>
      <c r="AA706" s="16"/>
      <c r="AB706" s="16"/>
      <c r="AC706" s="16"/>
    </row>
    <row r="707" ht="12.75" customHeight="1" spans="1:29" x14ac:dyDescent="0.25">
      <c r="A707" s="16"/>
      <c r="B707" s="16"/>
      <c r="C707" s="16"/>
      <c r="D707" s="16"/>
      <c r="E707" s="16"/>
      <c r="F707" s="16"/>
      <c r="G707" s="16"/>
      <c r="H707" s="647"/>
      <c r="I707" s="647"/>
      <c r="J707" s="647"/>
      <c r="K707" s="647"/>
      <c r="L707" s="647"/>
      <c r="M707" s="647"/>
      <c r="N707" s="647"/>
      <c r="O707" s="647"/>
      <c r="P707" s="647"/>
      <c r="Q707" s="647"/>
      <c r="R707" s="647"/>
      <c r="S707" s="647"/>
      <c r="T707" s="647"/>
      <c r="U707" s="16"/>
      <c r="V707" s="16"/>
      <c r="W707" s="16"/>
      <c r="X707" s="16"/>
      <c r="Y707" s="16"/>
      <c r="Z707" s="16"/>
      <c r="AA707" s="16"/>
      <c r="AB707" s="16"/>
      <c r="AC707" s="16"/>
    </row>
    <row r="708" ht="12.75" customHeight="1" spans="1:29" x14ac:dyDescent="0.25">
      <c r="A708" s="16"/>
      <c r="B708" s="16"/>
      <c r="C708" s="16"/>
      <c r="D708" s="16"/>
      <c r="E708" s="16"/>
      <c r="F708" s="16"/>
      <c r="G708" s="16"/>
      <c r="H708" s="647"/>
      <c r="I708" s="647"/>
      <c r="J708" s="647"/>
      <c r="K708" s="647"/>
      <c r="L708" s="647"/>
      <c r="M708" s="647"/>
      <c r="N708" s="647"/>
      <c r="O708" s="647"/>
      <c r="P708" s="647"/>
      <c r="Q708" s="647"/>
      <c r="R708" s="647"/>
      <c r="S708" s="647"/>
      <c r="T708" s="647"/>
      <c r="U708" s="16"/>
      <c r="V708" s="16"/>
      <c r="W708" s="16"/>
      <c r="X708" s="16"/>
      <c r="Y708" s="16"/>
      <c r="Z708" s="16"/>
      <c r="AA708" s="16"/>
      <c r="AB708" s="16"/>
      <c r="AC708" s="16"/>
    </row>
    <row r="709" ht="12.75" customHeight="1" spans="1:29" x14ac:dyDescent="0.25">
      <c r="A709" s="16"/>
      <c r="B709" s="16"/>
      <c r="C709" s="16"/>
      <c r="D709" s="16"/>
      <c r="E709" s="16"/>
      <c r="F709" s="16"/>
      <c r="G709" s="16"/>
      <c r="H709" s="647"/>
      <c r="I709" s="647"/>
      <c r="J709" s="647"/>
      <c r="K709" s="647"/>
      <c r="L709" s="647"/>
      <c r="M709" s="647"/>
      <c r="N709" s="647"/>
      <c r="O709" s="647"/>
      <c r="P709" s="647"/>
      <c r="Q709" s="647"/>
      <c r="R709" s="647"/>
      <c r="S709" s="647"/>
      <c r="T709" s="647"/>
      <c r="U709" s="16"/>
      <c r="V709" s="16"/>
      <c r="W709" s="16"/>
      <c r="X709" s="16"/>
      <c r="Y709" s="16"/>
      <c r="Z709" s="16"/>
      <c r="AA709" s="16"/>
      <c r="AB709" s="16"/>
      <c r="AC709" s="16"/>
    </row>
    <row r="710" ht="12.75" customHeight="1" spans="1:29" x14ac:dyDescent="0.25">
      <c r="A710" s="16"/>
      <c r="B710" s="16"/>
      <c r="C710" s="16"/>
      <c r="D710" s="16"/>
      <c r="E710" s="16"/>
      <c r="F710" s="16"/>
      <c r="G710" s="16"/>
      <c r="H710" s="647"/>
      <c r="I710" s="647"/>
      <c r="J710" s="647"/>
      <c r="K710" s="647"/>
      <c r="L710" s="647"/>
      <c r="M710" s="647"/>
      <c r="N710" s="647"/>
      <c r="O710" s="647"/>
      <c r="P710" s="647"/>
      <c r="Q710" s="647"/>
      <c r="R710" s="647"/>
      <c r="S710" s="647"/>
      <c r="T710" s="647"/>
      <c r="U710" s="16"/>
      <c r="V710" s="16"/>
      <c r="W710" s="16"/>
      <c r="X710" s="16"/>
      <c r="Y710" s="16"/>
      <c r="Z710" s="16"/>
      <c r="AA710" s="16"/>
      <c r="AB710" s="16"/>
      <c r="AC710" s="16"/>
    </row>
    <row r="711" ht="12.75" customHeight="1" spans="1:29" x14ac:dyDescent="0.25">
      <c r="A711" s="16"/>
      <c r="B711" s="16"/>
      <c r="C711" s="16"/>
      <c r="D711" s="16"/>
      <c r="E711" s="16"/>
      <c r="F711" s="16"/>
      <c r="G711" s="16"/>
      <c r="H711" s="647"/>
      <c r="I711" s="647"/>
      <c r="J711" s="647"/>
      <c r="K711" s="647"/>
      <c r="L711" s="647"/>
      <c r="M711" s="647"/>
      <c r="N711" s="647"/>
      <c r="O711" s="647"/>
      <c r="P711" s="647"/>
      <c r="Q711" s="647"/>
      <c r="R711" s="647"/>
      <c r="S711" s="647"/>
      <c r="T711" s="647"/>
      <c r="U711" s="16"/>
      <c r="V711" s="16"/>
      <c r="W711" s="16"/>
      <c r="X711" s="16"/>
      <c r="Y711" s="16"/>
      <c r="Z711" s="16"/>
      <c r="AA711" s="16"/>
      <c r="AB711" s="16"/>
      <c r="AC711" s="16"/>
    </row>
    <row r="712" ht="12.75" customHeight="1" spans="1:29" x14ac:dyDescent="0.25">
      <c r="A712" s="16"/>
      <c r="B712" s="16"/>
      <c r="C712" s="16"/>
      <c r="D712" s="16"/>
      <c r="E712" s="16"/>
      <c r="F712" s="16"/>
      <c r="G712" s="16"/>
      <c r="H712" s="647"/>
      <c r="I712" s="647"/>
      <c r="J712" s="647"/>
      <c r="K712" s="647"/>
      <c r="L712" s="647"/>
      <c r="M712" s="647"/>
      <c r="N712" s="647"/>
      <c r="O712" s="647"/>
      <c r="P712" s="647"/>
      <c r="Q712" s="647"/>
      <c r="R712" s="647"/>
      <c r="S712" s="647"/>
      <c r="T712" s="647"/>
      <c r="U712" s="16"/>
      <c r="V712" s="16"/>
      <c r="W712" s="16"/>
      <c r="X712" s="16"/>
      <c r="Y712" s="16"/>
      <c r="Z712" s="16"/>
      <c r="AA712" s="16"/>
      <c r="AB712" s="16"/>
      <c r="AC712" s="16"/>
    </row>
    <row r="713" ht="12.75" customHeight="1" spans="1:29" x14ac:dyDescent="0.25">
      <c r="A713" s="16"/>
      <c r="B713" s="16"/>
      <c r="C713" s="16"/>
      <c r="D713" s="16"/>
      <c r="E713" s="16"/>
      <c r="F713" s="16"/>
      <c r="G713" s="16"/>
      <c r="H713" s="647"/>
      <c r="I713" s="647"/>
      <c r="J713" s="647"/>
      <c r="K713" s="647"/>
      <c r="L713" s="647"/>
      <c r="M713" s="647"/>
      <c r="N713" s="647"/>
      <c r="O713" s="647"/>
      <c r="P713" s="647"/>
      <c r="Q713" s="647"/>
      <c r="R713" s="647"/>
      <c r="S713" s="647"/>
      <c r="T713" s="647"/>
      <c r="U713" s="16"/>
      <c r="V713" s="16"/>
      <c r="W713" s="16"/>
      <c r="X713" s="16"/>
      <c r="Y713" s="16"/>
      <c r="Z713" s="16"/>
      <c r="AA713" s="16"/>
      <c r="AB713" s="16"/>
      <c r="AC713" s="16"/>
    </row>
    <row r="714" ht="12.75" customHeight="1" spans="1:29" x14ac:dyDescent="0.25">
      <c r="A714" s="16"/>
      <c r="B714" s="16"/>
      <c r="C714" s="16"/>
      <c r="D714" s="16"/>
      <c r="E714" s="16"/>
      <c r="F714" s="16"/>
      <c r="G714" s="16"/>
      <c r="H714" s="647"/>
      <c r="I714" s="647"/>
      <c r="J714" s="647"/>
      <c r="K714" s="647"/>
      <c r="L714" s="647"/>
      <c r="M714" s="647"/>
      <c r="N714" s="647"/>
      <c r="O714" s="647"/>
      <c r="P714" s="647"/>
      <c r="Q714" s="647"/>
      <c r="R714" s="647"/>
      <c r="S714" s="647"/>
      <c r="T714" s="647"/>
      <c r="U714" s="16"/>
      <c r="V714" s="16"/>
      <c r="W714" s="16"/>
      <c r="X714" s="16"/>
      <c r="Y714" s="16"/>
      <c r="Z714" s="16"/>
      <c r="AA714" s="16"/>
      <c r="AB714" s="16"/>
      <c r="AC714" s="16"/>
    </row>
    <row r="715" ht="12.75" customHeight="1" spans="1:29" x14ac:dyDescent="0.25">
      <c r="A715" s="16"/>
      <c r="B715" s="16"/>
      <c r="C715" s="16"/>
      <c r="D715" s="16"/>
      <c r="E715" s="16"/>
      <c r="F715" s="16"/>
      <c r="G715" s="16"/>
      <c r="H715" s="647"/>
      <c r="I715" s="647"/>
      <c r="J715" s="647"/>
      <c r="K715" s="647"/>
      <c r="L715" s="647"/>
      <c r="M715" s="647"/>
      <c r="N715" s="647"/>
      <c r="O715" s="647"/>
      <c r="P715" s="647"/>
      <c r="Q715" s="647"/>
      <c r="R715" s="647"/>
      <c r="S715" s="647"/>
      <c r="T715" s="647"/>
      <c r="U715" s="16"/>
      <c r="V715" s="16"/>
      <c r="W715" s="16"/>
      <c r="X715" s="16"/>
      <c r="Y715" s="16"/>
      <c r="Z715" s="16"/>
      <c r="AA715" s="16"/>
      <c r="AB715" s="16"/>
      <c r="AC715" s="16"/>
    </row>
    <row r="716" ht="12.75" customHeight="1" spans="1:29" x14ac:dyDescent="0.25">
      <c r="A716" s="16"/>
      <c r="B716" s="16"/>
      <c r="C716" s="16"/>
      <c r="D716" s="16"/>
      <c r="E716" s="16"/>
      <c r="F716" s="16"/>
      <c r="G716" s="16"/>
      <c r="H716" s="647"/>
      <c r="I716" s="647"/>
      <c r="J716" s="647"/>
      <c r="K716" s="647"/>
      <c r="L716" s="647"/>
      <c r="M716" s="647"/>
      <c r="N716" s="647"/>
      <c r="O716" s="647"/>
      <c r="P716" s="647"/>
      <c r="Q716" s="647"/>
      <c r="R716" s="647"/>
      <c r="S716" s="647"/>
      <c r="T716" s="647"/>
      <c r="U716" s="16"/>
      <c r="V716" s="16"/>
      <c r="W716" s="16"/>
      <c r="X716" s="16"/>
      <c r="Y716" s="16"/>
      <c r="Z716" s="16"/>
      <c r="AA716" s="16"/>
      <c r="AB716" s="16"/>
      <c r="AC716" s="16"/>
    </row>
    <row r="717" ht="12.75" customHeight="1" spans="1:29" x14ac:dyDescent="0.25">
      <c r="A717" s="16"/>
      <c r="B717" s="16"/>
      <c r="C717" s="16"/>
      <c r="D717" s="16"/>
      <c r="E717" s="16"/>
      <c r="F717" s="16"/>
      <c r="G717" s="16"/>
      <c r="H717" s="647"/>
      <c r="I717" s="647"/>
      <c r="J717" s="647"/>
      <c r="K717" s="647"/>
      <c r="L717" s="647"/>
      <c r="M717" s="647"/>
      <c r="N717" s="647"/>
      <c r="O717" s="647"/>
      <c r="P717" s="647"/>
      <c r="Q717" s="647"/>
      <c r="R717" s="647"/>
      <c r="S717" s="647"/>
      <c r="T717" s="647"/>
      <c r="U717" s="16"/>
      <c r="V717" s="16"/>
      <c r="W717" s="16"/>
      <c r="X717" s="16"/>
      <c r="Y717" s="16"/>
      <c r="Z717" s="16"/>
      <c r="AA717" s="16"/>
      <c r="AB717" s="16"/>
      <c r="AC717" s="16"/>
    </row>
    <row r="718" ht="12.75" customHeight="1" spans="1:29" x14ac:dyDescent="0.25">
      <c r="A718" s="16"/>
      <c r="B718" s="16"/>
      <c r="C718" s="16"/>
      <c r="D718" s="16"/>
      <c r="E718" s="16"/>
      <c r="F718" s="16"/>
      <c r="G718" s="16"/>
      <c r="H718" s="647"/>
      <c r="I718" s="647"/>
      <c r="J718" s="647"/>
      <c r="K718" s="647"/>
      <c r="L718" s="647"/>
      <c r="M718" s="647"/>
      <c r="N718" s="647"/>
      <c r="O718" s="647"/>
      <c r="P718" s="647"/>
      <c r="Q718" s="647"/>
      <c r="R718" s="647"/>
      <c r="S718" s="647"/>
      <c r="T718" s="647"/>
      <c r="U718" s="16"/>
      <c r="V718" s="16"/>
      <c r="W718" s="16"/>
      <c r="X718" s="16"/>
      <c r="Y718" s="16"/>
      <c r="Z718" s="16"/>
      <c r="AA718" s="16"/>
      <c r="AB718" s="16"/>
      <c r="AC718" s="16"/>
    </row>
    <row r="719" ht="12.75" customHeight="1" spans="1:29" x14ac:dyDescent="0.25">
      <c r="A719" s="16"/>
      <c r="B719" s="16"/>
      <c r="C719" s="16"/>
      <c r="D719" s="16"/>
      <c r="E719" s="16"/>
      <c r="F719" s="16"/>
      <c r="G719" s="16"/>
      <c r="H719" s="647"/>
      <c r="I719" s="647"/>
      <c r="J719" s="647"/>
      <c r="K719" s="647"/>
      <c r="L719" s="647"/>
      <c r="M719" s="647"/>
      <c r="N719" s="647"/>
      <c r="O719" s="647"/>
      <c r="P719" s="647"/>
      <c r="Q719" s="647"/>
      <c r="R719" s="647"/>
      <c r="S719" s="647"/>
      <c r="T719" s="647"/>
      <c r="U719" s="16"/>
      <c r="V719" s="16"/>
      <c r="W719" s="16"/>
      <c r="X719" s="16"/>
      <c r="Y719" s="16"/>
      <c r="Z719" s="16"/>
      <c r="AA719" s="16"/>
      <c r="AB719" s="16"/>
      <c r="AC719" s="16"/>
    </row>
    <row r="720" ht="12.75" customHeight="1" spans="1:29" x14ac:dyDescent="0.25">
      <c r="A720" s="16"/>
      <c r="B720" s="16"/>
      <c r="C720" s="16"/>
      <c r="D720" s="16"/>
      <c r="E720" s="16"/>
      <c r="F720" s="16"/>
      <c r="G720" s="16"/>
      <c r="H720" s="647"/>
      <c r="I720" s="647"/>
      <c r="J720" s="647"/>
      <c r="K720" s="647"/>
      <c r="L720" s="647"/>
      <c r="M720" s="647"/>
      <c r="N720" s="647"/>
      <c r="O720" s="647"/>
      <c r="P720" s="647"/>
      <c r="Q720" s="647"/>
      <c r="R720" s="647"/>
      <c r="S720" s="647"/>
      <c r="T720" s="647"/>
      <c r="U720" s="16"/>
      <c r="V720" s="16"/>
      <c r="W720" s="16"/>
      <c r="X720" s="16"/>
      <c r="Y720" s="16"/>
      <c r="Z720" s="16"/>
      <c r="AA720" s="16"/>
      <c r="AB720" s="16"/>
      <c r="AC720" s="16"/>
    </row>
    <row r="721" ht="12.75" customHeight="1" spans="1:29" x14ac:dyDescent="0.25">
      <c r="A721" s="16"/>
      <c r="B721" s="16"/>
      <c r="C721" s="16"/>
      <c r="D721" s="16"/>
      <c r="E721" s="16"/>
      <c r="F721" s="16"/>
      <c r="G721" s="16"/>
      <c r="H721" s="647"/>
      <c r="I721" s="647"/>
      <c r="J721" s="647"/>
      <c r="K721" s="647"/>
      <c r="L721" s="647"/>
      <c r="M721" s="647"/>
      <c r="N721" s="647"/>
      <c r="O721" s="647"/>
      <c r="P721" s="647"/>
      <c r="Q721" s="647"/>
      <c r="R721" s="647"/>
      <c r="S721" s="647"/>
      <c r="T721" s="647"/>
      <c r="U721" s="16"/>
      <c r="V721" s="16"/>
      <c r="W721" s="16"/>
      <c r="X721" s="16"/>
      <c r="Y721" s="16"/>
      <c r="Z721" s="16"/>
      <c r="AA721" s="16"/>
      <c r="AB721" s="16"/>
      <c r="AC721" s="16"/>
    </row>
    <row r="722" ht="12.75" customHeight="1" spans="1:29" x14ac:dyDescent="0.25">
      <c r="A722" s="16"/>
      <c r="B722" s="16"/>
      <c r="C722" s="16"/>
      <c r="D722" s="16"/>
      <c r="E722" s="16"/>
      <c r="F722" s="16"/>
      <c r="G722" s="16"/>
      <c r="H722" s="647"/>
      <c r="I722" s="647"/>
      <c r="J722" s="647"/>
      <c r="K722" s="647"/>
      <c r="L722" s="647"/>
      <c r="M722" s="647"/>
      <c r="N722" s="647"/>
      <c r="O722" s="647"/>
      <c r="P722" s="647"/>
      <c r="Q722" s="647"/>
      <c r="R722" s="647"/>
      <c r="S722" s="647"/>
      <c r="T722" s="647"/>
      <c r="U722" s="16"/>
      <c r="V722" s="16"/>
      <c r="W722" s="16"/>
      <c r="X722" s="16"/>
      <c r="Y722" s="16"/>
      <c r="Z722" s="16"/>
      <c r="AA722" s="16"/>
      <c r="AB722" s="16"/>
      <c r="AC722" s="16"/>
    </row>
    <row r="723" ht="12.75" customHeight="1" spans="1:29" x14ac:dyDescent="0.25">
      <c r="A723" s="16"/>
      <c r="B723" s="16"/>
      <c r="C723" s="16"/>
      <c r="D723" s="16"/>
      <c r="E723" s="16"/>
      <c r="F723" s="16"/>
      <c r="G723" s="16"/>
      <c r="H723" s="647"/>
      <c r="I723" s="647"/>
      <c r="J723" s="647"/>
      <c r="K723" s="647"/>
      <c r="L723" s="647"/>
      <c r="M723" s="647"/>
      <c r="N723" s="647"/>
      <c r="O723" s="647"/>
      <c r="P723" s="647"/>
      <c r="Q723" s="647"/>
      <c r="R723" s="647"/>
      <c r="S723" s="647"/>
      <c r="T723" s="647"/>
      <c r="U723" s="16"/>
      <c r="V723" s="16"/>
      <c r="W723" s="16"/>
      <c r="X723" s="16"/>
      <c r="Y723" s="16"/>
      <c r="Z723" s="16"/>
      <c r="AA723" s="16"/>
      <c r="AB723" s="16"/>
      <c r="AC723" s="16"/>
    </row>
    <row r="724" ht="12.75" customHeight="1" spans="1:29" x14ac:dyDescent="0.25">
      <c r="A724" s="16"/>
      <c r="B724" s="16"/>
      <c r="C724" s="16"/>
      <c r="D724" s="16"/>
      <c r="E724" s="16"/>
      <c r="F724" s="16"/>
      <c r="G724" s="16"/>
      <c r="H724" s="647"/>
      <c r="I724" s="647"/>
      <c r="J724" s="647"/>
      <c r="K724" s="647"/>
      <c r="L724" s="647"/>
      <c r="M724" s="647"/>
      <c r="N724" s="647"/>
      <c r="O724" s="647"/>
      <c r="P724" s="647"/>
      <c r="Q724" s="647"/>
      <c r="R724" s="647"/>
      <c r="S724" s="647"/>
      <c r="T724" s="647"/>
      <c r="U724" s="16"/>
      <c r="V724" s="16"/>
      <c r="W724" s="16"/>
      <c r="X724" s="16"/>
      <c r="Y724" s="16"/>
      <c r="Z724" s="16"/>
      <c r="AA724" s="16"/>
      <c r="AB724" s="16"/>
      <c r="AC724" s="16"/>
    </row>
    <row r="725" ht="12.75" customHeight="1" spans="1:29" x14ac:dyDescent="0.25">
      <c r="A725" s="16"/>
      <c r="B725" s="16"/>
      <c r="C725" s="16"/>
      <c r="D725" s="16"/>
      <c r="E725" s="16"/>
      <c r="F725" s="16"/>
      <c r="G725" s="16"/>
      <c r="H725" s="647"/>
      <c r="I725" s="647"/>
      <c r="J725" s="647"/>
      <c r="K725" s="647"/>
      <c r="L725" s="647"/>
      <c r="M725" s="647"/>
      <c r="N725" s="647"/>
      <c r="O725" s="647"/>
      <c r="P725" s="647"/>
      <c r="Q725" s="647"/>
      <c r="R725" s="647"/>
      <c r="S725" s="647"/>
      <c r="T725" s="647"/>
      <c r="U725" s="16"/>
      <c r="V725" s="16"/>
      <c r="W725" s="16"/>
      <c r="X725" s="16"/>
      <c r="Y725" s="16"/>
      <c r="Z725" s="16"/>
      <c r="AA725" s="16"/>
      <c r="AB725" s="16"/>
      <c r="AC725" s="16"/>
    </row>
    <row r="726" ht="12.75" customHeight="1" spans="1:29" x14ac:dyDescent="0.25">
      <c r="A726" s="16"/>
      <c r="B726" s="16"/>
      <c r="C726" s="16"/>
      <c r="D726" s="16"/>
      <c r="E726" s="16"/>
      <c r="F726" s="16"/>
      <c r="G726" s="16"/>
      <c r="H726" s="647"/>
      <c r="I726" s="647"/>
      <c r="J726" s="647"/>
      <c r="K726" s="647"/>
      <c r="L726" s="647"/>
      <c r="M726" s="647"/>
      <c r="N726" s="647"/>
      <c r="O726" s="647"/>
      <c r="P726" s="647"/>
      <c r="Q726" s="647"/>
      <c r="R726" s="647"/>
      <c r="S726" s="647"/>
      <c r="T726" s="647"/>
      <c r="U726" s="16"/>
      <c r="V726" s="16"/>
      <c r="W726" s="16"/>
      <c r="X726" s="16"/>
      <c r="Y726" s="16"/>
      <c r="Z726" s="16"/>
      <c r="AA726" s="16"/>
      <c r="AB726" s="16"/>
      <c r="AC726" s="16"/>
    </row>
    <row r="727" ht="12.75" customHeight="1" spans="1:29" x14ac:dyDescent="0.25">
      <c r="A727" s="16"/>
      <c r="B727" s="16"/>
      <c r="C727" s="16"/>
      <c r="D727" s="16"/>
      <c r="E727" s="16"/>
      <c r="F727" s="16"/>
      <c r="G727" s="16"/>
      <c r="H727" s="647"/>
      <c r="I727" s="647"/>
      <c r="J727" s="647"/>
      <c r="K727" s="647"/>
      <c r="L727" s="647"/>
      <c r="M727" s="647"/>
      <c r="N727" s="647"/>
      <c r="O727" s="647"/>
      <c r="P727" s="647"/>
      <c r="Q727" s="647"/>
      <c r="R727" s="647"/>
      <c r="S727" s="647"/>
      <c r="T727" s="647"/>
      <c r="U727" s="16"/>
      <c r="V727" s="16"/>
      <c r="W727" s="16"/>
      <c r="X727" s="16"/>
      <c r="Y727" s="16"/>
      <c r="Z727" s="16"/>
      <c r="AA727" s="16"/>
      <c r="AB727" s="16"/>
      <c r="AC727" s="16"/>
    </row>
    <row r="728" ht="12.75" customHeight="1" spans="1:29" x14ac:dyDescent="0.25">
      <c r="A728" s="16"/>
      <c r="B728" s="16"/>
      <c r="C728" s="16"/>
      <c r="D728" s="16"/>
      <c r="E728" s="16"/>
      <c r="F728" s="16"/>
      <c r="G728" s="16"/>
      <c r="H728" s="647"/>
      <c r="I728" s="647"/>
      <c r="J728" s="647"/>
      <c r="K728" s="647"/>
      <c r="L728" s="647"/>
      <c r="M728" s="647"/>
      <c r="N728" s="647"/>
      <c r="O728" s="647"/>
      <c r="P728" s="647"/>
      <c r="Q728" s="647"/>
      <c r="R728" s="647"/>
      <c r="S728" s="647"/>
      <c r="T728" s="647"/>
      <c r="U728" s="16"/>
      <c r="V728" s="16"/>
      <c r="W728" s="16"/>
      <c r="X728" s="16"/>
      <c r="Y728" s="16"/>
      <c r="Z728" s="16"/>
      <c r="AA728" s="16"/>
      <c r="AB728" s="16"/>
      <c r="AC728" s="16"/>
    </row>
    <row r="729" ht="12.75" customHeight="1" spans="1:29" x14ac:dyDescent="0.25">
      <c r="A729" s="16"/>
      <c r="B729" s="16"/>
      <c r="C729" s="16"/>
      <c r="D729" s="16"/>
      <c r="E729" s="16"/>
      <c r="F729" s="16"/>
      <c r="G729" s="16"/>
      <c r="H729" s="647"/>
      <c r="I729" s="647"/>
      <c r="J729" s="647"/>
      <c r="K729" s="647"/>
      <c r="L729" s="647"/>
      <c r="M729" s="647"/>
      <c r="N729" s="647"/>
      <c r="O729" s="647"/>
      <c r="P729" s="647"/>
      <c r="Q729" s="647"/>
      <c r="R729" s="647"/>
      <c r="S729" s="647"/>
      <c r="T729" s="647"/>
      <c r="U729" s="16"/>
      <c r="V729" s="16"/>
      <c r="W729" s="16"/>
      <c r="X729" s="16"/>
      <c r="Y729" s="16"/>
      <c r="Z729" s="16"/>
      <c r="AA729" s="16"/>
      <c r="AB729" s="16"/>
      <c r="AC729" s="16"/>
    </row>
    <row r="730" ht="12.75" customHeight="1" spans="1:29" x14ac:dyDescent="0.25">
      <c r="A730" s="16"/>
      <c r="B730" s="16"/>
      <c r="C730" s="16"/>
      <c r="D730" s="16"/>
      <c r="E730" s="16"/>
      <c r="F730" s="16"/>
      <c r="G730" s="16"/>
      <c r="H730" s="647"/>
      <c r="I730" s="647"/>
      <c r="J730" s="647"/>
      <c r="K730" s="647"/>
      <c r="L730" s="647"/>
      <c r="M730" s="647"/>
      <c r="N730" s="647"/>
      <c r="O730" s="647"/>
      <c r="P730" s="647"/>
      <c r="Q730" s="647"/>
      <c r="R730" s="647"/>
      <c r="S730" s="647"/>
      <c r="T730" s="647"/>
      <c r="U730" s="16"/>
      <c r="V730" s="16"/>
      <c r="W730" s="16"/>
      <c r="X730" s="16"/>
      <c r="Y730" s="16"/>
      <c r="Z730" s="16"/>
      <c r="AA730" s="16"/>
      <c r="AB730" s="16"/>
      <c r="AC730" s="16"/>
    </row>
    <row r="731" ht="12.75" customHeight="1" spans="1:29" x14ac:dyDescent="0.25">
      <c r="A731" s="16"/>
      <c r="B731" s="16"/>
      <c r="C731" s="16"/>
      <c r="D731" s="16"/>
      <c r="E731" s="16"/>
      <c r="F731" s="16"/>
      <c r="G731" s="16"/>
      <c r="H731" s="647"/>
      <c r="I731" s="647"/>
      <c r="J731" s="647"/>
      <c r="K731" s="647"/>
      <c r="L731" s="647"/>
      <c r="M731" s="647"/>
      <c r="N731" s="647"/>
      <c r="O731" s="647"/>
      <c r="P731" s="647"/>
      <c r="Q731" s="647"/>
      <c r="R731" s="647"/>
      <c r="S731" s="647"/>
      <c r="T731" s="647"/>
      <c r="U731" s="16"/>
      <c r="V731" s="16"/>
      <c r="W731" s="16"/>
      <c r="X731" s="16"/>
      <c r="Y731" s="16"/>
      <c r="Z731" s="16"/>
      <c r="AA731" s="16"/>
      <c r="AB731" s="16"/>
      <c r="AC731" s="16"/>
    </row>
    <row r="732" ht="12.75" customHeight="1" spans="1:29" x14ac:dyDescent="0.25">
      <c r="A732" s="16"/>
      <c r="B732" s="16"/>
      <c r="C732" s="16"/>
      <c r="D732" s="16"/>
      <c r="E732" s="16"/>
      <c r="F732" s="16"/>
      <c r="G732" s="16"/>
      <c r="H732" s="647"/>
      <c r="I732" s="647"/>
      <c r="J732" s="647"/>
      <c r="K732" s="647"/>
      <c r="L732" s="647"/>
      <c r="M732" s="647"/>
      <c r="N732" s="647"/>
      <c r="O732" s="647"/>
      <c r="P732" s="647"/>
      <c r="Q732" s="647"/>
      <c r="R732" s="647"/>
      <c r="S732" s="647"/>
      <c r="T732" s="647"/>
      <c r="U732" s="16"/>
      <c r="V732" s="16"/>
      <c r="W732" s="16"/>
      <c r="X732" s="16"/>
      <c r="Y732" s="16"/>
      <c r="Z732" s="16"/>
      <c r="AA732" s="16"/>
      <c r="AB732" s="16"/>
      <c r="AC732" s="16"/>
    </row>
    <row r="733" ht="12.75" customHeight="1" spans="1:29" x14ac:dyDescent="0.25">
      <c r="A733" s="16"/>
      <c r="B733" s="16"/>
      <c r="C733" s="16"/>
      <c r="D733" s="16"/>
      <c r="E733" s="16"/>
      <c r="F733" s="16"/>
      <c r="G733" s="16"/>
      <c r="H733" s="647"/>
      <c r="I733" s="647"/>
      <c r="J733" s="647"/>
      <c r="K733" s="647"/>
      <c r="L733" s="647"/>
      <c r="M733" s="647"/>
      <c r="N733" s="647"/>
      <c r="O733" s="647"/>
      <c r="P733" s="647"/>
      <c r="Q733" s="647"/>
      <c r="R733" s="647"/>
      <c r="S733" s="647"/>
      <c r="T733" s="647"/>
      <c r="U733" s="16"/>
      <c r="V733" s="16"/>
      <c r="W733" s="16"/>
      <c r="X733" s="16"/>
      <c r="Y733" s="16"/>
      <c r="Z733" s="16"/>
      <c r="AA733" s="16"/>
      <c r="AB733" s="16"/>
      <c r="AC733" s="16"/>
    </row>
    <row r="734" ht="12.75" customHeight="1" spans="1:29" x14ac:dyDescent="0.25">
      <c r="A734" s="16"/>
      <c r="B734" s="16"/>
      <c r="C734" s="16"/>
      <c r="D734" s="16"/>
      <c r="E734" s="16"/>
      <c r="F734" s="16"/>
      <c r="G734" s="16"/>
      <c r="H734" s="647"/>
      <c r="I734" s="647"/>
      <c r="J734" s="647"/>
      <c r="K734" s="647"/>
      <c r="L734" s="647"/>
      <c r="M734" s="647"/>
      <c r="N734" s="647"/>
      <c r="O734" s="647"/>
      <c r="P734" s="647"/>
      <c r="Q734" s="647"/>
      <c r="R734" s="647"/>
      <c r="S734" s="647"/>
      <c r="T734" s="647"/>
      <c r="U734" s="16"/>
      <c r="V734" s="16"/>
      <c r="W734" s="16"/>
      <c r="X734" s="16"/>
      <c r="Y734" s="16"/>
      <c r="Z734" s="16"/>
      <c r="AA734" s="16"/>
      <c r="AB734" s="16"/>
      <c r="AC734" s="16"/>
    </row>
    <row r="735" ht="12.75" customHeight="1" spans="1:29" x14ac:dyDescent="0.25">
      <c r="A735" s="16"/>
      <c r="B735" s="16"/>
      <c r="C735" s="16"/>
      <c r="D735" s="16"/>
      <c r="E735" s="16"/>
      <c r="F735" s="16"/>
      <c r="G735" s="16"/>
      <c r="H735" s="647"/>
      <c r="I735" s="647"/>
      <c r="J735" s="647"/>
      <c r="K735" s="647"/>
      <c r="L735" s="647"/>
      <c r="M735" s="647"/>
      <c r="N735" s="647"/>
      <c r="O735" s="647"/>
      <c r="P735" s="647"/>
      <c r="Q735" s="647"/>
      <c r="R735" s="647"/>
      <c r="S735" s="647"/>
      <c r="T735" s="647"/>
      <c r="U735" s="16"/>
      <c r="V735" s="16"/>
      <c r="W735" s="16"/>
      <c r="X735" s="16"/>
      <c r="Y735" s="16"/>
      <c r="Z735" s="16"/>
      <c r="AA735" s="16"/>
      <c r="AB735" s="16"/>
      <c r="AC735" s="16"/>
    </row>
    <row r="736" ht="12.75" customHeight="1" spans="1:29" x14ac:dyDescent="0.25">
      <c r="A736" s="16"/>
      <c r="B736" s="16"/>
      <c r="C736" s="16"/>
      <c r="D736" s="16"/>
      <c r="E736" s="16"/>
      <c r="F736" s="16"/>
      <c r="G736" s="16"/>
      <c r="H736" s="647"/>
      <c r="I736" s="647"/>
      <c r="J736" s="647"/>
      <c r="K736" s="647"/>
      <c r="L736" s="647"/>
      <c r="M736" s="647"/>
      <c r="N736" s="647"/>
      <c r="O736" s="647"/>
      <c r="P736" s="647"/>
      <c r="Q736" s="647"/>
      <c r="R736" s="647"/>
      <c r="S736" s="647"/>
      <c r="T736" s="647"/>
      <c r="U736" s="16"/>
      <c r="V736" s="16"/>
      <c r="W736" s="16"/>
      <c r="X736" s="16"/>
      <c r="Y736" s="16"/>
      <c r="Z736" s="16"/>
      <c r="AA736" s="16"/>
      <c r="AB736" s="16"/>
      <c r="AC736" s="16"/>
    </row>
    <row r="737" ht="12.75" customHeight="1" spans="1:29" x14ac:dyDescent="0.25">
      <c r="A737" s="16"/>
      <c r="B737" s="16"/>
      <c r="C737" s="16"/>
      <c r="D737" s="16"/>
      <c r="E737" s="16"/>
      <c r="F737" s="16"/>
      <c r="G737" s="16"/>
      <c r="H737" s="647"/>
      <c r="I737" s="647"/>
      <c r="J737" s="647"/>
      <c r="K737" s="647"/>
      <c r="L737" s="647"/>
      <c r="M737" s="647"/>
      <c r="N737" s="647"/>
      <c r="O737" s="647"/>
      <c r="P737" s="647"/>
      <c r="Q737" s="647"/>
      <c r="R737" s="647"/>
      <c r="S737" s="647"/>
      <c r="T737" s="647"/>
      <c r="U737" s="16"/>
      <c r="V737" s="16"/>
      <c r="W737" s="16"/>
      <c r="X737" s="16"/>
      <c r="Y737" s="16"/>
      <c r="Z737" s="16"/>
      <c r="AA737" s="16"/>
      <c r="AB737" s="16"/>
      <c r="AC737" s="16"/>
    </row>
    <row r="738" ht="12.75" customHeight="1" spans="1:29" x14ac:dyDescent="0.25">
      <c r="A738" s="16"/>
      <c r="B738" s="16"/>
      <c r="C738" s="16"/>
      <c r="D738" s="16"/>
      <c r="E738" s="16"/>
      <c r="F738" s="16"/>
      <c r="G738" s="16"/>
      <c r="H738" s="647"/>
      <c r="I738" s="647"/>
      <c r="J738" s="647"/>
      <c r="K738" s="647"/>
      <c r="L738" s="647"/>
      <c r="M738" s="647"/>
      <c r="N738" s="647"/>
      <c r="O738" s="647"/>
      <c r="P738" s="647"/>
      <c r="Q738" s="647"/>
      <c r="R738" s="647"/>
      <c r="S738" s="647"/>
      <c r="T738" s="647"/>
      <c r="U738" s="16"/>
      <c r="V738" s="16"/>
      <c r="W738" s="16"/>
      <c r="X738" s="16"/>
      <c r="Y738" s="16"/>
      <c r="Z738" s="16"/>
      <c r="AA738" s="16"/>
      <c r="AB738" s="16"/>
      <c r="AC738" s="16"/>
    </row>
    <row r="739" ht="12.75" customHeight="1" spans="1:29" x14ac:dyDescent="0.25">
      <c r="A739" s="16"/>
      <c r="B739" s="16"/>
      <c r="C739" s="16"/>
      <c r="D739" s="16"/>
      <c r="E739" s="16"/>
      <c r="F739" s="16"/>
      <c r="G739" s="16"/>
      <c r="H739" s="647"/>
      <c r="I739" s="647"/>
      <c r="J739" s="647"/>
      <c r="K739" s="647"/>
      <c r="L739" s="647"/>
      <c r="M739" s="647"/>
      <c r="N739" s="647"/>
      <c r="O739" s="647"/>
      <c r="P739" s="647"/>
      <c r="Q739" s="647"/>
      <c r="R739" s="647"/>
      <c r="S739" s="647"/>
      <c r="T739" s="647"/>
      <c r="U739" s="16"/>
      <c r="V739" s="16"/>
      <c r="W739" s="16"/>
      <c r="X739" s="16"/>
      <c r="Y739" s="16"/>
      <c r="Z739" s="16"/>
      <c r="AA739" s="16"/>
      <c r="AB739" s="16"/>
      <c r="AC739" s="16"/>
    </row>
    <row r="740" ht="12.75" customHeight="1" spans="1:29" x14ac:dyDescent="0.25">
      <c r="A740" s="16"/>
      <c r="B740" s="16"/>
      <c r="C740" s="16"/>
      <c r="D740" s="16"/>
      <c r="E740" s="16"/>
      <c r="F740" s="16"/>
      <c r="G740" s="16"/>
      <c r="H740" s="647"/>
      <c r="I740" s="647"/>
      <c r="J740" s="647"/>
      <c r="K740" s="647"/>
      <c r="L740" s="647"/>
      <c r="M740" s="647"/>
      <c r="N740" s="647"/>
      <c r="O740" s="647"/>
      <c r="P740" s="647"/>
      <c r="Q740" s="647"/>
      <c r="R740" s="647"/>
      <c r="S740" s="647"/>
      <c r="T740" s="647"/>
      <c r="U740" s="16"/>
      <c r="V740" s="16"/>
      <c r="W740" s="16"/>
      <c r="X740" s="16"/>
      <c r="Y740" s="16"/>
      <c r="Z740" s="16"/>
      <c r="AA740" s="16"/>
      <c r="AB740" s="16"/>
      <c r="AC740" s="16"/>
    </row>
    <row r="741" ht="12.75" customHeight="1" spans="1:29" x14ac:dyDescent="0.25">
      <c r="A741" s="16"/>
      <c r="B741" s="16"/>
      <c r="C741" s="16"/>
      <c r="D741" s="16"/>
      <c r="E741" s="16"/>
      <c r="F741" s="16"/>
      <c r="G741" s="16"/>
      <c r="H741" s="647"/>
      <c r="I741" s="647"/>
      <c r="J741" s="647"/>
      <c r="K741" s="647"/>
      <c r="L741" s="647"/>
      <c r="M741" s="647"/>
      <c r="N741" s="647"/>
      <c r="O741" s="647"/>
      <c r="P741" s="647"/>
      <c r="Q741" s="647"/>
      <c r="R741" s="647"/>
      <c r="S741" s="647"/>
      <c r="T741" s="647"/>
      <c r="U741" s="16"/>
      <c r="V741" s="16"/>
      <c r="W741" s="16"/>
      <c r="X741" s="16"/>
      <c r="Y741" s="16"/>
      <c r="Z741" s="16"/>
      <c r="AA741" s="16"/>
      <c r="AB741" s="16"/>
      <c r="AC741" s="16"/>
    </row>
    <row r="742" ht="12.75" customHeight="1" spans="1:29" x14ac:dyDescent="0.25">
      <c r="A742" s="16"/>
      <c r="B742" s="16"/>
      <c r="C742" s="16"/>
      <c r="D742" s="16"/>
      <c r="E742" s="16"/>
      <c r="F742" s="16"/>
      <c r="G742" s="16"/>
      <c r="H742" s="647"/>
      <c r="I742" s="647"/>
      <c r="J742" s="647"/>
      <c r="K742" s="647"/>
      <c r="L742" s="647"/>
      <c r="M742" s="647"/>
      <c r="N742" s="647"/>
      <c r="O742" s="647"/>
      <c r="P742" s="647"/>
      <c r="Q742" s="647"/>
      <c r="R742" s="647"/>
      <c r="S742" s="647"/>
      <c r="T742" s="647"/>
      <c r="U742" s="16"/>
      <c r="V742" s="16"/>
      <c r="W742" s="16"/>
      <c r="X742" s="16"/>
      <c r="Y742" s="16"/>
      <c r="Z742" s="16"/>
      <c r="AA742" s="16"/>
      <c r="AB742" s="16"/>
      <c r="AC742" s="16"/>
    </row>
    <row r="743" ht="12.75" customHeight="1" spans="1:29" x14ac:dyDescent="0.25">
      <c r="A743" s="16"/>
      <c r="B743" s="16"/>
      <c r="C743" s="16"/>
      <c r="D743" s="16"/>
      <c r="E743" s="16"/>
      <c r="F743" s="16"/>
      <c r="G743" s="16"/>
      <c r="H743" s="647"/>
      <c r="I743" s="647"/>
      <c r="J743" s="647"/>
      <c r="K743" s="647"/>
      <c r="L743" s="647"/>
      <c r="M743" s="647"/>
      <c r="N743" s="647"/>
      <c r="O743" s="647"/>
      <c r="P743" s="647"/>
      <c r="Q743" s="647"/>
      <c r="R743" s="647"/>
      <c r="S743" s="647"/>
      <c r="T743" s="647"/>
      <c r="U743" s="16"/>
      <c r="V743" s="16"/>
      <c r="W743" s="16"/>
      <c r="X743" s="16"/>
      <c r="Y743" s="16"/>
      <c r="Z743" s="16"/>
      <c r="AA743" s="16"/>
      <c r="AB743" s="16"/>
      <c r="AC743" s="16"/>
    </row>
    <row r="744" ht="12.75" customHeight="1" spans="1:29" x14ac:dyDescent="0.25">
      <c r="A744" s="16"/>
      <c r="B744" s="16"/>
      <c r="C744" s="16"/>
      <c r="D744" s="16"/>
      <c r="E744" s="16"/>
      <c r="F744" s="16"/>
      <c r="G744" s="16"/>
      <c r="H744" s="647"/>
      <c r="I744" s="647"/>
      <c r="J744" s="647"/>
      <c r="K744" s="647"/>
      <c r="L744" s="647"/>
      <c r="M744" s="647"/>
      <c r="N744" s="647"/>
      <c r="O744" s="647"/>
      <c r="P744" s="647"/>
      <c r="Q744" s="647"/>
      <c r="R744" s="647"/>
      <c r="S744" s="647"/>
      <c r="T744" s="647"/>
      <c r="U744" s="16"/>
      <c r="V744" s="16"/>
      <c r="W744" s="16"/>
      <c r="X744" s="16"/>
      <c r="Y744" s="16"/>
      <c r="Z744" s="16"/>
      <c r="AA744" s="16"/>
      <c r="AB744" s="16"/>
      <c r="AC744" s="16"/>
    </row>
    <row r="745" ht="12.75" customHeight="1" spans="1:29" x14ac:dyDescent="0.25">
      <c r="A745" s="16"/>
      <c r="B745" s="16"/>
      <c r="C745" s="16"/>
      <c r="D745" s="16"/>
      <c r="E745" s="16"/>
      <c r="F745" s="16"/>
      <c r="G745" s="16"/>
      <c r="H745" s="647"/>
      <c r="I745" s="647"/>
      <c r="J745" s="647"/>
      <c r="K745" s="647"/>
      <c r="L745" s="647"/>
      <c r="M745" s="647"/>
      <c r="N745" s="647"/>
      <c r="O745" s="647"/>
      <c r="P745" s="647"/>
      <c r="Q745" s="647"/>
      <c r="R745" s="647"/>
      <c r="S745" s="647"/>
      <c r="T745" s="647"/>
      <c r="U745" s="16"/>
      <c r="V745" s="16"/>
      <c r="W745" s="16"/>
      <c r="X745" s="16"/>
      <c r="Y745" s="16"/>
      <c r="Z745" s="16"/>
      <c r="AA745" s="16"/>
      <c r="AB745" s="16"/>
      <c r="AC745" s="16"/>
    </row>
    <row r="746" ht="12.75" customHeight="1" spans="1:29" x14ac:dyDescent="0.25">
      <c r="A746" s="16"/>
      <c r="B746" s="16"/>
      <c r="C746" s="16"/>
      <c r="D746" s="16"/>
      <c r="E746" s="16"/>
      <c r="F746" s="16"/>
      <c r="G746" s="16"/>
      <c r="H746" s="647"/>
      <c r="I746" s="647"/>
      <c r="J746" s="647"/>
      <c r="K746" s="647"/>
      <c r="L746" s="647"/>
      <c r="M746" s="647"/>
      <c r="N746" s="647"/>
      <c r="O746" s="647"/>
      <c r="P746" s="647"/>
      <c r="Q746" s="647"/>
      <c r="R746" s="647"/>
      <c r="S746" s="647"/>
      <c r="T746" s="647"/>
      <c r="U746" s="16"/>
      <c r="V746" s="16"/>
      <c r="W746" s="16"/>
      <c r="X746" s="16"/>
      <c r="Y746" s="16"/>
      <c r="Z746" s="16"/>
      <c r="AA746" s="16"/>
      <c r="AB746" s="16"/>
      <c r="AC746" s="16"/>
    </row>
    <row r="747" ht="12.75" customHeight="1" spans="1:29" x14ac:dyDescent="0.25">
      <c r="A747" s="16"/>
      <c r="B747" s="16"/>
      <c r="C747" s="16"/>
      <c r="D747" s="16"/>
      <c r="E747" s="16"/>
      <c r="F747" s="16"/>
      <c r="G747" s="16"/>
      <c r="H747" s="647"/>
      <c r="I747" s="647"/>
      <c r="J747" s="647"/>
      <c r="K747" s="647"/>
      <c r="L747" s="647"/>
      <c r="M747" s="647"/>
      <c r="N747" s="647"/>
      <c r="O747" s="647"/>
      <c r="P747" s="647"/>
      <c r="Q747" s="647"/>
      <c r="R747" s="647"/>
      <c r="S747" s="647"/>
      <c r="T747" s="647"/>
      <c r="U747" s="16"/>
      <c r="V747" s="16"/>
      <c r="W747" s="16"/>
      <c r="X747" s="16"/>
      <c r="Y747" s="16"/>
      <c r="Z747" s="16"/>
      <c r="AA747" s="16"/>
      <c r="AB747" s="16"/>
      <c r="AC747" s="16"/>
    </row>
    <row r="748" ht="12.75" customHeight="1" spans="1:29" x14ac:dyDescent="0.25">
      <c r="A748" s="16"/>
      <c r="B748" s="16"/>
      <c r="C748" s="16"/>
      <c r="D748" s="16"/>
      <c r="E748" s="16"/>
      <c r="F748" s="16"/>
      <c r="G748" s="16"/>
      <c r="H748" s="647"/>
      <c r="I748" s="647"/>
      <c r="J748" s="647"/>
      <c r="K748" s="647"/>
      <c r="L748" s="647"/>
      <c r="M748" s="647"/>
      <c r="N748" s="647"/>
      <c r="O748" s="647"/>
      <c r="P748" s="647"/>
      <c r="Q748" s="647"/>
      <c r="R748" s="647"/>
      <c r="S748" s="647"/>
      <c r="T748" s="647"/>
      <c r="U748" s="16"/>
      <c r="V748" s="16"/>
      <c r="W748" s="16"/>
      <c r="X748" s="16"/>
      <c r="Y748" s="16"/>
      <c r="Z748" s="16"/>
      <c r="AA748" s="16"/>
      <c r="AB748" s="16"/>
      <c r="AC748" s="16"/>
    </row>
    <row r="749" ht="12.75" customHeight="1" spans="1:29" x14ac:dyDescent="0.25">
      <c r="A749" s="16"/>
      <c r="B749" s="16"/>
      <c r="C749" s="16"/>
      <c r="D749" s="16"/>
      <c r="E749" s="16"/>
      <c r="F749" s="16"/>
      <c r="G749" s="16"/>
      <c r="H749" s="647"/>
      <c r="I749" s="647"/>
      <c r="J749" s="647"/>
      <c r="K749" s="647"/>
      <c r="L749" s="647"/>
      <c r="M749" s="647"/>
      <c r="N749" s="647"/>
      <c r="O749" s="647"/>
      <c r="P749" s="647"/>
      <c r="Q749" s="647"/>
      <c r="R749" s="647"/>
      <c r="S749" s="647"/>
      <c r="T749" s="647"/>
      <c r="U749" s="16"/>
      <c r="V749" s="16"/>
      <c r="W749" s="16"/>
      <c r="X749" s="16"/>
      <c r="Y749" s="16"/>
      <c r="Z749" s="16"/>
      <c r="AA749" s="16"/>
      <c r="AB749" s="16"/>
      <c r="AC749" s="16"/>
    </row>
    <row r="750" ht="12.75" customHeight="1" spans="1:29" x14ac:dyDescent="0.25">
      <c r="A750" s="16"/>
      <c r="B750" s="16"/>
      <c r="C750" s="16"/>
      <c r="D750" s="16"/>
      <c r="E750" s="16"/>
      <c r="F750" s="16"/>
      <c r="G750" s="16"/>
      <c r="H750" s="647"/>
      <c r="I750" s="647"/>
      <c r="J750" s="647"/>
      <c r="K750" s="647"/>
      <c r="L750" s="647"/>
      <c r="M750" s="647"/>
      <c r="N750" s="647"/>
      <c r="O750" s="647"/>
      <c r="P750" s="647"/>
      <c r="Q750" s="647"/>
      <c r="R750" s="647"/>
      <c r="S750" s="647"/>
      <c r="T750" s="647"/>
      <c r="U750" s="16"/>
      <c r="V750" s="16"/>
      <c r="W750" s="16"/>
      <c r="X750" s="16"/>
      <c r="Y750" s="16"/>
      <c r="Z750" s="16"/>
      <c r="AA750" s="16"/>
      <c r="AB750" s="16"/>
      <c r="AC750" s="16"/>
    </row>
    <row r="751" ht="12.75" customHeight="1" spans="1:29" x14ac:dyDescent="0.25">
      <c r="A751" s="16"/>
      <c r="B751" s="16"/>
      <c r="C751" s="16"/>
      <c r="D751" s="16"/>
      <c r="E751" s="16"/>
      <c r="F751" s="16"/>
      <c r="G751" s="16"/>
      <c r="H751" s="647"/>
      <c r="I751" s="647"/>
      <c r="J751" s="647"/>
      <c r="K751" s="647"/>
      <c r="L751" s="647"/>
      <c r="M751" s="647"/>
      <c r="N751" s="647"/>
      <c r="O751" s="647"/>
      <c r="P751" s="647"/>
      <c r="Q751" s="647"/>
      <c r="R751" s="647"/>
      <c r="S751" s="647"/>
      <c r="T751" s="647"/>
      <c r="U751" s="16"/>
      <c r="V751" s="16"/>
      <c r="W751" s="16"/>
      <c r="X751" s="16"/>
      <c r="Y751" s="16"/>
      <c r="Z751" s="16"/>
      <c r="AA751" s="16"/>
      <c r="AB751" s="16"/>
      <c r="AC751" s="16"/>
    </row>
    <row r="752" ht="12.75" customHeight="1" spans="1:29" x14ac:dyDescent="0.25">
      <c r="A752" s="16"/>
      <c r="B752" s="16"/>
      <c r="C752" s="16"/>
      <c r="D752" s="16"/>
      <c r="E752" s="16"/>
      <c r="F752" s="16"/>
      <c r="G752" s="16"/>
      <c r="H752" s="647"/>
      <c r="I752" s="647"/>
      <c r="J752" s="647"/>
      <c r="K752" s="647"/>
      <c r="L752" s="647"/>
      <c r="M752" s="647"/>
      <c r="N752" s="647"/>
      <c r="O752" s="647"/>
      <c r="P752" s="647"/>
      <c r="Q752" s="647"/>
      <c r="R752" s="647"/>
      <c r="S752" s="647"/>
      <c r="T752" s="647"/>
      <c r="U752" s="16"/>
      <c r="V752" s="16"/>
      <c r="W752" s="16"/>
      <c r="X752" s="16"/>
      <c r="Y752" s="16"/>
      <c r="Z752" s="16"/>
      <c r="AA752" s="16"/>
      <c r="AB752" s="16"/>
      <c r="AC752" s="16"/>
    </row>
    <row r="753" ht="12.75" customHeight="1" spans="1:29" x14ac:dyDescent="0.25">
      <c r="A753" s="16"/>
      <c r="B753" s="16"/>
      <c r="C753" s="16"/>
      <c r="D753" s="16"/>
      <c r="E753" s="16"/>
      <c r="F753" s="16"/>
      <c r="G753" s="16"/>
      <c r="H753" s="647"/>
      <c r="I753" s="647"/>
      <c r="J753" s="647"/>
      <c r="K753" s="647"/>
      <c r="L753" s="647"/>
      <c r="M753" s="647"/>
      <c r="N753" s="647"/>
      <c r="O753" s="647"/>
      <c r="P753" s="647"/>
      <c r="Q753" s="647"/>
      <c r="R753" s="647"/>
      <c r="S753" s="647"/>
      <c r="T753" s="647"/>
      <c r="U753" s="16"/>
      <c r="V753" s="16"/>
      <c r="W753" s="16"/>
      <c r="X753" s="16"/>
      <c r="Y753" s="16"/>
      <c r="Z753" s="16"/>
      <c r="AA753" s="16"/>
      <c r="AB753" s="16"/>
      <c r="AC753" s="16"/>
    </row>
    <row r="754" ht="12.75" customHeight="1" spans="1:29" x14ac:dyDescent="0.25">
      <c r="A754" s="16"/>
      <c r="B754" s="16"/>
      <c r="C754" s="16"/>
      <c r="D754" s="16"/>
      <c r="E754" s="16"/>
      <c r="F754" s="16"/>
      <c r="G754" s="16"/>
      <c r="H754" s="647"/>
      <c r="I754" s="647"/>
      <c r="J754" s="647"/>
      <c r="K754" s="647"/>
      <c r="L754" s="647"/>
      <c r="M754" s="647"/>
      <c r="N754" s="647"/>
      <c r="O754" s="647"/>
      <c r="P754" s="647"/>
      <c r="Q754" s="647"/>
      <c r="R754" s="647"/>
      <c r="S754" s="647"/>
      <c r="T754" s="647"/>
      <c r="U754" s="16"/>
      <c r="V754" s="16"/>
      <c r="W754" s="16"/>
      <c r="X754" s="16"/>
      <c r="Y754" s="16"/>
      <c r="Z754" s="16"/>
      <c r="AA754" s="16"/>
      <c r="AB754" s="16"/>
      <c r="AC754" s="16"/>
    </row>
    <row r="755" ht="12.75" customHeight="1" spans="1:29" x14ac:dyDescent="0.25">
      <c r="A755" s="16"/>
      <c r="B755" s="16"/>
      <c r="C755" s="16"/>
      <c r="D755" s="16"/>
      <c r="E755" s="16"/>
      <c r="F755" s="16"/>
      <c r="G755" s="16"/>
      <c r="H755" s="647"/>
      <c r="I755" s="647"/>
      <c r="J755" s="647"/>
      <c r="K755" s="647"/>
      <c r="L755" s="647"/>
      <c r="M755" s="647"/>
      <c r="N755" s="647"/>
      <c r="O755" s="647"/>
      <c r="P755" s="647"/>
      <c r="Q755" s="647"/>
      <c r="R755" s="647"/>
      <c r="S755" s="647"/>
      <c r="T755" s="647"/>
      <c r="U755" s="16"/>
      <c r="V755" s="16"/>
      <c r="W755" s="16"/>
      <c r="X755" s="16"/>
      <c r="Y755" s="16"/>
      <c r="Z755" s="16"/>
      <c r="AA755" s="16"/>
      <c r="AB755" s="16"/>
      <c r="AC755" s="16"/>
    </row>
    <row r="756" ht="12.75" customHeight="1" spans="1:29" x14ac:dyDescent="0.25">
      <c r="A756" s="16"/>
      <c r="B756" s="16"/>
      <c r="C756" s="16"/>
      <c r="D756" s="16"/>
      <c r="E756" s="16"/>
      <c r="F756" s="16"/>
      <c r="G756" s="16"/>
      <c r="H756" s="647"/>
      <c r="I756" s="647"/>
      <c r="J756" s="647"/>
      <c r="K756" s="647"/>
      <c r="L756" s="647"/>
      <c r="M756" s="647"/>
      <c r="N756" s="647"/>
      <c r="O756" s="647"/>
      <c r="P756" s="647"/>
      <c r="Q756" s="647"/>
      <c r="R756" s="647"/>
      <c r="S756" s="647"/>
      <c r="T756" s="647"/>
      <c r="U756" s="16"/>
      <c r="V756" s="16"/>
      <c r="W756" s="16"/>
      <c r="X756" s="16"/>
      <c r="Y756" s="16"/>
      <c r="Z756" s="16"/>
      <c r="AA756" s="16"/>
      <c r="AB756" s="16"/>
      <c r="AC756" s="16"/>
    </row>
    <row r="757" ht="12.75" customHeight="1" spans="1:29" x14ac:dyDescent="0.25">
      <c r="A757" s="16"/>
      <c r="B757" s="16"/>
      <c r="C757" s="16"/>
      <c r="D757" s="16"/>
      <c r="E757" s="16"/>
      <c r="F757" s="16"/>
      <c r="G757" s="16"/>
      <c r="H757" s="647"/>
      <c r="I757" s="647"/>
      <c r="J757" s="647"/>
      <c r="K757" s="647"/>
      <c r="L757" s="647"/>
      <c r="M757" s="647"/>
      <c r="N757" s="647"/>
      <c r="O757" s="647"/>
      <c r="P757" s="647"/>
      <c r="Q757" s="647"/>
      <c r="R757" s="647"/>
      <c r="S757" s="647"/>
      <c r="T757" s="647"/>
      <c r="U757" s="16"/>
      <c r="V757" s="16"/>
      <c r="W757" s="16"/>
      <c r="X757" s="16"/>
      <c r="Y757" s="16"/>
      <c r="Z757" s="16"/>
      <c r="AA757" s="16"/>
      <c r="AB757" s="16"/>
      <c r="AC757" s="16"/>
    </row>
    <row r="758" ht="12.75" customHeight="1" spans="1:29" x14ac:dyDescent="0.25">
      <c r="A758" s="16"/>
      <c r="B758" s="16"/>
      <c r="C758" s="16"/>
      <c r="D758" s="16"/>
      <c r="E758" s="16"/>
      <c r="F758" s="16"/>
      <c r="G758" s="16"/>
      <c r="H758" s="647"/>
      <c r="I758" s="647"/>
      <c r="J758" s="647"/>
      <c r="K758" s="647"/>
      <c r="L758" s="647"/>
      <c r="M758" s="647"/>
      <c r="N758" s="647"/>
      <c r="O758" s="647"/>
      <c r="P758" s="647"/>
      <c r="Q758" s="647"/>
      <c r="R758" s="647"/>
      <c r="S758" s="647"/>
      <c r="T758" s="647"/>
      <c r="U758" s="16"/>
      <c r="V758" s="16"/>
      <c r="W758" s="16"/>
      <c r="X758" s="16"/>
      <c r="Y758" s="16"/>
      <c r="Z758" s="16"/>
      <c r="AA758" s="16"/>
      <c r="AB758" s="16"/>
      <c r="AC758" s="16"/>
    </row>
    <row r="759" ht="12.75" customHeight="1" spans="1:29" x14ac:dyDescent="0.25">
      <c r="A759" s="16"/>
      <c r="B759" s="16"/>
      <c r="C759" s="16"/>
      <c r="D759" s="16"/>
      <c r="E759" s="16"/>
      <c r="F759" s="16"/>
      <c r="G759" s="16"/>
      <c r="H759" s="647"/>
      <c r="I759" s="647"/>
      <c r="J759" s="647"/>
      <c r="K759" s="647"/>
      <c r="L759" s="647"/>
      <c r="M759" s="647"/>
      <c r="N759" s="647"/>
      <c r="O759" s="647"/>
      <c r="P759" s="647"/>
      <c r="Q759" s="647"/>
      <c r="R759" s="647"/>
      <c r="S759" s="647"/>
      <c r="T759" s="647"/>
      <c r="U759" s="16"/>
      <c r="V759" s="16"/>
      <c r="W759" s="16"/>
      <c r="X759" s="16"/>
      <c r="Y759" s="16"/>
      <c r="Z759" s="16"/>
      <c r="AA759" s="16"/>
      <c r="AB759" s="16"/>
      <c r="AC759" s="16"/>
    </row>
    <row r="760" ht="12.75" customHeight="1" spans="1:29" x14ac:dyDescent="0.25">
      <c r="A760" s="16"/>
      <c r="B760" s="16"/>
      <c r="C760" s="16"/>
      <c r="D760" s="16"/>
      <c r="E760" s="16"/>
      <c r="F760" s="16"/>
      <c r="G760" s="16"/>
      <c r="H760" s="647"/>
      <c r="I760" s="647"/>
      <c r="J760" s="647"/>
      <c r="K760" s="647"/>
      <c r="L760" s="647"/>
      <c r="M760" s="647"/>
      <c r="N760" s="647"/>
      <c r="O760" s="647"/>
      <c r="P760" s="647"/>
      <c r="Q760" s="647"/>
      <c r="R760" s="647"/>
      <c r="S760" s="647"/>
      <c r="T760" s="647"/>
      <c r="U760" s="16"/>
      <c r="V760" s="16"/>
      <c r="W760" s="16"/>
      <c r="X760" s="16"/>
      <c r="Y760" s="16"/>
      <c r="Z760" s="16"/>
      <c r="AA760" s="16"/>
      <c r="AB760" s="16"/>
      <c r="AC760" s="16"/>
    </row>
    <row r="761" ht="12.75" customHeight="1" spans="1:29" x14ac:dyDescent="0.25">
      <c r="A761" s="16"/>
      <c r="B761" s="16"/>
      <c r="C761" s="16"/>
      <c r="D761" s="16"/>
      <c r="E761" s="16"/>
      <c r="F761" s="16"/>
      <c r="G761" s="16"/>
      <c r="H761" s="647"/>
      <c r="I761" s="647"/>
      <c r="J761" s="647"/>
      <c r="K761" s="647"/>
      <c r="L761" s="647"/>
      <c r="M761" s="647"/>
      <c r="N761" s="647"/>
      <c r="O761" s="647"/>
      <c r="P761" s="647"/>
      <c r="Q761" s="647"/>
      <c r="R761" s="647"/>
      <c r="S761" s="647"/>
      <c r="T761" s="647"/>
      <c r="U761" s="16"/>
      <c r="V761" s="16"/>
      <c r="W761" s="16"/>
      <c r="X761" s="16"/>
      <c r="Y761" s="16"/>
      <c r="Z761" s="16"/>
      <c r="AA761" s="16"/>
      <c r="AB761" s="16"/>
      <c r="AC761" s="16"/>
    </row>
    <row r="762" ht="12.75" customHeight="1" spans="1:29" x14ac:dyDescent="0.25">
      <c r="A762" s="16"/>
      <c r="B762" s="16"/>
      <c r="C762" s="16"/>
      <c r="D762" s="16"/>
      <c r="E762" s="16"/>
      <c r="F762" s="16"/>
      <c r="G762" s="16"/>
      <c r="H762" s="647"/>
      <c r="I762" s="647"/>
      <c r="J762" s="647"/>
      <c r="K762" s="647"/>
      <c r="L762" s="647"/>
      <c r="M762" s="647"/>
      <c r="N762" s="647"/>
      <c r="O762" s="647"/>
      <c r="P762" s="647"/>
      <c r="Q762" s="647"/>
      <c r="R762" s="647"/>
      <c r="S762" s="647"/>
      <c r="T762" s="647"/>
      <c r="U762" s="16"/>
      <c r="V762" s="16"/>
      <c r="W762" s="16"/>
      <c r="X762" s="16"/>
      <c r="Y762" s="16"/>
      <c r="Z762" s="16"/>
      <c r="AA762" s="16"/>
      <c r="AB762" s="16"/>
      <c r="AC762" s="16"/>
    </row>
    <row r="763" ht="12.75" customHeight="1" spans="1:29" x14ac:dyDescent="0.25">
      <c r="A763" s="16"/>
      <c r="B763" s="16"/>
      <c r="C763" s="16"/>
      <c r="D763" s="16"/>
      <c r="E763" s="16"/>
      <c r="F763" s="16"/>
      <c r="G763" s="16"/>
      <c r="H763" s="647"/>
      <c r="I763" s="647"/>
      <c r="J763" s="647"/>
      <c r="K763" s="647"/>
      <c r="L763" s="647"/>
      <c r="M763" s="647"/>
      <c r="N763" s="647"/>
      <c r="O763" s="647"/>
      <c r="P763" s="647"/>
      <c r="Q763" s="647"/>
      <c r="R763" s="647"/>
      <c r="S763" s="647"/>
      <c r="T763" s="647"/>
      <c r="U763" s="16"/>
      <c r="V763" s="16"/>
      <c r="W763" s="16"/>
      <c r="X763" s="16"/>
      <c r="Y763" s="16"/>
      <c r="Z763" s="16"/>
      <c r="AA763" s="16"/>
      <c r="AB763" s="16"/>
      <c r="AC763" s="16"/>
    </row>
    <row r="764" ht="12.75" customHeight="1" spans="1:29" x14ac:dyDescent="0.25">
      <c r="A764" s="16"/>
      <c r="B764" s="16"/>
      <c r="C764" s="16"/>
      <c r="D764" s="16"/>
      <c r="E764" s="16"/>
      <c r="F764" s="16"/>
      <c r="G764" s="16"/>
      <c r="H764" s="647"/>
      <c r="I764" s="647"/>
      <c r="J764" s="647"/>
      <c r="K764" s="647"/>
      <c r="L764" s="647"/>
      <c r="M764" s="647"/>
      <c r="N764" s="647"/>
      <c r="O764" s="647"/>
      <c r="P764" s="647"/>
      <c r="Q764" s="647"/>
      <c r="R764" s="647"/>
      <c r="S764" s="647"/>
      <c r="T764" s="647"/>
      <c r="U764" s="16"/>
      <c r="V764" s="16"/>
      <c r="W764" s="16"/>
      <c r="X764" s="16"/>
      <c r="Y764" s="16"/>
      <c r="Z764" s="16"/>
      <c r="AA764" s="16"/>
      <c r="AB764" s="16"/>
      <c r="AC764" s="16"/>
    </row>
    <row r="765" ht="12.75" customHeight="1" spans="1:29" x14ac:dyDescent="0.25">
      <c r="A765" s="16"/>
      <c r="B765" s="16"/>
      <c r="C765" s="16"/>
      <c r="D765" s="16"/>
      <c r="E765" s="16"/>
      <c r="F765" s="16"/>
      <c r="G765" s="16"/>
      <c r="H765" s="647"/>
      <c r="I765" s="647"/>
      <c r="J765" s="647"/>
      <c r="K765" s="647"/>
      <c r="L765" s="647"/>
      <c r="M765" s="647"/>
      <c r="N765" s="647"/>
      <c r="O765" s="647"/>
      <c r="P765" s="647"/>
      <c r="Q765" s="647"/>
      <c r="R765" s="647"/>
      <c r="S765" s="647"/>
      <c r="T765" s="647"/>
      <c r="U765" s="16"/>
      <c r="V765" s="16"/>
      <c r="W765" s="16"/>
      <c r="X765" s="16"/>
      <c r="Y765" s="16"/>
      <c r="Z765" s="16"/>
      <c r="AA765" s="16"/>
      <c r="AB765" s="16"/>
      <c r="AC765" s="16"/>
    </row>
    <row r="766" ht="12.75" customHeight="1" spans="1:29" x14ac:dyDescent="0.25">
      <c r="A766" s="16"/>
      <c r="B766" s="16"/>
      <c r="C766" s="16"/>
      <c r="D766" s="16"/>
      <c r="E766" s="16"/>
      <c r="F766" s="16"/>
      <c r="G766" s="16"/>
      <c r="H766" s="647"/>
      <c r="I766" s="647"/>
      <c r="J766" s="647"/>
      <c r="K766" s="647"/>
      <c r="L766" s="647"/>
      <c r="M766" s="647"/>
      <c r="N766" s="647"/>
      <c r="O766" s="647"/>
      <c r="P766" s="647"/>
      <c r="Q766" s="647"/>
      <c r="R766" s="647"/>
      <c r="S766" s="647"/>
      <c r="T766" s="647"/>
      <c r="U766" s="16"/>
      <c r="V766" s="16"/>
      <c r="W766" s="16"/>
      <c r="X766" s="16"/>
      <c r="Y766" s="16"/>
      <c r="Z766" s="16"/>
      <c r="AA766" s="16"/>
      <c r="AB766" s="16"/>
      <c r="AC766" s="16"/>
    </row>
    <row r="767" ht="12.75" customHeight="1" spans="1:29" x14ac:dyDescent="0.25">
      <c r="A767" s="16"/>
      <c r="B767" s="16"/>
      <c r="C767" s="16"/>
      <c r="D767" s="16"/>
      <c r="E767" s="16"/>
      <c r="F767" s="16"/>
      <c r="G767" s="16"/>
      <c r="H767" s="647"/>
      <c r="I767" s="647"/>
      <c r="J767" s="647"/>
      <c r="K767" s="647"/>
      <c r="L767" s="647"/>
      <c r="M767" s="647"/>
      <c r="N767" s="647"/>
      <c r="O767" s="647"/>
      <c r="P767" s="647"/>
      <c r="Q767" s="647"/>
      <c r="R767" s="647"/>
      <c r="S767" s="647"/>
      <c r="T767" s="647"/>
      <c r="U767" s="16"/>
      <c r="V767" s="16"/>
      <c r="W767" s="16"/>
      <c r="X767" s="16"/>
      <c r="Y767" s="16"/>
      <c r="Z767" s="16"/>
      <c r="AA767" s="16"/>
      <c r="AB767" s="16"/>
      <c r="AC767" s="16"/>
    </row>
    <row r="768" ht="12.75" customHeight="1" spans="1:29" x14ac:dyDescent="0.25">
      <c r="A768" s="16"/>
      <c r="B768" s="16"/>
      <c r="C768" s="16"/>
      <c r="D768" s="16"/>
      <c r="E768" s="16"/>
      <c r="F768" s="16"/>
      <c r="G768" s="16"/>
      <c r="H768" s="647"/>
      <c r="I768" s="647"/>
      <c r="J768" s="647"/>
      <c r="K768" s="647"/>
      <c r="L768" s="647"/>
      <c r="M768" s="647"/>
      <c r="N768" s="647"/>
      <c r="O768" s="647"/>
      <c r="P768" s="647"/>
      <c r="Q768" s="647"/>
      <c r="R768" s="647"/>
      <c r="S768" s="647"/>
      <c r="T768" s="647"/>
      <c r="U768" s="16"/>
      <c r="V768" s="16"/>
      <c r="W768" s="16"/>
      <c r="X768" s="16"/>
      <c r="Y768" s="16"/>
      <c r="Z768" s="16"/>
      <c r="AA768" s="16"/>
      <c r="AB768" s="16"/>
      <c r="AC768" s="16"/>
    </row>
    <row r="769" ht="12.75" customHeight="1" spans="1:29" x14ac:dyDescent="0.25">
      <c r="A769" s="16"/>
      <c r="B769" s="16"/>
      <c r="C769" s="16"/>
      <c r="D769" s="16"/>
      <c r="E769" s="16"/>
      <c r="F769" s="16"/>
      <c r="G769" s="16"/>
      <c r="H769" s="647"/>
      <c r="I769" s="647"/>
      <c r="J769" s="647"/>
      <c r="K769" s="647"/>
      <c r="L769" s="647"/>
      <c r="M769" s="647"/>
      <c r="N769" s="647"/>
      <c r="O769" s="647"/>
      <c r="P769" s="647"/>
      <c r="Q769" s="647"/>
      <c r="R769" s="647"/>
      <c r="S769" s="647"/>
      <c r="T769" s="647"/>
      <c r="U769" s="16"/>
      <c r="V769" s="16"/>
      <c r="W769" s="16"/>
      <c r="X769" s="16"/>
      <c r="Y769" s="16"/>
      <c r="Z769" s="16"/>
      <c r="AA769" s="16"/>
      <c r="AB769" s="16"/>
      <c r="AC769" s="16"/>
    </row>
    <row r="770" ht="12.75" customHeight="1" spans="1:29" x14ac:dyDescent="0.25">
      <c r="A770" s="16"/>
      <c r="B770" s="16"/>
      <c r="C770" s="16"/>
      <c r="D770" s="16"/>
      <c r="E770" s="16"/>
      <c r="F770" s="16"/>
      <c r="G770" s="16"/>
      <c r="H770" s="647"/>
      <c r="I770" s="647"/>
      <c r="J770" s="647"/>
      <c r="K770" s="647"/>
      <c r="L770" s="647"/>
      <c r="M770" s="647"/>
      <c r="N770" s="647"/>
      <c r="O770" s="647"/>
      <c r="P770" s="647"/>
      <c r="Q770" s="647"/>
      <c r="R770" s="647"/>
      <c r="S770" s="647"/>
      <c r="T770" s="647"/>
      <c r="U770" s="16"/>
      <c r="V770" s="16"/>
      <c r="W770" s="16"/>
      <c r="X770" s="16"/>
      <c r="Y770" s="16"/>
      <c r="Z770" s="16"/>
      <c r="AA770" s="16"/>
      <c r="AB770" s="16"/>
      <c r="AC770" s="16"/>
    </row>
    <row r="771" ht="12.75" customHeight="1" spans="1:29" x14ac:dyDescent="0.25">
      <c r="A771" s="16"/>
      <c r="B771" s="16"/>
      <c r="C771" s="16"/>
      <c r="D771" s="16"/>
      <c r="E771" s="16"/>
      <c r="F771" s="16"/>
      <c r="G771" s="16"/>
      <c r="H771" s="647"/>
      <c r="I771" s="647"/>
      <c r="J771" s="647"/>
      <c r="K771" s="647"/>
      <c r="L771" s="647"/>
      <c r="M771" s="647"/>
      <c r="N771" s="647"/>
      <c r="O771" s="647"/>
      <c r="P771" s="647"/>
      <c r="Q771" s="647"/>
      <c r="R771" s="647"/>
      <c r="S771" s="647"/>
      <c r="T771" s="647"/>
      <c r="U771" s="16"/>
      <c r="V771" s="16"/>
      <c r="W771" s="16"/>
      <c r="X771" s="16"/>
      <c r="Y771" s="16"/>
      <c r="Z771" s="16"/>
      <c r="AA771" s="16"/>
      <c r="AB771" s="16"/>
      <c r="AC771" s="16"/>
    </row>
    <row r="772" ht="12.75" customHeight="1" spans="1:29" x14ac:dyDescent="0.25">
      <c r="A772" s="16"/>
      <c r="B772" s="16"/>
      <c r="C772" s="16"/>
      <c r="D772" s="16"/>
      <c r="E772" s="16"/>
      <c r="F772" s="16"/>
      <c r="G772" s="16"/>
      <c r="H772" s="647"/>
      <c r="I772" s="647"/>
      <c r="J772" s="647"/>
      <c r="K772" s="647"/>
      <c r="L772" s="647"/>
      <c r="M772" s="647"/>
      <c r="N772" s="647"/>
      <c r="O772" s="647"/>
      <c r="P772" s="647"/>
      <c r="Q772" s="647"/>
      <c r="R772" s="647"/>
      <c r="S772" s="647"/>
      <c r="T772" s="647"/>
      <c r="U772" s="16"/>
      <c r="V772" s="16"/>
      <c r="W772" s="16"/>
      <c r="X772" s="16"/>
      <c r="Y772" s="16"/>
      <c r="Z772" s="16"/>
      <c r="AA772" s="16"/>
      <c r="AB772" s="16"/>
      <c r="AC772" s="16"/>
    </row>
    <row r="773" ht="12.75" customHeight="1" spans="1:29" x14ac:dyDescent="0.25">
      <c r="A773" s="16"/>
      <c r="B773" s="16"/>
      <c r="C773" s="16"/>
      <c r="D773" s="16"/>
      <c r="E773" s="16"/>
      <c r="F773" s="16"/>
      <c r="G773" s="16"/>
      <c r="H773" s="647"/>
      <c r="I773" s="647"/>
      <c r="J773" s="647"/>
      <c r="K773" s="647"/>
      <c r="L773" s="647"/>
      <c r="M773" s="647"/>
      <c r="N773" s="647"/>
      <c r="O773" s="647"/>
      <c r="P773" s="647"/>
      <c r="Q773" s="647"/>
      <c r="R773" s="647"/>
      <c r="S773" s="647"/>
      <c r="T773" s="647"/>
      <c r="U773" s="16"/>
      <c r="V773" s="16"/>
      <c r="W773" s="16"/>
      <c r="X773" s="16"/>
      <c r="Y773" s="16"/>
      <c r="Z773" s="16"/>
      <c r="AA773" s="16"/>
      <c r="AB773" s="16"/>
      <c r="AC773" s="16"/>
    </row>
    <row r="774" ht="12.75" customHeight="1" spans="1:29" x14ac:dyDescent="0.25">
      <c r="A774" s="16"/>
      <c r="B774" s="16"/>
      <c r="C774" s="16"/>
      <c r="D774" s="16"/>
      <c r="E774" s="16"/>
      <c r="F774" s="16"/>
      <c r="G774" s="16"/>
      <c r="H774" s="647"/>
      <c r="I774" s="647"/>
      <c r="J774" s="647"/>
      <c r="K774" s="647"/>
      <c r="L774" s="647"/>
      <c r="M774" s="647"/>
      <c r="N774" s="647"/>
      <c r="O774" s="647"/>
      <c r="P774" s="647"/>
      <c r="Q774" s="647"/>
      <c r="R774" s="647"/>
      <c r="S774" s="647"/>
      <c r="T774" s="647"/>
      <c r="U774" s="16"/>
      <c r="V774" s="16"/>
      <c r="W774" s="16"/>
      <c r="X774" s="16"/>
      <c r="Y774" s="16"/>
      <c r="Z774" s="16"/>
      <c r="AA774" s="16"/>
      <c r="AB774" s="16"/>
      <c r="AC774" s="16"/>
    </row>
    <row r="775" ht="12.75" customHeight="1" spans="1:29" x14ac:dyDescent="0.25">
      <c r="A775" s="16"/>
      <c r="B775" s="16"/>
      <c r="C775" s="16"/>
      <c r="D775" s="16"/>
      <c r="E775" s="16"/>
      <c r="F775" s="16"/>
      <c r="G775" s="16"/>
      <c r="H775" s="647"/>
      <c r="I775" s="647"/>
      <c r="J775" s="647"/>
      <c r="K775" s="647"/>
      <c r="L775" s="647"/>
      <c r="M775" s="647"/>
      <c r="N775" s="647"/>
      <c r="O775" s="647"/>
      <c r="P775" s="647"/>
      <c r="Q775" s="647"/>
      <c r="R775" s="647"/>
      <c r="S775" s="647"/>
      <c r="T775" s="647"/>
      <c r="U775" s="16"/>
      <c r="V775" s="16"/>
      <c r="W775" s="16"/>
      <c r="X775" s="16"/>
      <c r="Y775" s="16"/>
      <c r="Z775" s="16"/>
      <c r="AA775" s="16"/>
      <c r="AB775" s="16"/>
      <c r="AC775" s="16"/>
    </row>
    <row r="776" ht="12.75" customHeight="1" spans="1:29" x14ac:dyDescent="0.25">
      <c r="A776" s="16"/>
      <c r="B776" s="16"/>
      <c r="C776" s="16"/>
      <c r="D776" s="16"/>
      <c r="E776" s="16"/>
      <c r="F776" s="16"/>
      <c r="G776" s="16"/>
      <c r="H776" s="647"/>
      <c r="I776" s="647"/>
      <c r="J776" s="647"/>
      <c r="K776" s="647"/>
      <c r="L776" s="647"/>
      <c r="M776" s="647"/>
      <c r="N776" s="647"/>
      <c r="O776" s="647"/>
      <c r="P776" s="647"/>
      <c r="Q776" s="647"/>
      <c r="R776" s="647"/>
      <c r="S776" s="647"/>
      <c r="T776" s="647"/>
      <c r="U776" s="16"/>
      <c r="V776" s="16"/>
      <c r="W776" s="16"/>
      <c r="X776" s="16"/>
      <c r="Y776" s="16"/>
      <c r="Z776" s="16"/>
      <c r="AA776" s="16"/>
      <c r="AB776" s="16"/>
      <c r="AC776" s="16"/>
    </row>
    <row r="777" ht="12.75" customHeight="1" spans="1:29" x14ac:dyDescent="0.25">
      <c r="A777" s="16"/>
      <c r="B777" s="16"/>
      <c r="C777" s="16"/>
      <c r="D777" s="16"/>
      <c r="E777" s="16"/>
      <c r="F777" s="16"/>
      <c r="G777" s="16"/>
      <c r="H777" s="647"/>
      <c r="I777" s="647"/>
      <c r="J777" s="647"/>
      <c r="K777" s="647"/>
      <c r="L777" s="647"/>
      <c r="M777" s="647"/>
      <c r="N777" s="647"/>
      <c r="O777" s="647"/>
      <c r="P777" s="647"/>
      <c r="Q777" s="647"/>
      <c r="R777" s="647"/>
      <c r="S777" s="647"/>
      <c r="T777" s="647"/>
      <c r="U777" s="16"/>
      <c r="V777" s="16"/>
      <c r="W777" s="16"/>
      <c r="X777" s="16"/>
      <c r="Y777" s="16"/>
      <c r="Z777" s="16"/>
      <c r="AA777" s="16"/>
      <c r="AB777" s="16"/>
      <c r="AC777" s="16"/>
    </row>
    <row r="778" ht="12.75" customHeight="1" spans="1:29" x14ac:dyDescent="0.25">
      <c r="A778" s="16"/>
      <c r="B778" s="16"/>
      <c r="C778" s="16"/>
      <c r="D778" s="16"/>
      <c r="E778" s="16"/>
      <c r="F778" s="16"/>
      <c r="G778" s="16"/>
      <c r="H778" s="647"/>
      <c r="I778" s="647"/>
      <c r="J778" s="647"/>
      <c r="K778" s="647"/>
      <c r="L778" s="647"/>
      <c r="M778" s="647"/>
      <c r="N778" s="647"/>
      <c r="O778" s="647"/>
      <c r="P778" s="647"/>
      <c r="Q778" s="647"/>
      <c r="R778" s="647"/>
      <c r="S778" s="647"/>
      <c r="T778" s="647"/>
      <c r="U778" s="16"/>
      <c r="V778" s="16"/>
      <c r="W778" s="16"/>
      <c r="X778" s="16"/>
      <c r="Y778" s="16"/>
      <c r="Z778" s="16"/>
      <c r="AA778" s="16"/>
      <c r="AB778" s="16"/>
      <c r="AC778" s="16"/>
    </row>
    <row r="779" ht="12.75" customHeight="1" spans="1:29" x14ac:dyDescent="0.25">
      <c r="A779" s="16"/>
      <c r="B779" s="16"/>
      <c r="C779" s="16"/>
      <c r="D779" s="16"/>
      <c r="E779" s="16"/>
      <c r="F779" s="16"/>
      <c r="G779" s="16"/>
      <c r="H779" s="647"/>
      <c r="I779" s="647"/>
      <c r="J779" s="647"/>
      <c r="K779" s="647"/>
      <c r="L779" s="647"/>
      <c r="M779" s="647"/>
      <c r="N779" s="647"/>
      <c r="O779" s="647"/>
      <c r="P779" s="647"/>
      <c r="Q779" s="647"/>
      <c r="R779" s="647"/>
      <c r="S779" s="647"/>
      <c r="T779" s="647"/>
      <c r="U779" s="16"/>
      <c r="V779" s="16"/>
      <c r="W779" s="16"/>
      <c r="X779" s="16"/>
      <c r="Y779" s="16"/>
      <c r="Z779" s="16"/>
      <c r="AA779" s="16"/>
      <c r="AB779" s="16"/>
      <c r="AC779" s="16"/>
    </row>
    <row r="780" ht="12.75" customHeight="1" spans="1:29" x14ac:dyDescent="0.25">
      <c r="A780" s="16"/>
      <c r="B780" s="16"/>
      <c r="C780" s="16"/>
      <c r="D780" s="16"/>
      <c r="E780" s="16"/>
      <c r="F780" s="16"/>
      <c r="G780" s="16"/>
      <c r="H780" s="647"/>
      <c r="I780" s="647"/>
      <c r="J780" s="647"/>
      <c r="K780" s="647"/>
      <c r="L780" s="647"/>
      <c r="M780" s="647"/>
      <c r="N780" s="647"/>
      <c r="O780" s="647"/>
      <c r="P780" s="647"/>
      <c r="Q780" s="647"/>
      <c r="R780" s="647"/>
      <c r="S780" s="647"/>
      <c r="T780" s="647"/>
      <c r="U780" s="16"/>
      <c r="V780" s="16"/>
      <c r="W780" s="16"/>
      <c r="X780" s="16"/>
      <c r="Y780" s="16"/>
      <c r="Z780" s="16"/>
      <c r="AA780" s="16"/>
      <c r="AB780" s="16"/>
      <c r="AC780" s="16"/>
    </row>
    <row r="781" ht="12.75" customHeight="1" spans="1:29" x14ac:dyDescent="0.25">
      <c r="A781" s="16"/>
      <c r="B781" s="16"/>
      <c r="C781" s="16"/>
      <c r="D781" s="16"/>
      <c r="E781" s="16"/>
      <c r="F781" s="16"/>
      <c r="G781" s="16"/>
      <c r="H781" s="647"/>
      <c r="I781" s="647"/>
      <c r="J781" s="647"/>
      <c r="K781" s="647"/>
      <c r="L781" s="647"/>
      <c r="M781" s="647"/>
      <c r="N781" s="647"/>
      <c r="O781" s="647"/>
      <c r="P781" s="647"/>
      <c r="Q781" s="647"/>
      <c r="R781" s="647"/>
      <c r="S781" s="647"/>
      <c r="T781" s="647"/>
      <c r="U781" s="16"/>
      <c r="V781" s="16"/>
      <c r="W781" s="16"/>
      <c r="X781" s="16"/>
      <c r="Y781" s="16"/>
      <c r="Z781" s="16"/>
      <c r="AA781" s="16"/>
      <c r="AB781" s="16"/>
      <c r="AC781" s="16"/>
    </row>
    <row r="782" ht="12.75" customHeight="1" spans="1:29" x14ac:dyDescent="0.25">
      <c r="A782" s="16"/>
      <c r="B782" s="16"/>
      <c r="C782" s="16"/>
      <c r="D782" s="16"/>
      <c r="E782" s="16"/>
      <c r="F782" s="16"/>
      <c r="G782" s="16"/>
      <c r="H782" s="647"/>
      <c r="I782" s="647"/>
      <c r="J782" s="647"/>
      <c r="K782" s="647"/>
      <c r="L782" s="647"/>
      <c r="M782" s="647"/>
      <c r="N782" s="647"/>
      <c r="O782" s="647"/>
      <c r="P782" s="647"/>
      <c r="Q782" s="647"/>
      <c r="R782" s="647"/>
      <c r="S782" s="647"/>
      <c r="T782" s="647"/>
      <c r="U782" s="16"/>
      <c r="V782" s="16"/>
      <c r="W782" s="16"/>
      <c r="X782" s="16"/>
      <c r="Y782" s="16"/>
      <c r="Z782" s="16"/>
      <c r="AA782" s="16"/>
      <c r="AB782" s="16"/>
      <c r="AC782" s="16"/>
    </row>
    <row r="783" ht="12.75" customHeight="1" spans="1:29" x14ac:dyDescent="0.25">
      <c r="A783" s="16"/>
      <c r="B783" s="16"/>
      <c r="C783" s="16"/>
      <c r="D783" s="16"/>
      <c r="E783" s="16"/>
      <c r="F783" s="16"/>
      <c r="G783" s="16"/>
      <c r="H783" s="647"/>
      <c r="I783" s="647"/>
      <c r="J783" s="647"/>
      <c r="K783" s="647"/>
      <c r="L783" s="647"/>
      <c r="M783" s="647"/>
      <c r="N783" s="647"/>
      <c r="O783" s="647"/>
      <c r="P783" s="647"/>
      <c r="Q783" s="647"/>
      <c r="R783" s="647"/>
      <c r="S783" s="647"/>
      <c r="T783" s="647"/>
      <c r="U783" s="16"/>
      <c r="V783" s="16"/>
      <c r="W783" s="16"/>
      <c r="X783" s="16"/>
      <c r="Y783" s="16"/>
      <c r="Z783" s="16"/>
      <c r="AA783" s="16"/>
      <c r="AB783" s="16"/>
      <c r="AC783" s="16"/>
    </row>
    <row r="784" ht="12.75" customHeight="1" spans="1:29" x14ac:dyDescent="0.25">
      <c r="A784" s="16"/>
      <c r="B784" s="16"/>
      <c r="C784" s="16"/>
      <c r="D784" s="16"/>
      <c r="E784" s="16"/>
      <c r="F784" s="16"/>
      <c r="G784" s="16"/>
      <c r="H784" s="647"/>
      <c r="I784" s="647"/>
      <c r="J784" s="647"/>
      <c r="K784" s="647"/>
      <c r="L784" s="647"/>
      <c r="M784" s="647"/>
      <c r="N784" s="647"/>
      <c r="O784" s="647"/>
      <c r="P784" s="647"/>
      <c r="Q784" s="647"/>
      <c r="R784" s="647"/>
      <c r="S784" s="647"/>
      <c r="T784" s="647"/>
      <c r="U784" s="16"/>
      <c r="V784" s="16"/>
      <c r="W784" s="16"/>
      <c r="X784" s="16"/>
      <c r="Y784" s="16"/>
      <c r="Z784" s="16"/>
      <c r="AA784" s="16"/>
      <c r="AB784" s="16"/>
      <c r="AC784" s="16"/>
    </row>
    <row r="785" ht="12.75" customHeight="1" spans="1:29" x14ac:dyDescent="0.25">
      <c r="A785" s="16"/>
      <c r="B785" s="16"/>
      <c r="C785" s="16"/>
      <c r="D785" s="16"/>
      <c r="E785" s="16"/>
      <c r="F785" s="16"/>
      <c r="G785" s="16"/>
      <c r="H785" s="647"/>
      <c r="I785" s="647"/>
      <c r="J785" s="647"/>
      <c r="K785" s="647"/>
      <c r="L785" s="647"/>
      <c r="M785" s="647"/>
      <c r="N785" s="647"/>
      <c r="O785" s="647"/>
      <c r="P785" s="647"/>
      <c r="Q785" s="647"/>
      <c r="R785" s="647"/>
      <c r="S785" s="647"/>
      <c r="T785" s="647"/>
      <c r="U785" s="16"/>
      <c r="V785" s="16"/>
      <c r="W785" s="16"/>
      <c r="X785" s="16"/>
      <c r="Y785" s="16"/>
      <c r="Z785" s="16"/>
      <c r="AA785" s="16"/>
      <c r="AB785" s="16"/>
      <c r="AC785" s="16"/>
    </row>
    <row r="786" ht="12.75" customHeight="1" spans="1:29" x14ac:dyDescent="0.25">
      <c r="A786" s="16"/>
      <c r="B786" s="16"/>
      <c r="C786" s="16"/>
      <c r="D786" s="16"/>
      <c r="E786" s="16"/>
      <c r="F786" s="16"/>
      <c r="G786" s="16"/>
      <c r="H786" s="647"/>
      <c r="I786" s="647"/>
      <c r="J786" s="647"/>
      <c r="K786" s="647"/>
      <c r="L786" s="647"/>
      <c r="M786" s="647"/>
      <c r="N786" s="647"/>
      <c r="O786" s="647"/>
      <c r="P786" s="647"/>
      <c r="Q786" s="647"/>
      <c r="R786" s="647"/>
      <c r="S786" s="647"/>
      <c r="T786" s="647"/>
      <c r="U786" s="16"/>
      <c r="V786" s="16"/>
      <c r="W786" s="16"/>
      <c r="X786" s="16"/>
      <c r="Y786" s="16"/>
      <c r="Z786" s="16"/>
      <c r="AA786" s="16"/>
      <c r="AB786" s="16"/>
      <c r="AC786" s="16"/>
    </row>
    <row r="787" ht="12.75" customHeight="1" spans="1:29" x14ac:dyDescent="0.25">
      <c r="A787" s="16"/>
      <c r="B787" s="16"/>
      <c r="C787" s="16"/>
      <c r="D787" s="16"/>
      <c r="E787" s="16"/>
      <c r="F787" s="16"/>
      <c r="G787" s="16"/>
      <c r="H787" s="647"/>
      <c r="I787" s="647"/>
      <c r="J787" s="647"/>
      <c r="K787" s="647"/>
      <c r="L787" s="647"/>
      <c r="M787" s="647"/>
      <c r="N787" s="647"/>
      <c r="O787" s="647"/>
      <c r="P787" s="647"/>
      <c r="Q787" s="647"/>
      <c r="R787" s="647"/>
      <c r="S787" s="647"/>
      <c r="T787" s="647"/>
      <c r="U787" s="16"/>
      <c r="V787" s="16"/>
      <c r="W787" s="16"/>
      <c r="X787" s="16"/>
      <c r="Y787" s="16"/>
      <c r="Z787" s="16"/>
      <c r="AA787" s="16"/>
      <c r="AB787" s="16"/>
      <c r="AC787" s="16"/>
    </row>
    <row r="788" ht="12.75" customHeight="1" spans="1:29" x14ac:dyDescent="0.25">
      <c r="A788" s="16"/>
      <c r="B788" s="16"/>
      <c r="C788" s="16"/>
      <c r="D788" s="16"/>
      <c r="E788" s="16"/>
      <c r="F788" s="16"/>
      <c r="G788" s="16"/>
      <c r="H788" s="647"/>
      <c r="I788" s="647"/>
      <c r="J788" s="647"/>
      <c r="K788" s="647"/>
      <c r="L788" s="647"/>
      <c r="M788" s="647"/>
      <c r="N788" s="647"/>
      <c r="O788" s="647"/>
      <c r="P788" s="647"/>
      <c r="Q788" s="647"/>
      <c r="R788" s="647"/>
      <c r="S788" s="647"/>
      <c r="T788" s="647"/>
      <c r="U788" s="16"/>
      <c r="V788" s="16"/>
      <c r="W788" s="16"/>
      <c r="X788" s="16"/>
      <c r="Y788" s="16"/>
      <c r="Z788" s="16"/>
      <c r="AA788" s="16"/>
      <c r="AB788" s="16"/>
      <c r="AC788" s="16"/>
    </row>
    <row r="789" ht="12.75" customHeight="1" spans="1:29" x14ac:dyDescent="0.25">
      <c r="A789" s="16"/>
      <c r="B789" s="16"/>
      <c r="C789" s="16"/>
      <c r="D789" s="16"/>
      <c r="E789" s="16"/>
      <c r="F789" s="16"/>
      <c r="G789" s="16"/>
      <c r="H789" s="647"/>
      <c r="I789" s="647"/>
      <c r="J789" s="647"/>
      <c r="K789" s="647"/>
      <c r="L789" s="647"/>
      <c r="M789" s="647"/>
      <c r="N789" s="647"/>
      <c r="O789" s="647"/>
      <c r="P789" s="647"/>
      <c r="Q789" s="647"/>
      <c r="R789" s="647"/>
      <c r="S789" s="647"/>
      <c r="T789" s="647"/>
      <c r="U789" s="16"/>
      <c r="V789" s="16"/>
      <c r="W789" s="16"/>
      <c r="X789" s="16"/>
      <c r="Y789" s="16"/>
      <c r="Z789" s="16"/>
      <c r="AA789" s="16"/>
      <c r="AB789" s="16"/>
      <c r="AC789" s="16"/>
    </row>
    <row r="790" ht="12.75" customHeight="1" spans="1:29" x14ac:dyDescent="0.25">
      <c r="A790" s="16"/>
      <c r="B790" s="16"/>
      <c r="C790" s="16"/>
      <c r="D790" s="16"/>
      <c r="E790" s="16"/>
      <c r="F790" s="16"/>
      <c r="G790" s="16"/>
      <c r="H790" s="647"/>
      <c r="I790" s="647"/>
      <c r="J790" s="647"/>
      <c r="K790" s="647"/>
      <c r="L790" s="647"/>
      <c r="M790" s="647"/>
      <c r="N790" s="647"/>
      <c r="O790" s="647"/>
      <c r="P790" s="647"/>
      <c r="Q790" s="647"/>
      <c r="R790" s="647"/>
      <c r="S790" s="647"/>
      <c r="T790" s="647"/>
      <c r="U790" s="16"/>
      <c r="V790" s="16"/>
      <c r="W790" s="16"/>
      <c r="X790" s="16"/>
      <c r="Y790" s="16"/>
      <c r="Z790" s="16"/>
      <c r="AA790" s="16"/>
      <c r="AB790" s="16"/>
      <c r="AC790" s="16"/>
    </row>
    <row r="791" ht="12.75" customHeight="1" spans="1:29" x14ac:dyDescent="0.25">
      <c r="A791" s="16"/>
      <c r="B791" s="16"/>
      <c r="C791" s="16"/>
      <c r="D791" s="16"/>
      <c r="E791" s="16"/>
      <c r="F791" s="16"/>
      <c r="G791" s="16"/>
      <c r="H791" s="647"/>
      <c r="I791" s="647"/>
      <c r="J791" s="647"/>
      <c r="K791" s="647"/>
      <c r="L791" s="647"/>
      <c r="M791" s="647"/>
      <c r="N791" s="647"/>
      <c r="O791" s="647"/>
      <c r="P791" s="647"/>
      <c r="Q791" s="647"/>
      <c r="R791" s="647"/>
      <c r="S791" s="647"/>
      <c r="T791" s="647"/>
      <c r="U791" s="16"/>
      <c r="V791" s="16"/>
      <c r="W791" s="16"/>
      <c r="X791" s="16"/>
      <c r="Y791" s="16"/>
      <c r="Z791" s="16"/>
      <c r="AA791" s="16"/>
      <c r="AB791" s="16"/>
      <c r="AC791" s="16"/>
    </row>
    <row r="792" ht="12.75" customHeight="1" spans="1:29" x14ac:dyDescent="0.25">
      <c r="A792" s="16"/>
      <c r="B792" s="16"/>
      <c r="C792" s="16"/>
      <c r="D792" s="16"/>
      <c r="E792" s="16"/>
      <c r="F792" s="16"/>
      <c r="G792" s="16"/>
      <c r="H792" s="647"/>
      <c r="I792" s="647"/>
      <c r="J792" s="647"/>
      <c r="K792" s="647"/>
      <c r="L792" s="647"/>
      <c r="M792" s="647"/>
      <c r="N792" s="647"/>
      <c r="O792" s="647"/>
      <c r="P792" s="647"/>
      <c r="Q792" s="647"/>
      <c r="R792" s="647"/>
      <c r="S792" s="647"/>
      <c r="T792" s="647"/>
      <c r="U792" s="16"/>
      <c r="V792" s="16"/>
      <c r="W792" s="16"/>
      <c r="X792" s="16"/>
      <c r="Y792" s="16"/>
      <c r="Z792" s="16"/>
      <c r="AA792" s="16"/>
      <c r="AB792" s="16"/>
      <c r="AC792" s="16"/>
    </row>
    <row r="793" ht="12.75" customHeight="1" spans="1:29" x14ac:dyDescent="0.25">
      <c r="A793" s="16"/>
      <c r="B793" s="16"/>
      <c r="C793" s="16"/>
      <c r="D793" s="16"/>
      <c r="E793" s="16"/>
      <c r="F793" s="16"/>
      <c r="G793" s="16"/>
      <c r="H793" s="647"/>
      <c r="I793" s="647"/>
      <c r="J793" s="647"/>
      <c r="K793" s="647"/>
      <c r="L793" s="647"/>
      <c r="M793" s="647"/>
      <c r="N793" s="647"/>
      <c r="O793" s="647"/>
      <c r="P793" s="647"/>
      <c r="Q793" s="647"/>
      <c r="R793" s="647"/>
      <c r="S793" s="647"/>
      <c r="T793" s="647"/>
      <c r="U793" s="16"/>
      <c r="V793" s="16"/>
      <c r="W793" s="16"/>
      <c r="X793" s="16"/>
      <c r="Y793" s="16"/>
      <c r="Z793" s="16"/>
      <c r="AA793" s="16"/>
      <c r="AB793" s="16"/>
      <c r="AC793" s="16"/>
    </row>
    <row r="794" ht="12.75" customHeight="1" spans="1:29" x14ac:dyDescent="0.25">
      <c r="A794" s="16"/>
      <c r="B794" s="16"/>
      <c r="C794" s="16"/>
      <c r="D794" s="16"/>
      <c r="E794" s="16"/>
      <c r="F794" s="16"/>
      <c r="G794" s="16"/>
      <c r="H794" s="647"/>
      <c r="I794" s="647"/>
      <c r="J794" s="647"/>
      <c r="K794" s="647"/>
      <c r="L794" s="647"/>
      <c r="M794" s="647"/>
      <c r="N794" s="647"/>
      <c r="O794" s="647"/>
      <c r="P794" s="647"/>
      <c r="Q794" s="647"/>
      <c r="R794" s="647"/>
      <c r="S794" s="647"/>
      <c r="T794" s="647"/>
      <c r="U794" s="16"/>
      <c r="V794" s="16"/>
      <c r="W794" s="16"/>
      <c r="X794" s="16"/>
      <c r="Y794" s="16"/>
      <c r="Z794" s="16"/>
      <c r="AA794" s="16"/>
      <c r="AB794" s="16"/>
      <c r="AC794" s="16"/>
    </row>
    <row r="795" ht="12.75" customHeight="1" spans="1:29" x14ac:dyDescent="0.25">
      <c r="A795" s="16"/>
      <c r="B795" s="16"/>
      <c r="C795" s="16"/>
      <c r="D795" s="16"/>
      <c r="E795" s="16"/>
      <c r="F795" s="16"/>
      <c r="G795" s="16"/>
      <c r="H795" s="647"/>
      <c r="I795" s="647"/>
      <c r="J795" s="647"/>
      <c r="K795" s="647"/>
      <c r="L795" s="647"/>
      <c r="M795" s="647"/>
      <c r="N795" s="647"/>
      <c r="O795" s="647"/>
      <c r="P795" s="647"/>
      <c r="Q795" s="647"/>
      <c r="R795" s="647"/>
      <c r="S795" s="647"/>
      <c r="T795" s="647"/>
      <c r="U795" s="16"/>
      <c r="V795" s="16"/>
      <c r="W795" s="16"/>
      <c r="X795" s="16"/>
      <c r="Y795" s="16"/>
      <c r="Z795" s="16"/>
      <c r="AA795" s="16"/>
      <c r="AB795" s="16"/>
      <c r="AC795" s="16"/>
    </row>
    <row r="796" ht="12.75" customHeight="1" spans="1:29" x14ac:dyDescent="0.25">
      <c r="A796" s="16"/>
      <c r="B796" s="16"/>
      <c r="C796" s="16"/>
      <c r="D796" s="16"/>
      <c r="E796" s="16"/>
      <c r="F796" s="16"/>
      <c r="G796" s="16"/>
      <c r="H796" s="647"/>
      <c r="I796" s="647"/>
      <c r="J796" s="647"/>
      <c r="K796" s="647"/>
      <c r="L796" s="647"/>
      <c r="M796" s="647"/>
      <c r="N796" s="647"/>
      <c r="O796" s="647"/>
      <c r="P796" s="647"/>
      <c r="Q796" s="647"/>
      <c r="R796" s="647"/>
      <c r="S796" s="647"/>
      <c r="T796" s="647"/>
      <c r="U796" s="16"/>
      <c r="V796" s="16"/>
      <c r="W796" s="16"/>
      <c r="X796" s="16"/>
      <c r="Y796" s="16"/>
      <c r="Z796" s="16"/>
      <c r="AA796" s="16"/>
      <c r="AB796" s="16"/>
      <c r="AC796" s="16"/>
    </row>
    <row r="797" ht="12.75" customHeight="1" spans="1:29" x14ac:dyDescent="0.25">
      <c r="A797" s="16"/>
      <c r="B797" s="16"/>
      <c r="C797" s="16"/>
      <c r="D797" s="16"/>
      <c r="E797" s="16"/>
      <c r="F797" s="16"/>
      <c r="G797" s="16"/>
      <c r="H797" s="647"/>
      <c r="I797" s="647"/>
      <c r="J797" s="647"/>
      <c r="K797" s="647"/>
      <c r="L797" s="647"/>
      <c r="M797" s="647"/>
      <c r="N797" s="647"/>
      <c r="O797" s="647"/>
      <c r="P797" s="647"/>
      <c r="Q797" s="647"/>
      <c r="R797" s="647"/>
      <c r="S797" s="647"/>
      <c r="T797" s="647"/>
      <c r="U797" s="16"/>
      <c r="V797" s="16"/>
      <c r="W797" s="16"/>
      <c r="X797" s="16"/>
      <c r="Y797" s="16"/>
      <c r="Z797" s="16"/>
      <c r="AA797" s="16"/>
      <c r="AB797" s="16"/>
      <c r="AC797" s="16"/>
    </row>
    <row r="798" ht="12.75" customHeight="1" spans="1:29" x14ac:dyDescent="0.25">
      <c r="A798" s="16"/>
      <c r="B798" s="16"/>
      <c r="C798" s="16"/>
      <c r="D798" s="16"/>
      <c r="E798" s="16"/>
      <c r="F798" s="16"/>
      <c r="G798" s="16"/>
      <c r="H798" s="647"/>
      <c r="I798" s="647"/>
      <c r="J798" s="647"/>
      <c r="K798" s="647"/>
      <c r="L798" s="647"/>
      <c r="M798" s="647"/>
      <c r="N798" s="647"/>
      <c r="O798" s="647"/>
      <c r="P798" s="647"/>
      <c r="Q798" s="647"/>
      <c r="R798" s="647"/>
      <c r="S798" s="647"/>
      <c r="T798" s="647"/>
      <c r="U798" s="16"/>
      <c r="V798" s="16"/>
      <c r="W798" s="16"/>
      <c r="X798" s="16"/>
      <c r="Y798" s="16"/>
      <c r="Z798" s="16"/>
      <c r="AA798" s="16"/>
      <c r="AB798" s="16"/>
      <c r="AC798" s="16"/>
    </row>
    <row r="799" ht="12.75" customHeight="1" spans="1:29" x14ac:dyDescent="0.25">
      <c r="A799" s="16"/>
      <c r="B799" s="16"/>
      <c r="C799" s="16"/>
      <c r="D799" s="16"/>
      <c r="E799" s="16"/>
      <c r="F799" s="16"/>
      <c r="G799" s="16"/>
      <c r="H799" s="647"/>
      <c r="I799" s="647"/>
      <c r="J799" s="647"/>
      <c r="K799" s="647"/>
      <c r="L799" s="647"/>
      <c r="M799" s="647"/>
      <c r="N799" s="647"/>
      <c r="O799" s="647"/>
      <c r="P799" s="647"/>
      <c r="Q799" s="647"/>
      <c r="R799" s="647"/>
      <c r="S799" s="647"/>
      <c r="T799" s="647"/>
      <c r="U799" s="16"/>
      <c r="V799" s="16"/>
      <c r="W799" s="16"/>
      <c r="X799" s="16"/>
      <c r="Y799" s="16"/>
      <c r="Z799" s="16"/>
      <c r="AA799" s="16"/>
      <c r="AB799" s="16"/>
      <c r="AC799" s="16"/>
    </row>
    <row r="800" ht="12.75" customHeight="1" spans="1:29" x14ac:dyDescent="0.25">
      <c r="A800" s="16"/>
      <c r="B800" s="16"/>
      <c r="C800" s="16"/>
      <c r="D800" s="16"/>
      <c r="E800" s="16"/>
      <c r="F800" s="16"/>
      <c r="G800" s="16"/>
      <c r="H800" s="647"/>
      <c r="I800" s="647"/>
      <c r="J800" s="647"/>
      <c r="K800" s="647"/>
      <c r="L800" s="647"/>
      <c r="M800" s="647"/>
      <c r="N800" s="647"/>
      <c r="O800" s="647"/>
      <c r="P800" s="647"/>
      <c r="Q800" s="647"/>
      <c r="R800" s="647"/>
      <c r="S800" s="647"/>
      <c r="T800" s="647"/>
      <c r="U800" s="16"/>
      <c r="V800" s="16"/>
      <c r="W800" s="16"/>
      <c r="X800" s="16"/>
      <c r="Y800" s="16"/>
      <c r="Z800" s="16"/>
      <c r="AA800" s="16"/>
      <c r="AB800" s="16"/>
      <c r="AC800" s="16"/>
    </row>
    <row r="801" ht="12.75" customHeight="1" spans="1:29" x14ac:dyDescent="0.25">
      <c r="A801" s="16"/>
      <c r="B801" s="16"/>
      <c r="C801" s="16"/>
      <c r="D801" s="16"/>
      <c r="E801" s="16"/>
      <c r="F801" s="16"/>
      <c r="G801" s="16"/>
      <c r="H801" s="647"/>
      <c r="I801" s="647"/>
      <c r="J801" s="647"/>
      <c r="K801" s="647"/>
      <c r="L801" s="647"/>
      <c r="M801" s="647"/>
      <c r="N801" s="647"/>
      <c r="O801" s="647"/>
      <c r="P801" s="647"/>
      <c r="Q801" s="647"/>
      <c r="R801" s="647"/>
      <c r="S801" s="647"/>
      <c r="T801" s="647"/>
      <c r="U801" s="16"/>
      <c r="V801" s="16"/>
      <c r="W801" s="16"/>
      <c r="X801" s="16"/>
      <c r="Y801" s="16"/>
      <c r="Z801" s="16"/>
      <c r="AA801" s="16"/>
      <c r="AB801" s="16"/>
      <c r="AC801" s="16"/>
    </row>
    <row r="802" ht="12.75" customHeight="1" spans="1:29" x14ac:dyDescent="0.25">
      <c r="A802" s="16"/>
      <c r="B802" s="16"/>
      <c r="C802" s="16"/>
      <c r="D802" s="16"/>
      <c r="E802" s="16"/>
      <c r="F802" s="16"/>
      <c r="G802" s="16"/>
      <c r="H802" s="647"/>
      <c r="I802" s="647"/>
      <c r="J802" s="647"/>
      <c r="K802" s="647"/>
      <c r="L802" s="647"/>
      <c r="M802" s="647"/>
      <c r="N802" s="647"/>
      <c r="O802" s="647"/>
      <c r="P802" s="647"/>
      <c r="Q802" s="647"/>
      <c r="R802" s="647"/>
      <c r="S802" s="647"/>
      <c r="T802" s="647"/>
      <c r="U802" s="16"/>
      <c r="V802" s="16"/>
      <c r="W802" s="16"/>
      <c r="X802" s="16"/>
      <c r="Y802" s="16"/>
      <c r="Z802" s="16"/>
      <c r="AA802" s="16"/>
      <c r="AB802" s="16"/>
      <c r="AC802" s="16"/>
    </row>
    <row r="803" ht="12.75" customHeight="1" spans="1:29" x14ac:dyDescent="0.25">
      <c r="A803" s="16"/>
      <c r="B803" s="16"/>
      <c r="C803" s="16"/>
      <c r="D803" s="16"/>
      <c r="E803" s="16"/>
      <c r="F803" s="16"/>
      <c r="G803" s="16"/>
      <c r="H803" s="647"/>
      <c r="I803" s="647"/>
      <c r="J803" s="647"/>
      <c r="K803" s="647"/>
      <c r="L803" s="647"/>
      <c r="M803" s="647"/>
      <c r="N803" s="647"/>
      <c r="O803" s="647"/>
      <c r="P803" s="647"/>
      <c r="Q803" s="647"/>
      <c r="R803" s="647"/>
      <c r="S803" s="647"/>
      <c r="T803" s="647"/>
      <c r="U803" s="16"/>
      <c r="V803" s="16"/>
      <c r="W803" s="16"/>
      <c r="X803" s="16"/>
      <c r="Y803" s="16"/>
      <c r="Z803" s="16"/>
      <c r="AA803" s="16"/>
      <c r="AB803" s="16"/>
      <c r="AC803" s="16"/>
    </row>
    <row r="804" ht="12.75" customHeight="1" spans="1:29" x14ac:dyDescent="0.25">
      <c r="A804" s="16"/>
      <c r="B804" s="16"/>
      <c r="C804" s="16"/>
      <c r="D804" s="16"/>
      <c r="E804" s="16"/>
      <c r="F804" s="16"/>
      <c r="G804" s="16"/>
      <c r="H804" s="647"/>
      <c r="I804" s="647"/>
      <c r="J804" s="647"/>
      <c r="K804" s="647"/>
      <c r="L804" s="647"/>
      <c r="M804" s="647"/>
      <c r="N804" s="647"/>
      <c r="O804" s="647"/>
      <c r="P804" s="647"/>
      <c r="Q804" s="647"/>
      <c r="R804" s="647"/>
      <c r="S804" s="647"/>
      <c r="T804" s="647"/>
      <c r="U804" s="16"/>
      <c r="V804" s="16"/>
      <c r="W804" s="16"/>
      <c r="X804" s="16"/>
      <c r="Y804" s="16"/>
      <c r="Z804" s="16"/>
      <c r="AA804" s="16"/>
      <c r="AB804" s="16"/>
      <c r="AC804" s="16"/>
    </row>
    <row r="805" ht="12.75" customHeight="1" spans="1:29" x14ac:dyDescent="0.25">
      <c r="A805" s="16"/>
      <c r="B805" s="16"/>
      <c r="C805" s="16"/>
      <c r="D805" s="16"/>
      <c r="E805" s="16"/>
      <c r="F805" s="16"/>
      <c r="G805" s="16"/>
      <c r="H805" s="647"/>
      <c r="I805" s="647"/>
      <c r="J805" s="647"/>
      <c r="K805" s="647"/>
      <c r="L805" s="647"/>
      <c r="M805" s="647"/>
      <c r="N805" s="647"/>
      <c r="O805" s="647"/>
      <c r="P805" s="647"/>
      <c r="Q805" s="647"/>
      <c r="R805" s="647"/>
      <c r="S805" s="647"/>
      <c r="T805" s="647"/>
      <c r="U805" s="16"/>
      <c r="V805" s="16"/>
      <c r="W805" s="16"/>
      <c r="X805" s="16"/>
      <c r="Y805" s="16"/>
      <c r="Z805" s="16"/>
      <c r="AA805" s="16"/>
      <c r="AB805" s="16"/>
      <c r="AC805" s="16"/>
    </row>
    <row r="806" ht="12.75" customHeight="1" spans="1:29" x14ac:dyDescent="0.25">
      <c r="A806" s="16"/>
      <c r="B806" s="16"/>
      <c r="C806" s="16"/>
      <c r="D806" s="16"/>
      <c r="E806" s="16"/>
      <c r="F806" s="16"/>
      <c r="G806" s="16"/>
      <c r="H806" s="647"/>
      <c r="I806" s="647"/>
      <c r="J806" s="647"/>
      <c r="K806" s="647"/>
      <c r="L806" s="647"/>
      <c r="M806" s="647"/>
      <c r="N806" s="647"/>
      <c r="O806" s="647"/>
      <c r="P806" s="647"/>
      <c r="Q806" s="647"/>
      <c r="R806" s="647"/>
      <c r="S806" s="647"/>
      <c r="T806" s="647"/>
      <c r="U806" s="16"/>
      <c r="V806" s="16"/>
      <c r="W806" s="16"/>
      <c r="X806" s="16"/>
      <c r="Y806" s="16"/>
      <c r="Z806" s="16"/>
      <c r="AA806" s="16"/>
      <c r="AB806" s="16"/>
      <c r="AC806" s="16"/>
    </row>
    <row r="807" ht="12.75" customHeight="1" spans="1:29" x14ac:dyDescent="0.25">
      <c r="A807" s="16"/>
      <c r="B807" s="16"/>
      <c r="C807" s="16"/>
      <c r="D807" s="16"/>
      <c r="E807" s="16"/>
      <c r="F807" s="16"/>
      <c r="G807" s="16"/>
      <c r="H807" s="647"/>
      <c r="I807" s="647"/>
      <c r="J807" s="647"/>
      <c r="K807" s="647"/>
      <c r="L807" s="647"/>
      <c r="M807" s="647"/>
      <c r="N807" s="647"/>
      <c r="O807" s="647"/>
      <c r="P807" s="647"/>
      <c r="Q807" s="647"/>
      <c r="R807" s="647"/>
      <c r="S807" s="647"/>
      <c r="T807" s="647"/>
      <c r="U807" s="16"/>
      <c r="V807" s="16"/>
      <c r="W807" s="16"/>
      <c r="X807" s="16"/>
      <c r="Y807" s="16"/>
      <c r="Z807" s="16"/>
      <c r="AA807" s="16"/>
      <c r="AB807" s="16"/>
      <c r="AC807" s="16"/>
    </row>
    <row r="808" ht="12.75" customHeight="1" spans="1:29" x14ac:dyDescent="0.25">
      <c r="A808" s="16"/>
      <c r="B808" s="16"/>
      <c r="C808" s="16"/>
      <c r="D808" s="16"/>
      <c r="E808" s="16"/>
      <c r="F808" s="16"/>
      <c r="G808" s="16"/>
      <c r="H808" s="647"/>
      <c r="I808" s="647"/>
      <c r="J808" s="647"/>
      <c r="K808" s="647"/>
      <c r="L808" s="647"/>
      <c r="M808" s="647"/>
      <c r="N808" s="647"/>
      <c r="O808" s="647"/>
      <c r="P808" s="647"/>
      <c r="Q808" s="647"/>
      <c r="R808" s="647"/>
      <c r="S808" s="647"/>
      <c r="T808" s="647"/>
      <c r="U808" s="16"/>
      <c r="V808" s="16"/>
      <c r="W808" s="16"/>
      <c r="X808" s="16"/>
      <c r="Y808" s="16"/>
      <c r="Z808" s="16"/>
      <c r="AA808" s="16"/>
      <c r="AB808" s="16"/>
      <c r="AC808" s="16"/>
    </row>
    <row r="809" ht="12.75" customHeight="1" spans="1:29" x14ac:dyDescent="0.25">
      <c r="A809" s="16"/>
      <c r="B809" s="16"/>
      <c r="C809" s="16"/>
      <c r="D809" s="16"/>
      <c r="E809" s="16"/>
      <c r="F809" s="16"/>
      <c r="G809" s="16"/>
      <c r="H809" s="647"/>
      <c r="I809" s="647"/>
      <c r="J809" s="647"/>
      <c r="K809" s="647"/>
      <c r="L809" s="647"/>
      <c r="M809" s="647"/>
      <c r="N809" s="647"/>
      <c r="O809" s="647"/>
      <c r="P809" s="647"/>
      <c r="Q809" s="647"/>
      <c r="R809" s="647"/>
      <c r="S809" s="647"/>
      <c r="T809" s="647"/>
      <c r="U809" s="16"/>
      <c r="V809" s="16"/>
      <c r="W809" s="16"/>
      <c r="X809" s="16"/>
      <c r="Y809" s="16"/>
      <c r="Z809" s="16"/>
      <c r="AA809" s="16"/>
      <c r="AB809" s="16"/>
      <c r="AC809" s="16"/>
    </row>
    <row r="810" ht="12.75" customHeight="1" spans="1:29" x14ac:dyDescent="0.25">
      <c r="A810" s="16"/>
      <c r="B810" s="16"/>
      <c r="C810" s="16"/>
      <c r="D810" s="16"/>
      <c r="E810" s="16"/>
      <c r="F810" s="16"/>
      <c r="G810" s="16"/>
      <c r="H810" s="647"/>
      <c r="I810" s="647"/>
      <c r="J810" s="647"/>
      <c r="K810" s="647"/>
      <c r="L810" s="647"/>
      <c r="M810" s="647"/>
      <c r="N810" s="647"/>
      <c r="O810" s="647"/>
      <c r="P810" s="647"/>
      <c r="Q810" s="647"/>
      <c r="R810" s="647"/>
      <c r="S810" s="647"/>
      <c r="T810" s="647"/>
      <c r="U810" s="16"/>
      <c r="V810" s="16"/>
      <c r="W810" s="16"/>
      <c r="X810" s="16"/>
      <c r="Y810" s="16"/>
      <c r="Z810" s="16"/>
      <c r="AA810" s="16"/>
      <c r="AB810" s="16"/>
      <c r="AC810" s="16"/>
    </row>
    <row r="811" ht="12.75" customHeight="1" spans="1:29" x14ac:dyDescent="0.25">
      <c r="A811" s="16"/>
      <c r="B811" s="16"/>
      <c r="C811" s="16"/>
      <c r="D811" s="16"/>
      <c r="E811" s="16"/>
      <c r="F811" s="16"/>
      <c r="G811" s="16"/>
      <c r="H811" s="647"/>
      <c r="I811" s="647"/>
      <c r="J811" s="647"/>
      <c r="K811" s="647"/>
      <c r="L811" s="647"/>
      <c r="M811" s="647"/>
      <c r="N811" s="647"/>
      <c r="O811" s="647"/>
      <c r="P811" s="647"/>
      <c r="Q811" s="647"/>
      <c r="R811" s="647"/>
      <c r="S811" s="647"/>
      <c r="T811" s="647"/>
      <c r="U811" s="16"/>
      <c r="V811" s="16"/>
      <c r="W811" s="16"/>
      <c r="X811" s="16"/>
      <c r="Y811" s="16"/>
      <c r="Z811" s="16"/>
      <c r="AA811" s="16"/>
      <c r="AB811" s="16"/>
      <c r="AC811" s="16"/>
    </row>
    <row r="812" ht="12.75" customHeight="1" spans="1:29" x14ac:dyDescent="0.25">
      <c r="A812" s="16"/>
      <c r="B812" s="16"/>
      <c r="C812" s="16"/>
      <c r="D812" s="16"/>
      <c r="E812" s="16"/>
      <c r="F812" s="16"/>
      <c r="G812" s="16"/>
      <c r="H812" s="647"/>
      <c r="I812" s="647"/>
      <c r="J812" s="647"/>
      <c r="K812" s="647"/>
      <c r="L812" s="647"/>
      <c r="M812" s="647"/>
      <c r="N812" s="647"/>
      <c r="O812" s="647"/>
      <c r="P812" s="647"/>
      <c r="Q812" s="647"/>
      <c r="R812" s="647"/>
      <c r="S812" s="647"/>
      <c r="T812" s="647"/>
      <c r="U812" s="16"/>
      <c r="V812" s="16"/>
      <c r="W812" s="16"/>
      <c r="X812" s="16"/>
      <c r="Y812" s="16"/>
      <c r="Z812" s="16"/>
      <c r="AA812" s="16"/>
      <c r="AB812" s="16"/>
      <c r="AC812" s="16"/>
    </row>
    <row r="813" ht="12.75" customHeight="1" spans="1:29" x14ac:dyDescent="0.25">
      <c r="A813" s="16"/>
      <c r="B813" s="16"/>
      <c r="C813" s="16"/>
      <c r="D813" s="16"/>
      <c r="E813" s="16"/>
      <c r="F813" s="16"/>
      <c r="G813" s="16"/>
      <c r="H813" s="647"/>
      <c r="I813" s="647"/>
      <c r="J813" s="647"/>
      <c r="K813" s="647"/>
      <c r="L813" s="647"/>
      <c r="M813" s="647"/>
      <c r="N813" s="647"/>
      <c r="O813" s="647"/>
      <c r="P813" s="647"/>
      <c r="Q813" s="647"/>
      <c r="R813" s="647"/>
      <c r="S813" s="647"/>
      <c r="T813" s="647"/>
      <c r="U813" s="16"/>
      <c r="V813" s="16"/>
      <c r="W813" s="16"/>
      <c r="X813" s="16"/>
      <c r="Y813" s="16"/>
      <c r="Z813" s="16"/>
      <c r="AA813" s="16"/>
      <c r="AB813" s="16"/>
      <c r="AC813" s="16"/>
    </row>
    <row r="814" ht="12.75" customHeight="1" spans="1:29" x14ac:dyDescent="0.25">
      <c r="A814" s="16"/>
      <c r="B814" s="16"/>
      <c r="C814" s="16"/>
      <c r="D814" s="16"/>
      <c r="E814" s="16"/>
      <c r="F814" s="16"/>
      <c r="G814" s="16"/>
      <c r="H814" s="647"/>
      <c r="I814" s="647"/>
      <c r="J814" s="647"/>
      <c r="K814" s="647"/>
      <c r="L814" s="647"/>
      <c r="M814" s="647"/>
      <c r="N814" s="647"/>
      <c r="O814" s="647"/>
      <c r="P814" s="647"/>
      <c r="Q814" s="647"/>
      <c r="R814" s="647"/>
      <c r="S814" s="647"/>
      <c r="T814" s="647"/>
      <c r="U814" s="16"/>
      <c r="V814" s="16"/>
      <c r="W814" s="16"/>
      <c r="X814" s="16"/>
      <c r="Y814" s="16"/>
      <c r="Z814" s="16"/>
      <c r="AA814" s="16"/>
      <c r="AB814" s="16"/>
      <c r="AC814" s="16"/>
    </row>
    <row r="815" ht="12.75" customHeight="1" spans="1:29" x14ac:dyDescent="0.25">
      <c r="A815" s="16"/>
      <c r="B815" s="16"/>
      <c r="C815" s="16"/>
      <c r="D815" s="16"/>
      <c r="E815" s="16"/>
      <c r="F815" s="16"/>
      <c r="G815" s="16"/>
      <c r="H815" s="647"/>
      <c r="I815" s="647"/>
      <c r="J815" s="647"/>
      <c r="K815" s="647"/>
      <c r="L815" s="647"/>
      <c r="M815" s="647"/>
      <c r="N815" s="647"/>
      <c r="O815" s="647"/>
      <c r="P815" s="647"/>
      <c r="Q815" s="647"/>
      <c r="R815" s="647"/>
      <c r="S815" s="647"/>
      <c r="T815" s="647"/>
      <c r="U815" s="16"/>
      <c r="V815" s="16"/>
      <c r="W815" s="16"/>
      <c r="X815" s="16"/>
      <c r="Y815" s="16"/>
      <c r="Z815" s="16"/>
      <c r="AA815" s="16"/>
      <c r="AB815" s="16"/>
      <c r="AC815" s="16"/>
    </row>
    <row r="816" ht="12.75" customHeight="1" spans="1:29" x14ac:dyDescent="0.25">
      <c r="A816" s="16"/>
      <c r="B816" s="16"/>
      <c r="C816" s="16"/>
      <c r="D816" s="16"/>
      <c r="E816" s="16"/>
      <c r="F816" s="16"/>
      <c r="G816" s="16"/>
      <c r="H816" s="647"/>
      <c r="I816" s="647"/>
      <c r="J816" s="647"/>
      <c r="K816" s="647"/>
      <c r="L816" s="647"/>
      <c r="M816" s="647"/>
      <c r="N816" s="647"/>
      <c r="O816" s="647"/>
      <c r="P816" s="647"/>
      <c r="Q816" s="647"/>
      <c r="R816" s="647"/>
      <c r="S816" s="647"/>
      <c r="T816" s="647"/>
      <c r="U816" s="16"/>
      <c r="V816" s="16"/>
      <c r="W816" s="16"/>
      <c r="X816" s="16"/>
      <c r="Y816" s="16"/>
      <c r="Z816" s="16"/>
      <c r="AA816" s="16"/>
      <c r="AB816" s="16"/>
      <c r="AC816" s="16"/>
    </row>
    <row r="817" ht="12.75" customHeight="1" spans="1:29" x14ac:dyDescent="0.25">
      <c r="A817" s="16"/>
      <c r="B817" s="16"/>
      <c r="C817" s="16"/>
      <c r="D817" s="16"/>
      <c r="E817" s="16"/>
      <c r="F817" s="16"/>
      <c r="G817" s="16"/>
      <c r="H817" s="647"/>
      <c r="I817" s="647"/>
      <c r="J817" s="647"/>
      <c r="K817" s="647"/>
      <c r="L817" s="647"/>
      <c r="M817" s="647"/>
      <c r="N817" s="647"/>
      <c r="O817" s="647"/>
      <c r="P817" s="647"/>
      <c r="Q817" s="647"/>
      <c r="R817" s="647"/>
      <c r="S817" s="647"/>
      <c r="T817" s="647"/>
      <c r="U817" s="16"/>
      <c r="V817" s="16"/>
      <c r="W817" s="16"/>
      <c r="X817" s="16"/>
      <c r="Y817" s="16"/>
      <c r="Z817" s="16"/>
      <c r="AA817" s="16"/>
      <c r="AB817" s="16"/>
      <c r="AC817" s="16"/>
    </row>
    <row r="818" ht="12.75" customHeight="1" spans="1:29" x14ac:dyDescent="0.25">
      <c r="A818" s="16"/>
      <c r="B818" s="16"/>
      <c r="C818" s="16"/>
      <c r="D818" s="16"/>
      <c r="E818" s="16"/>
      <c r="F818" s="16"/>
      <c r="G818" s="16"/>
      <c r="H818" s="647"/>
      <c r="I818" s="647"/>
      <c r="J818" s="647"/>
      <c r="K818" s="647"/>
      <c r="L818" s="647"/>
      <c r="M818" s="647"/>
      <c r="N818" s="647"/>
      <c r="O818" s="647"/>
      <c r="P818" s="647"/>
      <c r="Q818" s="647"/>
      <c r="R818" s="647"/>
      <c r="S818" s="647"/>
      <c r="T818" s="647"/>
      <c r="U818" s="16"/>
      <c r="V818" s="16"/>
      <c r="W818" s="16"/>
      <c r="X818" s="16"/>
      <c r="Y818" s="16"/>
      <c r="Z818" s="16"/>
      <c r="AA818" s="16"/>
      <c r="AB818" s="16"/>
      <c r="AC818" s="16"/>
    </row>
    <row r="819" ht="12.75" customHeight="1" spans="1:29" x14ac:dyDescent="0.25">
      <c r="A819" s="16"/>
      <c r="B819" s="16"/>
      <c r="C819" s="16"/>
      <c r="D819" s="16"/>
      <c r="E819" s="16"/>
      <c r="F819" s="16"/>
      <c r="G819" s="16"/>
      <c r="H819" s="647"/>
      <c r="I819" s="647"/>
      <c r="J819" s="647"/>
      <c r="K819" s="647"/>
      <c r="L819" s="647"/>
      <c r="M819" s="647"/>
      <c r="N819" s="647"/>
      <c r="O819" s="647"/>
      <c r="P819" s="647"/>
      <c r="Q819" s="647"/>
      <c r="R819" s="647"/>
      <c r="S819" s="647"/>
      <c r="T819" s="647"/>
      <c r="U819" s="16"/>
      <c r="V819" s="16"/>
      <c r="W819" s="16"/>
      <c r="X819" s="16"/>
      <c r="Y819" s="16"/>
      <c r="Z819" s="16"/>
      <c r="AA819" s="16"/>
      <c r="AB819" s="16"/>
      <c r="AC819" s="16"/>
    </row>
    <row r="820" ht="12.75" customHeight="1" spans="1:29" x14ac:dyDescent="0.25">
      <c r="A820" s="16"/>
      <c r="B820" s="16"/>
      <c r="C820" s="16"/>
      <c r="D820" s="16"/>
      <c r="E820" s="16"/>
      <c r="F820" s="16"/>
      <c r="G820" s="16"/>
      <c r="H820" s="647"/>
      <c r="I820" s="647"/>
      <c r="J820" s="647"/>
      <c r="K820" s="647"/>
      <c r="L820" s="647"/>
      <c r="M820" s="647"/>
      <c r="N820" s="647"/>
      <c r="O820" s="647"/>
      <c r="P820" s="647"/>
      <c r="Q820" s="647"/>
      <c r="R820" s="647"/>
      <c r="S820" s="647"/>
      <c r="T820" s="647"/>
      <c r="U820" s="16"/>
      <c r="V820" s="16"/>
      <c r="W820" s="16"/>
      <c r="X820" s="16"/>
      <c r="Y820" s="16"/>
      <c r="Z820" s="16"/>
      <c r="AA820" s="16"/>
      <c r="AB820" s="16"/>
      <c r="AC820" s="16"/>
    </row>
    <row r="821" ht="12.75" customHeight="1" spans="1:29" x14ac:dyDescent="0.25">
      <c r="A821" s="16"/>
      <c r="B821" s="16"/>
      <c r="C821" s="16"/>
      <c r="D821" s="16"/>
      <c r="E821" s="16"/>
      <c r="F821" s="16"/>
      <c r="G821" s="16"/>
      <c r="H821" s="647"/>
      <c r="I821" s="647"/>
      <c r="J821" s="647"/>
      <c r="K821" s="647"/>
      <c r="L821" s="647"/>
      <c r="M821" s="647"/>
      <c r="N821" s="647"/>
      <c r="O821" s="647"/>
      <c r="P821" s="647"/>
      <c r="Q821" s="647"/>
      <c r="R821" s="647"/>
      <c r="S821" s="647"/>
      <c r="T821" s="647"/>
      <c r="U821" s="16"/>
      <c r="V821" s="16"/>
      <c r="W821" s="16"/>
      <c r="X821" s="16"/>
      <c r="Y821" s="16"/>
      <c r="Z821" s="16"/>
      <c r="AA821" s="16"/>
      <c r="AB821" s="16"/>
      <c r="AC821" s="16"/>
    </row>
    <row r="822" ht="12.75" customHeight="1" spans="1:29" x14ac:dyDescent="0.25">
      <c r="A822" s="16"/>
      <c r="B822" s="16"/>
      <c r="C822" s="16"/>
      <c r="D822" s="16"/>
      <c r="E822" s="16"/>
      <c r="F822" s="16"/>
      <c r="G822" s="16"/>
      <c r="H822" s="647"/>
      <c r="I822" s="647"/>
      <c r="J822" s="647"/>
      <c r="K822" s="647"/>
      <c r="L822" s="647"/>
      <c r="M822" s="647"/>
      <c r="N822" s="647"/>
      <c r="O822" s="647"/>
      <c r="P822" s="647"/>
      <c r="Q822" s="647"/>
      <c r="R822" s="647"/>
      <c r="S822" s="647"/>
      <c r="T822" s="647"/>
      <c r="U822" s="16"/>
      <c r="V822" s="16"/>
      <c r="W822" s="16"/>
      <c r="X822" s="16"/>
      <c r="Y822" s="16"/>
      <c r="Z822" s="16"/>
      <c r="AA822" s="16"/>
      <c r="AB822" s="16"/>
      <c r="AC822" s="16"/>
    </row>
    <row r="823" ht="12.75" customHeight="1" spans="1:29" x14ac:dyDescent="0.25">
      <c r="A823" s="16"/>
      <c r="B823" s="16"/>
      <c r="C823" s="16"/>
      <c r="D823" s="16"/>
      <c r="E823" s="16"/>
      <c r="F823" s="16"/>
      <c r="G823" s="16"/>
      <c r="H823" s="647"/>
      <c r="I823" s="647"/>
      <c r="J823" s="647"/>
      <c r="K823" s="647"/>
      <c r="L823" s="647"/>
      <c r="M823" s="647"/>
      <c r="N823" s="647"/>
      <c r="O823" s="647"/>
      <c r="P823" s="647"/>
      <c r="Q823" s="647"/>
      <c r="R823" s="647"/>
      <c r="S823" s="647"/>
      <c r="T823" s="647"/>
      <c r="U823" s="16"/>
      <c r="V823" s="16"/>
      <c r="W823" s="16"/>
      <c r="X823" s="16"/>
      <c r="Y823" s="16"/>
      <c r="Z823" s="16"/>
      <c r="AA823" s="16"/>
      <c r="AB823" s="16"/>
      <c r="AC823" s="16"/>
    </row>
    <row r="824" ht="12.75" customHeight="1" spans="1:29" x14ac:dyDescent="0.25">
      <c r="A824" s="16"/>
      <c r="B824" s="16"/>
      <c r="C824" s="16"/>
      <c r="D824" s="16"/>
      <c r="E824" s="16"/>
      <c r="F824" s="16"/>
      <c r="G824" s="16"/>
      <c r="H824" s="647"/>
      <c r="I824" s="647"/>
      <c r="J824" s="647"/>
      <c r="K824" s="647"/>
      <c r="L824" s="647"/>
      <c r="M824" s="647"/>
      <c r="N824" s="647"/>
      <c r="O824" s="647"/>
      <c r="P824" s="647"/>
      <c r="Q824" s="647"/>
      <c r="R824" s="647"/>
      <c r="S824" s="647"/>
      <c r="T824" s="647"/>
      <c r="U824" s="16"/>
      <c r="V824" s="16"/>
      <c r="W824" s="16"/>
      <c r="X824" s="16"/>
      <c r="Y824" s="16"/>
      <c r="Z824" s="16"/>
      <c r="AA824" s="16"/>
      <c r="AB824" s="16"/>
      <c r="AC824" s="16"/>
    </row>
    <row r="825" ht="12.75" customHeight="1" spans="1:29" x14ac:dyDescent="0.25">
      <c r="A825" s="16"/>
      <c r="B825" s="16"/>
      <c r="C825" s="16"/>
      <c r="D825" s="16"/>
      <c r="E825" s="16"/>
      <c r="F825" s="16"/>
      <c r="G825" s="16"/>
      <c r="H825" s="647"/>
      <c r="I825" s="647"/>
      <c r="J825" s="647"/>
      <c r="K825" s="647"/>
      <c r="L825" s="647"/>
      <c r="M825" s="647"/>
      <c r="N825" s="647"/>
      <c r="O825" s="647"/>
      <c r="P825" s="647"/>
      <c r="Q825" s="647"/>
      <c r="R825" s="647"/>
      <c r="S825" s="647"/>
      <c r="T825" s="647"/>
      <c r="U825" s="16"/>
      <c r="V825" s="16"/>
      <c r="W825" s="16"/>
      <c r="X825" s="16"/>
      <c r="Y825" s="16"/>
      <c r="Z825" s="16"/>
      <c r="AA825" s="16"/>
      <c r="AB825" s="16"/>
      <c r="AC825" s="16"/>
    </row>
    <row r="826" ht="12.75" customHeight="1" spans="1:29" x14ac:dyDescent="0.25">
      <c r="A826" s="16"/>
      <c r="B826" s="16"/>
      <c r="C826" s="16"/>
      <c r="D826" s="16"/>
      <c r="E826" s="16"/>
      <c r="F826" s="16"/>
      <c r="G826" s="16"/>
      <c r="H826" s="647"/>
      <c r="I826" s="647"/>
      <c r="J826" s="647"/>
      <c r="K826" s="647"/>
      <c r="L826" s="647"/>
      <c r="M826" s="647"/>
      <c r="N826" s="647"/>
      <c r="O826" s="647"/>
      <c r="P826" s="647"/>
      <c r="Q826" s="647"/>
      <c r="R826" s="647"/>
      <c r="S826" s="647"/>
      <c r="T826" s="647"/>
      <c r="U826" s="16"/>
      <c r="V826" s="16"/>
      <c r="W826" s="16"/>
      <c r="X826" s="16"/>
      <c r="Y826" s="16"/>
      <c r="Z826" s="16"/>
      <c r="AA826" s="16"/>
      <c r="AB826" s="16"/>
      <c r="AC826" s="16"/>
    </row>
    <row r="827" ht="12.75" customHeight="1" spans="1:29" x14ac:dyDescent="0.25">
      <c r="A827" s="16"/>
      <c r="B827" s="16"/>
      <c r="C827" s="16"/>
      <c r="D827" s="16"/>
      <c r="E827" s="16"/>
      <c r="F827" s="16"/>
      <c r="G827" s="16"/>
      <c r="H827" s="647"/>
      <c r="I827" s="647"/>
      <c r="J827" s="647"/>
      <c r="K827" s="647"/>
      <c r="L827" s="647"/>
      <c r="M827" s="647"/>
      <c r="N827" s="647"/>
      <c r="O827" s="647"/>
      <c r="P827" s="647"/>
      <c r="Q827" s="647"/>
      <c r="R827" s="647"/>
      <c r="S827" s="647"/>
      <c r="T827" s="647"/>
      <c r="U827" s="16"/>
      <c r="V827" s="16"/>
      <c r="W827" s="16"/>
      <c r="X827" s="16"/>
      <c r="Y827" s="16"/>
      <c r="Z827" s="16"/>
      <c r="AA827" s="16"/>
      <c r="AB827" s="16"/>
      <c r="AC827" s="16"/>
    </row>
    <row r="828" ht="12.75" customHeight="1" spans="1:29" x14ac:dyDescent="0.25">
      <c r="A828" s="16"/>
      <c r="B828" s="16"/>
      <c r="C828" s="16"/>
      <c r="D828" s="16"/>
      <c r="E828" s="16"/>
      <c r="F828" s="16"/>
      <c r="G828" s="16"/>
      <c r="H828" s="647"/>
      <c r="I828" s="647"/>
      <c r="J828" s="647"/>
      <c r="K828" s="647"/>
      <c r="L828" s="647"/>
      <c r="M828" s="647"/>
      <c r="N828" s="647"/>
      <c r="O828" s="647"/>
      <c r="P828" s="647"/>
      <c r="Q828" s="647"/>
      <c r="R828" s="647"/>
      <c r="S828" s="647"/>
      <c r="T828" s="647"/>
      <c r="U828" s="16"/>
      <c r="V828" s="16"/>
      <c r="W828" s="16"/>
      <c r="X828" s="16"/>
      <c r="Y828" s="16"/>
      <c r="Z828" s="16"/>
      <c r="AA828" s="16"/>
      <c r="AB828" s="16"/>
      <c r="AC828" s="16"/>
    </row>
    <row r="829" ht="12.75" customHeight="1" spans="1:29" x14ac:dyDescent="0.25">
      <c r="A829" s="16"/>
      <c r="B829" s="16"/>
      <c r="C829" s="16"/>
      <c r="D829" s="16"/>
      <c r="E829" s="16"/>
      <c r="F829" s="16"/>
      <c r="G829" s="16"/>
      <c r="H829" s="647"/>
      <c r="I829" s="647"/>
      <c r="J829" s="647"/>
      <c r="K829" s="647"/>
      <c r="L829" s="647"/>
      <c r="M829" s="647"/>
      <c r="N829" s="647"/>
      <c r="O829" s="647"/>
      <c r="P829" s="647"/>
      <c r="Q829" s="647"/>
      <c r="R829" s="647"/>
      <c r="S829" s="647"/>
      <c r="T829" s="647"/>
      <c r="U829" s="16"/>
      <c r="V829" s="16"/>
      <c r="W829" s="16"/>
      <c r="X829" s="16"/>
      <c r="Y829" s="16"/>
      <c r="Z829" s="16"/>
      <c r="AA829" s="16"/>
      <c r="AB829" s="16"/>
      <c r="AC829" s="16"/>
    </row>
    <row r="830" ht="12.75" customHeight="1" spans="1:29" x14ac:dyDescent="0.25">
      <c r="A830" s="16"/>
      <c r="B830" s="16"/>
      <c r="C830" s="16"/>
      <c r="D830" s="16"/>
      <c r="E830" s="16"/>
      <c r="F830" s="16"/>
      <c r="G830" s="16"/>
      <c r="H830" s="647"/>
      <c r="I830" s="647"/>
      <c r="J830" s="647"/>
      <c r="K830" s="647"/>
      <c r="L830" s="647"/>
      <c r="M830" s="647"/>
      <c r="N830" s="647"/>
      <c r="O830" s="647"/>
      <c r="P830" s="647"/>
      <c r="Q830" s="647"/>
      <c r="R830" s="647"/>
      <c r="S830" s="647"/>
      <c r="T830" s="647"/>
      <c r="U830" s="16"/>
      <c r="V830" s="16"/>
      <c r="W830" s="16"/>
      <c r="X830" s="16"/>
      <c r="Y830" s="16"/>
      <c r="Z830" s="16"/>
      <c r="AA830" s="16"/>
      <c r="AB830" s="16"/>
      <c r="AC830" s="16"/>
    </row>
    <row r="831" ht="12.75" customHeight="1" spans="1:29" x14ac:dyDescent="0.25">
      <c r="A831" s="16"/>
      <c r="B831" s="16"/>
      <c r="C831" s="16"/>
      <c r="D831" s="16"/>
      <c r="E831" s="16"/>
      <c r="F831" s="16"/>
      <c r="G831" s="16"/>
      <c r="H831" s="647"/>
      <c r="I831" s="647"/>
      <c r="J831" s="647"/>
      <c r="K831" s="647"/>
      <c r="L831" s="647"/>
      <c r="M831" s="647"/>
      <c r="N831" s="647"/>
      <c r="O831" s="647"/>
      <c r="P831" s="647"/>
      <c r="Q831" s="647"/>
      <c r="R831" s="647"/>
      <c r="S831" s="647"/>
      <c r="T831" s="647"/>
      <c r="U831" s="16"/>
      <c r="V831" s="16"/>
      <c r="W831" s="16"/>
      <c r="X831" s="16"/>
      <c r="Y831" s="16"/>
      <c r="Z831" s="16"/>
      <c r="AA831" s="16"/>
      <c r="AB831" s="16"/>
      <c r="AC831" s="16"/>
    </row>
    <row r="832" ht="12.75" customHeight="1" spans="1:29" x14ac:dyDescent="0.25">
      <c r="A832" s="16"/>
      <c r="B832" s="16"/>
      <c r="C832" s="16"/>
      <c r="D832" s="16"/>
      <c r="E832" s="16"/>
      <c r="F832" s="16"/>
      <c r="G832" s="16"/>
      <c r="H832" s="647"/>
      <c r="I832" s="647"/>
      <c r="J832" s="647"/>
      <c r="K832" s="647"/>
      <c r="L832" s="647"/>
      <c r="M832" s="647"/>
      <c r="N832" s="647"/>
      <c r="O832" s="647"/>
      <c r="P832" s="647"/>
      <c r="Q832" s="647"/>
      <c r="R832" s="647"/>
      <c r="S832" s="647"/>
      <c r="T832" s="647"/>
      <c r="U832" s="16"/>
      <c r="V832" s="16"/>
      <c r="W832" s="16"/>
      <c r="X832" s="16"/>
      <c r="Y832" s="16"/>
      <c r="Z832" s="16"/>
      <c r="AA832" s="16"/>
      <c r="AB832" s="16"/>
      <c r="AC832" s="16"/>
    </row>
    <row r="833" ht="12.75" customHeight="1" spans="1:29" x14ac:dyDescent="0.25">
      <c r="A833" s="16"/>
      <c r="B833" s="16"/>
      <c r="C833" s="16"/>
      <c r="D833" s="16"/>
      <c r="E833" s="16"/>
      <c r="F833" s="16"/>
      <c r="G833" s="16"/>
      <c r="H833" s="647"/>
      <c r="I833" s="647"/>
      <c r="J833" s="647"/>
      <c r="K833" s="647"/>
      <c r="L833" s="647"/>
      <c r="M833" s="647"/>
      <c r="N833" s="647"/>
      <c r="O833" s="647"/>
      <c r="P833" s="647"/>
      <c r="Q833" s="647"/>
      <c r="R833" s="647"/>
      <c r="S833" s="647"/>
      <c r="T833" s="647"/>
      <c r="U833" s="16"/>
      <c r="V833" s="16"/>
      <c r="W833" s="16"/>
      <c r="X833" s="16"/>
      <c r="Y833" s="16"/>
      <c r="Z833" s="16"/>
      <c r="AA833" s="16"/>
      <c r="AB833" s="16"/>
      <c r="AC833" s="16"/>
    </row>
    <row r="834" ht="12.75" customHeight="1" spans="1:29" x14ac:dyDescent="0.25">
      <c r="A834" s="16"/>
      <c r="B834" s="16"/>
      <c r="C834" s="16"/>
      <c r="D834" s="16"/>
      <c r="E834" s="16"/>
      <c r="F834" s="16"/>
      <c r="G834" s="16"/>
      <c r="H834" s="647"/>
      <c r="I834" s="647"/>
      <c r="J834" s="647"/>
      <c r="K834" s="647"/>
      <c r="L834" s="647"/>
      <c r="M834" s="647"/>
      <c r="N834" s="647"/>
      <c r="O834" s="647"/>
      <c r="P834" s="647"/>
      <c r="Q834" s="647"/>
      <c r="R834" s="647"/>
      <c r="S834" s="647"/>
      <c r="T834" s="647"/>
      <c r="U834" s="16"/>
      <c r="V834" s="16"/>
      <c r="W834" s="16"/>
      <c r="X834" s="16"/>
      <c r="Y834" s="16"/>
      <c r="Z834" s="16"/>
      <c r="AA834" s="16"/>
      <c r="AB834" s="16"/>
      <c r="AC834" s="16"/>
    </row>
    <row r="835" ht="12.75" customHeight="1" spans="1:29" x14ac:dyDescent="0.25">
      <c r="A835" s="16"/>
      <c r="B835" s="16"/>
      <c r="C835" s="16"/>
      <c r="D835" s="16"/>
      <c r="E835" s="16"/>
      <c r="F835" s="16"/>
      <c r="G835" s="16"/>
      <c r="H835" s="647"/>
      <c r="I835" s="647"/>
      <c r="J835" s="647"/>
      <c r="K835" s="647"/>
      <c r="L835" s="647"/>
      <c r="M835" s="647"/>
      <c r="N835" s="647"/>
      <c r="O835" s="647"/>
      <c r="P835" s="647"/>
      <c r="Q835" s="647"/>
      <c r="R835" s="647"/>
      <c r="S835" s="647"/>
      <c r="T835" s="647"/>
      <c r="U835" s="16"/>
      <c r="V835" s="16"/>
      <c r="W835" s="16"/>
      <c r="X835" s="16"/>
      <c r="Y835" s="16"/>
      <c r="Z835" s="16"/>
      <c r="AA835" s="16"/>
      <c r="AB835" s="16"/>
      <c r="AC835" s="16"/>
    </row>
    <row r="836" ht="12.75" customHeight="1" spans="1:29" x14ac:dyDescent="0.25">
      <c r="A836" s="16"/>
      <c r="B836" s="16"/>
      <c r="C836" s="16"/>
      <c r="D836" s="16"/>
      <c r="E836" s="16"/>
      <c r="F836" s="16"/>
      <c r="G836" s="16"/>
      <c r="H836" s="647"/>
      <c r="I836" s="647"/>
      <c r="J836" s="647"/>
      <c r="K836" s="647"/>
      <c r="L836" s="647"/>
      <c r="M836" s="647"/>
      <c r="N836" s="647"/>
      <c r="O836" s="647"/>
      <c r="P836" s="647"/>
      <c r="Q836" s="647"/>
      <c r="R836" s="647"/>
      <c r="S836" s="647"/>
      <c r="T836" s="647"/>
      <c r="U836" s="16"/>
      <c r="V836" s="16"/>
      <c r="W836" s="16"/>
      <c r="X836" s="16"/>
      <c r="Y836" s="16"/>
      <c r="Z836" s="16"/>
      <c r="AA836" s="16"/>
      <c r="AB836" s="16"/>
      <c r="AC836" s="16"/>
    </row>
    <row r="837" ht="12.75" customHeight="1" spans="1:29" x14ac:dyDescent="0.25">
      <c r="A837" s="16"/>
      <c r="B837" s="16"/>
      <c r="C837" s="16"/>
      <c r="D837" s="16"/>
      <c r="E837" s="16"/>
      <c r="F837" s="16"/>
      <c r="G837" s="16"/>
      <c r="H837" s="647"/>
      <c r="I837" s="647"/>
      <c r="J837" s="647"/>
      <c r="K837" s="647"/>
      <c r="L837" s="647"/>
      <c r="M837" s="647"/>
      <c r="N837" s="647"/>
      <c r="O837" s="647"/>
      <c r="P837" s="647"/>
      <c r="Q837" s="647"/>
      <c r="R837" s="647"/>
      <c r="S837" s="647"/>
      <c r="T837" s="647"/>
      <c r="U837" s="16"/>
      <c r="V837" s="16"/>
      <c r="W837" s="16"/>
      <c r="X837" s="16"/>
      <c r="Y837" s="16"/>
      <c r="Z837" s="16"/>
      <c r="AA837" s="16"/>
      <c r="AB837" s="16"/>
      <c r="AC837" s="16"/>
    </row>
    <row r="838" ht="12.75" customHeight="1" spans="1:29" x14ac:dyDescent="0.25">
      <c r="A838" s="16"/>
      <c r="B838" s="16"/>
      <c r="C838" s="16"/>
      <c r="D838" s="16"/>
      <c r="E838" s="16"/>
      <c r="F838" s="16"/>
      <c r="G838" s="16"/>
      <c r="H838" s="647"/>
      <c r="I838" s="647"/>
      <c r="J838" s="647"/>
      <c r="K838" s="647"/>
      <c r="L838" s="647"/>
      <c r="M838" s="647"/>
      <c r="N838" s="647"/>
      <c r="O838" s="647"/>
      <c r="P838" s="647"/>
      <c r="Q838" s="647"/>
      <c r="R838" s="647"/>
      <c r="S838" s="647"/>
      <c r="T838" s="647"/>
      <c r="U838" s="16"/>
      <c r="V838" s="16"/>
      <c r="W838" s="16"/>
      <c r="X838" s="16"/>
      <c r="Y838" s="16"/>
      <c r="Z838" s="16"/>
      <c r="AA838" s="16"/>
      <c r="AB838" s="16"/>
      <c r="AC838" s="16"/>
    </row>
    <row r="839" ht="12.75" customHeight="1" spans="1:29" x14ac:dyDescent="0.25">
      <c r="A839" s="16"/>
      <c r="B839" s="16"/>
      <c r="C839" s="16"/>
      <c r="D839" s="16"/>
      <c r="E839" s="16"/>
      <c r="F839" s="16"/>
      <c r="G839" s="16"/>
      <c r="H839" s="647"/>
      <c r="I839" s="647"/>
      <c r="J839" s="647"/>
      <c r="K839" s="647"/>
      <c r="L839" s="647"/>
      <c r="M839" s="647"/>
      <c r="N839" s="647"/>
      <c r="O839" s="647"/>
      <c r="P839" s="647"/>
      <c r="Q839" s="647"/>
      <c r="R839" s="647"/>
      <c r="S839" s="647"/>
      <c r="T839" s="647"/>
      <c r="U839" s="16"/>
      <c r="V839" s="16"/>
      <c r="W839" s="16"/>
      <c r="X839" s="16"/>
      <c r="Y839" s="16"/>
      <c r="Z839" s="16"/>
      <c r="AA839" s="16"/>
      <c r="AB839" s="16"/>
      <c r="AC839" s="16"/>
    </row>
    <row r="840" ht="12.75" customHeight="1" spans="1:29" x14ac:dyDescent="0.25">
      <c r="A840" s="16"/>
      <c r="B840" s="16"/>
      <c r="C840" s="16"/>
      <c r="D840" s="16"/>
      <c r="E840" s="16"/>
      <c r="F840" s="16"/>
      <c r="G840" s="16"/>
      <c r="H840" s="647"/>
      <c r="I840" s="647"/>
      <c r="J840" s="647"/>
      <c r="K840" s="647"/>
      <c r="L840" s="647"/>
      <c r="M840" s="647"/>
      <c r="N840" s="647"/>
      <c r="O840" s="647"/>
      <c r="P840" s="647"/>
      <c r="Q840" s="647"/>
      <c r="R840" s="647"/>
      <c r="S840" s="647"/>
      <c r="T840" s="647"/>
      <c r="U840" s="16"/>
      <c r="V840" s="16"/>
      <c r="W840" s="16"/>
      <c r="X840" s="16"/>
      <c r="Y840" s="16"/>
      <c r="Z840" s="16"/>
      <c r="AA840" s="16"/>
      <c r="AB840" s="16"/>
      <c r="AC840" s="16"/>
    </row>
    <row r="841" ht="12.75" customHeight="1" spans="1:29" x14ac:dyDescent="0.25">
      <c r="A841" s="16"/>
      <c r="B841" s="16"/>
      <c r="C841" s="16"/>
      <c r="D841" s="16"/>
      <c r="E841" s="16"/>
      <c r="F841" s="16"/>
      <c r="G841" s="16"/>
      <c r="H841" s="647"/>
      <c r="I841" s="647"/>
      <c r="J841" s="647"/>
      <c r="K841" s="647"/>
      <c r="L841" s="647"/>
      <c r="M841" s="647"/>
      <c r="N841" s="647"/>
      <c r="O841" s="647"/>
      <c r="P841" s="647"/>
      <c r="Q841" s="647"/>
      <c r="R841" s="647"/>
      <c r="S841" s="647"/>
      <c r="T841" s="647"/>
      <c r="U841" s="16"/>
      <c r="V841" s="16"/>
      <c r="W841" s="16"/>
      <c r="X841" s="16"/>
      <c r="Y841" s="16"/>
      <c r="Z841" s="16"/>
      <c r="AA841" s="16"/>
      <c r="AB841" s="16"/>
      <c r="AC841" s="16"/>
    </row>
    <row r="842" ht="12.75" customHeight="1" spans="1:29" x14ac:dyDescent="0.25">
      <c r="A842" s="16"/>
      <c r="B842" s="16"/>
      <c r="C842" s="16"/>
      <c r="D842" s="16"/>
      <c r="E842" s="16"/>
      <c r="F842" s="16"/>
      <c r="G842" s="16"/>
      <c r="H842" s="647"/>
      <c r="I842" s="647"/>
      <c r="J842" s="647"/>
      <c r="K842" s="647"/>
      <c r="L842" s="647"/>
      <c r="M842" s="647"/>
      <c r="N842" s="647"/>
      <c r="O842" s="647"/>
      <c r="P842" s="647"/>
      <c r="Q842" s="647"/>
      <c r="R842" s="647"/>
      <c r="S842" s="647"/>
      <c r="T842" s="647"/>
      <c r="U842" s="16"/>
      <c r="V842" s="16"/>
      <c r="W842" s="16"/>
      <c r="X842" s="16"/>
      <c r="Y842" s="16"/>
      <c r="Z842" s="16"/>
      <c r="AA842" s="16"/>
      <c r="AB842" s="16"/>
      <c r="AC842" s="16"/>
    </row>
    <row r="843" ht="12.75" customHeight="1" spans="1:29" x14ac:dyDescent="0.25">
      <c r="A843" s="16"/>
      <c r="B843" s="16"/>
      <c r="C843" s="16"/>
      <c r="D843" s="16"/>
      <c r="E843" s="16"/>
      <c r="F843" s="16"/>
      <c r="G843" s="16"/>
      <c r="H843" s="647"/>
      <c r="I843" s="647"/>
      <c r="J843" s="647"/>
      <c r="K843" s="647"/>
      <c r="L843" s="647"/>
      <c r="M843" s="647"/>
      <c r="N843" s="647"/>
      <c r="O843" s="647"/>
      <c r="P843" s="647"/>
      <c r="Q843" s="647"/>
      <c r="R843" s="647"/>
      <c r="S843" s="647"/>
      <c r="T843" s="647"/>
      <c r="U843" s="16"/>
      <c r="V843" s="16"/>
      <c r="W843" s="16"/>
      <c r="X843" s="16"/>
      <c r="Y843" s="16"/>
      <c r="Z843" s="16"/>
      <c r="AA843" s="16"/>
      <c r="AB843" s="16"/>
      <c r="AC843" s="16"/>
    </row>
    <row r="844" ht="12.75" customHeight="1" spans="1:29" x14ac:dyDescent="0.25">
      <c r="A844" s="16"/>
      <c r="B844" s="16"/>
      <c r="C844" s="16"/>
      <c r="D844" s="16"/>
      <c r="E844" s="16"/>
      <c r="F844" s="16"/>
      <c r="G844" s="16"/>
      <c r="H844" s="647"/>
      <c r="I844" s="647"/>
      <c r="J844" s="647"/>
      <c r="K844" s="647"/>
      <c r="L844" s="647"/>
      <c r="M844" s="647"/>
      <c r="N844" s="647"/>
      <c r="O844" s="647"/>
      <c r="P844" s="647"/>
      <c r="Q844" s="647"/>
      <c r="R844" s="647"/>
      <c r="S844" s="647"/>
      <c r="T844" s="647"/>
      <c r="U844" s="16"/>
      <c r="V844" s="16"/>
      <c r="W844" s="16"/>
      <c r="X844" s="16"/>
      <c r="Y844" s="16"/>
      <c r="Z844" s="16"/>
      <c r="AA844" s="16"/>
      <c r="AB844" s="16"/>
      <c r="AC844" s="16"/>
    </row>
    <row r="845" ht="12.75" customHeight="1" spans="1:29" x14ac:dyDescent="0.25">
      <c r="A845" s="16"/>
      <c r="B845" s="16"/>
      <c r="C845" s="16"/>
      <c r="D845" s="16"/>
      <c r="E845" s="16"/>
      <c r="F845" s="16"/>
      <c r="G845" s="16"/>
      <c r="H845" s="647"/>
      <c r="I845" s="647"/>
      <c r="J845" s="647"/>
      <c r="K845" s="647"/>
      <c r="L845" s="647"/>
      <c r="M845" s="647"/>
      <c r="N845" s="647"/>
      <c r="O845" s="647"/>
      <c r="P845" s="647"/>
      <c r="Q845" s="647"/>
      <c r="R845" s="647"/>
      <c r="S845" s="647"/>
      <c r="T845" s="647"/>
      <c r="U845" s="16"/>
      <c r="V845" s="16"/>
      <c r="W845" s="16"/>
      <c r="X845" s="16"/>
      <c r="Y845" s="16"/>
      <c r="Z845" s="16"/>
      <c r="AA845" s="16"/>
      <c r="AB845" s="16"/>
      <c r="AC845" s="16"/>
    </row>
    <row r="846" ht="12.75" customHeight="1" spans="1:29" x14ac:dyDescent="0.25">
      <c r="A846" s="16"/>
      <c r="B846" s="16"/>
      <c r="C846" s="16"/>
      <c r="D846" s="16"/>
      <c r="E846" s="16"/>
      <c r="F846" s="16"/>
      <c r="G846" s="16"/>
      <c r="H846" s="647"/>
      <c r="I846" s="647"/>
      <c r="J846" s="647"/>
      <c r="K846" s="647"/>
      <c r="L846" s="647"/>
      <c r="M846" s="647"/>
      <c r="N846" s="647"/>
      <c r="O846" s="647"/>
      <c r="P846" s="647"/>
      <c r="Q846" s="647"/>
      <c r="R846" s="647"/>
      <c r="S846" s="647"/>
      <c r="T846" s="647"/>
      <c r="U846" s="16"/>
      <c r="V846" s="16"/>
      <c r="W846" s="16"/>
      <c r="X846" s="16"/>
      <c r="Y846" s="16"/>
      <c r="Z846" s="16"/>
      <c r="AA846" s="16"/>
      <c r="AB846" s="16"/>
      <c r="AC846" s="16"/>
    </row>
    <row r="847" ht="12.75" customHeight="1" spans="1:29" x14ac:dyDescent="0.25">
      <c r="A847" s="16"/>
      <c r="B847" s="16"/>
      <c r="C847" s="16"/>
      <c r="D847" s="16"/>
      <c r="E847" s="16"/>
      <c r="F847" s="16"/>
      <c r="G847" s="16"/>
      <c r="H847" s="647"/>
      <c r="I847" s="647"/>
      <c r="J847" s="647"/>
      <c r="K847" s="647"/>
      <c r="L847" s="647"/>
      <c r="M847" s="647"/>
      <c r="N847" s="647"/>
      <c r="O847" s="647"/>
      <c r="P847" s="647"/>
      <c r="Q847" s="647"/>
      <c r="R847" s="647"/>
      <c r="S847" s="647"/>
      <c r="T847" s="647"/>
      <c r="U847" s="16"/>
      <c r="V847" s="16"/>
      <c r="W847" s="16"/>
      <c r="X847" s="16"/>
      <c r="Y847" s="16"/>
      <c r="Z847" s="16"/>
      <c r="AA847" s="16"/>
      <c r="AB847" s="16"/>
      <c r="AC847" s="16"/>
    </row>
    <row r="848" ht="12.75" customHeight="1" spans="1:29" x14ac:dyDescent="0.25">
      <c r="A848" s="16"/>
      <c r="B848" s="16"/>
      <c r="C848" s="16"/>
      <c r="D848" s="16"/>
      <c r="E848" s="16"/>
      <c r="F848" s="16"/>
      <c r="G848" s="16"/>
      <c r="H848" s="647"/>
      <c r="I848" s="647"/>
      <c r="J848" s="647"/>
      <c r="K848" s="647"/>
      <c r="L848" s="647"/>
      <c r="M848" s="647"/>
      <c r="N848" s="647"/>
      <c r="O848" s="647"/>
      <c r="P848" s="647"/>
      <c r="Q848" s="647"/>
      <c r="R848" s="647"/>
      <c r="S848" s="647"/>
      <c r="T848" s="647"/>
      <c r="U848" s="16"/>
      <c r="V848" s="16"/>
      <c r="W848" s="16"/>
      <c r="X848" s="16"/>
      <c r="Y848" s="16"/>
      <c r="Z848" s="16"/>
      <c r="AA848" s="16"/>
      <c r="AB848" s="16"/>
      <c r="AC848" s="16"/>
    </row>
    <row r="849" ht="12.75" customHeight="1" spans="1:29" x14ac:dyDescent="0.25">
      <c r="A849" s="16"/>
      <c r="B849" s="16"/>
      <c r="C849" s="16"/>
      <c r="D849" s="16"/>
      <c r="E849" s="16"/>
      <c r="F849" s="16"/>
      <c r="G849" s="16"/>
      <c r="H849" s="647"/>
      <c r="I849" s="647"/>
      <c r="J849" s="647"/>
      <c r="K849" s="647"/>
      <c r="L849" s="647"/>
      <c r="M849" s="647"/>
      <c r="N849" s="647"/>
      <c r="O849" s="647"/>
      <c r="P849" s="647"/>
      <c r="Q849" s="647"/>
      <c r="R849" s="647"/>
      <c r="S849" s="647"/>
      <c r="T849" s="647"/>
      <c r="U849" s="16"/>
      <c r="V849" s="16"/>
      <c r="W849" s="16"/>
      <c r="X849" s="16"/>
      <c r="Y849" s="16"/>
      <c r="Z849" s="16"/>
      <c r="AA849" s="16"/>
      <c r="AB849" s="16"/>
      <c r="AC849" s="16"/>
    </row>
    <row r="850" ht="12.75" customHeight="1" spans="1:29" x14ac:dyDescent="0.25">
      <c r="A850" s="16"/>
      <c r="B850" s="16"/>
      <c r="C850" s="16"/>
      <c r="D850" s="16"/>
      <c r="E850" s="16"/>
      <c r="F850" s="16"/>
      <c r="G850" s="16"/>
      <c r="H850" s="647"/>
      <c r="I850" s="647"/>
      <c r="J850" s="647"/>
      <c r="K850" s="647"/>
      <c r="L850" s="647"/>
      <c r="M850" s="647"/>
      <c r="N850" s="647"/>
      <c r="O850" s="647"/>
      <c r="P850" s="647"/>
      <c r="Q850" s="647"/>
      <c r="R850" s="647"/>
      <c r="S850" s="647"/>
      <c r="T850" s="647"/>
      <c r="U850" s="16"/>
      <c r="V850" s="16"/>
      <c r="W850" s="16"/>
      <c r="X850" s="16"/>
      <c r="Y850" s="16"/>
      <c r="Z850" s="16"/>
      <c r="AA850" s="16"/>
      <c r="AB850" s="16"/>
      <c r="AC850" s="16"/>
    </row>
    <row r="851" ht="12.75" customHeight="1" spans="1:29" x14ac:dyDescent="0.25">
      <c r="A851" s="16"/>
      <c r="B851" s="16"/>
      <c r="C851" s="16"/>
      <c r="D851" s="16"/>
      <c r="E851" s="16"/>
      <c r="F851" s="16"/>
      <c r="G851" s="16"/>
      <c r="H851" s="647"/>
      <c r="I851" s="647"/>
      <c r="J851" s="647"/>
      <c r="K851" s="647"/>
      <c r="L851" s="647"/>
      <c r="M851" s="647"/>
      <c r="N851" s="647"/>
      <c r="O851" s="647"/>
      <c r="P851" s="647"/>
      <c r="Q851" s="647"/>
      <c r="R851" s="647"/>
      <c r="S851" s="647"/>
      <c r="T851" s="647"/>
      <c r="U851" s="16"/>
      <c r="V851" s="16"/>
      <c r="W851" s="16"/>
      <c r="X851" s="16"/>
      <c r="Y851" s="16"/>
      <c r="Z851" s="16"/>
      <c r="AA851" s="16"/>
      <c r="AB851" s="16"/>
      <c r="AC851" s="16"/>
    </row>
    <row r="852" ht="12.75" customHeight="1" spans="1:29" x14ac:dyDescent="0.25">
      <c r="A852" s="16"/>
      <c r="B852" s="16"/>
      <c r="C852" s="16"/>
      <c r="D852" s="16"/>
      <c r="E852" s="16"/>
      <c r="F852" s="16"/>
      <c r="G852" s="16"/>
      <c r="H852" s="647"/>
      <c r="I852" s="647"/>
      <c r="J852" s="647"/>
      <c r="K852" s="647"/>
      <c r="L852" s="647"/>
      <c r="M852" s="647"/>
      <c r="N852" s="647"/>
      <c r="O852" s="647"/>
      <c r="P852" s="647"/>
      <c r="Q852" s="647"/>
      <c r="R852" s="647"/>
      <c r="S852" s="647"/>
      <c r="T852" s="647"/>
      <c r="U852" s="16"/>
      <c r="V852" s="16"/>
      <c r="W852" s="16"/>
      <c r="X852" s="16"/>
      <c r="Y852" s="16"/>
      <c r="Z852" s="16"/>
      <c r="AA852" s="16"/>
      <c r="AB852" s="16"/>
      <c r="AC852" s="16"/>
    </row>
    <row r="853" ht="12.75" customHeight="1" spans="1:29" x14ac:dyDescent="0.25">
      <c r="A853" s="16"/>
      <c r="B853" s="16"/>
      <c r="C853" s="16"/>
      <c r="D853" s="16"/>
      <c r="E853" s="16"/>
      <c r="F853" s="16"/>
      <c r="G853" s="16"/>
      <c r="H853" s="647"/>
      <c r="I853" s="647"/>
      <c r="J853" s="647"/>
      <c r="K853" s="647"/>
      <c r="L853" s="647"/>
      <c r="M853" s="647"/>
      <c r="N853" s="647"/>
      <c r="O853" s="647"/>
      <c r="P853" s="647"/>
      <c r="Q853" s="647"/>
      <c r="R853" s="647"/>
      <c r="S853" s="647"/>
      <c r="T853" s="647"/>
      <c r="U853" s="16"/>
      <c r="V853" s="16"/>
      <c r="W853" s="16"/>
      <c r="X853" s="16"/>
      <c r="Y853" s="16"/>
      <c r="Z853" s="16"/>
      <c r="AA853" s="16"/>
      <c r="AB853" s="16"/>
      <c r="AC853" s="16"/>
    </row>
    <row r="854" ht="12.75" customHeight="1" spans="1:29" x14ac:dyDescent="0.25">
      <c r="A854" s="16"/>
      <c r="B854" s="16"/>
      <c r="C854" s="16"/>
      <c r="D854" s="16"/>
      <c r="E854" s="16"/>
      <c r="F854" s="16"/>
      <c r="G854" s="16"/>
      <c r="H854" s="647"/>
      <c r="I854" s="647"/>
      <c r="J854" s="647"/>
      <c r="K854" s="647"/>
      <c r="L854" s="647"/>
      <c r="M854" s="647"/>
      <c r="N854" s="647"/>
      <c r="O854" s="647"/>
      <c r="P854" s="647"/>
      <c r="Q854" s="647"/>
      <c r="R854" s="647"/>
      <c r="S854" s="647"/>
      <c r="T854" s="647"/>
      <c r="U854" s="16"/>
      <c r="V854" s="16"/>
      <c r="W854" s="16"/>
      <c r="X854" s="16"/>
      <c r="Y854" s="16"/>
      <c r="Z854" s="16"/>
      <c r="AA854" s="16"/>
      <c r="AB854" s="16"/>
      <c r="AC854" s="16"/>
    </row>
    <row r="855" ht="12.75" customHeight="1" spans="1:29" x14ac:dyDescent="0.25">
      <c r="A855" s="16"/>
      <c r="B855" s="16"/>
      <c r="C855" s="16"/>
      <c r="D855" s="16"/>
      <c r="E855" s="16"/>
      <c r="F855" s="16"/>
      <c r="G855" s="16"/>
      <c r="H855" s="647"/>
      <c r="I855" s="647"/>
      <c r="J855" s="647"/>
      <c r="K855" s="647"/>
      <c r="L855" s="647"/>
      <c r="M855" s="647"/>
      <c r="N855" s="647"/>
      <c r="O855" s="647"/>
      <c r="P855" s="647"/>
      <c r="Q855" s="647"/>
      <c r="R855" s="647"/>
      <c r="S855" s="647"/>
      <c r="T855" s="647"/>
      <c r="U855" s="16"/>
      <c r="V855" s="16"/>
      <c r="W855" s="16"/>
      <c r="X855" s="16"/>
      <c r="Y855" s="16"/>
      <c r="Z855" s="16"/>
      <c r="AA855" s="16"/>
      <c r="AB855" s="16"/>
      <c r="AC855" s="16"/>
    </row>
    <row r="856" ht="12.75" customHeight="1" spans="1:29" x14ac:dyDescent="0.25">
      <c r="A856" s="16"/>
      <c r="B856" s="16"/>
      <c r="C856" s="16"/>
      <c r="D856" s="16"/>
      <c r="E856" s="16"/>
      <c r="F856" s="16"/>
      <c r="G856" s="16"/>
      <c r="H856" s="647"/>
      <c r="I856" s="647"/>
      <c r="J856" s="647"/>
      <c r="K856" s="647"/>
      <c r="L856" s="647"/>
      <c r="M856" s="647"/>
      <c r="N856" s="647"/>
      <c r="O856" s="647"/>
      <c r="P856" s="647"/>
      <c r="Q856" s="647"/>
      <c r="R856" s="647"/>
      <c r="S856" s="647"/>
      <c r="T856" s="647"/>
      <c r="U856" s="16"/>
      <c r="V856" s="16"/>
      <c r="W856" s="16"/>
      <c r="X856" s="16"/>
      <c r="Y856" s="16"/>
      <c r="Z856" s="16"/>
      <c r="AA856" s="16"/>
      <c r="AB856" s="16"/>
      <c r="AC856" s="16"/>
    </row>
    <row r="857" ht="12.75" customHeight="1" spans="1:29" x14ac:dyDescent="0.25">
      <c r="A857" s="16"/>
      <c r="B857" s="16"/>
      <c r="C857" s="16"/>
      <c r="D857" s="16"/>
      <c r="E857" s="16"/>
      <c r="F857" s="16"/>
      <c r="G857" s="16"/>
      <c r="H857" s="647"/>
      <c r="I857" s="647"/>
      <c r="J857" s="647"/>
      <c r="K857" s="647"/>
      <c r="L857" s="647"/>
      <c r="M857" s="647"/>
      <c r="N857" s="647"/>
      <c r="O857" s="647"/>
      <c r="P857" s="647"/>
      <c r="Q857" s="647"/>
      <c r="R857" s="647"/>
      <c r="S857" s="647"/>
      <c r="T857" s="647"/>
      <c r="U857" s="16"/>
      <c r="V857" s="16"/>
      <c r="W857" s="16"/>
      <c r="X857" s="16"/>
      <c r="Y857" s="16"/>
      <c r="Z857" s="16"/>
      <c r="AA857" s="16"/>
      <c r="AB857" s="16"/>
      <c r="AC857" s="16"/>
    </row>
    <row r="858" ht="12.75" customHeight="1" spans="1:29" x14ac:dyDescent="0.25">
      <c r="A858" s="16"/>
      <c r="B858" s="16"/>
      <c r="C858" s="16"/>
      <c r="D858" s="16"/>
      <c r="E858" s="16"/>
      <c r="F858" s="16"/>
      <c r="G858" s="16"/>
      <c r="H858" s="647"/>
      <c r="I858" s="647"/>
      <c r="J858" s="647"/>
      <c r="K858" s="647"/>
      <c r="L858" s="647"/>
      <c r="M858" s="647"/>
      <c r="N858" s="647"/>
      <c r="O858" s="647"/>
      <c r="P858" s="647"/>
      <c r="Q858" s="647"/>
      <c r="R858" s="647"/>
      <c r="S858" s="647"/>
      <c r="T858" s="647"/>
      <c r="U858" s="16"/>
      <c r="V858" s="16"/>
      <c r="W858" s="16"/>
      <c r="X858" s="16"/>
      <c r="Y858" s="16"/>
      <c r="Z858" s="16"/>
      <c r="AA858" s="16"/>
      <c r="AB858" s="16"/>
      <c r="AC858" s="16"/>
    </row>
    <row r="859" ht="12.75" customHeight="1" spans="1:29" x14ac:dyDescent="0.25">
      <c r="A859" s="16"/>
      <c r="B859" s="16"/>
      <c r="C859" s="16"/>
      <c r="D859" s="16"/>
      <c r="E859" s="16"/>
      <c r="F859" s="16"/>
      <c r="G859" s="16"/>
      <c r="H859" s="647"/>
      <c r="I859" s="647"/>
      <c r="J859" s="647"/>
      <c r="K859" s="647"/>
      <c r="L859" s="647"/>
      <c r="M859" s="647"/>
      <c r="N859" s="647"/>
      <c r="O859" s="647"/>
      <c r="P859" s="647"/>
      <c r="Q859" s="647"/>
      <c r="R859" s="647"/>
      <c r="S859" s="647"/>
      <c r="T859" s="647"/>
      <c r="U859" s="16"/>
      <c r="V859" s="16"/>
      <c r="W859" s="16"/>
      <c r="X859" s="16"/>
      <c r="Y859" s="16"/>
      <c r="Z859" s="16"/>
      <c r="AA859" s="16"/>
      <c r="AB859" s="16"/>
      <c r="AC859" s="16"/>
    </row>
    <row r="860" ht="12.75" customHeight="1" spans="1:29" x14ac:dyDescent="0.25">
      <c r="A860" s="16"/>
      <c r="B860" s="16"/>
      <c r="C860" s="16"/>
      <c r="D860" s="16"/>
      <c r="E860" s="16"/>
      <c r="F860" s="16"/>
      <c r="G860" s="16"/>
      <c r="H860" s="647"/>
      <c r="I860" s="647"/>
      <c r="J860" s="647"/>
      <c r="K860" s="647"/>
      <c r="L860" s="647"/>
      <c r="M860" s="647"/>
      <c r="N860" s="647"/>
      <c r="O860" s="647"/>
      <c r="P860" s="647"/>
      <c r="Q860" s="647"/>
      <c r="R860" s="647"/>
      <c r="S860" s="647"/>
      <c r="T860" s="647"/>
      <c r="U860" s="16"/>
      <c r="V860" s="16"/>
      <c r="W860" s="16"/>
      <c r="X860" s="16"/>
      <c r="Y860" s="16"/>
      <c r="Z860" s="16"/>
      <c r="AA860" s="16"/>
      <c r="AB860" s="16"/>
      <c r="AC860" s="16"/>
    </row>
    <row r="861" ht="12.75" customHeight="1" spans="1:29" x14ac:dyDescent="0.25">
      <c r="A861" s="16"/>
      <c r="B861" s="16"/>
      <c r="C861" s="16"/>
      <c r="D861" s="16"/>
      <c r="E861" s="16"/>
      <c r="F861" s="16"/>
      <c r="G861" s="16"/>
      <c r="H861" s="647"/>
      <c r="I861" s="647"/>
      <c r="J861" s="647"/>
      <c r="K861" s="647"/>
      <c r="L861" s="647"/>
      <c r="M861" s="647"/>
      <c r="N861" s="647"/>
      <c r="O861" s="647"/>
      <c r="P861" s="647"/>
      <c r="Q861" s="647"/>
      <c r="R861" s="647"/>
      <c r="S861" s="647"/>
      <c r="T861" s="647"/>
      <c r="U861" s="16"/>
      <c r="V861" s="16"/>
      <c r="W861" s="16"/>
      <c r="X861" s="16"/>
      <c r="Y861" s="16"/>
      <c r="Z861" s="16"/>
      <c r="AA861" s="16"/>
      <c r="AB861" s="16"/>
      <c r="AC861" s="16"/>
    </row>
    <row r="862" ht="12.75" customHeight="1" spans="1:29" x14ac:dyDescent="0.25">
      <c r="A862" s="16"/>
      <c r="B862" s="16"/>
      <c r="C862" s="16"/>
      <c r="D862" s="16"/>
      <c r="E862" s="16"/>
      <c r="F862" s="16"/>
      <c r="G862" s="16"/>
      <c r="H862" s="647"/>
      <c r="I862" s="647"/>
      <c r="J862" s="647"/>
      <c r="K862" s="647"/>
      <c r="L862" s="647"/>
      <c r="M862" s="647"/>
      <c r="N862" s="647"/>
      <c r="O862" s="647"/>
      <c r="P862" s="647"/>
      <c r="Q862" s="647"/>
      <c r="R862" s="647"/>
      <c r="S862" s="647"/>
      <c r="T862" s="647"/>
      <c r="U862" s="16"/>
      <c r="V862" s="16"/>
      <c r="W862" s="16"/>
      <c r="X862" s="16"/>
      <c r="Y862" s="16"/>
      <c r="Z862" s="16"/>
      <c r="AA862" s="16"/>
      <c r="AB862" s="16"/>
      <c r="AC862" s="16"/>
    </row>
    <row r="863" ht="12.75" customHeight="1" spans="1:29" x14ac:dyDescent="0.25">
      <c r="A863" s="16"/>
      <c r="B863" s="16"/>
      <c r="C863" s="16"/>
      <c r="D863" s="16"/>
      <c r="E863" s="16"/>
      <c r="F863" s="16"/>
      <c r="G863" s="16"/>
      <c r="H863" s="647"/>
      <c r="I863" s="647"/>
      <c r="J863" s="647"/>
      <c r="K863" s="647"/>
      <c r="L863" s="647"/>
      <c r="M863" s="647"/>
      <c r="N863" s="647"/>
      <c r="O863" s="647"/>
      <c r="P863" s="647"/>
      <c r="Q863" s="647"/>
      <c r="R863" s="647"/>
      <c r="S863" s="647"/>
      <c r="T863" s="647"/>
      <c r="U863" s="16"/>
      <c r="V863" s="16"/>
      <c r="W863" s="16"/>
      <c r="X863" s="16"/>
      <c r="Y863" s="16"/>
      <c r="Z863" s="16"/>
      <c r="AA863" s="16"/>
      <c r="AB863" s="16"/>
      <c r="AC863" s="16"/>
    </row>
    <row r="864" ht="12.75" customHeight="1" spans="1:29" x14ac:dyDescent="0.25">
      <c r="A864" s="16"/>
      <c r="B864" s="16"/>
      <c r="C864" s="16"/>
      <c r="D864" s="16"/>
      <c r="E864" s="16"/>
      <c r="F864" s="16"/>
      <c r="G864" s="16"/>
      <c r="H864" s="647"/>
      <c r="I864" s="647"/>
      <c r="J864" s="647"/>
      <c r="K864" s="647"/>
      <c r="L864" s="647"/>
      <c r="M864" s="647"/>
      <c r="N864" s="647"/>
      <c r="O864" s="647"/>
      <c r="P864" s="647"/>
      <c r="Q864" s="647"/>
      <c r="R864" s="647"/>
      <c r="S864" s="647"/>
      <c r="T864" s="647"/>
      <c r="U864" s="16"/>
      <c r="V864" s="16"/>
      <c r="W864" s="16"/>
      <c r="X864" s="16"/>
      <c r="Y864" s="16"/>
      <c r="Z864" s="16"/>
      <c r="AA864" s="16"/>
      <c r="AB864" s="16"/>
      <c r="AC864" s="16"/>
    </row>
    <row r="865" ht="12.75" customHeight="1" spans="1:29" x14ac:dyDescent="0.25">
      <c r="A865" s="16"/>
      <c r="B865" s="16"/>
      <c r="C865" s="16"/>
      <c r="D865" s="16"/>
      <c r="E865" s="16"/>
      <c r="F865" s="16"/>
      <c r="G865" s="16"/>
      <c r="H865" s="647"/>
      <c r="I865" s="647"/>
      <c r="J865" s="647"/>
      <c r="K865" s="647"/>
      <c r="L865" s="647"/>
      <c r="M865" s="647"/>
      <c r="N865" s="647"/>
      <c r="O865" s="647"/>
      <c r="P865" s="647"/>
      <c r="Q865" s="647"/>
      <c r="R865" s="647"/>
      <c r="S865" s="647"/>
      <c r="T865" s="647"/>
      <c r="U865" s="16"/>
      <c r="V865" s="16"/>
      <c r="W865" s="16"/>
      <c r="X865" s="16"/>
      <c r="Y865" s="16"/>
      <c r="Z865" s="16"/>
      <c r="AA865" s="16"/>
      <c r="AB865" s="16"/>
      <c r="AC865" s="16"/>
    </row>
    <row r="866" ht="12.75" customHeight="1" spans="1:29" x14ac:dyDescent="0.25">
      <c r="A866" s="16"/>
      <c r="B866" s="16"/>
      <c r="C866" s="16"/>
      <c r="D866" s="16"/>
      <c r="E866" s="16"/>
      <c r="F866" s="16"/>
      <c r="G866" s="16"/>
      <c r="H866" s="647"/>
      <c r="I866" s="647"/>
      <c r="J866" s="647"/>
      <c r="K866" s="647"/>
      <c r="L866" s="647"/>
      <c r="M866" s="647"/>
      <c r="N866" s="647"/>
      <c r="O866" s="647"/>
      <c r="P866" s="647"/>
      <c r="Q866" s="647"/>
      <c r="R866" s="647"/>
      <c r="S866" s="647"/>
      <c r="T866" s="647"/>
      <c r="U866" s="16"/>
      <c r="V866" s="16"/>
      <c r="W866" s="16"/>
      <c r="X866" s="16"/>
      <c r="Y866" s="16"/>
      <c r="Z866" s="16"/>
      <c r="AA866" s="16"/>
      <c r="AB866" s="16"/>
      <c r="AC866" s="16"/>
    </row>
    <row r="867" ht="12.75" customHeight="1" spans="1:29" x14ac:dyDescent="0.25">
      <c r="A867" s="16"/>
      <c r="B867" s="16"/>
      <c r="C867" s="16"/>
      <c r="D867" s="16"/>
      <c r="E867" s="16"/>
      <c r="F867" s="16"/>
      <c r="G867" s="16"/>
      <c r="H867" s="647"/>
      <c r="I867" s="647"/>
      <c r="J867" s="647"/>
      <c r="K867" s="647"/>
      <c r="L867" s="647"/>
      <c r="M867" s="647"/>
      <c r="N867" s="647"/>
      <c r="O867" s="647"/>
      <c r="P867" s="647"/>
      <c r="Q867" s="647"/>
      <c r="R867" s="647"/>
      <c r="S867" s="647"/>
      <c r="T867" s="647"/>
      <c r="U867" s="16"/>
      <c r="V867" s="16"/>
      <c r="W867" s="16"/>
      <c r="X867" s="16"/>
      <c r="Y867" s="16"/>
      <c r="Z867" s="16"/>
      <c r="AA867" s="16"/>
      <c r="AB867" s="16"/>
      <c r="AC867" s="16"/>
    </row>
    <row r="868" ht="12.75" customHeight="1" spans="1:29" x14ac:dyDescent="0.25">
      <c r="A868" s="16"/>
      <c r="B868" s="16"/>
      <c r="C868" s="16"/>
      <c r="D868" s="16"/>
      <c r="E868" s="16"/>
      <c r="F868" s="16"/>
      <c r="G868" s="16"/>
      <c r="H868" s="647"/>
      <c r="I868" s="647"/>
      <c r="J868" s="647"/>
      <c r="K868" s="647"/>
      <c r="L868" s="647"/>
      <c r="M868" s="647"/>
      <c r="N868" s="647"/>
      <c r="O868" s="647"/>
      <c r="P868" s="647"/>
      <c r="Q868" s="647"/>
      <c r="R868" s="647"/>
      <c r="S868" s="647"/>
      <c r="T868" s="647"/>
      <c r="U868" s="16"/>
      <c r="V868" s="16"/>
      <c r="W868" s="16"/>
      <c r="X868" s="16"/>
      <c r="Y868" s="16"/>
      <c r="Z868" s="16"/>
      <c r="AA868" s="16"/>
      <c r="AB868" s="16"/>
      <c r="AC868" s="16"/>
    </row>
    <row r="869" ht="12.75" customHeight="1" spans="1:29" x14ac:dyDescent="0.25">
      <c r="A869" s="16"/>
      <c r="B869" s="16"/>
      <c r="C869" s="16"/>
      <c r="D869" s="16"/>
      <c r="E869" s="16"/>
      <c r="F869" s="16"/>
      <c r="G869" s="16"/>
      <c r="H869" s="647"/>
      <c r="I869" s="647"/>
      <c r="J869" s="647"/>
      <c r="K869" s="647"/>
      <c r="L869" s="647"/>
      <c r="M869" s="647"/>
      <c r="N869" s="647"/>
      <c r="O869" s="647"/>
      <c r="P869" s="647"/>
      <c r="Q869" s="647"/>
      <c r="R869" s="647"/>
      <c r="S869" s="647"/>
      <c r="T869" s="647"/>
      <c r="U869" s="16"/>
      <c r="V869" s="16"/>
      <c r="W869" s="16"/>
      <c r="X869" s="16"/>
      <c r="Y869" s="16"/>
      <c r="Z869" s="16"/>
      <c r="AA869" s="16"/>
      <c r="AB869" s="16"/>
      <c r="AC869" s="16"/>
    </row>
    <row r="870" ht="12.75" customHeight="1" spans="1:29" x14ac:dyDescent="0.25">
      <c r="A870" s="16"/>
      <c r="B870" s="16"/>
      <c r="C870" s="16"/>
      <c r="D870" s="16"/>
      <c r="E870" s="16"/>
      <c r="F870" s="16"/>
      <c r="G870" s="16"/>
      <c r="H870" s="647"/>
      <c r="I870" s="647"/>
      <c r="J870" s="647"/>
      <c r="K870" s="647"/>
      <c r="L870" s="647"/>
      <c r="M870" s="647"/>
      <c r="N870" s="647"/>
      <c r="O870" s="647"/>
      <c r="P870" s="647"/>
      <c r="Q870" s="647"/>
      <c r="R870" s="647"/>
      <c r="S870" s="647"/>
      <c r="T870" s="647"/>
      <c r="U870" s="16"/>
      <c r="V870" s="16"/>
      <c r="W870" s="16"/>
      <c r="X870" s="16"/>
      <c r="Y870" s="16"/>
      <c r="Z870" s="16"/>
      <c r="AA870" s="16"/>
      <c r="AB870" s="16"/>
      <c r="AC870" s="16"/>
    </row>
    <row r="871" ht="12.75" customHeight="1" spans="1:29" x14ac:dyDescent="0.25">
      <c r="A871" s="16"/>
      <c r="B871" s="16"/>
      <c r="C871" s="16"/>
      <c r="D871" s="16"/>
      <c r="E871" s="16"/>
      <c r="F871" s="16"/>
      <c r="G871" s="16"/>
      <c r="H871" s="647"/>
      <c r="I871" s="647"/>
      <c r="J871" s="647"/>
      <c r="K871" s="647"/>
      <c r="L871" s="647"/>
      <c r="M871" s="647"/>
      <c r="N871" s="647"/>
      <c r="O871" s="647"/>
      <c r="P871" s="647"/>
      <c r="Q871" s="647"/>
      <c r="R871" s="647"/>
      <c r="S871" s="647"/>
      <c r="T871" s="647"/>
      <c r="U871" s="16"/>
      <c r="V871" s="16"/>
      <c r="W871" s="16"/>
      <c r="X871" s="16"/>
      <c r="Y871" s="16"/>
      <c r="Z871" s="16"/>
      <c r="AA871" s="16"/>
      <c r="AB871" s="16"/>
      <c r="AC871" s="16"/>
    </row>
    <row r="872" ht="12.75" customHeight="1" spans="1:29" x14ac:dyDescent="0.25">
      <c r="A872" s="16"/>
      <c r="B872" s="16"/>
      <c r="C872" s="16"/>
      <c r="D872" s="16"/>
      <c r="E872" s="16"/>
      <c r="F872" s="16"/>
      <c r="G872" s="16"/>
      <c r="H872" s="647"/>
      <c r="I872" s="647"/>
      <c r="J872" s="647"/>
      <c r="K872" s="647"/>
      <c r="L872" s="647"/>
      <c r="M872" s="647"/>
      <c r="N872" s="647"/>
      <c r="O872" s="647"/>
      <c r="P872" s="647"/>
      <c r="Q872" s="647"/>
      <c r="R872" s="647"/>
      <c r="S872" s="647"/>
      <c r="T872" s="647"/>
      <c r="U872" s="16"/>
      <c r="V872" s="16"/>
      <c r="W872" s="16"/>
      <c r="X872" s="16"/>
      <c r="Y872" s="16"/>
      <c r="Z872" s="16"/>
      <c r="AA872" s="16"/>
      <c r="AB872" s="16"/>
      <c r="AC872" s="16"/>
    </row>
    <row r="873" ht="12.75" customHeight="1" spans="1:29" x14ac:dyDescent="0.25">
      <c r="A873" s="16"/>
      <c r="B873" s="16"/>
      <c r="C873" s="16"/>
      <c r="D873" s="16"/>
      <c r="E873" s="16"/>
      <c r="F873" s="16"/>
      <c r="G873" s="16"/>
      <c r="H873" s="647"/>
      <c r="I873" s="647"/>
      <c r="J873" s="647"/>
      <c r="K873" s="647"/>
      <c r="L873" s="647"/>
      <c r="M873" s="647"/>
      <c r="N873" s="647"/>
      <c r="O873" s="647"/>
      <c r="P873" s="647"/>
      <c r="Q873" s="647"/>
      <c r="R873" s="647"/>
      <c r="S873" s="647"/>
      <c r="T873" s="647"/>
      <c r="U873" s="16"/>
      <c r="V873" s="16"/>
      <c r="W873" s="16"/>
      <c r="X873" s="16"/>
      <c r="Y873" s="16"/>
      <c r="Z873" s="16"/>
      <c r="AA873" s="16"/>
      <c r="AB873" s="16"/>
      <c r="AC873" s="16"/>
    </row>
    <row r="874" ht="12.75" customHeight="1" spans="1:29" x14ac:dyDescent="0.25">
      <c r="A874" s="16"/>
      <c r="B874" s="16"/>
      <c r="C874" s="16"/>
      <c r="D874" s="16"/>
      <c r="E874" s="16"/>
      <c r="F874" s="16"/>
      <c r="G874" s="16"/>
      <c r="H874" s="647"/>
      <c r="I874" s="647"/>
      <c r="J874" s="647"/>
      <c r="K874" s="647"/>
      <c r="L874" s="647"/>
      <c r="M874" s="647"/>
      <c r="N874" s="647"/>
      <c r="O874" s="647"/>
      <c r="P874" s="647"/>
      <c r="Q874" s="647"/>
      <c r="R874" s="647"/>
      <c r="S874" s="647"/>
      <c r="T874" s="647"/>
      <c r="U874" s="16"/>
      <c r="V874" s="16"/>
      <c r="W874" s="16"/>
      <c r="X874" s="16"/>
      <c r="Y874" s="16"/>
      <c r="Z874" s="16"/>
      <c r="AA874" s="16"/>
      <c r="AB874" s="16"/>
      <c r="AC874" s="16"/>
    </row>
    <row r="875" ht="12.75" customHeight="1" spans="1:29" x14ac:dyDescent="0.25">
      <c r="A875" s="16"/>
      <c r="B875" s="16"/>
      <c r="C875" s="16"/>
      <c r="D875" s="16"/>
      <c r="E875" s="16"/>
      <c r="F875" s="16"/>
      <c r="G875" s="16"/>
      <c r="H875" s="647"/>
      <c r="I875" s="647"/>
      <c r="J875" s="647"/>
      <c r="K875" s="647"/>
      <c r="L875" s="647"/>
      <c r="M875" s="647"/>
      <c r="N875" s="647"/>
      <c r="O875" s="647"/>
      <c r="P875" s="647"/>
      <c r="Q875" s="647"/>
      <c r="R875" s="647"/>
      <c r="S875" s="647"/>
      <c r="T875" s="647"/>
      <c r="U875" s="16"/>
      <c r="V875" s="16"/>
      <c r="W875" s="16"/>
      <c r="X875" s="16"/>
      <c r="Y875" s="16"/>
      <c r="Z875" s="16"/>
      <c r="AA875" s="16"/>
      <c r="AB875" s="16"/>
      <c r="AC875" s="16"/>
    </row>
    <row r="876" ht="12.75" customHeight="1" spans="1:29" x14ac:dyDescent="0.25">
      <c r="A876" s="16"/>
      <c r="B876" s="16"/>
      <c r="C876" s="16"/>
      <c r="D876" s="16"/>
      <c r="E876" s="16"/>
      <c r="F876" s="16"/>
      <c r="G876" s="16"/>
      <c r="H876" s="647"/>
      <c r="I876" s="647"/>
      <c r="J876" s="647"/>
      <c r="K876" s="647"/>
      <c r="L876" s="647"/>
      <c r="M876" s="647"/>
      <c r="N876" s="647"/>
      <c r="O876" s="647"/>
      <c r="P876" s="647"/>
      <c r="Q876" s="647"/>
      <c r="R876" s="647"/>
      <c r="S876" s="647"/>
      <c r="T876" s="647"/>
      <c r="U876" s="16"/>
      <c r="V876" s="16"/>
      <c r="W876" s="16"/>
      <c r="X876" s="16"/>
      <c r="Y876" s="16"/>
      <c r="Z876" s="16"/>
      <c r="AA876" s="16"/>
      <c r="AB876" s="16"/>
      <c r="AC876" s="16"/>
    </row>
    <row r="877" ht="12.75" customHeight="1" spans="1:29" x14ac:dyDescent="0.25">
      <c r="A877" s="16"/>
      <c r="B877" s="16"/>
      <c r="C877" s="16"/>
      <c r="D877" s="16"/>
      <c r="E877" s="16"/>
      <c r="F877" s="16"/>
      <c r="G877" s="16"/>
      <c r="H877" s="647"/>
      <c r="I877" s="647"/>
      <c r="J877" s="647"/>
      <c r="K877" s="647"/>
      <c r="L877" s="647"/>
      <c r="M877" s="647"/>
      <c r="N877" s="647"/>
      <c r="O877" s="647"/>
      <c r="P877" s="647"/>
      <c r="Q877" s="647"/>
      <c r="R877" s="647"/>
      <c r="S877" s="647"/>
      <c r="T877" s="647"/>
      <c r="U877" s="16"/>
      <c r="V877" s="16"/>
      <c r="W877" s="16"/>
      <c r="X877" s="16"/>
      <c r="Y877" s="16"/>
      <c r="Z877" s="16"/>
      <c r="AA877" s="16"/>
      <c r="AB877" s="16"/>
      <c r="AC877" s="16"/>
    </row>
    <row r="878" ht="12.75" customHeight="1" spans="1:29" x14ac:dyDescent="0.25">
      <c r="A878" s="16"/>
      <c r="B878" s="16"/>
      <c r="C878" s="16"/>
      <c r="D878" s="16"/>
      <c r="E878" s="16"/>
      <c r="F878" s="16"/>
      <c r="G878" s="16"/>
      <c r="H878" s="647"/>
      <c r="I878" s="647"/>
      <c r="J878" s="647"/>
      <c r="K878" s="647"/>
      <c r="L878" s="647"/>
      <c r="M878" s="647"/>
      <c r="N878" s="647"/>
      <c r="O878" s="647"/>
      <c r="P878" s="647"/>
      <c r="Q878" s="647"/>
      <c r="R878" s="647"/>
      <c r="S878" s="647"/>
      <c r="T878" s="647"/>
      <c r="U878" s="16"/>
      <c r="V878" s="16"/>
      <c r="W878" s="16"/>
      <c r="X878" s="16"/>
      <c r="Y878" s="16"/>
      <c r="Z878" s="16"/>
      <c r="AA878" s="16"/>
      <c r="AB878" s="16"/>
      <c r="AC878" s="16"/>
    </row>
    <row r="879" ht="12.75" customHeight="1" spans="1:29" x14ac:dyDescent="0.25">
      <c r="A879" s="16"/>
      <c r="B879" s="16"/>
      <c r="C879" s="16"/>
      <c r="D879" s="16"/>
      <c r="E879" s="16"/>
      <c r="F879" s="16"/>
      <c r="G879" s="16"/>
      <c r="H879" s="647"/>
      <c r="I879" s="647"/>
      <c r="J879" s="647"/>
      <c r="K879" s="647"/>
      <c r="L879" s="647"/>
      <c r="M879" s="647"/>
      <c r="N879" s="647"/>
      <c r="O879" s="647"/>
      <c r="P879" s="647"/>
      <c r="Q879" s="647"/>
      <c r="R879" s="647"/>
      <c r="S879" s="647"/>
      <c r="T879" s="647"/>
      <c r="U879" s="16"/>
      <c r="V879" s="16"/>
      <c r="W879" s="16"/>
      <c r="X879" s="16"/>
      <c r="Y879" s="16"/>
      <c r="Z879" s="16"/>
      <c r="AA879" s="16"/>
      <c r="AB879" s="16"/>
      <c r="AC879" s="16"/>
    </row>
    <row r="880" ht="12.75" customHeight="1" spans="1:29" x14ac:dyDescent="0.25">
      <c r="A880" s="16"/>
      <c r="B880" s="16"/>
      <c r="C880" s="16"/>
      <c r="D880" s="16"/>
      <c r="E880" s="16"/>
      <c r="F880" s="16"/>
      <c r="G880" s="16"/>
      <c r="H880" s="647"/>
      <c r="I880" s="647"/>
      <c r="J880" s="647"/>
      <c r="K880" s="647"/>
      <c r="L880" s="647"/>
      <c r="M880" s="647"/>
      <c r="N880" s="647"/>
      <c r="O880" s="647"/>
      <c r="P880" s="647"/>
      <c r="Q880" s="647"/>
      <c r="R880" s="647"/>
      <c r="S880" s="647"/>
      <c r="T880" s="647"/>
      <c r="U880" s="16"/>
      <c r="V880" s="16"/>
      <c r="W880" s="16"/>
      <c r="X880" s="16"/>
      <c r="Y880" s="16"/>
      <c r="Z880" s="16"/>
      <c r="AA880" s="16"/>
      <c r="AB880" s="16"/>
      <c r="AC880" s="16"/>
    </row>
    <row r="881" ht="12.75" customHeight="1" spans="1:29" x14ac:dyDescent="0.25">
      <c r="A881" s="16"/>
      <c r="B881" s="16"/>
      <c r="C881" s="16"/>
      <c r="D881" s="16"/>
      <c r="E881" s="16"/>
      <c r="F881" s="16"/>
      <c r="G881" s="16"/>
      <c r="H881" s="647"/>
      <c r="I881" s="647"/>
      <c r="J881" s="647"/>
      <c r="K881" s="647"/>
      <c r="L881" s="647"/>
      <c r="M881" s="647"/>
      <c r="N881" s="647"/>
      <c r="O881" s="647"/>
      <c r="P881" s="647"/>
      <c r="Q881" s="647"/>
      <c r="R881" s="647"/>
      <c r="S881" s="647"/>
      <c r="T881" s="647"/>
      <c r="U881" s="16"/>
      <c r="V881" s="16"/>
      <c r="W881" s="16"/>
      <c r="X881" s="16"/>
      <c r="Y881" s="16"/>
      <c r="Z881" s="16"/>
      <c r="AA881" s="16"/>
      <c r="AB881" s="16"/>
      <c r="AC881" s="16"/>
    </row>
    <row r="882" ht="12.75" customHeight="1" spans="1:29" x14ac:dyDescent="0.25">
      <c r="A882" s="16"/>
      <c r="B882" s="16"/>
      <c r="C882" s="16"/>
      <c r="D882" s="16"/>
      <c r="E882" s="16"/>
      <c r="F882" s="16"/>
      <c r="G882" s="16"/>
      <c r="H882" s="647"/>
      <c r="I882" s="647"/>
      <c r="J882" s="647"/>
      <c r="K882" s="647"/>
      <c r="L882" s="647"/>
      <c r="M882" s="647"/>
      <c r="N882" s="647"/>
      <c r="O882" s="647"/>
      <c r="P882" s="647"/>
      <c r="Q882" s="647"/>
      <c r="R882" s="647"/>
      <c r="S882" s="647"/>
      <c r="T882" s="647"/>
      <c r="U882" s="16"/>
      <c r="V882" s="16"/>
      <c r="W882" s="16"/>
      <c r="X882" s="16"/>
      <c r="Y882" s="16"/>
      <c r="Z882" s="16"/>
      <c r="AA882" s="16"/>
      <c r="AB882" s="16"/>
      <c r="AC882" s="16"/>
    </row>
    <row r="883" ht="12.75" customHeight="1" spans="1:29" x14ac:dyDescent="0.25">
      <c r="A883" s="16"/>
      <c r="B883" s="16"/>
      <c r="C883" s="16"/>
      <c r="D883" s="16"/>
      <c r="E883" s="16"/>
      <c r="F883" s="16"/>
      <c r="G883" s="16"/>
      <c r="H883" s="647"/>
      <c r="I883" s="647"/>
      <c r="J883" s="647"/>
      <c r="K883" s="647"/>
      <c r="L883" s="647"/>
      <c r="M883" s="647"/>
      <c r="N883" s="647"/>
      <c r="O883" s="647"/>
      <c r="P883" s="647"/>
      <c r="Q883" s="647"/>
      <c r="R883" s="647"/>
      <c r="S883" s="647"/>
      <c r="T883" s="647"/>
      <c r="U883" s="16"/>
      <c r="V883" s="16"/>
      <c r="W883" s="16"/>
      <c r="X883" s="16"/>
      <c r="Y883" s="16"/>
      <c r="Z883" s="16"/>
      <c r="AA883" s="16"/>
      <c r="AB883" s="16"/>
      <c r="AC883" s="16"/>
    </row>
    <row r="884" ht="12.75" customHeight="1" spans="1:29" x14ac:dyDescent="0.25">
      <c r="A884" s="16"/>
      <c r="B884" s="16"/>
      <c r="C884" s="16"/>
      <c r="D884" s="16"/>
      <c r="E884" s="16"/>
      <c r="F884" s="16"/>
      <c r="G884" s="16"/>
      <c r="H884" s="647"/>
      <c r="I884" s="647"/>
      <c r="J884" s="647"/>
      <c r="K884" s="647"/>
      <c r="L884" s="647"/>
      <c r="M884" s="647"/>
      <c r="N884" s="647"/>
      <c r="O884" s="647"/>
      <c r="P884" s="647"/>
      <c r="Q884" s="647"/>
      <c r="R884" s="647"/>
      <c r="S884" s="647"/>
      <c r="T884" s="647"/>
      <c r="U884" s="16"/>
      <c r="V884" s="16"/>
      <c r="W884" s="16"/>
      <c r="X884" s="16"/>
      <c r="Y884" s="16"/>
      <c r="Z884" s="16"/>
      <c r="AA884" s="16"/>
      <c r="AB884" s="16"/>
      <c r="AC884" s="16"/>
    </row>
    <row r="885" ht="12.75" customHeight="1" spans="1:29" x14ac:dyDescent="0.25">
      <c r="A885" s="16"/>
      <c r="B885" s="16"/>
      <c r="C885" s="16"/>
      <c r="D885" s="16"/>
      <c r="E885" s="16"/>
      <c r="F885" s="16"/>
      <c r="G885" s="16"/>
      <c r="H885" s="647"/>
      <c r="I885" s="647"/>
      <c r="J885" s="647"/>
      <c r="K885" s="647"/>
      <c r="L885" s="647"/>
      <c r="M885" s="647"/>
      <c r="N885" s="647"/>
      <c r="O885" s="647"/>
      <c r="P885" s="647"/>
      <c r="Q885" s="647"/>
      <c r="R885" s="647"/>
      <c r="S885" s="647"/>
      <c r="T885" s="647"/>
      <c r="U885" s="16"/>
      <c r="V885" s="16"/>
      <c r="W885" s="16"/>
      <c r="X885" s="16"/>
      <c r="Y885" s="16"/>
      <c r="Z885" s="16"/>
      <c r="AA885" s="16"/>
      <c r="AB885" s="16"/>
      <c r="AC885" s="16"/>
    </row>
    <row r="886" ht="12.75" customHeight="1" spans="1:29" x14ac:dyDescent="0.25">
      <c r="A886" s="16"/>
      <c r="B886" s="16"/>
      <c r="C886" s="16"/>
      <c r="D886" s="16"/>
      <c r="E886" s="16"/>
      <c r="F886" s="16"/>
      <c r="G886" s="16"/>
      <c r="H886" s="647"/>
      <c r="I886" s="647"/>
      <c r="J886" s="647"/>
      <c r="K886" s="647"/>
      <c r="L886" s="647"/>
      <c r="M886" s="647"/>
      <c r="N886" s="647"/>
      <c r="O886" s="647"/>
      <c r="P886" s="647"/>
      <c r="Q886" s="647"/>
      <c r="R886" s="647"/>
      <c r="S886" s="647"/>
      <c r="T886" s="647"/>
      <c r="U886" s="16"/>
      <c r="V886" s="16"/>
      <c r="W886" s="16"/>
      <c r="X886" s="16"/>
      <c r="Y886" s="16"/>
      <c r="Z886" s="16"/>
      <c r="AA886" s="16"/>
      <c r="AB886" s="16"/>
      <c r="AC886" s="16"/>
    </row>
    <row r="887" ht="12.75" customHeight="1" spans="1:29" x14ac:dyDescent="0.25">
      <c r="A887" s="16"/>
      <c r="B887" s="16"/>
      <c r="C887" s="16"/>
      <c r="D887" s="16"/>
      <c r="E887" s="16"/>
      <c r="F887" s="16"/>
      <c r="G887" s="16"/>
      <c r="H887" s="647"/>
      <c r="I887" s="647"/>
      <c r="J887" s="647"/>
      <c r="K887" s="647"/>
      <c r="L887" s="647"/>
      <c r="M887" s="647"/>
      <c r="N887" s="647"/>
      <c r="O887" s="647"/>
      <c r="P887" s="647"/>
      <c r="Q887" s="647"/>
      <c r="R887" s="647"/>
      <c r="S887" s="647"/>
      <c r="T887" s="647"/>
      <c r="U887" s="16"/>
      <c r="V887" s="16"/>
      <c r="W887" s="16"/>
      <c r="X887" s="16"/>
      <c r="Y887" s="16"/>
      <c r="Z887" s="16"/>
      <c r="AA887" s="16"/>
      <c r="AB887" s="16"/>
      <c r="AC887" s="16"/>
    </row>
    <row r="888" ht="12.75" customHeight="1" spans="1:29" x14ac:dyDescent="0.25">
      <c r="A888" s="16"/>
      <c r="B888" s="16"/>
      <c r="C888" s="16"/>
      <c r="D888" s="16"/>
      <c r="E888" s="16"/>
      <c r="F888" s="16"/>
      <c r="G888" s="16"/>
      <c r="H888" s="647"/>
      <c r="I888" s="647"/>
      <c r="J888" s="647"/>
      <c r="K888" s="647"/>
      <c r="L888" s="647"/>
      <c r="M888" s="647"/>
      <c r="N888" s="647"/>
      <c r="O888" s="647"/>
      <c r="P888" s="647"/>
      <c r="Q888" s="647"/>
      <c r="R888" s="647"/>
      <c r="S888" s="647"/>
      <c r="T888" s="647"/>
      <c r="U888" s="16"/>
      <c r="V888" s="16"/>
      <c r="W888" s="16"/>
      <c r="X888" s="16"/>
      <c r="Y888" s="16"/>
      <c r="Z888" s="16"/>
      <c r="AA888" s="16"/>
      <c r="AB888" s="16"/>
      <c r="AC888" s="16"/>
    </row>
    <row r="889" ht="12.75" customHeight="1" spans="1:29" x14ac:dyDescent="0.25">
      <c r="A889" s="16"/>
      <c r="B889" s="16"/>
      <c r="C889" s="16"/>
      <c r="D889" s="16"/>
      <c r="E889" s="16"/>
      <c r="F889" s="16"/>
      <c r="G889" s="16"/>
      <c r="H889" s="647"/>
      <c r="I889" s="647"/>
      <c r="J889" s="647"/>
      <c r="K889" s="647"/>
      <c r="L889" s="647"/>
      <c r="M889" s="647"/>
      <c r="N889" s="647"/>
      <c r="O889" s="647"/>
      <c r="P889" s="647"/>
      <c r="Q889" s="647"/>
      <c r="R889" s="647"/>
      <c r="S889" s="647"/>
      <c r="T889" s="647"/>
      <c r="U889" s="16"/>
      <c r="V889" s="16"/>
      <c r="W889" s="16"/>
      <c r="X889" s="16"/>
      <c r="Y889" s="16"/>
      <c r="Z889" s="16"/>
      <c r="AA889" s="16"/>
      <c r="AB889" s="16"/>
      <c r="AC889" s="16"/>
    </row>
    <row r="890" ht="12.75" customHeight="1" spans="1:29" x14ac:dyDescent="0.25">
      <c r="A890" s="16"/>
      <c r="B890" s="16"/>
      <c r="C890" s="16"/>
      <c r="D890" s="16"/>
      <c r="E890" s="16"/>
      <c r="F890" s="16"/>
      <c r="G890" s="16"/>
      <c r="H890" s="647"/>
      <c r="I890" s="647"/>
      <c r="J890" s="647"/>
      <c r="K890" s="647"/>
      <c r="L890" s="647"/>
      <c r="M890" s="647"/>
      <c r="N890" s="647"/>
      <c r="O890" s="647"/>
      <c r="P890" s="647"/>
      <c r="Q890" s="647"/>
      <c r="R890" s="647"/>
      <c r="S890" s="647"/>
      <c r="T890" s="647"/>
      <c r="U890" s="16"/>
      <c r="V890" s="16"/>
      <c r="W890" s="16"/>
      <c r="X890" s="16"/>
      <c r="Y890" s="16"/>
      <c r="Z890" s="16"/>
      <c r="AA890" s="16"/>
      <c r="AB890" s="16"/>
      <c r="AC890" s="16"/>
    </row>
    <row r="891" ht="12.75" customHeight="1" spans="1:29" x14ac:dyDescent="0.25">
      <c r="A891" s="16"/>
      <c r="B891" s="16"/>
      <c r="C891" s="16"/>
      <c r="D891" s="16"/>
      <c r="E891" s="16"/>
      <c r="F891" s="16"/>
      <c r="G891" s="16"/>
      <c r="H891" s="647"/>
      <c r="I891" s="647"/>
      <c r="J891" s="647"/>
      <c r="K891" s="647"/>
      <c r="L891" s="647"/>
      <c r="M891" s="647"/>
      <c r="N891" s="647"/>
      <c r="O891" s="647"/>
      <c r="P891" s="647"/>
      <c r="Q891" s="647"/>
      <c r="R891" s="647"/>
      <c r="S891" s="647"/>
      <c r="T891" s="647"/>
      <c r="U891" s="16"/>
      <c r="V891" s="16"/>
      <c r="W891" s="16"/>
      <c r="X891" s="16"/>
      <c r="Y891" s="16"/>
      <c r="Z891" s="16"/>
      <c r="AA891" s="16"/>
      <c r="AB891" s="16"/>
      <c r="AC891" s="16"/>
    </row>
    <row r="892" ht="12.75" customHeight="1" spans="1:29" x14ac:dyDescent="0.25">
      <c r="A892" s="16"/>
      <c r="B892" s="16"/>
      <c r="C892" s="16"/>
      <c r="D892" s="16"/>
      <c r="E892" s="16"/>
      <c r="F892" s="16"/>
      <c r="G892" s="16"/>
      <c r="H892" s="647"/>
      <c r="I892" s="647"/>
      <c r="J892" s="647"/>
      <c r="K892" s="647"/>
      <c r="L892" s="647"/>
      <c r="M892" s="647"/>
      <c r="N892" s="647"/>
      <c r="O892" s="647"/>
      <c r="P892" s="647"/>
      <c r="Q892" s="647"/>
      <c r="R892" s="647"/>
      <c r="S892" s="647"/>
      <c r="T892" s="647"/>
      <c r="U892" s="16"/>
      <c r="V892" s="16"/>
      <c r="W892" s="16"/>
      <c r="X892" s="16"/>
      <c r="Y892" s="16"/>
      <c r="Z892" s="16"/>
      <c r="AA892" s="16"/>
      <c r="AB892" s="16"/>
      <c r="AC892" s="16"/>
    </row>
    <row r="893" ht="12.75" customHeight="1" spans="1:29" x14ac:dyDescent="0.25">
      <c r="A893" s="16"/>
      <c r="B893" s="16"/>
      <c r="C893" s="16"/>
      <c r="D893" s="16"/>
      <c r="E893" s="16"/>
      <c r="F893" s="16"/>
      <c r="G893" s="16"/>
      <c r="H893" s="647"/>
      <c r="I893" s="647"/>
      <c r="J893" s="647"/>
      <c r="K893" s="647"/>
      <c r="L893" s="647"/>
      <c r="M893" s="647"/>
      <c r="N893" s="647"/>
      <c r="O893" s="647"/>
      <c r="P893" s="647"/>
      <c r="Q893" s="647"/>
      <c r="R893" s="647"/>
      <c r="S893" s="647"/>
      <c r="T893" s="647"/>
      <c r="U893" s="16"/>
      <c r="V893" s="16"/>
      <c r="W893" s="16"/>
      <c r="X893" s="16"/>
      <c r="Y893" s="16"/>
      <c r="Z893" s="16"/>
      <c r="AA893" s="16"/>
      <c r="AB893" s="16"/>
      <c r="AC893" s="16"/>
    </row>
    <row r="894" ht="12.75" customHeight="1" spans="1:29" x14ac:dyDescent="0.25">
      <c r="A894" s="16"/>
      <c r="B894" s="16"/>
      <c r="C894" s="16"/>
      <c r="D894" s="16"/>
      <c r="E894" s="16"/>
      <c r="F894" s="16"/>
      <c r="G894" s="16"/>
      <c r="H894" s="647"/>
      <c r="I894" s="647"/>
      <c r="J894" s="647"/>
      <c r="K894" s="647"/>
      <c r="L894" s="647"/>
      <c r="M894" s="647"/>
      <c r="N894" s="647"/>
      <c r="O894" s="647"/>
      <c r="P894" s="647"/>
      <c r="Q894" s="647"/>
      <c r="R894" s="647"/>
      <c r="S894" s="647"/>
      <c r="T894" s="647"/>
      <c r="U894" s="16"/>
      <c r="V894" s="16"/>
      <c r="W894" s="16"/>
      <c r="X894" s="16"/>
      <c r="Y894" s="16"/>
      <c r="Z894" s="16"/>
      <c r="AA894" s="16"/>
      <c r="AB894" s="16"/>
      <c r="AC894" s="16"/>
    </row>
    <row r="895" ht="12.75" customHeight="1" spans="1:29" x14ac:dyDescent="0.25">
      <c r="A895" s="16"/>
      <c r="B895" s="16"/>
      <c r="C895" s="16"/>
      <c r="D895" s="16"/>
      <c r="E895" s="16"/>
      <c r="F895" s="16"/>
      <c r="G895" s="16"/>
      <c r="H895" s="647"/>
      <c r="I895" s="647"/>
      <c r="J895" s="647"/>
      <c r="K895" s="647"/>
      <c r="L895" s="647"/>
      <c r="M895" s="647"/>
      <c r="N895" s="647"/>
      <c r="O895" s="647"/>
      <c r="P895" s="647"/>
      <c r="Q895" s="647"/>
      <c r="R895" s="647"/>
      <c r="S895" s="647"/>
      <c r="T895" s="647"/>
      <c r="U895" s="16"/>
      <c r="V895" s="16"/>
      <c r="W895" s="16"/>
      <c r="X895" s="16"/>
      <c r="Y895" s="16"/>
      <c r="Z895" s="16"/>
      <c r="AA895" s="16"/>
      <c r="AB895" s="16"/>
      <c r="AC895" s="16"/>
    </row>
    <row r="896" ht="12.75" customHeight="1" spans="1:29" x14ac:dyDescent="0.25">
      <c r="A896" s="16"/>
      <c r="B896" s="16"/>
      <c r="C896" s="16"/>
      <c r="D896" s="16"/>
      <c r="E896" s="16"/>
      <c r="F896" s="16"/>
      <c r="G896" s="16"/>
      <c r="H896" s="647"/>
      <c r="I896" s="647"/>
      <c r="J896" s="647"/>
      <c r="K896" s="647"/>
      <c r="L896" s="647"/>
      <c r="M896" s="647"/>
      <c r="N896" s="647"/>
      <c r="O896" s="647"/>
      <c r="P896" s="647"/>
      <c r="Q896" s="647"/>
      <c r="R896" s="647"/>
      <c r="S896" s="647"/>
      <c r="T896" s="647"/>
      <c r="U896" s="16"/>
      <c r="V896" s="16"/>
      <c r="W896" s="16"/>
      <c r="X896" s="16"/>
      <c r="Y896" s="16"/>
      <c r="Z896" s="16"/>
      <c r="AA896" s="16"/>
      <c r="AB896" s="16"/>
      <c r="AC896" s="16"/>
    </row>
    <row r="897" ht="12.75" customHeight="1" spans="1:29" x14ac:dyDescent="0.25">
      <c r="A897" s="16"/>
      <c r="B897" s="16"/>
      <c r="C897" s="16"/>
      <c r="D897" s="16"/>
      <c r="E897" s="16"/>
      <c r="F897" s="16"/>
      <c r="G897" s="16"/>
      <c r="H897" s="647"/>
      <c r="I897" s="647"/>
      <c r="J897" s="647"/>
      <c r="K897" s="647"/>
      <c r="L897" s="647"/>
      <c r="M897" s="647"/>
      <c r="N897" s="647"/>
      <c r="O897" s="647"/>
      <c r="P897" s="647"/>
      <c r="Q897" s="647"/>
      <c r="R897" s="647"/>
      <c r="S897" s="647"/>
      <c r="T897" s="647"/>
      <c r="U897" s="16"/>
      <c r="V897" s="16"/>
      <c r="W897" s="16"/>
      <c r="X897" s="16"/>
      <c r="Y897" s="16"/>
      <c r="Z897" s="16"/>
      <c r="AA897" s="16"/>
      <c r="AB897" s="16"/>
      <c r="AC897" s="16"/>
    </row>
    <row r="898" ht="12.75" customHeight="1" spans="1:29" x14ac:dyDescent="0.25">
      <c r="A898" s="16"/>
      <c r="B898" s="16"/>
      <c r="C898" s="16"/>
      <c r="D898" s="16"/>
      <c r="E898" s="16"/>
      <c r="F898" s="16"/>
      <c r="G898" s="16"/>
      <c r="H898" s="647"/>
      <c r="I898" s="647"/>
      <c r="J898" s="647"/>
      <c r="K898" s="647"/>
      <c r="L898" s="647"/>
      <c r="M898" s="647"/>
      <c r="N898" s="647"/>
      <c r="O898" s="647"/>
      <c r="P898" s="647"/>
      <c r="Q898" s="647"/>
      <c r="R898" s="647"/>
      <c r="S898" s="647"/>
      <c r="T898" s="647"/>
      <c r="U898" s="16"/>
      <c r="V898" s="16"/>
      <c r="W898" s="16"/>
      <c r="X898" s="16"/>
      <c r="Y898" s="16"/>
      <c r="Z898" s="16"/>
      <c r="AA898" s="16"/>
      <c r="AB898" s="16"/>
      <c r="AC898" s="16"/>
    </row>
    <row r="899" ht="12.75" customHeight="1" spans="1:29" x14ac:dyDescent="0.25">
      <c r="A899" s="16"/>
      <c r="B899" s="16"/>
      <c r="C899" s="16"/>
      <c r="D899" s="16"/>
      <c r="E899" s="16"/>
      <c r="F899" s="16"/>
      <c r="G899" s="16"/>
      <c r="H899" s="647"/>
      <c r="I899" s="647"/>
      <c r="J899" s="647"/>
      <c r="K899" s="647"/>
      <c r="L899" s="647"/>
      <c r="M899" s="647"/>
      <c r="N899" s="647"/>
      <c r="O899" s="647"/>
      <c r="P899" s="647"/>
      <c r="Q899" s="647"/>
      <c r="R899" s="647"/>
      <c r="S899" s="647"/>
      <c r="T899" s="647"/>
      <c r="U899" s="16"/>
      <c r="V899" s="16"/>
      <c r="W899" s="16"/>
      <c r="X899" s="16"/>
      <c r="Y899" s="16"/>
      <c r="Z899" s="16"/>
      <c r="AA899" s="16"/>
      <c r="AB899" s="16"/>
      <c r="AC899" s="16"/>
    </row>
    <row r="900" ht="12.75" customHeight="1" spans="1:29" x14ac:dyDescent="0.25">
      <c r="A900" s="16"/>
      <c r="B900" s="16"/>
      <c r="C900" s="16"/>
      <c r="D900" s="16"/>
      <c r="E900" s="16"/>
      <c r="F900" s="16"/>
      <c r="G900" s="16"/>
      <c r="H900" s="647"/>
      <c r="I900" s="647"/>
      <c r="J900" s="647"/>
      <c r="K900" s="647"/>
      <c r="L900" s="647"/>
      <c r="M900" s="647"/>
      <c r="N900" s="647"/>
      <c r="O900" s="647"/>
      <c r="P900" s="647"/>
      <c r="Q900" s="647"/>
      <c r="R900" s="647"/>
      <c r="S900" s="647"/>
      <c r="T900" s="647"/>
      <c r="U900" s="16"/>
      <c r="V900" s="16"/>
      <c r="W900" s="16"/>
      <c r="X900" s="16"/>
      <c r="Y900" s="16"/>
      <c r="Z900" s="16"/>
      <c r="AA900" s="16"/>
      <c r="AB900" s="16"/>
      <c r="AC900" s="16"/>
    </row>
    <row r="901" ht="12.75" customHeight="1" spans="1:29" x14ac:dyDescent="0.25">
      <c r="A901" s="16"/>
      <c r="B901" s="16"/>
      <c r="C901" s="16"/>
      <c r="D901" s="16"/>
      <c r="E901" s="16"/>
      <c r="F901" s="16"/>
      <c r="G901" s="16"/>
      <c r="H901" s="647"/>
      <c r="I901" s="647"/>
      <c r="J901" s="647"/>
      <c r="K901" s="647"/>
      <c r="L901" s="647"/>
      <c r="M901" s="647"/>
      <c r="N901" s="647"/>
      <c r="O901" s="647"/>
      <c r="P901" s="647"/>
      <c r="Q901" s="647"/>
      <c r="R901" s="647"/>
      <c r="S901" s="647"/>
      <c r="T901" s="647"/>
      <c r="U901" s="16"/>
      <c r="V901" s="16"/>
      <c r="W901" s="16"/>
      <c r="X901" s="16"/>
      <c r="Y901" s="16"/>
      <c r="Z901" s="16"/>
      <c r="AA901" s="16"/>
      <c r="AB901" s="16"/>
      <c r="AC901" s="16"/>
    </row>
    <row r="902" ht="12.75" customHeight="1" spans="1:29" x14ac:dyDescent="0.25">
      <c r="A902" s="16"/>
      <c r="B902" s="16"/>
      <c r="C902" s="16"/>
      <c r="D902" s="16"/>
      <c r="E902" s="16"/>
      <c r="F902" s="16"/>
      <c r="G902" s="16"/>
      <c r="H902" s="647"/>
      <c r="I902" s="647"/>
      <c r="J902" s="647"/>
      <c r="K902" s="647"/>
      <c r="L902" s="647"/>
      <c r="M902" s="647"/>
      <c r="N902" s="647"/>
      <c r="O902" s="647"/>
      <c r="P902" s="647"/>
      <c r="Q902" s="647"/>
      <c r="R902" s="647"/>
      <c r="S902" s="647"/>
      <c r="T902" s="647"/>
      <c r="U902" s="16"/>
      <c r="V902" s="16"/>
      <c r="W902" s="16"/>
      <c r="X902" s="16"/>
      <c r="Y902" s="16"/>
      <c r="Z902" s="16"/>
      <c r="AA902" s="16"/>
      <c r="AB902" s="16"/>
      <c r="AC902" s="16"/>
    </row>
    <row r="903" ht="12.75" customHeight="1" spans="1:29" x14ac:dyDescent="0.25">
      <c r="A903" s="16"/>
      <c r="B903" s="16"/>
      <c r="C903" s="16"/>
      <c r="D903" s="16"/>
      <c r="E903" s="16"/>
      <c r="F903" s="16"/>
      <c r="G903" s="16"/>
      <c r="H903" s="647"/>
      <c r="I903" s="647"/>
      <c r="J903" s="647"/>
      <c r="K903" s="647"/>
      <c r="L903" s="647"/>
      <c r="M903" s="647"/>
      <c r="N903" s="647"/>
      <c r="O903" s="647"/>
      <c r="P903" s="647"/>
      <c r="Q903" s="647"/>
      <c r="R903" s="647"/>
      <c r="S903" s="647"/>
      <c r="T903" s="647"/>
      <c r="U903" s="16"/>
      <c r="V903" s="16"/>
      <c r="W903" s="16"/>
      <c r="X903" s="16"/>
      <c r="Y903" s="16"/>
      <c r="Z903" s="16"/>
      <c r="AA903" s="16"/>
      <c r="AB903" s="16"/>
      <c r="AC903" s="16"/>
    </row>
    <row r="904" ht="12.75" customHeight="1" spans="1:29" x14ac:dyDescent="0.25">
      <c r="A904" s="16"/>
      <c r="B904" s="16"/>
      <c r="C904" s="16"/>
      <c r="D904" s="16"/>
      <c r="E904" s="16"/>
      <c r="F904" s="16"/>
      <c r="G904" s="16"/>
      <c r="H904" s="647"/>
      <c r="I904" s="647"/>
      <c r="J904" s="647"/>
      <c r="K904" s="647"/>
      <c r="L904" s="647"/>
      <c r="M904" s="647"/>
      <c r="N904" s="647"/>
      <c r="O904" s="647"/>
      <c r="P904" s="647"/>
      <c r="Q904" s="647"/>
      <c r="R904" s="647"/>
      <c r="S904" s="647"/>
      <c r="T904" s="647"/>
      <c r="U904" s="16"/>
      <c r="V904" s="16"/>
      <c r="W904" s="16"/>
      <c r="X904" s="16"/>
      <c r="Y904" s="16"/>
      <c r="Z904" s="16"/>
      <c r="AA904" s="16"/>
      <c r="AB904" s="16"/>
      <c r="AC904" s="16"/>
    </row>
    <row r="905" ht="12.75" customHeight="1" spans="1:29" x14ac:dyDescent="0.25">
      <c r="A905" s="16"/>
      <c r="B905" s="16"/>
      <c r="C905" s="16"/>
      <c r="D905" s="16"/>
      <c r="E905" s="16"/>
      <c r="F905" s="16"/>
      <c r="G905" s="16"/>
      <c r="H905" s="647"/>
      <c r="I905" s="647"/>
      <c r="J905" s="647"/>
      <c r="K905" s="647"/>
      <c r="L905" s="647"/>
      <c r="M905" s="647"/>
      <c r="N905" s="647"/>
      <c r="O905" s="647"/>
      <c r="P905" s="647"/>
      <c r="Q905" s="647"/>
      <c r="R905" s="647"/>
      <c r="S905" s="647"/>
      <c r="T905" s="647"/>
      <c r="U905" s="16"/>
      <c r="V905" s="16"/>
      <c r="W905" s="16"/>
      <c r="X905" s="16"/>
      <c r="Y905" s="16"/>
      <c r="Z905" s="16"/>
      <c r="AA905" s="16"/>
      <c r="AB905" s="16"/>
      <c r="AC905" s="16"/>
    </row>
    <row r="906" ht="12.75" customHeight="1" spans="1:29" x14ac:dyDescent="0.25">
      <c r="A906" s="16"/>
      <c r="B906" s="16"/>
      <c r="C906" s="16"/>
      <c r="D906" s="16"/>
      <c r="E906" s="16"/>
      <c r="F906" s="16"/>
      <c r="G906" s="16"/>
      <c r="H906" s="647"/>
      <c r="I906" s="647"/>
      <c r="J906" s="647"/>
      <c r="K906" s="647"/>
      <c r="L906" s="647"/>
      <c r="M906" s="647"/>
      <c r="N906" s="647"/>
      <c r="O906" s="647"/>
      <c r="P906" s="647"/>
      <c r="Q906" s="647"/>
      <c r="R906" s="647"/>
      <c r="S906" s="647"/>
      <c r="T906" s="647"/>
      <c r="U906" s="16"/>
      <c r="V906" s="16"/>
      <c r="W906" s="16"/>
      <c r="X906" s="16"/>
      <c r="Y906" s="16"/>
      <c r="Z906" s="16"/>
      <c r="AA906" s="16"/>
      <c r="AB906" s="16"/>
      <c r="AC906" s="16"/>
    </row>
    <row r="907" ht="12.75" customHeight="1" spans="1:29" x14ac:dyDescent="0.25">
      <c r="A907" s="16"/>
      <c r="B907" s="16"/>
      <c r="C907" s="16"/>
      <c r="D907" s="16"/>
      <c r="E907" s="16"/>
      <c r="F907" s="16"/>
      <c r="G907" s="16"/>
      <c r="H907" s="647"/>
      <c r="I907" s="647"/>
      <c r="J907" s="647"/>
      <c r="K907" s="647"/>
      <c r="L907" s="647"/>
      <c r="M907" s="647"/>
      <c r="N907" s="647"/>
      <c r="O907" s="647"/>
      <c r="P907" s="647"/>
      <c r="Q907" s="647"/>
      <c r="R907" s="647"/>
      <c r="S907" s="647"/>
      <c r="T907" s="647"/>
      <c r="U907" s="16"/>
      <c r="V907" s="16"/>
      <c r="W907" s="16"/>
      <c r="X907" s="16"/>
      <c r="Y907" s="16"/>
      <c r="Z907" s="16"/>
      <c r="AA907" s="16"/>
      <c r="AB907" s="16"/>
      <c r="AC907" s="16"/>
    </row>
    <row r="908" ht="12.75" customHeight="1" spans="1:29" x14ac:dyDescent="0.25">
      <c r="A908" s="16"/>
      <c r="B908" s="16"/>
      <c r="C908" s="16"/>
      <c r="D908" s="16"/>
      <c r="E908" s="16"/>
      <c r="F908" s="16"/>
      <c r="G908" s="16"/>
      <c r="H908" s="647"/>
      <c r="I908" s="647"/>
      <c r="J908" s="647"/>
      <c r="K908" s="647"/>
      <c r="L908" s="647"/>
      <c r="M908" s="647"/>
      <c r="N908" s="647"/>
      <c r="O908" s="647"/>
      <c r="P908" s="647"/>
      <c r="Q908" s="647"/>
      <c r="R908" s="647"/>
      <c r="S908" s="647"/>
      <c r="T908" s="647"/>
      <c r="U908" s="16"/>
      <c r="V908" s="16"/>
      <c r="W908" s="16"/>
      <c r="X908" s="16"/>
      <c r="Y908" s="16"/>
      <c r="Z908" s="16"/>
      <c r="AA908" s="16"/>
      <c r="AB908" s="16"/>
      <c r="AC908" s="16"/>
    </row>
    <row r="909" ht="12.75" customHeight="1" spans="1:29" x14ac:dyDescent="0.25">
      <c r="A909" s="16"/>
      <c r="B909" s="16"/>
      <c r="C909" s="16"/>
      <c r="D909" s="16"/>
      <c r="E909" s="16"/>
      <c r="F909" s="16"/>
      <c r="G909" s="16"/>
      <c r="H909" s="647"/>
      <c r="I909" s="647"/>
      <c r="J909" s="647"/>
      <c r="K909" s="647"/>
      <c r="L909" s="647"/>
      <c r="M909" s="647"/>
      <c r="N909" s="647"/>
      <c r="O909" s="647"/>
      <c r="P909" s="647"/>
      <c r="Q909" s="647"/>
      <c r="R909" s="647"/>
      <c r="S909" s="647"/>
      <c r="T909" s="647"/>
      <c r="U909" s="16"/>
      <c r="V909" s="16"/>
      <c r="W909" s="16"/>
      <c r="X909" s="16"/>
      <c r="Y909" s="16"/>
      <c r="Z909" s="16"/>
      <c r="AA909" s="16"/>
      <c r="AB909" s="16"/>
      <c r="AC909" s="16"/>
    </row>
    <row r="910" ht="12.75" customHeight="1" spans="1:29" x14ac:dyDescent="0.25">
      <c r="A910" s="16"/>
      <c r="B910" s="16"/>
      <c r="C910" s="16"/>
      <c r="D910" s="16"/>
      <c r="E910" s="16"/>
      <c r="F910" s="16"/>
      <c r="G910" s="16"/>
      <c r="H910" s="647"/>
      <c r="I910" s="647"/>
      <c r="J910" s="647"/>
      <c r="K910" s="647"/>
      <c r="L910" s="647"/>
      <c r="M910" s="647"/>
      <c r="N910" s="647"/>
      <c r="O910" s="647"/>
      <c r="P910" s="647"/>
      <c r="Q910" s="647"/>
      <c r="R910" s="647"/>
      <c r="S910" s="647"/>
      <c r="T910" s="647"/>
      <c r="U910" s="16"/>
      <c r="V910" s="16"/>
      <c r="W910" s="16"/>
      <c r="X910" s="16"/>
      <c r="Y910" s="16"/>
      <c r="Z910" s="16"/>
      <c r="AA910" s="16"/>
      <c r="AB910" s="16"/>
      <c r="AC910" s="16"/>
    </row>
    <row r="911" ht="12.75" customHeight="1" spans="1:29" x14ac:dyDescent="0.25">
      <c r="A911" s="16"/>
      <c r="B911" s="16"/>
      <c r="C911" s="16"/>
      <c r="D911" s="16"/>
      <c r="E911" s="16"/>
      <c r="F911" s="16"/>
      <c r="G911" s="16"/>
      <c r="H911" s="647"/>
      <c r="I911" s="647"/>
      <c r="J911" s="647"/>
      <c r="K911" s="647"/>
      <c r="L911" s="647"/>
      <c r="M911" s="647"/>
      <c r="N911" s="647"/>
      <c r="O911" s="647"/>
      <c r="P911" s="647"/>
      <c r="Q911" s="647"/>
      <c r="R911" s="647"/>
      <c r="S911" s="647"/>
      <c r="T911" s="647"/>
      <c r="U911" s="16"/>
      <c r="V911" s="16"/>
      <c r="W911" s="16"/>
      <c r="X911" s="16"/>
      <c r="Y911" s="16"/>
      <c r="Z911" s="16"/>
      <c r="AA911" s="16"/>
      <c r="AB911" s="16"/>
      <c r="AC911" s="16"/>
    </row>
    <row r="912" ht="12.75" customHeight="1" spans="1:29" x14ac:dyDescent="0.25">
      <c r="A912" s="16"/>
      <c r="B912" s="16"/>
      <c r="C912" s="16"/>
      <c r="D912" s="16"/>
      <c r="E912" s="16"/>
      <c r="F912" s="16"/>
      <c r="G912" s="16"/>
      <c r="H912" s="647"/>
      <c r="I912" s="647"/>
      <c r="J912" s="647"/>
      <c r="K912" s="647"/>
      <c r="L912" s="647"/>
      <c r="M912" s="647"/>
      <c r="N912" s="647"/>
      <c r="O912" s="647"/>
      <c r="P912" s="647"/>
      <c r="Q912" s="647"/>
      <c r="R912" s="647"/>
      <c r="S912" s="647"/>
      <c r="T912" s="647"/>
      <c r="U912" s="16"/>
      <c r="V912" s="16"/>
      <c r="W912" s="16"/>
      <c r="X912" s="16"/>
      <c r="Y912" s="16"/>
      <c r="Z912" s="16"/>
      <c r="AA912" s="16"/>
      <c r="AB912" s="16"/>
      <c r="AC912" s="16"/>
    </row>
    <row r="913" ht="12.75" customHeight="1" spans="1:29" x14ac:dyDescent="0.25">
      <c r="A913" s="16"/>
      <c r="B913" s="16"/>
      <c r="C913" s="16"/>
      <c r="D913" s="16"/>
      <c r="E913" s="16"/>
      <c r="F913" s="16"/>
      <c r="G913" s="16"/>
      <c r="H913" s="647"/>
      <c r="I913" s="647"/>
      <c r="J913" s="647"/>
      <c r="K913" s="647"/>
      <c r="L913" s="647"/>
      <c r="M913" s="647"/>
      <c r="N913" s="647"/>
      <c r="O913" s="647"/>
      <c r="P913" s="647"/>
      <c r="Q913" s="647"/>
      <c r="R913" s="647"/>
      <c r="S913" s="647"/>
      <c r="T913" s="647"/>
      <c r="U913" s="16"/>
      <c r="V913" s="16"/>
      <c r="W913" s="16"/>
      <c r="X913" s="16"/>
      <c r="Y913" s="16"/>
      <c r="Z913" s="16"/>
      <c r="AA913" s="16"/>
      <c r="AB913" s="16"/>
      <c r="AC913" s="16"/>
    </row>
    <row r="914" ht="12.75" customHeight="1" spans="1:29" x14ac:dyDescent="0.25">
      <c r="A914" s="16"/>
      <c r="B914" s="16"/>
      <c r="C914" s="16"/>
      <c r="D914" s="16"/>
      <c r="E914" s="16"/>
      <c r="F914" s="16"/>
      <c r="G914" s="16"/>
      <c r="H914" s="647"/>
      <c r="I914" s="647"/>
      <c r="J914" s="647"/>
      <c r="K914" s="647"/>
      <c r="L914" s="647"/>
      <c r="M914" s="647"/>
      <c r="N914" s="647"/>
      <c r="O914" s="647"/>
      <c r="P914" s="647"/>
      <c r="Q914" s="647"/>
      <c r="R914" s="647"/>
      <c r="S914" s="647"/>
      <c r="T914" s="647"/>
      <c r="U914" s="16"/>
      <c r="V914" s="16"/>
      <c r="W914" s="16"/>
      <c r="X914" s="16"/>
      <c r="Y914" s="16"/>
      <c r="Z914" s="16"/>
      <c r="AA914" s="16"/>
      <c r="AB914" s="16"/>
      <c r="AC914" s="16"/>
    </row>
    <row r="915" ht="12.75" customHeight="1" spans="1:29" x14ac:dyDescent="0.25">
      <c r="A915" s="16"/>
      <c r="B915" s="16"/>
      <c r="C915" s="16"/>
      <c r="D915" s="16"/>
      <c r="E915" s="16"/>
      <c r="F915" s="16"/>
      <c r="G915" s="16"/>
      <c r="H915" s="647"/>
      <c r="I915" s="647"/>
      <c r="J915" s="647"/>
      <c r="K915" s="647"/>
      <c r="L915" s="647"/>
      <c r="M915" s="647"/>
      <c r="N915" s="647"/>
      <c r="O915" s="647"/>
      <c r="P915" s="647"/>
      <c r="Q915" s="647"/>
      <c r="R915" s="647"/>
      <c r="S915" s="647"/>
      <c r="T915" s="647"/>
      <c r="U915" s="16"/>
      <c r="V915" s="16"/>
      <c r="W915" s="16"/>
      <c r="X915" s="16"/>
      <c r="Y915" s="16"/>
      <c r="Z915" s="16"/>
      <c r="AA915" s="16"/>
      <c r="AB915" s="16"/>
      <c r="AC915" s="16"/>
    </row>
    <row r="916" ht="12.75" customHeight="1" spans="1:29" x14ac:dyDescent="0.25">
      <c r="A916" s="16"/>
      <c r="B916" s="16"/>
      <c r="C916" s="16"/>
      <c r="D916" s="16"/>
      <c r="E916" s="16"/>
      <c r="F916" s="16"/>
      <c r="G916" s="16"/>
      <c r="H916" s="647"/>
      <c r="I916" s="647"/>
      <c r="J916" s="647"/>
      <c r="K916" s="647"/>
      <c r="L916" s="647"/>
      <c r="M916" s="647"/>
      <c r="N916" s="647"/>
      <c r="O916" s="647"/>
      <c r="P916" s="647"/>
      <c r="Q916" s="647"/>
      <c r="R916" s="647"/>
      <c r="S916" s="647"/>
      <c r="T916" s="647"/>
      <c r="U916" s="16"/>
      <c r="V916" s="16"/>
      <c r="W916" s="16"/>
      <c r="X916" s="16"/>
      <c r="Y916" s="16"/>
      <c r="Z916" s="16"/>
      <c r="AA916" s="16"/>
      <c r="AB916" s="16"/>
      <c r="AC916" s="16"/>
    </row>
    <row r="917" ht="12.75" customHeight="1" spans="1:29" x14ac:dyDescent="0.25">
      <c r="A917" s="16"/>
      <c r="B917" s="16"/>
      <c r="C917" s="16"/>
      <c r="D917" s="16"/>
      <c r="E917" s="16"/>
      <c r="F917" s="16"/>
      <c r="G917" s="16"/>
      <c r="H917" s="647"/>
      <c r="I917" s="647"/>
      <c r="J917" s="647"/>
      <c r="K917" s="647"/>
      <c r="L917" s="647"/>
      <c r="M917" s="647"/>
      <c r="N917" s="647"/>
      <c r="O917" s="647"/>
      <c r="P917" s="647"/>
      <c r="Q917" s="647"/>
      <c r="R917" s="647"/>
      <c r="S917" s="647"/>
      <c r="T917" s="647"/>
      <c r="U917" s="16"/>
      <c r="V917" s="16"/>
      <c r="W917" s="16"/>
      <c r="X917" s="16"/>
      <c r="Y917" s="16"/>
      <c r="Z917" s="16"/>
      <c r="AA917" s="16"/>
      <c r="AB917" s="16"/>
      <c r="AC917" s="16"/>
    </row>
    <row r="918" ht="12.75" customHeight="1" spans="1:29" x14ac:dyDescent="0.25">
      <c r="A918" s="16"/>
      <c r="B918" s="16"/>
      <c r="C918" s="16"/>
      <c r="D918" s="16"/>
      <c r="E918" s="16"/>
      <c r="F918" s="16"/>
      <c r="G918" s="16"/>
      <c r="H918" s="647"/>
      <c r="I918" s="647"/>
      <c r="J918" s="647"/>
      <c r="K918" s="647"/>
      <c r="L918" s="647"/>
      <c r="M918" s="647"/>
      <c r="N918" s="647"/>
      <c r="O918" s="647"/>
      <c r="P918" s="647"/>
      <c r="Q918" s="647"/>
      <c r="R918" s="647"/>
      <c r="S918" s="647"/>
      <c r="T918" s="647"/>
      <c r="U918" s="16"/>
      <c r="V918" s="16"/>
      <c r="W918" s="16"/>
      <c r="X918" s="16"/>
      <c r="Y918" s="16"/>
      <c r="Z918" s="16"/>
      <c r="AA918" s="16"/>
      <c r="AB918" s="16"/>
      <c r="AC918" s="16"/>
    </row>
    <row r="919" ht="12.75" customHeight="1" spans="1:29" x14ac:dyDescent="0.25">
      <c r="A919" s="16"/>
      <c r="B919" s="16"/>
      <c r="C919" s="16"/>
      <c r="D919" s="16"/>
      <c r="E919" s="16"/>
      <c r="F919" s="16"/>
      <c r="G919" s="16"/>
      <c r="H919" s="647"/>
      <c r="I919" s="647"/>
      <c r="J919" s="647"/>
      <c r="K919" s="647"/>
      <c r="L919" s="647"/>
      <c r="M919" s="647"/>
      <c r="N919" s="647"/>
      <c r="O919" s="647"/>
      <c r="P919" s="647"/>
      <c r="Q919" s="647"/>
      <c r="R919" s="647"/>
      <c r="S919" s="647"/>
      <c r="T919" s="647"/>
      <c r="U919" s="16"/>
      <c r="V919" s="16"/>
      <c r="W919" s="16"/>
      <c r="X919" s="16"/>
      <c r="Y919" s="16"/>
      <c r="Z919" s="16"/>
      <c r="AA919" s="16"/>
      <c r="AB919" s="16"/>
      <c r="AC919" s="16"/>
    </row>
    <row r="920" ht="12.75" customHeight="1" spans="1:29" x14ac:dyDescent="0.25">
      <c r="A920" s="16"/>
      <c r="B920" s="16"/>
      <c r="C920" s="16"/>
      <c r="D920" s="16"/>
      <c r="E920" s="16"/>
      <c r="F920" s="16"/>
      <c r="G920" s="16"/>
      <c r="H920" s="647"/>
      <c r="I920" s="647"/>
      <c r="J920" s="647"/>
      <c r="K920" s="647"/>
      <c r="L920" s="647"/>
      <c r="M920" s="647"/>
      <c r="N920" s="647"/>
      <c r="O920" s="647"/>
      <c r="P920" s="647"/>
      <c r="Q920" s="647"/>
      <c r="R920" s="647"/>
      <c r="S920" s="647"/>
      <c r="T920" s="647"/>
      <c r="U920" s="16"/>
      <c r="V920" s="16"/>
      <c r="W920" s="16"/>
      <c r="X920" s="16"/>
      <c r="Y920" s="16"/>
      <c r="Z920" s="16"/>
      <c r="AA920" s="16"/>
      <c r="AB920" s="16"/>
      <c r="AC920" s="16"/>
    </row>
    <row r="921" ht="12.75" customHeight="1" spans="1:29" x14ac:dyDescent="0.25">
      <c r="A921" s="16"/>
      <c r="B921" s="16"/>
      <c r="C921" s="16"/>
      <c r="D921" s="16"/>
      <c r="E921" s="16"/>
      <c r="F921" s="16"/>
      <c r="G921" s="16"/>
      <c r="H921" s="647"/>
      <c r="I921" s="647"/>
      <c r="J921" s="647"/>
      <c r="K921" s="647"/>
      <c r="L921" s="647"/>
      <c r="M921" s="647"/>
      <c r="N921" s="647"/>
      <c r="O921" s="647"/>
      <c r="P921" s="647"/>
      <c r="Q921" s="647"/>
      <c r="R921" s="647"/>
      <c r="S921" s="647"/>
      <c r="T921" s="647"/>
      <c r="U921" s="16"/>
      <c r="V921" s="16"/>
      <c r="W921" s="16"/>
      <c r="X921" s="16"/>
      <c r="Y921" s="16"/>
      <c r="Z921" s="16"/>
      <c r="AA921" s="16"/>
      <c r="AB921" s="16"/>
      <c r="AC921" s="16"/>
    </row>
    <row r="922" ht="12.75" customHeight="1" spans="1:29" x14ac:dyDescent="0.25">
      <c r="A922" s="16"/>
      <c r="B922" s="16"/>
      <c r="C922" s="16"/>
      <c r="D922" s="16"/>
      <c r="E922" s="16"/>
      <c r="F922" s="16"/>
      <c r="G922" s="16"/>
      <c r="H922" s="647"/>
      <c r="I922" s="647"/>
      <c r="J922" s="647"/>
      <c r="K922" s="647"/>
      <c r="L922" s="647"/>
      <c r="M922" s="647"/>
      <c r="N922" s="647"/>
      <c r="O922" s="647"/>
      <c r="P922" s="647"/>
      <c r="Q922" s="647"/>
      <c r="R922" s="647"/>
      <c r="S922" s="647"/>
      <c r="T922" s="647"/>
      <c r="U922" s="16"/>
      <c r="V922" s="16"/>
      <c r="W922" s="16"/>
      <c r="X922" s="16"/>
      <c r="Y922" s="16"/>
      <c r="Z922" s="16"/>
      <c r="AA922" s="16"/>
      <c r="AB922" s="16"/>
      <c r="AC922" s="16"/>
    </row>
    <row r="923" ht="12.75" customHeight="1" spans="1:29" x14ac:dyDescent="0.25">
      <c r="A923" s="16"/>
      <c r="B923" s="16"/>
      <c r="C923" s="16"/>
      <c r="D923" s="16"/>
      <c r="E923" s="16"/>
      <c r="F923" s="16"/>
      <c r="G923" s="16"/>
      <c r="H923" s="647"/>
      <c r="I923" s="647"/>
      <c r="J923" s="647"/>
      <c r="K923" s="647"/>
      <c r="L923" s="647"/>
      <c r="M923" s="647"/>
      <c r="N923" s="647"/>
      <c r="O923" s="647"/>
      <c r="P923" s="647"/>
      <c r="Q923" s="647"/>
      <c r="R923" s="647"/>
      <c r="S923" s="647"/>
      <c r="T923" s="647"/>
      <c r="U923" s="16"/>
      <c r="V923" s="16"/>
      <c r="W923" s="16"/>
      <c r="X923" s="16"/>
      <c r="Y923" s="16"/>
      <c r="Z923" s="16"/>
      <c r="AA923" s="16"/>
      <c r="AB923" s="16"/>
      <c r="AC923" s="16"/>
    </row>
    <row r="924" ht="12.75" customHeight="1" spans="1:29" x14ac:dyDescent="0.25">
      <c r="A924" s="16"/>
      <c r="B924" s="16"/>
      <c r="C924" s="16"/>
      <c r="D924" s="16"/>
      <c r="E924" s="16"/>
      <c r="F924" s="16"/>
      <c r="G924" s="16"/>
      <c r="H924" s="647"/>
      <c r="I924" s="647"/>
      <c r="J924" s="647"/>
      <c r="K924" s="647"/>
      <c r="L924" s="647"/>
      <c r="M924" s="647"/>
      <c r="N924" s="647"/>
      <c r="O924" s="647"/>
      <c r="P924" s="647"/>
      <c r="Q924" s="647"/>
      <c r="R924" s="647"/>
      <c r="S924" s="647"/>
      <c r="T924" s="647"/>
      <c r="U924" s="16"/>
      <c r="V924" s="16"/>
      <c r="W924" s="16"/>
      <c r="X924" s="16"/>
      <c r="Y924" s="16"/>
      <c r="Z924" s="16"/>
      <c r="AA924" s="16"/>
      <c r="AB924" s="16"/>
      <c r="AC924" s="16"/>
    </row>
    <row r="925" ht="12.75" customHeight="1" spans="1:29" x14ac:dyDescent="0.25">
      <c r="A925" s="16"/>
      <c r="B925" s="16"/>
      <c r="C925" s="16"/>
      <c r="D925" s="16"/>
      <c r="E925" s="16"/>
      <c r="F925" s="16"/>
      <c r="G925" s="16"/>
      <c r="H925" s="647"/>
      <c r="I925" s="647"/>
      <c r="J925" s="647"/>
      <c r="K925" s="647"/>
      <c r="L925" s="647"/>
      <c r="M925" s="647"/>
      <c r="N925" s="647"/>
      <c r="O925" s="647"/>
      <c r="P925" s="647"/>
      <c r="Q925" s="647"/>
      <c r="R925" s="647"/>
      <c r="S925" s="647"/>
      <c r="T925" s="647"/>
      <c r="U925" s="16"/>
      <c r="V925" s="16"/>
      <c r="W925" s="16"/>
      <c r="X925" s="16"/>
      <c r="Y925" s="16"/>
      <c r="Z925" s="16"/>
      <c r="AA925" s="16"/>
      <c r="AB925" s="16"/>
      <c r="AC925" s="16"/>
    </row>
    <row r="926" ht="12.75" customHeight="1" spans="1:29" x14ac:dyDescent="0.25">
      <c r="A926" s="16"/>
      <c r="B926" s="16"/>
      <c r="C926" s="16"/>
      <c r="D926" s="16"/>
      <c r="E926" s="16"/>
      <c r="F926" s="16"/>
      <c r="G926" s="16"/>
      <c r="H926" s="647"/>
      <c r="I926" s="647"/>
      <c r="J926" s="647"/>
      <c r="K926" s="647"/>
      <c r="L926" s="647"/>
      <c r="M926" s="647"/>
      <c r="N926" s="647"/>
      <c r="O926" s="647"/>
      <c r="P926" s="647"/>
      <c r="Q926" s="647"/>
      <c r="R926" s="647"/>
      <c r="S926" s="647"/>
      <c r="T926" s="647"/>
      <c r="U926" s="16"/>
      <c r="V926" s="16"/>
      <c r="W926" s="16"/>
      <c r="X926" s="16"/>
      <c r="Y926" s="16"/>
      <c r="Z926" s="16"/>
      <c r="AA926" s="16"/>
      <c r="AB926" s="16"/>
      <c r="AC926" s="16"/>
    </row>
    <row r="927" ht="12.75" customHeight="1" spans="1:29" x14ac:dyDescent="0.25">
      <c r="A927" s="16"/>
      <c r="B927" s="16"/>
      <c r="C927" s="16"/>
      <c r="D927" s="16"/>
      <c r="E927" s="16"/>
      <c r="F927" s="16"/>
      <c r="G927" s="16"/>
      <c r="H927" s="647"/>
      <c r="I927" s="647"/>
      <c r="J927" s="647"/>
      <c r="K927" s="647"/>
      <c r="L927" s="647"/>
      <c r="M927" s="647"/>
      <c r="N927" s="647"/>
      <c r="O927" s="647"/>
      <c r="P927" s="647"/>
      <c r="Q927" s="647"/>
      <c r="R927" s="647"/>
      <c r="S927" s="647"/>
      <c r="T927" s="647"/>
      <c r="U927" s="16"/>
      <c r="V927" s="16"/>
      <c r="W927" s="16"/>
      <c r="X927" s="16"/>
      <c r="Y927" s="16"/>
      <c r="Z927" s="16"/>
      <c r="AA927" s="16"/>
      <c r="AB927" s="16"/>
      <c r="AC927" s="16"/>
    </row>
    <row r="928" ht="12.75" customHeight="1" spans="1:29" x14ac:dyDescent="0.25">
      <c r="A928" s="16"/>
      <c r="B928" s="16"/>
      <c r="C928" s="16"/>
      <c r="D928" s="16"/>
      <c r="E928" s="16"/>
      <c r="F928" s="16"/>
      <c r="G928" s="16"/>
      <c r="H928" s="647"/>
      <c r="I928" s="647"/>
      <c r="J928" s="647"/>
      <c r="K928" s="647"/>
      <c r="L928" s="647"/>
      <c r="M928" s="647"/>
      <c r="N928" s="647"/>
      <c r="O928" s="647"/>
      <c r="P928" s="647"/>
      <c r="Q928" s="647"/>
      <c r="R928" s="647"/>
      <c r="S928" s="647"/>
      <c r="T928" s="647"/>
      <c r="U928" s="16"/>
      <c r="V928" s="16"/>
      <c r="W928" s="16"/>
      <c r="X928" s="16"/>
      <c r="Y928" s="16"/>
      <c r="Z928" s="16"/>
      <c r="AA928" s="16"/>
      <c r="AB928" s="16"/>
      <c r="AC928" s="16"/>
    </row>
    <row r="929" ht="12.75" customHeight="1" spans="1:29" x14ac:dyDescent="0.25">
      <c r="A929" s="16"/>
      <c r="B929" s="16"/>
      <c r="C929" s="16"/>
      <c r="D929" s="16"/>
      <c r="E929" s="16"/>
      <c r="F929" s="16"/>
      <c r="G929" s="16"/>
      <c r="H929" s="647"/>
      <c r="I929" s="647"/>
      <c r="J929" s="647"/>
      <c r="K929" s="647"/>
      <c r="L929" s="647"/>
      <c r="M929" s="647"/>
      <c r="N929" s="647"/>
      <c r="O929" s="647"/>
      <c r="P929" s="647"/>
      <c r="Q929" s="647"/>
      <c r="R929" s="647"/>
      <c r="S929" s="647"/>
      <c r="T929" s="647"/>
      <c r="U929" s="16"/>
      <c r="V929" s="16"/>
      <c r="W929" s="16"/>
      <c r="X929" s="16"/>
      <c r="Y929" s="16"/>
      <c r="Z929" s="16"/>
      <c r="AA929" s="16"/>
      <c r="AB929" s="16"/>
      <c r="AC929" s="16"/>
    </row>
    <row r="930" ht="12.75" customHeight="1" spans="1:29" x14ac:dyDescent="0.25">
      <c r="A930" s="16"/>
      <c r="B930" s="16"/>
      <c r="C930" s="16"/>
      <c r="D930" s="16"/>
      <c r="E930" s="16"/>
      <c r="F930" s="16"/>
      <c r="G930" s="16"/>
      <c r="H930" s="647"/>
      <c r="I930" s="647"/>
      <c r="J930" s="647"/>
      <c r="K930" s="647"/>
      <c r="L930" s="647"/>
      <c r="M930" s="647"/>
      <c r="N930" s="647"/>
      <c r="O930" s="647"/>
      <c r="P930" s="647"/>
      <c r="Q930" s="647"/>
      <c r="R930" s="647"/>
      <c r="S930" s="647"/>
      <c r="T930" s="647"/>
      <c r="U930" s="16"/>
      <c r="V930" s="16"/>
      <c r="W930" s="16"/>
      <c r="X930" s="16"/>
      <c r="Y930" s="16"/>
      <c r="Z930" s="16"/>
      <c r="AA930" s="16"/>
      <c r="AB930" s="16"/>
      <c r="AC930" s="16"/>
    </row>
    <row r="931" ht="12.75" customHeight="1" spans="1:29" x14ac:dyDescent="0.25">
      <c r="A931" s="16"/>
      <c r="B931" s="16"/>
      <c r="C931" s="16"/>
      <c r="D931" s="16"/>
      <c r="E931" s="16"/>
      <c r="F931" s="16"/>
      <c r="G931" s="16"/>
      <c r="H931" s="647"/>
      <c r="I931" s="647"/>
      <c r="J931" s="647"/>
      <c r="K931" s="647"/>
      <c r="L931" s="647"/>
      <c r="M931" s="647"/>
      <c r="N931" s="647"/>
      <c r="O931" s="647"/>
      <c r="P931" s="647"/>
      <c r="Q931" s="647"/>
      <c r="R931" s="647"/>
      <c r="S931" s="647"/>
      <c r="T931" s="647"/>
      <c r="U931" s="16"/>
      <c r="V931" s="16"/>
      <c r="W931" s="16"/>
      <c r="X931" s="16"/>
      <c r="Y931" s="16"/>
      <c r="Z931" s="16"/>
      <c r="AA931" s="16"/>
      <c r="AB931" s="16"/>
      <c r="AC931" s="16"/>
    </row>
    <row r="932" ht="12.75" customHeight="1" spans="1:29" x14ac:dyDescent="0.25">
      <c r="A932" s="16"/>
      <c r="B932" s="16"/>
      <c r="C932" s="16"/>
      <c r="D932" s="16"/>
      <c r="E932" s="16"/>
      <c r="F932" s="16"/>
      <c r="G932" s="16"/>
      <c r="H932" s="647"/>
      <c r="I932" s="647"/>
      <c r="J932" s="647"/>
      <c r="K932" s="647"/>
      <c r="L932" s="647"/>
      <c r="M932" s="647"/>
      <c r="N932" s="647"/>
      <c r="O932" s="647"/>
      <c r="P932" s="647"/>
      <c r="Q932" s="647"/>
      <c r="R932" s="647"/>
      <c r="S932" s="647"/>
      <c r="T932" s="647"/>
      <c r="U932" s="16"/>
      <c r="V932" s="16"/>
      <c r="W932" s="16"/>
      <c r="X932" s="16"/>
      <c r="Y932" s="16"/>
      <c r="Z932" s="16"/>
      <c r="AA932" s="16"/>
      <c r="AB932" s="16"/>
      <c r="AC932" s="16"/>
    </row>
    <row r="933" ht="12.75" customHeight="1" spans="1:29" x14ac:dyDescent="0.25">
      <c r="A933" s="16"/>
      <c r="B933" s="16"/>
      <c r="C933" s="16"/>
      <c r="D933" s="16"/>
      <c r="E933" s="16"/>
      <c r="F933" s="16"/>
      <c r="G933" s="16"/>
      <c r="H933" s="647"/>
      <c r="I933" s="647"/>
      <c r="J933" s="647"/>
      <c r="K933" s="647"/>
      <c r="L933" s="647"/>
      <c r="M933" s="647"/>
      <c r="N933" s="647"/>
      <c r="O933" s="647"/>
      <c r="P933" s="647"/>
      <c r="Q933" s="647"/>
      <c r="R933" s="647"/>
      <c r="S933" s="647"/>
      <c r="T933" s="647"/>
      <c r="U933" s="16"/>
      <c r="V933" s="16"/>
      <c r="W933" s="16"/>
      <c r="X933" s="16"/>
      <c r="Y933" s="16"/>
      <c r="Z933" s="16"/>
      <c r="AA933" s="16"/>
      <c r="AB933" s="16"/>
      <c r="AC933" s="16"/>
    </row>
    <row r="934" ht="12.75" customHeight="1" spans="1:29" x14ac:dyDescent="0.25">
      <c r="A934" s="16"/>
      <c r="B934" s="16"/>
      <c r="C934" s="16"/>
      <c r="D934" s="16"/>
      <c r="E934" s="16"/>
      <c r="F934" s="16"/>
      <c r="G934" s="16"/>
      <c r="H934" s="647"/>
      <c r="I934" s="647"/>
      <c r="J934" s="647"/>
      <c r="K934" s="647"/>
      <c r="L934" s="647"/>
      <c r="M934" s="647"/>
      <c r="N934" s="647"/>
      <c r="O934" s="647"/>
      <c r="P934" s="647"/>
      <c r="Q934" s="647"/>
      <c r="R934" s="647"/>
      <c r="S934" s="647"/>
      <c r="T934" s="647"/>
      <c r="U934" s="16"/>
      <c r="V934" s="16"/>
      <c r="W934" s="16"/>
      <c r="X934" s="16"/>
      <c r="Y934" s="16"/>
      <c r="Z934" s="16"/>
      <c r="AA934" s="16"/>
      <c r="AB934" s="16"/>
      <c r="AC934" s="16"/>
    </row>
    <row r="935" ht="12.75" customHeight="1" spans="1:29" x14ac:dyDescent="0.25">
      <c r="A935" s="16"/>
      <c r="B935" s="16"/>
      <c r="C935" s="16"/>
      <c r="D935" s="16"/>
      <c r="E935" s="16"/>
      <c r="F935" s="16"/>
      <c r="G935" s="16"/>
      <c r="H935" s="647"/>
      <c r="I935" s="647"/>
      <c r="J935" s="647"/>
      <c r="K935" s="647"/>
      <c r="L935" s="647"/>
      <c r="M935" s="647"/>
      <c r="N935" s="647"/>
      <c r="O935" s="647"/>
      <c r="P935" s="647"/>
      <c r="Q935" s="647"/>
      <c r="R935" s="647"/>
      <c r="S935" s="647"/>
      <c r="T935" s="647"/>
      <c r="U935" s="16"/>
      <c r="V935" s="16"/>
      <c r="W935" s="16"/>
      <c r="X935" s="16"/>
      <c r="Y935" s="16"/>
      <c r="Z935" s="16"/>
      <c r="AA935" s="16"/>
      <c r="AB935" s="16"/>
      <c r="AC935" s="16"/>
    </row>
    <row r="936" ht="12.75" customHeight="1" spans="1:29" x14ac:dyDescent="0.25">
      <c r="A936" s="16"/>
      <c r="B936" s="16"/>
      <c r="C936" s="16"/>
      <c r="D936" s="16"/>
      <c r="E936" s="16"/>
      <c r="F936" s="16"/>
      <c r="G936" s="16"/>
      <c r="H936" s="647"/>
      <c r="I936" s="647"/>
      <c r="J936" s="647"/>
      <c r="K936" s="647"/>
      <c r="L936" s="647"/>
      <c r="M936" s="647"/>
      <c r="N936" s="647"/>
      <c r="O936" s="647"/>
      <c r="P936" s="647"/>
      <c r="Q936" s="647"/>
      <c r="R936" s="647"/>
      <c r="S936" s="647"/>
      <c r="T936" s="647"/>
      <c r="U936" s="16"/>
      <c r="V936" s="16"/>
      <c r="W936" s="16"/>
      <c r="X936" s="16"/>
      <c r="Y936" s="16"/>
      <c r="Z936" s="16"/>
      <c r="AA936" s="16"/>
      <c r="AB936" s="16"/>
      <c r="AC936" s="16"/>
    </row>
    <row r="937" ht="12.75" customHeight="1" spans="1:29" x14ac:dyDescent="0.25">
      <c r="A937" s="16"/>
      <c r="B937" s="16"/>
      <c r="C937" s="16"/>
      <c r="D937" s="16"/>
      <c r="E937" s="16"/>
      <c r="F937" s="16"/>
      <c r="G937" s="16"/>
      <c r="H937" s="647"/>
      <c r="I937" s="647"/>
      <c r="J937" s="647"/>
      <c r="K937" s="647"/>
      <c r="L937" s="647"/>
      <c r="M937" s="647"/>
      <c r="N937" s="647"/>
      <c r="O937" s="647"/>
      <c r="P937" s="647"/>
      <c r="Q937" s="647"/>
      <c r="R937" s="647"/>
      <c r="S937" s="647"/>
      <c r="T937" s="647"/>
      <c r="U937" s="16"/>
      <c r="V937" s="16"/>
      <c r="W937" s="16"/>
      <c r="X937" s="16"/>
      <c r="Y937" s="16"/>
      <c r="Z937" s="16"/>
      <c r="AA937" s="16"/>
      <c r="AB937" s="16"/>
      <c r="AC937" s="16"/>
    </row>
    <row r="938" ht="12.75" customHeight="1" spans="1:29" x14ac:dyDescent="0.25">
      <c r="A938" s="16"/>
      <c r="B938" s="16"/>
      <c r="C938" s="16"/>
      <c r="D938" s="16"/>
      <c r="E938" s="16"/>
      <c r="F938" s="16"/>
      <c r="G938" s="16"/>
      <c r="H938" s="647"/>
      <c r="I938" s="647"/>
      <c r="J938" s="647"/>
      <c r="K938" s="647"/>
      <c r="L938" s="647"/>
      <c r="M938" s="647"/>
      <c r="N938" s="647"/>
      <c r="O938" s="647"/>
      <c r="P938" s="647"/>
      <c r="Q938" s="647"/>
      <c r="R938" s="647"/>
      <c r="S938" s="647"/>
      <c r="T938" s="647"/>
      <c r="U938" s="16"/>
      <c r="V938" s="16"/>
      <c r="W938" s="16"/>
      <c r="X938" s="16"/>
      <c r="Y938" s="16"/>
      <c r="Z938" s="16"/>
      <c r="AA938" s="16"/>
      <c r="AB938" s="16"/>
      <c r="AC938" s="16"/>
    </row>
    <row r="939" ht="12.75" customHeight="1" spans="1:29" x14ac:dyDescent="0.25">
      <c r="A939" s="16"/>
      <c r="B939" s="16"/>
      <c r="C939" s="16"/>
      <c r="D939" s="16"/>
      <c r="E939" s="16"/>
      <c r="F939" s="16"/>
      <c r="G939" s="16"/>
      <c r="H939" s="647"/>
      <c r="I939" s="647"/>
      <c r="J939" s="647"/>
      <c r="K939" s="647"/>
      <c r="L939" s="647"/>
      <c r="M939" s="647"/>
      <c r="N939" s="647"/>
      <c r="O939" s="647"/>
      <c r="P939" s="647"/>
      <c r="Q939" s="647"/>
      <c r="R939" s="647"/>
      <c r="S939" s="647"/>
      <c r="T939" s="647"/>
      <c r="U939" s="16"/>
      <c r="V939" s="16"/>
      <c r="W939" s="16"/>
      <c r="X939" s="16"/>
      <c r="Y939" s="16"/>
      <c r="Z939" s="16"/>
      <c r="AA939" s="16"/>
      <c r="AB939" s="16"/>
      <c r="AC939" s="16"/>
    </row>
    <row r="940" ht="12.75" customHeight="1" spans="1:29" x14ac:dyDescent="0.25">
      <c r="A940" s="16"/>
      <c r="B940" s="16"/>
      <c r="C940" s="16"/>
      <c r="D940" s="16"/>
      <c r="E940" s="16"/>
      <c r="F940" s="16"/>
      <c r="G940" s="16"/>
      <c r="H940" s="647"/>
      <c r="I940" s="647"/>
      <c r="J940" s="647"/>
      <c r="K940" s="647"/>
      <c r="L940" s="647"/>
      <c r="M940" s="647"/>
      <c r="N940" s="647"/>
      <c r="O940" s="647"/>
      <c r="P940" s="647"/>
      <c r="Q940" s="647"/>
      <c r="R940" s="647"/>
      <c r="S940" s="647"/>
      <c r="T940" s="647"/>
      <c r="U940" s="16"/>
      <c r="V940" s="16"/>
      <c r="W940" s="16"/>
      <c r="X940" s="16"/>
      <c r="Y940" s="16"/>
      <c r="Z940" s="16"/>
      <c r="AA940" s="16"/>
      <c r="AB940" s="16"/>
      <c r="AC940" s="16"/>
    </row>
    <row r="941" ht="12.75" customHeight="1" spans="1:29" x14ac:dyDescent="0.25">
      <c r="A941" s="16"/>
      <c r="B941" s="16"/>
      <c r="C941" s="16"/>
      <c r="D941" s="16"/>
      <c r="E941" s="16"/>
      <c r="F941" s="16"/>
      <c r="G941" s="16"/>
      <c r="H941" s="647"/>
      <c r="I941" s="647"/>
      <c r="J941" s="647"/>
      <c r="K941" s="647"/>
      <c r="L941" s="647"/>
      <c r="M941" s="647"/>
      <c r="N941" s="647"/>
      <c r="O941" s="647"/>
      <c r="P941" s="647"/>
      <c r="Q941" s="647"/>
      <c r="R941" s="647"/>
      <c r="S941" s="647"/>
      <c r="T941" s="647"/>
      <c r="U941" s="16"/>
      <c r="V941" s="16"/>
      <c r="W941" s="16"/>
      <c r="X941" s="16"/>
      <c r="Y941" s="16"/>
      <c r="Z941" s="16"/>
      <c r="AA941" s="16"/>
      <c r="AB941" s="16"/>
      <c r="AC941" s="16"/>
    </row>
    <row r="942" ht="12.75" customHeight="1" spans="1:29" x14ac:dyDescent="0.25">
      <c r="A942" s="16"/>
      <c r="B942" s="16"/>
      <c r="C942" s="16"/>
      <c r="D942" s="16"/>
      <c r="E942" s="16"/>
      <c r="F942" s="16"/>
      <c r="G942" s="16"/>
      <c r="H942" s="647"/>
      <c r="I942" s="647"/>
      <c r="J942" s="647"/>
      <c r="K942" s="647"/>
      <c r="L942" s="647"/>
      <c r="M942" s="647"/>
      <c r="N942" s="647"/>
      <c r="O942" s="647"/>
      <c r="P942" s="647"/>
      <c r="Q942" s="647"/>
      <c r="R942" s="647"/>
      <c r="S942" s="647"/>
      <c r="T942" s="647"/>
      <c r="U942" s="16"/>
      <c r="V942" s="16"/>
      <c r="W942" s="16"/>
      <c r="X942" s="16"/>
      <c r="Y942" s="16"/>
      <c r="Z942" s="16"/>
      <c r="AA942" s="16"/>
      <c r="AB942" s="16"/>
      <c r="AC942" s="16"/>
    </row>
    <row r="943" ht="12.75" customHeight="1" spans="1:29" x14ac:dyDescent="0.25">
      <c r="A943" s="16"/>
      <c r="B943" s="16"/>
      <c r="C943" s="16"/>
      <c r="D943" s="16"/>
      <c r="E943" s="16"/>
      <c r="F943" s="16"/>
      <c r="G943" s="16"/>
      <c r="H943" s="647"/>
      <c r="I943" s="647"/>
      <c r="J943" s="647"/>
      <c r="K943" s="647"/>
      <c r="L943" s="647"/>
      <c r="M943" s="647"/>
      <c r="N943" s="647"/>
      <c r="O943" s="647"/>
      <c r="P943" s="647"/>
      <c r="Q943" s="647"/>
      <c r="R943" s="647"/>
      <c r="S943" s="647"/>
      <c r="T943" s="647"/>
      <c r="U943" s="16"/>
      <c r="V943" s="16"/>
      <c r="W943" s="16"/>
      <c r="X943" s="16"/>
      <c r="Y943" s="16"/>
      <c r="Z943" s="16"/>
      <c r="AA943" s="16"/>
      <c r="AB943" s="16"/>
      <c r="AC943" s="16"/>
    </row>
    <row r="944" ht="12.75" customHeight="1" spans="1:29" x14ac:dyDescent="0.25">
      <c r="A944" s="16"/>
      <c r="B944" s="16"/>
      <c r="C944" s="16"/>
      <c r="D944" s="16"/>
      <c r="E944" s="16"/>
      <c r="F944" s="16"/>
      <c r="G944" s="16"/>
      <c r="H944" s="647"/>
      <c r="I944" s="647"/>
      <c r="J944" s="647"/>
      <c r="K944" s="647"/>
      <c r="L944" s="647"/>
      <c r="M944" s="647"/>
      <c r="N944" s="647"/>
      <c r="O944" s="647"/>
      <c r="P944" s="647"/>
      <c r="Q944" s="647"/>
      <c r="R944" s="647"/>
      <c r="S944" s="647"/>
      <c r="T944" s="647"/>
      <c r="U944" s="16"/>
      <c r="V944" s="16"/>
      <c r="W944" s="16"/>
      <c r="X944" s="16"/>
      <c r="Y944" s="16"/>
      <c r="Z944" s="16"/>
      <c r="AA944" s="16"/>
      <c r="AB944" s="16"/>
      <c r="AC944" s="16"/>
    </row>
    <row r="945" ht="12.75" customHeight="1" spans="1:29" x14ac:dyDescent="0.25">
      <c r="A945" s="16"/>
      <c r="B945" s="16"/>
      <c r="C945" s="16"/>
      <c r="D945" s="16"/>
      <c r="E945" s="16"/>
      <c r="F945" s="16"/>
      <c r="G945" s="16"/>
      <c r="H945" s="647"/>
      <c r="I945" s="647"/>
      <c r="J945" s="647"/>
      <c r="K945" s="647"/>
      <c r="L945" s="647"/>
      <c r="M945" s="647"/>
      <c r="N945" s="647"/>
      <c r="O945" s="647"/>
      <c r="P945" s="647"/>
      <c r="Q945" s="647"/>
      <c r="R945" s="647"/>
      <c r="S945" s="647"/>
      <c r="T945" s="647"/>
      <c r="U945" s="16"/>
      <c r="V945" s="16"/>
      <c r="W945" s="16"/>
      <c r="X945" s="16"/>
      <c r="Y945" s="16"/>
      <c r="Z945" s="16"/>
      <c r="AA945" s="16"/>
      <c r="AB945" s="16"/>
      <c r="AC945" s="16"/>
    </row>
    <row r="946" ht="12.75" customHeight="1" spans="1:29" x14ac:dyDescent="0.25">
      <c r="A946" s="16"/>
      <c r="B946" s="16"/>
      <c r="C946" s="16"/>
      <c r="D946" s="16"/>
      <c r="E946" s="16"/>
      <c r="F946" s="16"/>
      <c r="G946" s="16"/>
      <c r="H946" s="647"/>
      <c r="I946" s="647"/>
      <c r="J946" s="647"/>
      <c r="K946" s="647"/>
      <c r="L946" s="647"/>
      <c r="M946" s="647"/>
      <c r="N946" s="647"/>
      <c r="O946" s="647"/>
      <c r="P946" s="647"/>
      <c r="Q946" s="647"/>
      <c r="R946" s="647"/>
      <c r="S946" s="647"/>
      <c r="T946" s="647"/>
      <c r="U946" s="16"/>
      <c r="V946" s="16"/>
      <c r="W946" s="16"/>
      <c r="X946" s="16"/>
      <c r="Y946" s="16"/>
      <c r="Z946" s="16"/>
      <c r="AA946" s="16"/>
      <c r="AB946" s="16"/>
      <c r="AC946" s="16"/>
    </row>
    <row r="947" ht="12.75" customHeight="1" spans="1:29" x14ac:dyDescent="0.25">
      <c r="A947" s="16"/>
      <c r="B947" s="16"/>
      <c r="C947" s="16"/>
      <c r="D947" s="16"/>
      <c r="E947" s="16"/>
      <c r="F947" s="16"/>
      <c r="G947" s="16"/>
      <c r="H947" s="647"/>
      <c r="I947" s="647"/>
      <c r="J947" s="647"/>
      <c r="K947" s="647"/>
      <c r="L947" s="647"/>
      <c r="M947" s="647"/>
      <c r="N947" s="647"/>
      <c r="O947" s="647"/>
      <c r="P947" s="647"/>
      <c r="Q947" s="647"/>
      <c r="R947" s="647"/>
      <c r="S947" s="647"/>
      <c r="T947" s="647"/>
      <c r="U947" s="16"/>
      <c r="V947" s="16"/>
      <c r="W947" s="16"/>
      <c r="X947" s="16"/>
      <c r="Y947" s="16"/>
      <c r="Z947" s="16"/>
      <c r="AA947" s="16"/>
      <c r="AB947" s="16"/>
      <c r="AC947" s="16"/>
    </row>
    <row r="948" ht="12.75" customHeight="1" spans="1:29" x14ac:dyDescent="0.25">
      <c r="A948" s="16"/>
      <c r="B948" s="16"/>
      <c r="C948" s="16"/>
      <c r="D948" s="16"/>
      <c r="E948" s="16"/>
      <c r="F948" s="16"/>
      <c r="G948" s="16"/>
      <c r="H948" s="647"/>
      <c r="I948" s="647"/>
      <c r="J948" s="647"/>
      <c r="K948" s="647"/>
      <c r="L948" s="647"/>
      <c r="M948" s="647"/>
      <c r="N948" s="647"/>
      <c r="O948" s="647"/>
      <c r="P948" s="647"/>
      <c r="Q948" s="647"/>
      <c r="R948" s="647"/>
      <c r="S948" s="647"/>
      <c r="T948" s="647"/>
      <c r="U948" s="16"/>
      <c r="V948" s="16"/>
      <c r="W948" s="16"/>
      <c r="X948" s="16"/>
      <c r="Y948" s="16"/>
      <c r="Z948" s="16"/>
      <c r="AA948" s="16"/>
      <c r="AB948" s="16"/>
      <c r="AC948" s="16"/>
    </row>
    <row r="949" ht="12.75" customHeight="1" spans="1:29" x14ac:dyDescent="0.25">
      <c r="A949" s="16"/>
      <c r="B949" s="16"/>
      <c r="C949" s="16"/>
      <c r="D949" s="16"/>
      <c r="E949" s="16"/>
      <c r="F949" s="16"/>
      <c r="G949" s="16"/>
      <c r="H949" s="647"/>
      <c r="I949" s="647"/>
      <c r="J949" s="647"/>
      <c r="K949" s="647"/>
      <c r="L949" s="647"/>
      <c r="M949" s="647"/>
      <c r="N949" s="647"/>
      <c r="O949" s="647"/>
      <c r="P949" s="647"/>
      <c r="Q949" s="647"/>
      <c r="R949" s="647"/>
      <c r="S949" s="647"/>
      <c r="T949" s="647"/>
      <c r="U949" s="16"/>
      <c r="V949" s="16"/>
      <c r="W949" s="16"/>
      <c r="X949" s="16"/>
      <c r="Y949" s="16"/>
      <c r="Z949" s="16"/>
      <c r="AA949" s="16"/>
      <c r="AB949" s="16"/>
      <c r="AC949" s="16"/>
    </row>
    <row r="950" ht="12.75" customHeight="1" spans="1:29" x14ac:dyDescent="0.25">
      <c r="A950" s="16"/>
      <c r="B950" s="16"/>
      <c r="C950" s="16"/>
      <c r="D950" s="16"/>
      <c r="E950" s="16"/>
      <c r="F950" s="16"/>
      <c r="G950" s="16"/>
      <c r="H950" s="647"/>
      <c r="I950" s="647"/>
      <c r="J950" s="647"/>
      <c r="K950" s="647"/>
      <c r="L950" s="647"/>
      <c r="M950" s="647"/>
      <c r="N950" s="647"/>
      <c r="O950" s="647"/>
      <c r="P950" s="647"/>
      <c r="Q950" s="647"/>
      <c r="R950" s="647"/>
      <c r="S950" s="647"/>
      <c r="T950" s="647"/>
      <c r="U950" s="16"/>
      <c r="V950" s="16"/>
      <c r="W950" s="16"/>
      <c r="X950" s="16"/>
      <c r="Y950" s="16"/>
      <c r="Z950" s="16"/>
      <c r="AA950" s="16"/>
      <c r="AB950" s="16"/>
      <c r="AC950" s="16"/>
    </row>
    <row r="951" ht="12.75" customHeight="1" spans="1:29" x14ac:dyDescent="0.25">
      <c r="A951" s="16"/>
      <c r="B951" s="16"/>
      <c r="C951" s="16"/>
      <c r="D951" s="16"/>
      <c r="E951" s="16"/>
      <c r="F951" s="16"/>
      <c r="G951" s="16"/>
      <c r="H951" s="647"/>
      <c r="I951" s="647"/>
      <c r="J951" s="647"/>
      <c r="K951" s="647"/>
      <c r="L951" s="647"/>
      <c r="M951" s="647"/>
      <c r="N951" s="647"/>
      <c r="O951" s="647"/>
      <c r="P951" s="647"/>
      <c r="Q951" s="647"/>
      <c r="R951" s="647"/>
      <c r="S951" s="647"/>
      <c r="T951" s="647"/>
      <c r="U951" s="16"/>
      <c r="V951" s="16"/>
      <c r="W951" s="16"/>
      <c r="X951" s="16"/>
      <c r="Y951" s="16"/>
      <c r="Z951" s="16"/>
      <c r="AA951" s="16"/>
      <c r="AB951" s="16"/>
      <c r="AC951" s="16"/>
    </row>
    <row r="952" ht="12.75" customHeight="1" spans="1:29" x14ac:dyDescent="0.25">
      <c r="A952" s="16"/>
      <c r="B952" s="16"/>
      <c r="C952" s="16"/>
      <c r="D952" s="16"/>
      <c r="E952" s="16"/>
      <c r="F952" s="16"/>
      <c r="G952" s="16"/>
      <c r="H952" s="647"/>
      <c r="I952" s="647"/>
      <c r="J952" s="647"/>
      <c r="K952" s="647"/>
      <c r="L952" s="647"/>
      <c r="M952" s="647"/>
      <c r="N952" s="647"/>
      <c r="O952" s="647"/>
      <c r="P952" s="647"/>
      <c r="Q952" s="647"/>
      <c r="R952" s="647"/>
      <c r="S952" s="647"/>
      <c r="T952" s="647"/>
      <c r="U952" s="16"/>
      <c r="V952" s="16"/>
      <c r="W952" s="16"/>
      <c r="X952" s="16"/>
      <c r="Y952" s="16"/>
      <c r="Z952" s="16"/>
      <c r="AA952" s="16"/>
      <c r="AB952" s="16"/>
      <c r="AC952" s="16"/>
    </row>
    <row r="953" ht="12.75" customHeight="1" spans="1:29" x14ac:dyDescent="0.25">
      <c r="A953" s="16"/>
      <c r="B953" s="16"/>
      <c r="C953" s="16"/>
      <c r="D953" s="16"/>
      <c r="E953" s="16"/>
      <c r="F953" s="16"/>
      <c r="G953" s="16"/>
      <c r="H953" s="647"/>
      <c r="I953" s="647"/>
      <c r="J953" s="647"/>
      <c r="K953" s="647"/>
      <c r="L953" s="647"/>
      <c r="M953" s="647"/>
      <c r="N953" s="647"/>
      <c r="O953" s="647"/>
      <c r="P953" s="647"/>
      <c r="Q953" s="647"/>
      <c r="R953" s="647"/>
      <c r="S953" s="647"/>
      <c r="T953" s="647"/>
      <c r="U953" s="16"/>
      <c r="V953" s="16"/>
      <c r="W953" s="16"/>
      <c r="X953" s="16"/>
      <c r="Y953" s="16"/>
      <c r="Z953" s="16"/>
      <c r="AA953" s="16"/>
      <c r="AB953" s="16"/>
      <c r="AC953" s="16"/>
    </row>
    <row r="954" ht="12.75" customHeight="1" spans="1:29" x14ac:dyDescent="0.25">
      <c r="A954" s="16"/>
      <c r="B954" s="16"/>
      <c r="C954" s="16"/>
      <c r="D954" s="16"/>
      <c r="E954" s="16"/>
      <c r="F954" s="16"/>
      <c r="G954" s="16"/>
      <c r="H954" s="647"/>
      <c r="I954" s="647"/>
      <c r="J954" s="647"/>
      <c r="K954" s="647"/>
      <c r="L954" s="647"/>
      <c r="M954" s="647"/>
      <c r="N954" s="647"/>
      <c r="O954" s="647"/>
      <c r="P954" s="647"/>
      <c r="Q954" s="647"/>
      <c r="R954" s="647"/>
      <c r="S954" s="647"/>
      <c r="T954" s="647"/>
      <c r="U954" s="16"/>
      <c r="V954" s="16"/>
      <c r="W954" s="16"/>
      <c r="X954" s="16"/>
      <c r="Y954" s="16"/>
      <c r="Z954" s="16"/>
      <c r="AA954" s="16"/>
      <c r="AB954" s="16"/>
      <c r="AC954" s="16"/>
    </row>
    <row r="955" ht="12.75" customHeight="1" spans="1:29" x14ac:dyDescent="0.25">
      <c r="A955" s="16"/>
      <c r="B955" s="16"/>
      <c r="C955" s="16"/>
      <c r="D955" s="16"/>
      <c r="E955" s="16"/>
      <c r="F955" s="16"/>
      <c r="G955" s="16"/>
      <c r="H955" s="647"/>
      <c r="I955" s="647"/>
      <c r="J955" s="647"/>
      <c r="K955" s="647"/>
      <c r="L955" s="647"/>
      <c r="M955" s="647"/>
      <c r="N955" s="647"/>
      <c r="O955" s="647"/>
      <c r="P955" s="647"/>
      <c r="Q955" s="647"/>
      <c r="R955" s="647"/>
      <c r="S955" s="647"/>
      <c r="T955" s="647"/>
      <c r="U955" s="16"/>
      <c r="V955" s="16"/>
      <c r="W955" s="16"/>
      <c r="X955" s="16"/>
      <c r="Y955" s="16"/>
      <c r="Z955" s="16"/>
      <c r="AA955" s="16"/>
      <c r="AB955" s="16"/>
      <c r="AC955" s="16"/>
    </row>
    <row r="956" ht="12.75" customHeight="1" spans="1:29" x14ac:dyDescent="0.25">
      <c r="A956" s="16"/>
      <c r="B956" s="16"/>
      <c r="C956" s="16"/>
      <c r="D956" s="16"/>
      <c r="E956" s="16"/>
      <c r="F956" s="16"/>
      <c r="G956" s="16"/>
      <c r="H956" s="647"/>
      <c r="I956" s="647"/>
      <c r="J956" s="647"/>
      <c r="K956" s="647"/>
      <c r="L956" s="647"/>
      <c r="M956" s="647"/>
      <c r="N956" s="647"/>
      <c r="O956" s="647"/>
      <c r="P956" s="647"/>
      <c r="Q956" s="647"/>
      <c r="R956" s="647"/>
      <c r="S956" s="647"/>
      <c r="T956" s="647"/>
      <c r="U956" s="16"/>
      <c r="V956" s="16"/>
      <c r="W956" s="16"/>
      <c r="X956" s="16"/>
      <c r="Y956" s="16"/>
      <c r="Z956" s="16"/>
      <c r="AA956" s="16"/>
      <c r="AB956" s="16"/>
      <c r="AC956" s="16"/>
    </row>
    <row r="957" ht="12.75" customHeight="1" spans="1:29" x14ac:dyDescent="0.25">
      <c r="A957" s="16"/>
      <c r="B957" s="16"/>
      <c r="C957" s="16"/>
      <c r="D957" s="16"/>
      <c r="E957" s="16"/>
      <c r="F957" s="16"/>
      <c r="G957" s="16"/>
      <c r="H957" s="647"/>
      <c r="I957" s="647"/>
      <c r="J957" s="647"/>
      <c r="K957" s="647"/>
      <c r="L957" s="647"/>
      <c r="M957" s="647"/>
      <c r="N957" s="647"/>
      <c r="O957" s="647"/>
      <c r="P957" s="647"/>
      <c r="Q957" s="647"/>
      <c r="R957" s="647"/>
      <c r="S957" s="647"/>
      <c r="T957" s="647"/>
      <c r="U957" s="16"/>
      <c r="V957" s="16"/>
      <c r="W957" s="16"/>
      <c r="X957" s="16"/>
      <c r="Y957" s="16"/>
      <c r="Z957" s="16"/>
      <c r="AA957" s="16"/>
      <c r="AB957" s="16"/>
      <c r="AC957" s="16"/>
    </row>
    <row r="958" ht="12.75" customHeight="1" spans="1:29" x14ac:dyDescent="0.25">
      <c r="A958" s="16"/>
      <c r="B958" s="16"/>
      <c r="C958" s="16"/>
      <c r="D958" s="16"/>
      <c r="E958" s="16"/>
      <c r="F958" s="16"/>
      <c r="G958" s="16"/>
      <c r="H958" s="647"/>
      <c r="I958" s="647"/>
      <c r="J958" s="647"/>
      <c r="K958" s="647"/>
      <c r="L958" s="647"/>
      <c r="M958" s="647"/>
      <c r="N958" s="647"/>
      <c r="O958" s="647"/>
      <c r="P958" s="647"/>
      <c r="Q958" s="647"/>
      <c r="R958" s="647"/>
      <c r="S958" s="647"/>
      <c r="T958" s="647"/>
      <c r="U958" s="16"/>
      <c r="V958" s="16"/>
      <c r="W958" s="16"/>
      <c r="X958" s="16"/>
      <c r="Y958" s="16"/>
      <c r="Z958" s="16"/>
      <c r="AA958" s="16"/>
      <c r="AB958" s="16"/>
      <c r="AC958" s="16"/>
    </row>
    <row r="959" ht="12.75" customHeight="1" spans="1:29" x14ac:dyDescent="0.25">
      <c r="A959" s="16"/>
      <c r="B959" s="16"/>
      <c r="C959" s="16"/>
      <c r="D959" s="16"/>
      <c r="E959" s="16"/>
      <c r="F959" s="16"/>
      <c r="G959" s="16"/>
      <c r="H959" s="647"/>
      <c r="I959" s="647"/>
      <c r="J959" s="647"/>
      <c r="K959" s="647"/>
      <c r="L959" s="647"/>
      <c r="M959" s="647"/>
      <c r="N959" s="647"/>
      <c r="O959" s="647"/>
      <c r="P959" s="647"/>
      <c r="Q959" s="647"/>
      <c r="R959" s="647"/>
      <c r="S959" s="647"/>
      <c r="T959" s="647"/>
      <c r="U959" s="16"/>
      <c r="V959" s="16"/>
      <c r="W959" s="16"/>
      <c r="X959" s="16"/>
      <c r="Y959" s="16"/>
      <c r="Z959" s="16"/>
      <c r="AA959" s="16"/>
      <c r="AB959" s="16"/>
      <c r="AC959" s="16"/>
    </row>
    <row r="960" ht="12.75" customHeight="1" spans="1:29" x14ac:dyDescent="0.25">
      <c r="A960" s="16"/>
      <c r="B960" s="16"/>
      <c r="C960" s="16"/>
      <c r="D960" s="16"/>
      <c r="E960" s="16"/>
      <c r="F960" s="16"/>
      <c r="G960" s="16"/>
      <c r="H960" s="647"/>
      <c r="I960" s="647"/>
      <c r="J960" s="647"/>
      <c r="K960" s="647"/>
      <c r="L960" s="647"/>
      <c r="M960" s="647"/>
      <c r="N960" s="647"/>
      <c r="O960" s="647"/>
      <c r="P960" s="647"/>
      <c r="Q960" s="647"/>
      <c r="R960" s="647"/>
      <c r="S960" s="647"/>
      <c r="T960" s="647"/>
      <c r="U960" s="16"/>
      <c r="V960" s="16"/>
      <c r="W960" s="16"/>
      <c r="X960" s="16"/>
      <c r="Y960" s="16"/>
      <c r="Z960" s="16"/>
      <c r="AA960" s="16"/>
      <c r="AB960" s="16"/>
      <c r="AC960" s="16"/>
    </row>
    <row r="961" ht="12.75" customHeight="1" spans="1:29" x14ac:dyDescent="0.25">
      <c r="A961" s="16"/>
      <c r="B961" s="16"/>
      <c r="C961" s="16"/>
      <c r="D961" s="16"/>
      <c r="E961" s="16"/>
      <c r="F961" s="16"/>
      <c r="G961" s="16"/>
      <c r="H961" s="647"/>
      <c r="I961" s="647"/>
      <c r="J961" s="647"/>
      <c r="K961" s="647"/>
      <c r="L961" s="647"/>
      <c r="M961" s="647"/>
      <c r="N961" s="647"/>
      <c r="O961" s="647"/>
      <c r="P961" s="647"/>
      <c r="Q961" s="647"/>
      <c r="R961" s="647"/>
      <c r="S961" s="647"/>
      <c r="T961" s="647"/>
      <c r="U961" s="16"/>
      <c r="V961" s="16"/>
      <c r="W961" s="16"/>
      <c r="X961" s="16"/>
      <c r="Y961" s="16"/>
      <c r="Z961" s="16"/>
      <c r="AA961" s="16"/>
      <c r="AB961" s="16"/>
      <c r="AC961" s="16"/>
    </row>
    <row r="962" ht="12.75" customHeight="1" spans="1:29" x14ac:dyDescent="0.25">
      <c r="A962" s="16"/>
      <c r="B962" s="16"/>
      <c r="C962" s="16"/>
      <c r="D962" s="16"/>
      <c r="E962" s="16"/>
      <c r="F962" s="16"/>
      <c r="G962" s="16"/>
      <c r="H962" s="647"/>
      <c r="I962" s="647"/>
      <c r="J962" s="647"/>
      <c r="K962" s="647"/>
      <c r="L962" s="647"/>
      <c r="M962" s="647"/>
      <c r="N962" s="647"/>
      <c r="O962" s="647"/>
      <c r="P962" s="647"/>
      <c r="Q962" s="647"/>
      <c r="R962" s="647"/>
      <c r="S962" s="647"/>
      <c r="T962" s="647"/>
      <c r="U962" s="16"/>
      <c r="V962" s="16"/>
      <c r="W962" s="16"/>
      <c r="X962" s="16"/>
      <c r="Y962" s="16"/>
      <c r="Z962" s="16"/>
      <c r="AA962" s="16"/>
      <c r="AB962" s="16"/>
      <c r="AC962" s="16"/>
    </row>
    <row r="963" ht="12.75" customHeight="1" spans="1:29" x14ac:dyDescent="0.25">
      <c r="A963" s="16"/>
      <c r="B963" s="16"/>
      <c r="C963" s="16"/>
      <c r="D963" s="16"/>
      <c r="E963" s="16"/>
      <c r="F963" s="16"/>
      <c r="G963" s="16"/>
      <c r="H963" s="647"/>
      <c r="I963" s="647"/>
      <c r="J963" s="647"/>
      <c r="K963" s="647"/>
      <c r="L963" s="647"/>
      <c r="M963" s="647"/>
      <c r="N963" s="647"/>
      <c r="O963" s="647"/>
      <c r="P963" s="647"/>
      <c r="Q963" s="647"/>
      <c r="R963" s="647"/>
      <c r="S963" s="647"/>
      <c r="T963" s="647"/>
      <c r="U963" s="16"/>
      <c r="V963" s="16"/>
      <c r="W963" s="16"/>
      <c r="X963" s="16"/>
      <c r="Y963" s="16"/>
      <c r="Z963" s="16"/>
      <c r="AA963" s="16"/>
      <c r="AB963" s="16"/>
      <c r="AC963" s="16"/>
    </row>
    <row r="964" ht="12.75" customHeight="1" spans="1:29" x14ac:dyDescent="0.25">
      <c r="A964" s="16"/>
      <c r="B964" s="16"/>
      <c r="C964" s="16"/>
      <c r="D964" s="16"/>
      <c r="E964" s="16"/>
      <c r="F964" s="16"/>
      <c r="G964" s="16"/>
      <c r="H964" s="647"/>
      <c r="I964" s="647"/>
      <c r="J964" s="647"/>
      <c r="K964" s="647"/>
      <c r="L964" s="647"/>
      <c r="M964" s="647"/>
      <c r="N964" s="647"/>
      <c r="O964" s="647"/>
      <c r="P964" s="647"/>
      <c r="Q964" s="647"/>
      <c r="R964" s="647"/>
      <c r="S964" s="647"/>
      <c r="T964" s="647"/>
      <c r="U964" s="16"/>
      <c r="V964" s="16"/>
      <c r="W964" s="16"/>
      <c r="X964" s="16"/>
      <c r="Y964" s="16"/>
      <c r="Z964" s="16"/>
      <c r="AA964" s="16"/>
      <c r="AB964" s="16"/>
      <c r="AC964" s="16"/>
    </row>
    <row r="965" ht="12.75" customHeight="1" spans="1:29" x14ac:dyDescent="0.25">
      <c r="A965" s="16"/>
      <c r="B965" s="16"/>
      <c r="C965" s="16"/>
      <c r="D965" s="16"/>
      <c r="E965" s="16"/>
      <c r="F965" s="16"/>
      <c r="G965" s="16"/>
      <c r="H965" s="647"/>
      <c r="I965" s="647"/>
      <c r="J965" s="647"/>
      <c r="K965" s="647"/>
      <c r="L965" s="647"/>
      <c r="M965" s="647"/>
      <c r="N965" s="647"/>
      <c r="O965" s="647"/>
      <c r="P965" s="647"/>
      <c r="Q965" s="647"/>
      <c r="R965" s="647"/>
      <c r="S965" s="647"/>
      <c r="T965" s="647"/>
      <c r="U965" s="16"/>
      <c r="V965" s="16"/>
      <c r="W965" s="16"/>
      <c r="X965" s="16"/>
      <c r="Y965" s="16"/>
      <c r="Z965" s="16"/>
      <c r="AA965" s="16"/>
      <c r="AB965" s="16"/>
      <c r="AC965" s="16"/>
    </row>
    <row r="966" ht="12.75" customHeight="1" spans="1:29" x14ac:dyDescent="0.25">
      <c r="A966" s="16"/>
      <c r="B966" s="16"/>
      <c r="C966" s="16"/>
      <c r="D966" s="16"/>
      <c r="E966" s="16"/>
      <c r="F966" s="16"/>
      <c r="G966" s="16"/>
      <c r="H966" s="647"/>
      <c r="I966" s="647"/>
      <c r="J966" s="647"/>
      <c r="K966" s="647"/>
      <c r="L966" s="647"/>
      <c r="M966" s="647"/>
      <c r="N966" s="647"/>
      <c r="O966" s="647"/>
      <c r="P966" s="647"/>
      <c r="Q966" s="647"/>
      <c r="R966" s="647"/>
      <c r="S966" s="647"/>
      <c r="T966" s="647"/>
      <c r="U966" s="16"/>
      <c r="V966" s="16"/>
      <c r="W966" s="16"/>
      <c r="X966" s="16"/>
      <c r="Y966" s="16"/>
      <c r="Z966" s="16"/>
      <c r="AA966" s="16"/>
      <c r="AB966" s="16"/>
      <c r="AC966" s="16"/>
    </row>
    <row r="967" ht="12.75" customHeight="1" spans="1:29" x14ac:dyDescent="0.25">
      <c r="A967" s="16"/>
      <c r="B967" s="16"/>
      <c r="C967" s="16"/>
      <c r="D967" s="16"/>
      <c r="E967" s="16"/>
      <c r="F967" s="16"/>
      <c r="G967" s="16"/>
      <c r="H967" s="647"/>
      <c r="I967" s="647"/>
      <c r="J967" s="647"/>
      <c r="K967" s="647"/>
      <c r="L967" s="647"/>
      <c r="M967" s="647"/>
      <c r="N967" s="647"/>
      <c r="O967" s="647"/>
      <c r="P967" s="647"/>
      <c r="Q967" s="647"/>
      <c r="R967" s="647"/>
      <c r="S967" s="647"/>
      <c r="T967" s="647"/>
      <c r="U967" s="16"/>
      <c r="V967" s="16"/>
      <c r="W967" s="16"/>
      <c r="X967" s="16"/>
      <c r="Y967" s="16"/>
      <c r="Z967" s="16"/>
      <c r="AA967" s="16"/>
      <c r="AB967" s="16"/>
      <c r="AC967" s="16"/>
    </row>
    <row r="968" ht="12.75" customHeight="1" spans="1:29" x14ac:dyDescent="0.25">
      <c r="A968" s="16"/>
      <c r="B968" s="16"/>
      <c r="C968" s="16"/>
      <c r="D968" s="16"/>
      <c r="E968" s="16"/>
      <c r="F968" s="16"/>
      <c r="G968" s="16"/>
      <c r="H968" s="647"/>
      <c r="I968" s="647"/>
      <c r="J968" s="647"/>
      <c r="K968" s="647"/>
      <c r="L968" s="647"/>
      <c r="M968" s="647"/>
      <c r="N968" s="647"/>
      <c r="O968" s="647"/>
      <c r="P968" s="647"/>
      <c r="Q968" s="647"/>
      <c r="R968" s="647"/>
      <c r="S968" s="647"/>
      <c r="T968" s="647"/>
      <c r="U968" s="16"/>
      <c r="V968" s="16"/>
      <c r="W968" s="16"/>
      <c r="X968" s="16"/>
      <c r="Y968" s="16"/>
      <c r="Z968" s="16"/>
      <c r="AA968" s="16"/>
      <c r="AB968" s="16"/>
      <c r="AC968" s="16"/>
    </row>
    <row r="969" ht="12.75" customHeight="1" spans="1:29" x14ac:dyDescent="0.25">
      <c r="A969" s="16"/>
      <c r="B969" s="16"/>
      <c r="C969" s="16"/>
      <c r="D969" s="16"/>
      <c r="E969" s="16"/>
      <c r="F969" s="16"/>
      <c r="G969" s="16"/>
      <c r="H969" s="647"/>
      <c r="I969" s="647"/>
      <c r="J969" s="647"/>
      <c r="K969" s="647"/>
      <c r="L969" s="647"/>
      <c r="M969" s="647"/>
      <c r="N969" s="647"/>
      <c r="O969" s="647"/>
      <c r="P969" s="647"/>
      <c r="Q969" s="647"/>
      <c r="R969" s="647"/>
      <c r="S969" s="647"/>
      <c r="T969" s="647"/>
      <c r="U969" s="16"/>
      <c r="V969" s="16"/>
      <c r="W969" s="16"/>
      <c r="X969" s="16"/>
      <c r="Y969" s="16"/>
      <c r="Z969" s="16"/>
      <c r="AA969" s="16"/>
      <c r="AB969" s="16"/>
      <c r="AC969" s="16"/>
    </row>
    <row r="970" ht="12.75" customHeight="1" spans="1:29" x14ac:dyDescent="0.25">
      <c r="A970" s="16"/>
      <c r="B970" s="16"/>
      <c r="C970" s="16"/>
      <c r="D970" s="16"/>
      <c r="E970" s="16"/>
      <c r="F970" s="16"/>
      <c r="G970" s="16"/>
      <c r="H970" s="647"/>
      <c r="I970" s="647"/>
      <c r="J970" s="647"/>
      <c r="K970" s="647"/>
      <c r="L970" s="647"/>
      <c r="M970" s="647"/>
      <c r="N970" s="647"/>
      <c r="O970" s="647"/>
      <c r="P970" s="647"/>
      <c r="Q970" s="647"/>
      <c r="R970" s="647"/>
      <c r="S970" s="647"/>
      <c r="T970" s="647"/>
      <c r="U970" s="16"/>
      <c r="V970" s="16"/>
      <c r="W970" s="16"/>
      <c r="X970" s="16"/>
      <c r="Y970" s="16"/>
      <c r="Z970" s="16"/>
      <c r="AA970" s="16"/>
      <c r="AB970" s="16"/>
      <c r="AC970" s="16"/>
    </row>
    <row r="971" ht="12.75" customHeight="1" spans="1:29" x14ac:dyDescent="0.25">
      <c r="A971" s="16"/>
      <c r="B971" s="16"/>
      <c r="C971" s="16"/>
      <c r="D971" s="16"/>
      <c r="E971" s="16"/>
      <c r="F971" s="16"/>
      <c r="G971" s="16"/>
      <c r="H971" s="647"/>
      <c r="I971" s="647"/>
      <c r="J971" s="647"/>
      <c r="K971" s="647"/>
      <c r="L971" s="647"/>
      <c r="M971" s="647"/>
      <c r="N971" s="647"/>
      <c r="O971" s="647"/>
      <c r="P971" s="647"/>
      <c r="Q971" s="647"/>
      <c r="R971" s="647"/>
      <c r="S971" s="647"/>
      <c r="T971" s="647"/>
      <c r="U971" s="16"/>
      <c r="V971" s="16"/>
      <c r="W971" s="16"/>
      <c r="X971" s="16"/>
      <c r="Y971" s="16"/>
      <c r="Z971" s="16"/>
      <c r="AA971" s="16"/>
      <c r="AB971" s="16"/>
      <c r="AC971" s="16"/>
    </row>
    <row r="972" ht="12.75" customHeight="1" spans="1:29" x14ac:dyDescent="0.25">
      <c r="A972" s="16"/>
      <c r="B972" s="16"/>
      <c r="C972" s="16"/>
      <c r="D972" s="16"/>
      <c r="E972" s="16"/>
      <c r="F972" s="16"/>
      <c r="G972" s="16"/>
      <c r="H972" s="647"/>
      <c r="I972" s="647"/>
      <c r="J972" s="647"/>
      <c r="K972" s="647"/>
      <c r="L972" s="647"/>
      <c r="M972" s="647"/>
      <c r="N972" s="647"/>
      <c r="O972" s="647"/>
      <c r="P972" s="647"/>
      <c r="Q972" s="647"/>
      <c r="R972" s="647"/>
      <c r="S972" s="647"/>
      <c r="T972" s="647"/>
      <c r="U972" s="16"/>
      <c r="V972" s="16"/>
      <c r="W972" s="16"/>
      <c r="X972" s="16"/>
      <c r="Y972" s="16"/>
      <c r="Z972" s="16"/>
      <c r="AA972" s="16"/>
      <c r="AB972" s="16"/>
      <c r="AC972" s="16"/>
    </row>
    <row r="973" ht="12.75" customHeight="1" spans="1:29" x14ac:dyDescent="0.25">
      <c r="A973" s="16"/>
      <c r="B973" s="16"/>
      <c r="C973" s="16"/>
      <c r="D973" s="16"/>
      <c r="E973" s="16"/>
      <c r="F973" s="16"/>
      <c r="G973" s="16"/>
      <c r="H973" s="647"/>
      <c r="I973" s="647"/>
      <c r="J973" s="647"/>
      <c r="K973" s="647"/>
      <c r="L973" s="647"/>
      <c r="M973" s="647"/>
      <c r="N973" s="647"/>
      <c r="O973" s="647"/>
      <c r="P973" s="647"/>
      <c r="Q973" s="647"/>
      <c r="R973" s="647"/>
      <c r="S973" s="647"/>
      <c r="T973" s="647"/>
      <c r="U973" s="16"/>
      <c r="V973" s="16"/>
      <c r="W973" s="16"/>
      <c r="X973" s="16"/>
      <c r="Y973" s="16"/>
      <c r="Z973" s="16"/>
      <c r="AA973" s="16"/>
      <c r="AB973" s="16"/>
      <c r="AC973" s="16"/>
    </row>
    <row r="974" ht="12.75" customHeight="1" spans="1:29" x14ac:dyDescent="0.25">
      <c r="A974" s="16"/>
      <c r="B974" s="16"/>
      <c r="C974" s="16"/>
      <c r="D974" s="16"/>
      <c r="E974" s="16"/>
      <c r="F974" s="16"/>
      <c r="G974" s="16"/>
      <c r="H974" s="647"/>
      <c r="I974" s="647"/>
      <c r="J974" s="647"/>
      <c r="K974" s="647"/>
      <c r="L974" s="647"/>
      <c r="M974" s="647"/>
      <c r="N974" s="647"/>
      <c r="O974" s="647"/>
      <c r="P974" s="647"/>
      <c r="Q974" s="647"/>
      <c r="R974" s="647"/>
      <c r="S974" s="647"/>
      <c r="T974" s="647"/>
      <c r="U974" s="16"/>
      <c r="V974" s="16"/>
      <c r="W974" s="16"/>
      <c r="X974" s="16"/>
      <c r="Y974" s="16"/>
      <c r="Z974" s="16"/>
      <c r="AA974" s="16"/>
      <c r="AB974" s="16"/>
      <c r="AC974" s="16"/>
    </row>
    <row r="975" ht="12.75" customHeight="1" spans="1:29" x14ac:dyDescent="0.25">
      <c r="A975" s="16"/>
      <c r="B975" s="16"/>
      <c r="C975" s="16"/>
      <c r="D975" s="16"/>
      <c r="E975" s="16"/>
      <c r="F975" s="16"/>
      <c r="G975" s="16"/>
      <c r="H975" s="647"/>
      <c r="I975" s="647"/>
      <c r="J975" s="647"/>
      <c r="K975" s="647"/>
      <c r="L975" s="647"/>
      <c r="M975" s="647"/>
      <c r="N975" s="647"/>
      <c r="O975" s="647"/>
      <c r="P975" s="647"/>
      <c r="Q975" s="647"/>
      <c r="R975" s="647"/>
      <c r="S975" s="647"/>
      <c r="T975" s="647"/>
      <c r="U975" s="16"/>
      <c r="V975" s="16"/>
      <c r="W975" s="16"/>
      <c r="X975" s="16"/>
      <c r="Y975" s="16"/>
      <c r="Z975" s="16"/>
      <c r="AA975" s="16"/>
      <c r="AB975" s="16"/>
      <c r="AC975" s="16"/>
    </row>
    <row r="976" ht="12.75" customHeight="1" spans="1:29" x14ac:dyDescent="0.25">
      <c r="A976" s="16"/>
      <c r="B976" s="16"/>
      <c r="C976" s="16"/>
      <c r="D976" s="16"/>
      <c r="E976" s="16"/>
      <c r="F976" s="16"/>
      <c r="G976" s="16"/>
      <c r="H976" s="647"/>
      <c r="I976" s="647"/>
      <c r="J976" s="647"/>
      <c r="K976" s="647"/>
      <c r="L976" s="647"/>
      <c r="M976" s="647"/>
      <c r="N976" s="647"/>
      <c r="O976" s="647"/>
      <c r="P976" s="647"/>
      <c r="Q976" s="647"/>
      <c r="R976" s="647"/>
      <c r="S976" s="647"/>
      <c r="T976" s="647"/>
      <c r="U976" s="16"/>
      <c r="V976" s="16"/>
      <c r="W976" s="16"/>
      <c r="X976" s="16"/>
      <c r="Y976" s="16"/>
      <c r="Z976" s="16"/>
      <c r="AA976" s="16"/>
      <c r="AB976" s="16"/>
      <c r="AC976" s="16"/>
    </row>
    <row r="977" ht="12.75" customHeight="1" spans="1:29" x14ac:dyDescent="0.25">
      <c r="A977" s="16"/>
      <c r="B977" s="16"/>
      <c r="C977" s="16"/>
      <c r="D977" s="16"/>
      <c r="E977" s="16"/>
      <c r="F977" s="16"/>
      <c r="G977" s="16"/>
      <c r="H977" s="647"/>
      <c r="I977" s="647"/>
      <c r="J977" s="647"/>
      <c r="K977" s="647"/>
      <c r="L977" s="647"/>
      <c r="M977" s="647"/>
      <c r="N977" s="647"/>
      <c r="O977" s="647"/>
      <c r="P977" s="647"/>
      <c r="Q977" s="647"/>
      <c r="R977" s="647"/>
      <c r="S977" s="647"/>
      <c r="T977" s="647"/>
      <c r="U977" s="16"/>
      <c r="V977" s="16"/>
      <c r="W977" s="16"/>
      <c r="X977" s="16"/>
      <c r="Y977" s="16"/>
      <c r="Z977" s="16"/>
      <c r="AA977" s="16"/>
      <c r="AB977" s="16"/>
      <c r="AC977" s="16"/>
    </row>
    <row r="978" ht="12.75" customHeight="1" spans="1:29" x14ac:dyDescent="0.25">
      <c r="A978" s="16"/>
      <c r="B978" s="16"/>
      <c r="C978" s="16"/>
      <c r="D978" s="16"/>
      <c r="E978" s="16"/>
      <c r="F978" s="16"/>
      <c r="G978" s="16"/>
      <c r="H978" s="647"/>
      <c r="I978" s="647"/>
      <c r="J978" s="647"/>
      <c r="K978" s="647"/>
      <c r="L978" s="647"/>
      <c r="M978" s="647"/>
      <c r="N978" s="647"/>
      <c r="O978" s="647"/>
      <c r="P978" s="647"/>
      <c r="Q978" s="647"/>
      <c r="R978" s="647"/>
      <c r="S978" s="647"/>
      <c r="T978" s="647"/>
      <c r="U978" s="16"/>
      <c r="V978" s="16"/>
      <c r="W978" s="16"/>
      <c r="X978" s="16"/>
      <c r="Y978" s="16"/>
      <c r="Z978" s="16"/>
      <c r="AA978" s="16"/>
      <c r="AB978" s="16"/>
      <c r="AC978" s="16"/>
    </row>
    <row r="979" ht="12.75" customHeight="1" spans="1:29" x14ac:dyDescent="0.25">
      <c r="A979" s="16"/>
      <c r="B979" s="16"/>
      <c r="C979" s="16"/>
      <c r="D979" s="16"/>
      <c r="E979" s="16"/>
      <c r="F979" s="16"/>
      <c r="G979" s="16"/>
      <c r="H979" s="647"/>
      <c r="I979" s="647"/>
      <c r="J979" s="647"/>
      <c r="K979" s="647"/>
      <c r="L979" s="647"/>
      <c r="M979" s="647"/>
      <c r="N979" s="647"/>
      <c r="O979" s="647"/>
      <c r="P979" s="647"/>
      <c r="Q979" s="647"/>
      <c r="R979" s="647"/>
      <c r="S979" s="647"/>
      <c r="T979" s="647"/>
      <c r="U979" s="16"/>
      <c r="V979" s="16"/>
      <c r="W979" s="16"/>
      <c r="X979" s="16"/>
      <c r="Y979" s="16"/>
      <c r="Z979" s="16"/>
      <c r="AA979" s="16"/>
      <c r="AB979" s="16"/>
      <c r="AC979" s="16"/>
    </row>
    <row r="980" ht="12.75" customHeight="1" spans="1:29" x14ac:dyDescent="0.25">
      <c r="A980" s="16"/>
      <c r="B980" s="16"/>
      <c r="C980" s="16"/>
      <c r="D980" s="16"/>
      <c r="E980" s="16"/>
      <c r="F980" s="16"/>
      <c r="G980" s="16"/>
      <c r="H980" s="647"/>
      <c r="I980" s="647"/>
      <c r="J980" s="647"/>
      <c r="K980" s="647"/>
      <c r="L980" s="647"/>
      <c r="M980" s="647"/>
      <c r="N980" s="647"/>
      <c r="O980" s="647"/>
      <c r="P980" s="647"/>
      <c r="Q980" s="647"/>
      <c r="R980" s="647"/>
      <c r="S980" s="647"/>
      <c r="T980" s="647"/>
      <c r="U980" s="16"/>
      <c r="V980" s="16"/>
      <c r="W980" s="16"/>
      <c r="X980" s="16"/>
      <c r="Y980" s="16"/>
      <c r="Z980" s="16"/>
      <c r="AA980" s="16"/>
      <c r="AB980" s="16"/>
      <c r="AC980" s="16"/>
    </row>
    <row r="981" ht="12.75" customHeight="1" spans="1:29" x14ac:dyDescent="0.25">
      <c r="A981" s="16"/>
      <c r="B981" s="16"/>
      <c r="C981" s="16"/>
      <c r="D981" s="16"/>
      <c r="E981" s="16"/>
      <c r="F981" s="16"/>
      <c r="G981" s="16"/>
      <c r="H981" s="647"/>
      <c r="I981" s="647"/>
      <c r="J981" s="647"/>
      <c r="K981" s="647"/>
      <c r="L981" s="647"/>
      <c r="M981" s="647"/>
      <c r="N981" s="647"/>
      <c r="O981" s="647"/>
      <c r="P981" s="647"/>
      <c r="Q981" s="647"/>
      <c r="R981" s="647"/>
      <c r="S981" s="647"/>
      <c r="T981" s="647"/>
      <c r="U981" s="16"/>
      <c r="V981" s="16"/>
      <c r="W981" s="16"/>
      <c r="X981" s="16"/>
      <c r="Y981" s="16"/>
      <c r="Z981" s="16"/>
      <c r="AA981" s="16"/>
      <c r="AB981" s="16"/>
      <c r="AC981" s="16"/>
    </row>
    <row r="982" ht="12.75" customHeight="1" spans="1:29" x14ac:dyDescent="0.25">
      <c r="A982" s="16"/>
      <c r="B982" s="16"/>
      <c r="C982" s="16"/>
      <c r="D982" s="16"/>
      <c r="E982" s="16"/>
      <c r="F982" s="16"/>
      <c r="G982" s="16"/>
      <c r="H982" s="647"/>
      <c r="I982" s="647"/>
      <c r="J982" s="647"/>
      <c r="K982" s="647"/>
      <c r="L982" s="647"/>
      <c r="M982" s="647"/>
      <c r="N982" s="647"/>
      <c r="O982" s="647"/>
      <c r="P982" s="647"/>
      <c r="Q982" s="647"/>
      <c r="R982" s="647"/>
      <c r="S982" s="647"/>
      <c r="T982" s="647"/>
      <c r="U982" s="16"/>
      <c r="V982" s="16"/>
      <c r="W982" s="16"/>
      <c r="X982" s="16"/>
      <c r="Y982" s="16"/>
      <c r="Z982" s="16"/>
      <c r="AA982" s="16"/>
      <c r="AB982" s="16"/>
      <c r="AC982" s="16"/>
    </row>
    <row r="983" ht="12.75" customHeight="1" spans="1:29" x14ac:dyDescent="0.25">
      <c r="A983" s="16"/>
      <c r="B983" s="16"/>
      <c r="C983" s="16"/>
      <c r="D983" s="16"/>
      <c r="E983" s="16"/>
      <c r="F983" s="16"/>
      <c r="G983" s="16"/>
      <c r="H983" s="647"/>
      <c r="I983" s="647"/>
      <c r="J983" s="647"/>
      <c r="K983" s="647"/>
      <c r="L983" s="647"/>
      <c r="M983" s="647"/>
      <c r="N983" s="647"/>
      <c r="O983" s="647"/>
      <c r="P983" s="647"/>
      <c r="Q983" s="647"/>
      <c r="R983" s="647"/>
      <c r="S983" s="647"/>
      <c r="T983" s="647"/>
      <c r="U983" s="16"/>
      <c r="V983" s="16"/>
      <c r="W983" s="16"/>
      <c r="X983" s="16"/>
      <c r="Y983" s="16"/>
      <c r="Z983" s="16"/>
      <c r="AA983" s="16"/>
      <c r="AB983" s="16"/>
      <c r="AC983" s="16"/>
    </row>
    <row r="984" ht="12.75" customHeight="1" spans="1:29" x14ac:dyDescent="0.25">
      <c r="A984" s="16"/>
      <c r="B984" s="16"/>
      <c r="C984" s="16"/>
      <c r="D984" s="16"/>
      <c r="E984" s="16"/>
      <c r="F984" s="16"/>
      <c r="G984" s="16"/>
      <c r="H984" s="647"/>
      <c r="I984" s="647"/>
      <c r="J984" s="647"/>
      <c r="K984" s="647"/>
      <c r="L984" s="647"/>
      <c r="M984" s="647"/>
      <c r="N984" s="647"/>
      <c r="O984" s="647"/>
      <c r="P984" s="647"/>
      <c r="Q984" s="647"/>
      <c r="R984" s="647"/>
      <c r="S984" s="647"/>
      <c r="T984" s="647"/>
      <c r="U984" s="16"/>
      <c r="V984" s="16"/>
      <c r="W984" s="16"/>
      <c r="X984" s="16"/>
      <c r="Y984" s="16"/>
      <c r="Z984" s="16"/>
      <c r="AA984" s="16"/>
      <c r="AB984" s="16"/>
      <c r="AC984" s="16"/>
    </row>
    <row r="985" ht="12.75" customHeight="1" spans="1:29" x14ac:dyDescent="0.25">
      <c r="A985" s="16"/>
      <c r="B985" s="16"/>
      <c r="C985" s="16"/>
      <c r="D985" s="16"/>
      <c r="E985" s="16"/>
      <c r="F985" s="16"/>
      <c r="G985" s="16"/>
      <c r="H985" s="647"/>
      <c r="I985" s="647"/>
      <c r="J985" s="647"/>
      <c r="K985" s="647"/>
      <c r="L985" s="647"/>
      <c r="M985" s="647"/>
      <c r="N985" s="647"/>
      <c r="O985" s="647"/>
      <c r="P985" s="647"/>
      <c r="Q985" s="647"/>
      <c r="R985" s="647"/>
      <c r="S985" s="647"/>
      <c r="T985" s="647"/>
      <c r="U985" s="16"/>
      <c r="V985" s="16"/>
      <c r="W985" s="16"/>
      <c r="X985" s="16"/>
      <c r="Y985" s="16"/>
      <c r="Z985" s="16"/>
      <c r="AA985" s="16"/>
      <c r="AB985" s="16"/>
      <c r="AC985" s="16"/>
    </row>
    <row r="986" ht="12.75" customHeight="1" spans="1:29" x14ac:dyDescent="0.25">
      <c r="A986" s="16"/>
      <c r="B986" s="16"/>
      <c r="C986" s="16"/>
      <c r="D986" s="16"/>
      <c r="E986" s="16"/>
      <c r="F986" s="16"/>
      <c r="G986" s="16"/>
      <c r="H986" s="647"/>
      <c r="I986" s="647"/>
      <c r="J986" s="647"/>
      <c r="K986" s="647"/>
      <c r="L986" s="647"/>
      <c r="M986" s="647"/>
      <c r="N986" s="647"/>
      <c r="O986" s="647"/>
      <c r="P986" s="647"/>
      <c r="Q986" s="647"/>
      <c r="R986" s="647"/>
      <c r="S986" s="647"/>
      <c r="T986" s="647"/>
      <c r="U986" s="16"/>
      <c r="V986" s="16"/>
      <c r="W986" s="16"/>
      <c r="X986" s="16"/>
      <c r="Y986" s="16"/>
      <c r="Z986" s="16"/>
      <c r="AA986" s="16"/>
      <c r="AB986" s="16"/>
      <c r="AC986" s="16"/>
    </row>
    <row r="987" ht="12.75" customHeight="1" spans="1:29" x14ac:dyDescent="0.25">
      <c r="A987" s="16"/>
      <c r="B987" s="16"/>
      <c r="C987" s="16"/>
      <c r="D987" s="16"/>
      <c r="E987" s="16"/>
      <c r="F987" s="16"/>
      <c r="G987" s="16"/>
      <c r="H987" s="647"/>
      <c r="I987" s="647"/>
      <c r="J987" s="647"/>
      <c r="K987" s="647"/>
      <c r="L987" s="647"/>
      <c r="M987" s="647"/>
      <c r="N987" s="647"/>
      <c r="O987" s="647"/>
      <c r="P987" s="647"/>
      <c r="Q987" s="647"/>
      <c r="R987" s="647"/>
      <c r="S987" s="647"/>
      <c r="T987" s="647"/>
      <c r="U987" s="16"/>
      <c r="V987" s="16"/>
      <c r="W987" s="16"/>
      <c r="X987" s="16"/>
      <c r="Y987" s="16"/>
      <c r="Z987" s="16"/>
      <c r="AA987" s="16"/>
      <c r="AB987" s="16"/>
      <c r="AC987" s="16"/>
    </row>
    <row r="988" ht="12.75" customHeight="1" spans="1:29" x14ac:dyDescent="0.25">
      <c r="A988" s="16"/>
      <c r="B988" s="16"/>
      <c r="C988" s="16"/>
      <c r="D988" s="16"/>
      <c r="E988" s="16"/>
      <c r="F988" s="16"/>
      <c r="G988" s="16"/>
      <c r="H988" s="647"/>
      <c r="I988" s="647"/>
      <c r="J988" s="647"/>
      <c r="K988" s="647"/>
      <c r="L988" s="647"/>
      <c r="M988" s="647"/>
      <c r="N988" s="647"/>
      <c r="O988" s="647"/>
      <c r="P988" s="647"/>
      <c r="Q988" s="647"/>
      <c r="R988" s="647"/>
      <c r="S988" s="647"/>
      <c r="T988" s="647"/>
      <c r="U988" s="16"/>
      <c r="V988" s="16"/>
      <c r="W988" s="16"/>
      <c r="X988" s="16"/>
      <c r="Y988" s="16"/>
      <c r="Z988" s="16"/>
      <c r="AA988" s="16"/>
      <c r="AB988" s="16"/>
      <c r="AC988" s="16"/>
    </row>
    <row r="989" ht="12.75" customHeight="1" spans="1:29" x14ac:dyDescent="0.25">
      <c r="A989" s="16"/>
      <c r="B989" s="16"/>
      <c r="C989" s="16"/>
      <c r="D989" s="16"/>
      <c r="E989" s="16"/>
      <c r="F989" s="16"/>
      <c r="G989" s="16"/>
      <c r="H989" s="647"/>
      <c r="I989" s="647"/>
      <c r="J989" s="647"/>
      <c r="K989" s="647"/>
      <c r="L989" s="647"/>
      <c r="M989" s="647"/>
      <c r="N989" s="647"/>
      <c r="O989" s="647"/>
      <c r="P989" s="647"/>
      <c r="Q989" s="647"/>
      <c r="R989" s="647"/>
      <c r="S989" s="647"/>
      <c r="T989" s="647"/>
      <c r="U989" s="16"/>
      <c r="V989" s="16"/>
      <c r="W989" s="16"/>
      <c r="X989" s="16"/>
      <c r="Y989" s="16"/>
      <c r="Z989" s="16"/>
      <c r="AA989" s="16"/>
      <c r="AB989" s="16"/>
      <c r="AC989" s="16"/>
    </row>
    <row r="990" ht="12.75" customHeight="1" spans="1:29" x14ac:dyDescent="0.25">
      <c r="A990" s="16"/>
      <c r="B990" s="16"/>
      <c r="C990" s="16"/>
      <c r="D990" s="16"/>
      <c r="E990" s="16"/>
      <c r="F990" s="16"/>
      <c r="G990" s="16"/>
      <c r="H990" s="647"/>
      <c r="I990" s="647"/>
      <c r="J990" s="647"/>
      <c r="K990" s="647"/>
      <c r="L990" s="647"/>
      <c r="M990" s="647"/>
      <c r="N990" s="647"/>
      <c r="O990" s="647"/>
      <c r="P990" s="647"/>
      <c r="Q990" s="647"/>
      <c r="R990" s="647"/>
      <c r="S990" s="647"/>
      <c r="T990" s="647"/>
      <c r="U990" s="16"/>
      <c r="V990" s="16"/>
      <c r="W990" s="16"/>
      <c r="X990" s="16"/>
      <c r="Y990" s="16"/>
      <c r="Z990" s="16"/>
      <c r="AA990" s="16"/>
      <c r="AB990" s="16"/>
      <c r="AC990" s="16"/>
    </row>
    <row r="991" ht="12.75" customHeight="1" spans="1:29" x14ac:dyDescent="0.25">
      <c r="A991" s="16"/>
      <c r="B991" s="16"/>
      <c r="C991" s="16"/>
      <c r="D991" s="16"/>
      <c r="E991" s="16"/>
      <c r="F991" s="16"/>
      <c r="G991" s="16"/>
      <c r="H991" s="647"/>
      <c r="I991" s="647"/>
      <c r="J991" s="647"/>
      <c r="K991" s="647"/>
      <c r="L991" s="647"/>
      <c r="M991" s="647"/>
      <c r="N991" s="647"/>
      <c r="O991" s="647"/>
      <c r="P991" s="647"/>
      <c r="Q991" s="647"/>
      <c r="R991" s="647"/>
      <c r="S991" s="647"/>
      <c r="T991" s="647"/>
      <c r="U991" s="16"/>
      <c r="V991" s="16"/>
      <c r="W991" s="16"/>
      <c r="X991" s="16"/>
      <c r="Y991" s="16"/>
      <c r="Z991" s="16"/>
      <c r="AA991" s="16"/>
      <c r="AB991" s="16"/>
      <c r="AC991" s="16"/>
    </row>
    <row r="992" ht="12.75" customHeight="1" spans="1:29" x14ac:dyDescent="0.25">
      <c r="A992" s="16"/>
      <c r="B992" s="16"/>
      <c r="C992" s="16"/>
      <c r="D992" s="16"/>
      <c r="E992" s="16"/>
      <c r="F992" s="16"/>
      <c r="G992" s="16"/>
      <c r="H992" s="647"/>
      <c r="I992" s="647"/>
      <c r="J992" s="647"/>
      <c r="K992" s="647"/>
      <c r="L992" s="647"/>
      <c r="M992" s="647"/>
      <c r="N992" s="647"/>
      <c r="O992" s="647"/>
      <c r="P992" s="647"/>
      <c r="Q992" s="647"/>
      <c r="R992" s="647"/>
      <c r="S992" s="647"/>
      <c r="T992" s="647"/>
      <c r="U992" s="16"/>
      <c r="V992" s="16"/>
      <c r="W992" s="16"/>
      <c r="X992" s="16"/>
      <c r="Y992" s="16"/>
      <c r="Z992" s="16"/>
      <c r="AA992" s="16"/>
      <c r="AB992" s="16"/>
      <c r="AC992" s="16"/>
    </row>
    <row r="993" ht="12.75" customHeight="1" spans="1:29" x14ac:dyDescent="0.25">
      <c r="A993" s="16"/>
      <c r="B993" s="16"/>
      <c r="C993" s="16"/>
      <c r="D993" s="16"/>
      <c r="E993" s="16"/>
      <c r="F993" s="16"/>
      <c r="G993" s="16"/>
      <c r="H993" s="647"/>
      <c r="I993" s="647"/>
      <c r="J993" s="647"/>
      <c r="K993" s="647"/>
      <c r="L993" s="647"/>
      <c r="M993" s="647"/>
      <c r="N993" s="647"/>
      <c r="O993" s="647"/>
      <c r="P993" s="647"/>
      <c r="Q993" s="647"/>
      <c r="R993" s="647"/>
      <c r="S993" s="647"/>
      <c r="T993" s="647"/>
      <c r="U993" s="16"/>
      <c r="V993" s="16"/>
      <c r="W993" s="16"/>
      <c r="X993" s="16"/>
      <c r="Y993" s="16"/>
      <c r="Z993" s="16"/>
      <c r="AA993" s="16"/>
      <c r="AB993" s="16"/>
      <c r="AC993" s="16"/>
    </row>
    <row r="994" ht="12.75" customHeight="1" spans="1:29" x14ac:dyDescent="0.25">
      <c r="A994" s="16"/>
      <c r="B994" s="16"/>
      <c r="C994" s="16"/>
      <c r="D994" s="16"/>
      <c r="E994" s="16"/>
      <c r="F994" s="16"/>
      <c r="G994" s="16"/>
      <c r="H994" s="647"/>
      <c r="I994" s="647"/>
      <c r="J994" s="647"/>
      <c r="K994" s="647"/>
      <c r="L994" s="647"/>
      <c r="M994" s="647"/>
      <c r="N994" s="647"/>
      <c r="O994" s="647"/>
      <c r="P994" s="647"/>
      <c r="Q994" s="647"/>
      <c r="R994" s="647"/>
      <c r="S994" s="647"/>
      <c r="T994" s="647"/>
      <c r="U994" s="16"/>
      <c r="V994" s="16"/>
      <c r="W994" s="16"/>
      <c r="X994" s="16"/>
      <c r="Y994" s="16"/>
      <c r="Z994" s="16"/>
      <c r="AA994" s="16"/>
      <c r="AB994" s="16"/>
      <c r="AC994" s="16"/>
    </row>
    <row r="995" ht="12.75" customHeight="1" spans="1:29" x14ac:dyDescent="0.25">
      <c r="A995" s="16"/>
      <c r="B995" s="16"/>
      <c r="C995" s="16"/>
      <c r="D995" s="16"/>
      <c r="E995" s="16"/>
      <c r="F995" s="16"/>
      <c r="G995" s="16"/>
      <c r="H995" s="647"/>
      <c r="I995" s="647"/>
      <c r="J995" s="647"/>
      <c r="K995" s="647"/>
      <c r="L995" s="647"/>
      <c r="M995" s="647"/>
      <c r="N995" s="647"/>
      <c r="O995" s="647"/>
      <c r="P995" s="647"/>
      <c r="Q995" s="647"/>
      <c r="R995" s="647"/>
      <c r="S995" s="647"/>
      <c r="T995" s="647"/>
      <c r="U995" s="16"/>
      <c r="V995" s="16"/>
      <c r="W995" s="16"/>
      <c r="X995" s="16"/>
      <c r="Y995" s="16"/>
      <c r="Z995" s="16"/>
      <c r="AA995" s="16"/>
      <c r="AB995" s="16"/>
      <c r="AC995" s="16"/>
    </row>
    <row r="996" ht="12.75" customHeight="1" spans="1:29" x14ac:dyDescent="0.25">
      <c r="A996" s="16"/>
      <c r="B996" s="16"/>
      <c r="C996" s="16"/>
      <c r="D996" s="16"/>
      <c r="E996" s="16"/>
      <c r="F996" s="16"/>
      <c r="G996" s="16"/>
      <c r="H996" s="647"/>
      <c r="I996" s="647"/>
      <c r="J996" s="647"/>
      <c r="K996" s="647"/>
      <c r="L996" s="647"/>
      <c r="M996" s="647"/>
      <c r="N996" s="647"/>
      <c r="O996" s="647"/>
      <c r="P996" s="647"/>
      <c r="Q996" s="647"/>
      <c r="R996" s="647"/>
      <c r="S996" s="647"/>
      <c r="T996" s="647"/>
      <c r="U996" s="16"/>
      <c r="V996" s="16"/>
      <c r="W996" s="16"/>
      <c r="X996" s="16"/>
      <c r="Y996" s="16"/>
      <c r="Z996" s="16"/>
      <c r="AA996" s="16"/>
      <c r="AB996" s="16"/>
      <c r="AC996" s="16"/>
    </row>
    <row r="997" ht="12.75" customHeight="1" spans="1:29" x14ac:dyDescent="0.25">
      <c r="A997" s="16"/>
      <c r="B997" s="16"/>
      <c r="C997" s="16"/>
      <c r="D997" s="16"/>
      <c r="E997" s="16"/>
      <c r="F997" s="16"/>
      <c r="G997" s="16"/>
      <c r="H997" s="647"/>
      <c r="I997" s="647"/>
      <c r="J997" s="647"/>
      <c r="K997" s="647"/>
      <c r="L997" s="647"/>
      <c r="M997" s="647"/>
      <c r="N997" s="647"/>
      <c r="O997" s="647"/>
      <c r="P997" s="647"/>
      <c r="Q997" s="647"/>
      <c r="R997" s="647"/>
      <c r="S997" s="647"/>
      <c r="T997" s="647"/>
      <c r="U997" s="16"/>
      <c r="V997" s="16"/>
      <c r="W997" s="16"/>
      <c r="X997" s="16"/>
      <c r="Y997" s="16"/>
      <c r="Z997" s="16"/>
      <c r="AA997" s="16"/>
      <c r="AB997" s="16"/>
      <c r="AC997" s="16"/>
    </row>
    <row r="998" ht="12.75" customHeight="1" spans="1:29" x14ac:dyDescent="0.25">
      <c r="A998" s="16"/>
      <c r="B998" s="16"/>
      <c r="C998" s="16"/>
      <c r="D998" s="16"/>
      <c r="E998" s="16"/>
      <c r="F998" s="16"/>
      <c r="G998" s="16"/>
      <c r="H998" s="647"/>
      <c r="I998" s="647"/>
      <c r="J998" s="647"/>
      <c r="K998" s="647"/>
      <c r="L998" s="647"/>
      <c r="M998" s="647"/>
      <c r="N998" s="647"/>
      <c r="O998" s="647"/>
      <c r="P998" s="647"/>
      <c r="Q998" s="647"/>
      <c r="R998" s="647"/>
      <c r="S998" s="647"/>
      <c r="T998" s="647"/>
      <c r="U998" s="16"/>
      <c r="V998" s="16"/>
      <c r="W998" s="16"/>
      <c r="X998" s="16"/>
      <c r="Y998" s="16"/>
      <c r="Z998" s="16"/>
      <c r="AA998" s="16"/>
      <c r="AB998" s="16"/>
      <c r="AC998" s="16"/>
    </row>
    <row r="999" ht="12.75" customHeight="1" spans="1:29" x14ac:dyDescent="0.25">
      <c r="A999" s="16"/>
      <c r="B999" s="16"/>
      <c r="C999" s="16"/>
      <c r="D999" s="16"/>
      <c r="E999" s="16"/>
      <c r="F999" s="16"/>
      <c r="G999" s="16"/>
      <c r="H999" s="647"/>
      <c r="I999" s="647"/>
      <c r="J999" s="647"/>
      <c r="K999" s="647"/>
      <c r="L999" s="647"/>
      <c r="M999" s="647"/>
      <c r="N999" s="647"/>
      <c r="O999" s="647"/>
      <c r="P999" s="647"/>
      <c r="Q999" s="647"/>
      <c r="R999" s="647"/>
      <c r="S999" s="647"/>
      <c r="T999" s="647"/>
      <c r="U999" s="16"/>
      <c r="V999" s="16"/>
      <c r="W999" s="16"/>
      <c r="X999" s="16"/>
      <c r="Y999" s="16"/>
      <c r="Z999" s="16"/>
      <c r="AA999" s="16"/>
      <c r="AB999" s="16"/>
      <c r="AC999" s="16"/>
    </row>
    <row r="1000" ht="12.75" customHeight="1" spans="1:29" x14ac:dyDescent="0.25">
      <c r="A1000" s="16"/>
      <c r="B1000" s="16"/>
      <c r="C1000" s="16"/>
      <c r="D1000" s="16"/>
      <c r="E1000" s="16"/>
      <c r="F1000" s="16"/>
      <c r="G1000" s="16"/>
      <c r="H1000" s="647"/>
      <c r="I1000" s="647"/>
      <c r="J1000" s="647"/>
      <c r="K1000" s="647"/>
      <c r="L1000" s="647"/>
      <c r="M1000" s="647"/>
      <c r="N1000" s="647"/>
      <c r="O1000" s="647"/>
      <c r="P1000" s="647"/>
      <c r="Q1000" s="647"/>
      <c r="R1000" s="647"/>
      <c r="S1000" s="647"/>
      <c r="T1000" s="647"/>
      <c r="U1000" s="16"/>
      <c r="V1000" s="16"/>
      <c r="W1000" s="16"/>
      <c r="X1000" s="16"/>
      <c r="Y1000" s="16"/>
      <c r="Z1000" s="16"/>
      <c r="AA1000" s="16"/>
      <c r="AB1000" s="16"/>
      <c r="AC1000" s="16"/>
    </row>
  </sheetData>
  <mergeCells count="1">
    <mergeCell ref="B8:G8"/>
  </mergeCells>
  <conditionalFormatting sqref="E13:E30">
    <cfRule type="cellIs" dxfId="21" priority="1" operator="equal">
      <formula>"No Result"</formula>
    </cfRule>
  </conditionalFormatting>
  <dataValidations count="1">
    <dataValidation type="list" allowBlank="1" showErrorMessage="1" sqref="D13:D30">
      <formula1>$L$2:$L$6</formula1>
    </dataValidation>
  </dataValidations>
  <pageMargins left="0.75" right="0.75" top="1" bottom="1" header="0" footer="0"/>
  <pageSetup orientation="portrait" horizontalDpi="4294967295" verticalDpi="4294967295" scale="100" fitToWidth="1" fitToHeight="1" firstPageNumber="1" useFirstPageNumber="1" copies="1"/>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760000"/>
  </sheetPr>
  <dimension ref="A1:Z1000"/>
  <sheetViews>
    <sheetView workbookViewId="0" showGridLines="0" zoomScale="100" zoomScaleNormal="100">
      <pane ySplit="2" topLeftCell="A3" activePane="bottomLeft" state="frozen"/>
      <selection pane="bottomLeft" activeCell="B4" sqref="B4"/>
    </sheetView>
  </sheetViews>
  <sheetFormatPr defaultRowHeight="15" outlineLevelRow="0" outlineLevelCol="0" x14ac:dyDescent="0" defaultColWidth="14.5"/>
  <cols>
    <col min="1" max="2" width="1.6640625" customWidth="1"/>
    <col min="3" max="3" width="32.6640625" customWidth="1"/>
    <col min="4" max="12" width="10.5" customWidth="1"/>
    <col min="13" max="15" width="12.1640625" customWidth="1"/>
    <col min="16" max="17" width="10.5" customWidth="1"/>
    <col min="18" max="18" width="11.1640625" customWidth="1"/>
    <col min="19" max="19" width="10.5" customWidth="1"/>
    <col min="20" max="26" width="8.6640625" customWidth="1"/>
  </cols>
  <sheetData>
    <row r="1" ht="13.5" customHeight="1" spans="1:26" x14ac:dyDescent="0.25">
      <c r="A1" s="11"/>
      <c r="B1" s="11"/>
      <c r="C1" s="12" t="str">
        <f ca="1">Company_Name&amp;" - "&amp;MID(CELL("filename",A1),FIND("]",CELL("filename",A1))+1,255)&amp;": "&amp;Case_Scenario&amp;" Case"</f>
        <v>Lowe's Companies, Inc. - WACC: Base Case</v>
      </c>
      <c r="D1" s="11"/>
      <c r="E1" s="11"/>
      <c r="F1" s="11"/>
      <c r="G1" s="11"/>
      <c r="H1" s="11"/>
      <c r="I1" s="11"/>
      <c r="J1" s="11"/>
      <c r="K1" s="11"/>
      <c r="L1" s="11"/>
      <c r="M1" s="11"/>
      <c r="N1" s="11"/>
      <c r="O1" s="11"/>
      <c r="P1" s="11"/>
      <c r="Q1" s="11"/>
      <c r="R1" s="11"/>
      <c r="S1" s="11"/>
      <c r="T1" s="11"/>
      <c r="U1" s="11"/>
      <c r="V1" s="11"/>
      <c r="W1" s="11"/>
      <c r="X1" s="11"/>
      <c r="Y1" s="11"/>
      <c r="Z1" s="11"/>
    </row>
    <row r="2" ht="13.5" customHeight="1" spans="1:26" x14ac:dyDescent="0.25">
      <c r="A2" s="4"/>
      <c r="B2" s="4"/>
      <c r="C2" s="14" t="str">
        <f ca="1">Cover!C2</f>
        <v>$ in Millions Except Per Share Data</v>
      </c>
      <c r="D2" s="4"/>
      <c r="E2" s="4"/>
      <c r="F2" s="4"/>
      <c r="G2" s="4"/>
      <c r="H2" s="4"/>
      <c r="I2" s="4"/>
      <c r="J2" s="4"/>
      <c r="K2" s="4"/>
      <c r="L2" s="4"/>
      <c r="M2" s="4"/>
      <c r="N2" s="4"/>
      <c r="O2" s="4"/>
      <c r="P2" s="4"/>
      <c r="Q2" s="4"/>
      <c r="R2" s="4"/>
      <c r="S2" s="4"/>
      <c r="T2" s="4"/>
      <c r="U2" s="4"/>
      <c r="V2" s="4"/>
      <c r="W2" s="4"/>
      <c r="X2" s="4"/>
      <c r="Y2" s="4"/>
      <c r="Z2" s="4"/>
    </row>
    <row r="3" ht="13.5" customHeight="1" spans="1:26" x14ac:dyDescent="0.25">
      <c r="A3" s="5"/>
      <c r="B3" s="16"/>
      <c r="C3" s="16"/>
      <c r="D3" s="16"/>
      <c r="E3" s="16"/>
      <c r="F3" s="16"/>
      <c r="G3" s="16"/>
      <c r="H3" s="16"/>
      <c r="I3" s="16"/>
      <c r="J3" s="16"/>
      <c r="K3" s="16"/>
      <c r="L3" s="16"/>
      <c r="M3" s="16"/>
      <c r="N3" s="16"/>
      <c r="O3" s="16"/>
      <c r="P3" s="16"/>
      <c r="Q3" s="16"/>
      <c r="R3" s="654"/>
      <c r="S3" s="16"/>
      <c r="T3" s="16"/>
      <c r="U3" s="16"/>
      <c r="V3" s="16"/>
      <c r="W3" s="16"/>
      <c r="X3" s="16"/>
      <c r="Y3" s="16"/>
      <c r="Z3" s="16"/>
    </row>
    <row r="4" ht="13.5" customHeight="1" spans="1:26" x14ac:dyDescent="0.25">
      <c r="A4" s="17" t="s">
        <v>1</v>
      </c>
      <c r="B4" s="16"/>
      <c r="C4" s="18" t="s">
        <v>760</v>
      </c>
      <c r="D4" s="19"/>
      <c r="E4" s="19"/>
      <c r="F4" s="19"/>
      <c r="G4" s="20"/>
      <c r="H4" s="16"/>
      <c r="I4" s="16"/>
      <c r="J4" s="18" t="s">
        <v>761</v>
      </c>
      <c r="K4" s="19"/>
      <c r="L4" s="19"/>
      <c r="M4" s="63" t="s">
        <v>762</v>
      </c>
      <c r="N4" s="63" t="s">
        <v>763</v>
      </c>
      <c r="O4" s="64" t="s">
        <v>764</v>
      </c>
      <c r="P4" s="16"/>
      <c r="Q4" s="189"/>
      <c r="R4" s="266" t="s">
        <v>4</v>
      </c>
      <c r="S4" s="188"/>
      <c r="T4" s="16"/>
      <c r="U4" s="16"/>
      <c r="V4" s="16"/>
      <c r="W4" s="16"/>
      <c r="X4" s="16"/>
      <c r="Y4" s="16"/>
      <c r="Z4" s="16"/>
    </row>
    <row r="5" ht="13.5" customHeight="1" spans="1:26" x14ac:dyDescent="0.25">
      <c r="A5" s="17"/>
      <c r="B5" s="16"/>
      <c r="C5" s="16"/>
      <c r="D5" s="16"/>
      <c r="E5" s="16"/>
      <c r="F5" s="16"/>
      <c r="G5" s="16"/>
      <c r="H5" s="16"/>
      <c r="I5" s="16"/>
      <c r="J5" s="16"/>
      <c r="K5" s="16"/>
      <c r="L5" s="16"/>
      <c r="M5" s="84"/>
      <c r="N5" s="84"/>
      <c r="O5" s="84"/>
      <c r="P5" s="16"/>
      <c r="Q5" s="189"/>
      <c r="R5" s="655" t="s">
        <v>6</v>
      </c>
      <c r="S5" s="16"/>
      <c r="T5" s="16"/>
      <c r="U5" s="16"/>
      <c r="V5" s="16"/>
      <c r="W5" s="16"/>
      <c r="X5" s="16"/>
      <c r="Y5" s="16"/>
      <c r="Z5" s="16"/>
    </row>
    <row r="6" ht="13.5" customHeight="1" spans="1:26" x14ac:dyDescent="0.25">
      <c r="A6" s="17"/>
      <c r="B6" s="16"/>
      <c r="C6" s="16" t="s">
        <v>765</v>
      </c>
      <c r="D6" s="16"/>
      <c r="E6" s="16"/>
      <c r="F6" s="16"/>
      <c r="G6" s="656">
        <v>0.0349</v>
      </c>
      <c r="H6" s="16"/>
      <c r="I6" s="16"/>
      <c r="J6" s="16" t="s">
        <v>766</v>
      </c>
      <c r="K6" s="16"/>
      <c r="L6" s="16"/>
      <c r="M6" s="657">
        <f ca="1">Model!V139+Model!V140</f>
        <v>23311</v>
      </c>
      <c r="N6" s="552">
        <f ca="1">M6/$M$9</f>
        <v>0.12388314648205556</v>
      </c>
      <c r="O6" s="552">
        <f ca="1">Cost_of_Debt</f>
        <v>0.01277020530796194</v>
      </c>
      <c r="P6" s="16"/>
      <c r="Q6" s="16"/>
      <c r="R6" s="132"/>
      <c r="S6" s="16"/>
      <c r="T6" s="16"/>
      <c r="U6" s="16"/>
      <c r="V6" s="16"/>
      <c r="W6" s="16"/>
      <c r="X6" s="16"/>
      <c r="Y6" s="16"/>
      <c r="Z6" s="16"/>
    </row>
    <row r="7" ht="13.5" customHeight="1" spans="1:26" x14ac:dyDescent="0.25">
      <c r="A7" s="17"/>
      <c r="B7" s="16"/>
      <c r="C7" s="16" t="s">
        <v>767</v>
      </c>
      <c r="D7" s="16"/>
      <c r="E7" s="16"/>
      <c r="F7" s="16"/>
      <c r="G7" s="656">
        <v>0.049</v>
      </c>
      <c r="H7" s="16"/>
      <c r="I7" s="16"/>
      <c r="J7" s="16" t="s">
        <v>768</v>
      </c>
      <c r="K7" s="16"/>
      <c r="L7" s="16"/>
      <c r="M7" s="549">
        <f ca="1">Diluted_Shares*Share_Price</f>
        <v>164858.26</v>
      </c>
      <c r="N7" s="658">
        <f ca="1">1-Weight_of_Debt-Weight_of_Preferred</f>
        <v>0.8761168535179444</v>
      </c>
      <c r="O7" s="552">
        <f ca="1">Cost_of_Equity</f>
        <v>0.09991271</v>
      </c>
      <c r="P7" s="16"/>
      <c r="Q7" s="16"/>
      <c r="R7" s="16"/>
      <c r="S7" s="16"/>
      <c r="T7" s="16"/>
      <c r="U7" s="16"/>
      <c r="V7" s="16"/>
      <c r="W7" s="16"/>
      <c r="X7" s="16"/>
      <c r="Y7" s="16"/>
      <c r="Z7" s="16"/>
    </row>
    <row r="8" ht="13.5" customHeight="1" spans="1:26" x14ac:dyDescent="0.25">
      <c r="A8" s="17"/>
      <c r="B8" s="16"/>
      <c r="C8" s="16" t="s">
        <v>769</v>
      </c>
      <c r="D8" s="16"/>
      <c r="E8" s="16"/>
      <c r="F8" s="16"/>
      <c r="G8" s="656">
        <v>0.0169</v>
      </c>
      <c r="H8" s="16"/>
      <c r="I8" s="16"/>
      <c r="J8" s="16" t="s">
        <v>770</v>
      </c>
      <c r="K8" s="16"/>
      <c r="L8" s="16"/>
      <c r="M8" s="659">
        <v>0</v>
      </c>
      <c r="N8" s="552">
        <f ca="1">M8/$M$9</f>
        <v>1e-12</v>
      </c>
      <c r="O8" s="552">
        <f ca="1">Cost_of_Preferred</f>
        <v>0</v>
      </c>
      <c r="P8" s="16"/>
      <c r="Q8" s="16"/>
      <c r="R8" s="16"/>
      <c r="S8" s="16"/>
      <c r="T8" s="16"/>
      <c r="U8" s="16"/>
      <c r="V8" s="16"/>
      <c r="W8" s="16"/>
      <c r="X8" s="16"/>
      <c r="Y8" s="16"/>
      <c r="Z8" s="16"/>
    </row>
    <row r="9" ht="13.5" customHeight="1" spans="1:26" x14ac:dyDescent="0.25">
      <c r="A9" s="17"/>
      <c r="B9" s="16"/>
      <c r="C9" s="16" t="s">
        <v>771</v>
      </c>
      <c r="D9" s="16"/>
      <c r="E9" s="16"/>
      <c r="F9" s="16"/>
      <c r="G9" s="153">
        <f ca="1">Tax_Rate</f>
        <v>0.2443665498247371</v>
      </c>
      <c r="H9" s="16"/>
      <c r="I9" s="16"/>
      <c r="J9" s="132" t="s">
        <v>772</v>
      </c>
      <c r="K9" s="132"/>
      <c r="L9" s="132"/>
      <c r="M9" s="660">
        <f t="shared" ref="M9:N9" si="0" ca="1">SUM(M6:M8)</f>
        <v>188169.26</v>
      </c>
      <c r="N9" s="661">
        <f ca="1">SUM(N6:N8)</f>
        <v>1</v>
      </c>
      <c r="O9" s="661">
        <f ca="1">SUMPRODUCT(N6:N8,O6:O8)</f>
        <v>0.08911722232642302</v>
      </c>
      <c r="P9" s="16"/>
      <c r="Q9" s="16"/>
      <c r="R9" s="16"/>
      <c r="S9" s="16"/>
      <c r="T9" s="16"/>
      <c r="U9" s="16"/>
      <c r="V9" s="16"/>
      <c r="W9" s="16"/>
      <c r="X9" s="16"/>
      <c r="Y9" s="16"/>
      <c r="Z9" s="16"/>
    </row>
    <row r="10" ht="13.5" customHeight="1" spans="1:26" x14ac:dyDescent="0.25">
      <c r="A10" s="17"/>
      <c r="B10" s="16"/>
      <c r="C10" s="16" t="s">
        <v>773</v>
      </c>
      <c r="D10" s="16"/>
      <c r="E10" s="16"/>
      <c r="F10" s="16"/>
      <c r="G10" s="656">
        <v>0</v>
      </c>
      <c r="H10" s="16"/>
      <c r="I10" s="16"/>
      <c r="J10" s="16"/>
      <c r="K10" s="16"/>
      <c r="L10" s="16"/>
      <c r="M10" s="16"/>
      <c r="N10" s="16"/>
      <c r="O10" s="16"/>
      <c r="P10" s="16"/>
      <c r="Q10" s="16"/>
      <c r="R10" s="16"/>
      <c r="S10" s="16"/>
      <c r="T10" s="16"/>
      <c r="U10" s="16"/>
      <c r="V10" s="16"/>
      <c r="W10" s="16"/>
      <c r="X10" s="16"/>
      <c r="Y10" s="16"/>
      <c r="Z10" s="16"/>
    </row>
    <row r="11" ht="13.5" customHeight="1" spans="1:26" x14ac:dyDescent="0.25">
      <c r="A11" s="17"/>
      <c r="B11" s="16"/>
      <c r="C11" s="16"/>
      <c r="D11" s="16"/>
      <c r="E11" s="16"/>
      <c r="F11" s="16"/>
      <c r="G11" s="16"/>
      <c r="H11" s="16"/>
      <c r="I11" s="16"/>
      <c r="J11" s="16"/>
      <c r="K11" s="16"/>
      <c r="L11" s="16"/>
      <c r="M11" s="16"/>
      <c r="N11" s="16"/>
      <c r="O11" s="16"/>
      <c r="P11" s="16"/>
      <c r="Q11" s="16"/>
      <c r="R11" s="16"/>
      <c r="S11" s="16"/>
      <c r="T11" s="16"/>
      <c r="U11" s="16"/>
      <c r="V11" s="16"/>
      <c r="W11" s="16"/>
      <c r="X11" s="16"/>
      <c r="Y11" s="16"/>
      <c r="Z11" s="16"/>
    </row>
    <row r="12" ht="13.5" customHeight="1" spans="1:26" x14ac:dyDescent="0.25">
      <c r="A12" s="17"/>
      <c r="B12" s="16"/>
      <c r="C12" s="16"/>
      <c r="D12" s="16"/>
      <c r="E12" s="16"/>
      <c r="F12" s="16"/>
      <c r="G12" s="662"/>
      <c r="H12" s="16"/>
      <c r="I12" s="16"/>
      <c r="J12" s="16"/>
      <c r="K12" s="16"/>
      <c r="L12" s="16"/>
      <c r="M12" s="16"/>
      <c r="N12" s="16"/>
      <c r="O12" s="16"/>
      <c r="P12" s="16"/>
      <c r="Q12" s="16"/>
      <c r="R12" s="16"/>
      <c r="S12" s="16"/>
      <c r="T12" s="16"/>
      <c r="U12" s="16"/>
      <c r="V12" s="16"/>
      <c r="W12" s="16"/>
      <c r="X12" s="16"/>
      <c r="Y12" s="16"/>
      <c r="Z12" s="16"/>
    </row>
    <row r="13" ht="13.5" customHeight="1" spans="1:26" x14ac:dyDescent="0.25">
      <c r="A13" s="17" t="s">
        <v>1</v>
      </c>
      <c r="B13" s="16"/>
      <c r="C13" s="18" t="s">
        <v>774</v>
      </c>
      <c r="D13" s="19"/>
      <c r="E13" s="19"/>
      <c r="F13" s="19"/>
      <c r="G13" s="20"/>
      <c r="H13" s="16"/>
      <c r="I13" s="16"/>
      <c r="J13" s="663" t="s">
        <v>775</v>
      </c>
      <c r="K13" s="664"/>
      <c r="L13" s="664"/>
      <c r="M13" s="664"/>
      <c r="N13" s="664"/>
      <c r="O13" s="665">
        <f ca="1">SUMPRODUCT($N$6:$N$8,$O$6:$O$8)</f>
        <v>0.08911722232642302</v>
      </c>
      <c r="P13" s="16"/>
      <c r="Q13" s="16"/>
      <c r="R13" s="16"/>
      <c r="S13" s="16"/>
      <c r="T13" s="16"/>
      <c r="U13" s="16"/>
      <c r="V13" s="16"/>
      <c r="W13" s="16"/>
      <c r="X13" s="16"/>
      <c r="Y13" s="16"/>
      <c r="Z13" s="16"/>
    </row>
    <row r="14" ht="13.5" customHeight="1" spans="1:26" x14ac:dyDescent="0.25">
      <c r="A14" s="17"/>
      <c r="B14" s="16"/>
      <c r="C14" s="16"/>
      <c r="D14" s="16"/>
      <c r="E14" s="16"/>
      <c r="F14" s="16"/>
      <c r="G14" s="16"/>
      <c r="H14" s="16"/>
      <c r="I14" s="16"/>
      <c r="J14" s="16"/>
      <c r="K14" s="16"/>
      <c r="L14" s="16"/>
      <c r="M14" s="16"/>
      <c r="N14" s="16"/>
      <c r="O14" s="16"/>
      <c r="P14" s="16"/>
      <c r="Q14" s="16"/>
      <c r="R14" s="16"/>
      <c r="S14" s="16"/>
      <c r="T14" s="16"/>
      <c r="U14" s="16"/>
      <c r="V14" s="16"/>
      <c r="W14" s="16"/>
      <c r="X14" s="16"/>
      <c r="Y14" s="16"/>
      <c r="Z14" s="16"/>
    </row>
    <row r="15" ht="13.5" customHeight="1" spans="1:26" x14ac:dyDescent="0.25">
      <c r="A15" s="17"/>
      <c r="B15" s="16"/>
      <c r="C15" s="16" t="s">
        <v>769</v>
      </c>
      <c r="D15" s="16"/>
      <c r="E15" s="16"/>
      <c r="F15" s="16"/>
      <c r="G15" s="656">
        <f ca="1">G8</f>
        <v>0.0169</v>
      </c>
      <c r="H15" s="16"/>
      <c r="I15" s="16"/>
      <c r="J15" s="16"/>
      <c r="K15" s="16"/>
      <c r="L15" s="16"/>
      <c r="M15" s="16"/>
      <c r="N15" s="16"/>
      <c r="O15" s="16"/>
      <c r="P15" s="16"/>
      <c r="Q15" s="16"/>
      <c r="R15" s="16"/>
      <c r="S15" s="16"/>
      <c r="T15" s="16"/>
      <c r="U15" s="16"/>
      <c r="V15" s="16"/>
      <c r="W15" s="16"/>
      <c r="X15" s="16"/>
      <c r="Y15" s="16"/>
      <c r="Z15" s="16"/>
    </row>
    <row r="16" ht="13.5" customHeight="1" spans="1:26" x14ac:dyDescent="0.25">
      <c r="A16" s="17"/>
      <c r="B16" s="16"/>
      <c r="C16" s="16" t="s">
        <v>776</v>
      </c>
      <c r="D16" s="16"/>
      <c r="E16" s="16"/>
      <c r="F16" s="16"/>
      <c r="G16" s="153">
        <f ca="1">Tax_Rate</f>
        <v>0.2443665498247371</v>
      </c>
      <c r="H16" s="16"/>
      <c r="I16" s="16"/>
      <c r="J16" s="16"/>
      <c r="K16" s="16"/>
      <c r="L16" s="16"/>
      <c r="M16" s="16"/>
      <c r="N16" s="16"/>
      <c r="O16" s="16"/>
      <c r="P16" s="16"/>
      <c r="Q16" s="16"/>
      <c r="R16" s="16"/>
      <c r="S16" s="16"/>
      <c r="T16" s="16"/>
      <c r="U16" s="16"/>
      <c r="V16" s="16"/>
      <c r="W16" s="16"/>
      <c r="X16" s="16"/>
      <c r="Y16" s="16"/>
      <c r="Z16" s="16"/>
    </row>
    <row r="17" ht="13.5" customHeight="1" spans="1:26" x14ac:dyDescent="0.25">
      <c r="A17" s="17"/>
      <c r="B17" s="16"/>
      <c r="C17" s="132" t="s">
        <v>777</v>
      </c>
      <c r="D17" s="132"/>
      <c r="E17" s="132"/>
      <c r="F17" s="132"/>
      <c r="G17" s="666">
        <f ca="1">G15*(1-G16)</f>
        <v>0.01277020530796194</v>
      </c>
      <c r="H17" s="16"/>
      <c r="I17" s="16"/>
      <c r="J17" s="16"/>
      <c r="K17" s="16"/>
      <c r="L17" s="16"/>
      <c r="M17" s="16"/>
      <c r="N17" s="16"/>
      <c r="O17" s="16"/>
      <c r="P17" s="16"/>
      <c r="Q17" s="16"/>
      <c r="R17" s="16"/>
      <c r="S17" s="16"/>
      <c r="T17" s="16"/>
      <c r="U17" s="16"/>
      <c r="V17" s="16"/>
      <c r="W17" s="16"/>
      <c r="X17" s="16"/>
      <c r="Y17" s="16"/>
      <c r="Z17" s="16"/>
    </row>
    <row r="18" ht="13.5" customHeight="1" spans="1:26" x14ac:dyDescent="0.25">
      <c r="A18" s="17"/>
      <c r="B18" s="16"/>
      <c r="C18" s="16"/>
      <c r="D18" s="16"/>
      <c r="E18" s="16"/>
      <c r="F18" s="16"/>
      <c r="G18" s="16"/>
      <c r="H18" s="16"/>
      <c r="I18" s="16"/>
      <c r="J18" s="16"/>
      <c r="K18" s="16"/>
      <c r="L18" s="16"/>
      <c r="M18" s="16"/>
      <c r="N18" s="16"/>
      <c r="O18" s="16"/>
      <c r="P18" s="16"/>
      <c r="Q18" s="16"/>
      <c r="R18" s="16"/>
      <c r="S18" s="16"/>
      <c r="T18" s="16"/>
      <c r="U18" s="16"/>
      <c r="V18" s="16"/>
      <c r="W18" s="16"/>
      <c r="X18" s="16"/>
      <c r="Y18" s="16"/>
      <c r="Z18" s="16"/>
    </row>
    <row r="19" ht="13.5" customHeight="1" spans="1:26" x14ac:dyDescent="0.25">
      <c r="A19" s="17"/>
      <c r="B19" s="16"/>
      <c r="C19" s="16"/>
      <c r="D19" s="16"/>
      <c r="E19" s="16"/>
      <c r="F19" s="16"/>
      <c r="G19" s="16"/>
      <c r="H19" s="16"/>
      <c r="I19" s="16"/>
      <c r="J19" s="16"/>
      <c r="K19" s="16"/>
      <c r="L19" s="16"/>
      <c r="M19" s="16"/>
      <c r="N19" s="16"/>
      <c r="O19" s="16"/>
      <c r="P19" s="16"/>
      <c r="Q19" s="16"/>
      <c r="R19" s="16"/>
      <c r="S19" s="16"/>
      <c r="T19" s="16"/>
      <c r="U19" s="16"/>
      <c r="V19" s="16"/>
      <c r="W19" s="16"/>
      <c r="X19" s="16"/>
      <c r="Y19" s="16"/>
      <c r="Z19" s="16"/>
    </row>
    <row r="20" ht="13.5" customHeight="1" spans="1:26" x14ac:dyDescent="0.25">
      <c r="A20" s="17" t="s">
        <v>1</v>
      </c>
      <c r="B20" s="16"/>
      <c r="C20" s="18" t="s">
        <v>778</v>
      </c>
      <c r="D20" s="19"/>
      <c r="E20" s="19"/>
      <c r="F20" s="19"/>
      <c r="G20" s="20"/>
      <c r="H20" s="16"/>
      <c r="I20" s="16"/>
      <c r="J20" s="18" t="s">
        <v>779</v>
      </c>
      <c r="K20" s="19"/>
      <c r="L20" s="19"/>
      <c r="M20" s="19"/>
      <c r="N20" s="19"/>
      <c r="O20" s="19"/>
      <c r="P20" s="20"/>
      <c r="Q20" s="667">
        <f ca="1">N26-Discount_Rate</f>
        <v>-0.00024017932196848668</v>
      </c>
      <c r="R20" s="16"/>
      <c r="S20" s="16"/>
      <c r="T20" s="16"/>
      <c r="U20" s="16"/>
      <c r="V20" s="16"/>
      <c r="W20" s="16"/>
      <c r="X20" s="16"/>
      <c r="Y20" s="16"/>
      <c r="Z20" s="16"/>
    </row>
    <row r="21" ht="13.5" customHeight="1" spans="1:26" x14ac:dyDescent="0.25">
      <c r="A21" s="17"/>
      <c r="B21" s="16"/>
      <c r="C21" s="16"/>
      <c r="D21" s="16"/>
      <c r="E21" s="16"/>
      <c r="F21" s="16"/>
      <c r="G21" s="16"/>
      <c r="H21" s="16"/>
      <c r="I21" s="16"/>
      <c r="J21" s="47"/>
      <c r="K21" s="199"/>
      <c r="L21" s="84"/>
      <c r="M21" s="84"/>
      <c r="N21" s="84"/>
      <c r="O21" s="84"/>
      <c r="P21" s="84"/>
      <c r="Q21" s="16"/>
      <c r="R21" s="16"/>
      <c r="S21" s="16"/>
      <c r="T21" s="16"/>
      <c r="U21" s="16"/>
      <c r="V21" s="16"/>
      <c r="W21" s="16"/>
      <c r="X21" s="16"/>
      <c r="Y21" s="16"/>
      <c r="Z21" s="16"/>
    </row>
    <row r="22" ht="13.5" customHeight="1" spans="1:26" x14ac:dyDescent="0.25">
      <c r="A22" s="17"/>
      <c r="B22" s="16"/>
      <c r="C22" s="16" t="str">
        <f t="shared" ref="C22:C23" si="1" ca="1">C6</f>
        <v>Risk-Free Rate:</v>
      </c>
      <c r="D22" s="16"/>
      <c r="E22" s="16"/>
      <c r="F22" s="16"/>
      <c r="G22" s="656">
        <f ca="1">Risk_Free_Rate</f>
        <v>0.0349</v>
      </c>
      <c r="H22" s="16"/>
      <c r="I22" s="16"/>
      <c r="J22" s="590"/>
      <c r="K22" s="592"/>
      <c r="L22" s="592" t="s">
        <v>780</v>
      </c>
      <c r="M22" s="668"/>
      <c r="N22" s="668"/>
      <c r="O22" s="668"/>
      <c r="P22" s="668"/>
      <c r="Q22" s="16"/>
      <c r="R22" s="16"/>
      <c r="S22" s="16"/>
      <c r="T22" s="16"/>
      <c r="U22" s="16"/>
      <c r="V22" s="16"/>
      <c r="W22" s="16"/>
      <c r="X22" s="16"/>
      <c r="Y22" s="16"/>
      <c r="Z22" s="16"/>
    </row>
    <row r="23" ht="14.25" customHeight="1" spans="1:26" x14ac:dyDescent="0.25">
      <c r="A23" s="17"/>
      <c r="B23" s="16"/>
      <c r="C23" s="16" t="str">
        <f ca="1">C7</f>
        <v>Equity Risk Premium (ERP):</v>
      </c>
      <c r="D23" s="16"/>
      <c r="E23" s="16"/>
      <c r="F23" s="16"/>
      <c r="G23" s="656">
        <f ca="1">ERP</f>
        <v>0.049</v>
      </c>
      <c r="H23" s="16"/>
      <c r="I23" s="16"/>
      <c r="J23" s="16"/>
      <c r="K23" s="669">
        <f ca="1">Discount_Rate</f>
        <v>0.08911722232642302</v>
      </c>
      <c r="L23" s="670">
        <f t="shared" ref="L23:M23" si="2" ca="1">M23-$M$34</f>
        <v>0.006899999999999997</v>
      </c>
      <c r="M23" s="670">
        <f ca="1">N23-$M$34</f>
        <v>0.011899999999999997</v>
      </c>
      <c r="N23" s="671">
        <v>0.0169</v>
      </c>
      <c r="O23" s="670">
        <f t="shared" ref="O23:P23" si="3" ca="1">N23+$M$34</f>
        <v>0.0219</v>
      </c>
      <c r="P23" s="670">
        <f ca="1">O23+$M$34</f>
        <v>0.0269</v>
      </c>
      <c r="Q23" s="16"/>
      <c r="R23" s="16"/>
      <c r="S23" s="16"/>
      <c r="T23" s="16"/>
      <c r="U23" s="16"/>
      <c r="V23" s="16"/>
      <c r="W23" s="16"/>
      <c r="X23" s="16"/>
      <c r="Y23" s="16"/>
      <c r="Z23" s="16"/>
    </row>
    <row r="24" ht="14.25" customHeight="1" spans="1:26" x14ac:dyDescent="0.25">
      <c r="A24" s="17"/>
      <c r="B24" s="16"/>
      <c r="C24" s="131" t="s">
        <v>781</v>
      </c>
      <c r="D24" s="131"/>
      <c r="E24" s="131"/>
      <c r="F24" s="131"/>
      <c r="G24" s="672">
        <f ca="1">IF(J44="Comps Relevered Beta",G47,G49)</f>
        <v>1.32679</v>
      </c>
      <c r="H24" s="16"/>
      <c r="I24" s="16"/>
      <c r="J24" s="673" t="s">
        <v>782</v>
      </c>
      <c r="K24" s="674">
        <f t="shared" ref="K24:K25" si="4" ca="1">K25-$M$37</f>
        <v>0.08622950713147168</v>
      </c>
      <c r="L24" s="675">
        <v>0.09173691560741139</v>
      </c>
      <c r="M24" s="676">
        <v>0.0920554875979049</v>
      </c>
      <c r="N24" s="676">
        <v>0.09237405958839841</v>
      </c>
      <c r="O24" s="676">
        <v>0.09269263157889192</v>
      </c>
      <c r="P24" s="677">
        <v>0.09301120356938543</v>
      </c>
      <c r="Q24" s="16"/>
      <c r="R24" s="16"/>
      <c r="S24" s="16"/>
      <c r="T24" s="16"/>
      <c r="U24" s="16"/>
      <c r="V24" s="16"/>
      <c r="W24" s="16"/>
      <c r="X24" s="16"/>
      <c r="Y24" s="16"/>
      <c r="Z24" s="16"/>
    </row>
    <row r="25" ht="13.5" customHeight="1" spans="1:26" x14ac:dyDescent="0.25">
      <c r="A25" s="17"/>
      <c r="B25" s="16"/>
      <c r="C25" s="16" t="s">
        <v>778</v>
      </c>
      <c r="D25" s="16"/>
      <c r="E25" s="16"/>
      <c r="F25" s="16"/>
      <c r="G25" s="656">
        <f ca="1">G22+G24*G23</f>
        <v>0.09991271</v>
      </c>
      <c r="H25" s="16"/>
      <c r="I25" s="16"/>
      <c r="J25" s="678"/>
      <c r="K25" s="674">
        <f ca="1">K26-$M$37</f>
        <v>0.10622950713147168</v>
      </c>
      <c r="L25" s="679">
        <v>0.08984062867163585</v>
      </c>
      <c r="M25" s="680">
        <v>0.09023308998403115</v>
      </c>
      <c r="N25" s="680">
        <v>0.09062555129642647</v>
      </c>
      <c r="O25" s="680">
        <v>0.09101801260882177</v>
      </c>
      <c r="P25" s="681">
        <v>0.09141047392121707</v>
      </c>
      <c r="Q25" s="16"/>
      <c r="R25" s="16"/>
      <c r="S25" s="16"/>
      <c r="T25" s="16"/>
      <c r="U25" s="16"/>
      <c r="V25" s="16"/>
      <c r="W25" s="16"/>
      <c r="X25" s="16"/>
      <c r="Y25" s="16"/>
      <c r="Z25" s="16"/>
    </row>
    <row r="26" ht="13.5" customHeight="1" spans="1:26" x14ac:dyDescent="0.25">
      <c r="A26" s="17"/>
      <c r="B26" s="16"/>
      <c r="C26" s="16"/>
      <c r="D26" s="16"/>
      <c r="E26" s="16"/>
      <c r="F26" s="16"/>
      <c r="G26" s="16"/>
      <c r="H26" s="16"/>
      <c r="I26" s="16"/>
      <c r="J26" s="678"/>
      <c r="K26" s="682">
        <v>0.12622950713147169</v>
      </c>
      <c r="L26" s="679">
        <v>0.08794434173586034</v>
      </c>
      <c r="M26" s="680">
        <v>0.08841069237015745</v>
      </c>
      <c r="N26" s="680">
        <v>0.08887704300445454</v>
      </c>
      <c r="O26" s="680">
        <v>0.08934339363875164</v>
      </c>
      <c r="P26" s="681">
        <v>0.08980974427304873</v>
      </c>
      <c r="Q26" s="16"/>
      <c r="R26" s="16"/>
      <c r="S26" s="16"/>
      <c r="T26" s="16"/>
      <c r="U26" s="16"/>
      <c r="V26" s="16"/>
      <c r="W26" s="16"/>
      <c r="X26" s="16"/>
      <c r="Y26" s="16"/>
      <c r="Z26" s="16"/>
    </row>
    <row r="27" ht="13.5" customHeight="1" spans="1:26" x14ac:dyDescent="0.25">
      <c r="A27" s="17"/>
      <c r="B27" s="16"/>
      <c r="C27" s="16"/>
      <c r="D27" s="16"/>
      <c r="E27" s="16"/>
      <c r="F27" s="16"/>
      <c r="G27" s="16"/>
      <c r="H27" s="16"/>
      <c r="I27" s="16"/>
      <c r="J27" s="678"/>
      <c r="K27" s="674">
        <f t="shared" ref="K27:K28" si="5" ca="1">K26+$M$37</f>
        <v>0.14622950713147168</v>
      </c>
      <c r="L27" s="679">
        <v>0.08604805480008482</v>
      </c>
      <c r="M27" s="680">
        <v>0.0865882947562837</v>
      </c>
      <c r="N27" s="680">
        <v>0.0871285347124826</v>
      </c>
      <c r="O27" s="680">
        <v>0.08766877466868148</v>
      </c>
      <c r="P27" s="681">
        <v>0.08820901462488037</v>
      </c>
      <c r="Q27" s="16"/>
      <c r="R27" s="16"/>
      <c r="S27" s="16"/>
      <c r="T27" s="16"/>
      <c r="U27" s="16"/>
      <c r="V27" s="16"/>
      <c r="W27" s="16"/>
      <c r="X27" s="16"/>
      <c r="Y27" s="16"/>
      <c r="Z27" s="16"/>
    </row>
    <row r="28" ht="13.5" customHeight="1" spans="1:26" x14ac:dyDescent="0.25">
      <c r="A28" s="17" t="s">
        <v>1</v>
      </c>
      <c r="B28" s="16"/>
      <c r="C28" s="18" t="str">
        <f ca="1">Company_Name&amp;" - Peer Group Unlevered Beta:"</f>
        <v>Lowe's Companies, Inc. - Peer Group Unlevered Beta:</v>
      </c>
      <c r="D28" s="19"/>
      <c r="E28" s="19"/>
      <c r="F28" s="19"/>
      <c r="G28" s="20"/>
      <c r="H28" s="16"/>
      <c r="I28" s="16"/>
      <c r="J28" s="683"/>
      <c r="K28" s="674">
        <f ca="1">K27+$M$37</f>
        <v>0.16622950713147167</v>
      </c>
      <c r="L28" s="684">
        <v>0.08415176786430928</v>
      </c>
      <c r="M28" s="685">
        <v>0.08476589714240997</v>
      </c>
      <c r="N28" s="685">
        <v>0.08538002642051064</v>
      </c>
      <c r="O28" s="685">
        <v>0.08599415569861132</v>
      </c>
      <c r="P28" s="686">
        <v>0.08660828497671201</v>
      </c>
      <c r="Q28" s="16"/>
      <c r="R28" s="16"/>
      <c r="S28" s="16"/>
      <c r="T28" s="16"/>
      <c r="U28" s="16"/>
      <c r="V28" s="16"/>
      <c r="W28" s="16"/>
      <c r="X28" s="16"/>
      <c r="Y28" s="16"/>
      <c r="Z28" s="16"/>
    </row>
    <row r="29" ht="13.5" customHeight="1" spans="1:26" x14ac:dyDescent="0.25">
      <c r="A29" s="17"/>
      <c r="B29" s="16"/>
      <c r="C29" s="16"/>
      <c r="D29" s="16"/>
      <c r="E29" s="16"/>
      <c r="F29" s="16"/>
      <c r="G29" s="16"/>
      <c r="H29" s="16"/>
      <c r="I29" s="16"/>
      <c r="J29" s="16"/>
      <c r="K29" s="16"/>
      <c r="L29" s="16"/>
      <c r="M29" s="16"/>
      <c r="N29" s="16"/>
      <c r="O29" s="16"/>
      <c r="P29" s="16"/>
      <c r="Q29" s="16"/>
      <c r="R29" s="16"/>
      <c r="S29" s="16"/>
      <c r="T29" s="16"/>
      <c r="U29" s="16"/>
      <c r="V29" s="16"/>
      <c r="W29" s="16"/>
      <c r="X29" s="16"/>
      <c r="Y29" s="16"/>
      <c r="Z29" s="16"/>
    </row>
    <row r="30" ht="13.5" customHeight="1" spans="1:26" x14ac:dyDescent="0.25">
      <c r="A30" s="17"/>
      <c r="B30" s="16"/>
      <c r="C30" s="16"/>
      <c r="D30" s="84" t="s">
        <v>783</v>
      </c>
      <c r="E30" s="84" t="s">
        <v>784</v>
      </c>
      <c r="F30" s="84" t="s">
        <v>785</v>
      </c>
      <c r="G30" s="84" t="s">
        <v>786</v>
      </c>
      <c r="H30" s="16"/>
      <c r="I30" s="16"/>
      <c r="J30" s="16"/>
      <c r="K30" s="16"/>
      <c r="L30" s="16"/>
      <c r="M30" s="16"/>
      <c r="N30" s="16"/>
      <c r="O30" s="16"/>
      <c r="P30" s="16"/>
      <c r="Q30" s="16"/>
      <c r="R30" s="16"/>
      <c r="S30" s="16"/>
      <c r="T30" s="16"/>
      <c r="U30" s="16"/>
      <c r="V30" s="16"/>
      <c r="W30" s="16"/>
      <c r="X30" s="16"/>
      <c r="Y30" s="16"/>
      <c r="Z30" s="16"/>
    </row>
    <row r="31" ht="13.5" customHeight="1" spans="1:26" x14ac:dyDescent="0.25">
      <c r="A31" s="17"/>
      <c r="B31" s="16"/>
      <c r="C31" s="131" t="s">
        <v>523</v>
      </c>
      <c r="D31" s="210" t="s">
        <v>535</v>
      </c>
      <c r="E31" s="210" t="s">
        <v>540</v>
      </c>
      <c r="F31" s="210" t="s">
        <v>787</v>
      </c>
      <c r="G31" s="210" t="s">
        <v>535</v>
      </c>
      <c r="H31" s="16"/>
      <c r="I31" s="16"/>
      <c r="J31" s="92" t="s">
        <v>788</v>
      </c>
      <c r="K31" s="22"/>
      <c r="L31" s="22"/>
      <c r="M31" s="7"/>
      <c r="N31" s="16"/>
      <c r="O31" s="16"/>
      <c r="P31" s="16"/>
      <c r="Q31" s="16"/>
      <c r="R31" s="16"/>
      <c r="S31" s="16"/>
      <c r="T31" s="16"/>
      <c r="U31" s="16"/>
      <c r="V31" s="16"/>
      <c r="W31" s="16"/>
      <c r="X31" s="16"/>
      <c r="Y31" s="16"/>
      <c r="Z31" s="16"/>
    </row>
    <row r="32" ht="13.5" customHeight="1" spans="1:26" x14ac:dyDescent="0.25">
      <c r="A32" s="17"/>
      <c r="B32" s="16"/>
      <c r="C32" s="16"/>
      <c r="D32" s="233"/>
      <c r="E32" s="687"/>
      <c r="F32" s="687"/>
      <c r="G32" s="688"/>
      <c r="H32" s="16"/>
      <c r="I32" s="16"/>
      <c r="J32" s="16"/>
      <c r="K32" s="16"/>
      <c r="L32" s="16"/>
      <c r="M32" s="16"/>
      <c r="N32" s="16"/>
      <c r="O32" s="16"/>
      <c r="P32" s="16"/>
      <c r="Q32" s="16"/>
      <c r="R32" s="16"/>
      <c r="S32" s="16"/>
      <c r="T32" s="16"/>
      <c r="U32" s="16"/>
      <c r="V32" s="16"/>
      <c r="W32" s="16"/>
      <c r="X32" s="16"/>
      <c r="Y32" s="16"/>
      <c r="Z32" s="16"/>
    </row>
    <row r="33" ht="13.5" customHeight="1" spans="1:26" x14ac:dyDescent="0.25">
      <c r="A33" s="17"/>
      <c r="B33" s="16"/>
      <c r="C33" s="461">
        <f ca="1">Comparables!D12</f>
        <v>1e-12</v>
      </c>
      <c r="D33" s="689">
        <f ca="1">Comparables!H30</f>
        <v>1.20277</v>
      </c>
      <c r="E33" s="690">
        <f ca="1">Comparables!O30</f>
        <v>1.871439</v>
      </c>
      <c r="F33" s="691">
        <f ca="1">Comparables!G30</f>
        <v>0.144281</v>
      </c>
      <c r="G33" s="692">
        <f t="shared" ref="G33:G37" si="6" ca="1">IF(ISERROR(D33/(1+(1-F33)*E33)),"NA",(D33/(1+(1-F33)*E33)))</f>
        <v>0.4623502808757615</v>
      </c>
      <c r="H33" s="16"/>
      <c r="I33" s="16"/>
      <c r="J33" s="16" t="s">
        <v>789</v>
      </c>
      <c r="K33" s="16"/>
      <c r="L33" s="16"/>
      <c r="M33" s="693">
        <f ca="1">G8</f>
        <v>0.0169</v>
      </c>
      <c r="N33" s="667">
        <f ca="1">M33-N23</f>
        <v>1e-12</v>
      </c>
      <c r="O33" s="16"/>
      <c r="P33" s="16"/>
      <c r="Q33" s="16"/>
      <c r="R33" s="16"/>
      <c r="S33" s="16"/>
      <c r="T33" s="16"/>
      <c r="U33" s="16"/>
      <c r="V33" s="16"/>
      <c r="W33" s="16"/>
      <c r="X33" s="16"/>
      <c r="Y33" s="16"/>
      <c r="Z33" s="16"/>
    </row>
    <row r="34" ht="13.5" customHeight="1" spans="1:26" x14ac:dyDescent="0.25">
      <c r="A34" s="17"/>
      <c r="B34" s="16"/>
      <c r="C34" s="461">
        <f ca="1">Comparables!D13</f>
        <v>1e-12</v>
      </c>
      <c r="D34" s="689">
        <f ca="1">Comparables!H31</f>
        <v>1.29172</v>
      </c>
      <c r="E34" s="690">
        <f ca="1">Comparables!O31</f>
        <v>0.08712199999999999</v>
      </c>
      <c r="F34" s="691">
        <f ca="1">Comparables!G31</f>
        <v>0.12157899999999999</v>
      </c>
      <c r="G34" s="692">
        <f ca="1">IF(ISERROR(D34/(1+(1-F34)*E34)),"NA",(D34/(1+(1-F34)*E34)))</f>
        <v>1.1998924755868288</v>
      </c>
      <c r="H34" s="16"/>
      <c r="I34" s="16"/>
      <c r="J34" s="16" t="s">
        <v>790</v>
      </c>
      <c r="K34" s="16"/>
      <c r="L34" s="16"/>
      <c r="M34" s="694">
        <v>0.005</v>
      </c>
      <c r="N34" s="16"/>
      <c r="O34" s="16"/>
      <c r="P34" s="16"/>
      <c r="Q34" s="16"/>
      <c r="R34" s="16"/>
      <c r="S34" s="16"/>
      <c r="T34" s="16"/>
      <c r="U34" s="16"/>
      <c r="V34" s="16"/>
      <c r="W34" s="16"/>
      <c r="X34" s="16"/>
      <c r="Y34" s="16"/>
      <c r="Z34" s="16"/>
    </row>
    <row r="35" ht="13.5" customHeight="1" spans="1:26" x14ac:dyDescent="0.25">
      <c r="A35" s="17"/>
      <c r="B35" s="16"/>
      <c r="C35" s="461">
        <f ca="1">Comparables!D14</f>
        <v>1e-12</v>
      </c>
      <c r="D35" s="689">
        <f ca="1">Comparables!H32</f>
        <v>0.77608</v>
      </c>
      <c r="E35" s="690">
        <f ca="1">Comparables!O32</f>
        <v>0.579471</v>
      </c>
      <c r="F35" s="691">
        <f ca="1">Comparables!G32</f>
        <v>0.138266</v>
      </c>
      <c r="G35" s="692">
        <f ca="1">IF(ISERROR(D35/(1+(1-F35)*E35)),"NA",(D35/(1+(1-F35)*E35)))</f>
        <v>0.5176110121457601</v>
      </c>
      <c r="H35" s="16"/>
      <c r="I35" s="16"/>
      <c r="J35" s="16"/>
      <c r="K35" s="16"/>
      <c r="L35" s="16"/>
      <c r="M35" s="84"/>
      <c r="N35" s="16"/>
      <c r="O35" s="16"/>
      <c r="P35" s="16"/>
      <c r="Q35" s="16"/>
      <c r="R35" s="16"/>
      <c r="S35" s="16"/>
      <c r="T35" s="16"/>
      <c r="U35" s="16"/>
      <c r="V35" s="16"/>
      <c r="W35" s="16"/>
      <c r="X35" s="16"/>
      <c r="Y35" s="16"/>
      <c r="Z35" s="16"/>
    </row>
    <row r="36" ht="13.5" customHeight="1" spans="1:26" x14ac:dyDescent="0.25">
      <c r="A36" s="17"/>
      <c r="B36" s="16"/>
      <c r="C36" s="461">
        <f ca="1">Comparables!D15</f>
        <v>1e-12</v>
      </c>
      <c r="D36" s="689">
        <f ca="1">Comparables!H33</f>
        <v>1.27315</v>
      </c>
      <c r="E36" s="690">
        <f ca="1">Comparables!O33</f>
        <v>0.859896</v>
      </c>
      <c r="F36" s="691">
        <f ca="1">Comparables!G33</f>
        <v>0.138266</v>
      </c>
      <c r="G36" s="692">
        <f ca="1">IF(ISERROR(D36/(1+(1-F36)*E36)),"NA",(D36/(1+(1-F36)*E36)))</f>
        <v>0.731274448926537</v>
      </c>
      <c r="H36" s="16"/>
      <c r="I36" s="16"/>
      <c r="J36" s="16" t="s">
        <v>791</v>
      </c>
      <c r="K36" s="16"/>
      <c r="L36" s="16"/>
      <c r="M36" s="695">
        <f ca="1">Weight_of_Debt</f>
        <v>0.12388314648205556</v>
      </c>
      <c r="N36" s="667">
        <f ca="1">M36-K26</f>
        <v>-0.0023463606494161238</v>
      </c>
      <c r="O36" s="16"/>
      <c r="P36" s="16"/>
      <c r="Q36" s="16"/>
      <c r="R36" s="16"/>
      <c r="S36" s="16"/>
      <c r="T36" s="16"/>
      <c r="U36" s="16"/>
      <c r="V36" s="16"/>
      <c r="W36" s="16"/>
      <c r="X36" s="16"/>
      <c r="Y36" s="16"/>
      <c r="Z36" s="16"/>
    </row>
    <row r="37" ht="13.5" customHeight="1" spans="1:26" x14ac:dyDescent="0.25">
      <c r="A37" s="17"/>
      <c r="B37" s="16"/>
      <c r="C37" s="461">
        <f ca="1">Comparables!D16</f>
        <v>1e-12</v>
      </c>
      <c r="D37" s="689">
        <f ca="1">Comparables!H34</f>
        <v>0.99925</v>
      </c>
      <c r="E37" s="690">
        <f ca="1">Comparables!O34</f>
        <v>0.125242</v>
      </c>
      <c r="F37" s="691">
        <f ca="1">Comparables!G34</f>
        <v>0.16249300000000003</v>
      </c>
      <c r="G37" s="692">
        <f ca="1">IF(ISERROR(D37/(1+(1-F37)*E37)),"NA",(D37/(1+(1-F37)*E37)))</f>
        <v>0.9043878113303271</v>
      </c>
      <c r="H37" s="16"/>
      <c r="I37" s="16"/>
      <c r="J37" s="16" t="s">
        <v>792</v>
      </c>
      <c r="K37" s="16"/>
      <c r="L37" s="16"/>
      <c r="M37" s="694">
        <v>0.02</v>
      </c>
      <c r="N37" s="16"/>
      <c r="O37" s="16"/>
      <c r="P37" s="16"/>
      <c r="Q37" s="16"/>
      <c r="R37" s="16"/>
      <c r="S37" s="16"/>
      <c r="T37" s="16"/>
      <c r="U37" s="16"/>
      <c r="V37" s="16"/>
      <c r="W37" s="16"/>
      <c r="X37" s="16"/>
      <c r="Y37" s="16"/>
      <c r="Z37" s="16"/>
    </row>
    <row r="38" ht="13.5" customHeight="1" spans="1:26" x14ac:dyDescent="0.25">
      <c r="A38" s="17"/>
      <c r="B38" s="16"/>
      <c r="C38" s="131"/>
      <c r="D38" s="696"/>
      <c r="E38" s="697"/>
      <c r="F38" s="698"/>
      <c r="G38" s="699"/>
      <c r="H38" s="16"/>
      <c r="I38" s="16"/>
      <c r="J38" s="16"/>
      <c r="K38" s="16"/>
      <c r="L38" s="16"/>
      <c r="M38" s="16"/>
      <c r="N38" s="16"/>
      <c r="O38" s="16"/>
      <c r="P38" s="16"/>
      <c r="Q38" s="16"/>
      <c r="R38" s="16"/>
      <c r="S38" s="16"/>
      <c r="T38" s="16"/>
      <c r="U38" s="16"/>
      <c r="V38" s="16"/>
      <c r="W38" s="16"/>
      <c r="X38" s="16"/>
      <c r="Y38" s="16"/>
      <c r="Z38" s="16"/>
    </row>
    <row r="39" ht="13.5" customHeight="1" spans="1:26" x14ac:dyDescent="0.25">
      <c r="A39" s="17"/>
      <c r="B39" s="16"/>
      <c r="C39" s="16" t="s">
        <v>793</v>
      </c>
      <c r="D39" s="692">
        <f t="shared" ref="D39:G39" si="7" ca="1">AVERAGE(D32:D38)</f>
        <v>1.1085939999999999</v>
      </c>
      <c r="E39" s="548">
        <f ca="1">AVERAGE(E32:E38)</f>
        <v>0.704634</v>
      </c>
      <c r="F39" s="552">
        <f ca="1">AVERAGE(F32:F38)</f>
        <v>0.140977</v>
      </c>
      <c r="G39" s="692">
        <f ca="1">AVERAGE(G32:G38)</f>
        <v>0.7631032057730429</v>
      </c>
      <c r="H39" s="16"/>
      <c r="I39" s="16"/>
      <c r="J39" s="16"/>
      <c r="K39" s="16"/>
      <c r="L39" s="16"/>
      <c r="M39" s="16"/>
      <c r="N39" s="16"/>
      <c r="O39" s="16"/>
      <c r="P39" s="16"/>
      <c r="Q39" s="16"/>
      <c r="R39" s="16"/>
      <c r="S39" s="16"/>
      <c r="T39" s="16"/>
      <c r="U39" s="16"/>
      <c r="V39" s="16"/>
      <c r="W39" s="16"/>
      <c r="X39" s="16"/>
      <c r="Y39" s="16"/>
      <c r="Z39" s="16"/>
    </row>
    <row r="40" ht="13.5" customHeight="1" spans="1:26" x14ac:dyDescent="0.25">
      <c r="A40" s="17"/>
      <c r="B40" s="16"/>
      <c r="C40" s="16" t="s">
        <v>794</v>
      </c>
      <c r="D40" s="692">
        <f t="shared" ref="D40:G40" si="8" ca="1">MEDIAN(D32:D38)</f>
        <v>1.20277</v>
      </c>
      <c r="E40" s="548">
        <f ca="1">MEDIAN(E32:E38)</f>
        <v>0.579471</v>
      </c>
      <c r="F40" s="552">
        <f ca="1">MEDIAN(F32:F38)</f>
        <v>0.138266</v>
      </c>
      <c r="G40" s="692">
        <f ca="1">MEDIAN(G32:G38)</f>
        <v>0.731274448926537</v>
      </c>
      <c r="H40" s="16"/>
      <c r="I40" s="16"/>
      <c r="J40" s="16"/>
      <c r="K40" s="16"/>
      <c r="L40" s="16"/>
      <c r="M40" s="16"/>
      <c r="N40" s="16"/>
      <c r="O40" s="16"/>
      <c r="P40" s="16"/>
      <c r="Q40" s="16"/>
      <c r="R40" s="16"/>
      <c r="S40" s="16"/>
      <c r="T40" s="16"/>
      <c r="U40" s="16"/>
      <c r="V40" s="16"/>
      <c r="W40" s="16"/>
      <c r="X40" s="16"/>
      <c r="Y40" s="16"/>
      <c r="Z40" s="16"/>
    </row>
    <row r="41" ht="13.5" customHeight="1" spans="1:26" x14ac:dyDescent="0.25">
      <c r="A41" s="17"/>
      <c r="B41" s="16"/>
      <c r="C41" s="16"/>
      <c r="D41" s="16"/>
      <c r="E41" s="16"/>
      <c r="F41" s="16"/>
      <c r="G41" s="16"/>
      <c r="H41" s="16"/>
      <c r="I41" s="16"/>
      <c r="J41" s="16"/>
      <c r="K41" s="16"/>
      <c r="L41" s="16"/>
      <c r="M41" s="16"/>
      <c r="N41" s="16"/>
      <c r="O41" s="16"/>
      <c r="P41" s="16"/>
      <c r="Q41" s="16"/>
      <c r="R41" s="16"/>
      <c r="S41" s="16"/>
      <c r="T41" s="16"/>
      <c r="U41" s="16"/>
      <c r="V41" s="16"/>
      <c r="W41" s="16"/>
      <c r="X41" s="16"/>
      <c r="Y41" s="16"/>
      <c r="Z41" s="16"/>
    </row>
    <row r="42" ht="13.5" customHeight="1" spans="1:26" x14ac:dyDescent="0.25">
      <c r="A42" s="17"/>
      <c r="B42" s="16"/>
      <c r="C42" s="16"/>
      <c r="D42" s="16"/>
      <c r="E42" s="16"/>
      <c r="F42" s="16"/>
      <c r="G42" s="16"/>
      <c r="H42" s="16"/>
      <c r="I42" s="16"/>
      <c r="J42" s="16"/>
      <c r="K42" s="16"/>
      <c r="L42" s="16"/>
      <c r="M42" s="16"/>
      <c r="N42" s="16"/>
      <c r="O42" s="16"/>
      <c r="P42" s="16"/>
      <c r="Q42" s="16"/>
      <c r="R42" s="16"/>
      <c r="S42" s="16"/>
      <c r="T42" s="16"/>
      <c r="U42" s="16"/>
      <c r="V42" s="16"/>
      <c r="W42" s="16"/>
      <c r="X42" s="16"/>
      <c r="Y42" s="16"/>
      <c r="Z42" s="16"/>
    </row>
    <row r="43" ht="13.5" customHeight="1" spans="1:26" x14ac:dyDescent="0.25">
      <c r="A43" s="17" t="s">
        <v>1</v>
      </c>
      <c r="B43" s="16"/>
      <c r="C43" s="18" t="str">
        <f ca="1">Company_Name&amp;" - Relevered Beta"</f>
        <v>Lowe's Companies, Inc. - Relevered Beta</v>
      </c>
      <c r="D43" s="19"/>
      <c r="E43" s="19"/>
      <c r="F43" s="19"/>
      <c r="G43" s="20"/>
      <c r="H43" s="16"/>
      <c r="I43" s="16"/>
      <c r="J43" s="104" t="s">
        <v>795</v>
      </c>
      <c r="K43" s="87"/>
      <c r="L43" s="16"/>
      <c r="M43" s="16"/>
      <c r="N43" s="16"/>
      <c r="O43" s="16"/>
      <c r="P43" s="16"/>
      <c r="Q43" s="16"/>
      <c r="R43" s="16"/>
      <c r="S43" s="16"/>
      <c r="T43" s="16"/>
      <c r="U43" s="16"/>
      <c r="V43" s="16"/>
      <c r="W43" s="16"/>
      <c r="X43" s="16"/>
      <c r="Y43" s="16"/>
      <c r="Z43" s="16"/>
    </row>
    <row r="44" ht="13.5" customHeight="1" spans="1:26" x14ac:dyDescent="0.25">
      <c r="A44" s="17"/>
      <c r="B44" s="16"/>
      <c r="C44" s="16"/>
      <c r="D44" s="16"/>
      <c r="E44" s="16"/>
      <c r="F44" s="16"/>
      <c r="G44" s="16"/>
      <c r="H44" s="16"/>
      <c r="I44" s="16"/>
      <c r="J44" s="700" t="s">
        <v>796</v>
      </c>
      <c r="K44" s="7"/>
      <c r="L44" s="16"/>
      <c r="M44" s="16"/>
      <c r="N44" s="16"/>
      <c r="O44" s="16"/>
      <c r="P44" s="16"/>
      <c r="Q44" s="16"/>
      <c r="R44" s="16"/>
      <c r="S44" s="16"/>
      <c r="T44" s="16"/>
      <c r="U44" s="16"/>
      <c r="V44" s="16"/>
      <c r="W44" s="16"/>
      <c r="X44" s="16"/>
      <c r="Y44" s="16"/>
      <c r="Z44" s="16"/>
    </row>
    <row r="45" ht="13.5" customHeight="1" spans="1:26" x14ac:dyDescent="0.25">
      <c r="A45" s="17"/>
      <c r="B45" s="16"/>
      <c r="C45" s="16"/>
      <c r="D45" s="84" t="s">
        <v>797</v>
      </c>
      <c r="E45" s="84" t="s">
        <v>798</v>
      </c>
      <c r="F45" s="84" t="s">
        <v>785</v>
      </c>
      <c r="G45" s="84" t="s">
        <v>799</v>
      </c>
      <c r="H45" s="16"/>
      <c r="I45" s="16"/>
      <c r="J45" s="16"/>
      <c r="K45" s="16"/>
      <c r="L45" s="16"/>
      <c r="M45" s="16"/>
      <c r="N45" s="16"/>
      <c r="O45" s="16"/>
      <c r="P45" s="16"/>
      <c r="Q45" s="16"/>
      <c r="R45" s="16"/>
      <c r="S45" s="16"/>
      <c r="T45" s="16"/>
      <c r="U45" s="16"/>
      <c r="V45" s="16"/>
      <c r="W45" s="16"/>
      <c r="X45" s="16"/>
      <c r="Y45" s="16"/>
      <c r="Z45" s="16"/>
    </row>
    <row r="46" ht="13.5" customHeight="1" spans="1:26" x14ac:dyDescent="0.25">
      <c r="A46" s="17"/>
      <c r="B46" s="16"/>
      <c r="C46" s="16"/>
      <c r="D46" s="84" t="s">
        <v>535</v>
      </c>
      <c r="E46" s="84" t="s">
        <v>540</v>
      </c>
      <c r="F46" s="84" t="s">
        <v>787</v>
      </c>
      <c r="G46" s="84" t="s">
        <v>535</v>
      </c>
      <c r="H46" s="16"/>
      <c r="I46" s="16"/>
      <c r="J46" s="16"/>
      <c r="K46" s="16"/>
      <c r="L46" s="16"/>
      <c r="M46" s="16"/>
      <c r="N46" s="16"/>
      <c r="O46" s="16"/>
      <c r="P46" s="16"/>
      <c r="Q46" s="16"/>
      <c r="R46" s="16"/>
      <c r="S46" s="16"/>
      <c r="T46" s="16"/>
      <c r="U46" s="16"/>
      <c r="V46" s="16"/>
      <c r="W46" s="16"/>
      <c r="X46" s="16"/>
      <c r="Y46" s="16"/>
      <c r="Z46" s="16"/>
    </row>
    <row r="47" ht="13.5" customHeight="1" spans="1:26" x14ac:dyDescent="0.25">
      <c r="A47" s="17"/>
      <c r="B47" s="16"/>
      <c r="C47" s="236" t="s">
        <v>800</v>
      </c>
      <c r="D47" s="701">
        <f ca="1">G39</f>
        <v>0.7631032057730429</v>
      </c>
      <c r="E47" s="702">
        <f ca="1">Comparables!O28</f>
        <v>18.240083</v>
      </c>
      <c r="F47" s="703">
        <f ca="1">Tax_Rate</f>
        <v>0.2443665498247371</v>
      </c>
      <c r="G47" s="704">
        <f ca="1">IF(ISERROR(D47*(1+(1-F47)*E47)),"NA",(D47*(1+(1-F47)*E47)))</f>
        <v>11.280814927654548</v>
      </c>
      <c r="H47" s="16"/>
      <c r="I47" s="16"/>
      <c r="J47" s="16"/>
      <c r="K47" s="16"/>
      <c r="L47" s="16"/>
      <c r="M47" s="16"/>
      <c r="N47" s="16"/>
      <c r="O47" s="16"/>
      <c r="P47" s="16"/>
      <c r="Q47" s="16"/>
      <c r="R47" s="16"/>
      <c r="S47" s="16"/>
      <c r="T47" s="16"/>
      <c r="U47" s="16"/>
      <c r="V47" s="16"/>
      <c r="W47" s="16"/>
      <c r="X47" s="16"/>
      <c r="Y47" s="16"/>
      <c r="Z47" s="16"/>
    </row>
    <row r="48" ht="13.5" customHeight="1" spans="1:26" x14ac:dyDescent="0.25">
      <c r="A48" s="17"/>
      <c r="B48" s="16"/>
      <c r="C48" s="16"/>
      <c r="D48" s="16"/>
      <c r="E48" s="16"/>
      <c r="F48" s="16"/>
      <c r="G48" s="16"/>
      <c r="H48" s="16"/>
      <c r="I48" s="16"/>
      <c r="J48" s="16"/>
      <c r="K48" s="16"/>
      <c r="L48" s="16"/>
      <c r="M48" s="16"/>
      <c r="N48" s="16"/>
      <c r="O48" s="16"/>
      <c r="P48" s="16"/>
      <c r="Q48" s="16"/>
      <c r="R48" s="16"/>
      <c r="S48" s="16"/>
      <c r="T48" s="16"/>
      <c r="U48" s="16"/>
      <c r="V48" s="16"/>
      <c r="W48" s="16"/>
      <c r="X48" s="16"/>
      <c r="Y48" s="16"/>
      <c r="Z48" s="16"/>
    </row>
    <row r="49" ht="13.5" customHeight="1" spans="1:26" x14ac:dyDescent="0.25">
      <c r="A49" s="17"/>
      <c r="B49" s="16"/>
      <c r="C49" s="236" t="str">
        <f ca="1">Company_Name&amp;" Levered Beta"</f>
        <v>Lowe's Companies, Inc. Levered Beta</v>
      </c>
      <c r="D49" s="705"/>
      <c r="E49" s="706"/>
      <c r="F49" s="706"/>
      <c r="G49" s="707">
        <f ca="1">Comparables!H28</f>
        <v>1.32679</v>
      </c>
      <c r="H49" s="16"/>
      <c r="I49" s="16"/>
      <c r="J49" s="16"/>
      <c r="K49" s="16"/>
      <c r="L49" s="16"/>
      <c r="M49" s="16"/>
      <c r="N49" s="16"/>
      <c r="O49" s="16"/>
      <c r="P49" s="16"/>
      <c r="Q49" s="16"/>
      <c r="R49" s="16"/>
      <c r="S49" s="16"/>
      <c r="T49" s="16"/>
      <c r="U49" s="16"/>
      <c r="V49" s="16"/>
      <c r="W49" s="16"/>
      <c r="X49" s="16"/>
      <c r="Y49" s="16"/>
      <c r="Z49" s="16"/>
    </row>
    <row r="50" ht="13.5" customHeight="1" spans="1:26" x14ac:dyDescent="0.25">
      <c r="A50" s="17"/>
      <c r="B50" s="16"/>
      <c r="C50" s="16"/>
      <c r="D50" s="16"/>
      <c r="E50" s="16"/>
      <c r="F50" s="16"/>
      <c r="G50" s="16"/>
      <c r="H50" s="16"/>
      <c r="I50" s="16"/>
      <c r="J50" s="16"/>
      <c r="K50" s="16"/>
      <c r="L50" s="16"/>
      <c r="M50" s="16"/>
      <c r="N50" s="16"/>
      <c r="O50" s="16"/>
      <c r="P50" s="16"/>
      <c r="Q50" s="16"/>
      <c r="R50" s="16"/>
      <c r="S50" s="16"/>
      <c r="T50" s="16"/>
      <c r="U50" s="16"/>
      <c r="V50" s="16"/>
      <c r="W50" s="16"/>
      <c r="X50" s="16"/>
      <c r="Y50" s="16"/>
      <c r="Z50" s="16"/>
    </row>
    <row r="51" ht="13.5" customHeight="1" spans="1:26" x14ac:dyDescent="0.25">
      <c r="A51" s="17" t="s">
        <v>1</v>
      </c>
      <c r="B51" s="16"/>
      <c r="C51" s="16"/>
      <c r="D51" s="16"/>
      <c r="E51" s="16"/>
      <c r="F51" s="16"/>
      <c r="G51" s="16"/>
      <c r="H51" s="16"/>
      <c r="I51" s="16"/>
      <c r="J51" s="16"/>
      <c r="K51" s="16"/>
      <c r="L51" s="16"/>
      <c r="M51" s="16"/>
      <c r="N51" s="16"/>
      <c r="O51" s="16"/>
      <c r="P51" s="16"/>
      <c r="Q51" s="16"/>
      <c r="R51" s="17" t="s">
        <v>1</v>
      </c>
      <c r="S51" s="16"/>
      <c r="T51" s="16"/>
      <c r="U51" s="16"/>
      <c r="V51" s="16"/>
      <c r="W51" s="16"/>
      <c r="X51" s="16"/>
      <c r="Y51" s="16"/>
      <c r="Z51" s="16"/>
    </row>
    <row r="52" ht="13.5" customHeight="1" spans="1:26" x14ac:dyDescent="0.25">
      <c r="A52" s="4"/>
      <c r="B52" s="4"/>
      <c r="C52" s="4"/>
      <c r="D52" s="4"/>
      <c r="E52" s="4"/>
      <c r="F52" s="4"/>
      <c r="G52" s="4"/>
      <c r="H52" s="4"/>
      <c r="I52" s="4"/>
      <c r="J52" s="4"/>
      <c r="K52" s="4"/>
      <c r="L52" s="4"/>
      <c r="M52" s="4"/>
      <c r="N52" s="4"/>
      <c r="O52" s="4"/>
      <c r="P52" s="4"/>
      <c r="Q52" s="4"/>
      <c r="R52" s="4"/>
      <c r="S52" s="4"/>
      <c r="T52" s="4"/>
      <c r="U52" s="4"/>
      <c r="V52" s="4"/>
      <c r="W52" s="4"/>
      <c r="X52" s="4"/>
      <c r="Y52" s="4"/>
      <c r="Z52" s="4"/>
    </row>
    <row r="53" ht="13.5" customHeight="1" spans="1:26" x14ac:dyDescent="0.25">
      <c r="A53" s="4"/>
      <c r="B53" s="4"/>
      <c r="C53" s="4"/>
      <c r="D53" s="4"/>
      <c r="E53" s="4"/>
      <c r="F53" s="4"/>
      <c r="G53" s="4"/>
      <c r="H53" s="4"/>
      <c r="I53" s="4"/>
      <c r="J53" s="4"/>
      <c r="K53" s="4"/>
      <c r="L53" s="4"/>
      <c r="M53" s="4"/>
      <c r="N53" s="4"/>
      <c r="O53" s="4"/>
      <c r="P53" s="4"/>
      <c r="Q53" s="4"/>
      <c r="R53" s="4"/>
      <c r="S53" s="4"/>
      <c r="T53" s="4"/>
      <c r="U53" s="4"/>
      <c r="V53" s="4"/>
      <c r="W53" s="4"/>
      <c r="X53" s="4"/>
      <c r="Y53" s="4"/>
      <c r="Z53" s="4"/>
    </row>
    <row r="54" ht="13.5" customHeight="1" spans="1:26" x14ac:dyDescent="0.25">
      <c r="A54" s="4"/>
      <c r="B54" s="4"/>
      <c r="C54" s="4"/>
      <c r="D54" s="4"/>
      <c r="E54" s="4"/>
      <c r="F54" s="4"/>
      <c r="G54" s="4"/>
      <c r="H54" s="4"/>
      <c r="I54" s="4"/>
      <c r="J54" s="4"/>
      <c r="K54" s="4"/>
      <c r="L54" s="4"/>
      <c r="M54" s="4"/>
      <c r="N54" s="4"/>
      <c r="O54" s="4"/>
      <c r="P54" s="4"/>
      <c r="Q54" s="4"/>
      <c r="R54" s="4"/>
      <c r="S54" s="4"/>
      <c r="T54" s="4"/>
      <c r="U54" s="4"/>
      <c r="V54" s="4"/>
      <c r="W54" s="4"/>
      <c r="X54" s="4"/>
      <c r="Y54" s="4"/>
      <c r="Z54" s="4"/>
    </row>
    <row r="55" ht="13.5" customHeight="1" spans="1:26" x14ac:dyDescent="0.25">
      <c r="A55" s="4"/>
      <c r="B55" s="4"/>
      <c r="C55" s="4"/>
      <c r="D55" s="4"/>
      <c r="E55" s="4"/>
      <c r="F55" s="4"/>
      <c r="G55" s="4"/>
      <c r="H55" s="4"/>
      <c r="I55" s="4"/>
      <c r="J55" s="4"/>
      <c r="K55" s="4"/>
      <c r="L55" s="4"/>
      <c r="M55" s="4"/>
      <c r="N55" s="4"/>
      <c r="O55" s="4"/>
      <c r="P55" s="4"/>
      <c r="Q55" s="4"/>
      <c r="R55" s="4"/>
      <c r="S55" s="4"/>
      <c r="T55" s="4"/>
      <c r="U55" s="4"/>
      <c r="V55" s="4"/>
      <c r="W55" s="4"/>
      <c r="X55" s="4"/>
      <c r="Y55" s="4"/>
      <c r="Z55" s="4"/>
    </row>
    <row r="56" ht="13.5" customHeight="1" spans="1:26" x14ac:dyDescent="0.25">
      <c r="A56" s="4"/>
      <c r="B56" s="4"/>
      <c r="C56" s="4"/>
      <c r="D56" s="4"/>
      <c r="E56" s="4"/>
      <c r="F56" s="4"/>
      <c r="G56" s="4"/>
      <c r="H56" s="4"/>
      <c r="I56" s="4"/>
      <c r="J56" s="4"/>
      <c r="K56" s="4"/>
      <c r="L56" s="4"/>
      <c r="M56" s="4"/>
      <c r="N56" s="4"/>
      <c r="O56" s="4"/>
      <c r="P56" s="4"/>
      <c r="Q56" s="4"/>
      <c r="R56" s="4"/>
      <c r="S56" s="4"/>
      <c r="T56" s="4"/>
      <c r="U56" s="4"/>
      <c r="V56" s="4"/>
      <c r="W56" s="4"/>
      <c r="X56" s="4"/>
      <c r="Y56" s="4"/>
      <c r="Z56" s="4"/>
    </row>
    <row r="57" ht="13.5" customHeight="1" spans="1:26" x14ac:dyDescent="0.25">
      <c r="A57" s="4"/>
      <c r="B57" s="4"/>
      <c r="C57" s="4"/>
      <c r="D57" s="4"/>
      <c r="E57" s="4"/>
      <c r="F57" s="4"/>
      <c r="G57" s="4"/>
      <c r="H57" s="4"/>
      <c r="I57" s="4"/>
      <c r="J57" s="4"/>
      <c r="K57" s="4"/>
      <c r="L57" s="4"/>
      <c r="M57" s="4"/>
      <c r="N57" s="4"/>
      <c r="O57" s="4"/>
      <c r="P57" s="4"/>
      <c r="Q57" s="4"/>
      <c r="R57" s="4"/>
      <c r="S57" s="4"/>
      <c r="T57" s="4"/>
      <c r="U57" s="4"/>
      <c r="V57" s="4"/>
      <c r="W57" s="4"/>
      <c r="X57" s="4"/>
      <c r="Y57" s="4"/>
      <c r="Z57" s="4"/>
    </row>
    <row r="58" ht="13.5" customHeight="1" spans="1:26" x14ac:dyDescent="0.25">
      <c r="A58" s="4"/>
      <c r="B58" s="4"/>
      <c r="C58" s="4"/>
      <c r="D58" s="4"/>
      <c r="E58" s="4"/>
      <c r="F58" s="4"/>
      <c r="G58" s="4"/>
      <c r="H58" s="4"/>
      <c r="I58" s="4"/>
      <c r="J58" s="4"/>
      <c r="K58" s="4"/>
      <c r="L58" s="4"/>
      <c r="M58" s="4"/>
      <c r="N58" s="4"/>
      <c r="O58" s="4"/>
      <c r="P58" s="4"/>
      <c r="Q58" s="4"/>
      <c r="R58" s="4"/>
      <c r="S58" s="4"/>
      <c r="T58" s="4"/>
      <c r="U58" s="4"/>
      <c r="V58" s="4"/>
      <c r="W58" s="4"/>
      <c r="X58" s="4"/>
      <c r="Y58" s="4"/>
      <c r="Z58" s="4"/>
    </row>
    <row r="59" ht="13.5" customHeight="1" spans="1:26" x14ac:dyDescent="0.25">
      <c r="A59" s="4"/>
      <c r="B59" s="4"/>
      <c r="C59" s="4"/>
      <c r="D59" s="4"/>
      <c r="E59" s="4"/>
      <c r="F59" s="4"/>
      <c r="G59" s="4"/>
      <c r="H59" s="4"/>
      <c r="I59" s="4"/>
      <c r="J59" s="4"/>
      <c r="K59" s="4"/>
      <c r="L59" s="4"/>
      <c r="M59" s="4"/>
      <c r="N59" s="4"/>
      <c r="O59" s="4"/>
      <c r="P59" s="4"/>
      <c r="Q59" s="4"/>
      <c r="R59" s="4"/>
      <c r="S59" s="4"/>
      <c r="T59" s="4"/>
      <c r="U59" s="4"/>
      <c r="V59" s="4"/>
      <c r="W59" s="4"/>
      <c r="X59" s="4"/>
      <c r="Y59" s="4"/>
      <c r="Z59" s="4"/>
    </row>
    <row r="60" ht="13.5" customHeight="1" spans="1:26" x14ac:dyDescent="0.25">
      <c r="A60" s="4"/>
      <c r="B60" s="4"/>
      <c r="C60" s="4"/>
      <c r="D60" s="4"/>
      <c r="E60" s="4"/>
      <c r="F60" s="4"/>
      <c r="G60" s="4"/>
      <c r="H60" s="4"/>
      <c r="I60" s="4"/>
      <c r="J60" s="4"/>
      <c r="K60" s="4"/>
      <c r="L60" s="4"/>
      <c r="M60" s="4"/>
      <c r="N60" s="4"/>
      <c r="O60" s="4"/>
      <c r="P60" s="4"/>
      <c r="Q60" s="4"/>
      <c r="R60" s="4"/>
      <c r="S60" s="4"/>
      <c r="T60" s="4"/>
      <c r="U60" s="4"/>
      <c r="V60" s="4"/>
      <c r="W60" s="4"/>
      <c r="X60" s="4"/>
      <c r="Y60" s="4"/>
      <c r="Z60" s="4"/>
    </row>
    <row r="61" ht="13.5" customHeight="1" spans="1:26" x14ac:dyDescent="0.25">
      <c r="A61" s="4"/>
      <c r="B61" s="4"/>
      <c r="C61" s="4"/>
      <c r="D61" s="4"/>
      <c r="E61" s="4"/>
      <c r="F61" s="4"/>
      <c r="G61" s="4"/>
      <c r="H61" s="4"/>
      <c r="I61" s="4"/>
      <c r="J61" s="4"/>
      <c r="K61" s="4"/>
      <c r="L61" s="4"/>
      <c r="M61" s="4"/>
      <c r="N61" s="4"/>
      <c r="O61" s="4"/>
      <c r="P61" s="4"/>
      <c r="Q61" s="4"/>
      <c r="R61" s="4"/>
      <c r="S61" s="4"/>
      <c r="T61" s="4"/>
      <c r="U61" s="4"/>
      <c r="V61" s="4"/>
      <c r="W61" s="4"/>
      <c r="X61" s="4"/>
      <c r="Y61" s="4"/>
      <c r="Z61" s="4"/>
    </row>
    <row r="62" ht="13.5" customHeight="1" spans="1:26" x14ac:dyDescent="0.25">
      <c r="A62" s="4"/>
      <c r="B62" s="4"/>
      <c r="C62" s="4"/>
      <c r="D62" s="4"/>
      <c r="E62" s="4"/>
      <c r="F62" s="4"/>
      <c r="G62" s="4"/>
      <c r="H62" s="4"/>
      <c r="I62" s="4"/>
      <c r="J62" s="4"/>
      <c r="K62" s="4"/>
      <c r="L62" s="4"/>
      <c r="M62" s="4"/>
      <c r="N62" s="4"/>
      <c r="O62" s="4"/>
      <c r="P62" s="4"/>
      <c r="Q62" s="4"/>
      <c r="R62" s="4"/>
      <c r="S62" s="4"/>
      <c r="T62" s="4"/>
      <c r="U62" s="4"/>
      <c r="V62" s="4"/>
      <c r="W62" s="4"/>
      <c r="X62" s="4"/>
      <c r="Y62" s="4"/>
      <c r="Z62" s="4"/>
    </row>
    <row r="63" ht="13.5" customHeight="1" spans="1:26" x14ac:dyDescent="0.25">
      <c r="A63" s="4"/>
      <c r="B63" s="4"/>
      <c r="C63" s="4"/>
      <c r="D63" s="4"/>
      <c r="E63" s="4"/>
      <c r="F63" s="4"/>
      <c r="G63" s="4"/>
      <c r="H63" s="4"/>
      <c r="I63" s="4"/>
      <c r="J63" s="4"/>
      <c r="K63" s="4"/>
      <c r="L63" s="4"/>
      <c r="M63" s="4"/>
      <c r="N63" s="4"/>
      <c r="O63" s="4"/>
      <c r="P63" s="4"/>
      <c r="Q63" s="4"/>
      <c r="R63" s="4"/>
      <c r="S63" s="4"/>
      <c r="T63" s="4"/>
      <c r="U63" s="4"/>
      <c r="V63" s="4"/>
      <c r="W63" s="4"/>
      <c r="X63" s="4"/>
      <c r="Y63" s="4"/>
      <c r="Z63" s="4"/>
    </row>
    <row r="64" ht="13.5" customHeight="1" spans="1:26" x14ac:dyDescent="0.25">
      <c r="A64" s="4"/>
      <c r="B64" s="4"/>
      <c r="C64" s="4"/>
      <c r="D64" s="4"/>
      <c r="E64" s="4"/>
      <c r="F64" s="4"/>
      <c r="G64" s="4"/>
      <c r="H64" s="4"/>
      <c r="I64" s="4"/>
      <c r="J64" s="4"/>
      <c r="K64" s="4"/>
      <c r="L64" s="4"/>
      <c r="M64" s="4"/>
      <c r="N64" s="4"/>
      <c r="O64" s="4"/>
      <c r="P64" s="4"/>
      <c r="Q64" s="4"/>
      <c r="R64" s="4"/>
      <c r="S64" s="4"/>
      <c r="T64" s="4"/>
      <c r="U64" s="4"/>
      <c r="V64" s="4"/>
      <c r="W64" s="4"/>
      <c r="X64" s="4"/>
      <c r="Y64" s="4"/>
      <c r="Z64" s="4"/>
    </row>
    <row r="65" ht="13.5" customHeight="1" spans="1:26" x14ac:dyDescent="0.25">
      <c r="A65" s="4"/>
      <c r="B65" s="4"/>
      <c r="C65" s="4"/>
      <c r="D65" s="4"/>
      <c r="E65" s="4"/>
      <c r="F65" s="4"/>
      <c r="G65" s="4"/>
      <c r="H65" s="4"/>
      <c r="I65" s="4"/>
      <c r="J65" s="4"/>
      <c r="K65" s="4"/>
      <c r="L65" s="4"/>
      <c r="M65" s="4"/>
      <c r="N65" s="4"/>
      <c r="O65" s="4"/>
      <c r="P65" s="4"/>
      <c r="Q65" s="4"/>
      <c r="R65" s="4"/>
      <c r="S65" s="4"/>
      <c r="T65" s="4"/>
      <c r="U65" s="4"/>
      <c r="V65" s="4"/>
      <c r="W65" s="4"/>
      <c r="X65" s="4"/>
      <c r="Y65" s="4"/>
      <c r="Z65" s="4"/>
    </row>
    <row r="66" ht="13.5" customHeight="1" spans="1:26" x14ac:dyDescent="0.25">
      <c r="A66" s="4"/>
      <c r="B66" s="4"/>
      <c r="C66" s="4"/>
      <c r="D66" s="4"/>
      <c r="E66" s="4"/>
      <c r="F66" s="4"/>
      <c r="G66" s="4"/>
      <c r="H66" s="4"/>
      <c r="I66" s="4"/>
      <c r="J66" s="4"/>
      <c r="K66" s="4"/>
      <c r="L66" s="4"/>
      <c r="M66" s="4"/>
      <c r="N66" s="4"/>
      <c r="O66" s="4"/>
      <c r="P66" s="4"/>
      <c r="Q66" s="4"/>
      <c r="R66" s="4"/>
      <c r="S66" s="4"/>
      <c r="T66" s="4"/>
      <c r="U66" s="4"/>
      <c r="V66" s="4"/>
      <c r="W66" s="4"/>
      <c r="X66" s="4"/>
      <c r="Y66" s="4"/>
      <c r="Z66" s="4"/>
    </row>
    <row r="67" ht="13.5" customHeight="1" spans="1:26" x14ac:dyDescent="0.25">
      <c r="A67" s="4"/>
      <c r="B67" s="4"/>
      <c r="C67" s="4"/>
      <c r="D67" s="4"/>
      <c r="E67" s="4"/>
      <c r="F67" s="4"/>
      <c r="G67" s="4"/>
      <c r="H67" s="4"/>
      <c r="I67" s="4"/>
      <c r="J67" s="4"/>
      <c r="K67" s="4"/>
      <c r="L67" s="4"/>
      <c r="M67" s="4"/>
      <c r="N67" s="4"/>
      <c r="O67" s="4"/>
      <c r="P67" s="4"/>
      <c r="Q67" s="4"/>
      <c r="R67" s="4"/>
      <c r="S67" s="4"/>
      <c r="T67" s="4"/>
      <c r="U67" s="4"/>
      <c r="V67" s="4"/>
      <c r="W67" s="4"/>
      <c r="X67" s="4"/>
      <c r="Y67" s="4"/>
      <c r="Z67" s="4"/>
    </row>
    <row r="68" ht="13.5" customHeight="1" spans="1:26" x14ac:dyDescent="0.25">
      <c r="A68" s="4"/>
      <c r="B68" s="4"/>
      <c r="C68" s="4"/>
      <c r="D68" s="4"/>
      <c r="E68" s="4"/>
      <c r="F68" s="4"/>
      <c r="G68" s="4"/>
      <c r="H68" s="4"/>
      <c r="I68" s="4"/>
      <c r="J68" s="4"/>
      <c r="K68" s="4"/>
      <c r="L68" s="4"/>
      <c r="M68" s="4"/>
      <c r="N68" s="4"/>
      <c r="O68" s="4"/>
      <c r="P68" s="4"/>
      <c r="Q68" s="4"/>
      <c r="R68" s="4"/>
      <c r="S68" s="4"/>
      <c r="T68" s="4"/>
      <c r="U68" s="4"/>
      <c r="V68" s="4"/>
      <c r="W68" s="4"/>
      <c r="X68" s="4"/>
      <c r="Y68" s="4"/>
      <c r="Z68" s="4"/>
    </row>
    <row r="69" ht="13.5" customHeight="1" spans="1:26" x14ac:dyDescent="0.25">
      <c r="A69" s="4"/>
      <c r="B69" s="4"/>
      <c r="C69" s="4"/>
      <c r="D69" s="4"/>
      <c r="E69" s="4"/>
      <c r="F69" s="4"/>
      <c r="G69" s="4"/>
      <c r="H69" s="4"/>
      <c r="I69" s="4"/>
      <c r="J69" s="4"/>
      <c r="K69" s="4"/>
      <c r="L69" s="4"/>
      <c r="M69" s="4"/>
      <c r="N69" s="4"/>
      <c r="O69" s="4"/>
      <c r="P69" s="4"/>
      <c r="Q69" s="4"/>
      <c r="R69" s="4"/>
      <c r="S69" s="4"/>
      <c r="T69" s="4"/>
      <c r="U69" s="4"/>
      <c r="V69" s="4"/>
      <c r="W69" s="4"/>
      <c r="X69" s="4"/>
      <c r="Y69" s="4"/>
      <c r="Z69" s="4"/>
    </row>
    <row r="70" ht="13.5" customHeight="1" spans="1:26" x14ac:dyDescent="0.25">
      <c r="A70" s="4"/>
      <c r="B70" s="4"/>
      <c r="C70" s="4"/>
      <c r="D70" s="4"/>
      <c r="E70" s="4"/>
      <c r="F70" s="4"/>
      <c r="G70" s="4"/>
      <c r="H70" s="4"/>
      <c r="I70" s="4"/>
      <c r="J70" s="4"/>
      <c r="K70" s="4"/>
      <c r="L70" s="4"/>
      <c r="M70" s="4"/>
      <c r="N70" s="4"/>
      <c r="O70" s="4"/>
      <c r="P70" s="4"/>
      <c r="Q70" s="4"/>
      <c r="R70" s="4"/>
      <c r="S70" s="4"/>
      <c r="T70" s="4"/>
      <c r="U70" s="4"/>
      <c r="V70" s="4"/>
      <c r="W70" s="4"/>
      <c r="X70" s="4"/>
      <c r="Y70" s="4"/>
      <c r="Z70" s="4"/>
    </row>
    <row r="71" ht="13.5" customHeight="1" spans="1:26" x14ac:dyDescent="0.25">
      <c r="A71" s="4"/>
      <c r="B71" s="4"/>
      <c r="C71" s="4"/>
      <c r="D71" s="4"/>
      <c r="E71" s="4"/>
      <c r="F71" s="4"/>
      <c r="G71" s="4"/>
      <c r="H71" s="4"/>
      <c r="I71" s="4"/>
      <c r="J71" s="4"/>
      <c r="K71" s="4"/>
      <c r="L71" s="4"/>
      <c r="M71" s="4"/>
      <c r="N71" s="4"/>
      <c r="O71" s="4"/>
      <c r="P71" s="4"/>
      <c r="Q71" s="4"/>
      <c r="R71" s="4"/>
      <c r="S71" s="4"/>
      <c r="T71" s="4"/>
      <c r="U71" s="4"/>
      <c r="V71" s="4"/>
      <c r="W71" s="4"/>
      <c r="X71" s="4"/>
      <c r="Y71" s="4"/>
      <c r="Z71" s="4"/>
    </row>
    <row r="72" ht="13.5" customHeight="1" spans="1:26" x14ac:dyDescent="0.25">
      <c r="A72" s="4"/>
      <c r="B72" s="4"/>
      <c r="C72" s="4"/>
      <c r="D72" s="4"/>
      <c r="E72" s="4"/>
      <c r="F72" s="4"/>
      <c r="G72" s="4"/>
      <c r="H72" s="4"/>
      <c r="I72" s="4"/>
      <c r="J72" s="4"/>
      <c r="K72" s="4"/>
      <c r="L72" s="4"/>
      <c r="M72" s="4"/>
      <c r="N72" s="4"/>
      <c r="O72" s="4"/>
      <c r="P72" s="4"/>
      <c r="Q72" s="4"/>
      <c r="R72" s="4"/>
      <c r="S72" s="4"/>
      <c r="T72" s="4"/>
      <c r="U72" s="4"/>
      <c r="V72" s="4"/>
      <c r="W72" s="4"/>
      <c r="X72" s="4"/>
      <c r="Y72" s="4"/>
      <c r="Z72" s="4"/>
    </row>
    <row r="73" ht="13.5" customHeight="1" spans="1:26" x14ac:dyDescent="0.25">
      <c r="A73" s="4"/>
      <c r="B73" s="4"/>
      <c r="C73" s="4"/>
      <c r="D73" s="4"/>
      <c r="E73" s="4"/>
      <c r="F73" s="4"/>
      <c r="G73" s="4"/>
      <c r="H73" s="4"/>
      <c r="I73" s="4"/>
      <c r="J73" s="4"/>
      <c r="K73" s="4"/>
      <c r="L73" s="4"/>
      <c r="M73" s="4"/>
      <c r="N73" s="4"/>
      <c r="O73" s="4"/>
      <c r="P73" s="4"/>
      <c r="Q73" s="4"/>
      <c r="R73" s="4"/>
      <c r="S73" s="4"/>
      <c r="T73" s="4"/>
      <c r="U73" s="4"/>
      <c r="V73" s="4"/>
      <c r="W73" s="4"/>
      <c r="X73" s="4"/>
      <c r="Y73" s="4"/>
      <c r="Z73" s="4"/>
    </row>
    <row r="74" ht="13.5" customHeight="1" spans="1:26" x14ac:dyDescent="0.25">
      <c r="A74" s="4"/>
      <c r="B74" s="4"/>
      <c r="C74" s="4"/>
      <c r="D74" s="4"/>
      <c r="E74" s="4"/>
      <c r="F74" s="4"/>
      <c r="G74" s="4"/>
      <c r="H74" s="4"/>
      <c r="I74" s="4"/>
      <c r="J74" s="4"/>
      <c r="K74" s="4"/>
      <c r="L74" s="4"/>
      <c r="M74" s="4"/>
      <c r="N74" s="4"/>
      <c r="O74" s="4"/>
      <c r="P74" s="4"/>
      <c r="Q74" s="4"/>
      <c r="R74" s="4"/>
      <c r="S74" s="4"/>
      <c r="T74" s="4"/>
      <c r="U74" s="4"/>
      <c r="V74" s="4"/>
      <c r="W74" s="4"/>
      <c r="X74" s="4"/>
      <c r="Y74" s="4"/>
      <c r="Z74" s="4"/>
    </row>
    <row r="75" ht="13.5" customHeight="1" spans="1:26" x14ac:dyDescent="0.25">
      <c r="A75" s="4"/>
      <c r="B75" s="4"/>
      <c r="C75" s="4"/>
      <c r="D75" s="4"/>
      <c r="E75" s="4"/>
      <c r="F75" s="4"/>
      <c r="G75" s="4"/>
      <c r="H75" s="4"/>
      <c r="I75" s="4"/>
      <c r="J75" s="4"/>
      <c r="K75" s="4"/>
      <c r="L75" s="4"/>
      <c r="M75" s="4"/>
      <c r="N75" s="4"/>
      <c r="O75" s="4"/>
      <c r="P75" s="4"/>
      <c r="Q75" s="4"/>
      <c r="R75" s="4"/>
      <c r="S75" s="4"/>
      <c r="T75" s="4"/>
      <c r="U75" s="4"/>
      <c r="V75" s="4"/>
      <c r="W75" s="4"/>
      <c r="X75" s="4"/>
      <c r="Y75" s="4"/>
      <c r="Z75" s="4"/>
    </row>
    <row r="76" ht="13.5" customHeight="1" spans="1:26" x14ac:dyDescent="0.25">
      <c r="A76" s="4"/>
      <c r="B76" s="4"/>
      <c r="C76" s="4"/>
      <c r="D76" s="4"/>
      <c r="E76" s="4"/>
      <c r="F76" s="4"/>
      <c r="G76" s="4"/>
      <c r="H76" s="4"/>
      <c r="I76" s="4"/>
      <c r="J76" s="4"/>
      <c r="K76" s="4"/>
      <c r="L76" s="4"/>
      <c r="M76" s="4"/>
      <c r="N76" s="4"/>
      <c r="O76" s="4"/>
      <c r="P76" s="4"/>
      <c r="Q76" s="4"/>
      <c r="R76" s="4"/>
      <c r="S76" s="4"/>
      <c r="T76" s="4"/>
      <c r="U76" s="4"/>
      <c r="V76" s="4"/>
      <c r="W76" s="4"/>
      <c r="X76" s="4"/>
      <c r="Y76" s="4"/>
      <c r="Z76" s="4"/>
    </row>
    <row r="77" ht="13.5" customHeight="1" spans="1:26" x14ac:dyDescent="0.25">
      <c r="A77" s="4"/>
      <c r="B77" s="4"/>
      <c r="C77" s="4"/>
      <c r="D77" s="4"/>
      <c r="E77" s="4"/>
      <c r="F77" s="4"/>
      <c r="G77" s="4"/>
      <c r="H77" s="4"/>
      <c r="I77" s="4"/>
      <c r="J77" s="4"/>
      <c r="K77" s="4"/>
      <c r="L77" s="4"/>
      <c r="M77" s="4"/>
      <c r="N77" s="4"/>
      <c r="O77" s="4"/>
      <c r="P77" s="4"/>
      <c r="Q77" s="4"/>
      <c r="R77" s="4"/>
      <c r="S77" s="4"/>
      <c r="T77" s="4"/>
      <c r="U77" s="4"/>
      <c r="V77" s="4"/>
      <c r="W77" s="4"/>
      <c r="X77" s="4"/>
      <c r="Y77" s="4"/>
      <c r="Z77" s="4"/>
    </row>
    <row r="78" ht="13.5" customHeight="1" spans="1:26" x14ac:dyDescent="0.25">
      <c r="A78" s="4"/>
      <c r="B78" s="4"/>
      <c r="C78" s="4"/>
      <c r="D78" s="4"/>
      <c r="E78" s="4"/>
      <c r="F78" s="4"/>
      <c r="G78" s="4"/>
      <c r="H78" s="4"/>
      <c r="I78" s="4"/>
      <c r="J78" s="4"/>
      <c r="K78" s="4"/>
      <c r="L78" s="4"/>
      <c r="M78" s="4"/>
      <c r="N78" s="4"/>
      <c r="O78" s="4"/>
      <c r="P78" s="4"/>
      <c r="Q78" s="4"/>
      <c r="R78" s="4"/>
      <c r="S78" s="4"/>
      <c r="T78" s="4"/>
      <c r="U78" s="4"/>
      <c r="V78" s="4"/>
      <c r="W78" s="4"/>
      <c r="X78" s="4"/>
      <c r="Y78" s="4"/>
      <c r="Z78" s="4"/>
    </row>
    <row r="79" ht="13.5" customHeight="1" spans="1:26" x14ac:dyDescent="0.25">
      <c r="A79" s="4"/>
      <c r="B79" s="4"/>
      <c r="C79" s="4"/>
      <c r="D79" s="4"/>
      <c r="E79" s="4"/>
      <c r="F79" s="4"/>
      <c r="G79" s="4"/>
      <c r="H79" s="4"/>
      <c r="I79" s="4"/>
      <c r="J79" s="4"/>
      <c r="K79" s="4"/>
      <c r="L79" s="4"/>
      <c r="M79" s="4"/>
      <c r="N79" s="4"/>
      <c r="O79" s="4"/>
      <c r="P79" s="4"/>
      <c r="Q79" s="4"/>
      <c r="R79" s="4"/>
      <c r="S79" s="4"/>
      <c r="T79" s="4"/>
      <c r="U79" s="4"/>
      <c r="V79" s="4"/>
      <c r="W79" s="4"/>
      <c r="X79" s="4"/>
      <c r="Y79" s="4"/>
      <c r="Z79" s="4"/>
    </row>
    <row r="80" ht="13.5" customHeight="1" spans="1:26" x14ac:dyDescent="0.25">
      <c r="A80" s="4"/>
      <c r="B80" s="4"/>
      <c r="C80" s="4"/>
      <c r="D80" s="4"/>
      <c r="E80" s="4"/>
      <c r="F80" s="4"/>
      <c r="G80" s="4"/>
      <c r="H80" s="4"/>
      <c r="I80" s="4"/>
      <c r="J80" s="4"/>
      <c r="K80" s="4"/>
      <c r="L80" s="4"/>
      <c r="M80" s="4"/>
      <c r="N80" s="4"/>
      <c r="O80" s="4"/>
      <c r="P80" s="4"/>
      <c r="Q80" s="4"/>
      <c r="R80" s="4"/>
      <c r="S80" s="4"/>
      <c r="T80" s="4"/>
      <c r="U80" s="4"/>
      <c r="V80" s="4"/>
      <c r="W80" s="4"/>
      <c r="X80" s="4"/>
      <c r="Y80" s="4"/>
      <c r="Z80" s="4"/>
    </row>
    <row r="81" ht="13.5" customHeight="1" spans="1:26" x14ac:dyDescent="0.25">
      <c r="A81" s="4"/>
      <c r="B81" s="4"/>
      <c r="C81" s="4"/>
      <c r="D81" s="4"/>
      <c r="E81" s="4"/>
      <c r="F81" s="4"/>
      <c r="G81" s="4"/>
      <c r="H81" s="4"/>
      <c r="I81" s="4"/>
      <c r="J81" s="4"/>
      <c r="K81" s="4"/>
      <c r="L81" s="4"/>
      <c r="M81" s="4"/>
      <c r="N81" s="4"/>
      <c r="O81" s="4"/>
      <c r="P81" s="4"/>
      <c r="Q81" s="4"/>
      <c r="R81" s="4"/>
      <c r="S81" s="4"/>
      <c r="T81" s="4"/>
      <c r="U81" s="4"/>
      <c r="V81" s="4"/>
      <c r="W81" s="4"/>
      <c r="X81" s="4"/>
      <c r="Y81" s="4"/>
      <c r="Z81" s="4"/>
    </row>
    <row r="82" ht="13.5" customHeight="1" spans="1:26" x14ac:dyDescent="0.25">
      <c r="A82" s="4"/>
      <c r="B82" s="4"/>
      <c r="C82" s="4"/>
      <c r="D82" s="4"/>
      <c r="E82" s="4"/>
      <c r="F82" s="4"/>
      <c r="G82" s="4"/>
      <c r="H82" s="4"/>
      <c r="I82" s="4"/>
      <c r="J82" s="4"/>
      <c r="K82" s="4"/>
      <c r="L82" s="4"/>
      <c r="M82" s="4"/>
      <c r="N82" s="4"/>
      <c r="O82" s="4"/>
      <c r="P82" s="4"/>
      <c r="Q82" s="4"/>
      <c r="R82" s="4"/>
      <c r="S82" s="4"/>
      <c r="T82" s="4"/>
      <c r="U82" s="4"/>
      <c r="V82" s="4"/>
      <c r="W82" s="4"/>
      <c r="X82" s="4"/>
      <c r="Y82" s="4"/>
      <c r="Z82" s="4"/>
    </row>
    <row r="83" ht="13.5" customHeight="1" spans="1:26" x14ac:dyDescent="0.25">
      <c r="A83" s="4"/>
      <c r="B83" s="4"/>
      <c r="C83" s="4"/>
      <c r="D83" s="4"/>
      <c r="E83" s="4"/>
      <c r="F83" s="4"/>
      <c r="G83" s="4"/>
      <c r="H83" s="4"/>
      <c r="I83" s="4"/>
      <c r="J83" s="4"/>
      <c r="K83" s="4"/>
      <c r="L83" s="4"/>
      <c r="M83" s="4"/>
      <c r="N83" s="4"/>
      <c r="O83" s="4"/>
      <c r="P83" s="4"/>
      <c r="Q83" s="4"/>
      <c r="R83" s="4"/>
      <c r="S83" s="4"/>
      <c r="T83" s="4"/>
      <c r="U83" s="4"/>
      <c r="V83" s="4"/>
      <c r="W83" s="4"/>
      <c r="X83" s="4"/>
      <c r="Y83" s="4"/>
      <c r="Z83" s="4"/>
    </row>
    <row r="84" ht="13.5" customHeight="1" spans="1:26" x14ac:dyDescent="0.25">
      <c r="A84" s="4"/>
      <c r="B84" s="4"/>
      <c r="C84" s="4"/>
      <c r="D84" s="4"/>
      <c r="E84" s="4"/>
      <c r="F84" s="4"/>
      <c r="G84" s="4"/>
      <c r="H84" s="4"/>
      <c r="I84" s="4"/>
      <c r="J84" s="4"/>
      <c r="K84" s="4"/>
      <c r="L84" s="4"/>
      <c r="M84" s="4"/>
      <c r="N84" s="4"/>
      <c r="O84" s="4"/>
      <c r="P84" s="4"/>
      <c r="Q84" s="4"/>
      <c r="R84" s="4"/>
      <c r="S84" s="4"/>
      <c r="T84" s="4"/>
      <c r="U84" s="4"/>
      <c r="V84" s="4"/>
      <c r="W84" s="4"/>
      <c r="X84" s="4"/>
      <c r="Y84" s="4"/>
      <c r="Z84" s="4"/>
    </row>
    <row r="85" ht="13.5" customHeight="1" spans="1:26" x14ac:dyDescent="0.25">
      <c r="A85" s="4"/>
      <c r="B85" s="4"/>
      <c r="C85" s="4"/>
      <c r="D85" s="4"/>
      <c r="E85" s="4"/>
      <c r="F85" s="4"/>
      <c r="G85" s="4"/>
      <c r="H85" s="4"/>
      <c r="I85" s="4"/>
      <c r="J85" s="4"/>
      <c r="K85" s="4"/>
      <c r="L85" s="4"/>
      <c r="M85" s="4"/>
      <c r="N85" s="4"/>
      <c r="O85" s="4"/>
      <c r="P85" s="4"/>
      <c r="Q85" s="4"/>
      <c r="R85" s="4"/>
      <c r="S85" s="4"/>
      <c r="T85" s="4"/>
      <c r="U85" s="4"/>
      <c r="V85" s="4"/>
      <c r="W85" s="4"/>
      <c r="X85" s="4"/>
      <c r="Y85" s="4"/>
      <c r="Z85" s="4"/>
    </row>
    <row r="86" ht="13.5" customHeight="1" spans="1:26" x14ac:dyDescent="0.25">
      <c r="A86" s="4"/>
      <c r="B86" s="4"/>
      <c r="C86" s="4"/>
      <c r="D86" s="4"/>
      <c r="E86" s="4"/>
      <c r="F86" s="4"/>
      <c r="G86" s="4"/>
      <c r="H86" s="4"/>
      <c r="I86" s="4"/>
      <c r="J86" s="4"/>
      <c r="K86" s="4"/>
      <c r="L86" s="4"/>
      <c r="M86" s="4"/>
      <c r="N86" s="4"/>
      <c r="O86" s="4"/>
      <c r="P86" s="4"/>
      <c r="Q86" s="4"/>
      <c r="R86" s="4"/>
      <c r="S86" s="4"/>
      <c r="T86" s="4"/>
      <c r="U86" s="4"/>
      <c r="V86" s="4"/>
      <c r="W86" s="4"/>
      <c r="X86" s="4"/>
      <c r="Y86" s="4"/>
      <c r="Z86" s="4"/>
    </row>
    <row r="87" ht="13.5" customHeight="1" spans="1:26" x14ac:dyDescent="0.25">
      <c r="A87" s="4"/>
      <c r="B87" s="4"/>
      <c r="C87" s="4"/>
      <c r="D87" s="4"/>
      <c r="E87" s="4"/>
      <c r="F87" s="4"/>
      <c r="G87" s="4"/>
      <c r="H87" s="4"/>
      <c r="I87" s="4"/>
      <c r="J87" s="4"/>
      <c r="K87" s="4"/>
      <c r="L87" s="4"/>
      <c r="M87" s="4"/>
      <c r="N87" s="4"/>
      <c r="O87" s="4"/>
      <c r="P87" s="4"/>
      <c r="Q87" s="4"/>
      <c r="R87" s="4"/>
      <c r="S87" s="4"/>
      <c r="T87" s="4"/>
      <c r="U87" s="4"/>
      <c r="V87" s="4"/>
      <c r="W87" s="4"/>
      <c r="X87" s="4"/>
      <c r="Y87" s="4"/>
      <c r="Z87" s="4"/>
    </row>
    <row r="88" ht="13.5" customHeight="1" spans="1:26" x14ac:dyDescent="0.25">
      <c r="A88" s="4"/>
      <c r="B88" s="4"/>
      <c r="C88" s="4"/>
      <c r="D88" s="4"/>
      <c r="E88" s="4"/>
      <c r="F88" s="4"/>
      <c r="G88" s="4"/>
      <c r="H88" s="4"/>
      <c r="I88" s="4"/>
      <c r="J88" s="4"/>
      <c r="K88" s="4"/>
      <c r="L88" s="4"/>
      <c r="M88" s="4"/>
      <c r="N88" s="4"/>
      <c r="O88" s="4"/>
      <c r="P88" s="4"/>
      <c r="Q88" s="4"/>
      <c r="R88" s="4"/>
      <c r="S88" s="4"/>
      <c r="T88" s="4"/>
      <c r="U88" s="4"/>
      <c r="V88" s="4"/>
      <c r="W88" s="4"/>
      <c r="X88" s="4"/>
      <c r="Y88" s="4"/>
      <c r="Z88" s="4"/>
    </row>
    <row r="89" ht="13.5" customHeight="1" spans="1:26" x14ac:dyDescent="0.25">
      <c r="A89" s="4"/>
      <c r="B89" s="4"/>
      <c r="C89" s="4"/>
      <c r="D89" s="4"/>
      <c r="E89" s="4"/>
      <c r="F89" s="4"/>
      <c r="G89" s="4"/>
      <c r="H89" s="4"/>
      <c r="I89" s="4"/>
      <c r="J89" s="4"/>
      <c r="K89" s="4"/>
      <c r="L89" s="4"/>
      <c r="M89" s="4"/>
      <c r="N89" s="4"/>
      <c r="O89" s="4"/>
      <c r="P89" s="4"/>
      <c r="Q89" s="4"/>
      <c r="R89" s="4"/>
      <c r="S89" s="4"/>
      <c r="T89" s="4"/>
      <c r="U89" s="4"/>
      <c r="V89" s="4"/>
      <c r="W89" s="4"/>
      <c r="X89" s="4"/>
      <c r="Y89" s="4"/>
      <c r="Z89" s="4"/>
    </row>
    <row r="90" ht="13.5" customHeight="1" spans="1:26" x14ac:dyDescent="0.25">
      <c r="A90" s="4"/>
      <c r="B90" s="4"/>
      <c r="C90" s="4"/>
      <c r="D90" s="4"/>
      <c r="E90" s="4"/>
      <c r="F90" s="4"/>
      <c r="G90" s="4"/>
      <c r="H90" s="4"/>
      <c r="I90" s="4"/>
      <c r="J90" s="4"/>
      <c r="K90" s="4"/>
      <c r="L90" s="4"/>
      <c r="M90" s="4"/>
      <c r="N90" s="4"/>
      <c r="O90" s="4"/>
      <c r="P90" s="4"/>
      <c r="Q90" s="4"/>
      <c r="R90" s="4"/>
      <c r="S90" s="4"/>
      <c r="T90" s="4"/>
      <c r="U90" s="4"/>
      <c r="V90" s="4"/>
      <c r="W90" s="4"/>
      <c r="X90" s="4"/>
      <c r="Y90" s="4"/>
      <c r="Z90" s="4"/>
    </row>
    <row r="91" ht="13.5" customHeight="1" spans="1:26" x14ac:dyDescent="0.25">
      <c r="A91" s="4"/>
      <c r="B91" s="4"/>
      <c r="C91" s="4"/>
      <c r="D91" s="4"/>
      <c r="E91" s="4"/>
      <c r="F91" s="4"/>
      <c r="G91" s="4"/>
      <c r="H91" s="4"/>
      <c r="I91" s="4"/>
      <c r="J91" s="4"/>
      <c r="K91" s="4"/>
      <c r="L91" s="4"/>
      <c r="M91" s="4"/>
      <c r="N91" s="4"/>
      <c r="O91" s="4"/>
      <c r="P91" s="4"/>
      <c r="Q91" s="4"/>
      <c r="R91" s="4"/>
      <c r="S91" s="4"/>
      <c r="T91" s="4"/>
      <c r="U91" s="4"/>
      <c r="V91" s="4"/>
      <c r="W91" s="4"/>
      <c r="X91" s="4"/>
      <c r="Y91" s="4"/>
      <c r="Z91" s="4"/>
    </row>
    <row r="92" ht="13.5" customHeight="1" spans="1:26" x14ac:dyDescent="0.25">
      <c r="A92" s="4"/>
      <c r="B92" s="4"/>
      <c r="C92" s="4"/>
      <c r="D92" s="4"/>
      <c r="E92" s="4"/>
      <c r="F92" s="4"/>
      <c r="G92" s="4"/>
      <c r="H92" s="4"/>
      <c r="I92" s="4"/>
      <c r="J92" s="4"/>
      <c r="K92" s="4"/>
      <c r="L92" s="4"/>
      <c r="M92" s="4"/>
      <c r="N92" s="4"/>
      <c r="O92" s="4"/>
      <c r="P92" s="4"/>
      <c r="Q92" s="4"/>
      <c r="R92" s="4"/>
      <c r="S92" s="4"/>
      <c r="T92" s="4"/>
      <c r="U92" s="4"/>
      <c r="V92" s="4"/>
      <c r="W92" s="4"/>
      <c r="X92" s="4"/>
      <c r="Y92" s="4"/>
      <c r="Z92" s="4"/>
    </row>
    <row r="93" ht="13.5" customHeight="1" spans="1:26" x14ac:dyDescent="0.25">
      <c r="A93" s="4"/>
      <c r="B93" s="4"/>
      <c r="C93" s="4"/>
      <c r="D93" s="4"/>
      <c r="E93" s="4"/>
      <c r="F93" s="4"/>
      <c r="G93" s="4"/>
      <c r="H93" s="4"/>
      <c r="I93" s="4"/>
      <c r="J93" s="4"/>
      <c r="K93" s="4"/>
      <c r="L93" s="4"/>
      <c r="M93" s="4"/>
      <c r="N93" s="4"/>
      <c r="O93" s="4"/>
      <c r="P93" s="4"/>
      <c r="Q93" s="4"/>
      <c r="R93" s="4"/>
      <c r="S93" s="4"/>
      <c r="T93" s="4"/>
      <c r="U93" s="4"/>
      <c r="V93" s="4"/>
      <c r="W93" s="4"/>
      <c r="X93" s="4"/>
      <c r="Y93" s="4"/>
      <c r="Z93" s="4"/>
    </row>
    <row r="94" ht="13.5" customHeight="1" spans="1:26" x14ac:dyDescent="0.25">
      <c r="A94" s="4"/>
      <c r="B94" s="4"/>
      <c r="C94" s="4"/>
      <c r="D94" s="4"/>
      <c r="E94" s="4"/>
      <c r="F94" s="4"/>
      <c r="G94" s="4"/>
      <c r="H94" s="4"/>
      <c r="I94" s="4"/>
      <c r="J94" s="4"/>
      <c r="K94" s="4"/>
      <c r="L94" s="4"/>
      <c r="M94" s="4"/>
      <c r="N94" s="4"/>
      <c r="O94" s="4"/>
      <c r="P94" s="4"/>
      <c r="Q94" s="4"/>
      <c r="R94" s="4"/>
      <c r="S94" s="4"/>
      <c r="T94" s="4"/>
      <c r="U94" s="4"/>
      <c r="V94" s="4"/>
      <c r="W94" s="4"/>
      <c r="X94" s="4"/>
      <c r="Y94" s="4"/>
      <c r="Z94" s="4"/>
    </row>
    <row r="95" ht="13.5" customHeight="1" spans="1:26" x14ac:dyDescent="0.25">
      <c r="A95" s="4"/>
      <c r="B95" s="4"/>
      <c r="C95" s="4"/>
      <c r="D95" s="4"/>
      <c r="E95" s="4"/>
      <c r="F95" s="4"/>
      <c r="G95" s="4"/>
      <c r="H95" s="4"/>
      <c r="I95" s="4"/>
      <c r="J95" s="4"/>
      <c r="K95" s="4"/>
      <c r="L95" s="4"/>
      <c r="M95" s="4"/>
      <c r="N95" s="4"/>
      <c r="O95" s="4"/>
      <c r="P95" s="4"/>
      <c r="Q95" s="4"/>
      <c r="R95" s="4"/>
      <c r="S95" s="4"/>
      <c r="T95" s="4"/>
      <c r="U95" s="4"/>
      <c r="V95" s="4"/>
      <c r="W95" s="4"/>
      <c r="X95" s="4"/>
      <c r="Y95" s="4"/>
      <c r="Z95" s="4"/>
    </row>
    <row r="96" ht="13.5" customHeight="1" spans="1:26" x14ac:dyDescent="0.25">
      <c r="A96" s="4"/>
      <c r="B96" s="4"/>
      <c r="C96" s="4"/>
      <c r="D96" s="4"/>
      <c r="E96" s="4"/>
      <c r="F96" s="4"/>
      <c r="G96" s="4"/>
      <c r="H96" s="4"/>
      <c r="I96" s="4"/>
      <c r="J96" s="4"/>
      <c r="K96" s="4"/>
      <c r="L96" s="4"/>
      <c r="M96" s="4"/>
      <c r="N96" s="4"/>
      <c r="O96" s="4"/>
      <c r="P96" s="4"/>
      <c r="Q96" s="4"/>
      <c r="R96" s="4"/>
      <c r="S96" s="4"/>
      <c r="T96" s="4"/>
      <c r="U96" s="4"/>
      <c r="V96" s="4"/>
      <c r="W96" s="4"/>
      <c r="X96" s="4"/>
      <c r="Y96" s="4"/>
      <c r="Z96" s="4"/>
    </row>
    <row r="97" ht="13.5" customHeight="1" spans="1:26" x14ac:dyDescent="0.25">
      <c r="A97" s="4"/>
      <c r="B97" s="4"/>
      <c r="C97" s="4"/>
      <c r="D97" s="4"/>
      <c r="E97" s="4"/>
      <c r="F97" s="4"/>
      <c r="G97" s="4"/>
      <c r="H97" s="4"/>
      <c r="I97" s="4"/>
      <c r="J97" s="4"/>
      <c r="K97" s="4"/>
      <c r="L97" s="4"/>
      <c r="M97" s="4"/>
      <c r="N97" s="4"/>
      <c r="O97" s="4"/>
      <c r="P97" s="4"/>
      <c r="Q97" s="4"/>
      <c r="R97" s="4"/>
      <c r="S97" s="4"/>
      <c r="T97" s="4"/>
      <c r="U97" s="4"/>
      <c r="V97" s="4"/>
      <c r="W97" s="4"/>
      <c r="X97" s="4"/>
      <c r="Y97" s="4"/>
      <c r="Z97" s="4"/>
    </row>
    <row r="98" ht="13.5" customHeight="1" spans="1:26" x14ac:dyDescent="0.25">
      <c r="A98" s="4"/>
      <c r="B98" s="4"/>
      <c r="C98" s="4"/>
      <c r="D98" s="4"/>
      <c r="E98" s="4"/>
      <c r="F98" s="4"/>
      <c r="G98" s="4"/>
      <c r="H98" s="4"/>
      <c r="I98" s="4"/>
      <c r="J98" s="4"/>
      <c r="K98" s="4"/>
      <c r="L98" s="4"/>
      <c r="M98" s="4"/>
      <c r="N98" s="4"/>
      <c r="O98" s="4"/>
      <c r="P98" s="4"/>
      <c r="Q98" s="4"/>
      <c r="R98" s="4"/>
      <c r="S98" s="4"/>
      <c r="T98" s="4"/>
      <c r="U98" s="4"/>
      <c r="V98" s="4"/>
      <c r="W98" s="4"/>
      <c r="X98" s="4"/>
      <c r="Y98" s="4"/>
      <c r="Z98" s="4"/>
    </row>
    <row r="99" ht="13.5" customHeight="1" spans="1:26" x14ac:dyDescent="0.25">
      <c r="A99" s="4"/>
      <c r="B99" s="4"/>
      <c r="C99" s="4"/>
      <c r="D99" s="4"/>
      <c r="E99" s="4"/>
      <c r="F99" s="4"/>
      <c r="G99" s="4"/>
      <c r="H99" s="4"/>
      <c r="I99" s="4"/>
      <c r="J99" s="4"/>
      <c r="K99" s="4"/>
      <c r="L99" s="4"/>
      <c r="M99" s="4"/>
      <c r="N99" s="4"/>
      <c r="O99" s="4"/>
      <c r="P99" s="4"/>
      <c r="Q99" s="4"/>
      <c r="R99" s="4"/>
      <c r="S99" s="4"/>
      <c r="T99" s="4"/>
      <c r="U99" s="4"/>
      <c r="V99" s="4"/>
      <c r="W99" s="4"/>
      <c r="X99" s="4"/>
      <c r="Y99" s="4"/>
      <c r="Z99" s="4"/>
    </row>
    <row r="100" ht="13.5" customHeight="1" spans="1:26" x14ac:dyDescent="0.25">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ht="13.5" customHeight="1" spans="1:26" x14ac:dyDescent="0.25">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ht="13.5" customHeight="1" spans="1:26" x14ac:dyDescent="0.25">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ht="13.5" customHeight="1" spans="1:26" x14ac:dyDescent="0.25">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ht="13.5" customHeight="1" spans="1:26" x14ac:dyDescent="0.25">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ht="13.5" customHeight="1" spans="1:26" x14ac:dyDescent="0.25">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ht="13.5" customHeight="1" spans="1:26" x14ac:dyDescent="0.25">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ht="13.5" customHeight="1" spans="1:26" x14ac:dyDescent="0.25">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ht="13.5" customHeight="1" spans="1:26" x14ac:dyDescent="0.25">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ht="13.5" customHeight="1" spans="1:26" x14ac:dyDescent="0.25">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ht="13.5" customHeight="1" spans="1:26" x14ac:dyDescent="0.25">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ht="13.5" customHeight="1" spans="1:26" x14ac:dyDescent="0.25">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ht="13.5" customHeight="1" spans="1:26" x14ac:dyDescent="0.25">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ht="13.5" customHeight="1" spans="1:26" x14ac:dyDescent="0.25">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ht="13.5" customHeight="1" spans="1:26" x14ac:dyDescent="0.25">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ht="13.5" customHeight="1" spans="1:26" x14ac:dyDescent="0.25">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ht="13.5" customHeight="1" spans="1:26" x14ac:dyDescent="0.25">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ht="13.5" customHeight="1" spans="1:26" x14ac:dyDescent="0.25">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ht="13.5" customHeight="1" spans="1:26" x14ac:dyDescent="0.25">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ht="13.5" customHeight="1" spans="1:26" x14ac:dyDescent="0.25">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ht="13.5" customHeight="1" spans="1:26" x14ac:dyDescent="0.25">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ht="13.5" customHeight="1" spans="1:26" x14ac:dyDescent="0.25">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ht="13.5" customHeight="1" spans="1:26" x14ac:dyDescent="0.25">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ht="13.5" customHeight="1" spans="1:26" x14ac:dyDescent="0.25">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ht="13.5" customHeight="1" spans="1:26" x14ac:dyDescent="0.25">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ht="13.5" customHeight="1" spans="1:26" x14ac:dyDescent="0.25">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ht="13.5" customHeight="1" spans="1:26" x14ac:dyDescent="0.25">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ht="13.5" customHeight="1" spans="1:26" x14ac:dyDescent="0.25">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ht="13.5" customHeight="1" spans="1:26" x14ac:dyDescent="0.25">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ht="13.5" customHeight="1" spans="1:26" x14ac:dyDescent="0.25">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ht="13.5" customHeight="1" spans="1:26" x14ac:dyDescent="0.25">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ht="13.5" customHeight="1" spans="1:26" x14ac:dyDescent="0.25">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ht="13.5" customHeight="1" spans="1:26" x14ac:dyDescent="0.25">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ht="13.5" customHeight="1" spans="1:26" x14ac:dyDescent="0.25">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ht="13.5" customHeight="1" spans="1:26" x14ac:dyDescent="0.25">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ht="13.5" customHeight="1" spans="1:26" x14ac:dyDescent="0.25">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ht="13.5" customHeight="1" spans="1:26" x14ac:dyDescent="0.25">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ht="13.5" customHeight="1" spans="1:26" x14ac:dyDescent="0.25">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ht="13.5" customHeight="1" spans="1:26" x14ac:dyDescent="0.25">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ht="13.5" customHeight="1" spans="1:26" x14ac:dyDescent="0.25">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ht="13.5" customHeight="1" spans="1:26" x14ac:dyDescent="0.25">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ht="13.5" customHeight="1" spans="1:26" x14ac:dyDescent="0.25">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ht="13.5" customHeight="1" spans="1:26" x14ac:dyDescent="0.25">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ht="13.5" customHeight="1" spans="1:26" x14ac:dyDescent="0.25">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ht="13.5" customHeight="1" spans="1:26" x14ac:dyDescent="0.25">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ht="13.5" customHeight="1" spans="1:26" x14ac:dyDescent="0.25">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ht="13.5" customHeight="1" spans="1:26" x14ac:dyDescent="0.25">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ht="13.5" customHeight="1" spans="1:26" x14ac:dyDescent="0.25">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ht="13.5" customHeight="1" spans="1:26" x14ac:dyDescent="0.25">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ht="13.5" customHeight="1" spans="1:26" x14ac:dyDescent="0.25">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ht="13.5" customHeight="1" spans="1:26" x14ac:dyDescent="0.25">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ht="13.5" customHeight="1" spans="1:26" x14ac:dyDescent="0.25">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ht="13.5" customHeight="1" spans="1:26" x14ac:dyDescent="0.25">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ht="13.5" customHeight="1" spans="1:26" x14ac:dyDescent="0.25">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ht="13.5" customHeight="1" spans="1:26" x14ac:dyDescent="0.25">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ht="13.5" customHeight="1" spans="1:26" x14ac:dyDescent="0.25">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ht="13.5" customHeight="1" spans="1:26" x14ac:dyDescent="0.25">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ht="13.5" customHeight="1" spans="1:26" x14ac:dyDescent="0.25">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ht="13.5" customHeight="1" spans="1:26" x14ac:dyDescent="0.25">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ht="13.5" customHeight="1" spans="1:26" x14ac:dyDescent="0.25">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ht="13.5" customHeight="1" spans="1:26" x14ac:dyDescent="0.25">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ht="13.5" customHeight="1" spans="1:26" x14ac:dyDescent="0.25">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ht="13.5" customHeight="1" spans="1:26" x14ac:dyDescent="0.25">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ht="13.5" customHeight="1" spans="1:26" x14ac:dyDescent="0.25">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ht="13.5" customHeight="1" spans="1:26" x14ac:dyDescent="0.25">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ht="13.5" customHeight="1" spans="1:26" x14ac:dyDescent="0.25">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ht="13.5" customHeight="1" spans="1:26" x14ac:dyDescent="0.25">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ht="13.5" customHeight="1" spans="1:26" x14ac:dyDescent="0.25">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ht="13.5" customHeight="1" spans="1:26" x14ac:dyDescent="0.25">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ht="13.5" customHeight="1" spans="1:26" x14ac:dyDescent="0.25">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ht="13.5" customHeight="1" spans="1:26" x14ac:dyDescent="0.25">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ht="13.5" customHeight="1" spans="1:26" x14ac:dyDescent="0.25">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ht="13.5" customHeight="1" spans="1:26" x14ac:dyDescent="0.25">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ht="13.5" customHeight="1" spans="1:26" x14ac:dyDescent="0.25">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13.5" customHeight="1" spans="1:26" x14ac:dyDescent="0.25">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13.5" customHeight="1" spans="1:26" x14ac:dyDescent="0.25">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13.5" customHeight="1" spans="1:26" x14ac:dyDescent="0.25">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ht="13.5" customHeight="1" spans="1:26" x14ac:dyDescent="0.25">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ht="13.5" customHeight="1" spans="1:26" x14ac:dyDescent="0.25">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13.5" customHeight="1" spans="1:26" x14ac:dyDescent="0.25">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13.5" customHeight="1" spans="1:26" x14ac:dyDescent="0.25">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ht="13.5" customHeight="1" spans="1:26" x14ac:dyDescent="0.25">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13.5" customHeight="1" spans="1:26" x14ac:dyDescent="0.25">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13.5" customHeight="1" spans="1:26" x14ac:dyDescent="0.25">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13.5" customHeight="1" spans="1:26" x14ac:dyDescent="0.25">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13.5" customHeight="1" spans="1:26" x14ac:dyDescent="0.25">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13.5" customHeight="1" spans="1:26" x14ac:dyDescent="0.25">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13.5" customHeight="1" spans="1:26" x14ac:dyDescent="0.25">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13.5" customHeight="1" spans="1:26" x14ac:dyDescent="0.25">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13.5" customHeight="1" spans="1:26" x14ac:dyDescent="0.25">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13.5" customHeight="1" spans="1:26" x14ac:dyDescent="0.25">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13.5" customHeight="1" spans="1:26" x14ac:dyDescent="0.25">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13.5" customHeight="1" spans="1:26" x14ac:dyDescent="0.25">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13.5" customHeight="1" spans="1:26" x14ac:dyDescent="0.25">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13.5" customHeight="1" spans="1:26" x14ac:dyDescent="0.25">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13.5" customHeight="1" spans="1:26" x14ac:dyDescent="0.25">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13.5" customHeight="1" spans="1:26" x14ac:dyDescent="0.25">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13.5" customHeight="1" spans="1:26" x14ac:dyDescent="0.25">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13.5" customHeight="1" spans="1:26" x14ac:dyDescent="0.25">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13.5" customHeight="1" spans="1:26" x14ac:dyDescent="0.25">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13.5" customHeight="1" spans="1:26" x14ac:dyDescent="0.25">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13.5" customHeight="1" spans="1:26" x14ac:dyDescent="0.25">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13.5" customHeight="1" spans="1:26" x14ac:dyDescent="0.25">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13.5" customHeight="1" spans="1:26" x14ac:dyDescent="0.25">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13.5" customHeight="1" spans="1:26" x14ac:dyDescent="0.25">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13.5" customHeight="1" spans="1:26" x14ac:dyDescent="0.25">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13.5" customHeight="1" spans="1:26" x14ac:dyDescent="0.25">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13.5" customHeight="1" spans="1:26" x14ac:dyDescent="0.25">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13.5" customHeight="1" spans="1:26" x14ac:dyDescent="0.25">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13.5" customHeight="1" spans="1:26" x14ac:dyDescent="0.25">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13.5" customHeight="1" spans="1:26" x14ac:dyDescent="0.25">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13.5" customHeight="1" spans="1:26" x14ac:dyDescent="0.25">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13.5" customHeight="1" spans="1:26" x14ac:dyDescent="0.25">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13.5" customHeight="1" spans="1:26" x14ac:dyDescent="0.25">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13.5" customHeight="1" spans="1:26" x14ac:dyDescent="0.25">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13.5" customHeight="1" spans="1:26" x14ac:dyDescent="0.25">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13.5" customHeight="1" spans="1:26" x14ac:dyDescent="0.25">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13.5" customHeight="1" spans="1:26" x14ac:dyDescent="0.25">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13.5" customHeight="1" spans="1:26" x14ac:dyDescent="0.25">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13.5" customHeight="1" spans="1:26" x14ac:dyDescent="0.25">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13.5" customHeight="1" spans="1:26" x14ac:dyDescent="0.25">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13.5" customHeight="1" spans="1:26" x14ac:dyDescent="0.25">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ht="13.5" customHeight="1" spans="1:26" x14ac:dyDescent="0.25">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ht="13.5" customHeight="1" spans="1:26" x14ac:dyDescent="0.25">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ht="13.5" customHeight="1" spans="1:26" x14ac:dyDescent="0.25">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ht="13.5" customHeight="1" spans="1:26" x14ac:dyDescent="0.25">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ht="13.5" customHeight="1" spans="1:26" x14ac:dyDescent="0.25">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ht="13.5" customHeight="1" spans="1:26" x14ac:dyDescent="0.25">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ht="13.5" customHeight="1" spans="1:26" x14ac:dyDescent="0.25">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ht="13.5" customHeight="1" spans="1:26" x14ac:dyDescent="0.25">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ht="13.5" customHeight="1" spans="1:26" x14ac:dyDescent="0.25">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ht="13.5" customHeight="1" spans="1:26" x14ac:dyDescent="0.25">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ht="13.5" customHeight="1" spans="1:26" x14ac:dyDescent="0.25">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ht="13.5" customHeight="1" spans="1:26" x14ac:dyDescent="0.25">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ht="13.5" customHeight="1" spans="1:26" x14ac:dyDescent="0.25">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ht="13.5" customHeight="1" spans="1:26" x14ac:dyDescent="0.25">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ht="13.5" customHeight="1" spans="1:26" x14ac:dyDescent="0.25">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ht="13.5" customHeight="1" spans="1:26" x14ac:dyDescent="0.25">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ht="13.5" customHeight="1" spans="1:26" x14ac:dyDescent="0.25">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ht="13.5" customHeight="1" spans="1:26" x14ac:dyDescent="0.25">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ht="13.5" customHeight="1" spans="1:26" x14ac:dyDescent="0.25">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ht="13.5" customHeight="1" spans="1:26" x14ac:dyDescent="0.25">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ht="13.5" customHeight="1" spans="1:26" x14ac:dyDescent="0.25">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ht="13.5" customHeight="1" spans="1:26" x14ac:dyDescent="0.25">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ht="13.5" customHeight="1" spans="1:26" x14ac:dyDescent="0.25">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ht="13.5" customHeight="1" spans="1:26" x14ac:dyDescent="0.25">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ht="13.5" customHeight="1" spans="1:26" x14ac:dyDescent="0.25">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ht="13.5" customHeight="1" spans="1:26" x14ac:dyDescent="0.25">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ht="13.5" customHeight="1" spans="1:26" x14ac:dyDescent="0.25">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ht="13.5" customHeight="1" spans="1:26" x14ac:dyDescent="0.25">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ht="13.5" customHeight="1" spans="1:26" x14ac:dyDescent="0.25">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ht="13.5" customHeight="1" spans="1:26" x14ac:dyDescent="0.25">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ht="13.5" customHeight="1" spans="1:26" x14ac:dyDescent="0.25">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ht="13.5" customHeight="1" spans="1:26" x14ac:dyDescent="0.25">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ht="13.5" customHeight="1" spans="1:26" x14ac:dyDescent="0.25">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ht="13.5" customHeight="1" spans="1:26" x14ac:dyDescent="0.25">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ht="13.5" customHeight="1" spans="1:26" x14ac:dyDescent="0.25">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ht="13.5" customHeight="1" spans="1:26" x14ac:dyDescent="0.25">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ht="13.5" customHeight="1" spans="1:26" x14ac:dyDescent="0.25">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ht="13.5" customHeight="1" spans="1:26" x14ac:dyDescent="0.25">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ht="13.5" customHeight="1" spans="1:26" x14ac:dyDescent="0.25">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ht="13.5" customHeight="1" spans="1:26" x14ac:dyDescent="0.25">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ht="13.5" customHeight="1" spans="1:26" x14ac:dyDescent="0.25">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ht="13.5" customHeight="1" spans="1:26" x14ac:dyDescent="0.25">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ht="13.5" customHeight="1" spans="1:26" x14ac:dyDescent="0.25">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ht="13.5" customHeight="1" spans="1:26" x14ac:dyDescent="0.25">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ht="13.5" customHeight="1" spans="1:26" x14ac:dyDescent="0.25">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ht="13.5" customHeight="1" spans="1:26" x14ac:dyDescent="0.25">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ht="13.5" customHeight="1" spans="1:26" x14ac:dyDescent="0.25">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ht="13.5" customHeight="1" spans="1:26" x14ac:dyDescent="0.25">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ht="13.5" customHeight="1" spans="1:26" x14ac:dyDescent="0.25">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ht="13.5" customHeight="1" spans="1:26" x14ac:dyDescent="0.25">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ht="13.5" customHeight="1" spans="1:26" x14ac:dyDescent="0.25">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ht="13.5" customHeight="1" spans="1:26" x14ac:dyDescent="0.25">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ht="13.5" customHeight="1" spans="1:26" x14ac:dyDescent="0.25">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ht="13.5" customHeight="1" spans="1:26" x14ac:dyDescent="0.25">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ht="13.5" customHeight="1" spans="1:26" x14ac:dyDescent="0.25">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ht="13.5" customHeight="1" spans="1:26" x14ac:dyDescent="0.25">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ht="13.5" customHeight="1" spans="1:26" x14ac:dyDescent="0.25">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ht="13.5" customHeight="1" spans="1:26" x14ac:dyDescent="0.25">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ht="13.5" customHeight="1" spans="1:26" x14ac:dyDescent="0.25">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ht="13.5" customHeight="1" spans="1:26" x14ac:dyDescent="0.25">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ht="13.5" customHeight="1" spans="1:26" x14ac:dyDescent="0.25">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ht="13.5" customHeight="1" spans="1:26" x14ac:dyDescent="0.25">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ht="13.5" customHeight="1" spans="1:26" x14ac:dyDescent="0.25">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ht="13.5" customHeight="1" spans="1:26" x14ac:dyDescent="0.25">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ht="13.5" customHeight="1" spans="1:26" x14ac:dyDescent="0.25">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ht="13.5" customHeight="1" spans="1:26" x14ac:dyDescent="0.25">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ht="13.5" customHeight="1" spans="1:26" x14ac:dyDescent="0.25">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ht="13.5" customHeight="1" spans="1:26" x14ac:dyDescent="0.25">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ht="13.5" customHeight="1" spans="1:26" x14ac:dyDescent="0.25">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ht="13.5" customHeight="1" spans="1:26" x14ac:dyDescent="0.25">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ht="13.5" customHeight="1" spans="1:26" x14ac:dyDescent="0.25">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ht="13.5" customHeight="1" spans="1:26" x14ac:dyDescent="0.25">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ht="13.5" customHeight="1" spans="1:26" x14ac:dyDescent="0.25">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ht="13.5" customHeight="1" spans="1:26" x14ac:dyDescent="0.25">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ht="13.5" customHeight="1" spans="1:26" x14ac:dyDescent="0.25">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ht="13.5" customHeight="1" spans="1:26" x14ac:dyDescent="0.25">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ht="13.5" customHeight="1" spans="1:26" x14ac:dyDescent="0.25">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ht="13.5" customHeight="1" spans="1:26" x14ac:dyDescent="0.25">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ht="13.5" customHeight="1" spans="1:26" x14ac:dyDescent="0.25">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ht="13.5" customHeight="1" spans="1:26" x14ac:dyDescent="0.25">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ht="13.5" customHeight="1" spans="1:26" x14ac:dyDescent="0.25">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ht="13.5" customHeight="1" spans="1:26" x14ac:dyDescent="0.25">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ht="13.5" customHeight="1" spans="1:26" x14ac:dyDescent="0.25">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ht="13.5" customHeight="1" spans="1:26" x14ac:dyDescent="0.2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ht="13.5" customHeight="1" spans="1:26" x14ac:dyDescent="0.25">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ht="13.5" customHeight="1" spans="1:26" x14ac:dyDescent="0.25">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ht="13.5" customHeight="1" spans="1:26" x14ac:dyDescent="0.25">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ht="13.5" customHeight="1" spans="1:26" x14ac:dyDescent="0.25">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ht="13.5" customHeight="1" spans="1:26" x14ac:dyDescent="0.25">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ht="13.5" customHeight="1" spans="1:26" x14ac:dyDescent="0.25">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ht="13.5" customHeight="1" spans="1:26" x14ac:dyDescent="0.25">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ht="13.5" customHeight="1" spans="1:26" x14ac:dyDescent="0.25">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ht="13.5" customHeight="1" spans="1:26" x14ac:dyDescent="0.25">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ht="13.5" customHeight="1" spans="1:26" x14ac:dyDescent="0.2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ht="13.5" customHeight="1" spans="1:26" x14ac:dyDescent="0.25">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ht="13.5" customHeight="1" spans="1:26" x14ac:dyDescent="0.25">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ht="13.5" customHeight="1" spans="1:26" x14ac:dyDescent="0.25">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ht="13.5" customHeight="1" spans="1:26" x14ac:dyDescent="0.25">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ht="13.5" customHeight="1" spans="1:26" x14ac:dyDescent="0.25">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ht="13.5" customHeight="1" spans="1:26" x14ac:dyDescent="0.25">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ht="13.5" customHeight="1" spans="1:26" x14ac:dyDescent="0.25">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ht="13.5" customHeight="1" spans="1:26" x14ac:dyDescent="0.25">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ht="13.5" customHeight="1" spans="1:26" x14ac:dyDescent="0.25">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ht="13.5" customHeight="1" spans="1:26" x14ac:dyDescent="0.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ht="13.5" customHeight="1" spans="1:26" x14ac:dyDescent="0.25">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ht="13.5" customHeight="1" spans="1:26" x14ac:dyDescent="0.25">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ht="13.5" customHeight="1" spans="1:26" x14ac:dyDescent="0.25">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ht="13.5" customHeight="1" spans="1:26" x14ac:dyDescent="0.25">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ht="13.5" customHeight="1" spans="1:26" x14ac:dyDescent="0.25">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ht="13.5" customHeight="1" spans="1:26" x14ac:dyDescent="0.25">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ht="13.5" customHeight="1" spans="1:26" x14ac:dyDescent="0.25">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ht="13.5" customHeight="1" spans="1:26" x14ac:dyDescent="0.25">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ht="13.5" customHeight="1" spans="1:26" x14ac:dyDescent="0.25">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ht="13.5" customHeight="1" spans="1:26" x14ac:dyDescent="0.2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ht="13.5" customHeight="1" spans="1:26" x14ac:dyDescent="0.25">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ht="13.5" customHeight="1" spans="1:26" x14ac:dyDescent="0.25">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ht="13.5" customHeight="1" spans="1:26" x14ac:dyDescent="0.25">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ht="13.5" customHeight="1" spans="1:26" x14ac:dyDescent="0.25">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ht="13.5" customHeight="1" spans="1:26" x14ac:dyDescent="0.25">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ht="13.5" customHeight="1" spans="1:26" x14ac:dyDescent="0.25">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ht="13.5" customHeight="1" spans="1:26" x14ac:dyDescent="0.25">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ht="13.5" customHeight="1" spans="1:26" x14ac:dyDescent="0.25">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ht="13.5" customHeight="1" spans="1:26" x14ac:dyDescent="0.25">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ht="13.5" customHeight="1" spans="1:26" x14ac:dyDescent="0.2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ht="13.5" customHeight="1" spans="1:26" x14ac:dyDescent="0.25">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ht="13.5" customHeight="1" spans="1:26" x14ac:dyDescent="0.25">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ht="13.5" customHeight="1" spans="1:26" x14ac:dyDescent="0.25">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ht="13.5" customHeight="1" spans="1:26" x14ac:dyDescent="0.25">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ht="13.5" customHeight="1" spans="1:26" x14ac:dyDescent="0.25">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ht="13.5" customHeight="1" spans="1:26" x14ac:dyDescent="0.25">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ht="13.5" customHeight="1" spans="1:26" x14ac:dyDescent="0.25">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ht="13.5" customHeight="1" spans="1:26" x14ac:dyDescent="0.25">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ht="13.5" customHeight="1" spans="1:26" x14ac:dyDescent="0.25">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ht="13.5" customHeight="1" spans="1:26" x14ac:dyDescent="0.2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ht="13.5" customHeight="1" spans="1:26" x14ac:dyDescent="0.25">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ht="13.5" customHeight="1" spans="1:26" x14ac:dyDescent="0.25">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ht="13.5" customHeight="1" spans="1:26" x14ac:dyDescent="0.25">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ht="13.5" customHeight="1" spans="1:26" x14ac:dyDescent="0.25">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ht="13.5" customHeight="1" spans="1:26" x14ac:dyDescent="0.25">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ht="13.5" customHeight="1" spans="1:26" x14ac:dyDescent="0.25">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ht="13.5" customHeight="1" spans="1:26" x14ac:dyDescent="0.25">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ht="13.5" customHeight="1" spans="1:26" x14ac:dyDescent="0.25">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ht="13.5" customHeight="1" spans="1:26" x14ac:dyDescent="0.25">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ht="13.5" customHeight="1" spans="1:26" x14ac:dyDescent="0.2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ht="13.5" customHeight="1" spans="1:26" x14ac:dyDescent="0.25">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ht="13.5" customHeight="1" spans="1:26" x14ac:dyDescent="0.25">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ht="13.5" customHeight="1" spans="1:26" x14ac:dyDescent="0.25">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ht="13.5" customHeight="1" spans="1:26" x14ac:dyDescent="0.25">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ht="13.5" customHeight="1" spans="1:26" x14ac:dyDescent="0.25">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ht="13.5" customHeight="1" spans="1:26" x14ac:dyDescent="0.25">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ht="13.5" customHeight="1" spans="1:26" x14ac:dyDescent="0.25">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ht="13.5" customHeight="1" spans="1:26" x14ac:dyDescent="0.25">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ht="13.5" customHeight="1" spans="1:26" x14ac:dyDescent="0.25">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ht="13.5" customHeight="1" spans="1:26" x14ac:dyDescent="0.2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ht="13.5" customHeight="1" spans="1:26" x14ac:dyDescent="0.25">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ht="13.5" customHeight="1" spans="1:26" x14ac:dyDescent="0.25">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ht="13.5" customHeight="1" spans="1:26" x14ac:dyDescent="0.25">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ht="13.5" customHeight="1" spans="1:26" x14ac:dyDescent="0.25">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ht="13.5" customHeight="1" spans="1:26" x14ac:dyDescent="0.25">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ht="13.5" customHeight="1" spans="1:26" x14ac:dyDescent="0.25">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ht="13.5" customHeight="1" spans="1:26" x14ac:dyDescent="0.25">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ht="13.5" customHeight="1" spans="1:26" x14ac:dyDescent="0.25">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ht="13.5" customHeight="1" spans="1:26" x14ac:dyDescent="0.25">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ht="13.5" customHeight="1" spans="1:26" x14ac:dyDescent="0.2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ht="13.5" customHeight="1" spans="1:26" x14ac:dyDescent="0.25">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ht="13.5" customHeight="1" spans="1:26" x14ac:dyDescent="0.25">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ht="13.5" customHeight="1" spans="1:26" x14ac:dyDescent="0.25">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ht="13.5" customHeight="1" spans="1:26" x14ac:dyDescent="0.25">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ht="13.5" customHeight="1" spans="1:26" x14ac:dyDescent="0.25">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ht="13.5" customHeight="1" spans="1:26" x14ac:dyDescent="0.25">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ht="13.5" customHeight="1" spans="1:26" x14ac:dyDescent="0.25">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ht="13.5" customHeight="1" spans="1:26" x14ac:dyDescent="0.25">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ht="13.5" customHeight="1" spans="1:26" x14ac:dyDescent="0.25">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ht="13.5" customHeight="1" spans="1:26" x14ac:dyDescent="0.2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ht="13.5" customHeight="1" spans="1:26" x14ac:dyDescent="0.25">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ht="13.5" customHeight="1" spans="1:26" x14ac:dyDescent="0.25">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ht="13.5" customHeight="1" spans="1:26" x14ac:dyDescent="0.25">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ht="13.5" customHeight="1" spans="1:26" x14ac:dyDescent="0.25">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ht="13.5" customHeight="1" spans="1:26" x14ac:dyDescent="0.25">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ht="13.5" customHeight="1" spans="1:26" x14ac:dyDescent="0.25">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ht="13.5" customHeight="1" spans="1:26" x14ac:dyDescent="0.25">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ht="13.5" customHeight="1" spans="1:26" x14ac:dyDescent="0.25">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ht="13.5" customHeight="1" spans="1:26" x14ac:dyDescent="0.25">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ht="13.5" customHeight="1" spans="1:26" x14ac:dyDescent="0.2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ht="13.5" customHeight="1" spans="1:26" x14ac:dyDescent="0.25">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ht="13.5" customHeight="1" spans="1:26" x14ac:dyDescent="0.25">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ht="13.5" customHeight="1" spans="1:26" x14ac:dyDescent="0.25">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ht="13.5" customHeight="1" spans="1:26" x14ac:dyDescent="0.25">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ht="13.5" customHeight="1" spans="1:26" x14ac:dyDescent="0.25">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ht="13.5" customHeight="1" spans="1:26" x14ac:dyDescent="0.25">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ht="13.5" customHeight="1" spans="1:26" x14ac:dyDescent="0.25">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ht="13.5" customHeight="1" spans="1:26" x14ac:dyDescent="0.25">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ht="13.5" customHeight="1" spans="1:26" x14ac:dyDescent="0.25">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ht="13.5" customHeight="1" spans="1:26" x14ac:dyDescent="0.2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ht="13.5" customHeight="1" spans="1:26" x14ac:dyDescent="0.25">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ht="13.5" customHeight="1" spans="1:26" x14ac:dyDescent="0.25">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ht="13.5" customHeight="1" spans="1:26" x14ac:dyDescent="0.25">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ht="13.5" customHeight="1" spans="1:26" x14ac:dyDescent="0.25">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ht="13.5" customHeight="1" spans="1:26" x14ac:dyDescent="0.25">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ht="13.5" customHeight="1" spans="1:26" x14ac:dyDescent="0.25">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ht="13.5" customHeight="1" spans="1:26" x14ac:dyDescent="0.25">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ht="13.5" customHeight="1" spans="1:26" x14ac:dyDescent="0.25">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ht="13.5" customHeight="1" spans="1:26" x14ac:dyDescent="0.25">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ht="13.5" customHeight="1" spans="1:26" x14ac:dyDescent="0.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ht="13.5" customHeight="1" spans="1:26" x14ac:dyDescent="0.25">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ht="13.5" customHeight="1" spans="1:26" x14ac:dyDescent="0.25">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ht="13.5" customHeight="1" spans="1:26" x14ac:dyDescent="0.25">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ht="13.5" customHeight="1" spans="1:26" x14ac:dyDescent="0.25">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ht="13.5" customHeight="1" spans="1:26" x14ac:dyDescent="0.25">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ht="13.5" customHeight="1" spans="1:26" x14ac:dyDescent="0.25">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ht="13.5" customHeight="1" spans="1:26" x14ac:dyDescent="0.25">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ht="13.5" customHeight="1" spans="1:26" x14ac:dyDescent="0.25">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ht="13.5" customHeight="1" spans="1:26" x14ac:dyDescent="0.25">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ht="13.5" customHeight="1" spans="1:26" x14ac:dyDescent="0.2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ht="13.5" customHeight="1" spans="1:26" x14ac:dyDescent="0.25">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ht="13.5" customHeight="1" spans="1:26" x14ac:dyDescent="0.25">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ht="13.5" customHeight="1" spans="1:26" x14ac:dyDescent="0.25">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ht="13.5" customHeight="1" spans="1:26" x14ac:dyDescent="0.25">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ht="13.5" customHeight="1" spans="1:26" x14ac:dyDescent="0.25">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ht="13.5" customHeight="1" spans="1:26" x14ac:dyDescent="0.25">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ht="13.5" customHeight="1" spans="1:26" x14ac:dyDescent="0.25">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ht="13.5" customHeight="1" spans="1:26" x14ac:dyDescent="0.25">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ht="13.5" customHeight="1" spans="1:26" x14ac:dyDescent="0.25">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ht="13.5" customHeight="1" spans="1:26" x14ac:dyDescent="0.2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ht="13.5" customHeight="1" spans="1:26" x14ac:dyDescent="0.25">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ht="13.5" customHeight="1" spans="1:26" x14ac:dyDescent="0.25">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ht="13.5" customHeight="1" spans="1:26" x14ac:dyDescent="0.25">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ht="13.5" customHeight="1" spans="1:26" x14ac:dyDescent="0.25">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ht="13.5" customHeight="1" spans="1:26" x14ac:dyDescent="0.25">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ht="13.5" customHeight="1" spans="1:26" x14ac:dyDescent="0.25">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ht="13.5" customHeight="1" spans="1:26" x14ac:dyDescent="0.25">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ht="13.5" customHeight="1" spans="1:26" x14ac:dyDescent="0.25">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ht="13.5" customHeight="1" spans="1:26" x14ac:dyDescent="0.25">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ht="13.5" customHeight="1" spans="1:26" x14ac:dyDescent="0.2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ht="13.5" customHeight="1" spans="1:26" x14ac:dyDescent="0.25">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ht="13.5" customHeight="1" spans="1:26" x14ac:dyDescent="0.25">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ht="13.5" customHeight="1" spans="1:26" x14ac:dyDescent="0.25">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ht="13.5" customHeight="1" spans="1:26" x14ac:dyDescent="0.25">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ht="13.5" customHeight="1" spans="1:26" x14ac:dyDescent="0.25">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ht="13.5" customHeight="1" spans="1:26" x14ac:dyDescent="0.25">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ht="13.5" customHeight="1" spans="1:26" x14ac:dyDescent="0.25">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ht="13.5" customHeight="1" spans="1:26" x14ac:dyDescent="0.25">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ht="13.5" customHeight="1" spans="1:26" x14ac:dyDescent="0.25">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ht="13.5" customHeight="1" spans="1:26" x14ac:dyDescent="0.2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ht="13.5" customHeight="1" spans="1:26" x14ac:dyDescent="0.25">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ht="13.5" customHeight="1" spans="1:26" x14ac:dyDescent="0.25">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ht="13.5" customHeight="1" spans="1:26" x14ac:dyDescent="0.25">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ht="13.5" customHeight="1" spans="1:26" x14ac:dyDescent="0.25">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ht="13.5" customHeight="1" spans="1:26" x14ac:dyDescent="0.25">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ht="13.5" customHeight="1" spans="1:26" x14ac:dyDescent="0.25">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ht="13.5" customHeight="1" spans="1:26" x14ac:dyDescent="0.25">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ht="13.5" customHeight="1" spans="1:26" x14ac:dyDescent="0.25">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ht="13.5" customHeight="1" spans="1:26" x14ac:dyDescent="0.25">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ht="13.5" customHeight="1" spans="1:26" x14ac:dyDescent="0.2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ht="13.5" customHeight="1" spans="1:26" x14ac:dyDescent="0.25">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ht="13.5" customHeight="1" spans="1:26" x14ac:dyDescent="0.25">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ht="13.5" customHeight="1" spans="1:26" x14ac:dyDescent="0.25">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ht="13.5" customHeight="1" spans="1:26" x14ac:dyDescent="0.25">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ht="13.5" customHeight="1" spans="1:26" x14ac:dyDescent="0.25">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ht="13.5" customHeight="1" spans="1:26" x14ac:dyDescent="0.25">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ht="13.5" customHeight="1" spans="1:26" x14ac:dyDescent="0.25">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ht="13.5" customHeight="1" spans="1:26" x14ac:dyDescent="0.25">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ht="13.5" customHeight="1" spans="1:26" x14ac:dyDescent="0.25">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ht="13.5" customHeight="1" spans="1:26" x14ac:dyDescent="0.2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ht="13.5" customHeight="1" spans="1:26" x14ac:dyDescent="0.25">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ht="13.5" customHeight="1" spans="1:26" x14ac:dyDescent="0.25">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ht="13.5" customHeight="1" spans="1:26" x14ac:dyDescent="0.25">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ht="13.5" customHeight="1" spans="1:26" x14ac:dyDescent="0.25">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ht="13.5" customHeight="1" spans="1:26" x14ac:dyDescent="0.25">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ht="13.5" customHeight="1" spans="1:26" x14ac:dyDescent="0.25">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ht="13.5" customHeight="1" spans="1:26" x14ac:dyDescent="0.25">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ht="13.5" customHeight="1" spans="1:26" x14ac:dyDescent="0.25">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ht="13.5" customHeight="1" spans="1:26" x14ac:dyDescent="0.25">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ht="13.5" customHeight="1" spans="1:26" x14ac:dyDescent="0.2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ht="13.5" customHeight="1" spans="1:26" x14ac:dyDescent="0.25">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ht="13.5" customHeight="1" spans="1:26" x14ac:dyDescent="0.25">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ht="13.5" customHeight="1" spans="1:26" x14ac:dyDescent="0.25">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ht="13.5" customHeight="1" spans="1:26" x14ac:dyDescent="0.25">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ht="13.5" customHeight="1" spans="1:26" x14ac:dyDescent="0.25">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ht="13.5" customHeight="1" spans="1:26" x14ac:dyDescent="0.25">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ht="13.5" customHeight="1" spans="1:26" x14ac:dyDescent="0.25">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ht="13.5" customHeight="1" spans="1:26" x14ac:dyDescent="0.25">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ht="13.5" customHeight="1" spans="1:26" x14ac:dyDescent="0.25">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ht="13.5" customHeight="1" spans="1:26" x14ac:dyDescent="0.2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ht="13.5" customHeight="1" spans="1:26" x14ac:dyDescent="0.25">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ht="13.5" customHeight="1" spans="1:26" x14ac:dyDescent="0.25">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ht="13.5" customHeight="1" spans="1:26" x14ac:dyDescent="0.25">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ht="13.5" customHeight="1" spans="1:26" x14ac:dyDescent="0.25">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ht="13.5" customHeight="1" spans="1:26" x14ac:dyDescent="0.25">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ht="13.5" customHeight="1" spans="1:26" x14ac:dyDescent="0.25">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ht="13.5" customHeight="1" spans="1:26" x14ac:dyDescent="0.25">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ht="13.5" customHeight="1" spans="1:26" x14ac:dyDescent="0.25">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ht="13.5" customHeight="1" spans="1:26" x14ac:dyDescent="0.25">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ht="13.5" customHeight="1" spans="1:26" x14ac:dyDescent="0.2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ht="13.5" customHeight="1" spans="1:26" x14ac:dyDescent="0.25">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ht="13.5" customHeight="1" spans="1:26" x14ac:dyDescent="0.25">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ht="13.5" customHeight="1" spans="1:26" x14ac:dyDescent="0.25">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ht="13.5" customHeight="1" spans="1:26" x14ac:dyDescent="0.25">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ht="13.5" customHeight="1" spans="1:26" x14ac:dyDescent="0.25">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ht="13.5" customHeight="1" spans="1:26" x14ac:dyDescent="0.25">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ht="13.5" customHeight="1" spans="1:26" x14ac:dyDescent="0.25">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ht="13.5" customHeight="1" spans="1:26" x14ac:dyDescent="0.25">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ht="13.5" customHeight="1" spans="1:26" x14ac:dyDescent="0.25">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ht="13.5" customHeight="1" spans="1:26" x14ac:dyDescent="0.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ht="13.5" customHeight="1" spans="1:26" x14ac:dyDescent="0.25">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ht="13.5" customHeight="1" spans="1:26" x14ac:dyDescent="0.25">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ht="13.5" customHeight="1" spans="1:26" x14ac:dyDescent="0.25">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ht="13.5" customHeight="1" spans="1:26" x14ac:dyDescent="0.25">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ht="13.5" customHeight="1" spans="1:26" x14ac:dyDescent="0.25">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ht="13.5" customHeight="1" spans="1:26" x14ac:dyDescent="0.25">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ht="13.5" customHeight="1" spans="1:26" x14ac:dyDescent="0.25">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ht="13.5" customHeight="1" spans="1:26" x14ac:dyDescent="0.25">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ht="13.5" customHeight="1" spans="1:26" x14ac:dyDescent="0.25">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ht="13.5" customHeight="1" spans="1:26" x14ac:dyDescent="0.2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ht="13.5" customHeight="1" spans="1:26" x14ac:dyDescent="0.25">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ht="13.5" customHeight="1" spans="1:26" x14ac:dyDescent="0.25">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ht="13.5" customHeight="1" spans="1:26" x14ac:dyDescent="0.25">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ht="13.5" customHeight="1" spans="1:26" x14ac:dyDescent="0.25">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ht="13.5" customHeight="1" spans="1:26" x14ac:dyDescent="0.25">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ht="13.5" customHeight="1" spans="1:26" x14ac:dyDescent="0.25">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ht="13.5" customHeight="1" spans="1:26" x14ac:dyDescent="0.25">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ht="13.5" customHeight="1" spans="1:26" x14ac:dyDescent="0.25">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ht="13.5" customHeight="1" spans="1:26" x14ac:dyDescent="0.25">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ht="13.5" customHeight="1" spans="1:26" x14ac:dyDescent="0.2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ht="13.5" customHeight="1" spans="1:26" x14ac:dyDescent="0.25">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ht="13.5" customHeight="1" spans="1:26" x14ac:dyDescent="0.25">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ht="13.5" customHeight="1" spans="1:26" x14ac:dyDescent="0.25">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ht="13.5" customHeight="1" spans="1:26" x14ac:dyDescent="0.25">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ht="13.5" customHeight="1" spans="1:26" x14ac:dyDescent="0.25">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ht="13.5" customHeight="1" spans="1:26" x14ac:dyDescent="0.25">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ht="13.5" customHeight="1" spans="1:26" x14ac:dyDescent="0.25">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ht="13.5" customHeight="1" spans="1:26" x14ac:dyDescent="0.25">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ht="13.5" customHeight="1" spans="1:26" x14ac:dyDescent="0.25">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ht="13.5" customHeight="1" spans="1:26" x14ac:dyDescent="0.2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ht="13.5" customHeight="1" spans="1:26" x14ac:dyDescent="0.25">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ht="13.5" customHeight="1" spans="1:26" x14ac:dyDescent="0.25">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ht="13.5" customHeight="1" spans="1:26" x14ac:dyDescent="0.25">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ht="13.5" customHeight="1" spans="1:26" x14ac:dyDescent="0.25">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ht="13.5" customHeight="1" spans="1:26" x14ac:dyDescent="0.25">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ht="13.5" customHeight="1" spans="1:26" x14ac:dyDescent="0.25">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ht="13.5" customHeight="1" spans="1:26" x14ac:dyDescent="0.25">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ht="13.5" customHeight="1" spans="1:26" x14ac:dyDescent="0.25">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ht="13.5" customHeight="1" spans="1:26" x14ac:dyDescent="0.25">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ht="13.5" customHeight="1" spans="1:26" x14ac:dyDescent="0.2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ht="13.5" customHeight="1" spans="1:26" x14ac:dyDescent="0.25">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ht="13.5" customHeight="1" spans="1:26" x14ac:dyDescent="0.25">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ht="13.5" customHeight="1" spans="1:26" x14ac:dyDescent="0.25">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ht="13.5" customHeight="1" spans="1:26" x14ac:dyDescent="0.25">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ht="13.5" customHeight="1" spans="1:26" x14ac:dyDescent="0.25">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ht="13.5" customHeight="1" spans="1:26" x14ac:dyDescent="0.25">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ht="13.5" customHeight="1" spans="1:26" x14ac:dyDescent="0.25">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ht="13.5" customHeight="1" spans="1:26" x14ac:dyDescent="0.25">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ht="13.5" customHeight="1" spans="1:26" x14ac:dyDescent="0.25">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ht="13.5" customHeight="1" spans="1:26" x14ac:dyDescent="0.2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ht="13.5" customHeight="1" spans="1:26" x14ac:dyDescent="0.25">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ht="13.5" customHeight="1" spans="1:26" x14ac:dyDescent="0.25">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ht="13.5" customHeight="1" spans="1:26" x14ac:dyDescent="0.25">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ht="13.5" customHeight="1" spans="1:26" x14ac:dyDescent="0.25">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ht="13.5" customHeight="1" spans="1:26" x14ac:dyDescent="0.25">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ht="13.5" customHeight="1" spans="1:26" x14ac:dyDescent="0.25">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ht="13.5" customHeight="1" spans="1:26" x14ac:dyDescent="0.25">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ht="13.5" customHeight="1" spans="1:26" x14ac:dyDescent="0.25">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ht="13.5" customHeight="1" spans="1:26" x14ac:dyDescent="0.25">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ht="13.5" customHeight="1" spans="1:26" x14ac:dyDescent="0.2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ht="13.5" customHeight="1" spans="1:26" x14ac:dyDescent="0.25">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ht="13.5" customHeight="1" spans="1:26" x14ac:dyDescent="0.25">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ht="13.5" customHeight="1" spans="1:26" x14ac:dyDescent="0.25">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ht="13.5" customHeight="1" spans="1:26" x14ac:dyDescent="0.25">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ht="13.5" customHeight="1" spans="1:26" x14ac:dyDescent="0.25">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ht="13.5" customHeight="1" spans="1:26" x14ac:dyDescent="0.25">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ht="13.5" customHeight="1" spans="1:26" x14ac:dyDescent="0.25">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ht="13.5" customHeight="1" spans="1:26" x14ac:dyDescent="0.25">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ht="13.5" customHeight="1" spans="1:26" x14ac:dyDescent="0.25">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ht="13.5" customHeight="1" spans="1:26" x14ac:dyDescent="0.2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ht="13.5" customHeight="1" spans="1:26" x14ac:dyDescent="0.25">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ht="13.5" customHeight="1" spans="1:26" x14ac:dyDescent="0.25">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ht="13.5" customHeight="1" spans="1:26" x14ac:dyDescent="0.25">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ht="13.5" customHeight="1" spans="1:26" x14ac:dyDescent="0.25">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ht="13.5" customHeight="1" spans="1:26" x14ac:dyDescent="0.25">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ht="13.5" customHeight="1" spans="1:26" x14ac:dyDescent="0.25">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ht="13.5" customHeight="1" spans="1:26" x14ac:dyDescent="0.25">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ht="13.5" customHeight="1" spans="1:26" x14ac:dyDescent="0.25">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ht="13.5" customHeight="1" spans="1:26" x14ac:dyDescent="0.25">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ht="13.5" customHeight="1" spans="1:26" x14ac:dyDescent="0.2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ht="13.5" customHeight="1" spans="1:26" x14ac:dyDescent="0.25">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ht="13.5" customHeight="1" spans="1:26" x14ac:dyDescent="0.25">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ht="13.5" customHeight="1" spans="1:26" x14ac:dyDescent="0.25">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ht="13.5" customHeight="1" spans="1:26" x14ac:dyDescent="0.25">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ht="13.5" customHeight="1" spans="1:26" x14ac:dyDescent="0.25">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ht="13.5" customHeight="1" spans="1:26" x14ac:dyDescent="0.25">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ht="13.5" customHeight="1" spans="1:26" x14ac:dyDescent="0.25">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ht="13.5" customHeight="1" spans="1:26" x14ac:dyDescent="0.25">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ht="13.5" customHeight="1" spans="1:26" x14ac:dyDescent="0.25">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ht="13.5" customHeight="1" spans="1:26" x14ac:dyDescent="0.2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ht="13.5" customHeight="1" spans="1:26" x14ac:dyDescent="0.25">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ht="13.5" customHeight="1" spans="1:26" x14ac:dyDescent="0.25">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ht="13.5" customHeight="1" spans="1:26" x14ac:dyDescent="0.25">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ht="13.5" customHeight="1" spans="1:26" x14ac:dyDescent="0.25">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ht="13.5" customHeight="1" spans="1:26" x14ac:dyDescent="0.25">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ht="13.5" customHeight="1" spans="1:26" x14ac:dyDescent="0.25">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ht="13.5" customHeight="1" spans="1:26" x14ac:dyDescent="0.25">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ht="13.5" customHeight="1" spans="1:26" x14ac:dyDescent="0.25">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ht="13.5" customHeight="1" spans="1:26" x14ac:dyDescent="0.25">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ht="13.5" customHeight="1" spans="1:26" x14ac:dyDescent="0.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ht="13.5" customHeight="1" spans="1:26" x14ac:dyDescent="0.25">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ht="13.5" customHeight="1" spans="1:26" x14ac:dyDescent="0.25">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ht="13.5" customHeight="1" spans="1:26" x14ac:dyDescent="0.25">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ht="13.5" customHeight="1" spans="1:26" x14ac:dyDescent="0.25">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ht="13.5" customHeight="1" spans="1:26" x14ac:dyDescent="0.25">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ht="13.5" customHeight="1" spans="1:26" x14ac:dyDescent="0.25">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ht="13.5" customHeight="1" spans="1:26" x14ac:dyDescent="0.25">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ht="13.5" customHeight="1" spans="1:26" x14ac:dyDescent="0.25">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ht="13.5" customHeight="1" spans="1:26" x14ac:dyDescent="0.25">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ht="13.5" customHeight="1" spans="1:26" x14ac:dyDescent="0.2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ht="13.5" customHeight="1" spans="1:26" x14ac:dyDescent="0.25">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ht="13.5" customHeight="1" spans="1:26" x14ac:dyDescent="0.25">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ht="13.5" customHeight="1" spans="1:26" x14ac:dyDescent="0.25">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ht="13.5" customHeight="1" spans="1:26" x14ac:dyDescent="0.25">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ht="13.5" customHeight="1" spans="1:26" x14ac:dyDescent="0.25">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ht="13.5" customHeight="1" spans="1:26" x14ac:dyDescent="0.25">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ht="13.5" customHeight="1" spans="1:26" x14ac:dyDescent="0.25">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ht="13.5" customHeight="1" spans="1:26" x14ac:dyDescent="0.25">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ht="13.5" customHeight="1" spans="1:26" x14ac:dyDescent="0.25">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ht="13.5" customHeight="1" spans="1:26" x14ac:dyDescent="0.2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ht="13.5" customHeight="1" spans="1:26" x14ac:dyDescent="0.25">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ht="13.5" customHeight="1" spans="1:26" x14ac:dyDescent="0.25">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ht="13.5" customHeight="1" spans="1:26" x14ac:dyDescent="0.25">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ht="13.5" customHeight="1" spans="1:26" x14ac:dyDescent="0.25">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ht="13.5" customHeight="1" spans="1:26" x14ac:dyDescent="0.25">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ht="13.5" customHeight="1" spans="1:26" x14ac:dyDescent="0.25">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ht="13.5" customHeight="1" spans="1:26" x14ac:dyDescent="0.25">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ht="13.5" customHeight="1" spans="1:26" x14ac:dyDescent="0.25">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ht="13.5" customHeight="1" spans="1:26" x14ac:dyDescent="0.25">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ht="13.5" customHeight="1" spans="1:26" x14ac:dyDescent="0.2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ht="13.5" customHeight="1" spans="1:26" x14ac:dyDescent="0.25">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ht="13.5" customHeight="1" spans="1:26" x14ac:dyDescent="0.25">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ht="13.5" customHeight="1" spans="1:26" x14ac:dyDescent="0.25">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ht="13.5" customHeight="1" spans="1:26" x14ac:dyDescent="0.25">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ht="13.5" customHeight="1" spans="1:26" x14ac:dyDescent="0.25">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ht="13.5" customHeight="1" spans="1:26" x14ac:dyDescent="0.25">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ht="13.5" customHeight="1" spans="1:26" x14ac:dyDescent="0.25">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ht="13.5" customHeight="1" spans="1:26" x14ac:dyDescent="0.25">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ht="13.5" customHeight="1" spans="1:26" x14ac:dyDescent="0.25">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ht="13.5" customHeight="1" spans="1:26" x14ac:dyDescent="0.2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ht="13.5" customHeight="1" spans="1:26" x14ac:dyDescent="0.25">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ht="13.5" customHeight="1" spans="1:26" x14ac:dyDescent="0.25">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ht="13.5" customHeight="1" spans="1:26" x14ac:dyDescent="0.25">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ht="13.5" customHeight="1" spans="1:26" x14ac:dyDescent="0.25">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ht="13.5" customHeight="1" spans="1:26" x14ac:dyDescent="0.25">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ht="13.5" customHeight="1" spans="1:26" x14ac:dyDescent="0.25">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ht="13.5" customHeight="1" spans="1:26" x14ac:dyDescent="0.25">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ht="13.5" customHeight="1" spans="1:26" x14ac:dyDescent="0.25">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ht="13.5" customHeight="1" spans="1:26" x14ac:dyDescent="0.25">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ht="13.5" customHeight="1" spans="1:26" x14ac:dyDescent="0.2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ht="13.5" customHeight="1" spans="1:26" x14ac:dyDescent="0.25">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ht="13.5" customHeight="1" spans="1:26" x14ac:dyDescent="0.25">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ht="13.5" customHeight="1" spans="1:26" x14ac:dyDescent="0.25">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ht="13.5" customHeight="1" spans="1:26" x14ac:dyDescent="0.25">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ht="13.5" customHeight="1" spans="1:26" x14ac:dyDescent="0.25">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ht="13.5" customHeight="1" spans="1:26" x14ac:dyDescent="0.25">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ht="13.5" customHeight="1" spans="1:26" x14ac:dyDescent="0.25">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ht="13.5" customHeight="1" spans="1:26" x14ac:dyDescent="0.25">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ht="13.5" customHeight="1" spans="1:26" x14ac:dyDescent="0.25">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ht="13.5" customHeight="1" spans="1:26" x14ac:dyDescent="0.2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ht="13.5" customHeight="1" spans="1:26" x14ac:dyDescent="0.25">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ht="13.5" customHeight="1" spans="1:26" x14ac:dyDescent="0.25">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ht="13.5" customHeight="1" spans="1:26" x14ac:dyDescent="0.25">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ht="13.5" customHeight="1" spans="1:26" x14ac:dyDescent="0.25">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ht="13.5" customHeight="1" spans="1:26" x14ac:dyDescent="0.25">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ht="13.5" customHeight="1" spans="1:26" x14ac:dyDescent="0.25">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ht="13.5" customHeight="1" spans="1:26" x14ac:dyDescent="0.25">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ht="13.5" customHeight="1" spans="1:26" x14ac:dyDescent="0.25">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ht="13.5" customHeight="1" spans="1:26" x14ac:dyDescent="0.25">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ht="13.5" customHeight="1" spans="1:26" x14ac:dyDescent="0.2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ht="13.5" customHeight="1" spans="1:26" x14ac:dyDescent="0.25">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ht="13.5" customHeight="1" spans="1:26" x14ac:dyDescent="0.25">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ht="13.5" customHeight="1" spans="1:26" x14ac:dyDescent="0.25">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ht="13.5" customHeight="1" spans="1:26" x14ac:dyDescent="0.25">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ht="13.5" customHeight="1" spans="1:26" x14ac:dyDescent="0.25">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ht="13.5" customHeight="1" spans="1:26" x14ac:dyDescent="0.25">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ht="13.5" customHeight="1" spans="1:26" x14ac:dyDescent="0.25">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ht="13.5" customHeight="1" spans="1:26" x14ac:dyDescent="0.25">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ht="13.5" customHeight="1" spans="1:26" x14ac:dyDescent="0.25">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ht="13.5" customHeight="1" spans="1:26" x14ac:dyDescent="0.2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ht="13.5" customHeight="1" spans="1:26" x14ac:dyDescent="0.25">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ht="13.5" customHeight="1" spans="1:26" x14ac:dyDescent="0.25">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ht="13.5" customHeight="1" spans="1:26" x14ac:dyDescent="0.25">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ht="13.5" customHeight="1" spans="1:26" x14ac:dyDescent="0.25">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ht="13.5" customHeight="1" spans="1:26" x14ac:dyDescent="0.25">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ht="13.5" customHeight="1" spans="1:26" x14ac:dyDescent="0.25">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ht="13.5" customHeight="1" spans="1:26" x14ac:dyDescent="0.25">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ht="13.5" customHeight="1" spans="1:26" x14ac:dyDescent="0.25">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ht="13.5" customHeight="1" spans="1:26" x14ac:dyDescent="0.25">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ht="13.5" customHeight="1" spans="1:26" x14ac:dyDescent="0.2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ht="13.5" customHeight="1" spans="1:26" x14ac:dyDescent="0.25">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ht="13.5" customHeight="1" spans="1:26" x14ac:dyDescent="0.25">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ht="13.5" customHeight="1" spans="1:26" x14ac:dyDescent="0.25">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ht="13.5" customHeight="1" spans="1:26" x14ac:dyDescent="0.25">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ht="13.5" customHeight="1" spans="1:26" x14ac:dyDescent="0.25">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ht="13.5" customHeight="1" spans="1:26" x14ac:dyDescent="0.25">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ht="13.5" customHeight="1" spans="1:26" x14ac:dyDescent="0.25">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ht="13.5" customHeight="1" spans="1:26" x14ac:dyDescent="0.25">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ht="13.5" customHeight="1" spans="1:26" x14ac:dyDescent="0.25">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ht="13.5" customHeight="1" spans="1:26" x14ac:dyDescent="0.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ht="13.5" customHeight="1" spans="1:26" x14ac:dyDescent="0.25">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ht="13.5" customHeight="1" spans="1:26" x14ac:dyDescent="0.25">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ht="13.5" customHeight="1" spans="1:26" x14ac:dyDescent="0.25">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ht="13.5" customHeight="1" spans="1:26" x14ac:dyDescent="0.25">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ht="13.5" customHeight="1" spans="1:26" x14ac:dyDescent="0.25">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ht="13.5" customHeight="1" spans="1:26" x14ac:dyDescent="0.25">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ht="13.5" customHeight="1" spans="1:26" x14ac:dyDescent="0.25">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ht="13.5" customHeight="1" spans="1:26" x14ac:dyDescent="0.25">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ht="13.5" customHeight="1" spans="1:26" x14ac:dyDescent="0.25">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ht="13.5" customHeight="1" spans="1:26" x14ac:dyDescent="0.2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ht="13.5" customHeight="1" spans="1:26" x14ac:dyDescent="0.25">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ht="13.5" customHeight="1" spans="1:26" x14ac:dyDescent="0.25">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ht="13.5" customHeight="1" spans="1:26" x14ac:dyDescent="0.25">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ht="13.5" customHeight="1" spans="1:26" x14ac:dyDescent="0.25">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ht="13.5" customHeight="1" spans="1:26" x14ac:dyDescent="0.25">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ht="13.5" customHeight="1" spans="1:26" x14ac:dyDescent="0.25">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ht="13.5" customHeight="1" spans="1:26" x14ac:dyDescent="0.25">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ht="13.5" customHeight="1" spans="1:26" x14ac:dyDescent="0.25">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ht="13.5" customHeight="1" spans="1:26" x14ac:dyDescent="0.25">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ht="13.5" customHeight="1" spans="1:26" x14ac:dyDescent="0.2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ht="13.5" customHeight="1" spans="1:26" x14ac:dyDescent="0.25">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ht="13.5" customHeight="1" spans="1:26" x14ac:dyDescent="0.25">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ht="13.5" customHeight="1" spans="1:26" x14ac:dyDescent="0.25">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ht="13.5" customHeight="1" spans="1:26" x14ac:dyDescent="0.25">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ht="13.5" customHeight="1" spans="1:26" x14ac:dyDescent="0.25">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ht="13.5" customHeight="1" spans="1:26" x14ac:dyDescent="0.25">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ht="13.5" customHeight="1" spans="1:26" x14ac:dyDescent="0.25">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ht="13.5" customHeight="1" spans="1:26" x14ac:dyDescent="0.25">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ht="13.5" customHeight="1" spans="1:26" x14ac:dyDescent="0.25">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ht="13.5" customHeight="1" spans="1:26" x14ac:dyDescent="0.2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ht="13.5" customHeight="1" spans="1:26" x14ac:dyDescent="0.25">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ht="13.5" customHeight="1" spans="1:26" x14ac:dyDescent="0.25">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ht="13.5" customHeight="1" spans="1:26" x14ac:dyDescent="0.25">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ht="13.5" customHeight="1" spans="1:26" x14ac:dyDescent="0.25">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ht="13.5" customHeight="1" spans="1:26" x14ac:dyDescent="0.25">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ht="13.5" customHeight="1" spans="1:26" x14ac:dyDescent="0.25">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ht="13.5" customHeight="1" spans="1:26" x14ac:dyDescent="0.25">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ht="13.5" customHeight="1" spans="1:26" x14ac:dyDescent="0.25">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ht="13.5" customHeight="1" spans="1:26" x14ac:dyDescent="0.25">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ht="13.5" customHeight="1" spans="1:26" x14ac:dyDescent="0.2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ht="13.5" customHeight="1" spans="1:26" x14ac:dyDescent="0.25">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ht="13.5" customHeight="1" spans="1:26" x14ac:dyDescent="0.25">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ht="13.5" customHeight="1" spans="1:26" x14ac:dyDescent="0.25">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ht="13.5" customHeight="1" spans="1:26" x14ac:dyDescent="0.25">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ht="13.5" customHeight="1" spans="1:26" x14ac:dyDescent="0.25">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ht="13.5" customHeight="1" spans="1:26" x14ac:dyDescent="0.25">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ht="13.5" customHeight="1" spans="1:26" x14ac:dyDescent="0.25">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ht="13.5" customHeight="1" spans="1:26" x14ac:dyDescent="0.25">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ht="13.5" customHeight="1" spans="1:26" x14ac:dyDescent="0.25">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ht="13.5" customHeight="1" spans="1:26" x14ac:dyDescent="0.2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ht="13.5" customHeight="1" spans="1:26" x14ac:dyDescent="0.25">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ht="13.5" customHeight="1" spans="1:26" x14ac:dyDescent="0.25">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ht="13.5" customHeight="1" spans="1:26" x14ac:dyDescent="0.25">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ht="13.5" customHeight="1" spans="1:26" x14ac:dyDescent="0.25">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ht="13.5" customHeight="1" spans="1:26" x14ac:dyDescent="0.25">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ht="13.5" customHeight="1" spans="1:26" x14ac:dyDescent="0.25">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ht="13.5" customHeight="1" spans="1:26" x14ac:dyDescent="0.25">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ht="13.5" customHeight="1" spans="1:26" x14ac:dyDescent="0.25">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ht="13.5" customHeight="1" spans="1:26" x14ac:dyDescent="0.25">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ht="13.5" customHeight="1" spans="1:26" x14ac:dyDescent="0.2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ht="13.5" customHeight="1" spans="1:26" x14ac:dyDescent="0.25">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ht="13.5" customHeight="1" spans="1:26" x14ac:dyDescent="0.25">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ht="13.5" customHeight="1" spans="1:26" x14ac:dyDescent="0.25">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ht="13.5" customHeight="1" spans="1:26" x14ac:dyDescent="0.25">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ht="13.5" customHeight="1" spans="1:26" x14ac:dyDescent="0.25">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ht="13.5" customHeight="1" spans="1:26" x14ac:dyDescent="0.25">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ht="13.5" customHeight="1" spans="1:26" x14ac:dyDescent="0.25">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ht="13.5" customHeight="1" spans="1:26" x14ac:dyDescent="0.25">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ht="13.5" customHeight="1" spans="1:26" x14ac:dyDescent="0.25">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ht="13.5" customHeight="1" spans="1:26" x14ac:dyDescent="0.2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ht="13.5" customHeight="1" spans="1:26" x14ac:dyDescent="0.25">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ht="13.5" customHeight="1" spans="1:26" x14ac:dyDescent="0.25">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ht="13.5" customHeight="1" spans="1:26" x14ac:dyDescent="0.25">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ht="13.5" customHeight="1" spans="1:26" x14ac:dyDescent="0.25">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ht="13.5" customHeight="1" spans="1:26" x14ac:dyDescent="0.25">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ht="13.5" customHeight="1" spans="1:26" x14ac:dyDescent="0.25">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ht="13.5" customHeight="1" spans="1:26" x14ac:dyDescent="0.25">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ht="13.5" customHeight="1" spans="1:26" x14ac:dyDescent="0.25">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ht="13.5" customHeight="1" spans="1:26" x14ac:dyDescent="0.25">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ht="13.5" customHeight="1" spans="1:26" x14ac:dyDescent="0.2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ht="13.5" customHeight="1" spans="1:26" x14ac:dyDescent="0.25">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ht="13.5" customHeight="1" spans="1:26" x14ac:dyDescent="0.25">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ht="13.5" customHeight="1" spans="1:26" x14ac:dyDescent="0.25">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ht="13.5" customHeight="1" spans="1:26" x14ac:dyDescent="0.25">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ht="13.5" customHeight="1" spans="1:26" x14ac:dyDescent="0.25">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ht="13.5" customHeight="1" spans="1:26" x14ac:dyDescent="0.25">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ht="13.5" customHeight="1" spans="1:26" x14ac:dyDescent="0.25">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ht="13.5" customHeight="1" spans="1:26" x14ac:dyDescent="0.25">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ht="13.5" customHeight="1" spans="1:26" x14ac:dyDescent="0.25">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ht="13.5" customHeight="1" spans="1:26" x14ac:dyDescent="0.2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ht="13.5" customHeight="1" spans="1:26" x14ac:dyDescent="0.25">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ht="13.5" customHeight="1" spans="1:26" x14ac:dyDescent="0.25">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ht="13.5" customHeight="1" spans="1:26" x14ac:dyDescent="0.25">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ht="13.5" customHeight="1" spans="1:26" x14ac:dyDescent="0.25">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ht="13.5" customHeight="1" spans="1:26" x14ac:dyDescent="0.25">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ht="13.5" customHeight="1" spans="1:26" x14ac:dyDescent="0.25">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ht="13.5" customHeight="1" spans="1:26" x14ac:dyDescent="0.25">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ht="13.5" customHeight="1" spans="1:26" x14ac:dyDescent="0.25">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ht="13.5" customHeight="1" spans="1:26" x14ac:dyDescent="0.25">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ht="13.5" customHeight="1" spans="1:26" x14ac:dyDescent="0.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ht="13.5" customHeight="1" spans="1:26" x14ac:dyDescent="0.25">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ht="13.5" customHeight="1" spans="1:26" x14ac:dyDescent="0.25">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ht="13.5" customHeight="1" spans="1:26" x14ac:dyDescent="0.25">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ht="13.5" customHeight="1" spans="1:26" x14ac:dyDescent="0.25">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ht="13.5" customHeight="1" spans="1:26" x14ac:dyDescent="0.25">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ht="13.5" customHeight="1" spans="1:26" x14ac:dyDescent="0.25">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ht="13.5" customHeight="1" spans="1:26" x14ac:dyDescent="0.25">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ht="13.5" customHeight="1" spans="1:26" x14ac:dyDescent="0.25">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ht="13.5" customHeight="1" spans="1:26" x14ac:dyDescent="0.25">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ht="13.5" customHeight="1" spans="1:26" x14ac:dyDescent="0.2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ht="13.5" customHeight="1" spans="1:26" x14ac:dyDescent="0.25">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ht="13.5" customHeight="1" spans="1:26" x14ac:dyDescent="0.25">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ht="13.5" customHeight="1" spans="1:26" x14ac:dyDescent="0.25">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ht="13.5" customHeight="1" spans="1:26" x14ac:dyDescent="0.25">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ht="13.5" customHeight="1" spans="1:26" x14ac:dyDescent="0.25">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ht="13.5" customHeight="1" spans="1:26" x14ac:dyDescent="0.25">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ht="13.5" customHeight="1" spans="1:26" x14ac:dyDescent="0.25">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ht="13.5" customHeight="1" spans="1:26" x14ac:dyDescent="0.25">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ht="13.5" customHeight="1" spans="1:26" x14ac:dyDescent="0.25">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ht="13.5" customHeight="1" spans="1:26" x14ac:dyDescent="0.2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ht="13.5" customHeight="1" spans="1:26" x14ac:dyDescent="0.25">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ht="13.5" customHeight="1" spans="1:26" x14ac:dyDescent="0.25">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ht="13.5" customHeight="1" spans="1:26" x14ac:dyDescent="0.25">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ht="13.5" customHeight="1" spans="1:26" x14ac:dyDescent="0.25">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ht="13.5" customHeight="1" spans="1:26" x14ac:dyDescent="0.25">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ht="13.5" customHeight="1" spans="1:26" x14ac:dyDescent="0.25">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ht="13.5" customHeight="1" spans="1:26" x14ac:dyDescent="0.25">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ht="13.5" customHeight="1" spans="1:26" x14ac:dyDescent="0.25">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ht="13.5" customHeight="1" spans="1:26" x14ac:dyDescent="0.25">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ht="13.5" customHeight="1" spans="1:26" x14ac:dyDescent="0.2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ht="13.5" customHeight="1" spans="1:26" x14ac:dyDescent="0.25">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ht="13.5" customHeight="1" spans="1:26" x14ac:dyDescent="0.25">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ht="13.5" customHeight="1" spans="1:26" x14ac:dyDescent="0.25">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ht="13.5" customHeight="1" spans="1:26" x14ac:dyDescent="0.25">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ht="13.5" customHeight="1" spans="1:26" x14ac:dyDescent="0.25">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ht="13.5" customHeight="1" spans="1:26" x14ac:dyDescent="0.25">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ht="13.5" customHeight="1" spans="1:26" x14ac:dyDescent="0.25">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ht="13.5" customHeight="1" spans="1:26" x14ac:dyDescent="0.25">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ht="13.5" customHeight="1" spans="1:26" x14ac:dyDescent="0.25">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ht="13.5" customHeight="1" spans="1:26" x14ac:dyDescent="0.2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ht="13.5" customHeight="1" spans="1:26" x14ac:dyDescent="0.25">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ht="13.5" customHeight="1" spans="1:26" x14ac:dyDescent="0.25">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ht="13.5" customHeight="1" spans="1:26" x14ac:dyDescent="0.25">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ht="13.5" customHeight="1" spans="1:26" x14ac:dyDescent="0.25">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ht="13.5" customHeight="1" spans="1:26" x14ac:dyDescent="0.25">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ht="13.5" customHeight="1" spans="1:26" x14ac:dyDescent="0.25">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ht="13.5" customHeight="1" spans="1:26" x14ac:dyDescent="0.25">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ht="13.5" customHeight="1" spans="1:26" x14ac:dyDescent="0.25">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ht="13.5" customHeight="1" spans="1:26" x14ac:dyDescent="0.25">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ht="13.5" customHeight="1" spans="1:26" x14ac:dyDescent="0.2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ht="13.5" customHeight="1" spans="1:26" x14ac:dyDescent="0.25">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ht="13.5" customHeight="1" spans="1:26" x14ac:dyDescent="0.25">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ht="13.5" customHeight="1" spans="1:26" x14ac:dyDescent="0.25">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ht="13.5" customHeight="1" spans="1:26" x14ac:dyDescent="0.25">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ht="13.5" customHeight="1" spans="1:26" x14ac:dyDescent="0.25">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ht="13.5" customHeight="1" spans="1:26" x14ac:dyDescent="0.25">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ht="13.5" customHeight="1" spans="1:26" x14ac:dyDescent="0.25">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ht="13.5" customHeight="1" spans="1:26" x14ac:dyDescent="0.25">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ht="13.5" customHeight="1" spans="1:26" x14ac:dyDescent="0.25">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ht="13.5" customHeight="1" spans="1:26" x14ac:dyDescent="0.2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ht="13.5" customHeight="1" spans="1:26" x14ac:dyDescent="0.25">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ht="13.5" customHeight="1" spans="1:26" x14ac:dyDescent="0.25">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ht="13.5" customHeight="1" spans="1:26" x14ac:dyDescent="0.25">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ht="13.5" customHeight="1" spans="1:26" x14ac:dyDescent="0.25">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ht="13.5" customHeight="1" spans="1:26" x14ac:dyDescent="0.25">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ht="13.5" customHeight="1" spans="1:26" x14ac:dyDescent="0.25">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ht="13.5" customHeight="1" spans="1:26" x14ac:dyDescent="0.25">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ht="13.5" customHeight="1" spans="1:26" x14ac:dyDescent="0.25">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ht="13.5" customHeight="1" spans="1:26" x14ac:dyDescent="0.25">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ht="13.5" customHeight="1" spans="1:26" x14ac:dyDescent="0.2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ht="13.5" customHeight="1" spans="1:26" x14ac:dyDescent="0.25">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ht="13.5" customHeight="1" spans="1:26" x14ac:dyDescent="0.25">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ht="13.5" customHeight="1" spans="1:26" x14ac:dyDescent="0.25">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ht="13.5" customHeight="1" spans="1:26" x14ac:dyDescent="0.25">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ht="13.5" customHeight="1" spans="1:26" x14ac:dyDescent="0.25">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ht="13.5" customHeight="1" spans="1:26" x14ac:dyDescent="0.25">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ht="13.5" customHeight="1" spans="1:26" x14ac:dyDescent="0.25">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ht="13.5" customHeight="1" spans="1:26" x14ac:dyDescent="0.25">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ht="13.5" customHeight="1" spans="1:26" x14ac:dyDescent="0.25">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ht="13.5" customHeight="1" spans="1:26" x14ac:dyDescent="0.2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ht="13.5" customHeight="1" spans="1:26" x14ac:dyDescent="0.25">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ht="13.5" customHeight="1" spans="1:26" x14ac:dyDescent="0.25">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ht="13.5" customHeight="1" spans="1:26" x14ac:dyDescent="0.25">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ht="13.5" customHeight="1" spans="1:26" x14ac:dyDescent="0.25">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ht="13.5" customHeight="1" spans="1:26" x14ac:dyDescent="0.25">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ht="13.5" customHeight="1" spans="1:26" x14ac:dyDescent="0.25">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ht="13.5" customHeight="1" spans="1:26" x14ac:dyDescent="0.25">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ht="13.5" customHeight="1" spans="1:26" x14ac:dyDescent="0.25">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ht="13.5" customHeight="1" spans="1:26" x14ac:dyDescent="0.25">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ht="13.5" customHeight="1" spans="1:26" x14ac:dyDescent="0.2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ht="13.5" customHeight="1" spans="1:26" x14ac:dyDescent="0.25">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ht="13.5" customHeight="1" spans="1:26" x14ac:dyDescent="0.25">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ht="13.5" customHeight="1" spans="1:26" x14ac:dyDescent="0.25">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ht="13.5" customHeight="1" spans="1:26" x14ac:dyDescent="0.25">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ht="13.5" customHeight="1" spans="1:26" x14ac:dyDescent="0.25">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ht="13.5" customHeight="1" spans="1:26" x14ac:dyDescent="0.25">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ht="13.5" customHeight="1" spans="1:26" x14ac:dyDescent="0.25">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ht="13.5" customHeight="1" spans="1:26" x14ac:dyDescent="0.25">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ht="13.5" customHeight="1" spans="1:26" x14ac:dyDescent="0.25">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ht="13.5" customHeight="1" spans="1:26" x14ac:dyDescent="0.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ht="13.5" customHeight="1" spans="1:26" x14ac:dyDescent="0.25">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ht="13.5" customHeight="1" spans="1:26" x14ac:dyDescent="0.25">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ht="13.5" customHeight="1" spans="1:26" x14ac:dyDescent="0.25">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ht="13.5" customHeight="1" spans="1:26" x14ac:dyDescent="0.25">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ht="13.5" customHeight="1" spans="1:26" x14ac:dyDescent="0.25">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ht="13.5" customHeight="1" spans="1:26" x14ac:dyDescent="0.25">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ht="13.5" customHeight="1" spans="1:26" x14ac:dyDescent="0.25">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ht="13.5" customHeight="1" spans="1:26" x14ac:dyDescent="0.25">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ht="13.5" customHeight="1" spans="1:26" x14ac:dyDescent="0.25">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ht="13.5" customHeight="1" spans="1:26" x14ac:dyDescent="0.2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ht="13.5" customHeight="1" spans="1:26" x14ac:dyDescent="0.25">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ht="13.5" customHeight="1" spans="1:26" x14ac:dyDescent="0.25">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ht="13.5" customHeight="1" spans="1:26" x14ac:dyDescent="0.25">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ht="13.5" customHeight="1" spans="1:26" x14ac:dyDescent="0.25">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ht="13.5" customHeight="1" spans="1:26" x14ac:dyDescent="0.25">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ht="13.5" customHeight="1" spans="1:26" x14ac:dyDescent="0.25">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ht="13.5" customHeight="1" spans="1:26" x14ac:dyDescent="0.25">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ht="13.5" customHeight="1" spans="1:26" x14ac:dyDescent="0.25">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ht="13.5" customHeight="1" spans="1:26" x14ac:dyDescent="0.25">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ht="13.5" customHeight="1" spans="1:26" x14ac:dyDescent="0.2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ht="13.5" customHeight="1" spans="1:26" x14ac:dyDescent="0.25">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ht="13.5" customHeight="1" spans="1:26" x14ac:dyDescent="0.25">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ht="13.5" customHeight="1" spans="1:26" x14ac:dyDescent="0.25">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ht="13.5" customHeight="1" spans="1:26" x14ac:dyDescent="0.25">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ht="13.5" customHeight="1" spans="1:26" x14ac:dyDescent="0.25">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ht="13.5" customHeight="1" spans="1:26" x14ac:dyDescent="0.25">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ht="13.5" customHeight="1" spans="1:26" x14ac:dyDescent="0.25">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ht="13.5" customHeight="1" spans="1:26" x14ac:dyDescent="0.25">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ht="13.5" customHeight="1" spans="1:26" x14ac:dyDescent="0.25">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ht="13.5" customHeight="1" spans="1:26" x14ac:dyDescent="0.2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ht="13.5" customHeight="1" spans="1:26" x14ac:dyDescent="0.25">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ht="13.5" customHeight="1" spans="1:26" x14ac:dyDescent="0.25">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ht="13.5" customHeight="1" spans="1:26" x14ac:dyDescent="0.25">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ht="13.5" customHeight="1" spans="1:26" x14ac:dyDescent="0.25">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ht="13.5" customHeight="1" spans="1:26" x14ac:dyDescent="0.25">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ht="13.5" customHeight="1" spans="1:26" x14ac:dyDescent="0.25">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ht="13.5" customHeight="1" spans="1:26" x14ac:dyDescent="0.25">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ht="13.5" customHeight="1" spans="1:26" x14ac:dyDescent="0.25">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ht="13.5" customHeight="1" spans="1:26" x14ac:dyDescent="0.25">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ht="13.5" customHeight="1" spans="1:26" x14ac:dyDescent="0.2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ht="13.5" customHeight="1" spans="1:26" x14ac:dyDescent="0.25">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ht="13.5" customHeight="1" spans="1:26" x14ac:dyDescent="0.25">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ht="13.5" customHeight="1" spans="1:26" x14ac:dyDescent="0.25">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ht="13.5" customHeight="1" spans="1:26" x14ac:dyDescent="0.25">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ht="13.5" customHeight="1" spans="1:26" x14ac:dyDescent="0.25">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ht="13.5" customHeight="1" spans="1:26" x14ac:dyDescent="0.25">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ht="13.5" customHeight="1" spans="1:26" x14ac:dyDescent="0.25">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ht="13.5" customHeight="1" spans="1:26" x14ac:dyDescent="0.25">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ht="13.5" customHeight="1" spans="1:26" x14ac:dyDescent="0.25">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ht="13.5" customHeight="1" spans="1:26" x14ac:dyDescent="0.2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ht="13.5" customHeight="1" spans="1:26" x14ac:dyDescent="0.25">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ht="13.5" customHeight="1" spans="1:26" x14ac:dyDescent="0.25">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ht="13.5" customHeight="1" spans="1:26" x14ac:dyDescent="0.25">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ht="13.5" customHeight="1" spans="1:26" x14ac:dyDescent="0.25">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ht="13.5" customHeight="1" spans="1:26" x14ac:dyDescent="0.25">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ht="13.5" customHeight="1" spans="1:26" x14ac:dyDescent="0.25">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ht="13.5" customHeight="1" spans="1:26" x14ac:dyDescent="0.25">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ht="13.5" customHeight="1" spans="1:26" x14ac:dyDescent="0.25">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ht="13.5" customHeight="1" spans="1:26" x14ac:dyDescent="0.25">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ht="13.5" customHeight="1" spans="1:26" x14ac:dyDescent="0.2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ht="13.5" customHeight="1" spans="1:26" x14ac:dyDescent="0.25">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ht="13.5" customHeight="1" spans="1:26" x14ac:dyDescent="0.25">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ht="13.5" customHeight="1" spans="1:26" x14ac:dyDescent="0.25">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ht="13.5" customHeight="1" spans="1:26" x14ac:dyDescent="0.25">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ht="13.5" customHeight="1" spans="1:26" x14ac:dyDescent="0.25">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ht="13.5" customHeight="1" spans="1:26" x14ac:dyDescent="0.25">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ht="13.5" customHeight="1" spans="1:26" x14ac:dyDescent="0.25">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ht="13.5" customHeight="1" spans="1:26" x14ac:dyDescent="0.25">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ht="13.5" customHeight="1" spans="1:26" x14ac:dyDescent="0.25">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ht="13.5" customHeight="1" spans="1:26" x14ac:dyDescent="0.2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ht="13.5" customHeight="1" spans="1:26" x14ac:dyDescent="0.25">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ht="13.5" customHeight="1" spans="1:26" x14ac:dyDescent="0.25">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ht="13.5" customHeight="1" spans="1:26" x14ac:dyDescent="0.25">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ht="13.5" customHeight="1" spans="1:26" x14ac:dyDescent="0.25">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ht="13.5" customHeight="1" spans="1:26" x14ac:dyDescent="0.25">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mergeCells count="5">
    <mergeCell ref="L22:P22"/>
    <mergeCell ref="J24:J28"/>
    <mergeCell ref="J31:M31"/>
    <mergeCell ref="J43:K43"/>
    <mergeCell ref="J44:K44"/>
  </mergeCells>
  <conditionalFormatting sqref="C33:F37">
    <cfRule type="expression" dxfId="22" priority="1">
      <formula>$R$5="Report"</formula>
    </cfRule>
  </conditionalFormatting>
  <conditionalFormatting sqref="E47 G49">
    <cfRule type="expression" dxfId="23" priority="2">
      <formula>$R$5="Report"</formula>
    </cfRule>
  </conditionalFormatting>
  <conditionalFormatting sqref="G6:G8 G10">
    <cfRule type="expression" dxfId="24" priority="3">
      <formula>$R$5="Working"</formula>
    </cfRule>
  </conditionalFormatting>
  <conditionalFormatting sqref="G6:G10">
    <cfRule type="expression" dxfId="25" priority="4">
      <formula>$R$5="Report"</formula>
    </cfRule>
  </conditionalFormatting>
  <conditionalFormatting sqref="G9">
    <cfRule type="expression" dxfId="26" priority="5">
      <formula>$R$5="Working"</formula>
    </cfRule>
  </conditionalFormatting>
  <conditionalFormatting sqref="M33:M34 M36:M37">
    <cfRule type="expression" dxfId="27" priority="6">
      <formula>$R$5="Report"</formula>
    </cfRule>
    <cfRule type="expression" dxfId="28" priority="7">
      <formula>$R$5="Working"</formula>
    </cfRule>
  </conditionalFormatting>
  <conditionalFormatting sqref="N33">
    <cfRule type="expression" dxfId="29" priority="8">
      <formula>$R$2="Report"</formula>
    </cfRule>
    <cfRule type="expression" dxfId="30" priority="9">
      <formula>N33&lt;&gt;0</formula>
    </cfRule>
    <cfRule type="expression" dxfId="31" priority="10">
      <formula>$AQ$2="Report"</formula>
    </cfRule>
  </conditionalFormatting>
  <conditionalFormatting sqref="N36">
    <cfRule type="expression" dxfId="32" priority="11">
      <formula>$R$2="Report"</formula>
    </cfRule>
    <cfRule type="expression" dxfId="33" priority="12">
      <formula>N36&lt;&gt;0</formula>
    </cfRule>
    <cfRule type="expression" dxfId="34" priority="13">
      <formula>$AQ$2="Report"</formula>
    </cfRule>
  </conditionalFormatting>
  <conditionalFormatting sqref="Q20">
    <cfRule type="expression" dxfId="35" priority="14">
      <formula>$R$2="Report"</formula>
    </cfRule>
    <cfRule type="expression" dxfId="36" priority="15">
      <formula>Q20&lt;&gt;0</formula>
    </cfRule>
    <cfRule type="expression" dxfId="37" priority="16">
      <formula>$AQ$2="Report"</formula>
    </cfRule>
  </conditionalFormatting>
  <dataValidations count="2">
    <dataValidation type="list" allowBlank="1" showErrorMessage="1" sqref="J44">
      <formula1>"Comps Relevered Beta,Target Company Beta"</formula1>
    </dataValidation>
    <dataValidation type="list" allowBlank="1" showErrorMessage="1" sqref="R5">
      <formula1>"Report,Working"</formula1>
    </dataValidation>
  </dataValidations>
  <pageMargins left="0.7" right="0.7" top="0.75" bottom="0.75" header="0" footer="0"/>
  <pageSetup orientation="portrait" horizontalDpi="4294967295" verticalDpi="4294967295" scale="100" fitToWidth="1" fitToHeight="1" firstPageNumber="1" useFirstPageNumber="1" copies="1"/>
  <legacy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760000"/>
  </sheetPr>
  <dimension ref="A1:AB1000"/>
  <sheetViews>
    <sheetView workbookViewId="0" showGridLines="0" zoomScale="100" zoomScaleNormal="100">
      <pane ySplit="2" topLeftCell="A3" activePane="bottomLeft" state="frozen"/>
      <selection pane="bottomLeft" activeCell="B4" sqref="B4"/>
    </sheetView>
  </sheetViews>
  <sheetFormatPr defaultRowHeight="15" outlineLevelRow="1" outlineLevelCol="1" x14ac:dyDescent="0" defaultColWidth="14.5"/>
  <cols>
    <col min="1" max="2" width="1.6640625" customWidth="1"/>
    <col min="3" max="3" width="22.6640625" customWidth="1"/>
    <col min="4" max="5" width="16.33203125" customWidth="1"/>
    <col min="6" max="6" width="19.5" customWidth="1"/>
    <col min="7" max="18" width="16.33203125" customWidth="1"/>
    <col min="19" max="20" width="1.6640625" customWidth="1"/>
    <col min="21" max="21" width="12.6640625" customWidth="1"/>
    <col min="22" max="22" width="15.6640625" customWidth="1"/>
    <col min="23" max="23" width="12.6640625" customWidth="1"/>
    <col min="24" max="28" width="12.6640625" hidden="1" outlineLevel="1" collapsed="1" customWidth="1"/>
  </cols>
  <sheetData>
    <row r="1" ht="13.5" customHeight="1" spans="1:28" x14ac:dyDescent="0.25">
      <c r="A1" s="343"/>
      <c r="B1" s="11"/>
      <c r="C1" s="12" t="str">
        <f ca="1">Company_Name&amp;" - "&amp;MID(CELL("filename",A1),FIND("]",CELL("filename",A1))+1,255)&amp;": "&amp;Case_Scenario&amp;" Case"</f>
        <v>Lowe's Companies, Inc. - Valuation: Base Case</v>
      </c>
      <c r="D1" s="11"/>
      <c r="E1" s="11"/>
      <c r="F1" s="11"/>
      <c r="G1" s="11"/>
      <c r="H1" s="11"/>
      <c r="I1" s="11"/>
      <c r="J1" s="11"/>
      <c r="K1" s="11"/>
      <c r="L1" s="11"/>
      <c r="M1" s="11"/>
      <c r="N1" s="11"/>
      <c r="O1" s="11"/>
      <c r="P1" s="11"/>
      <c r="Q1" s="11"/>
      <c r="R1" s="13" t="s">
        <v>4</v>
      </c>
      <c r="S1" s="11"/>
      <c r="T1" s="11"/>
      <c r="U1" s="11"/>
      <c r="V1" s="11"/>
      <c r="W1" s="11"/>
      <c r="X1" s="11"/>
      <c r="Y1" s="11"/>
      <c r="Z1" s="11"/>
      <c r="AA1" s="11"/>
      <c r="AB1" s="11"/>
    </row>
    <row r="2" ht="13.5" customHeight="1" spans="1:28" x14ac:dyDescent="0.25">
      <c r="A2" s="344"/>
      <c r="B2" s="4"/>
      <c r="C2" s="14" t="str">
        <f ca="1">Cover!C2</f>
        <v>$ in Millions Except Per Share Data</v>
      </c>
      <c r="D2" s="4"/>
      <c r="E2" s="4"/>
      <c r="F2" s="4"/>
      <c r="G2" s="4"/>
      <c r="H2" s="4"/>
      <c r="I2" s="4"/>
      <c r="J2" s="4"/>
      <c r="K2" s="4"/>
      <c r="L2" s="4"/>
      <c r="M2" s="4"/>
      <c r="N2" s="4"/>
      <c r="O2" s="4"/>
      <c r="P2" s="4"/>
      <c r="Q2" s="4"/>
      <c r="R2" s="15" t="s">
        <v>6</v>
      </c>
      <c r="S2" s="4"/>
      <c r="T2" s="4"/>
      <c r="U2" s="4"/>
      <c r="V2" s="4"/>
      <c r="W2" s="4"/>
      <c r="X2" s="4"/>
      <c r="Y2" s="4"/>
      <c r="Z2" s="4"/>
      <c r="AA2" s="4"/>
      <c r="AB2" s="4"/>
    </row>
    <row r="3" ht="13.5" customHeight="1" spans="1:28" x14ac:dyDescent="0.25">
      <c r="A3" s="5"/>
      <c r="B3" s="16"/>
      <c r="C3" s="16"/>
      <c r="D3" s="16"/>
      <c r="E3" s="16"/>
      <c r="F3" s="16"/>
      <c r="G3" s="16"/>
      <c r="H3" s="16"/>
      <c r="I3" s="16"/>
      <c r="J3" s="16"/>
      <c r="K3" s="16"/>
      <c r="L3" s="16"/>
      <c r="M3" s="16"/>
      <c r="N3" s="16"/>
      <c r="O3" s="16"/>
      <c r="P3" s="16"/>
      <c r="Q3" s="16"/>
      <c r="R3" s="16"/>
      <c r="S3" s="16"/>
      <c r="T3" s="16"/>
      <c r="U3" s="16"/>
      <c r="V3" s="16"/>
      <c r="W3" s="16"/>
      <c r="X3" s="16"/>
      <c r="Y3" s="16"/>
      <c r="Z3" s="16"/>
      <c r="AA3" s="16"/>
      <c r="AB3" s="16"/>
    </row>
    <row r="4" ht="13.5" customHeight="1" spans="1:28" x14ac:dyDescent="0.25">
      <c r="A4" s="264" t="s">
        <v>1</v>
      </c>
      <c r="B4" s="16"/>
      <c r="C4" s="111" t="s">
        <v>34</v>
      </c>
      <c r="D4" s="112"/>
      <c r="E4" s="112"/>
      <c r="F4" s="112"/>
      <c r="G4" s="112"/>
      <c r="H4" s="112"/>
      <c r="I4" s="112"/>
      <c r="J4" s="112"/>
      <c r="K4" s="112"/>
      <c r="L4" s="112"/>
      <c r="M4" s="112"/>
      <c r="N4" s="112"/>
      <c r="O4" s="112"/>
      <c r="P4" s="112"/>
      <c r="Q4" s="112"/>
      <c r="R4" s="112"/>
      <c r="S4" s="264" t="s">
        <v>1</v>
      </c>
      <c r="T4" s="16"/>
      <c r="U4" s="16"/>
      <c r="V4" s="708" t="s">
        <v>801</v>
      </c>
      <c r="W4" s="709" t="str">
        <f ca="1">IF(SUM(L9:L22)=100%,"Good", "Check")</f>
        <v>Good</v>
      </c>
      <c r="X4" s="16"/>
      <c r="Y4" s="16"/>
      <c r="Z4" s="16"/>
      <c r="AA4" s="16"/>
      <c r="AB4" s="16"/>
    </row>
    <row r="5" ht="4.5" customHeight="1" spans="1:28" x14ac:dyDescent="0.25">
      <c r="A5" s="16"/>
      <c r="B5" s="16"/>
      <c r="C5" s="16"/>
      <c r="D5" s="16"/>
      <c r="E5" s="16"/>
      <c r="F5" s="16"/>
      <c r="G5" s="16"/>
      <c r="H5" s="16"/>
      <c r="I5" s="16"/>
      <c r="J5" s="16"/>
      <c r="K5" s="16"/>
      <c r="L5" s="16"/>
      <c r="M5" s="16"/>
      <c r="N5" s="16"/>
      <c r="O5" s="16"/>
      <c r="P5" s="16"/>
      <c r="Q5" s="16"/>
      <c r="R5" s="16"/>
      <c r="S5" s="16"/>
      <c r="T5" s="16"/>
      <c r="U5" s="16"/>
      <c r="V5" s="16"/>
      <c r="W5" s="16"/>
      <c r="X5" s="16"/>
      <c r="Y5" s="16"/>
      <c r="Z5" s="16"/>
      <c r="AA5" s="16"/>
      <c r="AB5" s="16"/>
    </row>
    <row r="6" ht="14.25" customHeight="1" spans="1:28" x14ac:dyDescent="0.25">
      <c r="A6" s="16"/>
      <c r="B6" s="16"/>
      <c r="C6" s="700" t="s">
        <v>414</v>
      </c>
      <c r="D6" s="109" t="s">
        <v>802</v>
      </c>
      <c r="E6" s="109" t="s">
        <v>803</v>
      </c>
      <c r="F6" s="710" t="s">
        <v>804</v>
      </c>
      <c r="G6" s="711" t="s">
        <v>805</v>
      </c>
      <c r="H6" s="16"/>
      <c r="I6" s="16"/>
      <c r="J6" s="16"/>
      <c r="K6" s="16"/>
      <c r="L6" s="712" t="s">
        <v>806</v>
      </c>
      <c r="M6" s="713"/>
      <c r="N6" s="713"/>
      <c r="O6" s="713"/>
      <c r="P6" s="713"/>
      <c r="Q6" s="713"/>
      <c r="R6" s="181"/>
      <c r="S6" s="16"/>
      <c r="T6" s="16"/>
      <c r="U6" s="16"/>
      <c r="V6" s="16"/>
      <c r="W6" s="16"/>
      <c r="X6" s="16"/>
      <c r="Y6" s="16"/>
      <c r="Z6" s="16"/>
      <c r="AA6" s="16"/>
      <c r="AB6" s="16"/>
    </row>
    <row r="7" ht="14.25" customHeight="1" spans="1:28" x14ac:dyDescent="0.25">
      <c r="A7" s="16"/>
      <c r="B7" s="16"/>
      <c r="C7" s="714">
        <f ca="1">Diluted_Shares</f>
        <v>707</v>
      </c>
      <c r="D7" s="715">
        <f ca="1">Share_Price</f>
        <v>233.18</v>
      </c>
      <c r="E7" s="716">
        <f ca="1">C7*D7</f>
        <v>164858.26</v>
      </c>
      <c r="F7" s="716">
        <f ca="1">Model!V140-Model!V120</f>
        <v>17056</v>
      </c>
      <c r="G7" s="716">
        <f ca="1">SUM(E7:F7)</f>
        <v>181914.26</v>
      </c>
      <c r="H7" s="16"/>
      <c r="I7" s="16"/>
      <c r="J7" s="16"/>
      <c r="K7" s="16"/>
      <c r="L7" s="700"/>
      <c r="M7" s="109" t="s">
        <v>807</v>
      </c>
      <c r="N7" s="109"/>
      <c r="O7" s="109"/>
      <c r="P7" s="109"/>
      <c r="Q7" s="109" t="s">
        <v>808</v>
      </c>
      <c r="R7" s="45" t="s">
        <v>809</v>
      </c>
      <c r="S7" s="16"/>
      <c r="T7" s="16"/>
      <c r="U7" s="16"/>
      <c r="V7" s="16"/>
      <c r="W7" s="16"/>
      <c r="X7" s="16"/>
      <c r="Y7" s="16"/>
      <c r="Z7" s="16"/>
      <c r="AA7" s="16"/>
      <c r="AB7" s="16"/>
    </row>
    <row r="8" ht="14.25" customHeight="1" spans="1:28" x14ac:dyDescent="0.25">
      <c r="A8" s="16"/>
      <c r="B8" s="16"/>
      <c r="C8" s="16"/>
      <c r="D8" s="16"/>
      <c r="E8" s="16"/>
      <c r="F8" s="16"/>
      <c r="G8" s="16"/>
      <c r="H8" s="16"/>
      <c r="I8" s="16"/>
      <c r="J8" s="16"/>
      <c r="K8" s="16"/>
      <c r="L8" s="16"/>
      <c r="M8" s="263" t="s">
        <v>810</v>
      </c>
      <c r="N8" s="16"/>
      <c r="O8" s="16"/>
      <c r="P8" s="16"/>
      <c r="Q8" s="717"/>
      <c r="R8" s="207"/>
      <c r="S8" s="16"/>
      <c r="T8" s="16"/>
      <c r="U8" s="16"/>
      <c r="V8" s="16"/>
      <c r="W8" s="16"/>
      <c r="X8" s="16"/>
      <c r="Y8" s="16"/>
      <c r="Z8" s="16"/>
      <c r="AA8" s="16"/>
      <c r="AB8" s="16"/>
    </row>
    <row r="9" ht="14.25" customHeight="1" spans="1:28" x14ac:dyDescent="0.25">
      <c r="A9" s="16"/>
      <c r="B9" s="718" t="str">
        <f ca="1">C9</f>
        <v>Primary Peer Group</v>
      </c>
      <c r="C9" s="712" t="str">
        <f ca="1">'Multiples Data'!L4</f>
        <v>Primary Peer Group</v>
      </c>
      <c r="D9" s="713"/>
      <c r="E9" s="713"/>
      <c r="F9" s="713"/>
      <c r="G9" s="713"/>
      <c r="H9" s="713"/>
      <c r="I9" s="713"/>
      <c r="J9" s="713"/>
      <c r="K9" s="16"/>
      <c r="L9" s="719">
        <v>0.5</v>
      </c>
      <c r="M9" s="120" t="s">
        <v>148</v>
      </c>
      <c r="N9" s="16"/>
      <c r="O9" s="16"/>
      <c r="P9" s="16"/>
      <c r="Q9" s="717">
        <f ca="1">$AB$76</f>
        <v>71.07700781651909</v>
      </c>
      <c r="R9" s="207">
        <f ca="1">Q9/Share_Price-1</f>
      </c>
      <c r="S9" s="16"/>
      <c r="T9" s="16"/>
      <c r="U9" s="16"/>
      <c r="V9" s="16"/>
      <c r="W9" s="16"/>
      <c r="X9" s="16"/>
      <c r="Y9" s="16"/>
      <c r="Z9" s="16"/>
      <c r="AA9" s="16"/>
      <c r="AB9" s="16"/>
    </row>
    <row r="10" ht="14.25" customHeight="1" spans="1:28" x14ac:dyDescent="0.25">
      <c r="A10" s="16"/>
      <c r="B10" s="718" t="str">
        <f ca="1">C14</f>
        <v>Defense Peer Group</v>
      </c>
      <c r="C10" s="374"/>
      <c r="D10" s="720" t="str">
        <f ca="1">Ticker</f>
        <v>LOW</v>
      </c>
      <c r="E10" s="720" t="s">
        <v>152</v>
      </c>
      <c r="F10" s="721" t="str">
        <f ca="1">'Multiples Data'!M$6</f>
        <v>The Home Depot, Inc.</v>
      </c>
      <c r="G10" s="721" t="str">
        <f ca="1">'Multiples Data'!N$6</f>
        <v>Apple</v>
      </c>
      <c r="H10" s="721" t="str">
        <f ca="1">'Multiples Data'!O$6</f>
        <v>Microsoft</v>
      </c>
      <c r="I10" s="721" t="str">
        <f ca="1">'Multiples Data'!P$6</f>
        <v>Broadcom</v>
      </c>
      <c r="J10" s="721" t="str">
        <f ca="1">'Multiples Data'!Q$6</f>
        <v>Disney</v>
      </c>
      <c r="K10" s="16"/>
      <c r="L10" s="719">
        <v>0.5</v>
      </c>
      <c r="M10" s="120" t="s">
        <v>811</v>
      </c>
      <c r="N10" s="16"/>
      <c r="O10" s="16"/>
      <c r="P10" s="16"/>
      <c r="Q10" s="717">
        <f ca="1">$R$76</f>
        <v>-21.3996541353904</v>
      </c>
      <c r="R10" s="207">
        <f ca="1">Q10/Share_Price-1</f>
      </c>
      <c r="S10" s="16"/>
      <c r="T10" s="16"/>
      <c r="U10" s="16"/>
      <c r="V10" s="16"/>
      <c r="W10" s="16"/>
      <c r="X10" s="16"/>
      <c r="Y10" s="16"/>
      <c r="Z10" s="16"/>
      <c r="AA10" s="16"/>
      <c r="AB10" s="16"/>
    </row>
    <row r="11" ht="14.25" customHeight="1" spans="1:28" x14ac:dyDescent="0.25">
      <c r="A11" s="16"/>
      <c r="B11" s="718" t="str">
        <f ca="1">C19</f>
        <v>Cap. Goods Peer Group</v>
      </c>
      <c r="C11" s="84" t="s">
        <v>138</v>
      </c>
      <c r="D11" s="722">
        <f ca="1">IF($D$24="LTM",'Multiples Data'!L$86,IF($D$24="NTM",'Multiples Data'!R$86,"N/A"))</f>
        <v>18.6398</v>
      </c>
      <c r="E11" s="723">
        <f t="shared" ref="E11:E12" si="0" ca="1">AVERAGE(F11:J11)</f>
        <v>22.233219999999996</v>
      </c>
      <c r="F11" s="724">
        <f ca="1">IF($D$24="LTM",'Multiples Data'!M$86,IF($D$24="NTM",'Multiples Data'!S$86,"N/A"))</f>
        <v>22.4473</v>
      </c>
      <c r="G11" s="724">
        <f ca="1">IF($D$24="LTM",'Multiples Data'!N$86,IF($D$24="NTM",'Multiples Data'!T$86,"N/A"))</f>
        <v>22.1797</v>
      </c>
      <c r="H11" s="724">
        <f ca="1">IF($D$24="LTM",'Multiples Data'!O$86,IF($D$24="NTM",'Multiples Data'!U$86,"N/A"))</f>
        <v>22.1797</v>
      </c>
      <c r="I11" s="724">
        <f ca="1">IF($D$24="LTM",'Multiples Data'!P$86,IF($D$24="NTM",'Multiples Data'!V$86,"N/A"))</f>
        <v>22.1797</v>
      </c>
      <c r="J11" s="724">
        <f ca="1">IF($D$24="LTM",'Multiples Data'!Q$86,IF($D$24="NTM",'Multiples Data'!W$86,"N/A"))</f>
        <v>22.1797</v>
      </c>
      <c r="K11" s="16"/>
      <c r="L11" s="16"/>
      <c r="M11" s="263" t="s">
        <v>812</v>
      </c>
      <c r="N11" s="16"/>
      <c r="O11" s="16"/>
      <c r="P11" s="16"/>
      <c r="Q11" s="717"/>
      <c r="R11" s="207"/>
      <c r="S11" s="16"/>
      <c r="T11" s="16"/>
      <c r="U11" s="16"/>
      <c r="V11" s="16"/>
      <c r="W11" s="16"/>
      <c r="X11" s="16"/>
      <c r="Y11" s="16"/>
      <c r="Z11" s="16"/>
      <c r="AA11" s="16"/>
      <c r="AB11" s="16"/>
    </row>
    <row r="12" ht="14.25" customHeight="1" spans="1:28" x14ac:dyDescent="0.25">
      <c r="A12" s="16"/>
      <c r="B12" s="718" t="str">
        <f ca="1">Company_Name</f>
        <v>Lowe's Companies, Inc.</v>
      </c>
      <c r="C12" s="84" t="s">
        <v>140</v>
      </c>
      <c r="D12" s="725">
        <f ca="1">IF($D$24="LTM",'Multiples Data'!X$86,IF($D$24="NTM",'Multiples Data'!AD$86,"N/A"))</f>
        <v>12.4849</v>
      </c>
      <c r="E12" s="726">
        <f ca="1">AVERAGE(F12:J12)</f>
        <v>15.517159999999999</v>
      </c>
      <c r="F12" s="724">
        <f ca="1">IF($D$24="LTM",'Multiples Data'!Y$86,IF($D$24="NTM",'Multiples Data'!AE$86,"N/A"))</f>
        <v>15.5814</v>
      </c>
      <c r="G12" s="724">
        <f ca="1">IF($D$24="LTM",'Multiples Data'!Z$86,IF($D$24="NTM",'Multiples Data'!AF$86,"N/A"))</f>
        <v>15.5011</v>
      </c>
      <c r="H12" s="724">
        <f ca="1">IF($D$24="LTM",'Multiples Data'!AA$86,IF($D$24="NTM",'Multiples Data'!AG$86,"N/A"))</f>
        <v>15.5011</v>
      </c>
      <c r="I12" s="724">
        <f ca="1">IF($D$24="LTM",'Multiples Data'!AB$86,IF($D$24="NTM",'Multiples Data'!AH$86,"N/A"))</f>
        <v>15.5011</v>
      </c>
      <c r="J12" s="724">
        <f ca="1">IF($D$24="LTM",'Multiples Data'!AC$86,IF($D$24="NTM",'Multiples Data'!AI$86,"N/A"))</f>
        <v>15.5011</v>
      </c>
      <c r="K12" s="16"/>
      <c r="L12" s="719">
        <v>0</v>
      </c>
      <c r="M12" s="120" t="str">
        <f ca="1">$G$144&amp;" P/E"</f>
        <v>NTM P/E</v>
      </c>
      <c r="N12" s="16"/>
      <c r="O12" s="16"/>
      <c r="P12" s="16"/>
      <c r="Q12" s="717">
        <f ca="1">$F$126</f>
        <v>1e-12</v>
      </c>
      <c r="R12" s="207">
        <f ca="1">Q12/Share_Price-1</f>
      </c>
      <c r="S12" s="16"/>
      <c r="T12" s="16"/>
      <c r="U12" s="16"/>
      <c r="V12" s="16"/>
      <c r="W12" s="16"/>
      <c r="X12" s="16"/>
      <c r="Y12" s="16"/>
      <c r="Z12" s="16"/>
      <c r="AA12" s="16"/>
      <c r="AB12" s="16"/>
    </row>
    <row r="13" ht="14.25" customHeight="1" spans="1:28" x14ac:dyDescent="0.25">
      <c r="A13" s="16"/>
      <c r="B13" s="16"/>
      <c r="C13" s="16"/>
      <c r="D13" s="16"/>
      <c r="E13" s="16"/>
      <c r="F13" s="16"/>
      <c r="G13" s="16"/>
      <c r="H13" s="16"/>
      <c r="I13" s="16"/>
      <c r="J13" s="16"/>
      <c r="K13" s="16"/>
      <c r="L13" s="719">
        <v>0</v>
      </c>
      <c r="M13" s="120" t="str">
        <f ca="1">$G$144&amp;" P/E Spread to Comps"</f>
        <v>NTM P/E Spread to Comps</v>
      </c>
      <c r="N13" s="16"/>
      <c r="O13" s="16"/>
      <c r="P13" s="16"/>
      <c r="Q13" s="717">
        <f ca="1">$J$126</f>
        <v>1e-12</v>
      </c>
      <c r="R13" s="207">
        <f ca="1">Q13/Share_Price-1</f>
      </c>
      <c r="S13" s="16"/>
      <c r="T13" s="16"/>
      <c r="U13" s="16"/>
      <c r="V13" s="16"/>
      <c r="W13" s="16"/>
      <c r="X13" s="16"/>
      <c r="Y13" s="16"/>
      <c r="Z13" s="16"/>
      <c r="AA13" s="16"/>
      <c r="AB13" s="16"/>
    </row>
    <row r="14" ht="14.25" customHeight="1" spans="1:28" x14ac:dyDescent="0.25">
      <c r="A14" s="16"/>
      <c r="B14" s="16"/>
      <c r="C14" s="712" t="str">
        <f ca="1">'Multiples Data'!AL4</f>
        <v>Defense Peer Group</v>
      </c>
      <c r="D14" s="713"/>
      <c r="E14" s="713"/>
      <c r="F14" s="713"/>
      <c r="G14" s="713"/>
      <c r="H14" s="713"/>
      <c r="I14" s="713"/>
      <c r="J14" s="181"/>
      <c r="K14" s="16"/>
      <c r="L14" s="719">
        <v>0</v>
      </c>
      <c r="M14" s="120" t="str">
        <f ca="1">$G$144&amp;" EV/EBITDA"</f>
        <v>NTM EV/EBITDA</v>
      </c>
      <c r="N14" s="16"/>
      <c r="O14" s="16"/>
      <c r="P14" s="16"/>
      <c r="Q14" s="717">
        <f ca="1">$N$137</f>
        <v>-24.124469589816126</v>
      </c>
      <c r="R14" s="207">
        <f ca="1">Q14/Share_Price-1</f>
      </c>
      <c r="S14" s="16"/>
      <c r="T14" s="16"/>
      <c r="U14" s="16"/>
      <c r="V14" s="16"/>
      <c r="W14" s="16"/>
      <c r="X14" s="16"/>
      <c r="Y14" s="16"/>
      <c r="Z14" s="16"/>
      <c r="AA14" s="16"/>
      <c r="AB14" s="16"/>
    </row>
    <row r="15" ht="14.25" customHeight="1" spans="1:28" x14ac:dyDescent="0.25">
      <c r="A15" s="16"/>
      <c r="B15" s="16"/>
      <c r="C15" s="374"/>
      <c r="D15" s="720" t="str">
        <f ca="1">Ticker</f>
        <v>LOW</v>
      </c>
      <c r="E15" s="720" t="s">
        <v>152</v>
      </c>
      <c r="F15" s="721" t="str">
        <f ca="1">'Multiples Data'!AM$6</f>
        <v>Raytheon</v>
      </c>
      <c r="G15" s="720" t="str">
        <f ca="1">'Multiples Data'!AN$6</f>
        <v>Boeing</v>
      </c>
      <c r="H15" s="720" t="str">
        <f ca="1">'Multiples Data'!AO$6</f>
        <v>Huntington Ingalls</v>
      </c>
      <c r="I15" s="720" t="str">
        <f ca="1">'Multiples Data'!AP$6</f>
        <v>Lockheed Martin</v>
      </c>
      <c r="J15" s="727" t="str">
        <f ca="1">'Multiples Data'!AQ$6</f>
        <v>Northrop Grumman</v>
      </c>
      <c r="K15" s="16"/>
      <c r="L15" s="719">
        <v>0</v>
      </c>
      <c r="M15" s="120" t="str">
        <f ca="1">$G$144&amp;" EV/EBITDA Spread to Comps"</f>
        <v>NTM EV/EBITDA Spread to Comps</v>
      </c>
      <c r="N15" s="16"/>
      <c r="O15" s="16"/>
      <c r="P15" s="16"/>
      <c r="Q15" s="717">
        <f ca="1">$R$137</f>
        <v>-24.124469589816126</v>
      </c>
      <c r="R15" s="207">
        <f ca="1">Q15/Share_Price-1</f>
      </c>
      <c r="S15" s="16"/>
      <c r="T15" s="16"/>
      <c r="U15" s="16"/>
      <c r="V15" s="16"/>
      <c r="W15" s="16"/>
      <c r="X15" s="16"/>
      <c r="Y15" s="16"/>
      <c r="Z15" s="16"/>
      <c r="AA15" s="16"/>
      <c r="AB15" s="16"/>
    </row>
    <row r="16" ht="14.25" customHeight="1" spans="1:28" x14ac:dyDescent="0.25">
      <c r="A16" s="16"/>
      <c r="B16" s="16"/>
      <c r="C16" s="84" t="s">
        <v>138</v>
      </c>
      <c r="D16" s="722">
        <f ca="1">D$11</f>
        <v>18.6398</v>
      </c>
      <c r="E16" s="723">
        <f t="shared" ref="E16:E17" si="1" ca="1">AVERAGE(F16:J16)</f>
        <v>16.20704618026362</v>
      </c>
      <c r="F16" s="724">
        <f ca="1">IF($D$24="LTM",'Multiples Data'!AM$86,IF($D$24="NTM",'Multiples Data'!AS$86,"N/A"))</f>
        <v>18.0372200865908</v>
      </c>
      <c r="G16" s="724">
        <f ca="1">IF($D$24="LTM",'Multiples Data'!AN$86,IF($D$24="NTM",'Multiples Data'!AT$86,"N/A"))</f>
        <v>18.548904045644</v>
      </c>
      <c r="H16" s="724">
        <f ca="1">IF($D$24="LTM",'Multiples Data'!AO$86,IF($D$24="NTM",'Multiples Data'!AU$86,"N/A"))</f>
        <v>17.3009847075473</v>
      </c>
      <c r="I16" s="724">
        <f ca="1">IF($D$24="LTM",'Multiples Data'!AP$86,IF($D$24="NTM",'Multiples Data'!AV$86,"N/A"))</f>
        <v>15.0214839738927</v>
      </c>
      <c r="J16" s="724">
        <f ca="1">IF($D$24="LTM",'Multiples Data'!AQ$86,IF($D$24="NTM",'Multiples Data'!AW$86,"N/A"))</f>
        <v>12.1266380876433</v>
      </c>
      <c r="K16" s="16"/>
      <c r="L16" s="16"/>
      <c r="M16" s="263" t="s">
        <v>813</v>
      </c>
      <c r="N16" s="16"/>
      <c r="O16" s="16"/>
      <c r="P16" s="16"/>
      <c r="Q16" s="717"/>
      <c r="R16" s="207"/>
      <c r="S16" s="16"/>
      <c r="T16" s="16"/>
      <c r="U16" s="16"/>
      <c r="V16" s="16"/>
      <c r="W16" s="16"/>
      <c r="X16" s="16"/>
      <c r="Y16" s="16"/>
      <c r="Z16" s="16"/>
      <c r="AA16" s="16"/>
      <c r="AB16" s="16"/>
    </row>
    <row r="17" ht="14.25" customHeight="1" spans="1:28" x14ac:dyDescent="0.25">
      <c r="A17" s="16"/>
      <c r="B17" s="16"/>
      <c r="C17" s="84" t="s">
        <v>140</v>
      </c>
      <c r="D17" s="725">
        <f ca="1">D$12</f>
        <v>12.4849</v>
      </c>
      <c r="E17" s="726">
        <f ca="1">AVERAGE(F17:J17)</f>
        <v>12.189450395723323</v>
      </c>
      <c r="F17" s="724">
        <f ca="1">IF($D$24="LTM",'Multiples Data'!AY$86,IF($D$24="NTM",'Multiples Data'!BE$86,"N/A"))</f>
        <v>12.7838345671624</v>
      </c>
      <c r="G17" s="724">
        <f ca="1">IF($D$24="LTM",'Multiples Data'!AZ$86,IF($D$24="NTM",'Multiples Data'!BF$86,"N/A"))</f>
        <v>15.5062457521629</v>
      </c>
      <c r="H17" s="724">
        <f ca="1">IF($D$24="LTM",'Multiples Data'!BA$86,IF($D$24="NTM",'Multiples Data'!BG$86,"N/A"))</f>
        <v>11.4931908863573</v>
      </c>
      <c r="I17" s="724">
        <f ca="1">IF($D$24="LTM",'Multiples Data'!BB$86,IF($D$24="NTM",'Multiples Data'!BH$86,"N/A"))</f>
        <v>12.2156576237082</v>
      </c>
      <c r="J17" s="724">
        <f ca="1">IF($D$24="LTM",'Multiples Data'!BC$86,IF($D$24="NTM",'Multiples Data'!BI$86,"N/A"))</f>
        <v>8.94832314922583</v>
      </c>
      <c r="K17" s="16"/>
      <c r="L17" s="719">
        <v>0</v>
      </c>
      <c r="M17" s="120" t="str">
        <f ca="1">$G$222&amp;" P/E"</f>
        <v>NTM P/E</v>
      </c>
      <c r="N17" s="16"/>
      <c r="O17" s="16"/>
      <c r="P17" s="16"/>
      <c r="Q17" s="717">
        <f ca="1">$F$204</f>
        <v>1e-12</v>
      </c>
      <c r="R17" s="207">
        <f ca="1">Q17/Share_Price-1</f>
      </c>
      <c r="S17" s="16"/>
      <c r="T17" s="16"/>
      <c r="U17" s="16"/>
      <c r="V17" s="16"/>
      <c r="W17" s="16"/>
      <c r="X17" s="16"/>
      <c r="Y17" s="16"/>
      <c r="Z17" s="16"/>
      <c r="AA17" s="16"/>
      <c r="AB17" s="16"/>
    </row>
    <row r="18" ht="14.25" customHeight="1" spans="1:28" x14ac:dyDescent="0.25">
      <c r="A18" s="16"/>
      <c r="B18" s="16"/>
      <c r="C18" s="16"/>
      <c r="D18" s="16"/>
      <c r="E18" s="16"/>
      <c r="F18" s="16"/>
      <c r="G18" s="16"/>
      <c r="H18" s="16"/>
      <c r="I18" s="16"/>
      <c r="J18" s="16"/>
      <c r="K18" s="16"/>
      <c r="L18" s="719">
        <v>0</v>
      </c>
      <c r="M18" s="120" t="str">
        <f ca="1">$G$222&amp;" P/E Spread to Comps"</f>
        <v>NTM P/E Spread to Comps</v>
      </c>
      <c r="N18" s="16"/>
      <c r="O18" s="16"/>
      <c r="P18" s="16"/>
      <c r="Q18" s="717">
        <f ca="1">$J$204</f>
        <v>1e-12</v>
      </c>
      <c r="R18" s="207">
        <f ca="1">Q18/Share_Price-1</f>
      </c>
      <c r="S18" s="16"/>
      <c r="T18" s="16"/>
      <c r="U18" s="16"/>
      <c r="V18" s="16"/>
      <c r="W18" s="16"/>
      <c r="X18" s="16"/>
      <c r="Y18" s="16"/>
      <c r="Z18" s="16"/>
      <c r="AA18" s="16"/>
      <c r="AB18" s="16"/>
    </row>
    <row r="19" ht="14.25" customHeight="1" spans="1:28" x14ac:dyDescent="0.25">
      <c r="A19" s="16"/>
      <c r="B19" s="16"/>
      <c r="C19" s="712" t="str">
        <f ca="1">'Multiples Data'!BL4</f>
        <v>Cap. Goods Peer Group</v>
      </c>
      <c r="D19" s="713"/>
      <c r="E19" s="713"/>
      <c r="F19" s="713"/>
      <c r="G19" s="713"/>
      <c r="H19" s="713"/>
      <c r="I19" s="713"/>
      <c r="J19" s="181"/>
      <c r="K19" s="16"/>
      <c r="L19" s="719">
        <v>0</v>
      </c>
      <c r="M19" s="120" t="str">
        <f ca="1">$G$222&amp;" EV/EBITDA"</f>
        <v>NTM EV/EBITDA</v>
      </c>
      <c r="N19" s="16"/>
      <c r="O19" s="16"/>
      <c r="P19" s="16"/>
      <c r="Q19" s="717">
        <f ca="1">$N$215</f>
        <v>-24.124469589816126</v>
      </c>
      <c r="R19" s="207">
        <f ca="1">Q19/Share_Price-1</f>
      </c>
      <c r="S19" s="16"/>
      <c r="T19" s="16"/>
      <c r="U19" s="16"/>
      <c r="V19" s="16"/>
      <c r="W19" s="16"/>
      <c r="X19" s="16"/>
      <c r="Y19" s="16"/>
      <c r="Z19" s="16"/>
      <c r="AA19" s="16"/>
      <c r="AB19" s="16"/>
    </row>
    <row r="20" ht="14.25" customHeight="1" spans="1:28" x14ac:dyDescent="0.25">
      <c r="A20" s="16"/>
      <c r="B20" s="16"/>
      <c r="C20" s="374"/>
      <c r="D20" s="720" t="str">
        <f ca="1">Ticker</f>
        <v>LOW</v>
      </c>
      <c r="E20" s="720" t="s">
        <v>152</v>
      </c>
      <c r="F20" s="721" t="str">
        <f ca="1">'Multiples Data'!BM$6</f>
        <v>3M Company</v>
      </c>
      <c r="G20" s="720" t="str">
        <f ca="1">'Multiples Data'!BN$6</f>
        <v>General Electric</v>
      </c>
      <c r="H20" s="720" t="str">
        <f ca="1">'Multiples Data'!BO$6</f>
        <v>Honeywell</v>
      </c>
      <c r="I20" s="720" t="str">
        <f ca="1">'Multiples Data'!BP$6</f>
        <v>Roper Technologies</v>
      </c>
      <c r="J20" s="727" t="str">
        <f ca="1">'Multiples Data'!BQ$6</f>
        <v>Emerson Electric</v>
      </c>
      <c r="K20" s="16"/>
      <c r="L20" s="719">
        <v>0</v>
      </c>
      <c r="M20" s="120" t="str">
        <f ca="1">$G$222&amp;" EV/EBITDA Spread to Comps"</f>
        <v>NTM EV/EBITDA Spread to Comps</v>
      </c>
      <c r="N20" s="16"/>
      <c r="O20" s="16"/>
      <c r="P20" s="16"/>
      <c r="Q20" s="717">
        <f ca="1">$R$215</f>
        <v>-24.124469589816126</v>
      </c>
      <c r="R20" s="207">
        <f ca="1">Q20/Share_Price-1</f>
      </c>
      <c r="S20" s="16"/>
      <c r="T20" s="16"/>
      <c r="U20" s="16"/>
      <c r="V20" s="16"/>
      <c r="W20" s="16"/>
      <c r="X20" s="16"/>
      <c r="Y20" s="16"/>
      <c r="Z20" s="16"/>
      <c r="AA20" s="16"/>
      <c r="AB20" s="16"/>
    </row>
    <row r="21" ht="14.25" customHeight="1" spans="1:28" x14ac:dyDescent="0.25">
      <c r="A21" s="16"/>
      <c r="B21" s="16"/>
      <c r="C21" s="84" t="s">
        <v>138</v>
      </c>
      <c r="D21" s="722">
        <f ca="1">D$11</f>
        <v>18.6398</v>
      </c>
      <c r="E21" s="723">
        <f t="shared" ref="E21:E22" si="2" ca="1">AVERAGE(F21:J21)</f>
        <v>16.16874562323472</v>
      </c>
      <c r="F21" s="724">
        <f ca="1">IF($D$24="LTM",'Multiples Data'!BM$86,IF($D$24="NTM",'Multiples Data'!BS$86,"N/A"))</f>
        <v>11.0988919387388</v>
      </c>
      <c r="G21" s="724">
        <f ca="1">IF($D$24="LTM",'Multiples Data'!BN$86,IF($D$24="NTM",'Multiples Data'!BT$86,"N/A"))</f>
        <v>17.1678038497184</v>
      </c>
      <c r="H21" s="724">
        <f ca="1">IF($D$24="LTM",'Multiples Data'!BO$86,IF($D$24="NTM",'Multiples Data'!BU$86,"N/A"))</f>
        <v>15.3184158666614</v>
      </c>
      <c r="I21" s="724">
        <f ca="1">IF($D$24="LTM",'Multiples Data'!BP$86,IF($D$24="NTM",'Multiples Data'!BV$86,"N/A"))</f>
        <v>20.2337090247079</v>
      </c>
      <c r="J21" s="724">
        <f ca="1">IF($D$24="LTM",'Multiples Data'!BQ$86,IF($D$24="NTM",'Multiples Data'!BW$86,"N/A"))</f>
        <v>17.0249074363471</v>
      </c>
      <c r="K21" s="16"/>
      <c r="L21" s="16"/>
      <c r="M21" s="263" t="s">
        <v>814</v>
      </c>
      <c r="N21" s="16"/>
      <c r="O21" s="16"/>
      <c r="P21" s="16"/>
      <c r="Q21" s="717"/>
      <c r="R21" s="207"/>
      <c r="S21" s="16"/>
      <c r="T21" s="16"/>
      <c r="U21" s="16"/>
      <c r="V21" s="16"/>
      <c r="W21" s="16"/>
      <c r="X21" s="16"/>
      <c r="Y21" s="16"/>
      <c r="Z21" s="16"/>
      <c r="AA21" s="16"/>
      <c r="AB21" s="16"/>
    </row>
    <row r="22" ht="14.25" customHeight="1" spans="1:28" x14ac:dyDescent="0.25">
      <c r="A22" s="16"/>
      <c r="B22" s="16"/>
      <c r="C22" s="84" t="s">
        <v>140</v>
      </c>
      <c r="D22" s="725">
        <f ca="1">D$12</f>
        <v>12.4849</v>
      </c>
      <c r="E22" s="726">
        <f ca="1">AVERAGE(F22:J22)</f>
        <v>11.6208901847341</v>
      </c>
      <c r="F22" s="724">
        <f ca="1">IF($D$24="LTM",'Multiples Data'!BY$86,IF($D$24="NTM",'Multiples Data'!CE$86,"N/A"))</f>
        <v>6.6876218938895</v>
      </c>
      <c r="G22" s="724">
        <f ca="1">IF($D$24="LTM",'Multiples Data'!BZ$86,IF($D$24="NTM",'Multiples Data'!CF$86,"N/A"))</f>
        <v>13.0119608316293</v>
      </c>
      <c r="H22" s="724">
        <f ca="1">IF($D$24="LTM",'Multiples Data'!CA$86,IF($D$24="NTM",'Multiples Data'!CG$86,"N/A"))</f>
        <v>12.4521138558247</v>
      </c>
      <c r="I22" s="724">
        <f ca="1">IF($D$24="LTM",'Multiples Data'!CB$86,IF($D$24="NTM",'Multiples Data'!CH$86,"N/A"))</f>
        <v>14.1638045774507</v>
      </c>
      <c r="J22" s="724">
        <f ca="1">IF($D$24="LTM",'Multiples Data'!CC$86,IF($D$24="NTM",'Multiples Data'!CI$86,"N/A"))</f>
        <v>11.7889497648763</v>
      </c>
      <c r="K22" s="16"/>
      <c r="L22" s="719">
        <v>0</v>
      </c>
      <c r="M22" s="728" t="str">
        <f ca="1">D24&amp;" EV/EBITDA"</f>
        <v>NTM EV/EBITDA</v>
      </c>
      <c r="N22" s="131"/>
      <c r="O22" s="131"/>
      <c r="P22" s="131"/>
      <c r="Q22" s="729">
        <f ca="1">$R$284</f>
        <v>302.6306400799248</v>
      </c>
      <c r="R22" s="730">
        <f ca="1">Q22/Share_Price-1</f>
        <v>0.29784132464158497</v>
      </c>
      <c r="S22" s="16"/>
      <c r="T22" s="16"/>
      <c r="U22" s="16"/>
      <c r="V22" s="16"/>
      <c r="W22" s="16"/>
      <c r="X22" s="16"/>
      <c r="Y22" s="16"/>
      <c r="Z22" s="16"/>
      <c r="AA22" s="16"/>
      <c r="AB22" s="16"/>
    </row>
    <row r="23" ht="14.25" customHeight="1" spans="1:28" x14ac:dyDescent="0.25">
      <c r="A23" s="16"/>
      <c r="B23" s="16"/>
      <c r="C23" s="84"/>
      <c r="D23" s="724"/>
      <c r="E23" s="724"/>
      <c r="F23" s="724"/>
      <c r="G23" s="724"/>
      <c r="H23" s="724"/>
      <c r="I23" s="724"/>
      <c r="J23" s="724"/>
      <c r="K23" s="16"/>
      <c r="L23" s="207"/>
      <c r="M23" s="16" t="s">
        <v>815</v>
      </c>
      <c r="N23" s="16"/>
      <c r="O23" s="16"/>
      <c r="P23" s="16"/>
      <c r="Q23" s="717">
        <f ca="1">AVERAGE(Q9:Q22)</f>
      </c>
      <c r="R23" s="207">
        <f ca="1">Q23/Share_Price-1</f>
      </c>
      <c r="S23" s="16"/>
      <c r="T23" s="16"/>
      <c r="U23" s="16"/>
      <c r="V23" s="16"/>
      <c r="W23" s="16"/>
      <c r="X23" s="16"/>
      <c r="Y23" s="16"/>
      <c r="Z23" s="16"/>
      <c r="AA23" s="16"/>
      <c r="AB23" s="16"/>
    </row>
    <row r="24" ht="14.25" customHeight="1" spans="1:28" x14ac:dyDescent="0.25">
      <c r="A24" s="16"/>
      <c r="B24" s="16"/>
      <c r="C24" s="16" t="s">
        <v>816</v>
      </c>
      <c r="D24" s="267" t="s">
        <v>817</v>
      </c>
      <c r="E24" s="16"/>
      <c r="F24" s="16"/>
      <c r="G24" s="16"/>
      <c r="H24" s="724"/>
      <c r="I24" s="724"/>
      <c r="J24" s="724"/>
      <c r="K24" s="16"/>
      <c r="L24" s="303"/>
      <c r="M24" s="16" t="s">
        <v>818</v>
      </c>
      <c r="N24" s="16"/>
      <c r="O24" s="731"/>
      <c r="P24" s="16"/>
      <c r="Q24" s="717">
        <f ca="1">SUMPRODUCT(L9:L22,Q9:Q22)</f>
      </c>
      <c r="R24" s="207">
        <f ca="1">Q24/Share_Price-1</f>
      </c>
      <c r="S24" s="16"/>
      <c r="T24" s="16"/>
      <c r="U24" s="16"/>
      <c r="V24" s="16"/>
      <c r="W24" s="16"/>
      <c r="X24" s="16"/>
      <c r="Y24" s="16"/>
      <c r="Z24" s="16"/>
      <c r="AA24" s="16"/>
      <c r="AB24" s="16"/>
    </row>
    <row r="25" ht="14.25" customHeight="1" spans="1:28" x14ac:dyDescent="0.25">
      <c r="A25" s="16"/>
      <c r="B25" s="16"/>
      <c r="C25" s="16"/>
      <c r="E25" s="16"/>
      <c r="F25" s="16"/>
      <c r="G25" s="16"/>
      <c r="H25" s="724"/>
      <c r="I25" s="724"/>
      <c r="J25" s="724"/>
      <c r="K25" s="16"/>
      <c r="L25" s="303"/>
      <c r="M25" s="16"/>
      <c r="N25" s="16"/>
      <c r="O25" s="731"/>
      <c r="P25" s="16"/>
      <c r="Q25" s="717"/>
      <c r="R25" s="207"/>
      <c r="S25" s="16"/>
      <c r="T25" s="16"/>
      <c r="U25" s="16"/>
      <c r="V25" s="16"/>
      <c r="W25" s="16"/>
      <c r="X25" s="16"/>
      <c r="Y25" s="16"/>
      <c r="Z25" s="16"/>
      <c r="AA25" s="16"/>
      <c r="AB25" s="16"/>
    </row>
    <row r="26" ht="13.5" customHeight="1" hidden="1" spans="1:28" x14ac:dyDescent="0.25" outlineLevel="1" collapsed="1">
      <c r="A26" s="16"/>
      <c r="B26" s="16"/>
      <c r="C26" s="16"/>
      <c r="D26" s="16"/>
      <c r="E26" s="16"/>
      <c r="F26" s="16"/>
      <c r="G26" s="16"/>
      <c r="H26" s="16"/>
      <c r="I26" s="16"/>
      <c r="J26" s="16"/>
      <c r="K26" s="16"/>
      <c r="L26" s="16"/>
      <c r="M26" s="16"/>
      <c r="N26" s="732">
        <v>1</v>
      </c>
      <c r="O26" s="732">
        <f t="shared" ref="O26:R26" si="3" ca="1">N26+1</f>
        <v>2</v>
      </c>
      <c r="P26" s="732">
        <f ca="1">O26+1</f>
        <v>3</v>
      </c>
      <c r="Q26" s="732">
        <f ca="1">P26+1</f>
        <v>4</v>
      </c>
      <c r="R26" s="732">
        <f ca="1">Q26+1</f>
        <v>5</v>
      </c>
      <c r="S26" s="16"/>
      <c r="T26" s="16"/>
      <c r="U26" s="16"/>
      <c r="V26" s="16"/>
      <c r="W26" s="16"/>
      <c r="X26" s="16"/>
      <c r="Y26" s="16"/>
      <c r="Z26" s="16"/>
      <c r="AA26" s="16"/>
      <c r="AB26" s="16"/>
    </row>
    <row r="27" ht="6.75" customHeight="1" spans="1:28" x14ac:dyDescent="0.25">
      <c r="A27" s="16"/>
      <c r="B27" s="16"/>
      <c r="C27" s="16"/>
      <c r="D27" s="16"/>
      <c r="E27" s="16"/>
      <c r="F27" s="16"/>
      <c r="G27" s="16"/>
      <c r="H27" s="16"/>
      <c r="I27" s="16"/>
      <c r="J27" s="47">
        <f t="shared" ref="J27:M27" si="4" ca="1">LEN(J28)</f>
        <v>4</v>
      </c>
      <c r="K27" s="47">
        <f ca="1">LEN(K28)</f>
        <v>4</v>
      </c>
      <c r="L27" s="47">
        <f ca="1">LEN(L28)</f>
        <v>5</v>
      </c>
      <c r="M27" s="47">
        <f ca="1">LEN(M28)</f>
        <v>5</v>
      </c>
      <c r="N27" s="732"/>
      <c r="O27" s="732"/>
      <c r="P27" s="732"/>
      <c r="Q27" s="732"/>
      <c r="R27" s="732"/>
      <c r="S27" s="16"/>
      <c r="T27" s="16"/>
      <c r="U27" s="16"/>
      <c r="V27" s="16"/>
      <c r="W27" s="16"/>
      <c r="X27" s="16"/>
      <c r="Y27" s="16"/>
      <c r="Z27" s="16"/>
      <c r="AA27" s="16"/>
      <c r="AB27" s="16"/>
    </row>
    <row r="28" ht="13.5" customHeight="1" spans="1:28" x14ac:dyDescent="0.25">
      <c r="A28" s="264" t="s">
        <v>1</v>
      </c>
      <c r="B28" s="16"/>
      <c r="C28" s="350" t="s">
        <v>819</v>
      </c>
      <c r="D28" s="373"/>
      <c r="E28" s="373"/>
      <c r="F28" s="373"/>
      <c r="G28" s="733">
        <f t="shared" ref="G28:I28" si="5" ca="1">G29</f>
        <v>2023</v>
      </c>
      <c r="H28" s="733">
        <f ca="1">H29</f>
        <v>2024</v>
      </c>
      <c r="I28" s="733">
        <f ca="1">I29</f>
        <v>2025</v>
      </c>
      <c r="J28" s="734" t="str">
        <f ca="1">IF(Last_FQR="4Q","1Q"&amp;RIGHT(J29,2)&amp;"e","1Q"&amp;RIGHT(J29,2))</f>
        <v>1Q26</v>
      </c>
      <c r="K28" s="194" t="str">
        <f ca="1">IF(Last_FQR="4Q","2Q"&amp;RIGHT(K29,2)&amp;"e",IF(Last_FQR="1Q","2Q"&amp;RIGHT(K29,2)&amp;"e","2Q"&amp;RIGHT(K29,2)))</f>
        <v>2Q26</v>
      </c>
      <c r="L28" s="194" t="str">
        <f ca="1">IF(Last_FQR="4Q","3Q"&amp;RIGHT(L29,2)&amp;"e",IF(Last_FQR="1Q","3Q"&amp;RIGHT(L29,2)&amp;"e",IF(Last_FQR="2Q","3Q"&amp;RIGHT(L29,2)&amp;"e","3Q"&amp;RIGHT(L29,2))))</f>
        <v>3Q26e</v>
      </c>
      <c r="M28" s="735" t="str">
        <f ca="1">"4Q"&amp;RIGHT(M29,2)&amp;"e"</f>
        <v>4Q26e</v>
      </c>
      <c r="N28" s="194" t="str">
        <f t="shared" ref="N28:R28" si="6" ca="1">N29&amp;"e"</f>
        <v>2026e</v>
      </c>
      <c r="O28" s="194" t="str">
        <f ca="1">O29&amp;"e"</f>
        <v>2027e</v>
      </c>
      <c r="P28" s="194" t="str">
        <f ca="1">P29&amp;"e"</f>
        <v>2028e</v>
      </c>
      <c r="Q28" s="194" t="str">
        <f ca="1">Q29&amp;"e"</f>
        <v>2029e</v>
      </c>
      <c r="R28" s="352" t="str">
        <f ca="1">R29&amp;"e"</f>
        <v>2030e</v>
      </c>
      <c r="S28" s="199" t="s">
        <v>1</v>
      </c>
      <c r="T28" s="16"/>
      <c r="U28" s="16"/>
      <c r="V28" s="16"/>
      <c r="W28" s="16"/>
      <c r="X28" s="16"/>
      <c r="Y28" s="16"/>
      <c r="Z28" s="16"/>
      <c r="AA28" s="16"/>
      <c r="AB28" s="16"/>
    </row>
    <row r="29" ht="13.5" customHeight="1" spans="1:28" x14ac:dyDescent="0.25">
      <c r="A29" s="736"/>
      <c r="B29" s="737"/>
      <c r="C29" s="738"/>
      <c r="D29" s="739"/>
      <c r="E29" s="739"/>
      <c r="F29" s="739"/>
      <c r="G29" s="740">
        <f t="shared" ref="G29:H29" si="7" ca="1">H29-1</f>
        <v>2023</v>
      </c>
      <c r="H29" s="740">
        <f ca="1">I29-1</f>
        <v>2024</v>
      </c>
      <c r="I29" s="740">
        <f ca="1">YEAR(Last_FYE)</f>
        <v>2025</v>
      </c>
      <c r="J29" s="740">
        <f ca="1">I29+1</f>
        <v>2026</v>
      </c>
      <c r="K29" s="740">
        <f t="shared" ref="K29:N29" si="8" ca="1">J29</f>
        <v>2026</v>
      </c>
      <c r="L29" s="740">
        <f ca="1">K29</f>
        <v>2026</v>
      </c>
      <c r="M29" s="740">
        <f ca="1">L29</f>
        <v>2026</v>
      </c>
      <c r="N29" s="740">
        <f ca="1">M29</f>
        <v>2026</v>
      </c>
      <c r="O29" s="740">
        <f t="shared" ref="O29:R29" si="9" ca="1">N29+1</f>
        <v>2027</v>
      </c>
      <c r="P29" s="740">
        <f ca="1">O29+1</f>
        <v>2028</v>
      </c>
      <c r="Q29" s="740">
        <f ca="1">P29+1</f>
        <v>2029</v>
      </c>
      <c r="R29" s="741">
        <f ca="1">Q29+1</f>
        <v>2030</v>
      </c>
      <c r="S29" s="736"/>
      <c r="T29" s="16"/>
      <c r="U29" s="16"/>
      <c r="V29" s="16"/>
      <c r="W29" s="16"/>
      <c r="X29" s="16"/>
      <c r="Y29" s="16"/>
      <c r="Z29" s="16"/>
      <c r="AA29" s="16"/>
      <c r="AB29" s="16"/>
    </row>
    <row r="30" ht="4.5" customHeight="1" spans="1:28" x14ac:dyDescent="0.25">
      <c r="A30" s="16"/>
      <c r="B30" s="16"/>
      <c r="C30" s="16"/>
      <c r="D30" s="16"/>
      <c r="E30" s="16"/>
      <c r="F30" s="16"/>
      <c r="G30" s="16"/>
      <c r="H30" s="16"/>
      <c r="I30" s="16"/>
      <c r="J30" s="742"/>
      <c r="K30" s="743"/>
      <c r="L30" s="743"/>
      <c r="M30" s="744"/>
      <c r="N30" s="16"/>
      <c r="O30" s="16"/>
      <c r="P30" s="16"/>
      <c r="Q30" s="16"/>
      <c r="R30" s="16"/>
      <c r="S30" s="16"/>
      <c r="T30" s="16"/>
      <c r="U30" s="16"/>
      <c r="V30" s="16"/>
      <c r="W30" s="16"/>
      <c r="X30" s="16"/>
      <c r="Y30" s="16"/>
      <c r="Z30" s="16"/>
      <c r="AA30" s="16"/>
      <c r="AB30" s="16"/>
    </row>
    <row r="31" ht="13.5" customHeight="1" spans="1:28" x14ac:dyDescent="0.25">
      <c r="A31" s="16"/>
      <c r="B31" s="16"/>
      <c r="C31" s="16" t="str">
        <f ca="1">Model!C28</f>
        <v>Revenue</v>
      </c>
      <c r="D31" s="16"/>
      <c r="E31" s="16"/>
      <c r="F31" s="16"/>
      <c r="G31" s="282">
        <f ca="1">Model!J28</f>
        <v>71309</v>
      </c>
      <c r="H31" s="282">
        <f ca="1">Model!O28</f>
        <v>72148</v>
      </c>
      <c r="I31" s="282">
        <f ca="1">Model!T28</f>
        <v>89597</v>
      </c>
      <c r="J31" s="745">
        <f ca="1">Model!U28</f>
        <v>24422</v>
      </c>
      <c r="K31" s="746">
        <f ca="1">Model!V28</f>
        <v>27570</v>
      </c>
      <c r="L31" s="746">
        <f ca="1">Model!W28</f>
        <v>22918</v>
      </c>
      <c r="M31" s="747">
        <f ca="1">Model!X28</f>
        <v>21772.1</v>
      </c>
      <c r="N31" s="282">
        <f ca="1">Model!Y28</f>
        <v>96682.1</v>
      </c>
      <c r="O31" s="282">
        <f ca="1">Model!AD28</f>
        <v>105236.82134671998</v>
      </c>
      <c r="P31" s="282">
        <f ca="1">Model!AE28</f>
        <v>107341.55777365438</v>
      </c>
      <c r="Q31" s="282">
        <f ca="1">Model!AF28</f>
        <v>109488.38892912747</v>
      </c>
      <c r="R31" s="282">
        <f ca="1">Model!AG28</f>
        <v>111678.15670771002</v>
      </c>
      <c r="S31" s="16"/>
      <c r="T31" s="16"/>
      <c r="U31" s="16"/>
      <c r="V31" s="16"/>
      <c r="W31" s="16"/>
      <c r="X31" s="16"/>
      <c r="Y31" s="16"/>
      <c r="Z31" s="16"/>
      <c r="AA31" s="16"/>
      <c r="AB31" s="16"/>
    </row>
    <row r="32" ht="13.5" customHeight="1" spans="1:28" x14ac:dyDescent="0.25">
      <c r="A32" s="16"/>
      <c r="B32" s="16"/>
      <c r="C32" s="139" t="str">
        <f ca="1">Model!C61</f>
        <v>EBITDA</v>
      </c>
      <c r="D32" s="16"/>
      <c r="E32" s="16"/>
      <c r="F32" s="16"/>
      <c r="G32" s="329">
        <f ca="1">Model!J61</f>
        <v>7341.59</v>
      </c>
      <c r="H32" s="329">
        <f ca="1">Model!O61</f>
        <v>7764.5</v>
      </c>
      <c r="I32" s="329">
        <f ca="1">Model!T61</f>
        <v>13111.87</v>
      </c>
      <c r="J32" s="748">
        <f ca="1">Model!U61</f>
        <v>3636</v>
      </c>
      <c r="K32" s="749">
        <f ca="1">Model!V61</f>
        <v>4619</v>
      </c>
      <c r="L32" s="749">
        <f ca="1">Model!W61</f>
        <v>3207</v>
      </c>
      <c r="M32" s="750">
        <f ca="1">Model!X61</f>
        <v>-1959.4890000000005</v>
      </c>
      <c r="N32" s="329">
        <f ca="1">Model!Y61</f>
        <v>52605.511</v>
      </c>
      <c r="O32" s="329">
        <f ca="1">Model!AD61</f>
        <v>-9185.290011615205</v>
      </c>
      <c r="P32" s="329">
        <f ca="1">Model!AE61</f>
        <v>-8157.958390797736</v>
      </c>
      <c r="Q32" s="329">
        <f ca="1">Model!AF61</f>
        <v>-7773.6756139680565</v>
      </c>
      <c r="R32" s="329">
        <f ca="1">Model!AG61</f>
        <v>-7147.402029293433</v>
      </c>
      <c r="S32" s="16"/>
      <c r="T32" s="16"/>
      <c r="U32" s="16"/>
      <c r="V32" s="16"/>
      <c r="W32" s="16"/>
      <c r="X32" s="16"/>
      <c r="Y32" s="16"/>
      <c r="Z32" s="16"/>
      <c r="AA32" s="16"/>
      <c r="AB32" s="16"/>
    </row>
    <row r="33" ht="13.5" customHeight="1" spans="1:28" x14ac:dyDescent="0.25">
      <c r="A33" s="16"/>
      <c r="B33" s="16"/>
      <c r="C33" s="16" t="str">
        <f ca="1">Model!C59</f>
        <v>EBIT</v>
      </c>
      <c r="D33" s="16"/>
      <c r="E33" s="16"/>
      <c r="F33" s="16"/>
      <c r="G33" s="329">
        <f ca="1">Model!J36</f>
        <v>4018</v>
      </c>
      <c r="H33" s="329">
        <f ca="1">Model!O36</f>
        <v>6314</v>
      </c>
      <c r="I33" s="329">
        <f ca="1">Model!T36</f>
        <v>10892</v>
      </c>
      <c r="J33" s="748">
        <f ca="1">Model!U36</f>
        <v>3245</v>
      </c>
      <c r="K33" s="749">
        <f ca="1">Model!V36</f>
        <v>4210</v>
      </c>
      <c r="L33" s="749">
        <f ca="1">Model!W36</f>
        <v>2789</v>
      </c>
      <c r="M33" s="750">
        <f ca="1">Model!X36</f>
        <v>-2290.6765000000005</v>
      </c>
      <c r="N33" s="329">
        <f ca="1">Model!Y36</f>
        <v>7953.3234999999995</v>
      </c>
      <c r="O33" s="329">
        <f ca="1">Model!AD36</f>
        <v>-10540.153639645196</v>
      </c>
      <c r="P33" s="329">
        <f ca="1">Model!AE36</f>
        <v>-9578.113551031161</v>
      </c>
      <c r="Q33" s="329">
        <f ca="1">Model!AF36</f>
        <v>-9246.151445858737</v>
      </c>
      <c r="R33" s="329">
        <f ca="1">Model!AG36</f>
        <v>-8671.522881345929</v>
      </c>
      <c r="S33" s="16"/>
      <c r="T33" s="16"/>
      <c r="U33" s="16"/>
      <c r="V33" s="16"/>
      <c r="W33" s="16"/>
      <c r="X33" s="16"/>
      <c r="Y33" s="16"/>
      <c r="Z33" s="16"/>
      <c r="AA33" s="16"/>
      <c r="AB33" s="16"/>
    </row>
    <row r="34" ht="13.5" customHeight="1" spans="1:28" x14ac:dyDescent="0.25">
      <c r="A34" s="16"/>
      <c r="B34" s="16"/>
      <c r="C34" s="139" t="str">
        <f ca="1">Model!C44</f>
        <v>Income Tax Benefit (Expense)</v>
      </c>
      <c r="D34" s="16"/>
      <c r="E34" s="16"/>
      <c r="F34" s="16"/>
      <c r="G34" s="414">
        <f ca="1">Model!J44</f>
        <v>-1080</v>
      </c>
      <c r="H34" s="414">
        <f ca="1">Model!O44</f>
        <v>-1342</v>
      </c>
      <c r="I34" s="414">
        <f ca="1">Model!T44</f>
        <v>-1903</v>
      </c>
      <c r="J34" s="751">
        <f ca="1">Model!U44</f>
        <v>-713</v>
      </c>
      <c r="K34" s="752">
        <f ca="1">Model!V44</f>
        <v>-976</v>
      </c>
      <c r="L34" s="752">
        <f ca="1">Model!W44</f>
        <v>-670</v>
      </c>
      <c r="M34" s="753">
        <f ca="1">Model!X44</f>
        <v>602.076762</v>
      </c>
      <c r="N34" s="414">
        <f ca="1">Model!Y44</f>
        <v>-7986.923238</v>
      </c>
      <c r="O34" s="414">
        <f ca="1">Model!AD44</f>
        <v>2770.237219411594</v>
      </c>
      <c r="P34" s="414">
        <f ca="1">Model!AE44</f>
        <v>2646.4551233240622</v>
      </c>
      <c r="Q34" s="414">
        <f ca="1">Model!AF44</f>
        <v>2702.2111575748163</v>
      </c>
      <c r="R34" s="414">
        <f ca="1">Model!AG44</f>
        <v>2741.5840227705226</v>
      </c>
      <c r="S34" s="16"/>
      <c r="T34" s="16"/>
      <c r="U34" s="16"/>
      <c r="V34" s="16"/>
      <c r="W34" s="16"/>
      <c r="X34" s="16"/>
      <c r="Y34" s="16"/>
      <c r="Z34" s="16"/>
      <c r="AA34" s="16"/>
      <c r="AB34" s="16"/>
    </row>
    <row r="35" ht="13.5" customHeight="1" spans="1:28" x14ac:dyDescent="0.25">
      <c r="A35" s="16"/>
      <c r="B35" s="16"/>
      <c r="C35" s="16" t="s">
        <v>820</v>
      </c>
      <c r="D35" s="16"/>
      <c r="E35" s="16"/>
      <c r="F35" s="16"/>
      <c r="G35" s="282">
        <f t="shared" ref="G35:R35" si="10" ca="1">SUM(G33:G34)</f>
        <v>2938</v>
      </c>
      <c r="H35" s="282">
        <f ca="1">SUM(H33:H34)</f>
        <v>4972</v>
      </c>
      <c r="I35" s="282">
        <f ca="1">SUM(I33:I34)</f>
        <v>8989</v>
      </c>
      <c r="J35" s="745">
        <f ca="1">SUM(J33:J34)</f>
        <v>2532</v>
      </c>
      <c r="K35" s="746">
        <f ca="1">SUM(K33:K34)</f>
        <v>3234</v>
      </c>
      <c r="L35" s="746">
        <f ca="1">SUM(L33:L34)</f>
        <v>2119</v>
      </c>
      <c r="M35" s="747">
        <f ca="1">SUM(M33:M34)</f>
        <v>-1688.5997380000003</v>
      </c>
      <c r="N35" s="282">
        <f ca="1">SUM(N33:N34)</f>
        <v>42589.400261999996</v>
      </c>
      <c r="O35" s="282">
        <f ca="1">SUM(O33:O34)</f>
        <v>-7769.9164202336015</v>
      </c>
      <c r="P35" s="282">
        <f ca="1">SUM(P33:P34)</f>
        <v>-6931.6584277071</v>
      </c>
      <c r="Q35" s="282">
        <f ca="1">SUM(Q33:Q34)</f>
        <v>-6543.94028828392</v>
      </c>
      <c r="R35" s="282">
        <f ca="1">SUM(R33:R34)</f>
        <v>-5929.938858575406</v>
      </c>
      <c r="S35" s="16"/>
      <c r="T35" s="16"/>
      <c r="U35" s="16"/>
      <c r="V35" s="16"/>
      <c r="W35" s="16"/>
      <c r="X35" s="16"/>
      <c r="Y35" s="16"/>
      <c r="Z35" s="16"/>
      <c r="AA35" s="16"/>
      <c r="AB35" s="16"/>
    </row>
    <row r="36" ht="13.5" customHeight="1" spans="1:28" x14ac:dyDescent="0.25">
      <c r="A36" s="16"/>
      <c r="B36" s="16"/>
      <c r="C36" s="303" t="s">
        <v>821</v>
      </c>
      <c r="D36" s="16"/>
      <c r="E36" s="16"/>
      <c r="F36" s="16"/>
      <c r="G36" s="282"/>
      <c r="H36" s="464">
        <f t="shared" ref="H36:I36" si="11" ca="1">H35/G35-1</f>
        <v>0.6923076923076923</v>
      </c>
      <c r="I36" s="464">
        <f ca="1">I35/H35-1</f>
        <v>0.8079243765084474</v>
      </c>
      <c r="J36" s="754"/>
      <c r="K36" s="755"/>
      <c r="L36" s="755"/>
      <c r="M36" s="756"/>
      <c r="N36" s="464">
        <f ca="1">N35/I35-1</f>
        <v>-0.39423670101127917</v>
      </c>
      <c r="O36" s="464">
        <f ca="1">O35/N35-1</f>
        <v>-1.1824377984295364</v>
      </c>
      <c r="P36" s="464">
        <f ca="1">P35/O35-1</f>
        <v>-0.10788507201230613</v>
      </c>
      <c r="Q36" s="464">
        <f ca="1">Q35/P35-1</f>
        <v>-0.05593439772989961</v>
      </c>
      <c r="R36" s="464">
        <f ca="1">R35/Q35-1</f>
        <v>-0.09382748048722334</v>
      </c>
      <c r="S36" s="16"/>
      <c r="T36" s="16"/>
      <c r="U36" s="16"/>
      <c r="V36" s="16"/>
      <c r="W36" s="16"/>
      <c r="X36" s="16"/>
      <c r="Y36" s="16"/>
      <c r="Z36" s="16"/>
      <c r="AA36" s="16"/>
      <c r="AB36" s="16"/>
    </row>
    <row r="37" ht="13.5" customHeight="1" spans="1:28" x14ac:dyDescent="0.25">
      <c r="A37" s="16"/>
      <c r="B37" s="16"/>
      <c r="C37" s="16"/>
      <c r="D37" s="16"/>
      <c r="E37" s="16"/>
      <c r="F37" s="16"/>
      <c r="G37" s="16"/>
      <c r="H37" s="16"/>
      <c r="I37" s="16"/>
      <c r="J37" s="742"/>
      <c r="K37" s="743"/>
      <c r="L37" s="743"/>
      <c r="M37" s="744"/>
      <c r="N37" s="16"/>
      <c r="O37" s="16"/>
      <c r="P37" s="16"/>
      <c r="Q37" s="16"/>
      <c r="R37" s="16"/>
      <c r="S37" s="16"/>
      <c r="T37" s="16"/>
      <c r="U37" s="16"/>
      <c r="V37" s="16"/>
      <c r="W37" s="16"/>
      <c r="X37" s="16"/>
      <c r="Y37" s="16"/>
      <c r="Z37" s="16"/>
      <c r="AA37" s="16"/>
      <c r="AB37" s="16"/>
    </row>
    <row r="38" ht="13.5" customHeight="1" spans="1:28" x14ac:dyDescent="0.25">
      <c r="A38" s="16"/>
      <c r="B38" s="16"/>
      <c r="C38" s="139" t="str">
        <f ca="1">Model!C76</f>
        <v>Depreciation &amp; Amortization</v>
      </c>
      <c r="D38" s="16"/>
      <c r="E38" s="16"/>
      <c r="F38" s="16"/>
      <c r="G38" s="329"/>
      <c r="H38" s="329"/>
      <c r="I38" s="329"/>
      <c r="J38" s="748">
        <f ca="1">-Model!U34</f>
        <v>391</v>
      </c>
      <c r="K38" s="749">
        <f ca="1">-Model!V34</f>
        <v>409</v>
      </c>
      <c r="L38" s="749">
        <f ca="1">-Model!W34</f>
        <v>425</v>
      </c>
      <c r="M38" s="750">
        <f ca="1">-Model!X34</f>
        <v>331.18750000000006</v>
      </c>
      <c r="N38" s="329">
        <f ca="1">-Model!Y34</f>
        <v>1556.1875</v>
      </c>
      <c r="O38" s="329">
        <f ca="1">-Model!AD34</f>
        <v>1354.863628029993</v>
      </c>
      <c r="P38" s="329">
        <f ca="1">-Model!AE34</f>
        <v>1420.1551602334257</v>
      </c>
      <c r="Q38" s="329">
        <f ca="1">-Model!AF34</f>
        <v>1472.475831890681</v>
      </c>
      <c r="R38" s="329">
        <f ca="1">-Model!AG34</f>
        <v>1524.1208520524956</v>
      </c>
      <c r="S38" s="16"/>
      <c r="T38" s="16"/>
      <c r="U38" s="16"/>
      <c r="V38" s="16"/>
      <c r="W38" s="16"/>
      <c r="X38" s="16"/>
      <c r="Y38" s="16"/>
      <c r="Z38" s="16"/>
      <c r="AA38" s="16"/>
      <c r="AB38" s="16"/>
    </row>
    <row r="39" ht="13.5" customHeight="1" spans="1:28" x14ac:dyDescent="0.25">
      <c r="A39" s="16"/>
      <c r="B39" s="16"/>
      <c r="C39" s="139" t="str">
        <f ca="1">Model!C77</f>
        <v>Stock-Based Compensation</v>
      </c>
      <c r="D39" s="16"/>
      <c r="E39" s="16"/>
      <c r="F39" s="16"/>
      <c r="G39" s="329"/>
      <c r="H39" s="329"/>
      <c r="I39" s="329"/>
      <c r="J39" s="748">
        <f ca="1">Model!U246</f>
        <v>54</v>
      </c>
      <c r="K39" s="749">
        <f ca="1">Model!V246</f>
        <v>61</v>
      </c>
      <c r="L39" s="749">
        <f ca="1">Model!W246</f>
        <v>54</v>
      </c>
      <c r="M39" s="750">
        <f ca="1">Model!X246</f>
        <v>51.3</v>
      </c>
      <c r="N39" s="329">
        <f ca="1">Model!Y246</f>
        <v>220.3</v>
      </c>
      <c r="O39" s="329">
        <f ca="1">Model!AD246</f>
        <v>247.96179216000002</v>
      </c>
      <c r="P39" s="329">
        <f ca="1">Model!AE246</f>
        <v>252.92102800319995</v>
      </c>
      <c r="Q39" s="329">
        <f ca="1">Model!AF246</f>
        <v>257.979448563264</v>
      </c>
      <c r="R39" s="329">
        <f ca="1">Model!AG246</f>
        <v>263.1390375345292</v>
      </c>
      <c r="S39" s="16"/>
      <c r="T39" s="16"/>
      <c r="U39" s="16"/>
      <c r="V39" s="16"/>
      <c r="W39" s="16"/>
      <c r="X39" s="16"/>
      <c r="Y39" s="16"/>
      <c r="Z39" s="16"/>
      <c r="AA39" s="16"/>
      <c r="AB39" s="16"/>
    </row>
    <row r="40" ht="13.5" customHeight="1" spans="1:28" x14ac:dyDescent="0.25">
      <c r="A40" s="16"/>
      <c r="B40" s="16"/>
      <c r="C40" s="139" t="str">
        <f ca="1">Model!C82</f>
        <v>Capital Expenditures</v>
      </c>
      <c r="D40" s="16"/>
      <c r="E40" s="16"/>
      <c r="F40" s="16"/>
      <c r="G40" s="329"/>
      <c r="H40" s="329"/>
      <c r="I40" s="329"/>
      <c r="J40" s="748">
        <f ca="1">-Model!U193</f>
        <v>-461</v>
      </c>
      <c r="K40" s="749">
        <f ca="1">-Model!V193</f>
        <v>-385</v>
      </c>
      <c r="L40" s="749">
        <f ca="1">-Model!W193</f>
        <v>-410</v>
      </c>
      <c r="M40" s="750">
        <f ca="1">-Model!X193</f>
        <v>-370.1257</v>
      </c>
      <c r="N40" s="329">
        <f ca="1">-Model!Y193</f>
        <v>-1626.1257</v>
      </c>
      <c r="O40" s="329">
        <f ca="1">-Model!AD193</f>
        <v>-2115.30265349424</v>
      </c>
      <c r="P40" s="329">
        <f ca="1">-Model!AE193</f>
        <v>-2146.8311554730876</v>
      </c>
      <c r="Q40" s="329">
        <f ca="1">-Model!AF193</f>
        <v>-2189.7677785825495</v>
      </c>
      <c r="R40" s="329">
        <f ca="1">-Model!AG193</f>
        <v>-2345.2412908619103</v>
      </c>
      <c r="S40" s="16"/>
      <c r="T40" s="16"/>
      <c r="U40" s="16"/>
      <c r="V40" s="16"/>
      <c r="W40" s="16"/>
      <c r="X40" s="16"/>
      <c r="Y40" s="16"/>
      <c r="Z40" s="16"/>
      <c r="AA40" s="16"/>
      <c r="AB40" s="16"/>
    </row>
    <row r="41" ht="13.5" customHeight="1" spans="1:28" x14ac:dyDescent="0.25">
      <c r="A41" s="16"/>
      <c r="B41" s="16"/>
      <c r="C41" s="139" t="str">
        <f ca="1">Drivers!C62</f>
        <v>Goodwill Impairment</v>
      </c>
      <c r="D41" s="16"/>
      <c r="E41" s="16"/>
      <c r="F41" s="16"/>
      <c r="G41" s="329"/>
      <c r="H41" s="329"/>
      <c r="I41" s="329"/>
      <c r="J41" s="748">
        <f ca="1">Model!U40</f>
        <v>1e-12</v>
      </c>
      <c r="K41" s="749">
        <f ca="1">Model!V40</f>
        <v>1e-12</v>
      </c>
      <c r="L41" s="749">
        <f ca="1">Model!W40</f>
        <v>1e-12</v>
      </c>
      <c r="M41" s="750">
        <f ca="1">Model!X40</f>
        <v>1e-12</v>
      </c>
      <c r="N41" s="329">
        <f ca="1">Model!Y40</f>
        <v>1e-12</v>
      </c>
      <c r="O41" s="329">
        <f ca="1">Model!AD40</f>
        <v>1e-12</v>
      </c>
      <c r="P41" s="329">
        <f ca="1">Model!AE40</f>
        <v>1e-12</v>
      </c>
      <c r="Q41" s="329">
        <f ca="1">Model!AF40</f>
        <v>1e-12</v>
      </c>
      <c r="R41" s="329">
        <f ca="1">Model!AG40</f>
        <v>1e-12</v>
      </c>
      <c r="S41" s="16"/>
      <c r="T41" s="16"/>
      <c r="U41" s="16"/>
      <c r="V41" s="16"/>
      <c r="W41" s="16"/>
      <c r="X41" s="16"/>
      <c r="Y41" s="16"/>
      <c r="Z41" s="16"/>
      <c r="AA41" s="16"/>
      <c r="AB41" s="16"/>
    </row>
    <row r="42" ht="13.5" customHeight="1" spans="1:28" x14ac:dyDescent="0.25">
      <c r="A42" s="16"/>
      <c r="B42" s="16"/>
      <c r="C42" s="139" t="str">
        <f ca="1">Model!C78</f>
        <v>(Increase)/Decrease in Working Capital</v>
      </c>
      <c r="D42" s="16"/>
      <c r="E42" s="16"/>
      <c r="F42" s="16"/>
      <c r="G42" s="329"/>
      <c r="H42" s="329"/>
      <c r="I42" s="329"/>
      <c r="J42" s="748">
        <f ca="1">Model!U110</f>
        <v>891</v>
      </c>
      <c r="K42" s="749">
        <f ca="1">Model!V110</f>
        <v>-893</v>
      </c>
      <c r="L42" s="749">
        <f ca="1">Model!W110</f>
        <v>-40</v>
      </c>
      <c r="M42" s="750">
        <f ca="1">Model!X110</f>
        <v>-1855.091793478261</v>
      </c>
      <c r="N42" s="329">
        <f ca="1">Model!Y110</f>
        <v>-1897.091793478261</v>
      </c>
      <c r="O42" s="329">
        <f ca="1">Model!AD110</f>
        <v>-851.2127845903033</v>
      </c>
      <c r="P42" s="329">
        <f ca="1">Model!AE110</f>
        <v>461.05132520968255</v>
      </c>
      <c r="Q42" s="329">
        <f ca="1">Model!AF110</f>
        <v>-142.92601939177257</v>
      </c>
      <c r="R42" s="329">
        <f ca="1">Model!AG110</f>
        <v>-136.42553228758334</v>
      </c>
      <c r="S42" s="16"/>
      <c r="T42" s="16"/>
      <c r="U42" s="16"/>
      <c r="V42" s="16"/>
      <c r="W42" s="16"/>
      <c r="X42" s="16"/>
      <c r="Y42" s="16"/>
      <c r="Z42" s="16"/>
      <c r="AA42" s="16"/>
      <c r="AB42" s="16"/>
    </row>
    <row r="43" ht="13.5" customHeight="1" spans="1:28" x14ac:dyDescent="0.25">
      <c r="A43" s="16"/>
      <c r="B43" s="16"/>
      <c r="C43" s="139" t="str">
        <f ca="1">Model!C79</f>
        <v>(Increase)/Decrease in LT Items</v>
      </c>
      <c r="D43" s="16"/>
      <c r="E43" s="16"/>
      <c r="F43" s="16"/>
      <c r="G43" s="329"/>
      <c r="H43" s="329"/>
      <c r="I43" s="329"/>
      <c r="J43" s="748">
        <f ca="1">Model!U79</f>
        <v>1e-12</v>
      </c>
      <c r="K43" s="749">
        <f ca="1">Model!V79</f>
        <v>1e-12</v>
      </c>
      <c r="L43" s="749">
        <f ca="1">Model!W79</f>
        <v>1e-12</v>
      </c>
      <c r="M43" s="750">
        <f ca="1">Model!X79</f>
        <v>-112.52000000000044</v>
      </c>
      <c r="N43" s="329">
        <f ca="1">Model!Y79</f>
        <v>-112.52000000000044</v>
      </c>
      <c r="O43" s="329">
        <f ca="1">Model!AD79</f>
        <v>-473.03859880320124</v>
      </c>
      <c r="P43" s="329">
        <f ca="1">Model!AE79</f>
        <v>-124.2311719760637</v>
      </c>
      <c r="Q43" s="329">
        <f ca="1">Model!AF79</f>
        <v>-126.71579541558549</v>
      </c>
      <c r="R43" s="329">
        <f ca="1">Model!AG79</f>
        <v>-129.25011132389682</v>
      </c>
      <c r="S43" s="16"/>
      <c r="T43" s="16"/>
      <c r="U43" s="16"/>
      <c r="V43" s="16"/>
      <c r="W43" s="16"/>
      <c r="X43" s="16"/>
      <c r="Y43" s="16"/>
      <c r="Z43" s="16"/>
      <c r="AA43" s="16"/>
      <c r="AB43" s="16"/>
    </row>
    <row r="44" ht="13.5" customHeight="1" spans="1:28" x14ac:dyDescent="0.25">
      <c r="A44" s="16"/>
      <c r="B44" s="16"/>
      <c r="C44" s="16"/>
      <c r="D44" s="16"/>
      <c r="E44" s="16"/>
      <c r="F44" s="16"/>
      <c r="G44" s="16"/>
      <c r="H44" s="16"/>
      <c r="I44" s="16"/>
      <c r="J44" s="742"/>
      <c r="K44" s="743"/>
      <c r="L44" s="743"/>
      <c r="M44" s="744"/>
      <c r="N44" s="16"/>
      <c r="O44" s="16"/>
      <c r="P44" s="16"/>
      <c r="Q44" s="16"/>
      <c r="R44" s="16"/>
      <c r="S44" s="16"/>
      <c r="T44" s="16"/>
      <c r="U44" s="16"/>
      <c r="V44" s="16"/>
      <c r="W44" s="16"/>
      <c r="X44" s="16"/>
      <c r="Y44" s="16"/>
      <c r="Z44" s="16"/>
      <c r="AA44" s="16"/>
      <c r="AB44" s="16"/>
    </row>
    <row r="45" ht="13.5" customHeight="1" spans="1:28" x14ac:dyDescent="0.25">
      <c r="A45" s="16"/>
      <c r="B45" s="386"/>
      <c r="C45" s="100" t="s">
        <v>822</v>
      </c>
      <c r="D45" s="100"/>
      <c r="E45" s="100"/>
      <c r="F45" s="100"/>
      <c r="G45" s="100"/>
      <c r="H45" s="100"/>
      <c r="I45" s="100"/>
      <c r="J45" s="757">
        <f t="shared" ref="J45:R45" si="12" ca="1">SUM(J35:J43)</f>
        <v>3407</v>
      </c>
      <c r="K45" s="758">
        <f ca="1">SUM(K35:K43)</f>
        <v>2426</v>
      </c>
      <c r="L45" s="758">
        <f ca="1">SUM(L35:L43)</f>
        <v>2148</v>
      </c>
      <c r="M45" s="759">
        <f ca="1">SUM(M35:M43)</f>
        <v>-3643.8497314782617</v>
      </c>
      <c r="N45" s="389">
        <f ca="1">SUM(N35:N43)</f>
        <v>62735.756031820725</v>
      </c>
      <c r="O45" s="389">
        <f ca="1">SUM(O35:O43)</f>
        <v>-9607.827474729782</v>
      </c>
      <c r="P45" s="389">
        <f ca="1">SUM(P35:P43)</f>
        <v>-7068.701126781954</v>
      </c>
      <c r="Q45" s="389">
        <f ca="1">SUM(Q35:Q43)</f>
        <v>-7272.950535617613</v>
      </c>
      <c r="R45" s="407">
        <f ca="1">SUM(R35:R43)</f>
        <v>-6753.689730942259</v>
      </c>
      <c r="S45" s="16"/>
      <c r="T45" s="16"/>
      <c r="U45" s="16"/>
      <c r="V45" s="16"/>
      <c r="W45" s="16"/>
      <c r="X45" s="16"/>
      <c r="Y45" s="16"/>
      <c r="Z45" s="16"/>
      <c r="AA45" s="16"/>
      <c r="AB45" s="16"/>
    </row>
    <row r="46" ht="13.5" customHeight="1" spans="1:28" x14ac:dyDescent="0.25">
      <c r="A46" s="16"/>
      <c r="B46" s="16"/>
      <c r="C46" s="303" t="s">
        <v>821</v>
      </c>
      <c r="D46" s="16"/>
      <c r="E46" s="16"/>
      <c r="F46" s="16"/>
      <c r="G46" s="16"/>
      <c r="H46" s="464"/>
      <c r="I46" s="464"/>
      <c r="J46" s="754"/>
      <c r="K46" s="755"/>
      <c r="L46" s="755"/>
      <c r="M46" s="756"/>
      <c r="N46" s="464"/>
      <c r="O46" s="464">
        <f ca="1">O45/N45-1</f>
        <v>-1.153147552248458</v>
      </c>
      <c r="P46" s="464">
        <f ca="1">P45/O45-1</f>
        <v>-0.26427684662595796</v>
      </c>
      <c r="Q46" s="464">
        <f ca="1">Q45/P45-1</f>
        <v>0.028894899525713003</v>
      </c>
      <c r="R46" s="464">
        <f ca="1">R45/Q45-1</f>
        <v>-0.07139616887704558</v>
      </c>
      <c r="S46" s="16"/>
      <c r="T46" s="16"/>
      <c r="U46" s="16"/>
      <c r="V46" s="16"/>
      <c r="W46" s="16"/>
      <c r="X46" s="16"/>
      <c r="Y46" s="16"/>
      <c r="Z46" s="16"/>
      <c r="AA46" s="16"/>
      <c r="AB46" s="16"/>
    </row>
    <row r="47" ht="13.5" customHeight="1" spans="1:28" x14ac:dyDescent="0.25">
      <c r="A47" s="16"/>
      <c r="B47" s="16"/>
      <c r="C47" s="16"/>
      <c r="D47" s="16"/>
      <c r="E47" s="16"/>
      <c r="F47" s="16"/>
      <c r="G47" s="16"/>
      <c r="H47" s="16"/>
      <c r="I47" s="16"/>
      <c r="J47" s="742"/>
      <c r="K47" s="743"/>
      <c r="L47" s="743"/>
      <c r="M47" s="744"/>
      <c r="N47" s="16"/>
      <c r="O47" s="16"/>
      <c r="P47" s="16"/>
      <c r="Q47" s="16"/>
      <c r="R47" s="16"/>
      <c r="S47" s="16"/>
      <c r="T47" s="16"/>
      <c r="U47" s="16"/>
      <c r="V47" s="16"/>
      <c r="W47" s="16"/>
      <c r="X47" s="16"/>
      <c r="Y47" s="16"/>
      <c r="Z47" s="16"/>
      <c r="AA47" s="16"/>
      <c r="AB47" s="16"/>
    </row>
    <row r="48" ht="13.5" customHeight="1" spans="1:28" x14ac:dyDescent="0.25">
      <c r="A48" s="16"/>
      <c r="B48" s="386"/>
      <c r="C48" s="100" t="s">
        <v>823</v>
      </c>
      <c r="D48" s="100"/>
      <c r="E48" s="100"/>
      <c r="F48" s="100"/>
      <c r="G48" s="100"/>
      <c r="H48" s="100"/>
      <c r="I48" s="100"/>
      <c r="J48" s="757">
        <f t="shared" ref="J48:M48" si="13" ca="1">IF(J27=4,0,J45)</f>
        <v>1e-12</v>
      </c>
      <c r="K48" s="758">
        <f ca="1">IF(K27=4,0,K45)</f>
        <v>1e-12</v>
      </c>
      <c r="L48" s="758">
        <f ca="1">IF(L27=4,0,L45)</f>
        <v>2148</v>
      </c>
      <c r="M48" s="759">
        <f ca="1">IF(M27=4,0,M45)</f>
        <v>-3643.8497314782617</v>
      </c>
      <c r="N48" s="389">
        <f ca="1">SUM(J48:M48)</f>
        <v>26899.15026852174</v>
      </c>
      <c r="O48" s="389">
        <f ca="1">SUM(O35:O43)</f>
        <v>-9607.827474729782</v>
      </c>
      <c r="P48" s="389">
        <f ca="1">SUM(P35:P43)</f>
        <v>-7068.701126781954</v>
      </c>
      <c r="Q48" s="389">
        <f ca="1">SUM(Q35:Q43)</f>
        <v>-7272.950535617613</v>
      </c>
      <c r="R48" s="407">
        <f ca="1">SUM(R35:R43)</f>
        <v>-6753.689730942259</v>
      </c>
      <c r="S48" s="16"/>
      <c r="T48" s="16"/>
      <c r="U48" s="16"/>
      <c r="V48" s="16"/>
      <c r="W48" s="16"/>
      <c r="X48" s="16"/>
      <c r="Y48" s="16"/>
      <c r="Z48" s="16"/>
      <c r="AA48" s="16"/>
      <c r="AB48" s="16"/>
    </row>
    <row r="49" ht="13.5" customHeight="1" spans="1:28" x14ac:dyDescent="0.25">
      <c r="A49" s="16"/>
      <c r="B49" s="16"/>
      <c r="C49" s="16"/>
      <c r="D49" s="16"/>
      <c r="E49" s="16"/>
      <c r="F49" s="16"/>
      <c r="G49" s="16"/>
      <c r="H49" s="16"/>
      <c r="I49" s="16"/>
      <c r="J49" s="742"/>
      <c r="K49" s="743"/>
      <c r="L49" s="743"/>
      <c r="M49" s="744"/>
      <c r="N49" s="16"/>
      <c r="O49" s="16"/>
      <c r="P49" s="16"/>
      <c r="Q49" s="16"/>
      <c r="R49" s="16"/>
      <c r="S49" s="16"/>
      <c r="T49" s="16"/>
      <c r="U49" s="16"/>
      <c r="V49" s="16"/>
      <c r="W49" s="16"/>
      <c r="X49" s="16"/>
      <c r="Y49" s="16"/>
      <c r="Z49" s="16"/>
      <c r="AA49" s="16"/>
      <c r="AB49" s="16"/>
    </row>
    <row r="50" ht="13.5" customHeight="1" spans="1:28" x14ac:dyDescent="0.25">
      <c r="A50" s="16"/>
      <c r="B50" s="16"/>
      <c r="C50" s="303" t="s">
        <v>824</v>
      </c>
      <c r="D50" s="16"/>
      <c r="E50" s="16"/>
      <c r="F50" s="16"/>
      <c r="G50" s="16"/>
      <c r="H50" s="16"/>
      <c r="I50" s="16"/>
      <c r="J50" s="742"/>
      <c r="K50" s="743"/>
      <c r="L50" s="743"/>
      <c r="M50" s="744"/>
      <c r="N50" s="760">
        <f ca="1">YEARFRAC(Current_Date,Next_FYE)</f>
        <v>1.3277777777777777</v>
      </c>
      <c r="O50" s="760">
        <f t="shared" ref="O50:R50" si="14" ca="1">N50+1</f>
        <v>2.3277777777777775</v>
      </c>
      <c r="P50" s="760">
        <f ca="1">O50+1</f>
        <v>3.3277777777777775</v>
      </c>
      <c r="Q50" s="760">
        <f ca="1">P50+1</f>
        <v>4.3277777777777775</v>
      </c>
      <c r="R50" s="760">
        <f ca="1">Q50+1</f>
        <v>5.3277777777777775</v>
      </c>
      <c r="S50" s="16"/>
      <c r="T50" s="16"/>
      <c r="U50" s="16"/>
      <c r="V50" s="16"/>
      <c r="W50" s="16"/>
      <c r="X50" s="16"/>
      <c r="Y50" s="16"/>
      <c r="Z50" s="16"/>
      <c r="AA50" s="16"/>
      <c r="AB50" s="16"/>
    </row>
    <row r="51" ht="13.5" customHeight="1" spans="1:28" x14ac:dyDescent="0.25">
      <c r="A51" s="16"/>
      <c r="B51" s="16"/>
      <c r="C51" s="303" t="s">
        <v>825</v>
      </c>
      <c r="D51" s="16"/>
      <c r="E51" s="16"/>
      <c r="F51" s="16"/>
      <c r="G51" s="16"/>
      <c r="H51" s="16"/>
      <c r="I51" s="16"/>
      <c r="J51" s="742"/>
      <c r="K51" s="743"/>
      <c r="L51" s="743"/>
      <c r="M51" s="744"/>
      <c r="N51" s="760">
        <f ca="1">N50/2</f>
        <v>0.6638888888888889</v>
      </c>
      <c r="O51" s="760">
        <f t="shared" ref="O51:R51" si="15" ca="1">O50-0.5</f>
        <v>1.8277777777777775</v>
      </c>
      <c r="P51" s="760">
        <f ca="1">P50-0.5</f>
        <v>2.8277777777777775</v>
      </c>
      <c r="Q51" s="760">
        <f ca="1">Q50-0.5</f>
        <v>3.8277777777777775</v>
      </c>
      <c r="R51" s="760">
        <f ca="1">R50-0.5</f>
        <v>4.8277777777777775</v>
      </c>
      <c r="S51" s="16"/>
      <c r="T51" s="16"/>
      <c r="U51" s="16"/>
      <c r="V51" s="16"/>
      <c r="W51" s="16"/>
      <c r="X51" s="16"/>
      <c r="Y51" s="16"/>
      <c r="Z51" s="16"/>
      <c r="AA51" s="16"/>
      <c r="AB51" s="16"/>
    </row>
    <row r="52" ht="13.5" customHeight="1" spans="1:28" x14ac:dyDescent="0.25">
      <c r="A52" s="16"/>
      <c r="B52" s="16"/>
      <c r="C52" s="303" t="s">
        <v>826</v>
      </c>
      <c r="D52" s="16"/>
      <c r="E52" s="16"/>
      <c r="F52" s="16"/>
      <c r="G52" s="16"/>
      <c r="H52" s="16"/>
      <c r="I52" s="16"/>
      <c r="J52" s="742"/>
      <c r="K52" s="743"/>
      <c r="L52" s="743"/>
      <c r="M52" s="744"/>
      <c r="N52" s="760">
        <f t="shared" ref="N52:R52" si="16" ca="1">IF($G$83="Yes",1/(1+$G$84)^N51,1/(1+$G$84)^N50)</f>
        <v>0.9449015643110897</v>
      </c>
      <c r="O52" s="760">
        <f ca="1">IF($G$83="Yes",1/(1+$G$84)^O51,1/(1+$G$84)^O50)</f>
        <v>0.855531142611532</v>
      </c>
      <c r="P52" s="760">
        <f ca="1">IF($G$83="Yes",1/(1+$G$84)^P51,1/(1+$G$84)^P50)</f>
        <v>0.78552714535545</v>
      </c>
      <c r="Q52" s="760">
        <f ca="1">IF($G$83="Yes",1/(1+$G$84)^Q51,1/(1+$G$84)^Q50)</f>
        <v>0.721251238390588</v>
      </c>
      <c r="R52" s="760">
        <f ca="1">IF($G$83="Yes",1/(1+$G$84)^R51,1/(1+$G$84)^R50)</f>
        <v>0.6622347196474867</v>
      </c>
      <c r="S52" s="16"/>
      <c r="T52" s="16"/>
      <c r="U52" s="16"/>
      <c r="V52" s="16"/>
      <c r="W52" s="16"/>
      <c r="X52" s="16"/>
      <c r="Y52" s="16"/>
      <c r="Z52" s="16"/>
      <c r="AA52" s="16"/>
      <c r="AB52" s="16"/>
    </row>
    <row r="53" ht="13.5" customHeight="1" spans="1:28" x14ac:dyDescent="0.25">
      <c r="A53" s="16"/>
      <c r="B53" s="16"/>
      <c r="C53" s="16"/>
      <c r="D53" s="16"/>
      <c r="E53" s="16"/>
      <c r="F53" s="16"/>
      <c r="G53" s="16"/>
      <c r="H53" s="16"/>
      <c r="I53" s="16"/>
      <c r="J53" s="742"/>
      <c r="K53" s="743"/>
      <c r="L53" s="743"/>
      <c r="M53" s="744"/>
      <c r="N53" s="16"/>
      <c r="O53" s="16"/>
      <c r="P53" s="16"/>
      <c r="Q53" s="16"/>
      <c r="R53" s="16"/>
      <c r="S53" s="16"/>
      <c r="T53" s="16"/>
      <c r="U53" s="16"/>
      <c r="V53" s="16"/>
      <c r="W53" s="16"/>
      <c r="X53" s="16"/>
      <c r="Y53" s="16"/>
      <c r="Z53" s="16"/>
      <c r="AA53" s="16"/>
      <c r="AB53" s="16"/>
    </row>
    <row r="54" ht="13.5" customHeight="1" spans="1:28" x14ac:dyDescent="0.25">
      <c r="A54" s="16"/>
      <c r="B54" s="386"/>
      <c r="C54" s="100" t="s">
        <v>827</v>
      </c>
      <c r="D54" s="100"/>
      <c r="E54" s="100"/>
      <c r="F54" s="100"/>
      <c r="G54" s="100"/>
      <c r="H54" s="100"/>
      <c r="I54" s="100"/>
      <c r="J54" s="757"/>
      <c r="K54" s="758"/>
      <c r="L54" s="758"/>
      <c r="M54" s="759"/>
      <c r="N54" s="389">
        <f ca="1">N48*N52</f>
        <v>25417.04916736526</v>
      </c>
      <c r="O54" s="389">
        <f ca="1">O48*O52</f>
        <v>-8219.79561747004</v>
      </c>
      <c r="P54" s="389">
        <f ca="1">P48*P52</f>
        <v>-5552.656617491882</v>
      </c>
      <c r="Q54" s="389">
        <f ca="1">Q48*Q52</f>
        <v>-5245.6245805676945</v>
      </c>
      <c r="R54" s="407">
        <f ca="1">R48*R52</f>
        <v>-4472.527825556657</v>
      </c>
      <c r="S54" s="16"/>
      <c r="T54" s="16"/>
      <c r="U54" s="16"/>
      <c r="V54" s="16"/>
      <c r="W54" s="16"/>
      <c r="X54" s="16"/>
      <c r="Y54" s="16"/>
      <c r="Z54" s="16"/>
      <c r="AA54" s="16"/>
      <c r="AB54" s="16"/>
    </row>
    <row r="55" ht="13.5" customHeight="1" spans="1:28" x14ac:dyDescent="0.25">
      <c r="A55" s="16"/>
      <c r="B55" s="16"/>
      <c r="C55" s="120" t="s">
        <v>249</v>
      </c>
      <c r="D55" s="16"/>
      <c r="E55" s="16"/>
      <c r="F55" s="16"/>
      <c r="G55" s="16"/>
      <c r="H55" s="16"/>
      <c r="I55" s="16"/>
      <c r="J55" s="742"/>
      <c r="K55" s="743"/>
      <c r="L55" s="743"/>
      <c r="M55" s="744"/>
      <c r="N55" s="16"/>
      <c r="O55" s="464">
        <f ca="1">O54/N54-1</f>
        <v>-1.323396927918132</v>
      </c>
      <c r="P55" s="464">
        <f ca="1">P54/O54-1</f>
        <v>-0.3244775325446685</v>
      </c>
      <c r="Q55" s="464">
        <f ca="1">Q54/P54-1</f>
        <v>-0.0552946198684392</v>
      </c>
      <c r="R55" s="464">
        <f ca="1">R54/Q54-1</f>
        <v>-0.14737935266564017</v>
      </c>
      <c r="S55" s="16"/>
      <c r="T55" s="16"/>
      <c r="U55" s="16"/>
      <c r="V55" s="16"/>
      <c r="W55" s="16"/>
      <c r="X55" s="16" t="s">
        <v>828</v>
      </c>
      <c r="Y55" s="16"/>
      <c r="Z55" s="16"/>
      <c r="AA55" s="16"/>
      <c r="AB55" s="16"/>
    </row>
    <row r="56" ht="13.5" customHeight="1" spans="1:28" x14ac:dyDescent="0.25">
      <c r="A56" s="16"/>
      <c r="B56" s="16"/>
      <c r="C56" s="16"/>
      <c r="D56" s="16"/>
      <c r="E56" s="16"/>
      <c r="F56" s="16"/>
      <c r="G56" s="16"/>
      <c r="H56" s="16"/>
      <c r="I56" s="16"/>
      <c r="J56" s="16"/>
      <c r="K56" s="16"/>
      <c r="L56" s="16"/>
      <c r="M56" s="16"/>
      <c r="N56" s="16"/>
      <c r="O56" s="16"/>
      <c r="P56" s="16"/>
      <c r="Q56" s="16"/>
      <c r="R56" s="16"/>
      <c r="S56" s="16"/>
      <c r="T56" s="16"/>
      <c r="U56" s="16"/>
      <c r="V56" s="16"/>
      <c r="W56" s="16"/>
      <c r="X56" s="16"/>
      <c r="Y56" s="16"/>
      <c r="Z56" s="16"/>
      <c r="AA56" s="16"/>
      <c r="AB56" s="16"/>
    </row>
    <row r="57" ht="13.5" customHeight="1" spans="1:28" x14ac:dyDescent="0.25">
      <c r="A57" s="16"/>
      <c r="B57" s="16"/>
      <c r="C57" s="16"/>
      <c r="D57" s="16"/>
      <c r="E57" s="16"/>
      <c r="F57" s="16"/>
      <c r="G57" s="92" t="s">
        <v>829</v>
      </c>
      <c r="H57" s="22"/>
      <c r="I57" s="22"/>
      <c r="J57" s="22"/>
      <c r="K57" s="7"/>
      <c r="L57" s="16"/>
      <c r="M57" s="16"/>
      <c r="N57" s="92" t="s">
        <v>830</v>
      </c>
      <c r="O57" s="22"/>
      <c r="P57" s="22"/>
      <c r="Q57" s="22"/>
      <c r="R57" s="7"/>
      <c r="S57" s="16"/>
      <c r="T57" s="16"/>
      <c r="U57" s="16"/>
      <c r="V57" s="16"/>
      <c r="W57" s="16"/>
      <c r="X57" s="92" t="s">
        <v>829</v>
      </c>
      <c r="Y57" s="22"/>
      <c r="Z57" s="22"/>
      <c r="AA57" s="22"/>
      <c r="AB57" s="7"/>
    </row>
    <row r="58" ht="4.5" customHeight="1" spans="1:28" x14ac:dyDescent="0.25">
      <c r="A58" s="16"/>
      <c r="B58" s="16"/>
      <c r="C58" s="16"/>
      <c r="D58" s="16"/>
      <c r="E58" s="16"/>
      <c r="F58" s="16"/>
      <c r="G58" s="190"/>
      <c r="H58" s="132"/>
      <c r="I58" s="132"/>
      <c r="J58" s="132"/>
      <c r="K58" s="283"/>
      <c r="L58" s="16"/>
      <c r="M58" s="16"/>
      <c r="N58" s="190"/>
      <c r="O58" s="132"/>
      <c r="P58" s="132"/>
      <c r="Q58" s="132"/>
      <c r="R58" s="283"/>
      <c r="S58" s="16"/>
      <c r="T58" s="16"/>
      <c r="U58" s="16"/>
      <c r="V58" s="16"/>
      <c r="W58" s="189"/>
      <c r="X58" s="132"/>
      <c r="Y58" s="132"/>
      <c r="Z58" s="132"/>
      <c r="AA58" s="132"/>
      <c r="AB58" s="283"/>
    </row>
    <row r="59" ht="13.5" customHeight="1" spans="1:28" x14ac:dyDescent="0.25">
      <c r="A59" s="16"/>
      <c r="B59" s="16"/>
      <c r="C59" s="16"/>
      <c r="D59" s="16"/>
      <c r="E59" s="16"/>
      <c r="F59" s="189"/>
      <c r="G59" s="16" t="s">
        <v>831</v>
      </c>
      <c r="H59" s="16"/>
      <c r="I59" s="16"/>
      <c r="J59" s="16"/>
      <c r="K59" s="761">
        <f ca="1">R32</f>
        <v>-7147.402029293433</v>
      </c>
      <c r="L59" s="16"/>
      <c r="M59" s="16"/>
      <c r="N59" s="188" t="s">
        <v>832</v>
      </c>
      <c r="O59" s="16"/>
      <c r="P59" s="16"/>
      <c r="Q59" s="16"/>
      <c r="R59" s="762">
        <f ca="1">R48</f>
        <v>-6753.689730942259</v>
      </c>
      <c r="S59" s="16"/>
      <c r="T59" s="16"/>
      <c r="U59" s="16"/>
      <c r="V59" s="16"/>
      <c r="W59" s="189"/>
      <c r="X59" s="16" t="s">
        <v>831</v>
      </c>
      <c r="Y59" s="16"/>
      <c r="Z59" s="16"/>
      <c r="AA59" s="16"/>
      <c r="AB59" s="761">
        <f ca="1">R32</f>
        <v>-7147.402029293433</v>
      </c>
    </row>
    <row r="60" ht="15" customHeight="1" spans="1:28" x14ac:dyDescent="0.25">
      <c r="A60" s="16"/>
      <c r="B60" s="16"/>
      <c r="C60" s="16"/>
      <c r="D60" s="16"/>
      <c r="E60" s="16"/>
      <c r="F60" s="189"/>
      <c r="G60" s="16" t="s">
        <v>833</v>
      </c>
      <c r="H60" s="16"/>
      <c r="I60" s="16"/>
      <c r="J60" s="16"/>
      <c r="K60" s="763">
        <f ca="1">IF(Case_Scenario="Bear",Valuation!J84,IF(Case_Scenario="Base",Valuation!J85,IF(Case_Scenario="Bull",Valuation!J86,"Error")))</f>
        <v>13</v>
      </c>
      <c r="L60" s="16"/>
      <c r="M60" s="16"/>
      <c r="N60" s="188" t="s">
        <v>834</v>
      </c>
      <c r="O60" s="16"/>
      <c r="P60" s="16"/>
      <c r="Q60" s="16"/>
      <c r="R60" s="764">
        <f ca="1">G86</f>
        <v>0.02</v>
      </c>
      <c r="S60" s="16"/>
      <c r="T60" s="16"/>
      <c r="U60" s="16"/>
      <c r="V60" s="16"/>
      <c r="W60" s="189"/>
      <c r="X60" s="16" t="s">
        <v>833</v>
      </c>
      <c r="Y60" s="16"/>
      <c r="Z60" s="16"/>
      <c r="AA60" s="16"/>
      <c r="AB60" s="763">
        <f ca="1">_xludf.IFS(Case_Scenario="Base",Valuation!J85,Case_Scenario="Bull",Valuation!J86,Case_Scenario="Bear",Valuation!J84)</f>
      </c>
    </row>
    <row r="61" ht="13.5" customHeight="1" spans="1:28" x14ac:dyDescent="0.25">
      <c r="A61" s="16"/>
      <c r="B61" s="16"/>
      <c r="C61" s="16"/>
      <c r="D61" s="16"/>
      <c r="E61" s="16"/>
      <c r="F61" s="189"/>
      <c r="G61" s="16" t="s">
        <v>835</v>
      </c>
      <c r="H61" s="16"/>
      <c r="I61" s="16"/>
      <c r="J61" s="16"/>
      <c r="K61" s="765">
        <f ca="1">K59*K60</f>
        <v>-92916.22638081462</v>
      </c>
      <c r="L61" s="16"/>
      <c r="M61" s="16"/>
      <c r="N61" s="188" t="s">
        <v>835</v>
      </c>
      <c r="O61" s="16"/>
      <c r="P61" s="16"/>
      <c r="Q61" s="16"/>
      <c r="R61" s="765">
        <f ca="1">(R59*(1+R60))/(Discount_Rate-R60)</f>
      </c>
      <c r="S61" s="16"/>
      <c r="T61" s="16"/>
      <c r="U61" s="16"/>
      <c r="V61" s="16"/>
      <c r="W61" s="189"/>
      <c r="X61" s="16" t="s">
        <v>835</v>
      </c>
      <c r="Y61" s="16"/>
      <c r="Z61" s="16"/>
      <c r="AA61" s="16"/>
      <c r="AB61" s="765">
        <f ca="1">AB59*AB60</f>
        <v>1e-12</v>
      </c>
    </row>
    <row r="62" ht="13.5" customHeight="1" spans="1:28" x14ac:dyDescent="0.25">
      <c r="A62" s="16"/>
      <c r="B62" s="16"/>
      <c r="C62" s="16"/>
      <c r="D62" s="16"/>
      <c r="E62" s="16"/>
      <c r="F62" s="189"/>
      <c r="G62" s="16" t="s">
        <v>836</v>
      </c>
      <c r="H62" s="16"/>
      <c r="I62" s="16"/>
      <c r="J62" s="16"/>
      <c r="K62" s="765">
        <f ca="1">K61*R52</f>
        <v>-61532.35112800118</v>
      </c>
      <c r="L62" s="16"/>
      <c r="M62" s="16"/>
      <c r="N62" s="188" t="s">
        <v>836</v>
      </c>
      <c r="O62" s="16"/>
      <c r="P62" s="16"/>
      <c r="Q62" s="16"/>
      <c r="R62" s="765">
        <f ca="1">R61*R52</f>
        <v>1e-12</v>
      </c>
      <c r="S62" s="16"/>
      <c r="T62" s="16"/>
      <c r="U62" s="16"/>
      <c r="V62" s="16"/>
      <c r="W62" s="189"/>
      <c r="X62" s="16" t="s">
        <v>836</v>
      </c>
      <c r="Y62" s="16"/>
      <c r="Z62" s="16"/>
      <c r="AA62" s="16"/>
      <c r="AB62" s="765">
        <f ca="1">AB61*R52</f>
        <v>1e-12</v>
      </c>
    </row>
    <row r="63" ht="13.5" customHeight="1" spans="1:28" x14ac:dyDescent="0.25">
      <c r="A63" s="16"/>
      <c r="B63" s="16"/>
      <c r="C63" s="16"/>
      <c r="D63" s="16"/>
      <c r="E63" s="16"/>
      <c r="F63" s="189"/>
      <c r="G63" s="16" t="s">
        <v>837</v>
      </c>
      <c r="H63" s="16"/>
      <c r="I63" s="16"/>
      <c r="J63" s="16"/>
      <c r="K63" s="765">
        <f ca="1">SUM(N54:R54)</f>
        <v>1926.4445262789877</v>
      </c>
      <c r="L63" s="16"/>
      <c r="M63" s="16"/>
      <c r="N63" s="188" t="s">
        <v>837</v>
      </c>
      <c r="O63" s="16"/>
      <c r="P63" s="16"/>
      <c r="Q63" s="16"/>
      <c r="R63" s="765">
        <f ca="1">SUM(N54:R54)</f>
        <v>1926.4445262789877</v>
      </c>
      <c r="S63" s="16"/>
      <c r="T63" s="16"/>
      <c r="U63" s="16"/>
      <c r="V63" s="16"/>
      <c r="W63" s="189"/>
      <c r="X63" s="16" t="s">
        <v>837</v>
      </c>
      <c r="Y63" s="16"/>
      <c r="Z63" s="16"/>
      <c r="AA63" s="16"/>
      <c r="AB63" s="765">
        <f ca="1">SUM(N54:R54)</f>
        <v>1926.4445262789877</v>
      </c>
    </row>
    <row r="64" ht="13.5" customHeight="1" spans="1:28" x14ac:dyDescent="0.25">
      <c r="A64" s="16"/>
      <c r="B64" s="16"/>
      <c r="C64" s="16"/>
      <c r="D64" s="16"/>
      <c r="E64" s="16"/>
      <c r="F64" s="189"/>
      <c r="G64" s="16"/>
      <c r="H64" s="16"/>
      <c r="I64" s="16"/>
      <c r="J64" s="16"/>
      <c r="K64" s="189"/>
      <c r="L64" s="16"/>
      <c r="M64" s="16"/>
      <c r="N64" s="188"/>
      <c r="O64" s="16"/>
      <c r="P64" s="16"/>
      <c r="Q64" s="16"/>
      <c r="R64" s="189"/>
      <c r="S64" s="16"/>
      <c r="T64" s="16"/>
      <c r="U64" s="16"/>
      <c r="V64" s="16"/>
      <c r="W64" s="189"/>
      <c r="X64" s="16"/>
      <c r="Y64" s="16"/>
      <c r="Z64" s="16"/>
      <c r="AA64" s="16"/>
      <c r="AB64" s="189"/>
    </row>
    <row r="65" ht="13.5" customHeight="1" spans="1:28" x14ac:dyDescent="0.25">
      <c r="A65" s="16"/>
      <c r="B65" s="16"/>
      <c r="C65" s="16"/>
      <c r="D65" s="16"/>
      <c r="E65" s="16"/>
      <c r="F65" s="189"/>
      <c r="G65" s="132" t="s">
        <v>13</v>
      </c>
      <c r="H65" s="132"/>
      <c r="I65" s="132"/>
      <c r="J65" s="132"/>
      <c r="K65" s="766">
        <f ca="1">K62+K63</f>
        <v>-59605.90660172219</v>
      </c>
      <c r="L65" s="16"/>
      <c r="M65" s="16"/>
      <c r="N65" s="190" t="s">
        <v>13</v>
      </c>
      <c r="O65" s="132"/>
      <c r="P65" s="132"/>
      <c r="Q65" s="132"/>
      <c r="R65" s="766">
        <f ca="1">R62+R63</f>
        <v>1926.4445262789877</v>
      </c>
      <c r="S65" s="16"/>
      <c r="T65" s="16"/>
      <c r="U65" s="16"/>
      <c r="V65" s="16"/>
      <c r="W65" s="189"/>
      <c r="X65" s="132" t="s">
        <v>13</v>
      </c>
      <c r="Y65" s="132"/>
      <c r="Z65" s="132"/>
      <c r="AA65" s="132"/>
      <c r="AB65" s="766">
        <f ca="1">AB62+AB63</f>
        <v>1926.4445262789877</v>
      </c>
    </row>
    <row r="66" ht="13.5" customHeight="1" spans="1:28" x14ac:dyDescent="0.25">
      <c r="A66" s="16"/>
      <c r="B66" s="16"/>
      <c r="C66" s="16"/>
      <c r="D66" s="16"/>
      <c r="E66" s="16"/>
      <c r="F66" s="189"/>
      <c r="G66" s="16" t="s">
        <v>838</v>
      </c>
      <c r="H66" s="16"/>
      <c r="I66" s="16"/>
      <c r="J66" s="16"/>
      <c r="K66" s="767">
        <f ca="1">IF(Last_FQR="1Q",Model!$U$120,IF(Last_FQR="2Q",Model!$V$120,IF(Last_FQR="3Q",Model!$W$120,Model!$X$120)))</f>
        <v>6255</v>
      </c>
      <c r="L66" s="16"/>
      <c r="M66" s="16"/>
      <c r="N66" s="188" t="s">
        <v>838</v>
      </c>
      <c r="O66" s="16"/>
      <c r="P66" s="16"/>
      <c r="Q66" s="16"/>
      <c r="R66" s="765">
        <f t="shared" ref="R66:R71" si="17" ca="1">K66</f>
        <v>6255</v>
      </c>
      <c r="S66" s="16"/>
      <c r="T66" s="16"/>
      <c r="U66" s="16"/>
      <c r="V66" s="16"/>
      <c r="W66" s="189"/>
      <c r="X66" s="16" t="s">
        <v>838</v>
      </c>
      <c r="Y66" s="16"/>
      <c r="Z66" s="16"/>
      <c r="AA66" s="16"/>
      <c r="AB66" s="767">
        <f ca="1">Model!$V$120</f>
        <v>6255</v>
      </c>
    </row>
    <row r="67" ht="13.5" customHeight="1" spans="1:28" x14ac:dyDescent="0.25">
      <c r="A67" s="16"/>
      <c r="B67" s="16"/>
      <c r="C67" s="16"/>
      <c r="D67" s="16"/>
      <c r="E67" s="16"/>
      <c r="F67" s="189"/>
      <c r="G67" s="16" t="s">
        <v>839</v>
      </c>
      <c r="H67" s="16"/>
      <c r="I67" s="16"/>
      <c r="J67" s="16"/>
      <c r="K67" s="767">
        <f ca="1">WACC!$M$8</f>
        <v>1e-12</v>
      </c>
      <c r="L67" s="16"/>
      <c r="M67" s="16"/>
      <c r="N67" s="188" t="s">
        <v>839</v>
      </c>
      <c r="O67" s="16"/>
      <c r="P67" s="16"/>
      <c r="Q67" s="16"/>
      <c r="R67" s="765">
        <f ca="1">K67</f>
        <v>1e-12</v>
      </c>
      <c r="S67" s="16"/>
      <c r="T67" s="16"/>
      <c r="U67" s="16"/>
      <c r="V67" s="16"/>
      <c r="W67" s="189"/>
      <c r="X67" s="16" t="s">
        <v>839</v>
      </c>
      <c r="Y67" s="16"/>
      <c r="Z67" s="16"/>
      <c r="AA67" s="16"/>
      <c r="AB67" s="767">
        <f ca="1">WACC!$M$8</f>
        <v>1e-12</v>
      </c>
    </row>
    <row r="68" ht="13.5" customHeight="1" spans="1:28" x14ac:dyDescent="0.25">
      <c r="A68" s="16"/>
      <c r="B68" s="16"/>
      <c r="C68" s="16"/>
      <c r="D68" s="16"/>
      <c r="E68" s="16"/>
      <c r="F68" s="189"/>
      <c r="G68" s="16" t="s">
        <v>840</v>
      </c>
      <c r="H68" s="16"/>
      <c r="I68" s="16"/>
      <c r="J68" s="16"/>
      <c r="K68" s="767">
        <f ca="1">-IF(Last_FQR="1Q",Model!$U$139+Model!$U$140,IF(Last_FQR="2Q",Model!$V$139+Model!$V$140,IF(Last_FQR="3Q",Model!$W$139+Model!$W$140,Model!$X$139+Model!$X$140)))</f>
        <v>-23311</v>
      </c>
      <c r="L68" s="16"/>
      <c r="M68" s="16"/>
      <c r="N68" s="188" t="s">
        <v>840</v>
      </c>
      <c r="O68" s="16"/>
      <c r="P68" s="16"/>
      <c r="Q68" s="16"/>
      <c r="R68" s="765">
        <f ca="1">K68</f>
        <v>-23311</v>
      </c>
      <c r="S68" s="16"/>
      <c r="T68" s="16"/>
      <c r="U68" s="16"/>
      <c r="V68" s="16"/>
      <c r="W68" s="189"/>
      <c r="X68" s="16" t="s">
        <v>840</v>
      </c>
      <c r="Y68" s="16"/>
      <c r="Z68" s="16"/>
      <c r="AA68" s="16"/>
      <c r="AB68" s="767">
        <f ca="1">-(Model!$V$139+Model!$V$140)</f>
        <v>-23311</v>
      </c>
    </row>
    <row r="69" ht="13.5" customHeight="1" spans="1:28" x14ac:dyDescent="0.25">
      <c r="A69" s="16"/>
      <c r="B69" s="16"/>
      <c r="C69" s="16"/>
      <c r="D69" s="16"/>
      <c r="E69" s="16"/>
      <c r="F69" s="189"/>
      <c r="G69" s="16" t="s">
        <v>841</v>
      </c>
      <c r="H69" s="16"/>
      <c r="I69" s="16"/>
      <c r="J69" s="16"/>
      <c r="K69" s="768">
        <v>0</v>
      </c>
      <c r="L69" s="16"/>
      <c r="M69" s="16"/>
      <c r="N69" s="188" t="s">
        <v>841</v>
      </c>
      <c r="O69" s="16"/>
      <c r="P69" s="16"/>
      <c r="Q69" s="16"/>
      <c r="R69" s="765">
        <f ca="1">K69</f>
        <v>1e-12</v>
      </c>
      <c r="S69" s="16"/>
      <c r="T69" s="16"/>
      <c r="U69" s="16"/>
      <c r="V69" s="16"/>
      <c r="W69" s="189"/>
      <c r="X69" s="16" t="s">
        <v>841</v>
      </c>
      <c r="Y69" s="16"/>
      <c r="Z69" s="16"/>
      <c r="AA69" s="16"/>
      <c r="AB69" s="768">
        <v>0</v>
      </c>
    </row>
    <row r="70" ht="13.5" customHeight="1" spans="1:28" x14ac:dyDescent="0.25">
      <c r="A70" s="16"/>
      <c r="B70" s="16"/>
      <c r="C70" s="16"/>
      <c r="D70" s="16"/>
      <c r="E70" s="16"/>
      <c r="F70" s="189"/>
      <c r="G70" s="16" t="s">
        <v>842</v>
      </c>
      <c r="H70" s="16"/>
      <c r="I70" s="16"/>
      <c r="J70" s="16"/>
      <c r="K70" s="767">
        <f ca="1">-IF(Last_FQR="1Q",Model!$U$153,IF(Last_FQR="2Q",Model!$V$153,IF(Last_FQR="3Q",Model!$W$153,Model!$X$153)))</f>
        <v>0</v>
      </c>
      <c r="L70" s="16"/>
      <c r="M70" s="16"/>
      <c r="N70" s="188" t="s">
        <v>842</v>
      </c>
      <c r="O70" s="16"/>
      <c r="P70" s="16"/>
      <c r="Q70" s="16"/>
      <c r="R70" s="765">
        <f ca="1">K70</f>
        <v>1e-12</v>
      </c>
      <c r="S70" s="16"/>
      <c r="T70" s="16"/>
      <c r="U70" s="16"/>
      <c r="V70" s="16"/>
      <c r="W70" s="189"/>
      <c r="X70" s="16" t="s">
        <v>842</v>
      </c>
      <c r="Y70" s="16"/>
      <c r="Z70" s="16"/>
      <c r="AA70" s="16"/>
      <c r="AB70" s="767">
        <f ca="1">-Model!$V$153</f>
        <v>1e-12</v>
      </c>
    </row>
    <row r="71" ht="13.5" customHeight="1" spans="1:28" x14ac:dyDescent="0.25">
      <c r="A71" s="16"/>
      <c r="B71" s="16"/>
      <c r="C71" s="16"/>
      <c r="D71" s="16"/>
      <c r="E71" s="16"/>
      <c r="F71" s="189"/>
      <c r="G71" s="16" t="s">
        <v>843</v>
      </c>
      <c r="H71" s="16"/>
      <c r="I71" s="16"/>
      <c r="J71" s="16"/>
      <c r="K71" s="768">
        <v>0</v>
      </c>
      <c r="L71" s="16"/>
      <c r="M71" s="16"/>
      <c r="N71" s="188" t="s">
        <v>843</v>
      </c>
      <c r="O71" s="16"/>
      <c r="P71" s="16"/>
      <c r="Q71" s="16"/>
      <c r="R71" s="765">
        <f ca="1">K71</f>
        <v>1e-12</v>
      </c>
      <c r="S71" s="16"/>
      <c r="T71" s="16"/>
      <c r="U71" s="16"/>
      <c r="V71" s="16"/>
      <c r="W71" s="189"/>
      <c r="X71" s="16" t="s">
        <v>843</v>
      </c>
      <c r="Y71" s="16"/>
      <c r="Z71" s="16"/>
      <c r="AA71" s="16"/>
      <c r="AB71" s="768">
        <v>0</v>
      </c>
    </row>
    <row r="72" ht="13.5" customHeight="1" spans="1:28" x14ac:dyDescent="0.25">
      <c r="A72" s="16"/>
      <c r="B72" s="16"/>
      <c r="C72" s="16"/>
      <c r="D72" s="16"/>
      <c r="E72" s="16"/>
      <c r="F72" s="189"/>
      <c r="G72" s="132" t="s">
        <v>16</v>
      </c>
      <c r="H72" s="132"/>
      <c r="I72" s="132"/>
      <c r="J72" s="132"/>
      <c r="K72" s="766">
        <f ca="1">SUM(K65:K71)</f>
        <v>-76661.90660172219</v>
      </c>
      <c r="L72" s="16"/>
      <c r="M72" s="16"/>
      <c r="N72" s="190" t="s">
        <v>16</v>
      </c>
      <c r="O72" s="132"/>
      <c r="P72" s="132"/>
      <c r="Q72" s="132"/>
      <c r="R72" s="766">
        <f ca="1">SUM(R65:R71)</f>
        <v>-15129.555473721011</v>
      </c>
      <c r="S72" s="16"/>
      <c r="T72" s="16"/>
      <c r="U72" s="16"/>
      <c r="V72" s="16"/>
      <c r="W72" s="189"/>
      <c r="X72" s="132" t="s">
        <v>16</v>
      </c>
      <c r="Y72" s="132"/>
      <c r="Z72" s="132"/>
      <c r="AA72" s="132"/>
      <c r="AB72" s="766">
        <f ca="1">SUM(AB65:AB71)</f>
        <v>50251.44452627899</v>
      </c>
    </row>
    <row r="73" ht="13.5" customHeight="1" spans="1:28" x14ac:dyDescent="0.25">
      <c r="A73" s="16"/>
      <c r="B73" s="16"/>
      <c r="C73" s="16"/>
      <c r="D73" s="16"/>
      <c r="E73" s="16"/>
      <c r="F73" s="189"/>
      <c r="G73" s="16"/>
      <c r="H73" s="16"/>
      <c r="I73" s="16"/>
      <c r="J73" s="16"/>
      <c r="K73" s="189"/>
      <c r="L73" s="16"/>
      <c r="M73" s="16"/>
      <c r="N73" s="188"/>
      <c r="O73" s="16"/>
      <c r="P73" s="16"/>
      <c r="Q73" s="16"/>
      <c r="R73" s="189"/>
      <c r="S73" s="16"/>
      <c r="T73" s="16"/>
      <c r="U73" s="16"/>
      <c r="V73" s="16"/>
      <c r="W73" s="189"/>
      <c r="X73" s="16"/>
      <c r="Y73" s="16"/>
      <c r="Z73" s="16"/>
      <c r="AA73" s="16"/>
      <c r="AB73" s="189"/>
    </row>
    <row r="74" ht="13.5" customHeight="1" spans="1:28" x14ac:dyDescent="0.25">
      <c r="A74" s="16"/>
      <c r="B74" s="16"/>
      <c r="C74" s="16"/>
      <c r="D74" s="16"/>
      <c r="E74" s="16"/>
      <c r="F74" s="189"/>
      <c r="G74" s="16" t="s">
        <v>844</v>
      </c>
      <c r="H74" s="16"/>
      <c r="I74" s="16"/>
      <c r="J74" s="16"/>
      <c r="K74" s="769">
        <f ca="1">Diluted_Shares</f>
        <v>707</v>
      </c>
      <c r="L74" s="16"/>
      <c r="M74" s="16"/>
      <c r="N74" s="188" t="s">
        <v>844</v>
      </c>
      <c r="O74" s="16"/>
      <c r="P74" s="16"/>
      <c r="Q74" s="16"/>
      <c r="R74" s="770">
        <f ca="1">K74</f>
        <v>707</v>
      </c>
      <c r="S74" s="16"/>
      <c r="T74" s="16"/>
      <c r="U74" s="16"/>
      <c r="V74" s="16"/>
      <c r="W74" s="189"/>
      <c r="X74" s="16" t="s">
        <v>844</v>
      </c>
      <c r="Y74" s="16"/>
      <c r="Z74" s="16"/>
      <c r="AA74" s="16"/>
      <c r="AB74" s="769">
        <f ca="1">Diluted_Shares</f>
        <v>707</v>
      </c>
    </row>
    <row r="75" ht="13.5" customHeight="1" spans="1:28" x14ac:dyDescent="0.25">
      <c r="A75" s="16"/>
      <c r="B75" s="16"/>
      <c r="C75" s="16"/>
      <c r="D75" s="16"/>
      <c r="E75" s="16"/>
      <c r="F75" s="16"/>
      <c r="G75" s="188"/>
      <c r="H75" s="16"/>
      <c r="I75" s="16"/>
      <c r="J75" s="16"/>
      <c r="K75" s="189"/>
      <c r="L75" s="16"/>
      <c r="M75" s="16"/>
      <c r="N75" s="188"/>
      <c r="O75" s="16"/>
      <c r="P75" s="16"/>
      <c r="Q75" s="16"/>
      <c r="R75" s="189"/>
      <c r="S75" s="16"/>
      <c r="T75" s="16"/>
      <c r="U75" s="16"/>
      <c r="V75" s="16"/>
      <c r="W75" s="189"/>
      <c r="X75" s="16"/>
      <c r="Y75" s="16"/>
      <c r="Z75" s="16"/>
      <c r="AA75" s="16"/>
      <c r="AB75" s="189"/>
    </row>
    <row r="76" ht="13.5" customHeight="1" spans="1:28" x14ac:dyDescent="0.25">
      <c r="A76" s="16"/>
      <c r="B76" s="16"/>
      <c r="C76" s="16"/>
      <c r="D76" s="16"/>
      <c r="E76" s="16"/>
      <c r="F76" s="16"/>
      <c r="G76" s="190" t="s">
        <v>18</v>
      </c>
      <c r="H76" s="132"/>
      <c r="I76" s="132"/>
      <c r="J76" s="132"/>
      <c r="K76" s="771">
        <f ca="1">K72/K74</f>
        <v>-108.43268260498188</v>
      </c>
      <c r="L76" s="16"/>
      <c r="M76" s="16"/>
      <c r="N76" s="190" t="s">
        <v>18</v>
      </c>
      <c r="O76" s="132"/>
      <c r="P76" s="132"/>
      <c r="Q76" s="132"/>
      <c r="R76" s="771">
        <f ca="1">R72/R74</f>
        <v>-21.3996541353904</v>
      </c>
      <c r="S76" s="16"/>
      <c r="T76" s="16"/>
      <c r="U76" s="16"/>
      <c r="V76" s="16"/>
      <c r="W76" s="189"/>
      <c r="X76" s="132" t="s">
        <v>18</v>
      </c>
      <c r="Y76" s="132"/>
      <c r="Z76" s="132"/>
      <c r="AA76" s="132"/>
      <c r="AB76" s="771">
        <f ca="1">AB72/AB74</f>
        <v>71.07700781651909</v>
      </c>
    </row>
    <row r="77" ht="13.5" customHeight="1" spans="1:28" x14ac:dyDescent="0.25">
      <c r="A77" s="16"/>
      <c r="B77" s="16"/>
      <c r="C77" s="16"/>
      <c r="D77" s="16"/>
      <c r="E77" s="16"/>
      <c r="F77" s="16"/>
      <c r="G77" s="772" t="s">
        <v>15</v>
      </c>
      <c r="H77" s="131"/>
      <c r="I77" s="131"/>
      <c r="J77" s="131"/>
      <c r="K77" s="773">
        <f ca="1">K76/Share_Price-1</f>
      </c>
      <c r="L77" s="16"/>
      <c r="M77" s="16"/>
      <c r="N77" s="772" t="s">
        <v>15</v>
      </c>
      <c r="O77" s="131"/>
      <c r="P77" s="131"/>
      <c r="Q77" s="131"/>
      <c r="R77" s="773">
        <f ca="1">R76/Share_Price-1</f>
      </c>
      <c r="S77" s="16"/>
      <c r="T77" s="16"/>
      <c r="U77" s="16"/>
      <c r="V77" s="16"/>
      <c r="W77" s="16"/>
      <c r="X77" s="772" t="s">
        <v>15</v>
      </c>
      <c r="Y77" s="131"/>
      <c r="Z77" s="131"/>
      <c r="AA77" s="131"/>
      <c r="AB77" s="773">
        <f ca="1">AB76/Share_Price-1</f>
      </c>
    </row>
    <row r="78" ht="13.5" customHeight="1" spans="1:28" x14ac:dyDescent="0.25">
      <c r="A78" s="16"/>
      <c r="B78" s="16"/>
      <c r="C78" s="16"/>
      <c r="D78" s="16"/>
      <c r="E78" s="16"/>
      <c r="F78" s="16"/>
      <c r="G78" s="16"/>
      <c r="H78" s="16"/>
      <c r="I78" s="16"/>
      <c r="J78" s="16"/>
      <c r="K78" s="16"/>
      <c r="L78" s="16"/>
      <c r="M78" s="16"/>
      <c r="N78" s="16"/>
      <c r="O78" s="16"/>
      <c r="P78" s="16"/>
      <c r="Q78" s="16"/>
      <c r="R78" s="16"/>
      <c r="S78" s="16"/>
      <c r="T78" s="16"/>
      <c r="U78" s="16"/>
      <c r="V78" s="16"/>
      <c r="W78" s="16"/>
      <c r="X78" s="16"/>
      <c r="Y78" s="16"/>
      <c r="Z78" s="16"/>
      <c r="AA78" s="16"/>
      <c r="AB78" s="16"/>
    </row>
    <row r="79" ht="13.5" customHeight="1" spans="1:28" x14ac:dyDescent="0.25">
      <c r="A79" s="16"/>
      <c r="B79" s="16"/>
      <c r="C79" s="16"/>
      <c r="D79" s="16"/>
      <c r="E79" s="16"/>
      <c r="F79" s="16"/>
      <c r="G79" s="16" t="s">
        <v>845</v>
      </c>
      <c r="H79" s="16"/>
      <c r="I79" s="16"/>
      <c r="J79" s="16"/>
      <c r="K79" s="774">
        <f ca="1">R61/K59</f>
        <v>1e-12</v>
      </c>
      <c r="L79" s="16"/>
      <c r="M79" s="16"/>
      <c r="N79" s="16" t="s">
        <v>846</v>
      </c>
      <c r="O79" s="16"/>
      <c r="P79" s="16"/>
      <c r="Q79" s="16"/>
      <c r="R79" s="775">
        <f ca="1">(K61*Discount_Rate-R59)/(R59+K61)</f>
      </c>
      <c r="S79" s="16"/>
      <c r="T79" s="16"/>
      <c r="U79" s="16"/>
      <c r="V79" s="16"/>
      <c r="W79" s="16"/>
      <c r="X79" s="16" t="s">
        <v>845</v>
      </c>
      <c r="Y79" s="16"/>
      <c r="Z79" s="16"/>
      <c r="AA79" s="16"/>
      <c r="AB79" s="774">
        <f ca="1">R61/AB59</f>
        <v>1e-12</v>
      </c>
    </row>
    <row r="80" ht="13.5" customHeight="1" spans="1:28" x14ac:dyDescent="0.25">
      <c r="A80" s="16"/>
      <c r="B80" s="16"/>
      <c r="C80" s="16"/>
      <c r="D80" s="16"/>
      <c r="E80" s="16"/>
      <c r="F80" s="16"/>
      <c r="G80" s="16"/>
      <c r="H80" s="16"/>
      <c r="I80" s="16"/>
      <c r="J80" s="16"/>
      <c r="K80" s="16"/>
      <c r="L80" s="16"/>
      <c r="M80" s="16"/>
      <c r="N80" s="16"/>
      <c r="O80" s="16"/>
      <c r="P80" s="16"/>
      <c r="Q80" s="16"/>
      <c r="R80" s="16"/>
      <c r="S80" s="16"/>
      <c r="T80" s="16"/>
      <c r="U80" s="16"/>
      <c r="V80" s="16"/>
      <c r="W80" s="16"/>
      <c r="X80" s="16"/>
      <c r="Y80" s="16"/>
      <c r="Z80" s="16"/>
      <c r="AA80" s="16"/>
      <c r="AB80" s="16"/>
    </row>
    <row r="81" ht="13.5" customHeight="1" spans="1:28" x14ac:dyDescent="0.25">
      <c r="A81" s="264" t="s">
        <v>1</v>
      </c>
      <c r="B81" s="16"/>
      <c r="C81" s="700" t="s">
        <v>46</v>
      </c>
      <c r="D81" s="22"/>
      <c r="E81" s="22"/>
      <c r="F81" s="22"/>
      <c r="G81" s="22"/>
      <c r="H81" s="22"/>
      <c r="I81" s="22"/>
      <c r="J81" s="22"/>
      <c r="K81" s="22"/>
      <c r="L81" s="22"/>
      <c r="M81" s="22"/>
      <c r="N81" s="22"/>
      <c r="O81" s="22"/>
      <c r="P81" s="22"/>
      <c r="Q81" s="22"/>
      <c r="R81" s="7"/>
      <c r="S81" s="264" t="s">
        <v>1</v>
      </c>
      <c r="T81" s="16"/>
      <c r="U81" s="16"/>
      <c r="V81" s="16"/>
      <c r="W81" s="16"/>
      <c r="X81" s="16"/>
      <c r="Y81" s="16"/>
      <c r="Z81" s="16"/>
      <c r="AA81" s="16"/>
      <c r="AB81" s="16"/>
    </row>
    <row r="82" ht="4.5" customHeight="1" spans="1:28" x14ac:dyDescent="0.25">
      <c r="A82" s="16"/>
      <c r="B82" s="16"/>
      <c r="C82" s="16"/>
      <c r="D82" s="16"/>
      <c r="E82" s="16"/>
      <c r="F82" s="16"/>
      <c r="G82" s="16"/>
      <c r="H82" s="16"/>
      <c r="I82" s="16"/>
      <c r="J82" s="16"/>
      <c r="K82" s="16"/>
      <c r="L82" s="16"/>
      <c r="M82" s="16"/>
      <c r="N82" s="16"/>
      <c r="O82" s="16"/>
      <c r="P82" s="16"/>
      <c r="Q82" s="16"/>
      <c r="R82" s="16"/>
      <c r="S82" s="16"/>
      <c r="T82" s="16"/>
      <c r="U82" s="16"/>
      <c r="V82" s="16"/>
      <c r="W82" s="16"/>
      <c r="X82" s="16"/>
      <c r="Y82" s="16"/>
      <c r="Z82" s="16"/>
      <c r="AA82" s="16"/>
      <c r="AB82" s="16"/>
    </row>
    <row r="83" ht="13.5" customHeight="1" spans="1:28" x14ac:dyDescent="0.25">
      <c r="A83" s="16"/>
      <c r="B83" s="16"/>
      <c r="C83" s="139" t="s">
        <v>825</v>
      </c>
      <c r="D83" s="16"/>
      <c r="E83" s="16"/>
      <c r="F83" s="16"/>
      <c r="G83" s="42" t="s">
        <v>847</v>
      </c>
      <c r="H83" s="16"/>
      <c r="I83" s="210" t="s">
        <v>148</v>
      </c>
      <c r="J83" s="776"/>
      <c r="K83" s="16"/>
      <c r="L83" s="16"/>
      <c r="M83" s="16"/>
      <c r="N83" s="16"/>
      <c r="O83" s="16"/>
      <c r="P83" s="16"/>
      <c r="Q83" s="16"/>
      <c r="R83" s="16"/>
      <c r="S83" s="16"/>
      <c r="T83" s="16"/>
      <c r="U83" s="16"/>
      <c r="V83" s="16"/>
      <c r="W83" s="16"/>
      <c r="X83" s="16"/>
      <c r="Y83" s="16"/>
      <c r="Z83" s="16"/>
      <c r="AA83" s="16"/>
      <c r="AB83" s="16"/>
    </row>
    <row r="84" ht="13.5" customHeight="1" spans="1:28" x14ac:dyDescent="0.25">
      <c r="A84" s="16"/>
      <c r="B84" s="16"/>
      <c r="C84" s="16" t="s">
        <v>848</v>
      </c>
      <c r="D84" s="16"/>
      <c r="E84" s="16"/>
      <c r="F84" s="16"/>
      <c r="G84" s="777">
        <f ca="1">Discount_Rate</f>
        <v>0.08911722232642302</v>
      </c>
      <c r="H84" s="16"/>
      <c r="I84" s="16" t="s">
        <v>849</v>
      </c>
      <c r="J84" s="778">
        <v>8.5</v>
      </c>
      <c r="K84" s="16"/>
      <c r="L84" s="16"/>
      <c r="M84" s="16"/>
      <c r="N84" s="16"/>
      <c r="O84" s="16"/>
      <c r="P84" s="16"/>
      <c r="Q84" s="16"/>
      <c r="R84" s="16"/>
      <c r="S84" s="16"/>
      <c r="T84" s="16"/>
      <c r="U84" s="16"/>
      <c r="V84" s="16"/>
      <c r="W84" s="16"/>
      <c r="X84" s="16"/>
      <c r="Y84" s="16"/>
      <c r="Z84" s="16"/>
      <c r="AA84" s="16"/>
      <c r="AB84" s="16"/>
    </row>
    <row r="85" ht="13.5" customHeight="1" spans="1:28" x14ac:dyDescent="0.25">
      <c r="A85" s="16"/>
      <c r="B85" s="16"/>
      <c r="C85" s="16" t="s">
        <v>298</v>
      </c>
      <c r="D85" s="16"/>
      <c r="E85" s="16"/>
      <c r="F85" s="16"/>
      <c r="G85" s="779">
        <f ca="1">Tax_Rate</f>
        <v>0.2443665498247371</v>
      </c>
      <c r="H85" s="16"/>
      <c r="I85" s="16" t="s">
        <v>29</v>
      </c>
      <c r="J85" s="778">
        <v>13</v>
      </c>
      <c r="K85" s="16"/>
      <c r="L85" s="16"/>
      <c r="M85" s="16"/>
      <c r="N85" s="16"/>
      <c r="O85" s="16"/>
      <c r="P85" s="16"/>
      <c r="Q85" s="16"/>
      <c r="R85" s="16"/>
      <c r="S85" s="16"/>
      <c r="T85" s="16"/>
      <c r="U85" s="16"/>
      <c r="V85" s="16"/>
      <c r="W85" s="16"/>
      <c r="X85" s="16"/>
      <c r="Y85" s="16"/>
      <c r="Z85" s="16"/>
      <c r="AA85" s="16"/>
      <c r="AB85" s="16"/>
    </row>
    <row r="86" ht="13.5" customHeight="1" spans="1:28" x14ac:dyDescent="0.25">
      <c r="A86" s="16"/>
      <c r="B86" s="16"/>
      <c r="C86" s="16" t="s">
        <v>811</v>
      </c>
      <c r="D86" s="16"/>
      <c r="E86" s="16"/>
      <c r="F86" s="16"/>
      <c r="G86" s="780">
        <v>0.02</v>
      </c>
      <c r="H86" s="16"/>
      <c r="I86" s="16" t="s">
        <v>850</v>
      </c>
      <c r="J86" s="778">
        <v>14.5</v>
      </c>
      <c r="K86" s="16"/>
      <c r="L86" s="16"/>
      <c r="M86" s="16"/>
      <c r="N86" s="16"/>
      <c r="O86" s="16"/>
      <c r="P86" s="16"/>
      <c r="Q86" s="16"/>
      <c r="R86" s="16"/>
      <c r="S86" s="16"/>
      <c r="T86" s="16"/>
      <c r="U86" s="16"/>
      <c r="V86" s="16"/>
      <c r="W86" s="16"/>
      <c r="X86" s="16"/>
      <c r="Y86" s="16"/>
      <c r="Z86" s="16"/>
      <c r="AA86" s="16"/>
      <c r="AB86" s="16"/>
    </row>
    <row r="87" ht="13.5" customHeight="1" spans="1:28" x14ac:dyDescent="0.25">
      <c r="A87" s="16"/>
      <c r="B87" s="16"/>
      <c r="C87" s="16" t="s">
        <v>148</v>
      </c>
      <c r="D87" s="16"/>
      <c r="E87" s="16"/>
      <c r="F87" s="16"/>
      <c r="G87" s="778">
        <f ca="1">_xludf.IFS(Case_Scenario="Base",Valuation!J85,Case_Scenario="Bull",Valuation!J86,Case_Scenario="Bear",Valuation!J84)</f>
      </c>
      <c r="H87" s="16"/>
      <c r="I87" s="16"/>
      <c r="J87" s="778"/>
      <c r="K87" s="16"/>
      <c r="L87" s="16"/>
      <c r="M87" s="16"/>
      <c r="N87" s="16"/>
      <c r="O87" s="16"/>
      <c r="P87" s="16"/>
      <c r="Q87" s="16"/>
      <c r="R87" s="16"/>
      <c r="S87" s="16"/>
      <c r="T87" s="16"/>
      <c r="U87" s="16"/>
      <c r="V87" s="16"/>
      <c r="W87" s="16"/>
      <c r="X87" s="16"/>
      <c r="Y87" s="16"/>
      <c r="Z87" s="16"/>
      <c r="AA87" s="16"/>
      <c r="AB87" s="16"/>
    </row>
    <row r="88" ht="13.5" customHeight="1" spans="1:28" x14ac:dyDescent="0.25">
      <c r="A88" s="16"/>
      <c r="B88" s="16"/>
      <c r="C88" s="16"/>
      <c r="D88" s="16"/>
      <c r="E88" s="16"/>
      <c r="F88" s="16"/>
      <c r="G88" s="16"/>
      <c r="H88" s="16"/>
      <c r="I88" s="16"/>
      <c r="J88" s="16"/>
      <c r="K88" s="16"/>
      <c r="L88" s="16"/>
      <c r="M88" s="16"/>
      <c r="N88" s="16"/>
      <c r="O88" s="16"/>
      <c r="P88" s="16"/>
      <c r="Q88" s="16"/>
      <c r="R88" s="16"/>
      <c r="S88" s="16"/>
      <c r="T88" s="16"/>
      <c r="U88" s="16"/>
      <c r="V88" s="16"/>
      <c r="W88" s="16"/>
      <c r="X88" s="16"/>
      <c r="Y88" s="16"/>
      <c r="Z88" s="16"/>
      <c r="AA88" s="16"/>
      <c r="AB88" s="16"/>
    </row>
    <row r="89" ht="4.5" customHeight="1" spans="1:28" x14ac:dyDescent="0.25">
      <c r="A89" s="16"/>
      <c r="B89" s="16"/>
      <c r="C89" s="16"/>
      <c r="D89" s="16"/>
      <c r="E89" s="16"/>
      <c r="F89" s="16"/>
      <c r="G89" s="16"/>
      <c r="H89" s="16"/>
      <c r="I89" s="16"/>
      <c r="J89" s="16"/>
      <c r="K89" s="16"/>
      <c r="L89" s="16"/>
      <c r="M89" s="16"/>
      <c r="N89" s="16"/>
      <c r="O89" s="16"/>
      <c r="P89" s="16"/>
      <c r="Q89" s="16"/>
      <c r="R89" s="16"/>
      <c r="S89" s="16"/>
      <c r="T89" s="16"/>
      <c r="U89" s="16"/>
      <c r="V89" s="16"/>
      <c r="W89" s="16"/>
      <c r="X89" s="16"/>
      <c r="Y89" s="16"/>
      <c r="Z89" s="16"/>
      <c r="AA89" s="16"/>
      <c r="AB89" s="16"/>
    </row>
    <row r="90" ht="14.25" customHeight="1" spans="1:28" x14ac:dyDescent="0.25">
      <c r="A90" s="264" t="s">
        <v>1</v>
      </c>
      <c r="B90" s="16"/>
      <c r="C90" s="700" t="s">
        <v>851</v>
      </c>
      <c r="D90" s="22"/>
      <c r="E90" s="22"/>
      <c r="F90" s="22"/>
      <c r="G90" s="22"/>
      <c r="H90" s="22"/>
      <c r="I90" s="22"/>
      <c r="J90" s="22"/>
      <c r="K90" s="22"/>
      <c r="L90" s="22"/>
      <c r="M90" s="22"/>
      <c r="N90" s="22"/>
      <c r="O90" s="22"/>
      <c r="P90" s="22"/>
      <c r="Q90" s="22"/>
      <c r="R90" s="7"/>
      <c r="S90" s="264" t="s">
        <v>1</v>
      </c>
      <c r="T90" s="16"/>
      <c r="U90" s="16"/>
      <c r="V90" s="16"/>
      <c r="W90" s="16"/>
      <c r="X90" s="16"/>
      <c r="Y90" s="16"/>
      <c r="Z90" s="16"/>
      <c r="AA90" s="16"/>
      <c r="AB90" s="16"/>
    </row>
    <row r="91" ht="4.5" customHeight="1" spans="1:28" x14ac:dyDescent="0.25">
      <c r="A91" s="16"/>
      <c r="B91" s="16"/>
      <c r="C91" s="16"/>
      <c r="D91" s="16"/>
      <c r="E91" s="16"/>
      <c r="F91" s="16"/>
      <c r="G91" s="16"/>
      <c r="H91" s="16"/>
      <c r="I91" s="16"/>
      <c r="J91" s="16"/>
      <c r="K91" s="16"/>
      <c r="L91" s="16"/>
      <c r="M91" s="16"/>
      <c r="N91" s="16"/>
      <c r="O91" s="16"/>
      <c r="P91" s="16"/>
      <c r="Q91" s="16"/>
      <c r="R91" s="16"/>
      <c r="S91" s="16"/>
      <c r="T91" s="16"/>
      <c r="U91" s="16"/>
      <c r="V91" s="16"/>
      <c r="W91" s="16"/>
      <c r="X91" s="16"/>
      <c r="Y91" s="16"/>
      <c r="Z91" s="16"/>
      <c r="AA91" s="16"/>
      <c r="AB91" s="16"/>
    </row>
    <row r="92" ht="14.25" customHeight="1" spans="1:28" x14ac:dyDescent="0.25">
      <c r="A92" s="16"/>
      <c r="B92" s="16"/>
      <c r="C92" s="16" t="s">
        <v>852</v>
      </c>
      <c r="D92" s="16"/>
      <c r="E92" s="774">
        <f ca="1">J85</f>
        <v>13</v>
      </c>
      <c r="F92" s="667">
        <f ca="1">E92-H98</f>
        <v>1e-12</v>
      </c>
      <c r="G92" s="16"/>
      <c r="H92" s="16" t="s">
        <v>853</v>
      </c>
      <c r="I92" s="16"/>
      <c r="J92" s="781">
        <f ca="1">G86</f>
        <v>0.02</v>
      </c>
      <c r="K92" s="667">
        <f ca="1">J92-H106</f>
        <v>1e-12</v>
      </c>
      <c r="L92" s="16"/>
      <c r="M92" s="16" t="s">
        <v>854</v>
      </c>
      <c r="N92" s="16"/>
      <c r="O92" s="781">
        <f ca="1">G84</f>
        <v>0.08911722232642302</v>
      </c>
      <c r="P92" s="667">
        <f ca="1">O92-E101</f>
        <v>0.00024017932196848668</v>
      </c>
      <c r="Q92" s="16"/>
      <c r="R92" s="16"/>
      <c r="S92" s="16"/>
      <c r="T92" s="16"/>
      <c r="U92" s="16"/>
      <c r="V92" s="16"/>
      <c r="W92" s="16"/>
      <c r="X92" s="16"/>
      <c r="Y92" s="16"/>
      <c r="Z92" s="16"/>
      <c r="AA92" s="16"/>
      <c r="AB92" s="16"/>
    </row>
    <row r="93" ht="14.25" customHeight="1" spans="1:28" x14ac:dyDescent="0.25">
      <c r="A93" s="16"/>
      <c r="B93" s="16"/>
      <c r="C93" s="16" t="s">
        <v>855</v>
      </c>
      <c r="D93" s="16"/>
      <c r="E93" s="782">
        <v>1</v>
      </c>
      <c r="F93" s="16"/>
      <c r="G93" s="16"/>
      <c r="H93" s="16" t="s">
        <v>856</v>
      </c>
      <c r="I93" s="16"/>
      <c r="J93" s="783">
        <v>0.005</v>
      </c>
      <c r="K93" s="16"/>
      <c r="L93" s="16"/>
      <c r="M93" s="16" t="s">
        <v>857</v>
      </c>
      <c r="N93" s="16"/>
      <c r="O93" s="783">
        <v>0.005</v>
      </c>
      <c r="P93" s="16"/>
      <c r="Q93" s="16"/>
      <c r="R93" s="16"/>
      <c r="S93" s="16"/>
      <c r="T93" s="16"/>
      <c r="U93" s="16"/>
      <c r="V93" s="16"/>
      <c r="W93" s="16"/>
      <c r="X93" s="16"/>
      <c r="Y93" s="16"/>
      <c r="Z93" s="16"/>
      <c r="AA93" s="16"/>
      <c r="AB93" s="16"/>
    </row>
    <row r="94" ht="14.25" customHeight="1" spans="1:28" x14ac:dyDescent="0.25">
      <c r="A94" s="16"/>
      <c r="B94" s="16"/>
      <c r="C94" s="16"/>
      <c r="D94" s="16"/>
      <c r="E94" s="42"/>
      <c r="F94" s="16"/>
      <c r="G94" s="16"/>
      <c r="H94" s="16"/>
      <c r="I94" s="16"/>
      <c r="J94" s="16"/>
      <c r="K94" s="16"/>
      <c r="L94" s="16"/>
      <c r="M94" s="16"/>
      <c r="N94" s="16"/>
      <c r="O94" s="16"/>
      <c r="P94" s="16"/>
      <c r="Q94" s="16"/>
      <c r="R94" s="16"/>
      <c r="S94" s="16"/>
      <c r="T94" s="16"/>
      <c r="U94" s="16"/>
      <c r="V94" s="16"/>
      <c r="W94" s="16"/>
      <c r="X94" s="16"/>
      <c r="Y94" s="16"/>
      <c r="Z94" s="16"/>
      <c r="AA94" s="16"/>
      <c r="AB94" s="16"/>
    </row>
    <row r="95" ht="14.25" customHeight="1" spans="1:28" x14ac:dyDescent="0.25">
      <c r="A95" s="16"/>
      <c r="B95" s="16"/>
      <c r="C95" s="16"/>
      <c r="D95" s="63" t="s">
        <v>858</v>
      </c>
      <c r="E95" s="22"/>
      <c r="F95" s="22"/>
      <c r="G95" s="22"/>
      <c r="H95" s="22"/>
      <c r="I95" s="22"/>
      <c r="J95" s="7"/>
      <c r="K95" s="784"/>
      <c r="L95" s="63" t="s">
        <v>859</v>
      </c>
      <c r="M95" s="22"/>
      <c r="N95" s="22"/>
      <c r="O95" s="22"/>
      <c r="P95" s="22"/>
      <c r="Q95" s="22"/>
      <c r="R95" s="7"/>
      <c r="S95" s="16"/>
      <c r="T95" s="16"/>
      <c r="U95" s="16"/>
      <c r="V95" s="16"/>
      <c r="W95" s="16"/>
      <c r="X95" s="16"/>
      <c r="Y95" s="16"/>
      <c r="Z95" s="16"/>
      <c r="AA95" s="16"/>
      <c r="AB95" s="16"/>
    </row>
    <row r="96" ht="14.25" customHeight="1" spans="1:28" x14ac:dyDescent="0.25">
      <c r="A96" s="16"/>
      <c r="B96" s="16"/>
      <c r="C96" s="16"/>
      <c r="D96" s="47"/>
      <c r="E96" s="199"/>
      <c r="F96" s="84"/>
      <c r="G96" s="84"/>
      <c r="H96" s="84"/>
      <c r="I96" s="84"/>
      <c r="J96" s="84"/>
      <c r="K96" s="784"/>
      <c r="L96" s="47"/>
      <c r="M96" s="199"/>
      <c r="N96" s="84"/>
      <c r="O96" s="84"/>
      <c r="P96" s="84"/>
      <c r="Q96" s="84"/>
      <c r="R96" s="84"/>
      <c r="S96" s="16"/>
      <c r="T96" s="16"/>
      <c r="U96" s="16"/>
      <c r="V96" s="16"/>
      <c r="W96" s="16"/>
      <c r="X96" s="16"/>
      <c r="Y96" s="16"/>
      <c r="Z96" s="16"/>
      <c r="AA96" s="16"/>
      <c r="AB96" s="16"/>
    </row>
    <row r="97" ht="14.25" customHeight="1" spans="1:28" x14ac:dyDescent="0.25">
      <c r="A97" s="16"/>
      <c r="B97" s="16"/>
      <c r="C97" s="16"/>
      <c r="D97" s="590"/>
      <c r="E97" s="592"/>
      <c r="F97" s="592" t="s">
        <v>148</v>
      </c>
      <c r="G97" s="668"/>
      <c r="H97" s="668"/>
      <c r="I97" s="668"/>
      <c r="J97" s="668"/>
      <c r="K97" s="16"/>
      <c r="L97" s="590"/>
      <c r="M97" s="592"/>
      <c r="N97" s="592" t="s">
        <v>148</v>
      </c>
      <c r="O97" s="668"/>
      <c r="P97" s="668"/>
      <c r="Q97" s="668"/>
      <c r="R97" s="668"/>
      <c r="S97" s="16"/>
      <c r="T97" s="16"/>
      <c r="U97" s="16"/>
      <c r="V97" s="16"/>
      <c r="W97" s="16"/>
      <c r="X97" s="16"/>
      <c r="Y97" s="16"/>
      <c r="Z97" s="16"/>
      <c r="AA97" s="16"/>
      <c r="AB97" s="16"/>
    </row>
    <row r="98" ht="14.25" customHeight="1" spans="1:28" x14ac:dyDescent="0.25">
      <c r="A98" s="16"/>
      <c r="B98" s="16"/>
      <c r="C98" s="16"/>
      <c r="D98" s="16"/>
      <c r="E98" s="785">
        <f ca="1">K76</f>
        <v>-108.43268260498188</v>
      </c>
      <c r="F98" s="786">
        <f t="shared" ref="F98:G98" si="18" ca="1">G98-$E$93</f>
        <v>11</v>
      </c>
      <c r="G98" s="786">
        <f ca="1">H98-$E$93</f>
        <v>12</v>
      </c>
      <c r="H98" s="787">
        <v>13</v>
      </c>
      <c r="I98" s="786">
        <f t="shared" ref="I98:J98" si="19" ca="1">H98+$E$93</f>
        <v>14</v>
      </c>
      <c r="J98" s="786">
        <f ca="1">I98+$E$93</f>
        <v>15</v>
      </c>
      <c r="K98" s="16"/>
      <c r="L98" s="16"/>
      <c r="M98" s="788">
        <f ca="1">$H$73</f>
        <v>1e-12</v>
      </c>
      <c r="N98" s="786">
        <f t="shared" ref="N98:R98" si="20" ca="1">F98</f>
        <v>11</v>
      </c>
      <c r="O98" s="786">
        <f ca="1">G98</f>
        <v>12</v>
      </c>
      <c r="P98" s="786">
        <f ca="1">H98</f>
        <v>13</v>
      </c>
      <c r="Q98" s="786">
        <f ca="1">I98</f>
        <v>14</v>
      </c>
      <c r="R98" s="786">
        <f ca="1">J98</f>
        <v>15</v>
      </c>
      <c r="S98" s="16"/>
      <c r="T98" s="16"/>
      <c r="U98" s="16"/>
      <c r="V98" s="16"/>
      <c r="W98" s="16"/>
      <c r="X98" s="16"/>
      <c r="Y98" s="16"/>
      <c r="Z98" s="16"/>
      <c r="AA98" s="16"/>
      <c r="AB98" s="16"/>
    </row>
    <row r="99" ht="14.25" customHeight="1" spans="1:28" x14ac:dyDescent="0.25">
      <c r="A99" s="16"/>
      <c r="B99" s="16"/>
      <c r="C99" s="16"/>
      <c r="D99" s="673" t="s">
        <v>47</v>
      </c>
      <c r="E99" s="789">
        <f t="shared" ref="E99:E100" si="21" ca="1">E100-$O$93</f>
        <v>0.07887704300445453</v>
      </c>
      <c r="F99" s="790">
        <v>236.33583068885625</v>
      </c>
      <c r="G99" s="791">
        <v>255.2234023405651</v>
      </c>
      <c r="H99" s="791">
        <v>274.110973992274</v>
      </c>
      <c r="I99" s="791">
        <v>292.9985456439829</v>
      </c>
      <c r="J99" s="792">
        <v>311.8861172956918</v>
      </c>
      <c r="K99" s="16"/>
      <c r="L99" s="673" t="s">
        <v>47</v>
      </c>
      <c r="M99" s="789">
        <f t="shared" ref="M99:M103" si="22" ca="1">E99</f>
        <v>0.07887704300445453</v>
      </c>
      <c r="N99" s="793">
        <f t="shared" ref="N99:R103" si="23" ca="1">F99/Share_Price-1</f>
        <v>0.013533882360649452</v>
      </c>
      <c r="O99" s="661">
        <f ca="1">G99/Share_Price-1</f>
        <v>0.09453384655873176</v>
      </c>
      <c r="P99" s="661">
        <f ca="1">H99/Share_Price-1</f>
        <v>0.1755338107568145</v>
      </c>
      <c r="Q99" s="661">
        <f ca="1">I99/Share_Price-1</f>
        <v>0.25653377495489704</v>
      </c>
      <c r="R99" s="794">
        <f ca="1">J99/Share_Price-1</f>
        <v>0.3375337391529796</v>
      </c>
      <c r="S99" s="16"/>
      <c r="T99" s="16"/>
      <c r="U99" s="16"/>
      <c r="V99" s="16"/>
      <c r="W99" s="16"/>
      <c r="X99" s="16"/>
      <c r="Y99" s="16"/>
      <c r="Z99" s="16"/>
      <c r="AA99" s="16"/>
      <c r="AB99" s="16"/>
    </row>
    <row r="100" ht="14.25" customHeight="1" spans="1:28" x14ac:dyDescent="0.25">
      <c r="A100" s="16"/>
      <c r="B100" s="16"/>
      <c r="C100" s="16"/>
      <c r="D100" s="678"/>
      <c r="E100" s="789">
        <f ca="1">E101-$O$93</f>
        <v>0.08387704300445453</v>
      </c>
      <c r="F100" s="795">
        <v>232.22019290427394</v>
      </c>
      <c r="G100" s="796">
        <v>250.7826183405888</v>
      </c>
      <c r="H100" s="796">
        <v>269.34504377690365</v>
      </c>
      <c r="I100" s="796">
        <v>287.9074692132185</v>
      </c>
      <c r="J100" s="797">
        <v>306.46989464953344</v>
      </c>
      <c r="K100" s="16"/>
      <c r="L100" s="678"/>
      <c r="M100" s="789">
        <f ca="1">E100</f>
        <v>0.08387704300445453</v>
      </c>
      <c r="N100" s="798">
        <f ca="1">F100/Share_Price-1</f>
        <v>-0.004116163889381852</v>
      </c>
      <c r="O100" s="552">
        <f ca="1">G100/Share_Price-1</f>
        <v>0.07548940020837458</v>
      </c>
      <c r="P100" s="552">
        <f ca="1">H100/Share_Price-1</f>
        <v>0.155094964306131</v>
      </c>
      <c r="Q100" s="552">
        <f ca="1">I100/Share_Price-1</f>
        <v>0.23470052840388766</v>
      </c>
      <c r="R100" s="674">
        <f ca="1">J100/Share_Price-1</f>
        <v>0.3143060925016443</v>
      </c>
      <c r="S100" s="16"/>
      <c r="T100" s="16"/>
      <c r="U100" s="16"/>
      <c r="V100" s="16"/>
      <c r="W100" s="16"/>
      <c r="X100" s="16"/>
      <c r="Y100" s="16"/>
      <c r="Z100" s="16"/>
      <c r="AA100" s="16"/>
      <c r="AB100" s="16"/>
    </row>
    <row r="101" ht="14.25" customHeight="1" spans="1:28" x14ac:dyDescent="0.25">
      <c r="A101" s="16"/>
      <c r="B101" s="16"/>
      <c r="C101" s="16"/>
      <c r="D101" s="678"/>
      <c r="E101" s="799">
        <v>0.08887704300445454</v>
      </c>
      <c r="F101" s="800">
        <v>228.19143454386773</v>
      </c>
      <c r="G101" s="796">
        <v>246.43576913961923</v>
      </c>
      <c r="H101" s="796">
        <v>264.6801037353706</v>
      </c>
      <c r="I101" s="796">
        <v>282.9244383311221</v>
      </c>
      <c r="J101" s="797">
        <v>301.16877292687354</v>
      </c>
      <c r="K101" s="16"/>
      <c r="L101" s="678"/>
      <c r="M101" s="789">
        <f ca="1">E101</f>
        <v>0.08887704300445454</v>
      </c>
      <c r="N101" s="798">
        <f ca="1">F101/Share_Price-1</f>
        <v>-0.02139362490836383</v>
      </c>
      <c r="O101" s="552">
        <f ca="1">G101/Share_Price-1</f>
        <v>0.056847796293074904</v>
      </c>
      <c r="P101" s="552">
        <f ca="1">H101/Share_Price-1</f>
        <v>0.1350892174945133</v>
      </c>
      <c r="Q101" s="552">
        <f ca="1">I101/Share_Price-1</f>
        <v>0.21333063869595192</v>
      </c>
      <c r="R101" s="674">
        <f ca="1">J101/Share_Price-1</f>
        <v>0.29157205989739055</v>
      </c>
      <c r="S101" s="16"/>
      <c r="T101" s="16"/>
      <c r="U101" s="16"/>
      <c r="V101" s="16"/>
      <c r="W101" s="16"/>
      <c r="X101" s="16"/>
      <c r="Y101" s="16"/>
      <c r="Z101" s="16"/>
      <c r="AA101" s="16"/>
      <c r="AB101" s="16"/>
    </row>
    <row r="102" ht="14.25" customHeight="1" spans="1:28" x14ac:dyDescent="0.25">
      <c r="A102" s="16"/>
      <c r="B102" s="16"/>
      <c r="C102" s="16"/>
      <c r="D102" s="678"/>
      <c r="E102" s="789">
        <f t="shared" ref="E102:E103" si="24" ca="1">E101+$O$93</f>
        <v>0.09387704300445454</v>
      </c>
      <c r="F102" s="795">
        <v>224.2473151724749</v>
      </c>
      <c r="G102" s="796">
        <v>242.1804298569011</v>
      </c>
      <c r="H102" s="796">
        <v>260.11354454132726</v>
      </c>
      <c r="I102" s="796">
        <v>278.04665922575344</v>
      </c>
      <c r="J102" s="797">
        <v>295.97977391017963</v>
      </c>
      <c r="K102" s="16"/>
      <c r="L102" s="678"/>
      <c r="M102" s="789">
        <f ca="1">E102</f>
        <v>0.09387704300445454</v>
      </c>
      <c r="N102" s="798">
        <f ca="1">F102/Share_Price-1</f>
        <v>-0.03830810887522551</v>
      </c>
      <c r="O102" s="552">
        <f ca="1">G102/Share_Price-1</f>
        <v>0.03859863563299215</v>
      </c>
      <c r="P102" s="552">
        <f ca="1">H102/Share_Price-1</f>
        <v>0.11550538014120959</v>
      </c>
      <c r="Q102" s="552">
        <f ca="1">I102/Share_Price-1</f>
        <v>0.19241212464942725</v>
      </c>
      <c r="R102" s="674">
        <f ca="1">J102/Share_Price-1</f>
        <v>0.2693188691576449</v>
      </c>
      <c r="S102" s="16"/>
      <c r="T102" s="16"/>
      <c r="U102" s="16"/>
      <c r="V102" s="16"/>
      <c r="W102" s="16"/>
      <c r="X102" s="16"/>
      <c r="Y102" s="16"/>
      <c r="Z102" s="16"/>
      <c r="AA102" s="16"/>
      <c r="AB102" s="16"/>
    </row>
    <row r="103" ht="14.25" customHeight="1" spans="1:28" x14ac:dyDescent="0.25">
      <c r="A103" s="16"/>
      <c r="B103" s="16"/>
      <c r="C103" s="16"/>
      <c r="D103" s="683"/>
      <c r="E103" s="789">
        <f ca="1">E102+$O$93</f>
        <v>0.09887704300445455</v>
      </c>
      <c r="F103" s="801">
        <v>220.38566223253238</v>
      </c>
      <c r="G103" s="802">
        <v>238.0142491233211</v>
      </c>
      <c r="H103" s="802">
        <v>255.64283601410978</v>
      </c>
      <c r="I103" s="802">
        <v>273.2714229048985</v>
      </c>
      <c r="J103" s="803">
        <v>290.90000979568714</v>
      </c>
      <c r="K103" s="16"/>
      <c r="L103" s="683"/>
      <c r="M103" s="789">
        <f ca="1">E103</f>
        <v>0.09887704300445455</v>
      </c>
      <c r="N103" s="804">
        <f ca="1">F103/Share_Price-1</f>
        <v>-0.054868932873606724</v>
      </c>
      <c r="O103" s="670">
        <f ca="1">G103/Share_Price-1</f>
        <v>0.020731834305348196</v>
      </c>
      <c r="P103" s="670">
        <f ca="1">H103/Share_Price-1</f>
        <v>0.0963326014843029</v>
      </c>
      <c r="Q103" s="670">
        <f ca="1">I103/Share_Price-1</f>
        <v>0.1719333686632578</v>
      </c>
      <c r="R103" s="805">
        <f ca="1">J103/Share_Price-1</f>
        <v>0.2475341358422125</v>
      </c>
      <c r="S103" s="16"/>
      <c r="T103" s="16"/>
      <c r="U103" s="16"/>
      <c r="V103" s="16"/>
      <c r="W103" s="16"/>
      <c r="X103" s="16"/>
      <c r="Y103" s="16"/>
      <c r="Z103" s="16"/>
      <c r="AA103" s="16"/>
      <c r="AB103" s="16"/>
    </row>
    <row r="104" ht="14.25" customHeight="1" spans="1:28" x14ac:dyDescent="0.25">
      <c r="A104" s="16"/>
      <c r="B104" s="16"/>
      <c r="C104" s="16"/>
      <c r="D104" s="16"/>
      <c r="E104" s="16"/>
      <c r="F104" s="16"/>
      <c r="G104" s="16"/>
      <c r="H104" s="16"/>
      <c r="I104" s="16"/>
      <c r="J104" s="16"/>
      <c r="K104" s="16"/>
      <c r="L104" s="16"/>
      <c r="M104" s="16"/>
      <c r="N104" s="84"/>
      <c r="O104" s="84"/>
      <c r="P104" s="84"/>
      <c r="Q104" s="84"/>
      <c r="R104" s="84"/>
      <c r="S104" s="16"/>
      <c r="T104" s="16"/>
      <c r="U104" s="16"/>
      <c r="V104" s="16"/>
      <c r="W104" s="16"/>
      <c r="X104" s="16"/>
      <c r="Y104" s="16"/>
      <c r="Z104" s="16"/>
      <c r="AA104" s="16"/>
      <c r="AB104" s="16"/>
    </row>
    <row r="105" ht="14.25" customHeight="1" spans="1:28" x14ac:dyDescent="0.25">
      <c r="A105" s="16"/>
      <c r="B105" s="16"/>
      <c r="C105" s="16"/>
      <c r="D105" s="590"/>
      <c r="E105" s="592"/>
      <c r="F105" s="592" t="s">
        <v>860</v>
      </c>
      <c r="G105" s="668"/>
      <c r="H105" s="668"/>
      <c r="I105" s="668"/>
      <c r="J105" s="668"/>
      <c r="K105" s="16"/>
      <c r="L105" s="590"/>
      <c r="M105" s="592"/>
      <c r="N105" s="592" t="s">
        <v>860</v>
      </c>
      <c r="O105" s="668"/>
      <c r="P105" s="668"/>
      <c r="Q105" s="668"/>
      <c r="R105" s="668"/>
      <c r="S105" s="16"/>
      <c r="T105" s="16"/>
      <c r="U105" s="16"/>
      <c r="V105" s="16"/>
      <c r="W105" s="16"/>
      <c r="X105" s="16"/>
      <c r="Y105" s="16"/>
      <c r="Z105" s="16"/>
      <c r="AA105" s="16"/>
      <c r="AB105" s="16"/>
    </row>
    <row r="106" ht="14.25" customHeight="1" spans="1:28" x14ac:dyDescent="0.25">
      <c r="A106" s="16"/>
      <c r="B106" s="16"/>
      <c r="C106" s="16"/>
      <c r="D106" s="16"/>
      <c r="E106" s="785">
        <f ca="1">$R$76</f>
        <v>-21.3996541353904</v>
      </c>
      <c r="F106" s="670">
        <f t="shared" ref="F106:G106" si="25" ca="1">G106-$J$93</f>
        <v>0.009999999999999998</v>
      </c>
      <c r="G106" s="670">
        <f ca="1">H106-$J$93</f>
        <v>0.015</v>
      </c>
      <c r="H106" s="806">
        <v>0.02</v>
      </c>
      <c r="I106" s="670">
        <f t="shared" ref="I106:J106" si="26" ca="1">H106+$J$93</f>
        <v>0.025</v>
      </c>
      <c r="J106" s="670">
        <f ca="1">I106+$J$93</f>
        <v>0.030000000000000002</v>
      </c>
      <c r="K106" s="16"/>
      <c r="L106" s="16"/>
      <c r="M106" s="788">
        <f ca="1">$O$73</f>
        <v>1e-12</v>
      </c>
      <c r="N106" s="670">
        <f t="shared" ref="N106:R106" si="27" ca="1">F106</f>
        <v>0.009999999999999998</v>
      </c>
      <c r="O106" s="670">
        <f ca="1">G106</f>
        <v>0.015</v>
      </c>
      <c r="P106" s="670">
        <f ca="1">H106</f>
        <v>0.02</v>
      </c>
      <c r="Q106" s="670">
        <f ca="1">I106</f>
        <v>0.025</v>
      </c>
      <c r="R106" s="670">
        <f ca="1">J106</f>
        <v>0.030000000000000002</v>
      </c>
      <c r="S106" s="16"/>
      <c r="T106" s="16"/>
      <c r="U106" s="16"/>
      <c r="V106" s="16"/>
      <c r="W106" s="16"/>
      <c r="X106" s="16"/>
      <c r="Y106" s="16"/>
      <c r="Z106" s="16"/>
      <c r="AA106" s="16"/>
      <c r="AB106" s="16"/>
    </row>
    <row r="107" ht="14.25" customHeight="1" spans="1:28" x14ac:dyDescent="0.25">
      <c r="A107" s="16"/>
      <c r="B107" s="16"/>
      <c r="C107" s="16"/>
      <c r="D107" s="673" t="s">
        <v>47</v>
      </c>
      <c r="E107" s="789">
        <f t="shared" ref="E107:E108" si="28" ca="1">E99</f>
        <v>0.07887704300445453</v>
      </c>
      <c r="F107" s="790">
        <v>186.95744698844035</v>
      </c>
      <c r="G107" s="791">
        <v>198.5140915183207</v>
      </c>
      <c r="H107" s="800">
        <v>211.74860199972466</v>
      </c>
      <c r="I107" s="791">
        <v>227.05498523210753</v>
      </c>
      <c r="J107" s="792">
        <v>244.96108856782928</v>
      </c>
      <c r="K107" s="16"/>
      <c r="L107" s="673" t="s">
        <v>47</v>
      </c>
      <c r="M107" s="789">
        <f t="shared" ref="M107:M111" si="29" ca="1">E107</f>
        <v>0.07887704300445453</v>
      </c>
      <c r="N107" s="793">
        <f t="shared" ref="N107:R111" si="30" ca="1">F107/Share_Price-1</f>
        <v>-0.19822691916785162</v>
      </c>
      <c r="O107" s="661">
        <f ca="1">G107/Share_Price-1</f>
        <v>-0.14866587392434727</v>
      </c>
      <c r="P107" s="661">
        <f ca="1">H107/Share_Price-1</f>
        <v>-0.09190924607717366</v>
      </c>
      <c r="Q107" s="661">
        <f ca="1">I107/Share_Price-1</f>
        <v>-0.026267324675754655</v>
      </c>
      <c r="R107" s="794">
        <f ca="1">J107/Share_Price-1</f>
        <v>0.05052358078664243</v>
      </c>
      <c r="S107" s="16"/>
      <c r="T107" s="16"/>
      <c r="U107" s="16"/>
      <c r="V107" s="16"/>
      <c r="W107" s="16"/>
      <c r="X107" s="16"/>
      <c r="Y107" s="16"/>
      <c r="Z107" s="16"/>
      <c r="AA107" s="16"/>
      <c r="AB107" s="16"/>
    </row>
    <row r="108" ht="14.25" customHeight="1" spans="1:28" x14ac:dyDescent="0.25">
      <c r="A108" s="16"/>
      <c r="B108" s="16"/>
      <c r="C108" s="16"/>
      <c r="D108" s="678"/>
      <c r="E108" s="789">
        <f ca="1">E100</f>
        <v>0.08387704300445453</v>
      </c>
      <c r="F108" s="795">
        <v>183.6918493719922</v>
      </c>
      <c r="G108" s="796">
        <v>195.04954830416227</v>
      </c>
      <c r="H108" s="796">
        <v>208.0562290213714</v>
      </c>
      <c r="I108" s="796">
        <v>223.09911556550063</v>
      </c>
      <c r="J108" s="797">
        <v>240.69696848981826</v>
      </c>
      <c r="K108" s="16"/>
      <c r="L108" s="678"/>
      <c r="M108" s="789">
        <f ca="1">E108</f>
        <v>0.08387704300445453</v>
      </c>
      <c r="N108" s="798">
        <f ca="1">F108/Share_Price-1</f>
        <v>-0.2122315405609736</v>
      </c>
      <c r="O108" s="552">
        <f ca="1">G108/Share_Price-1</f>
        <v>-0.16352367997185746</v>
      </c>
      <c r="P108" s="552">
        <f ca="1">H108/Share_Price-1</f>
        <v>-0.10774410746474228</v>
      </c>
      <c r="Q108" s="552">
        <f ca="1">I108/Share_Price-1</f>
        <v>-0.04323220016510587</v>
      </c>
      <c r="R108" s="674">
        <f ca="1">J108/Share_Price-1</f>
        <v>0.03223676340088444</v>
      </c>
      <c r="S108" s="16"/>
      <c r="T108" s="16"/>
      <c r="U108" s="16"/>
      <c r="V108" s="16"/>
      <c r="W108" s="16"/>
      <c r="X108" s="16"/>
      <c r="Y108" s="16"/>
      <c r="Z108" s="16"/>
      <c r="AA108" s="16"/>
      <c r="AB108" s="16"/>
    </row>
    <row r="109" ht="14.25" customHeight="1" spans="1:28" x14ac:dyDescent="0.25">
      <c r="A109" s="16"/>
      <c r="B109" s="16"/>
      <c r="C109" s="16"/>
      <c r="D109" s="678"/>
      <c r="E109" s="807">
        <v>0.08887704300445454</v>
      </c>
      <c r="F109" s="795">
        <v>180.49468608725613</v>
      </c>
      <c r="G109" s="796">
        <v>191.65775635882392</v>
      </c>
      <c r="H109" s="796">
        <v>204.4415510088824</v>
      </c>
      <c r="I109" s="796">
        <v>219.22665850136025</v>
      </c>
      <c r="J109" s="797">
        <v>236.52294976564528</v>
      </c>
      <c r="K109" s="16"/>
      <c r="L109" s="678"/>
      <c r="M109" s="789">
        <f ca="1">E109</f>
        <v>0.08887704300445454</v>
      </c>
      <c r="N109" s="798">
        <f ca="1">F109/Share_Price-1</f>
        <v>-0.22594267910088295</v>
      </c>
      <c r="O109" s="552">
        <f ca="1">G109/Share_Price-1</f>
        <v>-0.17806948984122173</v>
      </c>
      <c r="P109" s="552">
        <f ca="1">H109/Share_Price-1</f>
        <v>-0.12324577146889781</v>
      </c>
      <c r="Q109" s="552">
        <f ca="1">I109/Share_Price-1</f>
        <v>-0.05983935800085671</v>
      </c>
      <c r="R109" s="674">
        <f ca="1">J109/Share_Price-1</f>
        <v>0.014336348596128534</v>
      </c>
      <c r="S109" s="16"/>
      <c r="T109" s="16"/>
      <c r="U109" s="16"/>
      <c r="V109" s="16"/>
      <c r="W109" s="16"/>
      <c r="X109" s="16"/>
      <c r="Y109" s="16"/>
      <c r="Z109" s="16"/>
      <c r="AA109" s="16"/>
      <c r="AB109" s="16"/>
    </row>
    <row r="110" ht="14.25" customHeight="1" spans="1:28" x14ac:dyDescent="0.25">
      <c r="A110" s="16"/>
      <c r="B110" s="16"/>
      <c r="C110" s="16"/>
      <c r="D110" s="678"/>
      <c r="E110" s="789">
        <f t="shared" ref="E110:E111" si="31" ca="1">E102</f>
        <v>0.09387704300445454</v>
      </c>
      <c r="F110" s="795">
        <v>177.36419890109127</v>
      </c>
      <c r="G110" s="796">
        <v>188.33684459335734</v>
      </c>
      <c r="H110" s="796">
        <v>200.90256763238992</v>
      </c>
      <c r="I110" s="796">
        <v>215.43546423613432</v>
      </c>
      <c r="J110" s="797">
        <v>232.43670773064315</v>
      </c>
      <c r="K110" s="16"/>
      <c r="L110" s="678"/>
      <c r="M110" s="789">
        <f ca="1">E110</f>
        <v>0.09387704300445454</v>
      </c>
      <c r="N110" s="798">
        <f ca="1">F110/Share_Price-1</f>
        <v>-0.23936787502748402</v>
      </c>
      <c r="O110" s="552">
        <f ca="1">G110/Share_Price-1</f>
        <v>-0.1923113277581382</v>
      </c>
      <c r="P110" s="552">
        <f ca="1">H110/Share_Price-1</f>
        <v>-0.1384228165692173</v>
      </c>
      <c r="Q110" s="552">
        <f ca="1">I110/Share_Price-1</f>
        <v>-0.07609801768533186</v>
      </c>
      <c r="R110" s="674">
        <f ca="1">J110/Share_Price-1</f>
        <v>-0.003187633027518899</v>
      </c>
      <c r="S110" s="16"/>
      <c r="T110" s="16"/>
      <c r="U110" s="16"/>
      <c r="V110" s="16"/>
      <c r="W110" s="16"/>
      <c r="X110" s="16"/>
      <c r="Y110" s="16"/>
      <c r="Z110" s="16"/>
      <c r="AA110" s="16"/>
      <c r="AB110" s="16"/>
    </row>
    <row r="111" ht="14.25" customHeight="1" spans="1:28" x14ac:dyDescent="0.25">
      <c r="A111" s="16"/>
      <c r="B111" s="16"/>
      <c r="C111" s="16"/>
      <c r="D111" s="683"/>
      <c r="E111" s="789">
        <f ca="1">E103</f>
        <v>0.09887704300445455</v>
      </c>
      <c r="F111" s="801">
        <v>174.2986827286993</v>
      </c>
      <c r="G111" s="802">
        <v>185.0849985144303</v>
      </c>
      <c r="H111" s="802">
        <v>197.43733910541226</v>
      </c>
      <c r="I111" s="802">
        <v>211.7234480754534</v>
      </c>
      <c r="J111" s="803">
        <v>228.4359881706039</v>
      </c>
      <c r="K111" s="16"/>
      <c r="L111" s="683"/>
      <c r="M111" s="789">
        <f ca="1">E111</f>
        <v>0.09887704300445455</v>
      </c>
      <c r="N111" s="804">
        <f ca="1">F111/Share_Price-1</f>
        <v>-0.2525144406522888</v>
      </c>
      <c r="O111" s="670">
        <f ca="1">G111/Share_Price-1</f>
        <v>-0.20625697523616815</v>
      </c>
      <c r="P111" s="670">
        <f ca="1">H111/Share_Price-1</f>
        <v>-0.15328356160300083</v>
      </c>
      <c r="Q111" s="670">
        <f ca="1">I111/Share_Price-1</f>
        <v>-0.09201711949801272</v>
      </c>
      <c r="R111" s="805">
        <f ca="1">J111/Share_Price-1</f>
        <v>-0.02034484874087017</v>
      </c>
      <c r="S111" s="16"/>
      <c r="T111" s="16"/>
      <c r="U111" s="16"/>
      <c r="V111" s="16"/>
      <c r="W111" s="16"/>
      <c r="X111" s="16"/>
      <c r="Y111" s="16"/>
      <c r="Z111" s="16"/>
      <c r="AA111" s="16"/>
      <c r="AB111" s="16"/>
    </row>
    <row r="112" ht="4.5" customHeight="1" spans="1:28" x14ac:dyDescent="0.25">
      <c r="A112" s="16"/>
      <c r="B112" s="16"/>
      <c r="C112" s="16"/>
      <c r="D112" s="16"/>
      <c r="E112" s="16"/>
      <c r="F112" s="16"/>
      <c r="G112" s="16"/>
      <c r="H112" s="16"/>
      <c r="I112" s="16"/>
      <c r="J112" s="16"/>
      <c r="K112" s="16"/>
      <c r="L112" s="16"/>
      <c r="M112" s="16"/>
      <c r="N112" s="84"/>
      <c r="O112" s="84"/>
      <c r="P112" s="84"/>
      <c r="Q112" s="84"/>
      <c r="R112" s="84"/>
      <c r="S112" s="16"/>
      <c r="T112" s="16"/>
      <c r="U112" s="16"/>
      <c r="V112" s="16"/>
      <c r="W112" s="16"/>
      <c r="X112" s="16"/>
      <c r="Y112" s="16"/>
      <c r="Z112" s="16"/>
      <c r="AA112" s="16"/>
      <c r="AB112" s="16"/>
    </row>
    <row r="113" ht="13.5" customHeight="1" spans="1:28" x14ac:dyDescent="0.25">
      <c r="A113" s="16"/>
      <c r="B113" s="16"/>
      <c r="C113" s="16"/>
      <c r="D113" s="16"/>
      <c r="E113" s="16"/>
      <c r="F113" s="16"/>
      <c r="G113" s="16"/>
      <c r="H113" s="16"/>
      <c r="I113" s="16"/>
      <c r="J113" s="16"/>
      <c r="K113" s="16"/>
      <c r="L113" s="16"/>
      <c r="M113" s="16"/>
      <c r="N113" s="84"/>
      <c r="O113" s="84"/>
      <c r="P113" s="84"/>
      <c r="Q113" s="84"/>
      <c r="R113" s="84"/>
      <c r="S113" s="16"/>
      <c r="T113" s="16"/>
      <c r="U113" s="16"/>
      <c r="V113" s="16"/>
      <c r="W113" s="16"/>
      <c r="X113" s="16"/>
      <c r="Y113" s="16"/>
      <c r="Z113" s="16"/>
      <c r="AA113" s="16"/>
      <c r="AB113" s="16"/>
    </row>
    <row r="114" ht="13.5" customHeight="1" spans="1:28" x14ac:dyDescent="0.25">
      <c r="A114" s="264" t="s">
        <v>1</v>
      </c>
      <c r="B114" s="16"/>
      <c r="C114" s="111" t="s">
        <v>861</v>
      </c>
      <c r="D114" s="112"/>
      <c r="E114" s="112"/>
      <c r="F114" s="112"/>
      <c r="G114" s="112"/>
      <c r="H114" s="112"/>
      <c r="I114" s="112"/>
      <c r="J114" s="112"/>
      <c r="K114" s="112"/>
      <c r="L114" s="112"/>
      <c r="M114" s="112"/>
      <c r="N114" s="112"/>
      <c r="O114" s="112"/>
      <c r="P114" s="112"/>
      <c r="Q114" s="112"/>
      <c r="R114" s="112"/>
      <c r="S114" s="264" t="s">
        <v>1</v>
      </c>
      <c r="T114" s="16"/>
      <c r="U114" s="16"/>
      <c r="V114" s="16"/>
      <c r="W114" s="16"/>
      <c r="X114" s="16"/>
      <c r="Y114" s="16"/>
      <c r="Z114" s="16"/>
      <c r="AA114" s="16"/>
      <c r="AB114" s="16"/>
    </row>
    <row r="115" ht="4.5" customHeight="1" spans="1:28" x14ac:dyDescent="0.25">
      <c r="A115" s="16"/>
      <c r="B115" s="16"/>
      <c r="C115" s="16"/>
      <c r="D115" s="16"/>
      <c r="E115" s="16"/>
      <c r="F115" s="16"/>
      <c r="G115" s="16"/>
      <c r="H115" s="16"/>
      <c r="I115" s="16"/>
      <c r="J115" s="16"/>
      <c r="K115" s="16"/>
      <c r="L115" s="16"/>
      <c r="M115" s="16"/>
      <c r="N115" s="16"/>
      <c r="O115" s="16"/>
      <c r="P115" s="16"/>
      <c r="Q115" s="16"/>
      <c r="R115" s="16"/>
      <c r="S115" s="16"/>
      <c r="T115" s="16"/>
      <c r="U115" s="16"/>
      <c r="V115" s="16"/>
      <c r="W115" s="16"/>
      <c r="X115" s="16"/>
      <c r="Y115" s="16"/>
      <c r="Z115" s="16"/>
      <c r="AA115" s="16"/>
      <c r="AB115" s="16"/>
    </row>
    <row r="116" ht="13.5" customHeight="1" spans="1:28" x14ac:dyDescent="0.25">
      <c r="A116" s="16"/>
      <c r="B116" s="16"/>
      <c r="C116" s="16"/>
      <c r="D116" s="92" t="s">
        <v>862</v>
      </c>
      <c r="E116" s="22"/>
      <c r="F116" s="7"/>
      <c r="G116" s="16"/>
      <c r="H116" s="92" t="s">
        <v>863</v>
      </c>
      <c r="I116" s="22"/>
      <c r="J116" s="7"/>
      <c r="K116" s="16"/>
      <c r="L116" s="92" t="s">
        <v>140</v>
      </c>
      <c r="M116" s="22"/>
      <c r="N116" s="7"/>
      <c r="O116" s="189"/>
      <c r="P116" s="92" t="s">
        <v>864</v>
      </c>
      <c r="Q116" s="22"/>
      <c r="R116" s="7"/>
      <c r="S116" s="16"/>
      <c r="T116" s="16"/>
      <c r="U116" s="16"/>
      <c r="V116" s="16"/>
      <c r="W116" s="16"/>
      <c r="X116" s="16"/>
      <c r="Y116" s="16"/>
      <c r="Z116" s="16"/>
      <c r="AA116" s="16"/>
      <c r="AB116" s="16"/>
    </row>
    <row r="117" ht="4.5" customHeight="1" spans="1:28" x14ac:dyDescent="0.25">
      <c r="A117" s="16"/>
      <c r="B117" s="16"/>
      <c r="C117" s="16"/>
      <c r="D117" s="190"/>
      <c r="E117" s="132"/>
      <c r="F117" s="283"/>
      <c r="G117" s="16"/>
      <c r="H117" s="190"/>
      <c r="I117" s="132"/>
      <c r="J117" s="283"/>
      <c r="K117" s="16"/>
      <c r="L117" s="190"/>
      <c r="M117" s="132"/>
      <c r="N117" s="283"/>
      <c r="O117" s="189"/>
      <c r="P117" s="190"/>
      <c r="Q117" s="132"/>
      <c r="R117" s="283"/>
      <c r="S117" s="16"/>
      <c r="T117" s="16"/>
      <c r="U117" s="16"/>
      <c r="V117" s="16"/>
      <c r="W117" s="16"/>
      <c r="X117" s="16"/>
      <c r="Y117" s="16"/>
      <c r="Z117" s="16"/>
      <c r="AA117" s="16"/>
      <c r="AB117" s="16"/>
    </row>
    <row r="118" ht="13.5" customHeight="1" spans="1:28" x14ac:dyDescent="0.25">
      <c r="A118" s="16"/>
      <c r="B118" s="16"/>
      <c r="C118" s="16"/>
      <c r="D118" s="188" t="s">
        <v>865</v>
      </c>
      <c r="E118" s="16"/>
      <c r="F118" s="808">
        <f ca="1">$D$11</f>
        <v>18.6398</v>
      </c>
      <c r="G118" s="16"/>
      <c r="H118" s="188" t="s">
        <v>866</v>
      </c>
      <c r="I118" s="16"/>
      <c r="J118" s="808">
        <f ca="1">IF(G144="LTM",IF(G143="1 Year",'Multiples Data'!E9,IF(G143="2 Year", 'Multiples Data'!E10,IF(G143="3 Year",'Multiples Data'!E11, IF(G143="5 Year", 'Multiples Data'!E12,"N/A")))),IF(G144="NTM", IF(G143="1 Year",'Multiples Data'!F9,IF(G143="2 Year", 'Multiples Data'!F10,IF(G143="3 Year",'Multiples Data'!F11, IF(G143="5 Year", 'Multiples Data'!F12,"N/A"))))))</f>
        <v>18.758692857142854</v>
      </c>
      <c r="K118" s="16"/>
      <c r="L118" s="188" t="s">
        <v>865</v>
      </c>
      <c r="M118" s="16"/>
      <c r="N118" s="808">
        <f ca="1">$D$12</f>
        <v>12.4849</v>
      </c>
      <c r="O118" s="189"/>
      <c r="P118" s="188" t="s">
        <v>866</v>
      </c>
      <c r="Q118" s="16"/>
      <c r="R118" s="808">
        <f ca="1">IF($G$144="LTM",IF($G$143="1 Year",'Multiples Data'!G9,IF($G$143="2 Year", 'Multiples Data'!G10,IF($G$143="3 Year",'Multiples Data'!G11, IF($G$143="5 Year", 'Multiples Data'!G12,"N/A")))),IF($G$144="NTM", IF($G$143="1 Year",'Multiples Data'!H9,IF($G$143="2 Year", 'Multiples Data'!H10,IF($G$143="3 Year",'Multiples Data'!H11, IF($G$143="5 Year", 'Multiples Data'!H12,"N/A"))))))</f>
        <v>12.439849999999998</v>
      </c>
      <c r="S118" s="16"/>
      <c r="T118" s="16"/>
      <c r="U118" s="16"/>
      <c r="V118" s="16"/>
      <c r="W118" s="16"/>
      <c r="X118" s="16"/>
      <c r="Y118" s="16"/>
      <c r="Z118" s="16"/>
      <c r="AA118" s="16"/>
      <c r="AB118" s="16"/>
    </row>
    <row r="119" ht="13.5" customHeight="1" spans="1:28" x14ac:dyDescent="0.25">
      <c r="A119" s="16"/>
      <c r="B119" s="16"/>
      <c r="C119" s="16"/>
      <c r="D119" s="188" t="s">
        <v>867</v>
      </c>
      <c r="E119" s="16"/>
      <c r="F119" s="808">
        <f ca="1">IF(G144="LTM",IF(G142="1 Year",'Multiples Data'!E9,IF(G142="2 Year", 'Multiples Data'!E10,IF(G142="3 Year",'Multiples Data'!E11, IF(G142="5 Year", 'Multiples Data'!E12,"N/A")))),IF(G144="NTM", IF(G142="1 Year",'Multiples Data'!F9,IF(G142="2 Year", 'Multiples Data'!F10,IF(G142="3 Year",'Multiples Data'!F11, IF(G142="5 Year", 'Multiples Data'!F12,"N/A"))))))</f>
        <v>18.758692857142854</v>
      </c>
      <c r="G119" s="16"/>
      <c r="H119" s="188" t="s">
        <v>868</v>
      </c>
      <c r="I119" s="16"/>
      <c r="J119" s="808">
        <f ca="1">IF(G143="1 Year",J144,IF(G143="2 Year",J145,IF(G143="3 Year",J146,IF(G143="5 Year",J147,"N/A"))))</f>
        <v>21.62764142857142</v>
      </c>
      <c r="K119" s="16"/>
      <c r="L119" s="188" t="s">
        <v>867</v>
      </c>
      <c r="M119" s="16"/>
      <c r="N119" s="808">
        <f ca="1">IF($G$144="LTM",IF($G$142="1 Year",'Multiples Data'!G9,IF($G$142="2 Year", 'Multiples Data'!G10,IF($G$142="3 Year",'Multiples Data'!G11, IF($G$142="5 Year", 'Multiples Data'!G12,"N/A")))),IF($G$144="NTM", IF($G$142="1 Year",'Multiples Data'!H9,IF($G$142="2 Year", 'Multiples Data'!H10,IF($G$142="3 Year",'Multiples Data'!H11, IF($G$142="5 Year", 'Multiples Data'!H12,"N/A"))))))</f>
        <v>12.439849999999998</v>
      </c>
      <c r="O119" s="189"/>
      <c r="P119" s="188" t="s">
        <v>868</v>
      </c>
      <c r="Q119" s="16"/>
      <c r="R119" s="808">
        <f ca="1">IF(G143="1 Year",K144,IF(G143="2 Year",K145,IF(G143="3 Year",K146,IF(G143="5 Year",K147,"N/A"))))</f>
        <v>14.83389857142857</v>
      </c>
      <c r="S119" s="16"/>
      <c r="T119" s="16"/>
      <c r="U119" s="16"/>
      <c r="V119" s="16"/>
      <c r="W119" s="16"/>
      <c r="X119" s="16"/>
      <c r="Y119" s="16"/>
      <c r="Z119" s="16"/>
      <c r="AA119" s="16"/>
      <c r="AB119" s="16"/>
    </row>
    <row r="120" ht="13.5" customHeight="1" spans="1:28" x14ac:dyDescent="0.25">
      <c r="A120" s="16"/>
      <c r="B120" s="16"/>
      <c r="C120" s="16"/>
      <c r="D120" s="307" t="s">
        <v>869</v>
      </c>
      <c r="E120" s="303"/>
      <c r="F120" s="809">
        <f ca="1">F118/F119-1</f>
        <v>-0.0063380139569576555</v>
      </c>
      <c r="G120" s="16"/>
      <c r="H120" s="307" t="s">
        <v>870</v>
      </c>
      <c r="I120" s="303"/>
      <c r="J120" s="810">
        <f ca="1">J118/J119-1</f>
        <v>-0.13265193899684824</v>
      </c>
      <c r="K120" s="16"/>
      <c r="L120" s="307" t="s">
        <v>869</v>
      </c>
      <c r="M120" s="303"/>
      <c r="N120" s="809">
        <f ca="1">N118/N119-1</f>
        <v>0.003621426303372033</v>
      </c>
      <c r="O120" s="189"/>
      <c r="P120" s="188" t="s">
        <v>870</v>
      </c>
      <c r="Q120" s="16"/>
      <c r="R120" s="810">
        <f ca="1">R118/R119-1</f>
        <v>-0.1613903829732074</v>
      </c>
      <c r="S120" s="16"/>
      <c r="T120" s="16"/>
      <c r="U120" s="16"/>
      <c r="V120" s="16"/>
      <c r="W120" s="16"/>
      <c r="X120" s="16"/>
      <c r="Y120" s="16"/>
      <c r="Z120" s="16"/>
      <c r="AA120" s="16"/>
      <c r="AB120" s="16"/>
    </row>
    <row r="121" ht="13.5" customHeight="1" spans="1:28" x14ac:dyDescent="0.25">
      <c r="A121" s="16"/>
      <c r="B121" s="16"/>
      <c r="C121" s="16"/>
      <c r="D121" s="307" t="s">
        <v>871</v>
      </c>
      <c r="E121" s="303"/>
      <c r="F121" s="811">
        <v>0</v>
      </c>
      <c r="G121" s="16"/>
      <c r="H121" s="188" t="s">
        <v>872</v>
      </c>
      <c r="I121" s="16"/>
      <c r="J121" s="808">
        <f ca="1">IF($G$145=$K$220,$E$11,IF($G$145=$M$220,$E$16,IF($G$145=$O$220,$E$21,"N/A")))</f>
        <v>22.233219999999996</v>
      </c>
      <c r="K121" s="16"/>
      <c r="L121" s="307" t="s">
        <v>871</v>
      </c>
      <c r="M121" s="303"/>
      <c r="N121" s="811">
        <v>0</v>
      </c>
      <c r="O121" s="189"/>
      <c r="P121" s="188" t="s">
        <v>872</v>
      </c>
      <c r="Q121" s="16"/>
      <c r="R121" s="808">
        <f ca="1">IF($G$145=$K$220,$E$12,IF($G$145=$M$220,$E$17,IF($G$145=$O$220,$E$22,"N/A")))</f>
        <v>15.517159999999999</v>
      </c>
      <c r="S121" s="16"/>
      <c r="T121" s="16"/>
      <c r="U121" s="16"/>
      <c r="V121" s="16"/>
      <c r="W121" s="16"/>
      <c r="X121" s="16"/>
      <c r="Y121" s="16"/>
      <c r="Z121" s="16"/>
      <c r="AA121" s="16"/>
      <c r="AB121" s="16"/>
    </row>
    <row r="122" ht="13.5" customHeight="1" spans="1:28" x14ac:dyDescent="0.25">
      <c r="A122" s="16"/>
      <c r="B122" s="16"/>
      <c r="C122" s="16"/>
      <c r="D122" s="188"/>
      <c r="E122" s="16"/>
      <c r="F122" s="189"/>
      <c r="G122" s="16"/>
      <c r="H122" s="188"/>
      <c r="I122" s="16"/>
      <c r="J122" s="189"/>
      <c r="K122" s="16"/>
      <c r="L122" s="188"/>
      <c r="M122" s="16"/>
      <c r="N122" s="189"/>
      <c r="O122" s="189"/>
      <c r="P122" s="188"/>
      <c r="Q122" s="16"/>
      <c r="R122" s="189"/>
      <c r="S122" s="16"/>
      <c r="T122" s="16"/>
      <c r="U122" s="16"/>
      <c r="V122" s="16"/>
      <c r="W122" s="16"/>
      <c r="X122" s="16"/>
      <c r="Y122" s="16"/>
      <c r="Z122" s="16"/>
      <c r="AA122" s="16"/>
      <c r="AB122" s="16"/>
    </row>
    <row r="123" ht="13.5" customHeight="1" spans="1:28" x14ac:dyDescent="0.25">
      <c r="A123" s="16"/>
      <c r="B123" s="16"/>
      <c r="C123" s="16"/>
      <c r="D123" s="188" t="s">
        <v>873</v>
      </c>
      <c r="E123" s="16"/>
      <c r="F123" s="808">
        <f ca="1">F119*(1+F121)</f>
        <v>18.758692857142854</v>
      </c>
      <c r="G123" s="16"/>
      <c r="H123" s="188" t="s">
        <v>873</v>
      </c>
      <c r="I123" s="16"/>
      <c r="J123" s="808">
        <f ca="1">J121*(1+J120)</f>
        <v>19.28394025685649</v>
      </c>
      <c r="K123" s="16"/>
      <c r="L123" s="188" t="s">
        <v>873</v>
      </c>
      <c r="M123" s="16"/>
      <c r="N123" s="808">
        <f ca="1">N119*(1+N121)</f>
        <v>12.439849999999998</v>
      </c>
      <c r="O123" s="189"/>
      <c r="P123" s="188" t="s">
        <v>873</v>
      </c>
      <c r="Q123" s="16"/>
      <c r="R123" s="808">
        <f ca="1">R121*(1+R120)</f>
        <v>13.012839604943464</v>
      </c>
      <c r="S123" s="16"/>
      <c r="T123" s="16"/>
      <c r="U123" s="16"/>
      <c r="V123" s="16"/>
      <c r="W123" s="16"/>
      <c r="X123" s="16"/>
      <c r="Y123" s="16"/>
      <c r="Z123" s="16"/>
      <c r="AA123" s="16"/>
      <c r="AB123" s="16"/>
    </row>
    <row r="124" ht="13.5" customHeight="1" spans="1:28" x14ac:dyDescent="0.25">
      <c r="A124" s="16"/>
      <c r="B124" s="16"/>
      <c r="C124" s="16"/>
      <c r="D124" s="188" t="s">
        <v>874</v>
      </c>
      <c r="E124" s="16"/>
      <c r="F124" s="812">
        <f ca="1">NTM_EPS</f>
      </c>
      <c r="G124" s="16"/>
      <c r="H124" s="188" t="s">
        <v>874</v>
      </c>
      <c r="I124" s="16"/>
      <c r="J124" s="812">
        <f ca="1">F124</f>
        <v>1e-12</v>
      </c>
      <c r="K124" s="16"/>
      <c r="L124" s="813" t="s">
        <v>875</v>
      </c>
      <c r="M124" s="16"/>
      <c r="N124" s="814">
        <f ca="1">NTM_EBITDA</f>
      </c>
      <c r="O124" s="189"/>
      <c r="P124" s="188" t="s">
        <v>875</v>
      </c>
      <c r="Q124" s="16"/>
      <c r="R124" s="814">
        <f ca="1">NTM_EBITDA</f>
      </c>
      <c r="S124" s="16"/>
      <c r="T124" s="16"/>
      <c r="U124" s="16"/>
      <c r="V124" s="16"/>
      <c r="W124" s="16"/>
      <c r="X124" s="16"/>
      <c r="Y124" s="16"/>
      <c r="Z124" s="16"/>
      <c r="AA124" s="16"/>
      <c r="AB124" s="16"/>
    </row>
    <row r="125" ht="13.5" customHeight="1" spans="1:28" x14ac:dyDescent="0.25">
      <c r="A125" s="16"/>
      <c r="B125" s="16"/>
      <c r="C125" s="16"/>
      <c r="D125" s="188"/>
      <c r="E125" s="16"/>
      <c r="F125" s="815"/>
      <c r="G125" s="16"/>
      <c r="H125" s="188"/>
      <c r="I125" s="16"/>
      <c r="J125" s="815"/>
      <c r="K125" s="16"/>
      <c r="L125" s="188" t="s">
        <v>876</v>
      </c>
      <c r="M125" s="16"/>
      <c r="N125" s="814">
        <f ca="1">N123*N124</f>
        <v>1e-12</v>
      </c>
      <c r="O125" s="189"/>
      <c r="P125" s="188" t="s">
        <v>876</v>
      </c>
      <c r="Q125" s="16"/>
      <c r="R125" s="814">
        <f ca="1">R123*R124</f>
        <v>1e-12</v>
      </c>
      <c r="S125" s="16"/>
      <c r="T125" s="16"/>
      <c r="U125" s="16"/>
      <c r="V125" s="16"/>
      <c r="W125" s="16"/>
      <c r="X125" s="16"/>
      <c r="Y125" s="16"/>
      <c r="Z125" s="16"/>
      <c r="AA125" s="16"/>
      <c r="AB125" s="16"/>
    </row>
    <row r="126" ht="13.5" customHeight="1" spans="1:28" x14ac:dyDescent="0.25">
      <c r="A126" s="16"/>
      <c r="B126" s="16"/>
      <c r="C126" s="16"/>
      <c r="D126" s="188" t="s">
        <v>877</v>
      </c>
      <c r="E126" s="16"/>
      <c r="F126" s="814">
        <f ca="1">F123*F124</f>
        <v>1e-12</v>
      </c>
      <c r="G126" s="16"/>
      <c r="H126" s="188" t="s">
        <v>877</v>
      </c>
      <c r="I126" s="16"/>
      <c r="J126" s="814">
        <f ca="1">J123*J124</f>
        <v>1e-12</v>
      </c>
      <c r="K126" s="16"/>
      <c r="L126" s="188"/>
      <c r="M126" s="16"/>
      <c r="N126" s="189"/>
      <c r="O126" s="189"/>
      <c r="P126" s="188"/>
      <c r="Q126" s="16"/>
      <c r="R126" s="189"/>
      <c r="S126" s="16"/>
      <c r="T126" s="16"/>
      <c r="U126" s="16"/>
      <c r="V126" s="16"/>
      <c r="W126" s="16"/>
      <c r="X126" s="16"/>
      <c r="Y126" s="16"/>
      <c r="Z126" s="16"/>
      <c r="AA126" s="16"/>
      <c r="AB126" s="16"/>
    </row>
    <row r="127" ht="13.5" customHeight="1" spans="1:28" x14ac:dyDescent="0.25">
      <c r="A127" s="16"/>
      <c r="B127" s="16"/>
      <c r="C127" s="16"/>
      <c r="D127" s="311" t="s">
        <v>878</v>
      </c>
      <c r="E127" s="131"/>
      <c r="F127" s="773">
        <f ca="1">F126/Share_Price-1</f>
      </c>
      <c r="G127" s="16"/>
      <c r="H127" s="311" t="s">
        <v>878</v>
      </c>
      <c r="I127" s="131"/>
      <c r="J127" s="773">
        <f ca="1">J126/Share_Price-1</f>
      </c>
      <c r="K127" s="16"/>
      <c r="L127" s="188" t="s">
        <v>879</v>
      </c>
      <c r="M127" s="16"/>
      <c r="N127" s="816">
        <f t="shared" ref="N127:N132" si="32" ca="1">K66</f>
        <v>6255</v>
      </c>
      <c r="O127" s="189"/>
      <c r="P127" s="188" t="s">
        <v>879</v>
      </c>
      <c r="Q127" s="16"/>
      <c r="R127" s="765">
        <f t="shared" ref="R127:R132" si="33" ca="1">N127</f>
        <v>6255</v>
      </c>
      <c r="S127" s="16"/>
      <c r="T127" s="16"/>
      <c r="U127" s="16"/>
      <c r="V127" s="16"/>
      <c r="W127" s="16"/>
      <c r="X127" s="16"/>
      <c r="Y127" s="16"/>
      <c r="Z127" s="16"/>
      <c r="AA127" s="16"/>
      <c r="AB127" s="16"/>
    </row>
    <row r="128" ht="13.5" customHeight="1" spans="1:28" x14ac:dyDescent="0.25">
      <c r="A128" s="16"/>
      <c r="B128" s="16"/>
      <c r="C128" s="16"/>
      <c r="D128" s="16"/>
      <c r="E128" s="16"/>
      <c r="F128" s="16"/>
      <c r="G128" s="16"/>
      <c r="H128" s="16"/>
      <c r="I128" s="16"/>
      <c r="J128" s="16"/>
      <c r="K128" s="16"/>
      <c r="L128" s="188" t="s">
        <v>880</v>
      </c>
      <c r="M128" s="16"/>
      <c r="N128" s="816">
        <f ca="1">K67</f>
        <v>1e-12</v>
      </c>
      <c r="O128" s="189"/>
      <c r="P128" s="188" t="s">
        <v>880</v>
      </c>
      <c r="Q128" s="16"/>
      <c r="R128" s="765">
        <f ca="1">N128</f>
        <v>1e-12</v>
      </c>
      <c r="S128" s="16"/>
      <c r="T128" s="16"/>
      <c r="U128" s="16"/>
      <c r="V128" s="16"/>
      <c r="W128" s="16"/>
      <c r="X128" s="16"/>
      <c r="Y128" s="16"/>
      <c r="Z128" s="16"/>
      <c r="AA128" s="16"/>
      <c r="AB128" s="16"/>
    </row>
    <row r="129" ht="13.5" customHeight="1" spans="1:28" x14ac:dyDescent="0.25">
      <c r="A129" s="16"/>
      <c r="B129" s="16"/>
      <c r="C129" s="16"/>
      <c r="D129" s="16"/>
      <c r="E129" s="16"/>
      <c r="F129" s="16"/>
      <c r="G129" s="16"/>
      <c r="H129" s="16"/>
      <c r="I129" s="16"/>
      <c r="J129" s="16"/>
      <c r="K129" s="16"/>
      <c r="L129" s="188" t="s">
        <v>881</v>
      </c>
      <c r="M129" s="16"/>
      <c r="N129" s="816">
        <f ca="1">K68</f>
        <v>-23311</v>
      </c>
      <c r="O129" s="189"/>
      <c r="P129" s="188" t="s">
        <v>881</v>
      </c>
      <c r="Q129" s="16"/>
      <c r="R129" s="765">
        <f ca="1">N129</f>
        <v>-23311</v>
      </c>
      <c r="S129" s="16"/>
      <c r="T129" s="16"/>
      <c r="U129" s="16"/>
      <c r="V129" s="16"/>
      <c r="W129" s="16"/>
      <c r="X129" s="16"/>
      <c r="Y129" s="16"/>
      <c r="Z129" s="16"/>
      <c r="AA129" s="16"/>
      <c r="AB129" s="16"/>
    </row>
    <row r="130" ht="13.5" customHeight="1" spans="1:28" x14ac:dyDescent="0.25">
      <c r="A130" s="16"/>
      <c r="B130" s="16"/>
      <c r="C130" s="16"/>
      <c r="D130" s="16"/>
      <c r="E130" s="16"/>
      <c r="F130" s="16"/>
      <c r="G130" s="16"/>
      <c r="H130" s="16"/>
      <c r="I130" s="16"/>
      <c r="J130" s="16"/>
      <c r="K130" s="16"/>
      <c r="L130" s="188" t="s">
        <v>882</v>
      </c>
      <c r="M130" s="16"/>
      <c r="N130" s="816">
        <f ca="1">K69</f>
        <v>1e-12</v>
      </c>
      <c r="O130" s="189"/>
      <c r="P130" s="188" t="s">
        <v>882</v>
      </c>
      <c r="Q130" s="16"/>
      <c r="R130" s="765">
        <f ca="1">N130</f>
        <v>1e-12</v>
      </c>
      <c r="S130" s="16"/>
      <c r="T130" s="16"/>
      <c r="U130" s="16"/>
      <c r="V130" s="16"/>
      <c r="W130" s="16"/>
      <c r="X130" s="16"/>
      <c r="Y130" s="16"/>
      <c r="Z130" s="16"/>
      <c r="AA130" s="16"/>
      <c r="AB130" s="16"/>
    </row>
    <row r="131" ht="13.5" customHeight="1" spans="1:28" x14ac:dyDescent="0.25">
      <c r="A131" s="16"/>
      <c r="B131" s="16"/>
      <c r="C131" s="16"/>
      <c r="D131" s="190" t="s">
        <v>874</v>
      </c>
      <c r="E131" s="132"/>
      <c r="F131" s="817">
        <f ca="1">IF(Last_FQR="3Q",SUM(Model!X56,Model!Z56:AB56),IF(Last_FQR="2Q",SUM(Model!W56:X56,Model!Z56:AA56),IF(Last_FQR="1Q",SUM(Model!V56:X56,Model!Z56),IF(Last_FQR="4Q",SUM(Model!U56:X56),"Error"))))</f>
      </c>
      <c r="G131" s="16"/>
      <c r="H131" s="16"/>
      <c r="I131" s="16"/>
      <c r="J131" s="16"/>
      <c r="K131" s="16"/>
      <c r="L131" s="188" t="s">
        <v>883</v>
      </c>
      <c r="M131" s="16"/>
      <c r="N131" s="816">
        <f ca="1">K70</f>
        <v>1e-12</v>
      </c>
      <c r="O131" s="189"/>
      <c r="P131" s="188" t="s">
        <v>883</v>
      </c>
      <c r="Q131" s="16"/>
      <c r="R131" s="765">
        <f ca="1">N131</f>
        <v>1e-12</v>
      </c>
      <c r="S131" s="16"/>
      <c r="T131" s="16"/>
      <c r="U131" s="16"/>
      <c r="V131" s="16"/>
      <c r="W131" s="16"/>
      <c r="X131" s="16"/>
      <c r="Y131" s="16"/>
      <c r="Z131" s="16"/>
      <c r="AA131" s="16"/>
      <c r="AB131" s="16"/>
    </row>
    <row r="132" ht="13.5" customHeight="1" spans="1:28" x14ac:dyDescent="0.25">
      <c r="A132" s="16"/>
      <c r="B132" s="16"/>
      <c r="C132" s="16"/>
      <c r="D132" s="192" t="s">
        <v>875</v>
      </c>
      <c r="E132" s="131"/>
      <c r="F132" s="818">
        <f ca="1">IF(Last_FQR="3Q",SUM(Model!X61,Model!Z61:AB61),IF(Last_FQR="2Q",SUM(Model!W61:X61,Model!Z61:AA61),IF(Last_FQR="1Q",SUM(Model!V61:X61,Model!Z61),IF(Last_FQR="4Q",SUM(Model!U61:X61),"Error"))))</f>
      </c>
      <c r="G132" s="16"/>
      <c r="H132" s="16"/>
      <c r="I132" s="16"/>
      <c r="J132" s="16"/>
      <c r="K132" s="16"/>
      <c r="L132" s="188" t="s">
        <v>884</v>
      </c>
      <c r="M132" s="131"/>
      <c r="N132" s="819">
        <f ca="1">K71</f>
        <v>1e-12</v>
      </c>
      <c r="O132" s="189"/>
      <c r="P132" s="192" t="s">
        <v>884</v>
      </c>
      <c r="Q132" s="131"/>
      <c r="R132" s="819">
        <f ca="1">N132</f>
        <v>1e-12</v>
      </c>
      <c r="S132" s="16"/>
      <c r="T132" s="16"/>
      <c r="U132" s="16"/>
      <c r="V132" s="16"/>
      <c r="W132" s="16"/>
      <c r="X132" s="16"/>
      <c r="Y132" s="16"/>
      <c r="Z132" s="16"/>
      <c r="AA132" s="16"/>
      <c r="AB132" s="16"/>
    </row>
    <row r="133" ht="13.5" customHeight="1" spans="1:28" x14ac:dyDescent="0.25">
      <c r="A133" s="16"/>
      <c r="B133" s="16"/>
      <c r="C133" s="16"/>
      <c r="D133" s="16"/>
      <c r="E133" s="16"/>
      <c r="F133" s="16"/>
      <c r="G133" s="16"/>
      <c r="H133" s="16"/>
      <c r="I133" s="16"/>
      <c r="J133" s="16"/>
      <c r="K133" s="16"/>
      <c r="L133" s="190"/>
      <c r="M133" s="16"/>
      <c r="N133" s="189"/>
      <c r="O133" s="189"/>
      <c r="P133" s="188"/>
      <c r="Q133" s="16"/>
      <c r="R133" s="189"/>
      <c r="S133" s="16"/>
      <c r="T133" s="16"/>
      <c r="U133" s="16"/>
      <c r="V133" s="16"/>
      <c r="W133" s="16"/>
      <c r="X133" s="16"/>
      <c r="Y133" s="16"/>
      <c r="Z133" s="16"/>
      <c r="AA133" s="16"/>
      <c r="AB133" s="16"/>
    </row>
    <row r="134" ht="13.5" customHeight="1" spans="1:28" x14ac:dyDescent="0.25">
      <c r="A134" s="16"/>
      <c r="B134" s="16"/>
      <c r="C134" s="16"/>
      <c r="D134" s="16"/>
      <c r="E134" s="16"/>
      <c r="F134" s="16"/>
      <c r="G134" s="16"/>
      <c r="H134" s="16"/>
      <c r="I134" s="16"/>
      <c r="J134" s="16"/>
      <c r="K134" s="16"/>
      <c r="L134" s="188" t="s">
        <v>885</v>
      </c>
      <c r="M134" s="16"/>
      <c r="N134" s="814">
        <f ca="1">SUM(N125:N132)</f>
        <v>-17056</v>
      </c>
      <c r="O134" s="189"/>
      <c r="P134" s="188" t="s">
        <v>885</v>
      </c>
      <c r="Q134" s="16"/>
      <c r="R134" s="814">
        <f ca="1">SUM(R125:R132)</f>
        <v>-17056</v>
      </c>
      <c r="S134" s="16"/>
      <c r="T134" s="16"/>
      <c r="U134" s="16"/>
      <c r="V134" s="16"/>
      <c r="W134" s="16"/>
      <c r="X134" s="16"/>
      <c r="Y134" s="16"/>
      <c r="Z134" s="16"/>
      <c r="AA134" s="16"/>
      <c r="AB134" s="16"/>
    </row>
    <row r="135" ht="13.5" customHeight="1" spans="1:28" x14ac:dyDescent="0.25">
      <c r="A135" s="16"/>
      <c r="B135" s="16"/>
      <c r="C135" s="16"/>
      <c r="D135" s="16"/>
      <c r="E135" s="16"/>
      <c r="F135" s="16"/>
      <c r="G135" s="16"/>
      <c r="H135" s="16"/>
      <c r="I135" s="16"/>
      <c r="J135" s="16"/>
      <c r="K135" s="16"/>
      <c r="L135" s="188" t="s">
        <v>414</v>
      </c>
      <c r="M135" s="16"/>
      <c r="N135" s="814">
        <f ca="1">Diluted_Shares</f>
        <v>707</v>
      </c>
      <c r="O135" s="189"/>
      <c r="P135" s="188" t="s">
        <v>414</v>
      </c>
      <c r="Q135" s="16"/>
      <c r="R135" s="814">
        <f ca="1">Diluted_Shares</f>
        <v>707</v>
      </c>
      <c r="S135" s="16"/>
      <c r="T135" s="16"/>
      <c r="U135" s="16"/>
      <c r="V135" s="16"/>
      <c r="W135" s="16"/>
      <c r="X135" s="16"/>
      <c r="Y135" s="16"/>
      <c r="Z135" s="16"/>
      <c r="AA135" s="16"/>
      <c r="AB135" s="16"/>
    </row>
    <row r="136" ht="13.5" customHeight="1" spans="1:28" x14ac:dyDescent="0.25">
      <c r="A136" s="16"/>
      <c r="B136" s="16"/>
      <c r="C136" s="16"/>
      <c r="D136" s="16"/>
      <c r="E136" s="16"/>
      <c r="F136" s="16"/>
      <c r="G136" s="16"/>
      <c r="H136" s="16"/>
      <c r="I136" s="16"/>
      <c r="J136" s="16"/>
      <c r="K136" s="16"/>
      <c r="L136" s="188"/>
      <c r="M136" s="16"/>
      <c r="N136" s="189"/>
      <c r="O136" s="189"/>
      <c r="P136" s="188"/>
      <c r="Q136" s="16"/>
      <c r="R136" s="189"/>
      <c r="S136" s="16"/>
      <c r="T136" s="16"/>
      <c r="U136" s="16"/>
      <c r="V136" s="16"/>
      <c r="W136" s="16"/>
      <c r="X136" s="16"/>
      <c r="Y136" s="16"/>
      <c r="Z136" s="16"/>
      <c r="AA136" s="16"/>
      <c r="AB136" s="16"/>
    </row>
    <row r="137" ht="13.5" customHeight="1" spans="1:28" x14ac:dyDescent="0.25">
      <c r="A137" s="16"/>
      <c r="B137" s="16"/>
      <c r="C137" s="16"/>
      <c r="D137" s="16"/>
      <c r="E137" s="16"/>
      <c r="F137" s="16"/>
      <c r="G137" s="16"/>
      <c r="H137" s="16"/>
      <c r="I137" s="16"/>
      <c r="J137" s="16"/>
      <c r="K137" s="16"/>
      <c r="L137" s="188" t="s">
        <v>877</v>
      </c>
      <c r="M137" s="16"/>
      <c r="N137" s="814">
        <f ca="1">N134/N135</f>
        <v>-24.124469589816126</v>
      </c>
      <c r="O137" s="189"/>
      <c r="P137" s="188" t="s">
        <v>877</v>
      </c>
      <c r="Q137" s="16"/>
      <c r="R137" s="814">
        <f ca="1">R134/R135</f>
        <v>-24.124469589816126</v>
      </c>
      <c r="S137" s="16"/>
      <c r="T137" s="16"/>
      <c r="U137" s="16"/>
      <c r="V137" s="16"/>
      <c r="W137" s="16"/>
      <c r="X137" s="16"/>
      <c r="Y137" s="16"/>
      <c r="Z137" s="16"/>
      <c r="AA137" s="16"/>
      <c r="AB137" s="16"/>
    </row>
    <row r="138" ht="13.5" customHeight="1" spans="1:28" x14ac:dyDescent="0.25">
      <c r="A138" s="16"/>
      <c r="B138" s="16"/>
      <c r="C138" s="16"/>
      <c r="D138" s="16"/>
      <c r="E138" s="16"/>
      <c r="F138" s="16"/>
      <c r="G138" s="16"/>
      <c r="H138" s="16"/>
      <c r="I138" s="16"/>
      <c r="J138" s="16"/>
      <c r="K138" s="16"/>
      <c r="L138" s="311" t="s">
        <v>878</v>
      </c>
      <c r="M138" s="131"/>
      <c r="N138" s="773">
        <f ca="1">N137/Share_Price-1</f>
      </c>
      <c r="O138" s="189"/>
      <c r="P138" s="311" t="s">
        <v>878</v>
      </c>
      <c r="Q138" s="131"/>
      <c r="R138" s="773">
        <f ca="1">R137/Share_Price-1</f>
      </c>
      <c r="S138" s="16"/>
      <c r="T138" s="16"/>
      <c r="U138" s="16"/>
      <c r="V138" s="16"/>
      <c r="W138" s="16"/>
      <c r="X138" s="16"/>
      <c r="Y138" s="16"/>
      <c r="Z138" s="16"/>
      <c r="AA138" s="16"/>
      <c r="AB138" s="16"/>
    </row>
    <row r="139" ht="4.5" customHeight="1" spans="1:28" x14ac:dyDescent="0.25">
      <c r="A139" s="16"/>
      <c r="B139" s="16"/>
      <c r="C139" s="16"/>
      <c r="D139" s="16"/>
      <c r="E139" s="16"/>
      <c r="F139" s="16"/>
      <c r="G139" s="16"/>
      <c r="H139" s="16"/>
      <c r="I139" s="16"/>
      <c r="J139" s="16"/>
      <c r="K139" s="16"/>
      <c r="L139" s="16"/>
      <c r="M139" s="16"/>
      <c r="N139" s="16"/>
      <c r="O139" s="16"/>
      <c r="P139" s="16"/>
      <c r="Q139" s="16"/>
      <c r="R139" s="16"/>
      <c r="S139" s="16"/>
      <c r="T139" s="16"/>
      <c r="U139" s="16"/>
      <c r="V139" s="16"/>
      <c r="W139" s="16"/>
      <c r="X139" s="16"/>
      <c r="Y139" s="16"/>
      <c r="Z139" s="16"/>
      <c r="AA139" s="16"/>
      <c r="AB139" s="16"/>
    </row>
    <row r="140" ht="13.5" customHeight="1" spans="1:28" x14ac:dyDescent="0.25">
      <c r="A140" s="264" t="s">
        <v>1</v>
      </c>
      <c r="B140" s="16"/>
      <c r="C140" s="700" t="s">
        <v>46</v>
      </c>
      <c r="D140" s="22"/>
      <c r="E140" s="22"/>
      <c r="F140" s="22"/>
      <c r="G140" s="22"/>
      <c r="H140" s="22"/>
      <c r="I140" s="22"/>
      <c r="J140" s="22"/>
      <c r="K140" s="22"/>
      <c r="L140" s="22"/>
      <c r="M140" s="22"/>
      <c r="N140" s="22"/>
      <c r="O140" s="22"/>
      <c r="P140" s="22"/>
      <c r="Q140" s="22"/>
      <c r="R140" s="7"/>
      <c r="S140" s="264" t="s">
        <v>1</v>
      </c>
      <c r="T140" s="16"/>
      <c r="U140" s="16"/>
      <c r="V140" s="16"/>
      <c r="W140" s="16"/>
      <c r="X140" s="16"/>
      <c r="Y140" s="16"/>
      <c r="Z140" s="16"/>
      <c r="AA140" s="16"/>
      <c r="AB140" s="16"/>
    </row>
    <row r="141" ht="4.5" customHeight="1" spans="1:28" x14ac:dyDescent="0.25">
      <c r="A141" s="16"/>
      <c r="B141" s="16"/>
      <c r="C141" s="16"/>
      <c r="D141" s="16"/>
      <c r="E141" s="16"/>
      <c r="F141" s="16"/>
      <c r="G141" s="16"/>
      <c r="H141" s="16"/>
      <c r="I141" s="16"/>
      <c r="J141" s="16"/>
      <c r="K141" s="16"/>
      <c r="L141" s="16"/>
      <c r="M141" s="16"/>
      <c r="N141" s="16"/>
      <c r="O141" s="16"/>
      <c r="P141" s="16"/>
      <c r="Q141" s="16"/>
      <c r="R141" s="16"/>
      <c r="S141" s="16"/>
      <c r="T141" s="16"/>
      <c r="U141" s="16"/>
      <c r="V141" s="16"/>
      <c r="W141" s="16"/>
      <c r="X141" s="16"/>
      <c r="Y141" s="16"/>
      <c r="Z141" s="16"/>
      <c r="AA141" s="16"/>
      <c r="AB141" s="16"/>
    </row>
    <row r="142" ht="13.5" customHeight="1" spans="1:28" x14ac:dyDescent="0.25">
      <c r="A142" s="16"/>
      <c r="B142" s="16"/>
      <c r="C142" s="16" t="s">
        <v>886</v>
      </c>
      <c r="D142" s="16"/>
      <c r="E142" s="16"/>
      <c r="F142" s="16"/>
      <c r="G142" s="42" t="s">
        <v>887</v>
      </c>
      <c r="H142" s="16"/>
      <c r="I142" s="16"/>
      <c r="J142" s="111" t="s">
        <v>888</v>
      </c>
      <c r="K142" s="112"/>
      <c r="L142" s="16"/>
      <c r="M142" s="16"/>
      <c r="N142" s="16"/>
      <c r="O142" s="16"/>
      <c r="P142" s="16"/>
      <c r="Q142" s="16"/>
      <c r="R142" s="16"/>
      <c r="S142" s="16"/>
      <c r="T142" s="16"/>
      <c r="U142" s="16"/>
      <c r="V142" s="16"/>
      <c r="W142" s="16"/>
      <c r="X142" s="16"/>
      <c r="Y142" s="16"/>
      <c r="Z142" s="16"/>
      <c r="AA142" s="16"/>
      <c r="AB142" s="16"/>
    </row>
    <row r="143" ht="13.5" customHeight="1" spans="1:28" x14ac:dyDescent="0.25">
      <c r="A143" s="16"/>
      <c r="B143" s="16"/>
      <c r="C143" s="16" t="s">
        <v>889</v>
      </c>
      <c r="D143" s="16"/>
      <c r="E143" s="16"/>
      <c r="F143" s="16"/>
      <c r="G143" s="42" t="s">
        <v>887</v>
      </c>
      <c r="H143" s="16"/>
      <c r="I143" s="16"/>
      <c r="J143" s="84" t="s">
        <v>138</v>
      </c>
      <c r="K143" s="84" t="s">
        <v>140</v>
      </c>
      <c r="L143" s="84"/>
      <c r="M143" s="84"/>
      <c r="N143" s="16"/>
      <c r="O143" s="16"/>
      <c r="P143" s="16"/>
      <c r="Q143" s="16"/>
      <c r="R143" s="16"/>
      <c r="S143" s="16"/>
      <c r="T143" s="16"/>
      <c r="U143" s="16"/>
      <c r="V143" s="16"/>
      <c r="W143" s="16"/>
      <c r="X143" s="16"/>
      <c r="Y143" s="16"/>
      <c r="Z143" s="16"/>
      <c r="AA143" s="16"/>
      <c r="AB143" s="16"/>
    </row>
    <row r="144" ht="13.5" customHeight="1" spans="1:28" x14ac:dyDescent="0.25">
      <c r="A144" s="16"/>
      <c r="B144" s="16"/>
      <c r="C144" s="16" t="s">
        <v>816</v>
      </c>
      <c r="D144" s="16"/>
      <c r="E144" s="16"/>
      <c r="F144" s="16"/>
      <c r="G144" s="42" t="s">
        <v>817</v>
      </c>
      <c r="H144" s="47" t="b">
        <f ca="1">G144=$D$24</f>
        <v>1</v>
      </c>
      <c r="I144" s="84" t="s">
        <v>890</v>
      </c>
      <c r="J144" s="724">
        <f ca="1">IF($G$145=$C$9,IF($G$144="LTM",'Multiples Data'!E31,IF($G$144="NTM",'Multiples Data'!F31,"N/A")),IF($G$145=Valuation!$C$14,IF(Valuation!$G$144="LTM",'Multiples Data'!E53,IF(Valuation!$G$144="NTM",'Multiples Data'!F53,"N/A")),IF($G$145=Valuation!$C$19,IF(Valuation!$G$144="LTM",'Multiples Data'!E75,IF($G$144="NTM",'Multiples Data'!F75,"N/A")))))</f>
        <v>23.23926666666667</v>
      </c>
      <c r="K144" s="724">
        <f ca="1">IF($G$145=$C$9,IF($G$144="LTM",'Multiples Data'!G31,IF($G$144="NTM",'Multiples Data'!H31,"N/A")),IF($G$145=Valuation!$C$14,IF(Valuation!$G$144="LTM",'Multiples Data'!G53,IF(Valuation!$G$144="NTM",'Multiples Data'!H53,"N/A")),IF($G$145=Valuation!$C$19,IF(Valuation!$G$144="LTM",'Multiples Data'!G75,IF($G$144="NTM",'Multiples Data'!H75,"N/A")))))</f>
        <v>15.898750000000001</v>
      </c>
      <c r="L144" s="16"/>
      <c r="M144" s="84"/>
      <c r="N144" s="16"/>
      <c r="O144" s="16"/>
      <c r="P144" s="16"/>
      <c r="Q144" s="16"/>
      <c r="R144" s="16"/>
      <c r="S144" s="16"/>
      <c r="T144" s="16"/>
      <c r="U144" s="16"/>
      <c r="V144" s="16"/>
      <c r="W144" s="16"/>
      <c r="X144" s="16"/>
      <c r="Y144" s="16"/>
      <c r="Z144" s="16"/>
      <c r="AA144" s="16"/>
      <c r="AB144" s="16"/>
    </row>
    <row r="145" ht="13.5" customHeight="1" spans="1:28" x14ac:dyDescent="0.25">
      <c r="A145" s="16"/>
      <c r="B145" s="16"/>
      <c r="C145" s="16" t="s">
        <v>891</v>
      </c>
      <c r="D145" s="16"/>
      <c r="E145" s="16"/>
      <c r="F145" s="16"/>
      <c r="G145" s="42" t="s">
        <v>562</v>
      </c>
      <c r="H145" s="16"/>
      <c r="I145" s="84" t="s">
        <v>892</v>
      </c>
      <c r="J145" s="724">
        <f ca="1">IF($G$145=$C$9,IF($G$144="LTM",'Multiples Data'!E32,IF($G$144="NTM",'Multiples Data'!F32,"N/A")),IF($G$145=Valuation!$C$14,IF(Valuation!$G$144="LTM",'Multiples Data'!E54,IF(Valuation!$G$144="NTM",'Multiples Data'!F54,"N/A")),IF($G$145=Valuation!$C$19,IF(Valuation!$G$144="LTM",'Multiples Data'!E76,IF($G$144="NTM",'Multiples Data'!F76,"N/A")))))</f>
        <v>22.402899999999995</v>
      </c>
      <c r="K145" s="724">
        <f ca="1">IF($G$145=$C$9,IF($G$144="LTM",'Multiples Data'!G32,IF($G$144="NTM",'Multiples Data'!H32,"N/A")),IF($G$145=Valuation!$C$14,IF(Valuation!$G$144="LTM",'Multiples Data'!G54,IF(Valuation!$G$144="NTM",'Multiples Data'!H54,"N/A")),IF($G$145=Valuation!$C$19,IF(Valuation!$G$144="LTM",'Multiples Data'!G76,IF($G$144="NTM",'Multiples Data'!H76,"N/A")))))</f>
        <v>15.226447999999996</v>
      </c>
      <c r="L145" s="16"/>
      <c r="M145" s="84"/>
      <c r="N145" s="16"/>
      <c r="O145" s="16"/>
      <c r="P145" s="16"/>
      <c r="Q145" s="16"/>
      <c r="R145" s="16"/>
      <c r="S145" s="16"/>
      <c r="T145" s="16"/>
      <c r="U145" s="16"/>
      <c r="V145" s="16"/>
      <c r="W145" s="16"/>
      <c r="X145" s="16"/>
      <c r="Y145" s="16"/>
      <c r="Z145" s="16"/>
      <c r="AA145" s="16"/>
      <c r="AB145" s="16"/>
    </row>
    <row r="146" ht="13.5" customHeight="1" spans="1:28" x14ac:dyDescent="0.25">
      <c r="A146" s="16"/>
      <c r="B146" s="16"/>
      <c r="C146" s="16"/>
      <c r="D146" s="16"/>
      <c r="E146" s="16"/>
      <c r="F146" s="16"/>
      <c r="G146" s="42"/>
      <c r="H146" s="16"/>
      <c r="I146" s="84" t="s">
        <v>887</v>
      </c>
      <c r="J146" s="724">
        <f ca="1">IF($G$145=$C$9,IF($G$144="LTM",'Multiples Data'!E33,IF($G$144="NTM",'Multiples Data'!F33,"N/A")),IF($G$145=Valuation!$C$14,IF(Valuation!$G$144="LTM",'Multiples Data'!E55,IF(Valuation!$G$144="NTM",'Multiples Data'!F55,"N/A")),IF($G$145=Valuation!$C$19,IF(Valuation!$G$144="LTM",'Multiples Data'!E77,IF($G$144="NTM",'Multiples Data'!F77,"N/A")))))</f>
        <v>21.62764142857142</v>
      </c>
      <c r="K146" s="724">
        <f ca="1">IF($G$145=$C$9,IF($G$144="LTM",'Multiples Data'!G33,IF($G$144="NTM",'Multiples Data'!H33,"N/A")),IF($G$145=Valuation!$C$14,IF(Valuation!$G$144="LTM",'Multiples Data'!G55,IF(Valuation!$G$144="NTM",'Multiples Data'!H55,"N/A")),IF($G$145=Valuation!$C$19,IF(Valuation!$G$144="LTM",'Multiples Data'!G77,IF($G$144="NTM",'Multiples Data'!H77,"N/A")))))</f>
        <v>14.83389857142857</v>
      </c>
      <c r="L146" s="16"/>
      <c r="M146" s="84"/>
      <c r="N146" s="16"/>
      <c r="O146" s="16"/>
      <c r="P146" s="16"/>
      <c r="Q146" s="16"/>
      <c r="R146" s="16"/>
      <c r="S146" s="16"/>
      <c r="T146" s="16"/>
      <c r="U146" s="16"/>
      <c r="V146" s="16"/>
      <c r="W146" s="16"/>
      <c r="X146" s="16"/>
      <c r="Y146" s="16"/>
      <c r="Z146" s="16"/>
      <c r="AA146" s="16"/>
      <c r="AB146" s="16"/>
    </row>
    <row r="147" ht="14.25" customHeight="1" spans="1:28" x14ac:dyDescent="0.25">
      <c r="A147" s="16"/>
      <c r="B147" s="16"/>
      <c r="C147" s="16"/>
      <c r="D147" s="16"/>
      <c r="E147" s="16"/>
      <c r="F147" s="16"/>
      <c r="G147" s="16"/>
      <c r="H147" s="16"/>
      <c r="I147" s="84" t="s">
        <v>893</v>
      </c>
      <c r="J147" s="724">
        <f ca="1">IF($G$145=$C$9,IF($G$144="LTM",'Multiples Data'!E34,IF($G$144="NTM",'Multiples Data'!F34,"N/A")),IF($G$145=Valuation!$C$14,IF(Valuation!$G$144="LTM",'Multiples Data'!E56,IF(Valuation!$G$144="NTM",'Multiples Data'!F56,"N/A")),IF($G$145=Valuation!$C$19,IF(Valuation!$G$144="LTM",'Multiples Data'!E78,IF($G$144="NTM",'Multiples Data'!F78,"N/A")))))</f>
        <v>21.50007</v>
      </c>
      <c r="K147" s="724">
        <f ca="1">IF($G$145=$C$9,IF($G$144="LTM",'Multiples Data'!G34,IF($G$144="NTM",'Multiples Data'!H34,"N/A")),IF($G$145=Valuation!$C$14,IF(Valuation!$G$144="LTM",'Multiples Data'!G56,IF(Valuation!$G$144="NTM",'Multiples Data'!H56,"N/A")),IF($G$145=Valuation!$C$19,IF(Valuation!$G$144="LTM",'Multiples Data'!G78,IF($G$144="NTM",'Multiples Data'!H78,"N/A")))))</f>
        <v>14.158867272727273</v>
      </c>
      <c r="L147" s="16"/>
      <c r="M147" s="16"/>
      <c r="N147" s="16"/>
      <c r="O147" s="16"/>
      <c r="P147" s="16"/>
      <c r="Q147" s="16"/>
      <c r="R147" s="16"/>
      <c r="S147" s="16"/>
      <c r="T147" s="16"/>
      <c r="U147" s="16"/>
      <c r="V147" s="16"/>
      <c r="W147" s="16"/>
      <c r="X147" s="16"/>
      <c r="Y147" s="16"/>
      <c r="Z147" s="16"/>
      <c r="AA147" s="16"/>
      <c r="AB147" s="16"/>
    </row>
    <row r="148" ht="4.5" customHeight="1" spans="1:28" x14ac:dyDescent="0.25">
      <c r="A148" s="16"/>
      <c r="B148" s="16"/>
      <c r="C148" s="16"/>
      <c r="D148" s="16"/>
      <c r="E148" s="16"/>
      <c r="F148" s="16"/>
      <c r="G148" s="16"/>
      <c r="H148" s="16"/>
      <c r="I148" s="16"/>
      <c r="J148" s="16"/>
      <c r="K148" s="16"/>
      <c r="L148" s="16"/>
      <c r="M148" s="16"/>
      <c r="N148" s="16"/>
      <c r="O148" s="16"/>
      <c r="P148" s="16"/>
      <c r="Q148" s="16"/>
      <c r="R148" s="16"/>
      <c r="S148" s="16"/>
      <c r="T148" s="16"/>
      <c r="U148" s="16"/>
      <c r="V148" s="16"/>
      <c r="W148" s="16"/>
      <c r="X148" s="16"/>
      <c r="Y148" s="16"/>
      <c r="Z148" s="16"/>
      <c r="AA148" s="16"/>
      <c r="AB148" s="16"/>
    </row>
    <row r="149" ht="14.25" customHeight="1" spans="1:28" x14ac:dyDescent="0.25">
      <c r="A149" s="264" t="s">
        <v>1</v>
      </c>
      <c r="B149" s="16"/>
      <c r="C149" s="700" t="s">
        <v>851</v>
      </c>
      <c r="D149" s="22"/>
      <c r="E149" s="22"/>
      <c r="F149" s="22"/>
      <c r="G149" s="22"/>
      <c r="H149" s="22"/>
      <c r="I149" s="22"/>
      <c r="J149" s="22"/>
      <c r="K149" s="22"/>
      <c r="L149" s="22"/>
      <c r="M149" s="22"/>
      <c r="N149" s="22"/>
      <c r="O149" s="22"/>
      <c r="P149" s="22"/>
      <c r="Q149" s="22"/>
      <c r="R149" s="7"/>
      <c r="S149" s="264" t="s">
        <v>1</v>
      </c>
      <c r="T149" s="16"/>
      <c r="U149" s="16"/>
      <c r="V149" s="16"/>
      <c r="W149" s="16"/>
      <c r="X149" s="16"/>
      <c r="Y149" s="16"/>
      <c r="Z149" s="16"/>
      <c r="AA149" s="16"/>
      <c r="AB149" s="16"/>
    </row>
    <row r="150" ht="4.5" customHeight="1" spans="1:28" x14ac:dyDescent="0.25">
      <c r="A150" s="264"/>
      <c r="B150" s="16"/>
      <c r="C150" s="139"/>
      <c r="D150" s="47"/>
      <c r="E150" s="47"/>
      <c r="F150" s="47"/>
      <c r="G150" s="199"/>
      <c r="H150" s="199"/>
      <c r="I150" s="199"/>
      <c r="J150" s="199"/>
      <c r="K150" s="199"/>
      <c r="L150" s="199"/>
      <c r="M150" s="199"/>
      <c r="N150" s="199"/>
      <c r="O150" s="199"/>
      <c r="P150" s="199"/>
      <c r="Q150" s="199"/>
      <c r="R150" s="199"/>
      <c r="S150" s="264"/>
      <c r="T150" s="16"/>
      <c r="U150" s="16"/>
      <c r="V150" s="16"/>
      <c r="W150" s="16"/>
      <c r="X150" s="16"/>
      <c r="Y150" s="16"/>
      <c r="Z150" s="16"/>
      <c r="AA150" s="16"/>
      <c r="AB150" s="16"/>
    </row>
    <row r="151" ht="14.25" customHeight="1" spans="1:28" x14ac:dyDescent="0.25">
      <c r="A151" s="16"/>
      <c r="B151" s="16"/>
      <c r="C151" s="16" t="s">
        <v>894</v>
      </c>
      <c r="D151" s="16"/>
      <c r="E151" s="774">
        <f ca="1">$F$123</f>
        <v>18.758692857142854</v>
      </c>
      <c r="F151" s="667">
        <f ca="1">E151-H161</f>
        <v>1e-12</v>
      </c>
      <c r="G151" s="16"/>
      <c r="H151" s="16" t="s">
        <v>895</v>
      </c>
      <c r="I151" s="16"/>
      <c r="J151" s="16"/>
      <c r="K151" s="774">
        <f ca="1">N123</f>
        <v>12.439849999999998</v>
      </c>
      <c r="L151" s="667">
        <f ca="1">K151-H177</f>
        <v>1e-12</v>
      </c>
      <c r="M151" s="16"/>
      <c r="N151" s="5" t="s">
        <v>874</v>
      </c>
      <c r="O151" s="16"/>
      <c r="P151" s="16"/>
      <c r="Q151" s="820">
        <f ca="1">F124</f>
        <v>1e-12</v>
      </c>
      <c r="R151" s="821">
        <f ca="1">Q151-E164</f>
        <v>-14.671278268928386</v>
      </c>
      <c r="S151" s="16"/>
      <c r="T151" s="16"/>
      <c r="U151" s="16"/>
      <c r="V151" s="16"/>
      <c r="W151" s="16"/>
      <c r="X151" s="16"/>
      <c r="Y151" s="16"/>
      <c r="Z151" s="16"/>
      <c r="AA151" s="16"/>
      <c r="AB151" s="16"/>
    </row>
    <row r="152" ht="14.25" customHeight="1" spans="1:28" x14ac:dyDescent="0.25">
      <c r="A152" s="16"/>
      <c r="B152" s="16"/>
      <c r="C152" s="16" t="s">
        <v>855</v>
      </c>
      <c r="D152" s="16"/>
      <c r="E152" s="782">
        <v>1</v>
      </c>
      <c r="F152" s="16"/>
      <c r="G152" s="16"/>
      <c r="H152" s="16" t="s">
        <v>855</v>
      </c>
      <c r="I152" s="16"/>
      <c r="J152" s="16"/>
      <c r="K152" s="782">
        <v>1</v>
      </c>
      <c r="L152" s="822"/>
      <c r="M152" s="16"/>
      <c r="N152" s="491" t="s">
        <v>896</v>
      </c>
      <c r="O152" s="16"/>
      <c r="P152" s="16"/>
      <c r="Q152" s="16"/>
      <c r="R152" s="821">
        <f ca="1">Q151-E172</f>
        <v>-14.671278268928386</v>
      </c>
      <c r="S152" s="16"/>
      <c r="T152" s="16"/>
      <c r="U152" s="16"/>
      <c r="V152" s="16"/>
      <c r="W152" s="16"/>
      <c r="X152" s="16"/>
      <c r="Y152" s="16"/>
      <c r="Z152" s="16"/>
      <c r="AA152" s="16"/>
      <c r="AB152" s="16"/>
    </row>
    <row r="153" ht="14.25" customHeight="1" spans="1:28" x14ac:dyDescent="0.25">
      <c r="A153" s="16"/>
      <c r="B153" s="16"/>
      <c r="C153" s="16" t="s">
        <v>897</v>
      </c>
      <c r="D153" s="16"/>
      <c r="E153" s="783">
        <v>0.1</v>
      </c>
      <c r="F153" s="16"/>
      <c r="G153" s="16"/>
      <c r="H153" s="16" t="s">
        <v>898</v>
      </c>
      <c r="I153" s="16"/>
      <c r="J153" s="16"/>
      <c r="K153" s="783">
        <v>0.1</v>
      </c>
      <c r="L153" s="822"/>
      <c r="M153" s="16"/>
      <c r="N153" s="5" t="s">
        <v>875</v>
      </c>
      <c r="O153" s="16"/>
      <c r="P153" s="16"/>
      <c r="Q153" s="823">
        <f ca="1">N124</f>
        <v>1e-12</v>
      </c>
      <c r="R153" s="821">
        <f ca="1">Q153-E180</f>
        <v>-15108.794109717941</v>
      </c>
      <c r="S153" s="16"/>
      <c r="T153" s="16"/>
      <c r="U153" s="16"/>
      <c r="V153" s="16"/>
      <c r="W153" s="16"/>
      <c r="X153" s="16"/>
      <c r="Y153" s="16"/>
      <c r="Z153" s="16"/>
      <c r="AA153" s="16"/>
      <c r="AB153" s="16"/>
    </row>
    <row r="154" ht="14.25" customHeight="1" spans="1:28" x14ac:dyDescent="0.25">
      <c r="A154" s="16"/>
      <c r="B154" s="16"/>
      <c r="C154" s="16" t="s">
        <v>899</v>
      </c>
      <c r="D154" s="16"/>
      <c r="E154" s="774">
        <f ca="1">$J$123</f>
        <v>19.28394025685649</v>
      </c>
      <c r="F154" s="667">
        <f ca="1">E154-H169</f>
        <v>1e-12</v>
      </c>
      <c r="G154" s="16"/>
      <c r="H154" s="16" t="s">
        <v>900</v>
      </c>
      <c r="I154" s="16"/>
      <c r="J154" s="16"/>
      <c r="K154" s="774">
        <f ca="1">R123</f>
        <v>13.012839604943464</v>
      </c>
      <c r="L154" s="667">
        <f ca="1">K154-H185</f>
        <v>1e-12</v>
      </c>
      <c r="M154" s="824"/>
      <c r="N154" s="491" t="s">
        <v>896</v>
      </c>
      <c r="O154" s="825"/>
      <c r="P154" s="16"/>
      <c r="Q154" s="16"/>
      <c r="R154" s="821">
        <f ca="1">Q153-E188</f>
        <v>-15108.794109717941</v>
      </c>
      <c r="S154" s="16"/>
      <c r="T154" s="16"/>
      <c r="U154" s="16"/>
      <c r="V154" s="16"/>
      <c r="W154" s="16"/>
      <c r="X154" s="16"/>
      <c r="Y154" s="16"/>
      <c r="Z154" s="16"/>
      <c r="AA154" s="16"/>
      <c r="AB154" s="16"/>
    </row>
    <row r="155" ht="14.25" customHeight="1" spans="1:28" x14ac:dyDescent="0.25">
      <c r="A155" s="16"/>
      <c r="B155" s="16"/>
      <c r="C155" s="16" t="s">
        <v>855</v>
      </c>
      <c r="D155" s="16"/>
      <c r="E155" s="782">
        <v>1</v>
      </c>
      <c r="F155" s="16"/>
      <c r="G155" s="16"/>
      <c r="H155" s="16" t="s">
        <v>855</v>
      </c>
      <c r="I155" s="16"/>
      <c r="J155" s="16"/>
      <c r="K155" s="782">
        <v>1</v>
      </c>
      <c r="L155" s="822"/>
      <c r="M155" s="16"/>
      <c r="N155" s="16"/>
      <c r="O155" s="825"/>
      <c r="P155" s="16"/>
      <c r="Q155" s="16"/>
      <c r="R155" s="16"/>
      <c r="S155" s="16"/>
      <c r="T155" s="16"/>
      <c r="U155" s="16"/>
      <c r="V155" s="16"/>
      <c r="W155" s="16"/>
      <c r="X155" s="16"/>
      <c r="Y155" s="16"/>
      <c r="Z155" s="16"/>
      <c r="AA155" s="16"/>
      <c r="AB155" s="16"/>
    </row>
    <row r="156" ht="14.25" customHeight="1" spans="1:28" x14ac:dyDescent="0.25">
      <c r="A156" s="16"/>
      <c r="B156" s="16"/>
      <c r="C156" s="16"/>
      <c r="D156" s="16"/>
      <c r="E156" s="42"/>
      <c r="F156" s="16"/>
      <c r="G156" s="16"/>
      <c r="H156" s="16"/>
      <c r="I156" s="16"/>
      <c r="J156" s="16"/>
      <c r="K156" s="16"/>
      <c r="L156" s="16"/>
      <c r="M156" s="16"/>
      <c r="N156" s="16"/>
      <c r="O156" s="16"/>
      <c r="P156" s="16"/>
      <c r="Q156" s="16"/>
      <c r="R156" s="16"/>
      <c r="S156" s="16"/>
      <c r="T156" s="16"/>
      <c r="U156" s="16"/>
      <c r="V156" s="16"/>
      <c r="W156" s="16"/>
      <c r="X156" s="16"/>
      <c r="Y156" s="16"/>
      <c r="Z156" s="16"/>
      <c r="AA156" s="16"/>
      <c r="AB156" s="16"/>
    </row>
    <row r="157" ht="4.5" customHeight="1" spans="1:28" x14ac:dyDescent="0.25">
      <c r="A157" s="16"/>
      <c r="B157" s="16"/>
      <c r="C157" s="16"/>
      <c r="D157" s="16"/>
      <c r="E157" s="16"/>
      <c r="F157" s="16"/>
      <c r="G157" s="16"/>
      <c r="H157" s="16"/>
      <c r="I157" s="16"/>
      <c r="J157" s="16"/>
      <c r="K157" s="16"/>
      <c r="L157" s="16"/>
      <c r="M157" s="16"/>
      <c r="N157" s="16"/>
      <c r="O157" s="16"/>
      <c r="P157" s="16"/>
      <c r="Q157" s="16"/>
      <c r="R157" s="16"/>
      <c r="S157" s="16"/>
      <c r="T157" s="16"/>
      <c r="U157" s="16"/>
      <c r="V157" s="16"/>
      <c r="W157" s="16"/>
      <c r="X157" s="16"/>
      <c r="Y157" s="16"/>
      <c r="Z157" s="16"/>
      <c r="AA157" s="16"/>
      <c r="AB157" s="16"/>
    </row>
    <row r="158" ht="14.25" customHeight="1" spans="1:28" x14ac:dyDescent="0.25">
      <c r="A158" s="16"/>
      <c r="B158" s="16"/>
      <c r="C158" s="16"/>
      <c r="D158" s="63" t="s">
        <v>858</v>
      </c>
      <c r="E158" s="22"/>
      <c r="F158" s="22"/>
      <c r="G158" s="22"/>
      <c r="H158" s="22"/>
      <c r="I158" s="22"/>
      <c r="J158" s="7"/>
      <c r="K158" s="784"/>
      <c r="L158" s="63" t="s">
        <v>859</v>
      </c>
      <c r="M158" s="22"/>
      <c r="N158" s="22"/>
      <c r="O158" s="22"/>
      <c r="P158" s="22"/>
      <c r="Q158" s="22"/>
      <c r="R158" s="7"/>
      <c r="S158" s="16"/>
      <c r="T158" s="16"/>
      <c r="U158" s="16"/>
      <c r="V158" s="16"/>
      <c r="W158" s="16"/>
      <c r="X158" s="16"/>
      <c r="Y158" s="16"/>
      <c r="Z158" s="16"/>
      <c r="AA158" s="16"/>
      <c r="AB158" s="16"/>
    </row>
    <row r="159" ht="4.5" customHeight="1" spans="1:28" x14ac:dyDescent="0.25">
      <c r="A159" s="16"/>
      <c r="B159" s="16"/>
      <c r="C159" s="16"/>
      <c r="D159" s="47"/>
      <c r="E159" s="199"/>
      <c r="F159" s="84"/>
      <c r="G159" s="84"/>
      <c r="H159" s="84"/>
      <c r="I159" s="84"/>
      <c r="J159" s="84"/>
      <c r="K159" s="784"/>
      <c r="L159" s="47"/>
      <c r="M159" s="199"/>
      <c r="N159" s="84"/>
      <c r="O159" s="84"/>
      <c r="P159" s="84"/>
      <c r="Q159" s="84"/>
      <c r="R159" s="84"/>
      <c r="S159" s="16"/>
      <c r="T159" s="16"/>
      <c r="U159" s="16"/>
      <c r="V159" s="16"/>
      <c r="W159" s="16"/>
      <c r="X159" s="16"/>
      <c r="Y159" s="16"/>
      <c r="Z159" s="16"/>
      <c r="AA159" s="16"/>
      <c r="AB159" s="16"/>
    </row>
    <row r="160" ht="14.25" customHeight="1" spans="1:28" x14ac:dyDescent="0.25">
      <c r="A160" s="16"/>
      <c r="B160" s="16"/>
      <c r="C160" s="16"/>
      <c r="D160" s="590"/>
      <c r="E160" s="592"/>
      <c r="F160" s="592" t="str">
        <f ca="1">G144&amp;" P/E"</f>
        <v>NTM P/E</v>
      </c>
      <c r="G160" s="668"/>
      <c r="H160" s="668"/>
      <c r="I160" s="668"/>
      <c r="J160" s="668"/>
      <c r="K160" s="16"/>
      <c r="L160" s="590"/>
      <c r="M160" s="592"/>
      <c r="N160" s="592" t="str">
        <f t="shared" ref="N160:N161" si="34" ca="1">F160</f>
        <v>NTM P/E</v>
      </c>
      <c r="O160" s="668"/>
      <c r="P160" s="668"/>
      <c r="Q160" s="668"/>
      <c r="R160" s="668"/>
      <c r="S160" s="16"/>
      <c r="T160" s="16"/>
      <c r="U160" s="16"/>
      <c r="V160" s="16"/>
      <c r="W160" s="16"/>
      <c r="X160" s="16"/>
      <c r="Y160" s="16"/>
      <c r="Z160" s="16"/>
      <c r="AA160" s="16"/>
      <c r="AB160" s="16"/>
    </row>
    <row r="161" ht="14.25" customHeight="1" spans="1:28" x14ac:dyDescent="0.25">
      <c r="A161" s="16"/>
      <c r="B161" s="16"/>
      <c r="C161" s="16"/>
      <c r="D161" s="16"/>
      <c r="E161" s="785">
        <f ca="1">$F$126</f>
        <v>1e-12</v>
      </c>
      <c r="F161" s="786">
        <f t="shared" ref="F161:G161" si="35" ca="1">G161-$E$93</f>
        <v>16.758692857142854</v>
      </c>
      <c r="G161" s="786">
        <f ca="1">H161-$E$93</f>
        <v>17.758692857142854</v>
      </c>
      <c r="H161" s="787">
        <v>18.758692857142854</v>
      </c>
      <c r="I161" s="786">
        <f t="shared" ref="I161:J161" si="36" ca="1">H161+$E$93</f>
        <v>19.758692857142854</v>
      </c>
      <c r="J161" s="786">
        <f ca="1">I161+$E$93</f>
        <v>20.758692857142854</v>
      </c>
      <c r="K161" s="16"/>
      <c r="L161" s="16"/>
      <c r="M161" s="788">
        <f ca="1">$H$73</f>
        <v>1e-12</v>
      </c>
      <c r="N161" s="786">
        <f ca="1">F161</f>
        <v>16.758692857142854</v>
      </c>
      <c r="O161" s="786">
        <f t="shared" ref="O161:R161" si="37" ca="1">G161</f>
        <v>17.758692857142854</v>
      </c>
      <c r="P161" s="786">
        <f ca="1">H161</f>
        <v>18.758692857142854</v>
      </c>
      <c r="Q161" s="786">
        <f ca="1">I161</f>
        <v>19.758692857142854</v>
      </c>
      <c r="R161" s="786">
        <f ca="1">J161</f>
        <v>20.758692857142854</v>
      </c>
      <c r="S161" s="16"/>
      <c r="T161" s="16"/>
      <c r="U161" s="16"/>
      <c r="V161" s="16"/>
      <c r="W161" s="16"/>
      <c r="X161" s="16"/>
      <c r="Y161" s="16"/>
      <c r="Z161" s="16"/>
      <c r="AA161" s="16"/>
      <c r="AB161" s="16"/>
    </row>
    <row r="162" ht="14.25" customHeight="1" spans="1:28" x14ac:dyDescent="0.25">
      <c r="A162" s="16"/>
      <c r="B162" s="16"/>
      <c r="C162" s="16"/>
      <c r="D162" s="673" t="s">
        <v>397</v>
      </c>
      <c r="E162" s="826">
        <f ca="1">$E$164*(1-(2*$E$153))</f>
        <v>11.73702261514271</v>
      </c>
      <c r="F162" s="790">
        <v>196.69715706451626</v>
      </c>
      <c r="G162" s="791">
        <v>208.434179679659</v>
      </c>
      <c r="H162" s="791">
        <v>220.1712022948017</v>
      </c>
      <c r="I162" s="791">
        <v>231.9082249099444</v>
      </c>
      <c r="J162" s="792">
        <v>243.64524752508711</v>
      </c>
      <c r="K162" s="16"/>
      <c r="L162" s="673" t="s">
        <v>397</v>
      </c>
      <c r="M162" s="826">
        <f t="shared" ref="M162:M166" si="38" ca="1">E162</f>
        <v>11.73702261514271</v>
      </c>
      <c r="N162" s="793">
        <f t="shared" ref="N162:R166" si="39" ca="1">F162/Share_Price-1</f>
        <v>-0.15645785631479436</v>
      </c>
      <c r="O162" s="661">
        <f ca="1">G162/Share_Price-1</f>
        <v>-0.10612325379681364</v>
      </c>
      <c r="P162" s="661">
        <f ca="1">H162/Share_Price-1</f>
        <v>-0.055788651278833146</v>
      </c>
      <c r="Q162" s="661">
        <f ca="1">I162/Share_Price-1</f>
        <v>-0.005454048760852537</v>
      </c>
      <c r="R162" s="794">
        <f ca="1">J162/Share_Price-1</f>
        <v>0.04488055375712796</v>
      </c>
      <c r="S162" s="16"/>
      <c r="T162" s="16"/>
      <c r="U162" s="16"/>
      <c r="V162" s="16"/>
      <c r="W162" s="16"/>
      <c r="X162" s="16"/>
      <c r="Y162" s="16"/>
      <c r="Z162" s="16"/>
      <c r="AA162" s="16"/>
      <c r="AB162" s="16"/>
    </row>
    <row r="163" ht="14.25" customHeight="1" spans="1:28" x14ac:dyDescent="0.25">
      <c r="A163" s="16"/>
      <c r="B163" s="16"/>
      <c r="C163" s="16"/>
      <c r="D163" s="678"/>
      <c r="E163" s="826">
        <f ca="1">$E$164*(1-$E$153)</f>
        <v>13.204150442035548</v>
      </c>
      <c r="F163" s="795">
        <v>221.28430169758082</v>
      </c>
      <c r="G163" s="796">
        <v>234.48845213961636</v>
      </c>
      <c r="H163" s="796">
        <v>247.6926025816519</v>
      </c>
      <c r="I163" s="796">
        <v>260.89675302368744</v>
      </c>
      <c r="J163" s="797">
        <v>274.100903465723</v>
      </c>
      <c r="K163" s="16"/>
      <c r="L163" s="678"/>
      <c r="M163" s="826">
        <f ca="1">E163</f>
        <v>13.204150442035548</v>
      </c>
      <c r="N163" s="798">
        <f ca="1">F163/Share_Price-1</f>
        <v>-0.05101508835414359</v>
      </c>
      <c r="O163" s="552">
        <f ca="1">G163/Share_Price-1</f>
        <v>0.005611339478584609</v>
      </c>
      <c r="P163" s="552">
        <f ca="1">H163/Share_Price-1</f>
        <v>0.062237767311312586</v>
      </c>
      <c r="Q163" s="552">
        <f ca="1">I163/Share_Price-1</f>
        <v>0.11886419514404079</v>
      </c>
      <c r="R163" s="674">
        <f ca="1">J163/Share_Price-1</f>
        <v>0.17549062297676898</v>
      </c>
      <c r="S163" s="16"/>
      <c r="T163" s="16"/>
      <c r="U163" s="16"/>
      <c r="V163" s="16"/>
      <c r="W163" s="16"/>
      <c r="X163" s="16"/>
      <c r="Y163" s="16"/>
      <c r="Z163" s="16"/>
      <c r="AA163" s="16"/>
      <c r="AB163" s="16"/>
    </row>
    <row r="164" ht="14.25" customHeight="1" spans="1:28" x14ac:dyDescent="0.25">
      <c r="A164" s="16"/>
      <c r="B164" s="16"/>
      <c r="C164" s="16"/>
      <c r="D164" s="678"/>
      <c r="E164" s="827">
        <v>14.671278268928386</v>
      </c>
      <c r="F164" s="795">
        <v>245.87144633064534</v>
      </c>
      <c r="G164" s="796">
        <v>260.5427245995737</v>
      </c>
      <c r="H164" s="796">
        <v>275.2140028685021</v>
      </c>
      <c r="I164" s="796">
        <v>289.88528113743047</v>
      </c>
      <c r="J164" s="797">
        <v>304.5565594063589</v>
      </c>
      <c r="K164" s="16"/>
      <c r="L164" s="678"/>
      <c r="M164" s="826">
        <f ca="1">E164</f>
        <v>14.671278268928386</v>
      </c>
      <c r="N164" s="798">
        <f ca="1">F164/Share_Price-1</f>
        <v>0.05442767960650707</v>
      </c>
      <c r="O164" s="552">
        <f ca="1">G164/Share_Price-1</f>
        <v>0.11734593275398275</v>
      </c>
      <c r="P164" s="552">
        <f ca="1">H164/Share_Price-1</f>
        <v>0.18026418590145865</v>
      </c>
      <c r="Q164" s="552">
        <f ca="1">I164/Share_Price-1</f>
        <v>0.2431824390489341</v>
      </c>
      <c r="R164" s="674">
        <f ca="1">J164/Share_Price-1</f>
        <v>0.30610069219641</v>
      </c>
      <c r="S164" s="16"/>
      <c r="T164" s="16"/>
      <c r="U164" s="16"/>
      <c r="V164" s="16"/>
      <c r="W164" s="16"/>
      <c r="X164" s="16"/>
      <c r="Y164" s="16"/>
      <c r="Z164" s="16"/>
      <c r="AA164" s="16"/>
      <c r="AB164" s="16"/>
    </row>
    <row r="165" ht="14.25" customHeight="1" spans="1:28" x14ac:dyDescent="0.25">
      <c r="A165" s="16"/>
      <c r="B165" s="16"/>
      <c r="C165" s="16"/>
      <c r="D165" s="678"/>
      <c r="E165" s="826">
        <f ca="1">$E$164*(1+$E$153)</f>
        <v>16.138406095821225</v>
      </c>
      <c r="F165" s="795">
        <v>270.45859096370987</v>
      </c>
      <c r="G165" s="796">
        <v>286.5969970595311</v>
      </c>
      <c r="H165" s="796">
        <v>302.7354031553523</v>
      </c>
      <c r="I165" s="796">
        <v>318.87380925117355</v>
      </c>
      <c r="J165" s="797">
        <v>335.01221534699476</v>
      </c>
      <c r="K165" s="16"/>
      <c r="L165" s="678"/>
      <c r="M165" s="826">
        <f ca="1">E165</f>
        <v>16.138406095821225</v>
      </c>
      <c r="N165" s="798">
        <f ca="1">F165/Share_Price-1</f>
        <v>0.15987044756715774</v>
      </c>
      <c r="O165" s="552">
        <f ca="1">G165/Share_Price-1</f>
        <v>0.22908052602938112</v>
      </c>
      <c r="P165" s="552">
        <f ca="1">H165/Share_Price-1</f>
        <v>0.29829060449160427</v>
      </c>
      <c r="Q165" s="552">
        <f ca="1">I165/Share_Price-1</f>
        <v>0.36750068295382765</v>
      </c>
      <c r="R165" s="674">
        <f ca="1">J165/Share_Price-1</f>
        <v>0.43671076141605103</v>
      </c>
      <c r="S165" s="16"/>
      <c r="T165" s="16"/>
      <c r="U165" s="16"/>
      <c r="V165" s="16"/>
      <c r="W165" s="16"/>
      <c r="X165" s="16"/>
      <c r="Y165" s="16"/>
      <c r="Z165" s="16"/>
      <c r="AA165" s="16"/>
      <c r="AB165" s="16"/>
    </row>
    <row r="166" ht="14.25" customHeight="1" spans="1:28" x14ac:dyDescent="0.25">
      <c r="A166" s="16"/>
      <c r="B166" s="16"/>
      <c r="C166" s="16"/>
      <c r="D166" s="683"/>
      <c r="E166" s="826">
        <f ca="1">$E$164*(1+(2*$E$153))</f>
        <v>17.605533922714063</v>
      </c>
      <c r="F166" s="801">
        <v>295.04573559677436</v>
      </c>
      <c r="G166" s="802">
        <v>312.65126951948844</v>
      </c>
      <c r="H166" s="802">
        <v>330.2568034422025</v>
      </c>
      <c r="I166" s="802">
        <v>347.8623373649166</v>
      </c>
      <c r="J166" s="803">
        <v>365.46787128763066</v>
      </c>
      <c r="K166" s="16"/>
      <c r="L166" s="683"/>
      <c r="M166" s="826">
        <f ca="1">E166</f>
        <v>17.605533922714063</v>
      </c>
      <c r="N166" s="804">
        <f ca="1">F166/Share_Price-1</f>
        <v>0.2653132155278084</v>
      </c>
      <c r="O166" s="670">
        <f ca="1">G166/Share_Price-1</f>
        <v>0.34081511930477926</v>
      </c>
      <c r="P166" s="670">
        <f ca="1">H166/Share_Price-1</f>
        <v>0.4163170230817501</v>
      </c>
      <c r="Q166" s="670">
        <f ca="1">I166/Share_Price-1</f>
        <v>0.491818926858721</v>
      </c>
      <c r="R166" s="805">
        <f ca="1">J166/Share_Price-1</f>
        <v>0.567320830635692</v>
      </c>
      <c r="S166" s="16"/>
      <c r="T166" s="16"/>
      <c r="U166" s="16"/>
      <c r="V166" s="16"/>
      <c r="W166" s="16"/>
      <c r="X166" s="16"/>
      <c r="Y166" s="16"/>
      <c r="Z166" s="16"/>
      <c r="AA166" s="16"/>
      <c r="AB166" s="16"/>
    </row>
    <row r="167" ht="14.25" customHeight="1" spans="1:28" x14ac:dyDescent="0.25">
      <c r="A167" s="16"/>
      <c r="B167" s="16"/>
      <c r="C167" s="16"/>
      <c r="D167" s="16"/>
      <c r="E167" s="16"/>
      <c r="F167" s="16"/>
      <c r="G167" s="16"/>
      <c r="H167" s="16"/>
      <c r="I167" s="16"/>
      <c r="J167" s="16"/>
      <c r="K167" s="16"/>
      <c r="L167" s="16"/>
      <c r="M167" s="16"/>
      <c r="N167" s="16"/>
      <c r="O167" s="16"/>
      <c r="P167" s="16"/>
      <c r="Q167" s="16"/>
      <c r="R167" s="16"/>
      <c r="S167" s="16"/>
      <c r="T167" s="16"/>
      <c r="U167" s="16"/>
      <c r="V167" s="16"/>
      <c r="W167" s="16"/>
      <c r="X167" s="16"/>
      <c r="Y167" s="16"/>
      <c r="Z167" s="16"/>
      <c r="AA167" s="16"/>
      <c r="AB167" s="16"/>
    </row>
    <row r="168" ht="14.25" customHeight="1" spans="1:28" x14ac:dyDescent="0.25">
      <c r="A168" s="16"/>
      <c r="B168" s="16"/>
      <c r="C168" s="16"/>
      <c r="D168" s="590"/>
      <c r="E168" s="592"/>
      <c r="F168" s="592" t="str">
        <f ca="1">G144&amp;" P/E Spread to Comps"</f>
        <v>NTM P/E Spread to Comps</v>
      </c>
      <c r="G168" s="668"/>
      <c r="H168" s="668"/>
      <c r="I168" s="668"/>
      <c r="J168" s="668"/>
      <c r="K168" s="16"/>
      <c r="L168" s="590"/>
      <c r="M168" s="592"/>
      <c r="N168" s="592" t="str">
        <f t="shared" ref="N168:N169" si="40" ca="1">F168</f>
        <v>NTM P/E Spread to Comps</v>
      </c>
      <c r="O168" s="668"/>
      <c r="P168" s="668"/>
      <c r="Q168" s="668"/>
      <c r="R168" s="668"/>
      <c r="S168" s="16"/>
      <c r="T168" s="16"/>
      <c r="U168" s="16"/>
      <c r="V168" s="16"/>
      <c r="W168" s="16"/>
      <c r="X168" s="16"/>
      <c r="Y168" s="16"/>
      <c r="Z168" s="16"/>
      <c r="AA168" s="16"/>
      <c r="AB168" s="16"/>
    </row>
    <row r="169" ht="14.25" customHeight="1" spans="1:28" x14ac:dyDescent="0.25">
      <c r="A169" s="16"/>
      <c r="B169" s="16"/>
      <c r="C169" s="16"/>
      <c r="D169" s="16"/>
      <c r="E169" s="785">
        <f ca="1">$J$126</f>
        <v>1e-12</v>
      </c>
      <c r="F169" s="786">
        <f t="shared" ref="F169:G169" si="41" ca="1">G169-$E$93</f>
        <v>17.28394025685649</v>
      </c>
      <c r="G169" s="786">
        <f ca="1">H169-$E$93</f>
        <v>18.28394025685649</v>
      </c>
      <c r="H169" s="787">
        <v>19.28394025685649</v>
      </c>
      <c r="I169" s="786">
        <f t="shared" ref="I169:J169" si="42" ca="1">H169+$E$93</f>
        <v>20.28394025685649</v>
      </c>
      <c r="J169" s="786">
        <f ca="1">I169+$E$93</f>
        <v>21.28394025685649</v>
      </c>
      <c r="K169" s="16"/>
      <c r="L169" s="16"/>
      <c r="M169" s="785">
        <f ca="1">$H$73</f>
        <v>1e-12</v>
      </c>
      <c r="N169" s="786">
        <f ca="1">F169</f>
        <v>17.28394025685649</v>
      </c>
      <c r="O169" s="786">
        <f t="shared" ref="O169:R169" si="43" ca="1">G169</f>
        <v>18.28394025685649</v>
      </c>
      <c r="P169" s="786">
        <f ca="1">H169</f>
        <v>19.28394025685649</v>
      </c>
      <c r="Q169" s="786">
        <f ca="1">I169</f>
        <v>20.28394025685649</v>
      </c>
      <c r="R169" s="786">
        <f ca="1">J169</f>
        <v>21.28394025685649</v>
      </c>
      <c r="S169" s="16"/>
      <c r="T169" s="16"/>
      <c r="U169" s="16"/>
      <c r="V169" s="16"/>
      <c r="W169" s="16"/>
      <c r="X169" s="16"/>
      <c r="Y169" s="16"/>
      <c r="Z169" s="16"/>
      <c r="AA169" s="16"/>
      <c r="AB169" s="16"/>
    </row>
    <row r="170" ht="14.25" customHeight="1" spans="1:28" x14ac:dyDescent="0.25">
      <c r="A170" s="16"/>
      <c r="B170" s="16"/>
      <c r="C170" s="16"/>
      <c r="D170" s="673" t="s">
        <v>397</v>
      </c>
      <c r="E170" s="826">
        <f ca="1">$E$172*(1-(2*$E$153))</f>
        <v>11.73702261514271</v>
      </c>
      <c r="F170" s="790">
        <v>202.8619976735001</v>
      </c>
      <c r="G170" s="791">
        <v>214.59902028864283</v>
      </c>
      <c r="H170" s="791">
        <v>226.33604290378554</v>
      </c>
      <c r="I170" s="791">
        <v>238.07306551892825</v>
      </c>
      <c r="J170" s="792">
        <v>249.81008813407095</v>
      </c>
      <c r="K170" s="16"/>
      <c r="L170" s="673" t="s">
        <v>397</v>
      </c>
      <c r="M170" s="826">
        <f t="shared" ref="M170:M174" si="44" ca="1">E170</f>
        <v>11.73702261514271</v>
      </c>
      <c r="N170" s="793">
        <f t="shared" ref="N170:R174" si="45" ca="1">F170/Share_Price-1</f>
        <v>-0.13001973722660565</v>
      </c>
      <c r="O170" s="661">
        <f ca="1">G170/Share_Price-1</f>
        <v>-0.07968513470862493</v>
      </c>
      <c r="P170" s="661">
        <f ca="1">H170/Share_Price-1</f>
        <v>-0.02935053219064443</v>
      </c>
      <c r="Q170" s="661">
        <f ca="1">I170/Share_Price-1</f>
        <v>0.02098407032733607</v>
      </c>
      <c r="R170" s="794">
        <f ca="1">J170/Share_Price-1</f>
        <v>0.07131867284531679</v>
      </c>
      <c r="S170" s="16"/>
      <c r="T170" s="16"/>
      <c r="U170" s="16"/>
      <c r="V170" s="16"/>
      <c r="W170" s="16"/>
      <c r="X170" s="16"/>
      <c r="Y170" s="16"/>
      <c r="Z170" s="16"/>
      <c r="AA170" s="16"/>
      <c r="AB170" s="16"/>
    </row>
    <row r="171" ht="14.25" customHeight="1" spans="1:28" x14ac:dyDescent="0.25">
      <c r="A171" s="16"/>
      <c r="B171" s="16"/>
      <c r="C171" s="16"/>
      <c r="D171" s="678"/>
      <c r="E171" s="826">
        <f ca="1">$E$172*(1-$E$153)</f>
        <v>13.204150442035548</v>
      </c>
      <c r="F171" s="795">
        <v>228.21974738268761</v>
      </c>
      <c r="G171" s="796">
        <v>241.42389782472316</v>
      </c>
      <c r="H171" s="796">
        <v>254.62804826675873</v>
      </c>
      <c r="I171" s="796">
        <v>267.83219870879424</v>
      </c>
      <c r="J171" s="797">
        <v>281.03634915082984</v>
      </c>
      <c r="K171" s="16"/>
      <c r="L171" s="678"/>
      <c r="M171" s="826">
        <f ca="1">E171</f>
        <v>13.204150442035548</v>
      </c>
      <c r="N171" s="798">
        <f ca="1">F171/Share_Price-1</f>
        <v>-0.02127220437993138</v>
      </c>
      <c r="O171" s="552">
        <f ca="1">G171/Share_Price-1</f>
        <v>0.03535422345279682</v>
      </c>
      <c r="P171" s="552">
        <f ca="1">H171/Share_Price-1</f>
        <v>0.09198065128552502</v>
      </c>
      <c r="Q171" s="552">
        <f ca="1">I171/Share_Price-1</f>
        <v>0.148607079118253</v>
      </c>
      <c r="R171" s="674">
        <f ca="1">J171/Share_Price-1</f>
        <v>0.20523350695098141</v>
      </c>
      <c r="S171" s="16"/>
      <c r="T171" s="16"/>
      <c r="U171" s="16"/>
      <c r="V171" s="16"/>
      <c r="W171" s="16"/>
      <c r="X171" s="16"/>
      <c r="Y171" s="16"/>
      <c r="Z171" s="16"/>
      <c r="AA171" s="16"/>
      <c r="AB171" s="16"/>
    </row>
    <row r="172" ht="14.25" customHeight="1" spans="1:28" x14ac:dyDescent="0.25">
      <c r="A172" s="16"/>
      <c r="B172" s="16"/>
      <c r="C172" s="16"/>
      <c r="D172" s="678"/>
      <c r="E172" s="827">
        <v>14.671278268928386</v>
      </c>
      <c r="F172" s="795">
        <v>253.57749709187513</v>
      </c>
      <c r="G172" s="796">
        <v>268.2487753608035</v>
      </c>
      <c r="H172" s="796">
        <v>282.9200536297319</v>
      </c>
      <c r="I172" s="796">
        <v>297.59133189866026</v>
      </c>
      <c r="J172" s="797">
        <v>312.26261016758866</v>
      </c>
      <c r="K172" s="16"/>
      <c r="L172" s="678"/>
      <c r="M172" s="826">
        <f ca="1">E172</f>
        <v>14.671278268928386</v>
      </c>
      <c r="N172" s="798">
        <f ca="1">F172/Share_Price-1</f>
        <v>0.08747532846674289</v>
      </c>
      <c r="O172" s="552">
        <f ca="1">G172/Share_Price-1</f>
        <v>0.15039358161421856</v>
      </c>
      <c r="P172" s="552">
        <f ca="1">H172/Share_Price-1</f>
        <v>0.21331183476169446</v>
      </c>
      <c r="Q172" s="552">
        <f ca="1">I172/Share_Price-1</f>
        <v>0.2762300879091699</v>
      </c>
      <c r="R172" s="674">
        <f ca="1">J172/Share_Price-1</f>
        <v>0.3391483410566458</v>
      </c>
      <c r="S172" s="16"/>
      <c r="T172" s="16"/>
      <c r="U172" s="16"/>
      <c r="V172" s="16"/>
      <c r="W172" s="16"/>
      <c r="X172" s="16"/>
      <c r="Y172" s="16"/>
      <c r="Z172" s="16"/>
      <c r="AA172" s="16"/>
      <c r="AB172" s="16"/>
    </row>
    <row r="173" ht="14.25" customHeight="1" spans="1:28" x14ac:dyDescent="0.25">
      <c r="A173" s="16"/>
      <c r="B173" s="16"/>
      <c r="C173" s="16"/>
      <c r="D173" s="678"/>
      <c r="E173" s="826">
        <f ca="1">$E$172*(1+$E$153)</f>
        <v>16.138406095821225</v>
      </c>
      <c r="F173" s="795">
        <v>278.93524680106265</v>
      </c>
      <c r="G173" s="796">
        <v>295.07365289688386</v>
      </c>
      <c r="H173" s="796">
        <v>311.21205899270507</v>
      </c>
      <c r="I173" s="796">
        <v>327.3504650885263</v>
      </c>
      <c r="J173" s="797">
        <v>343.48887118434754</v>
      </c>
      <c r="K173" s="16"/>
      <c r="L173" s="678"/>
      <c r="M173" s="826">
        <f ca="1">E173</f>
        <v>16.138406095821225</v>
      </c>
      <c r="N173" s="798">
        <f ca="1">F173/Share_Price-1</f>
        <v>0.19622286131341737</v>
      </c>
      <c r="O173" s="552">
        <f ca="1">G173/Share_Price-1</f>
        <v>0.26543293977564053</v>
      </c>
      <c r="P173" s="552">
        <f ca="1">H173/Share_Price-1</f>
        <v>0.3346430182378637</v>
      </c>
      <c r="Q173" s="552">
        <f ca="1">I173/Share_Price-1</f>
        <v>0.40385309670008684</v>
      </c>
      <c r="R173" s="674">
        <f ca="1">J173/Share_Price-1</f>
        <v>0.47306317516231045</v>
      </c>
      <c r="S173" s="16"/>
      <c r="T173" s="16"/>
      <c r="U173" s="16"/>
      <c r="V173" s="16"/>
      <c r="W173" s="16"/>
      <c r="X173" s="16"/>
      <c r="Y173" s="16"/>
      <c r="Z173" s="16"/>
      <c r="AA173" s="16"/>
      <c r="AB173" s="16"/>
    </row>
    <row r="174" ht="14.25" customHeight="1" spans="1:28" x14ac:dyDescent="0.25">
      <c r="A174" s="16"/>
      <c r="B174" s="16"/>
      <c r="C174" s="16"/>
      <c r="D174" s="683"/>
      <c r="E174" s="826">
        <f ca="1">$E$172*(1+(2*$E$153))</f>
        <v>17.605533922714063</v>
      </c>
      <c r="F174" s="801">
        <v>304.29299651025013</v>
      </c>
      <c r="G174" s="802">
        <v>321.8985304329642</v>
      </c>
      <c r="H174" s="802">
        <v>339.5040643556783</v>
      </c>
      <c r="I174" s="802">
        <v>357.1095982783923</v>
      </c>
      <c r="J174" s="803">
        <v>374.71513220110637</v>
      </c>
      <c r="K174" s="16"/>
      <c r="L174" s="683"/>
      <c r="M174" s="826">
        <f ca="1">E174</f>
        <v>17.605533922714063</v>
      </c>
      <c r="N174" s="804">
        <f ca="1">F174/Share_Price-1</f>
        <v>0.3049703941600914</v>
      </c>
      <c r="O174" s="670">
        <f ca="1">G174/Share_Price-1</f>
        <v>0.3804722979370623</v>
      </c>
      <c r="P174" s="670">
        <f ca="1">H174/Share_Price-1</f>
        <v>0.45597420171403313</v>
      </c>
      <c r="Q174" s="670">
        <f ca="1">I174/Share_Price-1</f>
        <v>0.531476105491004</v>
      </c>
      <c r="R174" s="805">
        <f ca="1">J174/Share_Price-1</f>
        <v>0.6069780092679748</v>
      </c>
      <c r="S174" s="16"/>
      <c r="T174" s="16"/>
      <c r="U174" s="16"/>
      <c r="V174" s="16"/>
      <c r="W174" s="16"/>
      <c r="X174" s="16"/>
      <c r="Y174" s="16"/>
      <c r="Z174" s="16"/>
      <c r="AA174" s="16"/>
      <c r="AB174" s="16"/>
    </row>
    <row r="175" ht="14.25" customHeight="1" spans="1:28" x14ac:dyDescent="0.25">
      <c r="A175" s="16"/>
      <c r="B175" s="16"/>
      <c r="C175" s="16"/>
      <c r="D175" s="16"/>
      <c r="E175" s="16"/>
      <c r="F175" s="16"/>
      <c r="G175" s="16"/>
      <c r="H175" s="16"/>
      <c r="I175" s="16"/>
      <c r="J175" s="16"/>
      <c r="K175" s="16"/>
      <c r="L175" s="16"/>
      <c r="M175" s="16"/>
      <c r="N175" s="16"/>
      <c r="O175" s="16"/>
      <c r="P175" s="16"/>
      <c r="Q175" s="16"/>
      <c r="R175" s="16"/>
      <c r="S175" s="16"/>
      <c r="T175" s="16"/>
      <c r="U175" s="16"/>
      <c r="V175" s="16"/>
      <c r="W175" s="16"/>
      <c r="X175" s="16"/>
      <c r="Y175" s="16"/>
      <c r="Z175" s="16"/>
      <c r="AA175" s="16"/>
      <c r="AB175" s="16"/>
    </row>
    <row r="176" ht="14.25" customHeight="1" spans="1:28" x14ac:dyDescent="0.25">
      <c r="A176" s="16"/>
      <c r="B176" s="16"/>
      <c r="C176" s="16"/>
      <c r="D176" s="590"/>
      <c r="E176" s="592"/>
      <c r="F176" s="592" t="str">
        <f ca="1">G144&amp;" EV/EBITDA"</f>
        <v>NTM EV/EBITDA</v>
      </c>
      <c r="G176" s="668"/>
      <c r="H176" s="668"/>
      <c r="I176" s="668"/>
      <c r="J176" s="668"/>
      <c r="K176" s="16"/>
      <c r="L176" s="590"/>
      <c r="M176" s="592"/>
      <c r="N176" s="592" t="str">
        <f t="shared" ref="N176:N177" si="46" ca="1">F176</f>
        <v>NTM EV/EBITDA</v>
      </c>
      <c r="O176" s="668"/>
      <c r="P176" s="668"/>
      <c r="Q176" s="668"/>
      <c r="R176" s="668"/>
      <c r="S176" s="16"/>
      <c r="T176" s="16"/>
      <c r="U176" s="16"/>
      <c r="V176" s="16"/>
      <c r="W176" s="16"/>
      <c r="X176" s="16"/>
      <c r="Y176" s="16"/>
      <c r="Z176" s="16"/>
      <c r="AA176" s="16"/>
      <c r="AB176" s="16"/>
    </row>
    <row r="177" ht="14.25" customHeight="1" spans="1:28" x14ac:dyDescent="0.25">
      <c r="A177" s="16"/>
      <c r="B177" s="16"/>
      <c r="C177" s="16"/>
      <c r="D177" s="16"/>
      <c r="E177" s="785">
        <f ca="1">$N$137</f>
        <v>-24.124469589816126</v>
      </c>
      <c r="F177" s="786">
        <f t="shared" ref="F177:G177" si="47" ca="1">G177-$E$93</f>
        <v>10.439849999999998</v>
      </c>
      <c r="G177" s="786">
        <f ca="1">H177-$E$93</f>
        <v>11.439849999999998</v>
      </c>
      <c r="H177" s="787">
        <v>12.439849999999998</v>
      </c>
      <c r="I177" s="786">
        <f t="shared" ref="I177:J177" si="48" ca="1">H177+$E$93</f>
        <v>13.439849999999998</v>
      </c>
      <c r="J177" s="786">
        <f ca="1">I177+$E$93</f>
        <v>14.439849999999998</v>
      </c>
      <c r="K177" s="16"/>
      <c r="L177" s="16"/>
      <c r="M177" s="785">
        <f ca="1">$H$73</f>
        <v>1e-12</v>
      </c>
      <c r="N177" s="786">
        <f ca="1">F177</f>
        <v>10.439849999999998</v>
      </c>
      <c r="O177" s="786">
        <f t="shared" ref="O177:R177" si="49" ca="1">G177</f>
        <v>11.439849999999998</v>
      </c>
      <c r="P177" s="786">
        <f ca="1">H177</f>
        <v>12.439849999999998</v>
      </c>
      <c r="Q177" s="786">
        <f ca="1">I177</f>
        <v>13.439849999999998</v>
      </c>
      <c r="R177" s="786">
        <f ca="1">J177</f>
        <v>14.439849999999998</v>
      </c>
      <c r="S177" s="16"/>
      <c r="T177" s="16"/>
      <c r="U177" s="16"/>
      <c r="V177" s="16"/>
      <c r="W177" s="16"/>
      <c r="X177" s="16"/>
      <c r="Y177" s="16"/>
      <c r="Z177" s="16"/>
      <c r="AA177" s="16"/>
      <c r="AB177" s="16"/>
    </row>
    <row r="178" ht="14.25" customHeight="1" spans="1:28" x14ac:dyDescent="0.25">
      <c r="A178" s="16"/>
      <c r="B178" s="16"/>
      <c r="C178" s="16"/>
      <c r="D178" s="673" t="s">
        <v>292</v>
      </c>
      <c r="E178" s="762">
        <f ca="1">$E$180*(1-(2*$K$153))</f>
        <v>12087.035287774353</v>
      </c>
      <c r="F178" s="790">
        <v>155.53010888594085</v>
      </c>
      <c r="G178" s="791">
        <v>172.99692288561477</v>
      </c>
      <c r="H178" s="791">
        <v>190.46373688528865</v>
      </c>
      <c r="I178" s="791">
        <v>207.93055088496263</v>
      </c>
      <c r="J178" s="792">
        <v>225.39736488463652</v>
      </c>
      <c r="K178" s="16"/>
      <c r="L178" s="673" t="s">
        <v>292</v>
      </c>
      <c r="M178" s="762">
        <f t="shared" ref="M178:M182" si="50" ca="1">E178</f>
        <v>12087.035287774353</v>
      </c>
      <c r="N178" s="793">
        <f t="shared" ref="N178:R182" si="51" ca="1">F178/Share_Price-1</f>
        <v>-0.3330040788835198</v>
      </c>
      <c r="O178" s="661">
        <f ca="1">G178/Share_Price-1</f>
        <v>-0.2580970799999367</v>
      </c>
      <c r="P178" s="661">
        <f ca="1">H178/Share_Price-1</f>
        <v>-0.1831900811163537</v>
      </c>
      <c r="Q178" s="661">
        <f ca="1">I178/Share_Price-1</f>
        <v>-0.10828308223277028</v>
      </c>
      <c r="R178" s="794">
        <f ca="1">J178/Share_Price-1</f>
        <v>-0.03337608334918729</v>
      </c>
      <c r="S178" s="16"/>
      <c r="T178" s="16"/>
      <c r="U178" s="16"/>
      <c r="V178" s="16"/>
      <c r="W178" s="16"/>
      <c r="X178" s="16"/>
      <c r="Y178" s="16"/>
      <c r="Z178" s="16"/>
      <c r="AA178" s="16"/>
      <c r="AB178" s="16"/>
    </row>
    <row r="179" ht="14.25" customHeight="1" spans="1:28" x14ac:dyDescent="0.25">
      <c r="A179" s="16"/>
      <c r="B179" s="16"/>
      <c r="C179" s="16"/>
      <c r="D179" s="678"/>
      <c r="E179" s="762">
        <f ca="1">$E$180*(1-$K$153)</f>
        <v>13597.914698746146</v>
      </c>
      <c r="F179" s="795">
        <v>178.32397365275278</v>
      </c>
      <c r="G179" s="796">
        <v>197.97413940238593</v>
      </c>
      <c r="H179" s="796">
        <v>217.6243051520191</v>
      </c>
      <c r="I179" s="796">
        <v>237.27447090165225</v>
      </c>
      <c r="J179" s="797">
        <v>256.9246366512854</v>
      </c>
      <c r="K179" s="16"/>
      <c r="L179" s="678"/>
      <c r="M179" s="762">
        <f ca="1">E179</f>
        <v>13597.914698746146</v>
      </c>
      <c r="N179" s="798">
        <f ca="1">F179/Share_Price-1</f>
        <v>-0.23525184984667302</v>
      </c>
      <c r="O179" s="552">
        <f ca="1">G179/Share_Price-1</f>
        <v>-0.150981476102642</v>
      </c>
      <c r="P179" s="552">
        <f ca="1">H179/Share_Price-1</f>
        <v>-0.066711102358611</v>
      </c>
      <c r="Q179" s="552">
        <f ca="1">I179/Share_Price-1</f>
        <v>0.017559271385420017</v>
      </c>
      <c r="R179" s="674">
        <f ca="1">J179/Share_Price-1</f>
        <v>0.10182964512945114</v>
      </c>
      <c r="S179" s="16"/>
      <c r="T179" s="16"/>
      <c r="U179" s="16"/>
      <c r="V179" s="16"/>
      <c r="W179" s="16"/>
      <c r="X179" s="16"/>
      <c r="Y179" s="16"/>
      <c r="Z179" s="16"/>
      <c r="AA179" s="16"/>
      <c r="AB179" s="16"/>
    </row>
    <row r="180" ht="14.25" customHeight="1" spans="1:28" x14ac:dyDescent="0.25">
      <c r="A180" s="16"/>
      <c r="B180" s="16"/>
      <c r="C180" s="16"/>
      <c r="D180" s="678"/>
      <c r="E180" s="828">
        <v>15108.794109717941</v>
      </c>
      <c r="F180" s="795">
        <v>201.11783841956475</v>
      </c>
      <c r="G180" s="796">
        <v>222.95135591915715</v>
      </c>
      <c r="H180" s="796">
        <v>244.78487341874956</v>
      </c>
      <c r="I180" s="796">
        <v>266.61839091834196</v>
      </c>
      <c r="J180" s="797">
        <v>288.45190841793436</v>
      </c>
      <c r="K180" s="16"/>
      <c r="L180" s="678"/>
      <c r="M180" s="762">
        <f ca="1">E180</f>
        <v>15108.794109717941</v>
      </c>
      <c r="N180" s="798">
        <f ca="1">F180/Share_Price-1</f>
        <v>-0.13749962080982614</v>
      </c>
      <c r="O180" s="552">
        <f ca="1">G180/Share_Price-1</f>
        <v>-0.04386587220534721</v>
      </c>
      <c r="P180" s="552">
        <f ca="1">H180/Share_Price-1</f>
        <v>0.04976787639913183</v>
      </c>
      <c r="Q180" s="552">
        <f ca="1">I180/Share_Price-1</f>
        <v>0.14340162500361076</v>
      </c>
      <c r="R180" s="674">
        <f ca="1">J180/Share_Price-1</f>
        <v>0.23703537360808968</v>
      </c>
      <c r="S180" s="16"/>
      <c r="T180" s="16"/>
      <c r="U180" s="16"/>
      <c r="V180" s="16"/>
      <c r="W180" s="16"/>
      <c r="X180" s="16"/>
      <c r="Y180" s="16"/>
      <c r="Z180" s="16"/>
      <c r="AA180" s="16"/>
      <c r="AB180" s="16"/>
    </row>
    <row r="181" ht="14.25" customHeight="1" spans="1:28" x14ac:dyDescent="0.25">
      <c r="A181" s="16"/>
      <c r="B181" s="16"/>
      <c r="C181" s="16"/>
      <c r="D181" s="678"/>
      <c r="E181" s="762">
        <f ca="1">$E$180*(1+$K$153)</f>
        <v>16619.673520689736</v>
      </c>
      <c r="F181" s="795">
        <v>223.91170318637674</v>
      </c>
      <c r="G181" s="796">
        <v>247.92857243592837</v>
      </c>
      <c r="H181" s="796">
        <v>271.94544168548003</v>
      </c>
      <c r="I181" s="796">
        <v>295.96231093503167</v>
      </c>
      <c r="J181" s="797">
        <v>319.9791801845833</v>
      </c>
      <c r="K181" s="16"/>
      <c r="L181" s="678"/>
      <c r="M181" s="762">
        <f ca="1">E181</f>
        <v>16619.673520689736</v>
      </c>
      <c r="N181" s="798">
        <f ca="1">F181/Share_Price-1</f>
        <v>-0.039747391772979146</v>
      </c>
      <c r="O181" s="552">
        <f ca="1">G181/Share_Price-1</f>
        <v>0.06324973169194781</v>
      </c>
      <c r="P181" s="552">
        <f ca="1">H181/Share_Price-1</f>
        <v>0.16624685515687454</v>
      </c>
      <c r="Q181" s="552">
        <f ca="1">I181/Share_Price-1</f>
        <v>0.2692439786218015</v>
      </c>
      <c r="R181" s="674">
        <f ca="1">J181/Share_Price-1</f>
        <v>0.3722411020867282</v>
      </c>
      <c r="S181" s="16"/>
      <c r="T181" s="16"/>
      <c r="U181" s="16"/>
      <c r="V181" s="16"/>
      <c r="W181" s="16"/>
      <c r="X181" s="16"/>
      <c r="Y181" s="16"/>
      <c r="Z181" s="16"/>
      <c r="AA181" s="16"/>
      <c r="AB181" s="16"/>
    </row>
    <row r="182" ht="14.25" customHeight="1" spans="1:28" x14ac:dyDescent="0.25">
      <c r="A182" s="16"/>
      <c r="B182" s="16"/>
      <c r="C182" s="16"/>
      <c r="D182" s="683"/>
      <c r="E182" s="762">
        <f ca="1">$E$180*(1+(2*$K$153))</f>
        <v>18130.55293166153</v>
      </c>
      <c r="F182" s="801">
        <v>246.7055679531887</v>
      </c>
      <c r="G182" s="802">
        <v>272.90578895269954</v>
      </c>
      <c r="H182" s="802">
        <v>299.10600995221046</v>
      </c>
      <c r="I182" s="802">
        <v>325.3062309517213</v>
      </c>
      <c r="J182" s="803">
        <v>351.5064519512322</v>
      </c>
      <c r="K182" s="16"/>
      <c r="L182" s="683"/>
      <c r="M182" s="762">
        <f ca="1">E182</f>
        <v>18130.55293166153</v>
      </c>
      <c r="N182" s="804">
        <f ca="1">F182/Share_Price-1</f>
        <v>0.05800483726386774</v>
      </c>
      <c r="O182" s="670">
        <f ca="1">G182/Share_Price-1</f>
        <v>0.17036533558924227</v>
      </c>
      <c r="P182" s="670">
        <f ca="1">H182/Share_Price-1</f>
        <v>0.28272583391461725</v>
      </c>
      <c r="Q182" s="670">
        <f ca="1">I182/Share_Price-1</f>
        <v>0.3950863322399918</v>
      </c>
      <c r="R182" s="805">
        <f ca="1">J182/Share_Price-1</f>
        <v>0.5074468305653665</v>
      </c>
      <c r="S182" s="16"/>
      <c r="T182" s="16"/>
      <c r="U182" s="16"/>
      <c r="V182" s="16"/>
      <c r="W182" s="16"/>
      <c r="X182" s="16"/>
      <c r="Y182" s="16"/>
      <c r="Z182" s="16"/>
      <c r="AA182" s="16"/>
      <c r="AB182" s="16"/>
    </row>
    <row r="183" ht="14.25" customHeight="1" spans="1:28" x14ac:dyDescent="0.25">
      <c r="A183" s="16"/>
      <c r="B183" s="16"/>
      <c r="C183" s="16"/>
      <c r="D183" s="16"/>
      <c r="E183" s="16"/>
      <c r="F183" s="16"/>
      <c r="G183" s="16"/>
      <c r="H183" s="16"/>
      <c r="I183" s="16"/>
      <c r="J183" s="16"/>
      <c r="K183" s="16"/>
      <c r="L183" s="16"/>
      <c r="M183" s="16"/>
      <c r="N183" s="16"/>
      <c r="O183" s="16"/>
      <c r="P183" s="16"/>
      <c r="Q183" s="16"/>
      <c r="R183" s="16"/>
      <c r="S183" s="16"/>
      <c r="T183" s="16"/>
      <c r="U183" s="16"/>
      <c r="V183" s="16"/>
      <c r="W183" s="16"/>
      <c r="X183" s="16"/>
      <c r="Y183" s="16"/>
      <c r="Z183" s="16"/>
      <c r="AA183" s="16"/>
      <c r="AB183" s="16"/>
    </row>
    <row r="184" ht="14.25" customHeight="1" spans="1:28" x14ac:dyDescent="0.25">
      <c r="A184" s="16"/>
      <c r="B184" s="16"/>
      <c r="C184" s="16"/>
      <c r="D184" s="590"/>
      <c r="E184" s="592"/>
      <c r="F184" s="592" t="str">
        <f ca="1">G144&amp;" EV/EBITDA Spread to Comps"</f>
        <v>NTM EV/EBITDA Spread to Comps</v>
      </c>
      <c r="G184" s="668"/>
      <c r="H184" s="668"/>
      <c r="I184" s="668"/>
      <c r="J184" s="668"/>
      <c r="K184" s="16"/>
      <c r="L184" s="590"/>
      <c r="M184" s="592"/>
      <c r="N184" s="592" t="str">
        <f t="shared" ref="N184:N185" si="52" ca="1">F184</f>
        <v>NTM EV/EBITDA Spread to Comps</v>
      </c>
      <c r="O184" s="668"/>
      <c r="P184" s="668"/>
      <c r="Q184" s="668"/>
      <c r="R184" s="668"/>
      <c r="S184" s="16"/>
      <c r="T184" s="16"/>
      <c r="U184" s="16"/>
      <c r="V184" s="16"/>
      <c r="W184" s="16"/>
      <c r="X184" s="16"/>
      <c r="Y184" s="16"/>
      <c r="Z184" s="16"/>
      <c r="AA184" s="16"/>
      <c r="AB184" s="16"/>
    </row>
    <row r="185" ht="14.25" customHeight="1" spans="1:28" x14ac:dyDescent="0.25">
      <c r="A185" s="16"/>
      <c r="B185" s="16"/>
      <c r="C185" s="16"/>
      <c r="D185" s="16"/>
      <c r="E185" s="785">
        <f ca="1">$R$137</f>
        <v>-24.124469589816126</v>
      </c>
      <c r="F185" s="786">
        <f t="shared" ref="F185:G185" si="53" ca="1">G185-$E$93</f>
        <v>11.012839604943464</v>
      </c>
      <c r="G185" s="786">
        <f ca="1">H185-$E$93</f>
        <v>12.012839604943464</v>
      </c>
      <c r="H185" s="787">
        <v>13.012839604943464</v>
      </c>
      <c r="I185" s="786">
        <f t="shared" ref="I185:J185" si="54" ca="1">H185+$E$93</f>
        <v>14.012839604943464</v>
      </c>
      <c r="J185" s="786">
        <f ca="1">I185+$E$93</f>
        <v>15.012839604943464</v>
      </c>
      <c r="K185" s="16"/>
      <c r="L185" s="16"/>
      <c r="M185" s="785">
        <f ca="1">$H$73</f>
        <v>1e-12</v>
      </c>
      <c r="N185" s="786">
        <f ca="1">F185</f>
        <v>11.012839604943464</v>
      </c>
      <c r="O185" s="786">
        <f t="shared" ref="O185:R185" si="55" ca="1">G185</f>
        <v>12.012839604943464</v>
      </c>
      <c r="P185" s="786">
        <f ca="1">H185</f>
        <v>13.012839604943464</v>
      </c>
      <c r="Q185" s="786">
        <f ca="1">I185</f>
        <v>14.012839604943464</v>
      </c>
      <c r="R185" s="786">
        <f ca="1">J185</f>
        <v>15.012839604943464</v>
      </c>
      <c r="S185" s="16"/>
      <c r="T185" s="16"/>
      <c r="U185" s="16"/>
      <c r="V185" s="16"/>
      <c r="W185" s="16"/>
      <c r="X185" s="16"/>
      <c r="Y185" s="16"/>
      <c r="Z185" s="16"/>
      <c r="AA185" s="16"/>
      <c r="AB185" s="16"/>
    </row>
    <row r="186" ht="14.25" customHeight="1" spans="1:28" x14ac:dyDescent="0.25">
      <c r="A186" s="16"/>
      <c r="B186" s="16"/>
      <c r="C186" s="16"/>
      <c r="D186" s="673" t="s">
        <v>292</v>
      </c>
      <c r="E186" s="762">
        <f ca="1">$E$188*(1-(2*$K$153))</f>
        <v>12087.035287774353</v>
      </c>
      <c r="F186" s="790">
        <v>165.538411739235</v>
      </c>
      <c r="G186" s="791">
        <v>183.0052257389089</v>
      </c>
      <c r="H186" s="791">
        <v>200.47203973858285</v>
      </c>
      <c r="I186" s="791">
        <v>217.93885373825677</v>
      </c>
      <c r="J186" s="792">
        <v>235.4056677379307</v>
      </c>
      <c r="K186" s="16"/>
      <c r="L186" s="673" t="s">
        <v>292</v>
      </c>
      <c r="M186" s="762">
        <f t="shared" ref="M186:M190" si="56" ca="1">E186</f>
        <v>12087.035287774353</v>
      </c>
      <c r="N186" s="793">
        <f t="shared" ref="N186:R190" si="57" ca="1">F186/Share_Price-1</f>
        <v>-0.29008314718571493</v>
      </c>
      <c r="O186" s="661">
        <f ca="1">G186/Share_Price-1</f>
        <v>-0.21517614830213183</v>
      </c>
      <c r="P186" s="661">
        <f ca="1">H186/Share_Price-1</f>
        <v>-0.14026914941854862</v>
      </c>
      <c r="Q186" s="661">
        <f ca="1">I186/Share_Price-1</f>
        <v>-0.06536215053496541</v>
      </c>
      <c r="R186" s="794">
        <f ca="1">J186/Share_Price-1</f>
        <v>0.009544848348617796</v>
      </c>
      <c r="S186" s="16"/>
      <c r="T186" s="16"/>
      <c r="U186" s="16"/>
      <c r="V186" s="16"/>
      <c r="W186" s="16"/>
      <c r="X186" s="16"/>
      <c r="Y186" s="16"/>
      <c r="Z186" s="16"/>
      <c r="AA186" s="16"/>
      <c r="AB186" s="16"/>
    </row>
    <row r="187" ht="14.25" customHeight="1" spans="1:28" x14ac:dyDescent="0.25">
      <c r="A187" s="16"/>
      <c r="B187" s="16"/>
      <c r="C187" s="16"/>
      <c r="D187" s="678"/>
      <c r="E187" s="762">
        <f ca="1">$E$188*(1-$K$153)</f>
        <v>13597.914698746146</v>
      </c>
      <c r="F187" s="795">
        <v>189.5833143627087</v>
      </c>
      <c r="G187" s="796">
        <v>209.23348011234188</v>
      </c>
      <c r="H187" s="796">
        <v>228.88364586197503</v>
      </c>
      <c r="I187" s="796">
        <v>248.53381161160817</v>
      </c>
      <c r="J187" s="797">
        <v>268.1839773612413</v>
      </c>
      <c r="K187" s="16"/>
      <c r="L187" s="678"/>
      <c r="M187" s="762">
        <f ca="1">E187</f>
        <v>13597.914698746146</v>
      </c>
      <c r="N187" s="798">
        <f ca="1">F187/Share_Price-1</f>
        <v>-0.18696580168664256</v>
      </c>
      <c r="O187" s="552">
        <f ca="1">G187/Share_Price-1</f>
        <v>-0.10269542794261144</v>
      </c>
      <c r="P187" s="552">
        <f ca="1">H187/Share_Price-1</f>
        <v>-0.018425054198580426</v>
      </c>
      <c r="Q187" s="552">
        <f ca="1">I187/Share_Price-1</f>
        <v>0.06584531954545048</v>
      </c>
      <c r="R187" s="674">
        <f ca="1">J187/Share_Price-1</f>
        <v>0.1501156932894816</v>
      </c>
      <c r="S187" s="16"/>
      <c r="T187" s="16"/>
      <c r="U187" s="16"/>
      <c r="V187" s="16"/>
      <c r="W187" s="16"/>
      <c r="X187" s="16"/>
      <c r="Y187" s="16"/>
      <c r="Z187" s="16"/>
      <c r="AA187" s="16"/>
      <c r="AB187" s="16"/>
    </row>
    <row r="188" ht="14.25" customHeight="1" spans="1:28" x14ac:dyDescent="0.25">
      <c r="A188" s="16"/>
      <c r="B188" s="16"/>
      <c r="C188" s="16"/>
      <c r="D188" s="678"/>
      <c r="E188" s="828">
        <v>15108.794109717941</v>
      </c>
      <c r="F188" s="795">
        <v>213.62821698618245</v>
      </c>
      <c r="G188" s="796">
        <v>235.46173448577485</v>
      </c>
      <c r="H188" s="796">
        <v>257.29525198536726</v>
      </c>
      <c r="I188" s="796">
        <v>279.12876948495966</v>
      </c>
      <c r="J188" s="797">
        <v>300.96228698455207</v>
      </c>
      <c r="K188" s="16"/>
      <c r="L188" s="678"/>
      <c r="M188" s="762">
        <f ca="1">E188</f>
        <v>15108.794109717941</v>
      </c>
      <c r="N188" s="798">
        <f ca="1">F188/Share_Price-1</f>
        <v>-0.08384845618756998</v>
      </c>
      <c r="O188" s="552">
        <f ca="1">G188/Share_Price-1</f>
        <v>0.009785292416909064</v>
      </c>
      <c r="P188" s="552">
        <f ca="1">H188/Share_Price-1</f>
        <v>0.10341904102138799</v>
      </c>
      <c r="Q188" s="552">
        <f ca="1">I188/Share_Price-1</f>
        <v>0.19705278962586692</v>
      </c>
      <c r="R188" s="674">
        <f ca="1">J188/Share_Price-1</f>
        <v>0.29068653823034585</v>
      </c>
      <c r="S188" s="16"/>
      <c r="T188" s="16"/>
      <c r="U188" s="16"/>
      <c r="V188" s="16"/>
      <c r="W188" s="16"/>
      <c r="X188" s="16"/>
      <c r="Y188" s="16"/>
      <c r="Z188" s="16"/>
      <c r="AA188" s="16"/>
      <c r="AB188" s="16"/>
    </row>
    <row r="189" ht="14.25" customHeight="1" spans="1:28" x14ac:dyDescent="0.25">
      <c r="A189" s="16"/>
      <c r="B189" s="16"/>
      <c r="C189" s="16"/>
      <c r="D189" s="678"/>
      <c r="E189" s="762">
        <f ca="1">$E$188*(1+$K$153)</f>
        <v>16619.673520689736</v>
      </c>
      <c r="F189" s="795">
        <v>237.6731196096562</v>
      </c>
      <c r="G189" s="796">
        <v>261.68998885920786</v>
      </c>
      <c r="H189" s="796">
        <v>285.7068581087595</v>
      </c>
      <c r="I189" s="796">
        <v>309.7237273583111</v>
      </c>
      <c r="J189" s="797">
        <v>333.74059660786276</v>
      </c>
      <c r="K189" s="16"/>
      <c r="L189" s="678"/>
      <c r="M189" s="762">
        <f ca="1">E189</f>
        <v>16619.673520689736</v>
      </c>
      <c r="N189" s="798">
        <f ca="1">F189/Share_Price-1</f>
        <v>0.019268889311502724</v>
      </c>
      <c r="O189" s="552">
        <f ca="1">G189/Share_Price-1</f>
        <v>0.12226601277642968</v>
      </c>
      <c r="P189" s="552">
        <f ca="1">H189/Share_Price-1</f>
        <v>0.2252631362413564</v>
      </c>
      <c r="Q189" s="552">
        <f ca="1">I189/Share_Price-1</f>
        <v>0.32826025970628314</v>
      </c>
      <c r="R189" s="674">
        <f ca="1">J189/Share_Price-1</f>
        <v>0.4312573831712101</v>
      </c>
      <c r="S189" s="16"/>
      <c r="T189" s="16"/>
      <c r="U189" s="16"/>
      <c r="V189" s="16"/>
      <c r="W189" s="16"/>
      <c r="X189" s="16"/>
      <c r="Y189" s="16"/>
      <c r="Z189" s="16"/>
      <c r="AA189" s="16"/>
      <c r="AB189" s="16"/>
    </row>
    <row r="190" ht="14.25" customHeight="1" spans="1:28" x14ac:dyDescent="0.25">
      <c r="A190" s="16"/>
      <c r="B190" s="16"/>
      <c r="C190" s="16"/>
      <c r="D190" s="683"/>
      <c r="E190" s="762">
        <f ca="1">$E$188*(1+(2*$K$153))</f>
        <v>18130.55293166153</v>
      </c>
      <c r="F190" s="801">
        <v>261.71802223312994</v>
      </c>
      <c r="G190" s="802">
        <v>287.9182432326408</v>
      </c>
      <c r="H190" s="802">
        <v>314.11846423215167</v>
      </c>
      <c r="I190" s="802">
        <v>340.3186852316625</v>
      </c>
      <c r="J190" s="803">
        <v>366.51890623117345</v>
      </c>
      <c r="K190" s="16"/>
      <c r="L190" s="683"/>
      <c r="M190" s="762">
        <f ca="1">E190</f>
        <v>18130.55293166153</v>
      </c>
      <c r="N190" s="804">
        <f ca="1">F190/Share_Price-1</f>
        <v>0.12238623481057531</v>
      </c>
      <c r="O190" s="670">
        <f ca="1">G190/Share_Price-1</f>
        <v>0.23474673313594985</v>
      </c>
      <c r="P190" s="670">
        <f ca="1">H190/Share_Price-1</f>
        <v>0.3471072314613246</v>
      </c>
      <c r="Q190" s="670">
        <f ca="1">I190/Share_Price-1</f>
        <v>0.45946772978669914</v>
      </c>
      <c r="R190" s="805">
        <f ca="1">J190/Share_Price-1</f>
        <v>0.5718282281120741</v>
      </c>
      <c r="S190" s="16"/>
      <c r="T190" s="16"/>
      <c r="U190" s="16"/>
      <c r="V190" s="16"/>
      <c r="W190" s="16"/>
      <c r="X190" s="16"/>
      <c r="Y190" s="16"/>
      <c r="Z190" s="16"/>
      <c r="AA190" s="16"/>
      <c r="AB190" s="16"/>
    </row>
    <row r="191" ht="4.5" customHeight="1" spans="1:28" x14ac:dyDescent="0.25">
      <c r="A191" s="16"/>
      <c r="B191" s="16"/>
      <c r="C191" s="16"/>
      <c r="D191" s="16"/>
      <c r="E191" s="16"/>
      <c r="F191" s="16"/>
      <c r="G191" s="16"/>
      <c r="H191" s="16"/>
      <c r="I191" s="16"/>
      <c r="J191" s="16"/>
      <c r="K191" s="16"/>
      <c r="L191" s="16"/>
      <c r="M191" s="16"/>
      <c r="N191" s="16"/>
      <c r="O191" s="16"/>
      <c r="P191" s="16"/>
      <c r="Q191" s="16"/>
      <c r="R191" s="16"/>
      <c r="S191" s="16"/>
      <c r="T191" s="16"/>
      <c r="U191" s="16"/>
      <c r="V191" s="16"/>
      <c r="W191" s="16"/>
      <c r="X191" s="16"/>
      <c r="Y191" s="16"/>
      <c r="Z191" s="16"/>
      <c r="AA191" s="16"/>
      <c r="AB191" s="16"/>
    </row>
    <row r="192" ht="13.5" customHeight="1" spans="1:28" x14ac:dyDescent="0.25">
      <c r="A192" s="264" t="s">
        <v>1</v>
      </c>
      <c r="B192" s="16"/>
      <c r="C192" s="111" t="s">
        <v>901</v>
      </c>
      <c r="D192" s="112"/>
      <c r="E192" s="112"/>
      <c r="F192" s="112"/>
      <c r="G192" s="112"/>
      <c r="H192" s="112"/>
      <c r="I192" s="112"/>
      <c r="J192" s="112"/>
      <c r="K192" s="112"/>
      <c r="L192" s="112"/>
      <c r="M192" s="112"/>
      <c r="N192" s="112"/>
      <c r="O192" s="112"/>
      <c r="P192" s="112"/>
      <c r="Q192" s="112"/>
      <c r="R192" s="112"/>
      <c r="S192" s="264" t="s">
        <v>1</v>
      </c>
      <c r="T192" s="16"/>
      <c r="U192" s="16"/>
      <c r="V192" s="16"/>
      <c r="W192" s="16"/>
      <c r="X192" s="16"/>
      <c r="Y192" s="16"/>
      <c r="Z192" s="16"/>
      <c r="AA192" s="16"/>
      <c r="AB192" s="16"/>
    </row>
    <row r="193" ht="4.5" customHeight="1" spans="1:28" x14ac:dyDescent="0.25">
      <c r="A193" s="16"/>
      <c r="B193" s="16"/>
      <c r="C193" s="16"/>
      <c r="D193" s="16"/>
      <c r="E193" s="16"/>
      <c r="F193" s="16"/>
      <c r="G193" s="16"/>
      <c r="H193" s="16"/>
      <c r="I193" s="16"/>
      <c r="J193" s="16"/>
      <c r="K193" s="16"/>
      <c r="L193" s="16"/>
      <c r="M193" s="16"/>
      <c r="N193" s="16"/>
      <c r="O193" s="16"/>
      <c r="P193" s="16"/>
      <c r="Q193" s="16"/>
      <c r="R193" s="16"/>
      <c r="S193" s="16"/>
      <c r="T193" s="16"/>
      <c r="U193" s="16"/>
      <c r="V193" s="16"/>
      <c r="W193" s="16"/>
      <c r="X193" s="16"/>
      <c r="Y193" s="16"/>
      <c r="Z193" s="16"/>
      <c r="AA193" s="16"/>
      <c r="AB193" s="16"/>
    </row>
    <row r="194" ht="13.5" customHeight="1" spans="1:28" x14ac:dyDescent="0.25">
      <c r="A194" s="16"/>
      <c r="B194" s="16"/>
      <c r="C194" s="16"/>
      <c r="D194" s="92" t="s">
        <v>862</v>
      </c>
      <c r="E194" s="22"/>
      <c r="F194" s="7"/>
      <c r="G194" s="16"/>
      <c r="H194" s="92" t="s">
        <v>863</v>
      </c>
      <c r="I194" s="22"/>
      <c r="J194" s="7"/>
      <c r="K194" s="16"/>
      <c r="L194" s="92" t="s">
        <v>140</v>
      </c>
      <c r="M194" s="22"/>
      <c r="N194" s="7"/>
      <c r="O194" s="16"/>
      <c r="P194" s="92" t="s">
        <v>864</v>
      </c>
      <c r="Q194" s="22"/>
      <c r="R194" s="22"/>
      <c r="S194" s="188"/>
      <c r="T194" s="16"/>
      <c r="U194" s="16"/>
      <c r="V194" s="16"/>
      <c r="W194" s="16"/>
      <c r="X194" s="16"/>
      <c r="Y194" s="16"/>
      <c r="Z194" s="16"/>
      <c r="AA194" s="16"/>
      <c r="AB194" s="16"/>
    </row>
    <row r="195" ht="4.5" customHeight="1" spans="1:28" x14ac:dyDescent="0.25">
      <c r="A195" s="16"/>
      <c r="B195" s="16"/>
      <c r="C195" s="16"/>
      <c r="D195" s="190"/>
      <c r="E195" s="132"/>
      <c r="F195" s="283"/>
      <c r="G195" s="16"/>
      <c r="H195" s="190"/>
      <c r="I195" s="132"/>
      <c r="J195" s="283"/>
      <c r="K195" s="16"/>
      <c r="L195" s="190"/>
      <c r="M195" s="132"/>
      <c r="N195" s="283"/>
      <c r="O195" s="16"/>
      <c r="P195" s="190"/>
      <c r="Q195" s="132"/>
      <c r="R195" s="132"/>
      <c r="S195" s="188"/>
      <c r="T195" s="16"/>
      <c r="U195" s="16"/>
      <c r="V195" s="16"/>
      <c r="W195" s="16"/>
      <c r="X195" s="16"/>
      <c r="Y195" s="16"/>
      <c r="Z195" s="16"/>
      <c r="AA195" s="16"/>
      <c r="AB195" s="16"/>
    </row>
    <row r="196" ht="13.5" customHeight="1" spans="1:28" x14ac:dyDescent="0.25">
      <c r="A196" s="16"/>
      <c r="B196" s="16"/>
      <c r="C196" s="16"/>
      <c r="D196" s="188" t="s">
        <v>865</v>
      </c>
      <c r="E196" s="16"/>
      <c r="F196" s="808">
        <f ca="1">$D$11</f>
        <v>18.6398</v>
      </c>
      <c r="G196" s="16"/>
      <c r="H196" s="813" t="s">
        <v>902</v>
      </c>
      <c r="I196" s="16"/>
      <c r="J196" s="808">
        <f t="array" ref="J196" ca="1">INDEX(Company_Cyclical_Multiples_Data,MATCH(CONCATENATE($G$220," ",$G$221),'Multiples Data'!$C$14:$C$26,0),MATCH(CONCATENATE(Valuation!$G$222," P/E"),'Multiples Data'!$C$14:$H$14,0))</f>
        <v>16.548837499999998</v>
      </c>
      <c r="K196" s="16"/>
      <c r="L196" s="188" t="s">
        <v>865</v>
      </c>
      <c r="M196" s="16"/>
      <c r="N196" s="808">
        <f ca="1">$D$12</f>
        <v>12.4849</v>
      </c>
      <c r="O196" s="16"/>
      <c r="P196" s="813" t="s">
        <v>902</v>
      </c>
      <c r="Q196" s="16"/>
      <c r="R196" s="808">
        <f t="array" ref="R196" ca="1">INDEX(Company_Cyclical_Multiples_Data,MATCH(CONCATENATE($G$220," ",$G$221),'Multiples Data'!$C$14:$C$26,0),MATCH(CONCATENATE(Valuation!$G$222," EV/EBITDA"),'Multiples Data'!$C$14:$H$14,0))</f>
        <v>7.408287499999999</v>
      </c>
      <c r="S196" s="188"/>
      <c r="T196" s="16"/>
      <c r="U196" s="16"/>
      <c r="V196" s="16"/>
      <c r="W196" s="16"/>
      <c r="X196" s="16"/>
      <c r="Y196" s="16"/>
      <c r="Z196" s="16"/>
      <c r="AA196" s="16"/>
      <c r="AB196" s="16"/>
    </row>
    <row r="197" ht="13.5" customHeight="1" spans="1:28" x14ac:dyDescent="0.25">
      <c r="A197" s="16"/>
      <c r="B197" s="16"/>
      <c r="C197" s="16"/>
      <c r="D197" s="813" t="s">
        <v>903</v>
      </c>
      <c r="E197" s="16"/>
      <c r="F197" s="808">
        <f t="array" ref="F197" ca="1">INDEX(Company_Cyclical_Multiples_Data,MATCH(CONCATENATE($G$220," ",$G$221),'Multiples Data'!$C$14:$C$26,0),MATCH(CONCATENATE(Valuation!$G$222," P/E"),'Multiples Data'!$C$14:$H$14,0))</f>
        <v>16.548837499999998</v>
      </c>
      <c r="G197" s="16"/>
      <c r="H197" s="813" t="s">
        <v>904</v>
      </c>
      <c r="I197" s="16"/>
      <c r="J197" s="808">
        <f t="array" ref="J197" ca="1">INDEX($J$220:$O$222,2,MATCH($G$223,$J$220:$O$220,0))</f>
        <v>17.335633750000007</v>
      </c>
      <c r="K197" s="16"/>
      <c r="L197" s="188" t="s">
        <v>903</v>
      </c>
      <c r="M197" s="16"/>
      <c r="N197" s="808">
        <f t="array" ref="N197" ca="1">INDEX(Company_Cyclical_Multiples_Data,MATCH(CONCATENATE($G$220," ",$G$221),'Multiples Data'!$C$14:$C$26,0),MATCH(CONCATENATE(Valuation!$G$222," EV/EBITDA"),'Multiples Data'!$C$14:$H$14,0))</f>
        <v>7.408287499999999</v>
      </c>
      <c r="O197" s="16"/>
      <c r="P197" s="813" t="s">
        <v>904</v>
      </c>
      <c r="Q197" s="16"/>
      <c r="R197" s="808">
        <f t="array" ref="R197" ca="1">INDEX($J$220:$O$222,3,MATCH($G$223,$J$220:$O$220,0))</f>
        <v>9.083377500000001</v>
      </c>
      <c r="S197" s="188"/>
      <c r="T197" s="16"/>
      <c r="U197" s="16"/>
      <c r="V197" s="16"/>
      <c r="W197" s="16"/>
      <c r="X197" s="16"/>
      <c r="Y197" s="16"/>
      <c r="Z197" s="16"/>
      <c r="AA197" s="16"/>
      <c r="AB197" s="16"/>
    </row>
    <row r="198" ht="13.5" customHeight="1" spans="1:28" x14ac:dyDescent="0.25">
      <c r="A198" s="16"/>
      <c r="B198" s="16"/>
      <c r="C198" s="16"/>
      <c r="D198" s="307" t="s">
        <v>869</v>
      </c>
      <c r="E198" s="303"/>
      <c r="F198" s="809">
        <f ca="1">F196/F197-1</f>
        <v>0.12635102012452548</v>
      </c>
      <c r="G198" s="16"/>
      <c r="H198" s="307" t="s">
        <v>870</v>
      </c>
      <c r="I198" s="16"/>
      <c r="J198" s="810">
        <f ca="1">J196/J197-1</f>
        <v>-0.04538606787305999</v>
      </c>
      <c r="K198" s="16"/>
      <c r="L198" s="307" t="s">
        <v>869</v>
      </c>
      <c r="M198" s="303"/>
      <c r="N198" s="809">
        <f ca="1">N196/N197-1</f>
        <v>0.6852612698953706</v>
      </c>
      <c r="O198" s="16"/>
      <c r="P198" s="307" t="s">
        <v>870</v>
      </c>
      <c r="Q198" s="16"/>
      <c r="R198" s="809">
        <f ca="1">R196/R197-1</f>
        <v>-0.18441268129613697</v>
      </c>
      <c r="S198" s="188"/>
      <c r="T198" s="16"/>
      <c r="U198" s="16"/>
      <c r="V198" s="16"/>
      <c r="W198" s="16"/>
      <c r="X198" s="16"/>
      <c r="Y198" s="16"/>
      <c r="Z198" s="16"/>
      <c r="AA198" s="16"/>
      <c r="AB198" s="16"/>
    </row>
    <row r="199" ht="13.5" customHeight="1" spans="1:28" x14ac:dyDescent="0.25">
      <c r="A199" s="16"/>
      <c r="B199" s="16"/>
      <c r="C199" s="16"/>
      <c r="D199" s="307" t="s">
        <v>871</v>
      </c>
      <c r="E199" s="303"/>
      <c r="F199" s="811">
        <v>0</v>
      </c>
      <c r="G199" s="16"/>
      <c r="H199" s="188" t="s">
        <v>872</v>
      </c>
      <c r="I199" s="16"/>
      <c r="J199" s="808">
        <f ca="1">IF($G$223=$K$220,$E$11,IF($G$223=$M$220,$E$16,IF($G$223=$O$220,$E$21,"N/A")))</f>
        <v>22.233219999999996</v>
      </c>
      <c r="K199" s="16"/>
      <c r="L199" s="307" t="s">
        <v>871</v>
      </c>
      <c r="M199" s="303"/>
      <c r="N199" s="811">
        <v>0</v>
      </c>
      <c r="O199" s="16"/>
      <c r="P199" s="188" t="s">
        <v>872</v>
      </c>
      <c r="Q199" s="16"/>
      <c r="R199" s="808">
        <f ca="1">IF($G$223=$K$220,$E$12,IF($G$223=$M$220,$E$17,IF($G$223=$O$220,$E$22,"N/A")))</f>
        <v>15.517159999999999</v>
      </c>
      <c r="S199" s="188"/>
      <c r="T199" s="16"/>
      <c r="U199" s="16"/>
      <c r="V199" s="16"/>
      <c r="W199" s="16"/>
      <c r="X199" s="16"/>
      <c r="Y199" s="16"/>
      <c r="Z199" s="16"/>
      <c r="AA199" s="16"/>
      <c r="AB199" s="16"/>
    </row>
    <row r="200" ht="13.5" customHeight="1" spans="1:28" x14ac:dyDescent="0.25">
      <c r="A200" s="16"/>
      <c r="B200" s="16"/>
      <c r="C200" s="16"/>
      <c r="D200" s="188"/>
      <c r="E200" s="16"/>
      <c r="F200" s="189"/>
      <c r="G200" s="16"/>
      <c r="H200" s="188"/>
      <c r="I200" s="16"/>
      <c r="J200" s="189"/>
      <c r="K200" s="16"/>
      <c r="L200" s="188"/>
      <c r="M200" s="16"/>
      <c r="N200" s="189"/>
      <c r="O200" s="16"/>
      <c r="P200" s="188"/>
      <c r="Q200" s="16"/>
      <c r="R200" s="189"/>
      <c r="S200" s="188"/>
      <c r="T200" s="16"/>
      <c r="U200" s="16"/>
      <c r="V200" s="16"/>
      <c r="W200" s="16"/>
      <c r="X200" s="16"/>
      <c r="Y200" s="16"/>
      <c r="Z200" s="16"/>
      <c r="AA200" s="16"/>
      <c r="AB200" s="16"/>
    </row>
    <row r="201" ht="13.5" customHeight="1" spans="1:28" x14ac:dyDescent="0.25">
      <c r="A201" s="16"/>
      <c r="B201" s="16"/>
      <c r="C201" s="16"/>
      <c r="D201" s="188" t="s">
        <v>873</v>
      </c>
      <c r="E201" s="16"/>
      <c r="F201" s="808">
        <f ca="1">F197*(1+F199)</f>
        <v>16.548837499999998</v>
      </c>
      <c r="G201" s="16"/>
      <c r="H201" s="188" t="s">
        <v>873</v>
      </c>
      <c r="I201" s="16"/>
      <c r="J201" s="808">
        <f ca="1">J199*(1+J198)</f>
        <v>21.224141568043322</v>
      </c>
      <c r="K201" s="16"/>
      <c r="L201" s="188" t="s">
        <v>873</v>
      </c>
      <c r="M201" s="16"/>
      <c r="N201" s="808">
        <f ca="1">N197*(1+N199)</f>
        <v>7.408287499999999</v>
      </c>
      <c r="O201" s="16"/>
      <c r="P201" s="188" t="s">
        <v>873</v>
      </c>
      <c r="Q201" s="16"/>
      <c r="R201" s="808">
        <f ca="1">R199*(1+R198)</f>
        <v>12.655598918298834</v>
      </c>
      <c r="S201" s="188"/>
      <c r="T201" s="16"/>
      <c r="U201" s="16"/>
      <c r="V201" s="16"/>
      <c r="W201" s="16"/>
      <c r="X201" s="16"/>
      <c r="Y201" s="16"/>
      <c r="Z201" s="16"/>
      <c r="AA201" s="16"/>
      <c r="AB201" s="16"/>
    </row>
    <row r="202" ht="13.5" customHeight="1" spans="1:28" x14ac:dyDescent="0.25">
      <c r="A202" s="16"/>
      <c r="B202" s="16"/>
      <c r="C202" s="16"/>
      <c r="D202" s="188" t="s">
        <v>874</v>
      </c>
      <c r="E202" s="16"/>
      <c r="F202" s="812">
        <f ca="1">SUM(NTM_EPS)</f>
      </c>
      <c r="G202" s="16"/>
      <c r="H202" s="188" t="s">
        <v>874</v>
      </c>
      <c r="I202" s="16"/>
      <c r="J202" s="812">
        <f ca="1">SUM(NTM_EPS)</f>
      </c>
      <c r="K202" s="16"/>
      <c r="L202" s="813" t="s">
        <v>875</v>
      </c>
      <c r="M202" s="16"/>
      <c r="N202" s="814">
        <f ca="1">SUM(NTM_EBITDA)</f>
      </c>
      <c r="O202" s="16"/>
      <c r="P202" s="188" t="s">
        <v>875</v>
      </c>
      <c r="Q202" s="16"/>
      <c r="R202" s="814">
        <f ca="1">SUM(NTM_EBITDA)</f>
      </c>
      <c r="S202" s="188"/>
      <c r="T202" s="16"/>
      <c r="U202" s="16"/>
      <c r="V202" s="16"/>
      <c r="W202" s="16"/>
      <c r="X202" s="16"/>
      <c r="Y202" s="16"/>
      <c r="Z202" s="16"/>
      <c r="AA202" s="16"/>
      <c r="AB202" s="16"/>
    </row>
    <row r="203" ht="13.5" customHeight="1" spans="1:28" x14ac:dyDescent="0.25">
      <c r="A203" s="16"/>
      <c r="B203" s="16"/>
      <c r="C203" s="16"/>
      <c r="D203" s="188"/>
      <c r="E203" s="16"/>
      <c r="F203" s="815"/>
      <c r="G203" s="16"/>
      <c r="H203" s="188"/>
      <c r="I203" s="16"/>
      <c r="J203" s="815"/>
      <c r="K203" s="16"/>
      <c r="L203" s="188" t="s">
        <v>876</v>
      </c>
      <c r="M203" s="16"/>
      <c r="N203" s="814">
        <f ca="1">N201*N202</f>
        <v>1e-12</v>
      </c>
      <c r="O203" s="16"/>
      <c r="P203" s="188" t="s">
        <v>876</v>
      </c>
      <c r="Q203" s="16"/>
      <c r="R203" s="814">
        <f ca="1">R201*R202</f>
        <v>1e-12</v>
      </c>
      <c r="S203" s="188"/>
      <c r="T203" s="16"/>
      <c r="U203" s="16"/>
      <c r="V203" s="16"/>
      <c r="W203" s="16"/>
      <c r="X203" s="16"/>
      <c r="Y203" s="16"/>
      <c r="Z203" s="16"/>
      <c r="AA203" s="16"/>
      <c r="AB203" s="16"/>
    </row>
    <row r="204" ht="13.5" customHeight="1" spans="1:28" x14ac:dyDescent="0.25">
      <c r="A204" s="16"/>
      <c r="B204" s="16"/>
      <c r="C204" s="16"/>
      <c r="D204" s="188" t="s">
        <v>877</v>
      </c>
      <c r="E204" s="16"/>
      <c r="F204" s="812">
        <f ca="1">F201*F202</f>
        <v>1e-12</v>
      </c>
      <c r="G204" s="16"/>
      <c r="H204" s="188" t="s">
        <v>877</v>
      </c>
      <c r="I204" s="16"/>
      <c r="J204" s="812">
        <f ca="1">J201*J202</f>
        <v>1e-12</v>
      </c>
      <c r="K204" s="16"/>
      <c r="L204" s="188"/>
      <c r="M204" s="16"/>
      <c r="N204" s="189"/>
      <c r="O204" s="16"/>
      <c r="P204" s="188"/>
      <c r="Q204" s="16"/>
      <c r="R204" s="16"/>
      <c r="S204" s="188"/>
      <c r="T204" s="16"/>
      <c r="U204" s="16"/>
      <c r="V204" s="16"/>
      <c r="W204" s="16"/>
      <c r="X204" s="16"/>
      <c r="Y204" s="16"/>
      <c r="Z204" s="16"/>
      <c r="AA204" s="16"/>
      <c r="AB204" s="16"/>
    </row>
    <row r="205" ht="13.5" customHeight="1" spans="1:28" x14ac:dyDescent="0.25">
      <c r="A205" s="16"/>
      <c r="B205" s="16"/>
      <c r="C205" s="16"/>
      <c r="D205" s="311" t="s">
        <v>878</v>
      </c>
      <c r="E205" s="131"/>
      <c r="F205" s="773">
        <f ca="1">F204/Share_Price-1</f>
      </c>
      <c r="G205" s="16"/>
      <c r="H205" s="311" t="s">
        <v>878</v>
      </c>
      <c r="I205" s="131"/>
      <c r="J205" s="773">
        <f ca="1">J204/Share_Price-1</f>
      </c>
      <c r="K205" s="16"/>
      <c r="L205" s="188" t="s">
        <v>879</v>
      </c>
      <c r="M205" s="16"/>
      <c r="N205" s="765">
        <f t="shared" ref="N205:N210" si="58" ca="1">N127</f>
        <v>6255</v>
      </c>
      <c r="O205" s="16"/>
      <c r="P205" s="188" t="s">
        <v>879</v>
      </c>
      <c r="Q205" s="16"/>
      <c r="R205" s="765">
        <f t="shared" ref="R205:R210" si="59" ca="1">N205</f>
        <v>6255</v>
      </c>
      <c r="S205" s="188"/>
      <c r="T205" s="16"/>
      <c r="U205" s="16"/>
      <c r="V205" s="16"/>
      <c r="W205" s="16"/>
      <c r="X205" s="16"/>
      <c r="Y205" s="16"/>
      <c r="Z205" s="16"/>
      <c r="AA205" s="16"/>
      <c r="AB205" s="16"/>
    </row>
    <row r="206" ht="13.5" customHeight="1" spans="1:28" x14ac:dyDescent="0.25">
      <c r="A206" s="16"/>
      <c r="B206" s="16"/>
      <c r="C206" s="16"/>
      <c r="D206" s="16"/>
      <c r="E206" s="16"/>
      <c r="F206" s="16"/>
      <c r="G206" s="16"/>
      <c r="H206" s="16"/>
      <c r="I206" s="16"/>
      <c r="J206" s="16"/>
      <c r="K206" s="16"/>
      <c r="L206" s="188" t="s">
        <v>880</v>
      </c>
      <c r="M206" s="16"/>
      <c r="N206" s="765">
        <f ca="1">N128</f>
        <v>1e-12</v>
      </c>
      <c r="O206" s="16"/>
      <c r="P206" s="188" t="s">
        <v>880</v>
      </c>
      <c r="Q206" s="16"/>
      <c r="R206" s="765">
        <f ca="1">N206</f>
        <v>1e-12</v>
      </c>
      <c r="S206" s="188"/>
      <c r="T206" s="16"/>
      <c r="U206" s="16"/>
      <c r="V206" s="16"/>
      <c r="W206" s="16"/>
      <c r="X206" s="16"/>
      <c r="Y206" s="16"/>
      <c r="Z206" s="16"/>
      <c r="AA206" s="16"/>
      <c r="AB206" s="16"/>
    </row>
    <row r="207" ht="13.5" customHeight="1" spans="1:28" x14ac:dyDescent="0.25">
      <c r="A207" s="16"/>
      <c r="B207" s="16"/>
      <c r="C207" s="16"/>
      <c r="D207" s="16"/>
      <c r="E207" s="16"/>
      <c r="F207" s="16"/>
      <c r="G207" s="16"/>
      <c r="H207" s="16"/>
      <c r="I207" s="16"/>
      <c r="J207" s="16"/>
      <c r="K207" s="16"/>
      <c r="L207" s="188" t="s">
        <v>881</v>
      </c>
      <c r="M207" s="16"/>
      <c r="N207" s="765">
        <f ca="1">N129</f>
        <v>-23311</v>
      </c>
      <c r="O207" s="16"/>
      <c r="P207" s="188" t="s">
        <v>881</v>
      </c>
      <c r="Q207" s="16"/>
      <c r="R207" s="765">
        <f ca="1">N207</f>
        <v>-23311</v>
      </c>
      <c r="S207" s="188"/>
      <c r="T207" s="16"/>
      <c r="U207" s="16"/>
      <c r="V207" s="16"/>
      <c r="W207" s="16"/>
      <c r="X207" s="16"/>
      <c r="Y207" s="16"/>
      <c r="Z207" s="16"/>
      <c r="AA207" s="16"/>
      <c r="AB207" s="16"/>
    </row>
    <row r="208" ht="13.5" customHeight="1" spans="1:28" x14ac:dyDescent="0.25">
      <c r="A208" s="16"/>
      <c r="B208" s="16"/>
      <c r="C208" s="16"/>
      <c r="D208" s="16"/>
      <c r="E208" s="16"/>
      <c r="F208" s="16"/>
      <c r="G208" s="16"/>
      <c r="H208" s="16"/>
      <c r="I208" s="16"/>
      <c r="J208" s="16"/>
      <c r="K208" s="16"/>
      <c r="L208" s="188" t="s">
        <v>882</v>
      </c>
      <c r="M208" s="16"/>
      <c r="N208" s="765">
        <f ca="1">N130</f>
        <v>1e-12</v>
      </c>
      <c r="O208" s="16"/>
      <c r="P208" s="188" t="s">
        <v>882</v>
      </c>
      <c r="Q208" s="16"/>
      <c r="R208" s="765">
        <f ca="1">N208</f>
        <v>1e-12</v>
      </c>
      <c r="S208" s="188"/>
      <c r="T208" s="16"/>
      <c r="U208" s="16"/>
      <c r="V208" s="16"/>
      <c r="W208" s="16"/>
      <c r="X208" s="16"/>
      <c r="Y208" s="16"/>
      <c r="Z208" s="16"/>
      <c r="AA208" s="16"/>
      <c r="AB208" s="16"/>
    </row>
    <row r="209" ht="13.5" customHeight="1" spans="1:28" x14ac:dyDescent="0.25">
      <c r="A209" s="16"/>
      <c r="B209" s="718"/>
      <c r="C209" s="647"/>
      <c r="D209" s="16"/>
      <c r="E209" s="16"/>
      <c r="F209" s="16"/>
      <c r="G209" s="16"/>
      <c r="H209" s="16"/>
      <c r="I209" s="16"/>
      <c r="J209" s="16"/>
      <c r="K209" s="16"/>
      <c r="L209" s="188" t="s">
        <v>883</v>
      </c>
      <c r="M209" s="16"/>
      <c r="N209" s="765">
        <f ca="1">N131</f>
        <v>1e-12</v>
      </c>
      <c r="O209" s="16"/>
      <c r="P209" s="188" t="s">
        <v>883</v>
      </c>
      <c r="Q209" s="16"/>
      <c r="R209" s="765">
        <f ca="1">N209</f>
        <v>1e-12</v>
      </c>
      <c r="S209" s="188"/>
      <c r="T209" s="16"/>
      <c r="U209" s="16"/>
      <c r="V209" s="16"/>
      <c r="W209" s="16"/>
      <c r="X209" s="16"/>
      <c r="Y209" s="16"/>
      <c r="Z209" s="16"/>
      <c r="AA209" s="16"/>
      <c r="AB209" s="16"/>
    </row>
    <row r="210" ht="13.5" customHeight="1" spans="1:28" x14ac:dyDescent="0.25">
      <c r="A210" s="16"/>
      <c r="B210" s="718"/>
      <c r="C210" s="16"/>
      <c r="D210" s="84"/>
      <c r="E210" s="84"/>
      <c r="F210" s="345"/>
      <c r="G210" s="345"/>
      <c r="H210" s="345"/>
      <c r="I210" s="345"/>
      <c r="J210" s="345"/>
      <c r="K210" s="16"/>
      <c r="L210" s="188" t="s">
        <v>884</v>
      </c>
      <c r="M210" s="131"/>
      <c r="N210" s="819">
        <f ca="1">N132</f>
        <v>1e-12</v>
      </c>
      <c r="O210" s="16"/>
      <c r="P210" s="192" t="s">
        <v>884</v>
      </c>
      <c r="Q210" s="131"/>
      <c r="R210" s="819">
        <f ca="1">N210</f>
        <v>1e-12</v>
      </c>
      <c r="S210" s="188"/>
      <c r="T210" s="16"/>
      <c r="U210" s="16"/>
      <c r="V210" s="16"/>
      <c r="W210" s="16"/>
      <c r="X210" s="16"/>
      <c r="Y210" s="16"/>
      <c r="Z210" s="16"/>
      <c r="AA210" s="16"/>
      <c r="AB210" s="16"/>
    </row>
    <row r="211" ht="13.5" customHeight="1" spans="1:28" x14ac:dyDescent="0.25">
      <c r="A211" s="16"/>
      <c r="B211" s="718"/>
      <c r="C211" s="84"/>
      <c r="D211" s="724"/>
      <c r="E211" s="724"/>
      <c r="F211" s="724"/>
      <c r="G211" s="724"/>
      <c r="H211" s="724"/>
      <c r="I211" s="724"/>
      <c r="J211" s="724"/>
      <c r="K211" s="16"/>
      <c r="L211" s="190"/>
      <c r="M211" s="16"/>
      <c r="N211" s="189"/>
      <c r="O211" s="16"/>
      <c r="P211" s="188"/>
      <c r="Q211" s="16"/>
      <c r="R211" s="16"/>
      <c r="S211" s="188"/>
      <c r="T211" s="16"/>
      <c r="U211" s="16"/>
      <c r="V211" s="16"/>
      <c r="W211" s="16"/>
      <c r="X211" s="16"/>
      <c r="Y211" s="16"/>
      <c r="Z211" s="16"/>
      <c r="AA211" s="16"/>
      <c r="AB211" s="16"/>
    </row>
    <row r="212" ht="13.5" customHeight="1" spans="1:28" x14ac:dyDescent="0.25">
      <c r="A212" s="16"/>
      <c r="B212" s="16"/>
      <c r="C212" s="84"/>
      <c r="D212" s="724"/>
      <c r="E212" s="724"/>
      <c r="F212" s="724"/>
      <c r="G212" s="724"/>
      <c r="H212" s="724"/>
      <c r="I212" s="724"/>
      <c r="J212" s="724"/>
      <c r="K212" s="16"/>
      <c r="L212" s="188" t="s">
        <v>885</v>
      </c>
      <c r="M212" s="16"/>
      <c r="N212" s="814">
        <f ca="1">SUM(N203:N210)</f>
        <v>-17056</v>
      </c>
      <c r="O212" s="16"/>
      <c r="P212" s="188" t="s">
        <v>885</v>
      </c>
      <c r="Q212" s="16"/>
      <c r="R212" s="814">
        <f ca="1">SUM(R203:R210)</f>
        <v>-17056</v>
      </c>
      <c r="S212" s="188"/>
      <c r="T212" s="16"/>
      <c r="U212" s="16"/>
      <c r="V212" s="16"/>
      <c r="W212" s="16"/>
      <c r="X212" s="16"/>
      <c r="Y212" s="16"/>
      <c r="Z212" s="16"/>
      <c r="AA212" s="16"/>
      <c r="AB212" s="16"/>
    </row>
    <row r="213" ht="13.5" customHeight="1" spans="1:28" x14ac:dyDescent="0.25">
      <c r="A213" s="16"/>
      <c r="B213" s="16"/>
      <c r="C213" s="16"/>
      <c r="D213" s="16"/>
      <c r="E213" s="16"/>
      <c r="F213" s="16"/>
      <c r="G213" s="16"/>
      <c r="H213" s="16"/>
      <c r="I213" s="16"/>
      <c r="J213" s="16"/>
      <c r="K213" s="16"/>
      <c r="L213" s="188" t="s">
        <v>414</v>
      </c>
      <c r="M213" s="16"/>
      <c r="N213" s="829">
        <f ca="1">Diluted_Shares</f>
        <v>707</v>
      </c>
      <c r="O213" s="16"/>
      <c r="P213" s="188" t="s">
        <v>414</v>
      </c>
      <c r="Q213" s="16"/>
      <c r="R213" s="830">
        <f ca="1">N213</f>
        <v>707</v>
      </c>
      <c r="S213" s="188"/>
      <c r="T213" s="16"/>
      <c r="U213" s="16"/>
      <c r="V213" s="16"/>
      <c r="W213" s="16"/>
      <c r="X213" s="16"/>
      <c r="Y213" s="16"/>
      <c r="Z213" s="16"/>
      <c r="AA213" s="16"/>
      <c r="AB213" s="16"/>
    </row>
    <row r="214" ht="13.5" customHeight="1" spans="1:28" x14ac:dyDescent="0.25">
      <c r="A214" s="16"/>
      <c r="B214" s="16"/>
      <c r="C214" s="647"/>
      <c r="D214" s="16"/>
      <c r="E214" s="16"/>
      <c r="F214" s="16"/>
      <c r="G214" s="16"/>
      <c r="H214" s="16"/>
      <c r="I214" s="16"/>
      <c r="J214" s="16"/>
      <c r="K214" s="16"/>
      <c r="L214" s="188"/>
      <c r="M214" s="16"/>
      <c r="N214" s="189"/>
      <c r="O214" s="16"/>
      <c r="P214" s="188"/>
      <c r="Q214" s="16"/>
      <c r="R214" s="189"/>
      <c r="S214" s="188"/>
      <c r="T214" s="16"/>
      <c r="U214" s="16"/>
      <c r="V214" s="16"/>
      <c r="W214" s="16"/>
      <c r="X214" s="16"/>
      <c r="Y214" s="16"/>
      <c r="Z214" s="16"/>
      <c r="AA214" s="16"/>
      <c r="AB214" s="16"/>
    </row>
    <row r="215" ht="13.5" customHeight="1" spans="1:28" x14ac:dyDescent="0.25">
      <c r="A215" s="16"/>
      <c r="B215" s="16"/>
      <c r="C215" s="16"/>
      <c r="D215" s="84"/>
      <c r="E215" s="84"/>
      <c r="F215" s="84"/>
      <c r="G215" s="84"/>
      <c r="H215" s="84"/>
      <c r="I215" s="84"/>
      <c r="J215" s="84"/>
      <c r="K215" s="16"/>
      <c r="L215" s="188" t="s">
        <v>877</v>
      </c>
      <c r="M215" s="16"/>
      <c r="N215" s="814">
        <f ca="1">N212/N213</f>
        <v>-24.124469589816126</v>
      </c>
      <c r="O215" s="16"/>
      <c r="P215" s="188" t="s">
        <v>877</v>
      </c>
      <c r="Q215" s="16"/>
      <c r="R215" s="814">
        <f ca="1">R212/R213</f>
        <v>-24.124469589816126</v>
      </c>
      <c r="S215" s="188"/>
      <c r="T215" s="16"/>
      <c r="U215" s="16"/>
      <c r="V215" s="16"/>
      <c r="W215" s="16"/>
      <c r="X215" s="16"/>
      <c r="Y215" s="16"/>
      <c r="Z215" s="16"/>
      <c r="AA215" s="16"/>
      <c r="AB215" s="16"/>
    </row>
    <row r="216" ht="13.5" customHeight="1" spans="1:28" x14ac:dyDescent="0.25">
      <c r="A216" s="16"/>
      <c r="B216" s="16"/>
      <c r="C216" s="84"/>
      <c r="D216" s="724"/>
      <c r="E216" s="724"/>
      <c r="F216" s="724"/>
      <c r="G216" s="724"/>
      <c r="H216" s="724"/>
      <c r="I216" s="724"/>
      <c r="J216" s="724"/>
      <c r="K216" s="16"/>
      <c r="L216" s="311" t="s">
        <v>878</v>
      </c>
      <c r="M216" s="131"/>
      <c r="N216" s="773">
        <f ca="1">N215/Share_Price-1</f>
      </c>
      <c r="O216" s="16"/>
      <c r="P216" s="311" t="s">
        <v>878</v>
      </c>
      <c r="Q216" s="131"/>
      <c r="R216" s="773">
        <f ca="1">R215/Share_Price-1</f>
      </c>
      <c r="S216" s="188"/>
      <c r="T216" s="16"/>
      <c r="U216" s="16"/>
      <c r="V216" s="16"/>
      <c r="W216" s="16"/>
      <c r="X216" s="16"/>
      <c r="Y216" s="16"/>
      <c r="Z216" s="16"/>
      <c r="AA216" s="16"/>
      <c r="AB216" s="16"/>
    </row>
    <row r="217" ht="4.5" customHeight="1" spans="1:28" x14ac:dyDescent="0.25">
      <c r="A217" s="16"/>
      <c r="B217" s="16"/>
      <c r="C217" s="16"/>
      <c r="D217" s="16"/>
      <c r="E217" s="16"/>
      <c r="F217" s="16"/>
      <c r="G217" s="16"/>
      <c r="H217" s="16"/>
      <c r="I217" s="16"/>
      <c r="J217" s="16"/>
      <c r="K217" s="16"/>
      <c r="L217" s="16"/>
      <c r="M217" s="16"/>
      <c r="N217" s="16"/>
      <c r="O217" s="16"/>
      <c r="P217" s="16"/>
      <c r="Q217" s="16"/>
      <c r="R217" s="16"/>
      <c r="S217" s="16"/>
      <c r="T217" s="16"/>
      <c r="U217" s="16"/>
      <c r="V217" s="16"/>
      <c r="W217" s="16"/>
      <c r="X217" s="16"/>
      <c r="Y217" s="16"/>
      <c r="Z217" s="16"/>
      <c r="AA217" s="16"/>
      <c r="AB217" s="16"/>
    </row>
    <row r="218" ht="13.5" customHeight="1" spans="1:28" x14ac:dyDescent="0.25">
      <c r="A218" s="264" t="s">
        <v>1</v>
      </c>
      <c r="B218" s="16"/>
      <c r="C218" s="700" t="s">
        <v>46</v>
      </c>
      <c r="D218" s="22"/>
      <c r="E218" s="22"/>
      <c r="F218" s="22"/>
      <c r="G218" s="22"/>
      <c r="H218" s="22"/>
      <c r="I218" s="22"/>
      <c r="J218" s="22"/>
      <c r="K218" s="22"/>
      <c r="L218" s="22"/>
      <c r="M218" s="22"/>
      <c r="N218" s="22"/>
      <c r="O218" s="22"/>
      <c r="P218" s="22"/>
      <c r="Q218" s="22"/>
      <c r="R218" s="7"/>
      <c r="S218" s="264" t="s">
        <v>1</v>
      </c>
      <c r="T218" s="16"/>
      <c r="U218" s="16"/>
      <c r="V218" s="16"/>
      <c r="W218" s="16"/>
      <c r="X218" s="16"/>
      <c r="Y218" s="16"/>
      <c r="Z218" s="16"/>
      <c r="AA218" s="16"/>
      <c r="AB218" s="16"/>
    </row>
    <row r="219" ht="4.5" customHeight="1" spans="1:28" x14ac:dyDescent="0.25">
      <c r="A219" s="16"/>
      <c r="B219" s="16"/>
      <c r="C219" s="16"/>
      <c r="D219" s="16"/>
      <c r="E219" s="16"/>
      <c r="F219" s="16"/>
      <c r="G219" s="16"/>
      <c r="H219" s="16"/>
      <c r="I219" s="16"/>
      <c r="J219" s="16"/>
      <c r="K219" s="16"/>
      <c r="L219" s="16"/>
      <c r="M219" s="16"/>
      <c r="N219" s="16"/>
      <c r="O219" s="16"/>
      <c r="P219" s="16"/>
      <c r="Q219" s="16"/>
      <c r="R219" s="16"/>
      <c r="S219" s="16"/>
      <c r="T219" s="16"/>
      <c r="U219" s="16"/>
      <c r="V219" s="16"/>
      <c r="W219" s="16"/>
      <c r="X219" s="16"/>
      <c r="Y219" s="16"/>
      <c r="Z219" s="16"/>
      <c r="AA219" s="16"/>
      <c r="AB219" s="16"/>
    </row>
    <row r="220" ht="13.5" customHeight="1" spans="1:28" x14ac:dyDescent="0.25">
      <c r="A220" s="16"/>
      <c r="B220" s="16"/>
      <c r="C220" s="16" t="s">
        <v>905</v>
      </c>
      <c r="D220" s="16"/>
      <c r="E220" s="16"/>
      <c r="F220" s="16"/>
      <c r="G220" s="42" t="s">
        <v>906</v>
      </c>
      <c r="H220" s="47"/>
      <c r="I220" s="16"/>
      <c r="J220" s="16"/>
      <c r="K220" s="111" t="str">
        <f ca="1">$C$9</f>
        <v>Primary Peer Group</v>
      </c>
      <c r="L220" s="112"/>
      <c r="M220" s="111" t="str">
        <f ca="1">$C$14</f>
        <v>Defense Peer Group</v>
      </c>
      <c r="N220" s="112"/>
      <c r="O220" s="111" t="str">
        <f ca="1">$C$19</f>
        <v>Cap. Goods Peer Group</v>
      </c>
      <c r="P220" s="112"/>
      <c r="Q220" s="16"/>
      <c r="R220" s="16"/>
      <c r="S220" s="16"/>
      <c r="T220" s="16"/>
      <c r="U220" s="16"/>
      <c r="V220" s="16"/>
      <c r="W220" s="16"/>
      <c r="X220" s="16"/>
      <c r="Y220" s="16"/>
      <c r="Z220" s="16"/>
      <c r="AA220" s="16"/>
      <c r="AB220" s="16"/>
    </row>
    <row r="221" ht="13.5" customHeight="1" spans="1:28" x14ac:dyDescent="0.25">
      <c r="A221" s="16"/>
      <c r="B221" s="16"/>
      <c r="C221" s="16" t="s">
        <v>907</v>
      </c>
      <c r="D221" s="16"/>
      <c r="E221" s="16"/>
      <c r="F221" s="16"/>
      <c r="G221" s="42" t="s">
        <v>908</v>
      </c>
      <c r="H221" s="16"/>
      <c r="I221" s="16"/>
      <c r="J221" s="84" t="s">
        <v>138</v>
      </c>
      <c r="K221" s="724">
        <f t="array" ref="K221" ca="1">INDEX(Primary_Peer_Cyclical_Valuation_Data,MATCH(CONCATENATE(Cycle_Toggle," ",Cycle_Period_Toggle),'Multiples Data'!$C$36:$C$48,0),MATCH(CONCATENATE(Cyclical_LTM_NTM_Toggle," P/E"),'Multiples Data'!$C$36:$H$36,0))</f>
        <v>17.335633750000007</v>
      </c>
      <c r="L221" s="66"/>
      <c r="M221" s="724">
        <f t="array" ref="M221" ca="1">INDEX(PeerGroup2_Cyclical_Valuation_Data,MATCH(CONCATENATE(Cycle_Toggle," ",Cycle_Period_Toggle),'Multiples Data'!$C$58:$C$70,0),MATCH(CONCATENATE(Cyclical_LTM_NTM_Toggle," P/E"),'Multiples Data'!$C$58:$H$58,0))</f>
        <v>9.435799649405848</v>
      </c>
      <c r="N221" s="66"/>
      <c r="O221" s="724">
        <f t="array" ref="O221" ca="1">INDEX(PeerGroup3_Cyclical_Valuation_Data,MATCH(CONCATENATE(Cycle_Toggle," ",Cycle_Period_Toggle),'Multiples Data'!$C$80:$C$92,0),MATCH(CONCATENATE(Cyclical_LTM_NTM_Toggle," P/E"),'Multiples Data'!$C$80:$H$80,0))</f>
        <v>14.60348394048503</v>
      </c>
      <c r="P221" s="66"/>
      <c r="Q221" s="16"/>
      <c r="R221" s="16"/>
      <c r="S221" s="16"/>
      <c r="T221" s="16"/>
      <c r="U221" s="16"/>
      <c r="V221" s="16"/>
      <c r="W221" s="16"/>
      <c r="X221" s="16"/>
      <c r="Y221" s="16"/>
      <c r="Z221" s="16"/>
      <c r="AA221" s="16"/>
      <c r="AB221" s="16"/>
    </row>
    <row r="222" ht="13.5" customHeight="1" spans="1:28" x14ac:dyDescent="0.25">
      <c r="A222" s="16"/>
      <c r="B222" s="16"/>
      <c r="C222" s="16" t="s">
        <v>909</v>
      </c>
      <c r="D222" s="16"/>
      <c r="E222" s="16"/>
      <c r="F222" s="16"/>
      <c r="G222" s="42" t="s">
        <v>817</v>
      </c>
      <c r="H222" s="47" t="b">
        <f ca="1">G222=$D$24</f>
        <v>1</v>
      </c>
      <c r="I222" s="16"/>
      <c r="J222" s="84" t="s">
        <v>140</v>
      </c>
      <c r="K222" s="724">
        <f t="array" ref="K222" ca="1">INDEX(Primary_Peer_Cyclical_Valuation_Data,MATCH(CONCATENATE(Cycle_Toggle," ",Cycle_Period_Toggle),'Multiples Data'!$C$36:$C$48,0),MATCH(CONCATENATE(Cyclical_LTM_NTM_Toggle," EV/EBITDA"),'Multiples Data'!$C$36:$H$36,0))</f>
        <v>9.083377500000001</v>
      </c>
      <c r="L222" s="66"/>
      <c r="M222" s="724">
        <f t="array" ref="M222" ca="1">INDEX(PeerGroup2_Cyclical_Valuation_Data,MATCH(CONCATENATE(Cycle_Toggle," ",Cycle_Period_Toggle),'Multiples Data'!$C$58:$C$70,0),MATCH(CONCATENATE(Cyclical_LTM_NTM_Toggle," EV/EBITDA"),'Multiples Data'!$C$58:$H$58,0))</f>
        <v>5.4314602700251715</v>
      </c>
      <c r="N222" s="66"/>
      <c r="O222" s="724">
        <f t="array" ref="O222" ca="1">INDEX(PeerGroup3_Cyclical_Valuation_Data,MATCH(CONCATENATE(Cycle_Toggle," ",Cycle_Period_Toggle),'Multiples Data'!$C$80:$C$92,0),MATCH(CONCATENATE(Cyclical_LTM_NTM_Toggle," EV/EBITDA"),'Multiples Data'!$C$80:$H$80,0))</f>
        <v>7.715030716735617</v>
      </c>
      <c r="P222" s="66"/>
      <c r="Q222" s="16"/>
      <c r="R222" s="16"/>
      <c r="S222" s="16"/>
      <c r="T222" s="16"/>
      <c r="U222" s="16"/>
      <c r="V222" s="16"/>
      <c r="W222" s="16"/>
      <c r="X222" s="16"/>
      <c r="Y222" s="16"/>
      <c r="Z222" s="16"/>
      <c r="AA222" s="16"/>
      <c r="AB222" s="16"/>
    </row>
    <row r="223" ht="13.5" customHeight="1" spans="1:28" x14ac:dyDescent="0.25">
      <c r="A223" s="16"/>
      <c r="B223" s="16"/>
      <c r="C223" s="16" t="s">
        <v>891</v>
      </c>
      <c r="D223" s="16"/>
      <c r="E223" s="16"/>
      <c r="F223" s="16"/>
      <c r="G223" s="42" t="s">
        <v>562</v>
      </c>
      <c r="H223" s="16"/>
      <c r="I223" s="16"/>
      <c r="J223" s="16"/>
      <c r="K223" s="16"/>
      <c r="L223" s="16"/>
      <c r="M223" s="16"/>
      <c r="N223" s="16"/>
      <c r="O223" s="16"/>
      <c r="P223" s="16"/>
      <c r="Q223" s="16"/>
      <c r="R223" s="16"/>
      <c r="S223" s="16"/>
      <c r="T223" s="16"/>
      <c r="U223" s="16"/>
      <c r="V223" s="16"/>
      <c r="W223" s="16"/>
      <c r="X223" s="16"/>
      <c r="Y223" s="16"/>
      <c r="Z223" s="16"/>
      <c r="AA223" s="16"/>
      <c r="AB223" s="16"/>
    </row>
    <row r="224" ht="4.5" customHeight="1" spans="1:28" x14ac:dyDescent="0.25">
      <c r="A224" s="16"/>
      <c r="B224" s="16"/>
      <c r="C224" s="16"/>
      <c r="D224" s="16"/>
      <c r="E224" s="16"/>
      <c r="F224" s="16"/>
      <c r="G224" s="42"/>
      <c r="H224" s="16"/>
      <c r="I224" s="16"/>
      <c r="J224" s="16"/>
      <c r="K224" s="16"/>
      <c r="L224" s="16"/>
      <c r="M224" s="16"/>
      <c r="N224" s="16"/>
      <c r="O224" s="16"/>
      <c r="P224" s="16"/>
      <c r="Q224" s="16"/>
      <c r="R224" s="16"/>
      <c r="S224" s="16"/>
      <c r="T224" s="16"/>
      <c r="U224" s="16"/>
      <c r="V224" s="16"/>
      <c r="W224" s="16"/>
      <c r="X224" s="16"/>
      <c r="Y224" s="16"/>
      <c r="Z224" s="16"/>
      <c r="AA224" s="16"/>
      <c r="AB224" s="16"/>
    </row>
    <row r="225" ht="13.5" customHeight="1" spans="1:28" x14ac:dyDescent="0.25">
      <c r="A225" s="264" t="s">
        <v>1</v>
      </c>
      <c r="B225" s="16"/>
      <c r="C225" s="700" t="s">
        <v>851</v>
      </c>
      <c r="D225" s="22"/>
      <c r="E225" s="22"/>
      <c r="F225" s="22"/>
      <c r="G225" s="22"/>
      <c r="H225" s="22"/>
      <c r="I225" s="22"/>
      <c r="J225" s="22"/>
      <c r="K225" s="22"/>
      <c r="L225" s="22"/>
      <c r="M225" s="22"/>
      <c r="N225" s="22"/>
      <c r="O225" s="22"/>
      <c r="P225" s="22"/>
      <c r="Q225" s="22"/>
      <c r="R225" s="7"/>
      <c r="S225" s="264" t="s">
        <v>1</v>
      </c>
      <c r="T225" s="16"/>
      <c r="U225" s="16"/>
      <c r="V225" s="16"/>
      <c r="W225" s="16"/>
      <c r="X225" s="16"/>
      <c r="Y225" s="16"/>
      <c r="Z225" s="16"/>
      <c r="AA225" s="16"/>
      <c r="AB225" s="16"/>
    </row>
    <row r="226" ht="4.5" customHeight="1" spans="1:28" x14ac:dyDescent="0.25">
      <c r="A226" s="16"/>
      <c r="B226" s="16"/>
      <c r="C226" s="16"/>
      <c r="D226" s="16"/>
      <c r="E226" s="16"/>
      <c r="F226" s="16"/>
      <c r="G226" s="16"/>
      <c r="H226" s="16"/>
      <c r="I226" s="16"/>
      <c r="J226" s="16"/>
      <c r="K226" s="16"/>
      <c r="L226" s="16"/>
      <c r="M226" s="16"/>
      <c r="N226" s="16"/>
      <c r="O226" s="16"/>
      <c r="P226" s="16"/>
      <c r="Q226" s="16"/>
      <c r="R226" s="16"/>
      <c r="S226" s="16"/>
      <c r="T226" s="16"/>
      <c r="U226" s="16"/>
      <c r="V226" s="16"/>
      <c r="W226" s="16"/>
      <c r="X226" s="16"/>
      <c r="Y226" s="16"/>
      <c r="Z226" s="16"/>
      <c r="AA226" s="16"/>
      <c r="AB226" s="16"/>
    </row>
    <row r="227" ht="13.5" customHeight="1" spans="1:28" x14ac:dyDescent="0.25">
      <c r="A227" s="16"/>
      <c r="B227" s="16"/>
      <c r="C227" s="16" t="s">
        <v>894</v>
      </c>
      <c r="D227" s="16"/>
      <c r="E227" s="774">
        <f ca="1">$F$201</f>
        <v>16.548837499999998</v>
      </c>
      <c r="F227" s="667">
        <f ca="1">E227-H237</f>
        <v>1e-12</v>
      </c>
      <c r="G227" s="16"/>
      <c r="H227" s="16" t="s">
        <v>895</v>
      </c>
      <c r="I227" s="16"/>
      <c r="J227" s="16"/>
      <c r="K227" s="774">
        <f ca="1">$N$201</f>
        <v>7.408287499999999</v>
      </c>
      <c r="L227" s="667">
        <f ca="1">K227-H253</f>
        <v>1e-12</v>
      </c>
      <c r="M227" s="16"/>
      <c r="N227" s="5" t="s">
        <v>874</v>
      </c>
      <c r="O227" s="16"/>
      <c r="P227" s="16"/>
      <c r="Q227" s="820">
        <f ca="1">F202</f>
        <v>1e-12</v>
      </c>
      <c r="R227" s="821">
        <f ca="1">Q227-E240</f>
        <v>-14.671278268928386</v>
      </c>
      <c r="S227" s="16"/>
      <c r="T227" s="16"/>
      <c r="U227" s="16"/>
      <c r="V227" s="16"/>
      <c r="W227" s="16"/>
      <c r="X227" s="16"/>
      <c r="Y227" s="16"/>
      <c r="Z227" s="16"/>
      <c r="AA227" s="16"/>
      <c r="AB227" s="16"/>
    </row>
    <row r="228" ht="13.5" customHeight="1" spans="1:28" x14ac:dyDescent="0.25">
      <c r="A228" s="16"/>
      <c r="B228" s="16"/>
      <c r="C228" s="16" t="s">
        <v>855</v>
      </c>
      <c r="D228" s="16"/>
      <c r="E228" s="782">
        <v>1</v>
      </c>
      <c r="F228" s="822"/>
      <c r="G228" s="16"/>
      <c r="H228" s="16" t="s">
        <v>855</v>
      </c>
      <c r="I228" s="16"/>
      <c r="J228" s="16"/>
      <c r="K228" s="782">
        <v>1</v>
      </c>
      <c r="L228" s="822"/>
      <c r="M228" s="16"/>
      <c r="N228" s="491" t="s">
        <v>896</v>
      </c>
      <c r="O228" s="16"/>
      <c r="P228" s="16"/>
      <c r="Q228" s="16"/>
      <c r="R228" s="821">
        <f ca="1">Q227-E248</f>
        <v>-14.671278268928386</v>
      </c>
      <c r="S228" s="16"/>
      <c r="T228" s="16"/>
      <c r="U228" s="16"/>
      <c r="V228" s="16"/>
      <c r="W228" s="16"/>
      <c r="X228" s="16"/>
      <c r="Y228" s="16"/>
      <c r="Z228" s="16"/>
      <c r="AA228" s="16"/>
      <c r="AB228" s="16"/>
    </row>
    <row r="229" ht="13.5" customHeight="1" spans="1:28" x14ac:dyDescent="0.25">
      <c r="A229" s="16"/>
      <c r="B229" s="16"/>
      <c r="C229" s="16" t="s">
        <v>897</v>
      </c>
      <c r="D229" s="16"/>
      <c r="E229" s="783">
        <v>0.1</v>
      </c>
      <c r="F229" s="822"/>
      <c r="G229" s="16"/>
      <c r="H229" s="16" t="s">
        <v>898</v>
      </c>
      <c r="I229" s="16"/>
      <c r="J229" s="16"/>
      <c r="K229" s="783">
        <v>0.1</v>
      </c>
      <c r="L229" s="822"/>
      <c r="M229" s="16"/>
      <c r="N229" s="5" t="s">
        <v>875</v>
      </c>
      <c r="O229" s="16"/>
      <c r="P229" s="16"/>
      <c r="Q229" s="823">
        <f ca="1">N202</f>
        <v>1e-12</v>
      </c>
      <c r="R229" s="821">
        <f ca="1">Q229-E256</f>
        <v>-15108.794109717941</v>
      </c>
      <c r="S229" s="16"/>
      <c r="T229" s="16"/>
      <c r="U229" s="16"/>
      <c r="V229" s="16"/>
      <c r="W229" s="16"/>
      <c r="X229" s="16"/>
      <c r="Y229" s="16"/>
      <c r="Z229" s="16"/>
      <c r="AA229" s="16"/>
      <c r="AB229" s="16"/>
    </row>
    <row r="230" ht="13.5" customHeight="1" spans="1:28" x14ac:dyDescent="0.25">
      <c r="A230" s="16"/>
      <c r="B230" s="16"/>
      <c r="C230" s="16" t="s">
        <v>899</v>
      </c>
      <c r="D230" s="16"/>
      <c r="E230" s="774">
        <f ca="1">$J$201</f>
        <v>21.224141568043322</v>
      </c>
      <c r="F230" s="667">
        <f ca="1">E230-H245</f>
        <v>1e-12</v>
      </c>
      <c r="G230" s="16"/>
      <c r="H230" s="16" t="s">
        <v>900</v>
      </c>
      <c r="I230" s="16"/>
      <c r="J230" s="16"/>
      <c r="K230" s="774">
        <f ca="1">$R$201</f>
        <v>12.655598918298834</v>
      </c>
      <c r="L230" s="667">
        <f ca="1">K230-H261</f>
        <v>1e-12</v>
      </c>
      <c r="M230" s="16"/>
      <c r="N230" s="491" t="s">
        <v>896</v>
      </c>
      <c r="O230" s="825"/>
      <c r="P230" s="16"/>
      <c r="Q230" s="16"/>
      <c r="R230" s="821">
        <f ca="1">Q229-E264</f>
        <v>-15108.794109717941</v>
      </c>
      <c r="S230" s="16"/>
      <c r="T230" s="16"/>
      <c r="U230" s="16"/>
      <c r="V230" s="16"/>
      <c r="W230" s="16"/>
      <c r="X230" s="16"/>
      <c r="Y230" s="16"/>
      <c r="Z230" s="16"/>
      <c r="AA230" s="16"/>
      <c r="AB230" s="16"/>
    </row>
    <row r="231" ht="13.5" customHeight="1" spans="1:28" x14ac:dyDescent="0.25">
      <c r="A231" s="16"/>
      <c r="B231" s="16"/>
      <c r="C231" s="16" t="s">
        <v>855</v>
      </c>
      <c r="D231" s="16"/>
      <c r="E231" s="782">
        <v>1</v>
      </c>
      <c r="F231" s="822"/>
      <c r="G231" s="16"/>
      <c r="H231" s="16" t="s">
        <v>855</v>
      </c>
      <c r="I231" s="16"/>
      <c r="J231" s="16"/>
      <c r="K231" s="782">
        <v>1</v>
      </c>
      <c r="L231" s="822"/>
      <c r="M231" s="16"/>
      <c r="N231" s="16"/>
      <c r="O231" s="825"/>
      <c r="P231" s="16"/>
      <c r="Q231" s="16"/>
      <c r="R231" s="16"/>
      <c r="S231" s="16"/>
      <c r="T231" s="16"/>
      <c r="U231" s="16"/>
      <c r="V231" s="16"/>
      <c r="W231" s="16"/>
      <c r="X231" s="16"/>
      <c r="Y231" s="16"/>
      <c r="Z231" s="16"/>
      <c r="AA231" s="16"/>
      <c r="AB231" s="16"/>
    </row>
    <row r="232" ht="13.5" customHeight="1" spans="1:28" x14ac:dyDescent="0.25">
      <c r="A232" s="16"/>
      <c r="B232" s="16"/>
      <c r="C232" s="16"/>
      <c r="D232" s="16"/>
      <c r="E232" s="42"/>
      <c r="F232" s="16"/>
      <c r="G232" s="16"/>
      <c r="H232" s="16"/>
      <c r="I232" s="16"/>
      <c r="J232" s="16"/>
      <c r="K232" s="16"/>
      <c r="L232" s="16"/>
      <c r="M232" s="16"/>
      <c r="N232" s="16"/>
      <c r="O232" s="16"/>
      <c r="P232" s="16"/>
      <c r="Q232" s="16"/>
      <c r="R232" s="16"/>
      <c r="S232" s="16"/>
      <c r="T232" s="16"/>
      <c r="U232" s="16"/>
      <c r="V232" s="16"/>
      <c r="W232" s="16"/>
      <c r="X232" s="16"/>
      <c r="Y232" s="16"/>
      <c r="Z232" s="16"/>
      <c r="AA232" s="16"/>
      <c r="AB232" s="16"/>
    </row>
    <row r="233" ht="13.5" customHeight="1" spans="1:28" x14ac:dyDescent="0.25">
      <c r="A233" s="16"/>
      <c r="B233" s="16"/>
      <c r="C233" s="16"/>
      <c r="D233" s="16"/>
      <c r="E233" s="16"/>
      <c r="F233" s="16"/>
      <c r="G233" s="16"/>
      <c r="H233" s="16"/>
      <c r="I233" s="16"/>
      <c r="J233" s="16"/>
      <c r="K233" s="16"/>
      <c r="L233" s="16"/>
      <c r="M233" s="16"/>
      <c r="N233" s="16"/>
      <c r="O233" s="16"/>
      <c r="P233" s="16"/>
      <c r="Q233" s="16"/>
      <c r="R233" s="16"/>
      <c r="S233" s="16"/>
      <c r="T233" s="16"/>
      <c r="U233" s="16"/>
      <c r="V233" s="16"/>
      <c r="W233" s="16"/>
      <c r="X233" s="16"/>
      <c r="Y233" s="16"/>
      <c r="Z233" s="16"/>
      <c r="AA233" s="16"/>
      <c r="AB233" s="16"/>
    </row>
    <row r="234" ht="13.5" customHeight="1" spans="1:28" x14ac:dyDescent="0.25">
      <c r="A234" s="16"/>
      <c r="B234" s="16"/>
      <c r="C234" s="16"/>
      <c r="D234" s="63" t="s">
        <v>858</v>
      </c>
      <c r="E234" s="22"/>
      <c r="F234" s="22"/>
      <c r="G234" s="22"/>
      <c r="H234" s="22"/>
      <c r="I234" s="22"/>
      <c r="J234" s="7"/>
      <c r="K234" s="784"/>
      <c r="L234" s="63" t="s">
        <v>859</v>
      </c>
      <c r="M234" s="22"/>
      <c r="N234" s="22"/>
      <c r="O234" s="22"/>
      <c r="P234" s="22"/>
      <c r="Q234" s="22"/>
      <c r="R234" s="7"/>
      <c r="S234" s="16"/>
      <c r="T234" s="16"/>
      <c r="U234" s="16"/>
      <c r="V234" s="16"/>
      <c r="W234" s="16"/>
      <c r="X234" s="16"/>
      <c r="Y234" s="16"/>
      <c r="Z234" s="16"/>
      <c r="AA234" s="16"/>
      <c r="AB234" s="16"/>
    </row>
    <row r="235" ht="13.5" customHeight="1" spans="1:28" x14ac:dyDescent="0.25">
      <c r="A235" s="16"/>
      <c r="B235" s="16"/>
      <c r="C235" s="16"/>
      <c r="D235" s="47"/>
      <c r="E235" s="199"/>
      <c r="F235" s="84"/>
      <c r="G235" s="84"/>
      <c r="H235" s="84"/>
      <c r="I235" s="84"/>
      <c r="J235" s="84"/>
      <c r="K235" s="784"/>
      <c r="L235" s="47"/>
      <c r="M235" s="199"/>
      <c r="N235" s="84"/>
      <c r="O235" s="84"/>
      <c r="P235" s="84"/>
      <c r="Q235" s="84"/>
      <c r="R235" s="84"/>
      <c r="S235" s="16"/>
      <c r="T235" s="16"/>
      <c r="U235" s="16"/>
      <c r="V235" s="16"/>
      <c r="W235" s="16"/>
      <c r="X235" s="16"/>
      <c r="Y235" s="16"/>
      <c r="Z235" s="16"/>
      <c r="AA235" s="16"/>
      <c r="AB235" s="16"/>
    </row>
    <row r="236" ht="13.5" customHeight="1" spans="1:28" x14ac:dyDescent="0.25">
      <c r="A236" s="16"/>
      <c r="B236" s="16"/>
      <c r="C236" s="16"/>
      <c r="D236" s="590"/>
      <c r="E236" s="592"/>
      <c r="F236" s="592" t="str">
        <f ca="1">$G$220&amp;" "&amp;$G$221&amp;" P/E"</f>
        <v>2009-2018 Early Cycle P/E</v>
      </c>
      <c r="G236" s="668"/>
      <c r="H236" s="668"/>
      <c r="I236" s="668"/>
      <c r="J236" s="668"/>
      <c r="K236" s="16"/>
      <c r="L236" s="590"/>
      <c r="M236" s="592"/>
      <c r="N236" s="592" t="str">
        <f t="shared" ref="N236:N237" si="60" ca="1">F236</f>
        <v>2009-2018 Early Cycle P/E</v>
      </c>
      <c r="O236" s="668"/>
      <c r="P236" s="668"/>
      <c r="Q236" s="668"/>
      <c r="R236" s="668"/>
      <c r="S236" s="16"/>
      <c r="T236" s="16"/>
      <c r="U236" s="16"/>
      <c r="V236" s="16"/>
      <c r="W236" s="16"/>
      <c r="X236" s="16"/>
      <c r="Y236" s="16"/>
      <c r="Z236" s="16"/>
      <c r="AA236" s="16"/>
      <c r="AB236" s="16"/>
    </row>
    <row r="237" ht="13.5" customHeight="1" spans="1:28" x14ac:dyDescent="0.25">
      <c r="A237" s="16"/>
      <c r="B237" s="16"/>
      <c r="C237" s="16"/>
      <c r="D237" s="16"/>
      <c r="E237" s="785">
        <f ca="1">$F$204</f>
        <v>1e-12</v>
      </c>
      <c r="F237" s="786">
        <f t="shared" ref="F237:G237" si="61" ca="1">G237-$E$93</f>
        <v>14.548837499999998</v>
      </c>
      <c r="G237" s="786">
        <f ca="1">H237-$E$93</f>
        <v>15.548837499999998</v>
      </c>
      <c r="H237" s="787">
        <v>16.548837499999998</v>
      </c>
      <c r="I237" s="786">
        <f t="shared" ref="I237:J237" si="62" ca="1">H237+$E$93</f>
        <v>17.548837499999998</v>
      </c>
      <c r="J237" s="786">
        <f ca="1">I237+$E$93</f>
        <v>18.548837499999998</v>
      </c>
      <c r="K237" s="16"/>
      <c r="L237" s="16"/>
      <c r="M237" s="788">
        <f ca="1">$H$73</f>
        <v>1e-12</v>
      </c>
      <c r="N237" s="786">
        <f ca="1">F237</f>
        <v>14.548837499999998</v>
      </c>
      <c r="O237" s="786">
        <f t="shared" ref="O237:R237" si="63" ca="1">G237</f>
        <v>15.548837499999998</v>
      </c>
      <c r="P237" s="786">
        <f ca="1">H237</f>
        <v>16.548837499999998</v>
      </c>
      <c r="Q237" s="786">
        <f ca="1">I237</f>
        <v>17.548837499999998</v>
      </c>
      <c r="R237" s="786">
        <f ca="1">J237</f>
        <v>18.548837499999998</v>
      </c>
      <c r="S237" s="16"/>
      <c r="T237" s="16"/>
      <c r="U237" s="16"/>
      <c r="V237" s="16"/>
      <c r="W237" s="16"/>
      <c r="X237" s="16"/>
      <c r="Y237" s="16"/>
      <c r="Z237" s="16"/>
      <c r="AA237" s="16"/>
      <c r="AB237" s="16"/>
    </row>
    <row r="238" ht="13.5" customHeight="1" spans="1:28" x14ac:dyDescent="0.25">
      <c r="A238" s="16"/>
      <c r="B238" s="16"/>
      <c r="C238" s="16"/>
      <c r="D238" s="673" t="s">
        <v>397</v>
      </c>
      <c r="E238" s="826">
        <f ca="1">$E$164*(1-(2*$E$153))</f>
        <v>11.73702261514271</v>
      </c>
      <c r="F238" s="790">
        <v>170.7600347615363</v>
      </c>
      <c r="G238" s="791">
        <v>182.497057376679</v>
      </c>
      <c r="H238" s="791">
        <v>194.23407999182172</v>
      </c>
      <c r="I238" s="791">
        <v>205.97110260696442</v>
      </c>
      <c r="J238" s="792">
        <v>217.70812522210713</v>
      </c>
      <c r="K238" s="16"/>
      <c r="L238" s="673" t="s">
        <v>397</v>
      </c>
      <c r="M238" s="826">
        <f t="shared" ref="M238:M242" si="64" ca="1">E238</f>
        <v>11.73702261514271</v>
      </c>
      <c r="N238" s="793">
        <f t="shared" ref="N238:R242" si="65" ca="1">F238/Share_Price-1</f>
        <v>-0.26769004733880997</v>
      </c>
      <c r="O238" s="661">
        <f ca="1">G238/Share_Price-1</f>
        <v>-0.21735544482082936</v>
      </c>
      <c r="P238" s="661">
        <f ca="1">H238/Share_Price-1</f>
        <v>-0.16702084230284886</v>
      </c>
      <c r="Q238" s="661">
        <f ca="1">I238/Share_Price-1</f>
        <v>-0.11668623978486825</v>
      </c>
      <c r="R238" s="794">
        <f ca="1">J238/Share_Price-1</f>
        <v>-0.06635163726688775</v>
      </c>
      <c r="S238" s="16"/>
      <c r="T238" s="16"/>
      <c r="U238" s="16"/>
      <c r="V238" s="16"/>
      <c r="W238" s="16"/>
      <c r="X238" s="16"/>
      <c r="Y238" s="16"/>
      <c r="Z238" s="16"/>
      <c r="AA238" s="16"/>
      <c r="AB238" s="16"/>
    </row>
    <row r="239" ht="13.5" customHeight="1" spans="1:28" x14ac:dyDescent="0.25">
      <c r="A239" s="16"/>
      <c r="B239" s="16"/>
      <c r="C239" s="16"/>
      <c r="D239" s="678"/>
      <c r="E239" s="826">
        <f ca="1">$E$164*(1-$E$153)</f>
        <v>13.204150442035548</v>
      </c>
      <c r="F239" s="795">
        <v>192.10503910672833</v>
      </c>
      <c r="G239" s="796">
        <v>205.30918954876387</v>
      </c>
      <c r="H239" s="796">
        <v>218.5133399907994</v>
      </c>
      <c r="I239" s="796">
        <v>231.71749043283498</v>
      </c>
      <c r="J239" s="797">
        <v>244.92164087487052</v>
      </c>
      <c r="K239" s="16"/>
      <c r="L239" s="678"/>
      <c r="M239" s="826">
        <f ca="1">E239</f>
        <v>13.204150442035548</v>
      </c>
      <c r="N239" s="798">
        <f ca="1">F239/Share_Price-1</f>
        <v>-0.17615130325616124</v>
      </c>
      <c r="O239" s="552">
        <f ca="1">G239/Share_Price-1</f>
        <v>-0.11952487542343315</v>
      </c>
      <c r="P239" s="552">
        <f ca="1">H239/Share_Price-1</f>
        <v>-0.06289844759070506</v>
      </c>
      <c r="Q239" s="552">
        <f ca="1">I239/Share_Price-1</f>
        <v>-0.0062720197579767545</v>
      </c>
      <c r="R239" s="674">
        <f ca="1">J239/Share_Price-1</f>
        <v>0.05035440807475133</v>
      </c>
      <c r="S239" s="16"/>
      <c r="T239" s="16"/>
      <c r="U239" s="16"/>
      <c r="V239" s="16"/>
      <c r="W239" s="16"/>
      <c r="X239" s="16"/>
      <c r="Y239" s="16"/>
      <c r="Z239" s="16"/>
      <c r="AA239" s="16"/>
      <c r="AB239" s="16"/>
    </row>
    <row r="240" ht="13.5" customHeight="1" spans="1:28" x14ac:dyDescent="0.25">
      <c r="A240" s="16"/>
      <c r="B240" s="16"/>
      <c r="C240" s="16"/>
      <c r="D240" s="678"/>
      <c r="E240" s="827">
        <v>14.671278268928386</v>
      </c>
      <c r="F240" s="795">
        <v>213.45004345192035</v>
      </c>
      <c r="G240" s="796">
        <v>228.12132172084875</v>
      </c>
      <c r="H240" s="796">
        <v>242.79259998977713</v>
      </c>
      <c r="I240" s="796">
        <v>257.4638782587055</v>
      </c>
      <c r="J240" s="797">
        <v>272.1351565276339</v>
      </c>
      <c r="K240" s="16"/>
      <c r="L240" s="678"/>
      <c r="M240" s="826">
        <f ca="1">E240</f>
        <v>14.671278268928386</v>
      </c>
      <c r="N240" s="798">
        <f ca="1">F240/Share_Price-1</f>
        <v>-0.08461255917351251</v>
      </c>
      <c r="O240" s="552">
        <f ca="1">G240/Share_Price-1</f>
        <v>-0.021694306026036725</v>
      </c>
      <c r="P240" s="552">
        <f ca="1">H240/Share_Price-1</f>
        <v>0.04122394712143884</v>
      </c>
      <c r="Q240" s="552">
        <f ca="1">I240/Share_Price-1</f>
        <v>0.10414220026891452</v>
      </c>
      <c r="R240" s="674">
        <f ca="1">J240/Share_Price-1</f>
        <v>0.16706045341639042</v>
      </c>
      <c r="S240" s="16"/>
      <c r="T240" s="16"/>
      <c r="U240" s="16"/>
      <c r="V240" s="16"/>
      <c r="W240" s="16"/>
      <c r="X240" s="16"/>
      <c r="Y240" s="16"/>
      <c r="Z240" s="16"/>
      <c r="AA240" s="16"/>
      <c r="AB240" s="16"/>
    </row>
    <row r="241" ht="13.5" customHeight="1" spans="1:28" x14ac:dyDescent="0.25">
      <c r="A241" s="16"/>
      <c r="B241" s="16"/>
      <c r="C241" s="16"/>
      <c r="D241" s="678"/>
      <c r="E241" s="826">
        <f ca="1">$E$164*(1+$E$153)</f>
        <v>16.138406095821225</v>
      </c>
      <c r="F241" s="795">
        <v>234.79504779711237</v>
      </c>
      <c r="G241" s="796">
        <v>250.9334538929336</v>
      </c>
      <c r="H241" s="796">
        <v>267.07185998875485</v>
      </c>
      <c r="I241" s="796">
        <v>283.21026608457606</v>
      </c>
      <c r="J241" s="797">
        <v>299.3486721803973</v>
      </c>
      <c r="K241" s="16"/>
      <c r="L241" s="678"/>
      <c r="M241" s="826">
        <f ca="1">E241</f>
        <v>16.138406095821225</v>
      </c>
      <c r="N241" s="798">
        <f ca="1">F241/Share_Price-1</f>
        <v>0.006926184909136213</v>
      </c>
      <c r="O241" s="552">
        <f ca="1">G241/Share_Price-1</f>
        <v>0.07613626337135959</v>
      </c>
      <c r="P241" s="552">
        <f ca="1">H241/Share_Price-1</f>
        <v>0.14534634183358275</v>
      </c>
      <c r="Q241" s="552">
        <f ca="1">I241/Share_Price-1</f>
        <v>0.21455642029580613</v>
      </c>
      <c r="R241" s="674">
        <f ca="1">J241/Share_Price-1</f>
        <v>0.2837664987580293</v>
      </c>
      <c r="S241" s="16"/>
      <c r="T241" s="16"/>
      <c r="U241" s="16"/>
      <c r="V241" s="16"/>
      <c r="W241" s="16"/>
      <c r="X241" s="16"/>
      <c r="Y241" s="16"/>
      <c r="Z241" s="16"/>
      <c r="AA241" s="16"/>
      <c r="AB241" s="16"/>
    </row>
    <row r="242" ht="13.5" customHeight="1" spans="1:28" x14ac:dyDescent="0.25">
      <c r="A242" s="16"/>
      <c r="B242" s="16"/>
      <c r="C242" s="16"/>
      <c r="D242" s="683"/>
      <c r="E242" s="826">
        <f ca="1">$E$164*(1+(2*$E$153))</f>
        <v>17.605533922714063</v>
      </c>
      <c r="F242" s="801">
        <v>256.1400521423044</v>
      </c>
      <c r="G242" s="802">
        <v>273.7455860650185</v>
      </c>
      <c r="H242" s="802">
        <v>291.35111998773255</v>
      </c>
      <c r="I242" s="802">
        <v>308.9566539104466</v>
      </c>
      <c r="J242" s="803">
        <v>326.5621878331607</v>
      </c>
      <c r="K242" s="16"/>
      <c r="L242" s="683"/>
      <c r="M242" s="826">
        <f ca="1">E242</f>
        <v>17.605533922714063</v>
      </c>
      <c r="N242" s="804">
        <f ca="1">F242/Share_Price-1</f>
        <v>0.09846492899178494</v>
      </c>
      <c r="O242" s="670">
        <f ca="1">G242/Share_Price-1</f>
        <v>0.1739668327687558</v>
      </c>
      <c r="P242" s="670">
        <f ca="1">H242/Share_Price-1</f>
        <v>0.24946873654572665</v>
      </c>
      <c r="Q242" s="670">
        <f ca="1">I242/Share_Price-1</f>
        <v>0.3249706403226975</v>
      </c>
      <c r="R242" s="805">
        <f ca="1">J242/Share_Price-1</f>
        <v>0.40047254409966837</v>
      </c>
      <c r="S242" s="16"/>
      <c r="T242" s="16"/>
      <c r="U242" s="16"/>
      <c r="V242" s="16"/>
      <c r="W242" s="16"/>
      <c r="X242" s="16"/>
      <c r="Y242" s="16"/>
      <c r="Z242" s="16"/>
      <c r="AA242" s="16"/>
      <c r="AB242" s="16"/>
    </row>
    <row r="243" ht="13.5" customHeight="1" spans="1:28" x14ac:dyDescent="0.25">
      <c r="A243" s="16"/>
      <c r="B243" s="16"/>
      <c r="C243" s="16"/>
      <c r="D243" s="16"/>
      <c r="E243" s="16"/>
      <c r="F243" s="16"/>
      <c r="G243" s="16"/>
      <c r="H243" s="16"/>
      <c r="I243" s="16"/>
      <c r="J243" s="16"/>
      <c r="K243" s="16"/>
      <c r="L243" s="16"/>
      <c r="M243" s="16"/>
      <c r="N243" s="16"/>
      <c r="O243" s="16"/>
      <c r="P243" s="16"/>
      <c r="Q243" s="16"/>
      <c r="R243" s="16"/>
      <c r="S243" s="16"/>
      <c r="T243" s="16"/>
      <c r="U243" s="16"/>
      <c r="V243" s="16"/>
      <c r="W243" s="16"/>
      <c r="X243" s="16"/>
      <c r="Y243" s="16"/>
      <c r="Z243" s="16"/>
      <c r="AA243" s="16"/>
      <c r="AB243" s="16"/>
    </row>
    <row r="244" ht="13.5" customHeight="1" spans="1:28" x14ac:dyDescent="0.25">
      <c r="A244" s="16"/>
      <c r="B244" s="16"/>
      <c r="C244" s="16"/>
      <c r="D244" s="590"/>
      <c r="E244" s="592"/>
      <c r="F244" s="592" t="str">
        <f ca="1">$G$220&amp;" "&amp;$G$221&amp;" P/E Spread to Comps"</f>
        <v>2009-2018 Early Cycle P/E Spread to Comps</v>
      </c>
      <c r="G244" s="668"/>
      <c r="H244" s="668"/>
      <c r="I244" s="668"/>
      <c r="J244" s="668"/>
      <c r="K244" s="16"/>
      <c r="L244" s="590"/>
      <c r="M244" s="592"/>
      <c r="N244" s="592" t="str">
        <f t="shared" ref="N244:N245" si="66" ca="1">F244</f>
        <v>2009-2018 Early Cycle P/E Spread to Comps</v>
      </c>
      <c r="O244" s="668"/>
      <c r="P244" s="668"/>
      <c r="Q244" s="668"/>
      <c r="R244" s="668"/>
      <c r="S244" s="16"/>
      <c r="T244" s="16"/>
      <c r="U244" s="16"/>
      <c r="V244" s="16"/>
      <c r="W244" s="16"/>
      <c r="X244" s="16"/>
      <c r="Y244" s="16"/>
      <c r="Z244" s="16"/>
      <c r="AA244" s="16"/>
      <c r="AB244" s="16"/>
    </row>
    <row r="245" ht="13.5" customHeight="1" spans="1:28" x14ac:dyDescent="0.25">
      <c r="A245" s="16"/>
      <c r="B245" s="16"/>
      <c r="C245" s="16"/>
      <c r="D245" s="16"/>
      <c r="E245" s="785">
        <f ca="1">$J$204</f>
        <v>1e-12</v>
      </c>
      <c r="F245" s="786">
        <f t="shared" ref="F245:G245" si="67" ca="1">G245-$E$93</f>
        <v>19.224141568043322</v>
      </c>
      <c r="G245" s="786">
        <f ca="1">H245-$E$93</f>
        <v>20.224141568043322</v>
      </c>
      <c r="H245" s="787">
        <v>21.224141568043322</v>
      </c>
      <c r="I245" s="786">
        <f t="shared" ref="I245:J245" si="68" ca="1">H245+$E$93</f>
        <v>22.224141568043322</v>
      </c>
      <c r="J245" s="786">
        <f ca="1">I245+$E$93</f>
        <v>23.224141568043322</v>
      </c>
      <c r="K245" s="16"/>
      <c r="L245" s="16"/>
      <c r="M245" s="785">
        <f ca="1">$H$73</f>
        <v>1e-12</v>
      </c>
      <c r="N245" s="786">
        <f ca="1">F245</f>
        <v>19.224141568043322</v>
      </c>
      <c r="O245" s="786">
        <f t="shared" ref="O245:R245" si="69" ca="1">G245</f>
        <v>20.224141568043322</v>
      </c>
      <c r="P245" s="786">
        <f ca="1">H245</f>
        <v>21.224141568043322</v>
      </c>
      <c r="Q245" s="786">
        <f ca="1">I245</f>
        <v>22.224141568043322</v>
      </c>
      <c r="R245" s="786">
        <f ca="1">J245</f>
        <v>23.224141568043322</v>
      </c>
      <c r="S245" s="16"/>
      <c r="T245" s="16"/>
      <c r="U245" s="16"/>
      <c r="V245" s="16"/>
      <c r="W245" s="16"/>
      <c r="X245" s="16"/>
      <c r="Y245" s="16"/>
      <c r="Z245" s="16"/>
      <c r="AA245" s="16"/>
      <c r="AB245" s="16"/>
    </row>
    <row r="246" ht="13.5" customHeight="1" spans="1:28" x14ac:dyDescent="0.25">
      <c r="A246" s="16"/>
      <c r="B246" s="16"/>
      <c r="C246" s="16"/>
      <c r="D246" s="673" t="s">
        <v>397</v>
      </c>
      <c r="E246" s="826">
        <f ca="1">$E$172*(1-(2*$E$153))</f>
        <v>11.73702261514271</v>
      </c>
      <c r="F246" s="790">
        <v>225.6341843408295</v>
      </c>
      <c r="G246" s="791">
        <v>237.3712069559722</v>
      </c>
      <c r="H246" s="791">
        <v>249.10822957111492</v>
      </c>
      <c r="I246" s="791">
        <v>260.84525218625765</v>
      </c>
      <c r="J246" s="792">
        <v>272.58227480140033</v>
      </c>
      <c r="K246" s="16"/>
      <c r="L246" s="673" t="s">
        <v>397</v>
      </c>
      <c r="M246" s="826">
        <f t="shared" ref="M246:M250" si="70" ca="1">E246</f>
        <v>11.73702261514271</v>
      </c>
      <c r="N246" s="793">
        <f t="shared" ref="N246:R250" si="71" ca="1">F246/Share_Price-1</f>
        <v>-0.03236047542315168</v>
      </c>
      <c r="O246" s="661">
        <f ca="1">G246/Share_Price-1</f>
        <v>0.017974127094828818</v>
      </c>
      <c r="P246" s="661">
        <f ca="1">H246/Share_Price-1</f>
        <v>0.06830872961280954</v>
      </c>
      <c r="Q246" s="661">
        <f ca="1">I246/Share_Price-1</f>
        <v>0.11864333213079004</v>
      </c>
      <c r="R246" s="794">
        <f ca="1">J246/Share_Price-1</f>
        <v>0.16897793464877053</v>
      </c>
      <c r="S246" s="16"/>
      <c r="T246" s="16"/>
      <c r="U246" s="16"/>
      <c r="V246" s="16"/>
      <c r="W246" s="16"/>
      <c r="X246" s="16"/>
      <c r="Y246" s="16"/>
      <c r="Z246" s="16"/>
      <c r="AA246" s="16"/>
      <c r="AB246" s="16"/>
    </row>
    <row r="247" ht="13.5" customHeight="1" spans="1:28" x14ac:dyDescent="0.25">
      <c r="A247" s="16"/>
      <c r="B247" s="16"/>
      <c r="C247" s="16"/>
      <c r="D247" s="678"/>
      <c r="E247" s="826">
        <f ca="1">$E$172*(1-$E$153)</f>
        <v>13.204150442035548</v>
      </c>
      <c r="F247" s="795">
        <v>253.8384573834332</v>
      </c>
      <c r="G247" s="796">
        <v>267.04260782546874</v>
      </c>
      <c r="H247" s="796">
        <v>280.2467582675043</v>
      </c>
      <c r="I247" s="796">
        <v>293.4509087095398</v>
      </c>
      <c r="J247" s="797">
        <v>306.65505915157536</v>
      </c>
      <c r="K247" s="16"/>
      <c r="L247" s="678"/>
      <c r="M247" s="826">
        <f ca="1">E247</f>
        <v>13.204150442035548</v>
      </c>
      <c r="N247" s="798">
        <f ca="1">F247/Share_Price-1</f>
        <v>0.0885944651489543</v>
      </c>
      <c r="O247" s="552">
        <f ca="1">G247/Share_Price-1</f>
        <v>0.1452208929816825</v>
      </c>
      <c r="P247" s="552">
        <f ca="1">H247/Share_Price-1</f>
        <v>0.2018473208144107</v>
      </c>
      <c r="Q247" s="552">
        <f ca="1">I247/Share_Price-1</f>
        <v>0.2584737486471387</v>
      </c>
      <c r="R247" s="674">
        <f ca="1">J247/Share_Price-1</f>
        <v>0.3151001764798669</v>
      </c>
      <c r="S247" s="16"/>
      <c r="T247" s="16"/>
      <c r="U247" s="16"/>
      <c r="V247" s="16"/>
      <c r="W247" s="16"/>
      <c r="X247" s="16"/>
      <c r="Y247" s="16"/>
      <c r="Z247" s="16"/>
      <c r="AA247" s="16"/>
      <c r="AB247" s="16"/>
    </row>
    <row r="248" ht="13.5" customHeight="1" spans="1:28" x14ac:dyDescent="0.25">
      <c r="A248" s="16"/>
      <c r="B248" s="16"/>
      <c r="C248" s="16"/>
      <c r="D248" s="678"/>
      <c r="E248" s="827">
        <v>14.671278268928386</v>
      </c>
      <c r="F248" s="795">
        <v>282.0427304260369</v>
      </c>
      <c r="G248" s="796">
        <v>296.71400869496523</v>
      </c>
      <c r="H248" s="796">
        <v>311.38528696389363</v>
      </c>
      <c r="I248" s="796">
        <v>326.05656523282204</v>
      </c>
      <c r="J248" s="797">
        <v>340.7278435017504</v>
      </c>
      <c r="K248" s="16"/>
      <c r="L248" s="678"/>
      <c r="M248" s="826">
        <f ca="1">E248</f>
        <v>14.671278268928386</v>
      </c>
      <c r="N248" s="798">
        <f ca="1">F248/Share_Price-1</f>
        <v>0.2095494057210605</v>
      </c>
      <c r="O248" s="552">
        <f ca="1">G248/Share_Price-1</f>
        <v>0.27246765886853597</v>
      </c>
      <c r="P248" s="552">
        <f ca="1">H248/Share_Price-1</f>
        <v>0.33538591201601187</v>
      </c>
      <c r="Q248" s="552">
        <f ca="1">I248/Share_Price-1</f>
        <v>0.39830416516348754</v>
      </c>
      <c r="R248" s="674">
        <f ca="1">J248/Share_Price-1</f>
        <v>0.461222418310963</v>
      </c>
      <c r="S248" s="16"/>
      <c r="T248" s="16"/>
      <c r="U248" s="16"/>
      <c r="V248" s="16"/>
      <c r="W248" s="16"/>
      <c r="X248" s="16"/>
      <c r="Y248" s="16"/>
      <c r="Z248" s="16"/>
      <c r="AA248" s="16"/>
      <c r="AB248" s="16"/>
    </row>
    <row r="249" ht="13.5" customHeight="1" spans="1:28" x14ac:dyDescent="0.25">
      <c r="A249" s="16"/>
      <c r="B249" s="16"/>
      <c r="C249" s="16"/>
      <c r="D249" s="678"/>
      <c r="E249" s="826">
        <f ca="1">$E$172*(1+$E$153)</f>
        <v>16.138406095821225</v>
      </c>
      <c r="F249" s="795">
        <v>310.24700346864057</v>
      </c>
      <c r="G249" s="796">
        <v>326.3854095644618</v>
      </c>
      <c r="H249" s="796">
        <v>342.523815660283</v>
      </c>
      <c r="I249" s="796">
        <v>358.6622217561042</v>
      </c>
      <c r="J249" s="797">
        <v>374.80062785192547</v>
      </c>
      <c r="K249" s="16"/>
      <c r="L249" s="678"/>
      <c r="M249" s="826">
        <f ca="1">E249</f>
        <v>16.138406095821225</v>
      </c>
      <c r="N249" s="798">
        <f ca="1">F249/Share_Price-1</f>
        <v>0.3305043462931665</v>
      </c>
      <c r="O249" s="552">
        <f ca="1">G249/Share_Price-1</f>
        <v>0.39971442475538965</v>
      </c>
      <c r="P249" s="552">
        <f ca="1">H249/Share_Price-1</f>
        <v>0.46892450321761303</v>
      </c>
      <c r="Q249" s="552">
        <f ca="1">I249/Share_Price-1</f>
        <v>0.5381345816798362</v>
      </c>
      <c r="R249" s="674">
        <f ca="1">J249/Share_Price-1</f>
        <v>0.6073446601420596</v>
      </c>
      <c r="S249" s="16"/>
      <c r="T249" s="16"/>
      <c r="U249" s="16"/>
      <c r="V249" s="16"/>
      <c r="W249" s="16"/>
      <c r="X249" s="16"/>
      <c r="Y249" s="16"/>
      <c r="Z249" s="16"/>
      <c r="AA249" s="16"/>
      <c r="AB249" s="16"/>
    </row>
    <row r="250" ht="13.5" customHeight="1" spans="1:28" x14ac:dyDescent="0.25">
      <c r="A250" s="16"/>
      <c r="B250" s="16"/>
      <c r="C250" s="16"/>
      <c r="D250" s="683"/>
      <c r="E250" s="826">
        <f ca="1">$E$172*(1+(2*$E$153))</f>
        <v>17.605533922714063</v>
      </c>
      <c r="F250" s="801">
        <v>338.4512765112442</v>
      </c>
      <c r="G250" s="802">
        <v>356.0568104339583</v>
      </c>
      <c r="H250" s="802">
        <v>373.66234435667235</v>
      </c>
      <c r="I250" s="802">
        <v>391.2678782793864</v>
      </c>
      <c r="J250" s="803">
        <v>408.8734122021005</v>
      </c>
      <c r="K250" s="16"/>
      <c r="L250" s="683"/>
      <c r="M250" s="826">
        <f ca="1">E250</f>
        <v>17.605533922714063</v>
      </c>
      <c r="N250" s="804">
        <f ca="1">F250/Share_Price-1</f>
        <v>0.45145928686527226</v>
      </c>
      <c r="O250" s="670">
        <f ca="1">G250/Share_Price-1</f>
        <v>0.5269611906422431</v>
      </c>
      <c r="P250" s="670">
        <f ca="1">H250/Share_Price-1</f>
        <v>0.602463094419214</v>
      </c>
      <c r="Q250" s="670">
        <f ca="1">I250/Share_Price-1</f>
        <v>0.677964998196185</v>
      </c>
      <c r="R250" s="805">
        <f ca="1">J250/Share_Price-1</f>
        <v>0.7534669019731559</v>
      </c>
      <c r="S250" s="16"/>
      <c r="T250" s="16"/>
      <c r="U250" s="16"/>
      <c r="V250" s="16"/>
      <c r="W250" s="16"/>
      <c r="X250" s="16"/>
      <c r="Y250" s="16"/>
      <c r="Z250" s="16"/>
      <c r="AA250" s="16"/>
      <c r="AB250" s="16"/>
    </row>
    <row r="251" ht="13.5" customHeight="1" spans="1:28" x14ac:dyDescent="0.25">
      <c r="A251" s="16"/>
      <c r="B251" s="16"/>
      <c r="C251" s="16"/>
      <c r="D251" s="16"/>
      <c r="E251" s="16"/>
      <c r="F251" s="16"/>
      <c r="G251" s="16"/>
      <c r="H251" s="16"/>
      <c r="I251" s="16"/>
      <c r="J251" s="16"/>
      <c r="K251" s="16"/>
      <c r="L251" s="16"/>
      <c r="M251" s="16"/>
      <c r="N251" s="16"/>
      <c r="O251" s="16"/>
      <c r="P251" s="16"/>
      <c r="Q251" s="16"/>
      <c r="R251" s="16"/>
      <c r="S251" s="16"/>
      <c r="T251" s="16"/>
      <c r="U251" s="16"/>
      <c r="V251" s="16"/>
      <c r="W251" s="16"/>
      <c r="X251" s="16"/>
      <c r="Y251" s="16"/>
      <c r="Z251" s="16"/>
      <c r="AA251" s="16"/>
      <c r="AB251" s="16"/>
    </row>
    <row r="252" ht="13.5" customHeight="1" spans="1:28" x14ac:dyDescent="0.25">
      <c r="A252" s="16"/>
      <c r="B252" s="16"/>
      <c r="C252" s="16"/>
      <c r="D252" s="590"/>
      <c r="E252" s="592"/>
      <c r="F252" s="592" t="str">
        <f ca="1">$G$220&amp;" "&amp;$G$221&amp;" EV/EBITDA"</f>
        <v>2009-2018 Early Cycle EV/EBITDA</v>
      </c>
      <c r="G252" s="668"/>
      <c r="H252" s="668"/>
      <c r="I252" s="668"/>
      <c r="J252" s="668"/>
      <c r="K252" s="16"/>
      <c r="L252" s="590"/>
      <c r="M252" s="592"/>
      <c r="N252" s="592" t="str">
        <f t="shared" ref="N252:N253" si="72" ca="1">F252</f>
        <v>2009-2018 Early Cycle EV/EBITDA</v>
      </c>
      <c r="O252" s="668"/>
      <c r="P252" s="668"/>
      <c r="Q252" s="668"/>
      <c r="R252" s="668"/>
      <c r="S252" s="16"/>
      <c r="T252" s="16"/>
      <c r="U252" s="16"/>
      <c r="V252" s="16"/>
      <c r="W252" s="16"/>
      <c r="X252" s="16"/>
      <c r="Y252" s="16"/>
      <c r="Z252" s="16"/>
      <c r="AA252" s="16"/>
      <c r="AB252" s="16"/>
    </row>
    <row r="253" ht="13.5" customHeight="1" spans="1:28" x14ac:dyDescent="0.25">
      <c r="A253" s="16"/>
      <c r="B253" s="16"/>
      <c r="C253" s="16"/>
      <c r="D253" s="16"/>
      <c r="E253" s="785">
        <f ca="1">$N$215</f>
        <v>-24.124469589816126</v>
      </c>
      <c r="F253" s="786">
        <f t="shared" ref="F253:G253" si="73" ca="1">G253-$E$93</f>
        <v>5.408287499999999</v>
      </c>
      <c r="G253" s="786">
        <f ca="1">H253-$E$93</f>
        <v>6.408287499999999</v>
      </c>
      <c r="H253" s="787">
        <v>7.408287499999999</v>
      </c>
      <c r="I253" s="786">
        <f t="shared" ref="I253:J253" si="74" ca="1">H253+$E$93</f>
        <v>8.4082875</v>
      </c>
      <c r="J253" s="786">
        <f ca="1">I253+$E$93</f>
        <v>9.4082875</v>
      </c>
      <c r="K253" s="16"/>
      <c r="L253" s="16"/>
      <c r="M253" s="785">
        <f ca="1">$H$73</f>
        <v>1e-12</v>
      </c>
      <c r="N253" s="786">
        <f ca="1">F253</f>
        <v>5.408287499999999</v>
      </c>
      <c r="O253" s="786">
        <f t="shared" ref="O253:R253" si="75" ca="1">G253</f>
        <v>6.408287499999999</v>
      </c>
      <c r="P253" s="786">
        <f ca="1">H253</f>
        <v>7.408287499999999</v>
      </c>
      <c r="Q253" s="786">
        <f ca="1">I253</f>
        <v>8.4082875</v>
      </c>
      <c r="R253" s="786">
        <f ca="1">J253</f>
        <v>9.4082875</v>
      </c>
      <c r="S253" s="16"/>
      <c r="T253" s="16"/>
      <c r="U253" s="16"/>
      <c r="V253" s="16"/>
      <c r="W253" s="16"/>
      <c r="X253" s="16"/>
      <c r="Y253" s="16"/>
      <c r="Z253" s="16"/>
      <c r="AA253" s="16"/>
      <c r="AB253" s="16"/>
    </row>
    <row r="254" ht="13.5" customHeight="1" spans="1:28" x14ac:dyDescent="0.25">
      <c r="A254" s="16"/>
      <c r="B254" s="16"/>
      <c r="C254" s="16"/>
      <c r="D254" s="673" t="s">
        <v>292</v>
      </c>
      <c r="E254" s="762">
        <f ca="1">$E$180*(1-(2*$K$153))</f>
        <v>12087.035287774353</v>
      </c>
      <c r="F254" s="790">
        <v>67.64474257070654</v>
      </c>
      <c r="G254" s="791">
        <v>85.11155657038047</v>
      </c>
      <c r="H254" s="791">
        <v>102.5783705700544</v>
      </c>
      <c r="I254" s="791">
        <v>120.04518456972832</v>
      </c>
      <c r="J254" s="792">
        <v>137.51199856940224</v>
      </c>
      <c r="K254" s="16"/>
      <c r="L254" s="673" t="s">
        <v>292</v>
      </c>
      <c r="M254" s="762">
        <f t="shared" ref="M254:M258" si="76" ca="1">E254</f>
        <v>12087.035287774353</v>
      </c>
      <c r="N254" s="793">
        <f t="shared" ref="N254:R258" si="77" ca="1">F254/Share_Price-1</f>
        <v>-0.7099033254536987</v>
      </c>
      <c r="O254" s="661">
        <f ca="1">G254/Share_Price-1</f>
        <v>-0.6349963265701155</v>
      </c>
      <c r="P254" s="661">
        <f ca="1">H254/Share_Price-1</f>
        <v>-0.5600893276865323</v>
      </c>
      <c r="Q254" s="661">
        <f ca="1">I254/Share_Price-1</f>
        <v>-0.4851823288029492</v>
      </c>
      <c r="R254" s="794">
        <f ca="1">J254/Share_Price-1</f>
        <v>-0.410275329919366</v>
      </c>
      <c r="S254" s="16"/>
      <c r="T254" s="16"/>
      <c r="U254" s="16"/>
      <c r="V254" s="16"/>
      <c r="W254" s="16"/>
      <c r="X254" s="16"/>
      <c r="Y254" s="16"/>
      <c r="Z254" s="16"/>
      <c r="AA254" s="16"/>
      <c r="AB254" s="16"/>
    </row>
    <row r="255" ht="13.5" customHeight="1" spans="1:28" x14ac:dyDescent="0.25">
      <c r="A255" s="16"/>
      <c r="B255" s="16"/>
      <c r="C255" s="16"/>
      <c r="D255" s="678"/>
      <c r="E255" s="762">
        <f ca="1">$E$180*(1-$K$153)</f>
        <v>13597.914698746146</v>
      </c>
      <c r="F255" s="795">
        <v>79.45293654811421</v>
      </c>
      <c r="G255" s="796">
        <v>99.10310229774737</v>
      </c>
      <c r="H255" s="796">
        <v>118.75326804738054</v>
      </c>
      <c r="I255" s="796">
        <v>138.40343379701372</v>
      </c>
      <c r="J255" s="797">
        <v>158.0535995466469</v>
      </c>
      <c r="K255" s="16"/>
      <c r="L255" s="678"/>
      <c r="M255" s="762">
        <f ca="1">E255</f>
        <v>13597.914698746146</v>
      </c>
      <c r="N255" s="798">
        <f ca="1">F255/Share_Price-1</f>
        <v>-0.6592635022381241</v>
      </c>
      <c r="O255" s="552">
        <f ca="1">G255/Share_Price-1</f>
        <v>-0.5749931284940931</v>
      </c>
      <c r="P255" s="552">
        <f ca="1">H255/Share_Price-1</f>
        <v>-0.490722754750062</v>
      </c>
      <c r="Q255" s="552">
        <f ca="1">I255/Share_Price-1</f>
        <v>-0.40645238100603087</v>
      </c>
      <c r="R255" s="674">
        <f ca="1">J255/Share_Price-1</f>
        <v>-0.32218200726199975</v>
      </c>
      <c r="S255" s="16"/>
      <c r="T255" s="16"/>
      <c r="U255" s="16"/>
      <c r="V255" s="16"/>
      <c r="W255" s="16"/>
      <c r="X255" s="16"/>
      <c r="Y255" s="16"/>
      <c r="Z255" s="16"/>
      <c r="AA255" s="16"/>
      <c r="AB255" s="16"/>
    </row>
    <row r="256" ht="13.5" customHeight="1" spans="1:28" x14ac:dyDescent="0.25">
      <c r="A256" s="16"/>
      <c r="B256" s="16"/>
      <c r="C256" s="16"/>
      <c r="D256" s="678"/>
      <c r="E256" s="828">
        <v>15108.794109717941</v>
      </c>
      <c r="F256" s="795">
        <v>91.2611305255219</v>
      </c>
      <c r="G256" s="796">
        <v>113.09464802511431</v>
      </c>
      <c r="H256" s="796">
        <v>134.9281655247067</v>
      </c>
      <c r="I256" s="796">
        <v>156.76168302429915</v>
      </c>
      <c r="J256" s="797">
        <v>178.59520052389152</v>
      </c>
      <c r="K256" s="16"/>
      <c r="L256" s="678"/>
      <c r="M256" s="762">
        <f ca="1">E256</f>
        <v>15108.794109717941</v>
      </c>
      <c r="N256" s="798">
        <f ca="1">F256/Share_Price-1</f>
        <v>-0.6086236790225494</v>
      </c>
      <c r="O256" s="552">
        <f ca="1">G256/Share_Price-1</f>
        <v>-0.5149899304180705</v>
      </c>
      <c r="P256" s="552">
        <f ca="1">H256/Share_Price-1</f>
        <v>-0.4213561818135916</v>
      </c>
      <c r="Q256" s="552">
        <f ca="1">I256/Share_Price-1</f>
        <v>-0.32772243320911254</v>
      </c>
      <c r="R256" s="674">
        <f ca="1">J256/Share_Price-1</f>
        <v>-0.23408868460463372</v>
      </c>
      <c r="S256" s="16"/>
      <c r="T256" s="16"/>
      <c r="U256" s="16"/>
      <c r="V256" s="16"/>
      <c r="W256" s="16"/>
      <c r="X256" s="16"/>
      <c r="Y256" s="16"/>
      <c r="Z256" s="16"/>
      <c r="AA256" s="16"/>
      <c r="AB256" s="16"/>
    </row>
    <row r="257" ht="13.5" customHeight="1" spans="1:28" x14ac:dyDescent="0.25">
      <c r="A257" s="16"/>
      <c r="B257" s="16"/>
      <c r="C257" s="16"/>
      <c r="D257" s="678"/>
      <c r="E257" s="762">
        <f ca="1">$E$180*(1+$K$153)</f>
        <v>16619.673520689736</v>
      </c>
      <c r="F257" s="795">
        <v>103.06932450292959</v>
      </c>
      <c r="G257" s="796">
        <v>127.08619375248122</v>
      </c>
      <c r="H257" s="796">
        <v>151.10306300203288</v>
      </c>
      <c r="I257" s="796">
        <v>175.11993225158452</v>
      </c>
      <c r="J257" s="797">
        <v>199.13680150113618</v>
      </c>
      <c r="K257" s="16"/>
      <c r="L257" s="678"/>
      <c r="M257" s="762">
        <f ca="1">E257</f>
        <v>16619.673520689736</v>
      </c>
      <c r="N257" s="798">
        <f ca="1">F257/Share_Price-1</f>
        <v>-0.557983855806975</v>
      </c>
      <c r="O257" s="552">
        <f ca="1">G257/Share_Price-1</f>
        <v>-0.4549867323420481</v>
      </c>
      <c r="P257" s="552">
        <f ca="1">H257/Share_Price-1</f>
        <v>-0.35198960887712116</v>
      </c>
      <c r="Q257" s="552">
        <f ca="1">I257/Share_Price-1</f>
        <v>-0.24899248541219443</v>
      </c>
      <c r="R257" s="674">
        <f ca="1">J257/Share_Price-1</f>
        <v>-0.14599536194726748</v>
      </c>
      <c r="S257" s="16"/>
      <c r="T257" s="16"/>
      <c r="U257" s="16"/>
      <c r="V257" s="16"/>
      <c r="W257" s="16"/>
      <c r="X257" s="16"/>
      <c r="Y257" s="16"/>
      <c r="Z257" s="16"/>
      <c r="AA257" s="16"/>
      <c r="AB257" s="16"/>
    </row>
    <row r="258" ht="13.5" customHeight="1" spans="1:28" x14ac:dyDescent="0.25">
      <c r="A258" s="16"/>
      <c r="B258" s="16"/>
      <c r="C258" s="16"/>
      <c r="D258" s="683"/>
      <c r="E258" s="762">
        <f ca="1">$E$180*(1+(2*$K$153))</f>
        <v>18130.55293166153</v>
      </c>
      <c r="F258" s="801">
        <v>114.87751848033726</v>
      </c>
      <c r="G258" s="802">
        <v>141.07773947984813</v>
      </c>
      <c r="H258" s="802">
        <v>167.277960479359</v>
      </c>
      <c r="I258" s="802">
        <v>193.47818147886994</v>
      </c>
      <c r="J258" s="803">
        <v>219.6784024783808</v>
      </c>
      <c r="K258" s="16"/>
      <c r="L258" s="683"/>
      <c r="M258" s="762">
        <f ca="1">E258</f>
        <v>18130.55293166153</v>
      </c>
      <c r="N258" s="804">
        <f ca="1">F258/Share_Price-1</f>
        <v>-0.5073440325914004</v>
      </c>
      <c r="O258" s="670">
        <f ca="1">G258/Share_Price-1</f>
        <v>-0.3949835342660257</v>
      </c>
      <c r="P258" s="670">
        <f ca="1">H258/Share_Price-1</f>
        <v>-0.2826230359406511</v>
      </c>
      <c r="Q258" s="670">
        <f ca="1">I258/Share_Price-1</f>
        <v>-0.170262537615276</v>
      </c>
      <c r="R258" s="805">
        <f ca="1">J258/Share_Price-1</f>
        <v>-0.05790203928990134</v>
      </c>
      <c r="S258" s="16"/>
      <c r="T258" s="16"/>
      <c r="U258" s="16"/>
      <c r="V258" s="16"/>
      <c r="W258" s="16"/>
      <c r="X258" s="16"/>
      <c r="Y258" s="16"/>
      <c r="Z258" s="16"/>
      <c r="AA258" s="16"/>
      <c r="AB258" s="16"/>
    </row>
    <row r="259" ht="13.5" customHeight="1" spans="1:28" x14ac:dyDescent="0.25">
      <c r="A259" s="16"/>
      <c r="B259" s="16"/>
      <c r="C259" s="16"/>
      <c r="D259" s="16"/>
      <c r="E259" s="16"/>
      <c r="F259" s="16"/>
      <c r="G259" s="16"/>
      <c r="H259" s="16"/>
      <c r="I259" s="16"/>
      <c r="J259" s="16"/>
      <c r="K259" s="16"/>
      <c r="L259" s="16"/>
      <c r="M259" s="16"/>
      <c r="N259" s="16"/>
      <c r="O259" s="16"/>
      <c r="P259" s="16"/>
      <c r="Q259" s="16"/>
      <c r="R259" s="16"/>
      <c r="S259" s="16"/>
      <c r="T259" s="16"/>
      <c r="U259" s="16"/>
      <c r="V259" s="16"/>
      <c r="W259" s="16"/>
      <c r="X259" s="16"/>
      <c r="Y259" s="16"/>
      <c r="Z259" s="16"/>
      <c r="AA259" s="16"/>
      <c r="AB259" s="16"/>
    </row>
    <row r="260" ht="13.5" customHeight="1" spans="1:28" x14ac:dyDescent="0.25">
      <c r="A260" s="16"/>
      <c r="B260" s="16"/>
      <c r="C260" s="16"/>
      <c r="D260" s="590"/>
      <c r="E260" s="592"/>
      <c r="F260" s="592" t="str">
        <f ca="1">$G$220&amp;" "&amp;$G$221&amp;" EV/EBITDA Spread to Comps"</f>
        <v>2009-2018 Early Cycle EV/EBITDA Spread to Comps</v>
      </c>
      <c r="G260" s="668"/>
      <c r="H260" s="668"/>
      <c r="I260" s="668"/>
      <c r="J260" s="668"/>
      <c r="K260" s="16"/>
      <c r="L260" s="590"/>
      <c r="M260" s="592"/>
      <c r="N260" s="592" t="str">
        <f t="shared" ref="N260:N261" si="78" ca="1">F260</f>
        <v>2009-2018 Early Cycle EV/EBITDA Spread to Comps</v>
      </c>
      <c r="O260" s="668"/>
      <c r="P260" s="668"/>
      <c r="Q260" s="668"/>
      <c r="R260" s="668"/>
      <c r="S260" s="16"/>
      <c r="T260" s="16"/>
      <c r="U260" s="16"/>
      <c r="V260" s="16"/>
      <c r="W260" s="16"/>
      <c r="X260" s="16"/>
      <c r="Y260" s="16"/>
      <c r="Z260" s="16"/>
      <c r="AA260" s="16"/>
      <c r="AB260" s="16"/>
    </row>
    <row r="261" ht="13.5" customHeight="1" spans="1:28" x14ac:dyDescent="0.25">
      <c r="A261" s="16"/>
      <c r="B261" s="16"/>
      <c r="C261" s="16"/>
      <c r="D261" s="16"/>
      <c r="E261" s="785">
        <f ca="1">$R$215</f>
        <v>-24.124469589816126</v>
      </c>
      <c r="F261" s="786">
        <f t="shared" ref="F261:G261" si="79" ca="1">G261-$E$93</f>
        <v>10.655598918298834</v>
      </c>
      <c r="G261" s="786">
        <f ca="1">H261-$E$93</f>
        <v>11.655598918298834</v>
      </c>
      <c r="H261" s="787">
        <v>12.655598918298834</v>
      </c>
      <c r="I261" s="786">
        <f t="shared" ref="I261:J261" si="80" ca="1">H261+$E$93</f>
        <v>13.655598918298834</v>
      </c>
      <c r="J261" s="786">
        <f ca="1">I261+$E$93</f>
        <v>14.655598918298834</v>
      </c>
      <c r="K261" s="16"/>
      <c r="L261" s="16"/>
      <c r="M261" s="785">
        <f ca="1">$H$73</f>
        <v>1e-12</v>
      </c>
      <c r="N261" s="786">
        <f ca="1">F261</f>
        <v>10.655598918298834</v>
      </c>
      <c r="O261" s="786">
        <f t="shared" ref="O261:R261" si="81" ca="1">G261</f>
        <v>11.655598918298834</v>
      </c>
      <c r="P261" s="786">
        <f ca="1">H261</f>
        <v>12.655598918298834</v>
      </c>
      <c r="Q261" s="786">
        <f ca="1">I261</f>
        <v>13.655598918298834</v>
      </c>
      <c r="R261" s="786">
        <f ca="1">J261</f>
        <v>14.655598918298834</v>
      </c>
      <c r="S261" s="16"/>
      <c r="T261" s="16"/>
      <c r="U261" s="16"/>
      <c r="V261" s="16"/>
      <c r="W261" s="16"/>
      <c r="X261" s="16"/>
      <c r="Y261" s="16"/>
      <c r="Z261" s="16"/>
      <c r="AA261" s="16"/>
      <c r="AB261" s="16"/>
    </row>
    <row r="262" ht="13.5" customHeight="1" spans="1:28" x14ac:dyDescent="0.25">
      <c r="A262" s="16"/>
      <c r="B262" s="16"/>
      <c r="C262" s="16"/>
      <c r="D262" s="673" t="s">
        <v>292</v>
      </c>
      <c r="E262" s="762">
        <f ca="1">$E$188*(1-(2*$K$153))</f>
        <v>12087.035287774353</v>
      </c>
      <c r="F262" s="790">
        <v>159.29855511249744</v>
      </c>
      <c r="G262" s="791">
        <v>176.76536911217136</v>
      </c>
      <c r="H262" s="791">
        <v>194.2321831118453</v>
      </c>
      <c r="I262" s="791">
        <v>211.6989971115192</v>
      </c>
      <c r="J262" s="792">
        <v>229.16581111119316</v>
      </c>
      <c r="K262" s="16"/>
      <c r="L262" s="673" t="s">
        <v>292</v>
      </c>
      <c r="M262" s="762">
        <f t="shared" ref="M262:M266" si="82" ca="1">E262</f>
        <v>12087.035287774353</v>
      </c>
      <c r="N262" s="793">
        <f t="shared" ref="N262:R266" si="83" ca="1">F262/Share_Price-1</f>
        <v>-0.3168429749013748</v>
      </c>
      <c r="O262" s="661">
        <f ca="1">G262/Share_Price-1</f>
        <v>-0.2419359760177916</v>
      </c>
      <c r="P262" s="661">
        <f ca="1">H262/Share_Price-1</f>
        <v>-0.1670289771342084</v>
      </c>
      <c r="Q262" s="661">
        <f ca="1">I262/Share_Price-1</f>
        <v>-0.09212197825062529</v>
      </c>
      <c r="R262" s="794">
        <f ca="1">J262/Share_Price-1</f>
        <v>-0.01721497936704197</v>
      </c>
      <c r="S262" s="16"/>
      <c r="T262" s="16"/>
      <c r="U262" s="16"/>
      <c r="V262" s="16"/>
      <c r="W262" s="16"/>
      <c r="X262" s="16"/>
      <c r="Y262" s="16"/>
      <c r="Z262" s="16"/>
      <c r="AA262" s="16"/>
      <c r="AB262" s="16"/>
    </row>
    <row r="263" ht="13.5" customHeight="1" spans="1:28" x14ac:dyDescent="0.25">
      <c r="A263" s="16"/>
      <c r="B263" s="16"/>
      <c r="C263" s="16"/>
      <c r="D263" s="678"/>
      <c r="E263" s="762">
        <f ca="1">$E$188*(1-$K$153)</f>
        <v>13597.914698746146</v>
      </c>
      <c r="F263" s="795">
        <v>182.56347565762897</v>
      </c>
      <c r="G263" s="796">
        <v>202.21364140726214</v>
      </c>
      <c r="H263" s="796">
        <v>221.8638071568953</v>
      </c>
      <c r="I263" s="796">
        <v>241.51397290652844</v>
      </c>
      <c r="J263" s="797">
        <v>261.1641386561616</v>
      </c>
      <c r="K263" s="16"/>
      <c r="L263" s="678"/>
      <c r="M263" s="762">
        <f ca="1">E263</f>
        <v>13597.914698746146</v>
      </c>
      <c r="N263" s="798">
        <f ca="1">F263/Share_Price-1</f>
        <v>-0.2170706078667597</v>
      </c>
      <c r="O263" s="552">
        <f ca="1">G263/Share_Price-1</f>
        <v>-0.13280023412272868</v>
      </c>
      <c r="P263" s="552">
        <f ca="1">H263/Share_Price-1</f>
        <v>-0.048529860378697665</v>
      </c>
      <c r="Q263" s="552">
        <f ca="1">I263/Share_Price-1</f>
        <v>0.03574051336533324</v>
      </c>
      <c r="R263" s="674">
        <f ca="1">J263/Share_Price-1</f>
        <v>0.12001088710936436</v>
      </c>
      <c r="S263" s="16"/>
      <c r="T263" s="16"/>
      <c r="U263" s="16"/>
      <c r="V263" s="16"/>
      <c r="W263" s="16"/>
      <c r="X263" s="16"/>
      <c r="Y263" s="16"/>
      <c r="Z263" s="16"/>
      <c r="AA263" s="16"/>
      <c r="AB263" s="16"/>
    </row>
    <row r="264" ht="13.5" customHeight="1" spans="1:28" x14ac:dyDescent="0.25">
      <c r="A264" s="16"/>
      <c r="B264" s="16"/>
      <c r="C264" s="16"/>
      <c r="D264" s="678"/>
      <c r="E264" s="828">
        <v>15108.794109717941</v>
      </c>
      <c r="F264" s="795">
        <v>205.8283962027605</v>
      </c>
      <c r="G264" s="796">
        <v>227.6619137023529</v>
      </c>
      <c r="H264" s="796">
        <v>249.4954312019453</v>
      </c>
      <c r="I264" s="796">
        <v>271.32894870153774</v>
      </c>
      <c r="J264" s="797">
        <v>293.16246620113014</v>
      </c>
      <c r="K264" s="16"/>
      <c r="L264" s="678"/>
      <c r="M264" s="762">
        <f ca="1">E264</f>
        <v>15108.794109717941</v>
      </c>
      <c r="N264" s="798">
        <f ca="1">F264/Share_Price-1</f>
        <v>-0.11729824083214468</v>
      </c>
      <c r="O264" s="552">
        <f ca="1">G264/Share_Price-1</f>
        <v>-0.023664492227665757</v>
      </c>
      <c r="P264" s="552">
        <f ca="1">H264/Share_Price-1</f>
        <v>0.06996925637681328</v>
      </c>
      <c r="Q264" s="552">
        <f ca="1">I264/Share_Price-1</f>
        <v>0.1636030049812922</v>
      </c>
      <c r="R264" s="674">
        <f ca="1">J264/Share_Price-1</f>
        <v>0.25723675358577114</v>
      </c>
      <c r="S264" s="16"/>
      <c r="T264" s="16"/>
      <c r="U264" s="16"/>
      <c r="V264" s="16"/>
      <c r="W264" s="16"/>
      <c r="X264" s="16"/>
      <c r="Y264" s="16"/>
      <c r="Z264" s="16"/>
      <c r="AA264" s="16"/>
      <c r="AB264" s="16"/>
    </row>
    <row r="265" ht="13.5" customHeight="1" spans="1:28" x14ac:dyDescent="0.25">
      <c r="A265" s="16"/>
      <c r="B265" s="16"/>
      <c r="C265" s="16"/>
      <c r="D265" s="678"/>
      <c r="E265" s="762">
        <f ca="1">$E$188*(1+$K$153)</f>
        <v>16619.673520689736</v>
      </c>
      <c r="F265" s="795">
        <v>229.0933167478921</v>
      </c>
      <c r="G265" s="796">
        <v>253.1101859974437</v>
      </c>
      <c r="H265" s="796">
        <v>277.1270552469953</v>
      </c>
      <c r="I265" s="796">
        <v>301.143924496547</v>
      </c>
      <c r="J265" s="797">
        <v>325.16079374609865</v>
      </c>
      <c r="K265" s="16"/>
      <c r="L265" s="678"/>
      <c r="M265" s="762">
        <f ca="1">E265</f>
        <v>16619.673520689736</v>
      </c>
      <c r="N265" s="798">
        <f ca="1">F265/Share_Price-1</f>
        <v>-0.017525873797529457</v>
      </c>
      <c r="O265" s="552">
        <f ca="1">G265/Share_Price-1</f>
        <v>0.08547124966739728</v>
      </c>
      <c r="P265" s="552">
        <f ca="1">H265/Share_Price-1</f>
        <v>0.188468373132324</v>
      </c>
      <c r="Q265" s="552">
        <f ca="1">I265/Share_Price-1</f>
        <v>0.2914654965972512</v>
      </c>
      <c r="R265" s="674">
        <f ca="1">J265/Share_Price-1</f>
        <v>0.3944626200621779</v>
      </c>
      <c r="S265" s="16"/>
      <c r="T265" s="16"/>
      <c r="U265" s="16"/>
      <c r="V265" s="16"/>
      <c r="W265" s="16"/>
      <c r="X265" s="16"/>
      <c r="Y265" s="16"/>
      <c r="Z265" s="16"/>
      <c r="AA265" s="16"/>
      <c r="AB265" s="16"/>
    </row>
    <row r="266" ht="14.25" customHeight="1" spans="1:28" x14ac:dyDescent="0.25">
      <c r="A266" s="16"/>
      <c r="B266" s="16"/>
      <c r="C266" s="16"/>
      <c r="D266" s="683"/>
      <c r="E266" s="762">
        <f ca="1">$E$188*(1+(2*$K$153))</f>
        <v>18130.55293166153</v>
      </c>
      <c r="F266" s="801">
        <v>252.3582372930236</v>
      </c>
      <c r="G266" s="802">
        <v>278.5584582925345</v>
      </c>
      <c r="H266" s="802">
        <v>304.7586792920453</v>
      </c>
      <c r="I266" s="802">
        <v>330.95890029155623</v>
      </c>
      <c r="J266" s="803">
        <v>357.1591212910671</v>
      </c>
      <c r="K266" s="16"/>
      <c r="L266" s="683"/>
      <c r="M266" s="762">
        <f ca="1">E266</f>
        <v>18130.55293166153</v>
      </c>
      <c r="N266" s="804">
        <f ca="1">F266/Share_Price-1</f>
        <v>0.08224649323708544</v>
      </c>
      <c r="O266" s="670">
        <f ca="1">G266/Share_Price-1</f>
        <v>0.19460699156246042</v>
      </c>
      <c r="P266" s="670">
        <f ca="1">H266/Share_Price-1</f>
        <v>0.30696748988783473</v>
      </c>
      <c r="Q266" s="670">
        <f ca="1">I266/Share_Price-1</f>
        <v>0.4193279882132097</v>
      </c>
      <c r="R266" s="805">
        <f ca="1">J266/Share_Price-1</f>
        <v>0.5316884865385842</v>
      </c>
      <c r="S266" s="16"/>
      <c r="T266" s="16"/>
      <c r="U266" s="16"/>
      <c r="V266" s="16"/>
      <c r="W266" s="16"/>
      <c r="X266" s="16"/>
      <c r="Y266" s="16"/>
      <c r="Z266" s="16"/>
      <c r="AA266" s="16"/>
      <c r="AB266" s="16"/>
    </row>
    <row r="267" ht="4.5" customHeight="1" spans="1:28" x14ac:dyDescent="0.25">
      <c r="A267" s="16"/>
      <c r="B267" s="16"/>
      <c r="C267" s="16"/>
      <c r="D267" s="831"/>
      <c r="E267" s="116"/>
      <c r="F267" s="231"/>
      <c r="G267" s="231"/>
      <c r="H267" s="231"/>
      <c r="I267" s="231"/>
      <c r="J267" s="231"/>
      <c r="K267" s="16"/>
      <c r="L267" s="831"/>
      <c r="M267" s="116"/>
      <c r="N267" s="153"/>
      <c r="O267" s="153"/>
      <c r="P267" s="153"/>
      <c r="Q267" s="153"/>
      <c r="R267" s="153"/>
      <c r="S267" s="16"/>
      <c r="T267" s="16"/>
      <c r="U267" s="16"/>
      <c r="V267" s="16"/>
      <c r="W267" s="16"/>
      <c r="X267" s="16"/>
      <c r="Y267" s="16"/>
      <c r="Z267" s="16"/>
      <c r="AA267" s="16"/>
      <c r="AB267" s="16"/>
    </row>
    <row r="268" ht="13.5" customHeight="1" spans="1:28" x14ac:dyDescent="0.25">
      <c r="A268" s="264" t="s">
        <v>1</v>
      </c>
      <c r="B268" s="16"/>
      <c r="C268" s="111" t="s">
        <v>814</v>
      </c>
      <c r="D268" s="112"/>
      <c r="E268" s="112"/>
      <c r="F268" s="112"/>
      <c r="G268" s="112"/>
      <c r="H268" s="112"/>
      <c r="I268" s="112"/>
      <c r="J268" s="112"/>
      <c r="K268" s="112"/>
      <c r="L268" s="112"/>
      <c r="M268" s="112"/>
      <c r="N268" s="112"/>
      <c r="O268" s="112"/>
      <c r="P268" s="112"/>
      <c r="Q268" s="112"/>
      <c r="R268" s="112"/>
      <c r="S268" s="264" t="s">
        <v>1</v>
      </c>
      <c r="T268" s="16"/>
      <c r="U268" s="16"/>
      <c r="V268" s="16"/>
      <c r="W268" s="16"/>
      <c r="X268" s="16"/>
      <c r="Y268" s="16"/>
      <c r="Z268" s="16"/>
      <c r="AA268" s="16"/>
      <c r="AB268" s="16"/>
    </row>
    <row r="269" ht="4.5" customHeight="1" spans="1:28" x14ac:dyDescent="0.25">
      <c r="A269" s="16"/>
      <c r="B269" s="16"/>
      <c r="C269" s="16"/>
      <c r="D269" s="16"/>
      <c r="E269" s="16"/>
      <c r="F269" s="16"/>
      <c r="G269" s="16"/>
      <c r="H269" s="16"/>
      <c r="I269" s="16"/>
      <c r="J269" s="16"/>
      <c r="K269" s="16"/>
      <c r="L269" s="16"/>
      <c r="M269" s="16"/>
      <c r="N269" s="16"/>
      <c r="O269" s="16"/>
      <c r="P269" s="16"/>
      <c r="Q269" s="16"/>
      <c r="R269" s="16"/>
      <c r="S269" s="16"/>
      <c r="T269" s="16"/>
      <c r="U269" s="16"/>
      <c r="V269" s="16"/>
      <c r="W269" s="16"/>
      <c r="X269" s="16"/>
      <c r="Y269" s="16"/>
      <c r="Z269" s="16"/>
      <c r="AA269" s="16"/>
      <c r="AB269" s="16"/>
    </row>
    <row r="270" ht="13.5" customHeight="1" hidden="1" spans="1:28" x14ac:dyDescent="0.25" outlineLevel="1" collapsed="1">
      <c r="A270" s="16"/>
      <c r="B270" s="16"/>
      <c r="C270" s="43" t="s">
        <v>243</v>
      </c>
      <c r="D270" s="44"/>
      <c r="E270" s="109" t="s">
        <v>875</v>
      </c>
      <c r="F270" s="44"/>
      <c r="G270" s="109" t="s">
        <v>910</v>
      </c>
      <c r="H270" s="109"/>
      <c r="I270" s="109" t="s">
        <v>911</v>
      </c>
      <c r="J270" s="109"/>
      <c r="K270" s="109" t="s">
        <v>873</v>
      </c>
      <c r="L270" s="109"/>
      <c r="M270" s="45" t="s">
        <v>912</v>
      </c>
      <c r="N270" s="16"/>
      <c r="O270" s="92" t="s">
        <v>913</v>
      </c>
      <c r="P270" s="22"/>
      <c r="Q270" s="22"/>
      <c r="R270" s="7"/>
      <c r="S270" s="16"/>
      <c r="T270" s="16"/>
      <c r="U270" s="16"/>
      <c r="V270" s="16"/>
      <c r="W270" s="16"/>
      <c r="X270" s="16"/>
      <c r="Y270" s="16"/>
      <c r="Z270" s="16"/>
      <c r="AA270" s="16"/>
      <c r="AB270" s="16"/>
    </row>
    <row r="271" ht="4.5" customHeight="1" hidden="1" spans="1:28" x14ac:dyDescent="0.25" outlineLevel="1" collapsed="1">
      <c r="A271" s="16"/>
      <c r="B271" s="16"/>
      <c r="C271" s="16"/>
      <c r="D271" s="16"/>
      <c r="E271" s="16"/>
      <c r="F271" s="16"/>
      <c r="G271" s="16"/>
      <c r="H271" s="16"/>
      <c r="I271" s="16"/>
      <c r="J271" s="16"/>
      <c r="K271" s="16"/>
      <c r="L271" s="16"/>
      <c r="M271" s="16"/>
      <c r="N271" s="16"/>
      <c r="O271" s="190"/>
      <c r="P271" s="132"/>
      <c r="Q271" s="132"/>
      <c r="R271" s="283"/>
      <c r="S271" s="16"/>
      <c r="T271" s="16"/>
      <c r="U271" s="16"/>
      <c r="V271" s="16"/>
      <c r="W271" s="16"/>
      <c r="X271" s="16"/>
      <c r="Y271" s="16"/>
      <c r="Z271" s="16"/>
      <c r="AA271" s="16"/>
      <c r="AB271" s="16"/>
    </row>
    <row r="272" ht="15" customHeight="1" hidden="1" spans="1:28" x14ac:dyDescent="0.25" outlineLevel="1" collapsed="1">
      <c r="A272" s="16"/>
      <c r="B272" s="16"/>
      <c r="C272" s="16" t="str">
        <f ca="1">'Segment Analysis'!C16</f>
        <v>Home Improvement Retail</v>
      </c>
      <c r="D272" s="16"/>
      <c r="E272" s="832">
        <f ca="1">SUM('Segment Analysis'!W70:X70,'Segment Analysis'!Z70:AA70)</f>
        <v>14887.766997086248</v>
      </c>
      <c r="F272" s="16"/>
      <c r="G272" s="690">
        <f ca="1">IF($G289=Comparables!$D$86,Valuation!$E$12,IF(Valuation!$G289=Comparables!$G$86,Valuation!$E$17,IF(Valuation!$G289=Comparables!$L$86,Valuation!$E$22,IF($G289=Company_Name,$D$12))))</f>
        <v>15.517159999999999</v>
      </c>
      <c r="H272" s="548"/>
      <c r="I272" s="833">
        <v>0</v>
      </c>
      <c r="J272" s="548"/>
      <c r="K272" s="548">
        <f t="shared" ref="K272:K277" si="84" ca="1">G272+I272</f>
        <v>15.517159999999999</v>
      </c>
      <c r="L272" s="548"/>
      <c r="M272" s="116">
        <f t="shared" ref="M272:M277" si="85" ca="1">E272*K272</f>
        <v>231015.86253650681</v>
      </c>
      <c r="N272" s="16"/>
      <c r="O272" s="188" t="s">
        <v>876</v>
      </c>
      <c r="P272" s="16"/>
      <c r="Q272" s="16"/>
      <c r="R272" s="762">
        <f ca="1">SUM($M$272:$M$277)</f>
        <v>231015.86253650681</v>
      </c>
      <c r="S272" s="16"/>
      <c r="T272" s="16"/>
      <c r="U272" s="16"/>
      <c r="V272" s="16"/>
      <c r="W272" s="16"/>
      <c r="X272" s="16"/>
      <c r="Y272" s="16"/>
      <c r="Z272" s="16"/>
      <c r="AA272" s="16"/>
      <c r="AB272" s="16"/>
    </row>
    <row r="273" ht="13.5" customHeight="1" hidden="1" spans="1:28" x14ac:dyDescent="0.25" outlineLevel="1" collapsed="1">
      <c r="A273" s="16"/>
      <c r="B273" s="16"/>
      <c r="C273" s="16" t="str">
        <f ca="1">'Segment Analysis'!C17</f>
        <v>Segment 2</v>
      </c>
      <c r="D273" s="16"/>
      <c r="E273" s="832">
        <f ca="1">SUM('Segment Analysis'!W71:X71,'Segment Analysis'!Z71:AA71)</f>
        <v>1e-12</v>
      </c>
      <c r="F273" s="16"/>
      <c r="G273" s="690">
        <f ca="1">IF($G290=Comparables!$D$86,Valuation!$E$12,IF(Valuation!$G290=Comparables!$G$86,Valuation!$E$17,IF(Valuation!$G290=Comparables!$L$86,Valuation!$E$22,IF($G290=Company_Name,$D$12))))</f>
        <v>15.517159999999999</v>
      </c>
      <c r="H273" s="548"/>
      <c r="I273" s="833">
        <v>0</v>
      </c>
      <c r="J273" s="548"/>
      <c r="K273" s="548">
        <f ca="1">G273+I273</f>
        <v>15.517159999999999</v>
      </c>
      <c r="L273" s="548"/>
      <c r="M273" s="116">
        <f ca="1">E273*K273</f>
        <v>1e-12</v>
      </c>
      <c r="N273" s="16"/>
      <c r="O273" s="188"/>
      <c r="P273" s="16"/>
      <c r="Q273" s="16"/>
      <c r="R273" s="189"/>
      <c r="S273" s="16"/>
      <c r="T273" s="16"/>
      <c r="U273" s="16"/>
      <c r="V273" s="16"/>
      <c r="W273" s="16"/>
      <c r="X273" s="16"/>
      <c r="Y273" s="16"/>
      <c r="Z273" s="16"/>
      <c r="AA273" s="16"/>
      <c r="AB273" s="16"/>
    </row>
    <row r="274" ht="13.5" customHeight="1" hidden="1" spans="1:28" x14ac:dyDescent="0.25" outlineLevel="1" collapsed="1">
      <c r="A274" s="16"/>
      <c r="B274" s="16"/>
      <c r="C274" s="16" t="str">
        <f ca="1">'Segment Analysis'!C18</f>
        <v>Segment 3</v>
      </c>
      <c r="D274" s="16"/>
      <c r="E274" s="832">
        <f ca="1">SUM('Segment Analysis'!W72:X72,'Segment Analysis'!Z72:AA72)</f>
        <v>1e-12</v>
      </c>
      <c r="F274" s="16"/>
      <c r="G274" s="690" t="b">
        <f ca="1">IF($G291=Comparables!$D$86,Valuation!$E$12,IF(Valuation!$G291=Comparables!$G$86,Valuation!$E$17,IF(Valuation!$G291=Comparables!$L$86,Valuation!$E$22,IF($G291=Company_Name,$D$12))))</f>
        <v>0</v>
      </c>
      <c r="H274" s="548"/>
      <c r="I274" s="833">
        <v>0</v>
      </c>
      <c r="J274" s="548"/>
      <c r="K274" s="548">
        <f ca="1">G274+I274</f>
        <v>1e-12</v>
      </c>
      <c r="L274" s="548"/>
      <c r="M274" s="116">
        <f ca="1">E274*K274</f>
        <v>1e-12</v>
      </c>
      <c r="N274" s="16"/>
      <c r="O274" s="188" t="s">
        <v>879</v>
      </c>
      <c r="P274" s="16"/>
      <c r="Q274" s="16"/>
      <c r="R274" s="816">
        <f t="shared" ref="R274:R279" si="86" ca="1">K66</f>
        <v>6255</v>
      </c>
      <c r="S274" s="16"/>
      <c r="T274" s="16"/>
      <c r="U274" s="16"/>
      <c r="V274" s="16"/>
      <c r="W274" s="16"/>
      <c r="X274" s="16"/>
      <c r="Y274" s="16"/>
      <c r="Z274" s="16"/>
      <c r="AA274" s="16"/>
      <c r="AB274" s="16"/>
    </row>
    <row r="275" ht="13.5" customHeight="1" hidden="1" spans="1:28" x14ac:dyDescent="0.25" outlineLevel="1" collapsed="1">
      <c r="A275" s="16"/>
      <c r="B275" s="16"/>
      <c r="C275" s="16" t="str">
        <f ca="1">'Segment Analysis'!C19</f>
        <v>Segment 4</v>
      </c>
      <c r="D275" s="16"/>
      <c r="E275" s="832">
        <f ca="1">SUM('Segment Analysis'!W73:X73,'Segment Analysis'!Z73:AA73)</f>
        <v>1e-12</v>
      </c>
      <c r="F275" s="16"/>
      <c r="G275" s="690" t="b">
        <f ca="1">IF($G292=Comparables!$D$86,Valuation!$E$12,IF(Valuation!$G292=Comparables!$G$86,Valuation!$E$17,IF(Valuation!$G292=Comparables!$L$86,Valuation!$E$22,IF($G292=Company_Name,$D$12))))</f>
        <v>0</v>
      </c>
      <c r="H275" s="548"/>
      <c r="I275" s="833">
        <v>0</v>
      </c>
      <c r="J275" s="548"/>
      <c r="K275" s="548">
        <f ca="1">G275+I275</f>
        <v>1e-12</v>
      </c>
      <c r="L275" s="548"/>
      <c r="M275" s="116">
        <f ca="1">E275*K275</f>
        <v>1e-12</v>
      </c>
      <c r="N275" s="16"/>
      <c r="O275" s="188" t="s">
        <v>880</v>
      </c>
      <c r="P275" s="16"/>
      <c r="Q275" s="16"/>
      <c r="R275" s="765">
        <f ca="1">K67</f>
        <v>1e-12</v>
      </c>
      <c r="S275" s="16"/>
      <c r="T275" s="16"/>
      <c r="U275" s="16"/>
      <c r="V275" s="16"/>
      <c r="W275" s="16"/>
      <c r="X275" s="16"/>
      <c r="Y275" s="16"/>
      <c r="Z275" s="16"/>
      <c r="AA275" s="16"/>
      <c r="AB275" s="16"/>
    </row>
    <row r="276" ht="13.5" customHeight="1" hidden="1" spans="1:28" x14ac:dyDescent="0.25" outlineLevel="1" collapsed="1">
      <c r="A276" s="16"/>
      <c r="B276" s="16"/>
      <c r="C276" s="16" t="str">
        <f ca="1">'Segment Analysis'!C20</f>
        <v>Segment 5</v>
      </c>
      <c r="D276" s="16"/>
      <c r="E276" s="832">
        <f ca="1">SUM('Segment Analysis'!W74:X74,'Segment Analysis'!Z74:AA74)</f>
        <v>1e-12</v>
      </c>
      <c r="F276" s="16"/>
      <c r="G276" s="690" t="b">
        <f ca="1">IF($G293=Comparables!$D$86,Valuation!$E$12,IF(Valuation!$G293=Comparables!$G$86,Valuation!$E$17,IF(Valuation!$G293=Comparables!$L$86,Valuation!$E$22,IF($G293=Company_Name,$D$12))))</f>
        <v>0</v>
      </c>
      <c r="H276" s="548"/>
      <c r="I276" s="833">
        <v>0</v>
      </c>
      <c r="J276" s="548"/>
      <c r="K276" s="548">
        <f ca="1">G276+I276</f>
        <v>1e-12</v>
      </c>
      <c r="L276" s="548"/>
      <c r="M276" s="116">
        <f ca="1">E276*K276</f>
        <v>1e-12</v>
      </c>
      <c r="N276" s="16"/>
      <c r="O276" s="188" t="s">
        <v>881</v>
      </c>
      <c r="P276" s="16"/>
      <c r="Q276" s="16"/>
      <c r="R276" s="765">
        <f ca="1">K68</f>
        <v>-23311</v>
      </c>
      <c r="S276" s="16"/>
      <c r="T276" s="16"/>
      <c r="U276" s="16"/>
      <c r="V276" s="16"/>
      <c r="W276" s="16"/>
      <c r="X276" s="16"/>
      <c r="Y276" s="16"/>
      <c r="Z276" s="16"/>
      <c r="AA276" s="16"/>
      <c r="AB276" s="16"/>
    </row>
    <row r="277" ht="13.5" customHeight="1" hidden="1" spans="1:28" x14ac:dyDescent="0.25" outlineLevel="1" collapsed="1">
      <c r="A277" s="16"/>
      <c r="B277" s="16"/>
      <c r="C277" s="16" t="str">
        <f ca="1">'Segment Analysis'!C21</f>
        <v>Segment 6</v>
      </c>
      <c r="D277" s="16"/>
      <c r="E277" s="832">
        <f ca="1">SUM('Segment Analysis'!W75:X75,'Segment Analysis'!Z75:AA75)</f>
        <v>1e-12</v>
      </c>
      <c r="F277" s="16"/>
      <c r="G277" s="690" t="b">
        <f ca="1">IF($G294=Comparables!$D$86,Valuation!$E$12,IF(Valuation!$G294=Comparables!$G$86,Valuation!$E$17,IF(Valuation!$G294=Comparables!$L$86,Valuation!$E$22,IF($G294=Company_Name,$D$12))))</f>
        <v>0</v>
      </c>
      <c r="H277" s="548"/>
      <c r="I277" s="833">
        <v>0</v>
      </c>
      <c r="J277" s="548"/>
      <c r="K277" s="548">
        <f ca="1">G277+I277</f>
        <v>1e-12</v>
      </c>
      <c r="L277" s="548"/>
      <c r="M277" s="116">
        <f ca="1">E277*K277</f>
        <v>1e-12</v>
      </c>
      <c r="N277" s="16"/>
      <c r="O277" s="188" t="s">
        <v>882</v>
      </c>
      <c r="P277" s="16"/>
      <c r="Q277" s="16"/>
      <c r="R277" s="765">
        <f ca="1">K69</f>
        <v>1e-12</v>
      </c>
      <c r="S277" s="16"/>
      <c r="T277" s="16"/>
      <c r="U277" s="16"/>
      <c r="V277" s="16"/>
      <c r="W277" s="16"/>
      <c r="X277" s="16"/>
      <c r="Y277" s="16"/>
      <c r="Z277" s="16"/>
      <c r="AA277" s="16"/>
      <c r="AB277" s="16"/>
    </row>
    <row r="278" ht="13.5" customHeight="1" hidden="1" spans="1:28" x14ac:dyDescent="0.25" outlineLevel="1" collapsed="1">
      <c r="A278" s="16"/>
      <c r="B278" s="16"/>
      <c r="C278" s="16"/>
      <c r="D278" s="16"/>
      <c r="E278" s="16"/>
      <c r="F278" s="16"/>
      <c r="G278" s="16"/>
      <c r="H278" s="16"/>
      <c r="I278" s="16"/>
      <c r="J278" s="16"/>
      <c r="K278" s="16"/>
      <c r="L278" s="16"/>
      <c r="M278" s="16"/>
      <c r="N278" s="16"/>
      <c r="O278" s="188" t="s">
        <v>883</v>
      </c>
      <c r="P278" s="16"/>
      <c r="Q278" s="16"/>
      <c r="R278" s="765">
        <f ca="1">K70</f>
        <v>1e-12</v>
      </c>
      <c r="S278" s="16"/>
      <c r="T278" s="16"/>
      <c r="U278" s="16"/>
      <c r="V278" s="16"/>
      <c r="W278" s="16"/>
      <c r="X278" s="16"/>
      <c r="Y278" s="16"/>
      <c r="Z278" s="16"/>
      <c r="AA278" s="16"/>
      <c r="AB278" s="16"/>
    </row>
    <row r="279" ht="13.5" customHeight="1" hidden="1" spans="1:28" x14ac:dyDescent="0.25" outlineLevel="1" collapsed="1">
      <c r="A279" s="16"/>
      <c r="B279" s="718"/>
      <c r="C279" s="647"/>
      <c r="D279" s="16"/>
      <c r="E279" s="16"/>
      <c r="F279" s="16"/>
      <c r="G279" s="16"/>
      <c r="H279" s="16"/>
      <c r="I279" s="16"/>
      <c r="J279" s="16"/>
      <c r="K279" s="16"/>
      <c r="L279" s="16"/>
      <c r="M279" s="16"/>
      <c r="N279" s="16"/>
      <c r="O279" s="188" t="s">
        <v>884</v>
      </c>
      <c r="P279" s="131"/>
      <c r="Q279" s="16"/>
      <c r="R279" s="819">
        <f ca="1">K71</f>
        <v>1e-12</v>
      </c>
      <c r="S279" s="16"/>
      <c r="T279" s="16"/>
      <c r="U279" s="16"/>
      <c r="V279" s="16"/>
      <c r="W279" s="16"/>
      <c r="X279" s="16"/>
      <c r="Y279" s="16"/>
      <c r="Z279" s="16"/>
      <c r="AA279" s="16"/>
      <c r="AB279" s="16"/>
    </row>
    <row r="280" ht="13.5" customHeight="1" hidden="1" spans="1:28" x14ac:dyDescent="0.25" outlineLevel="1" collapsed="1">
      <c r="A280" s="16"/>
      <c r="B280" s="718"/>
      <c r="C280" s="16"/>
      <c r="D280" s="84"/>
      <c r="E280" s="84"/>
      <c r="F280" s="345"/>
      <c r="G280" s="345"/>
      <c r="H280" s="345"/>
      <c r="I280" s="345"/>
      <c r="J280" s="345"/>
      <c r="K280" s="16"/>
      <c r="L280" s="16"/>
      <c r="M280" s="16"/>
      <c r="N280" s="16"/>
      <c r="O280" s="190"/>
      <c r="P280" s="16"/>
      <c r="Q280" s="132"/>
      <c r="R280" s="189"/>
      <c r="S280" s="16"/>
      <c r="T280" s="16"/>
      <c r="U280" s="16"/>
      <c r="V280" s="16"/>
      <c r="W280" s="16"/>
      <c r="X280" s="16"/>
      <c r="Y280" s="16"/>
      <c r="Z280" s="16"/>
      <c r="AA280" s="16"/>
      <c r="AB280" s="16"/>
    </row>
    <row r="281" ht="13.5" customHeight="1" hidden="1" spans="1:28" x14ac:dyDescent="0.25" outlineLevel="1" collapsed="1">
      <c r="A281" s="16"/>
      <c r="B281" s="718"/>
      <c r="C281" s="84"/>
      <c r="D281" s="724"/>
      <c r="E281" s="724"/>
      <c r="F281" s="724"/>
      <c r="G281" s="724"/>
      <c r="H281" s="724"/>
      <c r="I281" s="724"/>
      <c r="J281" s="724"/>
      <c r="K281" s="16"/>
      <c r="L281" s="16"/>
      <c r="M281" s="16"/>
      <c r="N281" s="16"/>
      <c r="O281" s="188" t="s">
        <v>885</v>
      </c>
      <c r="P281" s="16"/>
      <c r="Q281" s="16"/>
      <c r="R281" s="814">
        <f ca="1">SUM(R272:R279)</f>
        <v>213959.86253650681</v>
      </c>
      <c r="S281" s="16"/>
      <c r="T281" s="16"/>
      <c r="U281" s="16"/>
      <c r="V281" s="16"/>
      <c r="W281" s="16"/>
      <c r="X281" s="16"/>
      <c r="Y281" s="16"/>
      <c r="Z281" s="16"/>
      <c r="AA281" s="16"/>
      <c r="AB281" s="16"/>
    </row>
    <row r="282" ht="13.5" customHeight="1" hidden="1" spans="1:28" x14ac:dyDescent="0.25" outlineLevel="1" collapsed="1">
      <c r="A282" s="16"/>
      <c r="B282" s="16"/>
      <c r="C282" s="84"/>
      <c r="D282" s="724"/>
      <c r="E282" s="724"/>
      <c r="F282" s="724"/>
      <c r="G282" s="724"/>
      <c r="H282" s="724"/>
      <c r="I282" s="724"/>
      <c r="J282" s="724"/>
      <c r="K282" s="16"/>
      <c r="L282" s="16"/>
      <c r="M282" s="16"/>
      <c r="N282" s="16"/>
      <c r="O282" s="188" t="s">
        <v>414</v>
      </c>
      <c r="P282" s="16"/>
      <c r="Q282" s="16"/>
      <c r="R282" s="829">
        <f ca="1">Diluted_Shares</f>
        <v>707</v>
      </c>
      <c r="S282" s="16"/>
      <c r="T282" s="16"/>
      <c r="U282" s="16"/>
      <c r="V282" s="16"/>
      <c r="W282" s="16"/>
      <c r="X282" s="16"/>
      <c r="Y282" s="16"/>
      <c r="Z282" s="16"/>
      <c r="AA282" s="16"/>
      <c r="AB282" s="16"/>
    </row>
    <row r="283" ht="13.5" customHeight="1" hidden="1" spans="1:28" x14ac:dyDescent="0.25" outlineLevel="1" collapsed="1">
      <c r="A283" s="16"/>
      <c r="B283" s="16"/>
      <c r="C283" s="16"/>
      <c r="D283" s="16"/>
      <c r="E283" s="16"/>
      <c r="F283" s="16"/>
      <c r="G283" s="16"/>
      <c r="H283" s="16"/>
      <c r="I283" s="16"/>
      <c r="J283" s="16"/>
      <c r="K283" s="16"/>
      <c r="L283" s="16"/>
      <c r="M283" s="16"/>
      <c r="N283" s="16"/>
      <c r="O283" s="188"/>
      <c r="P283" s="16"/>
      <c r="Q283" s="16"/>
      <c r="R283" s="189"/>
      <c r="S283" s="16"/>
      <c r="T283" s="16"/>
      <c r="U283" s="16"/>
      <c r="V283" s="16"/>
      <c r="W283" s="16"/>
      <c r="X283" s="16"/>
      <c r="Y283" s="16"/>
      <c r="Z283" s="16"/>
      <c r="AA283" s="16"/>
      <c r="AB283" s="16"/>
    </row>
    <row r="284" ht="13.5" customHeight="1" hidden="1" spans="1:28" x14ac:dyDescent="0.25" outlineLevel="1" collapsed="1">
      <c r="A284" s="16"/>
      <c r="B284" s="16"/>
      <c r="C284" s="647"/>
      <c r="D284" s="16"/>
      <c r="E284" s="16"/>
      <c r="F284" s="16"/>
      <c r="G284" s="16"/>
      <c r="H284" s="16"/>
      <c r="I284" s="16"/>
      <c r="J284" s="16"/>
      <c r="K284" s="16"/>
      <c r="L284" s="16"/>
      <c r="M284" s="16"/>
      <c r="N284" s="16"/>
      <c r="O284" s="188" t="s">
        <v>877</v>
      </c>
      <c r="P284" s="16"/>
      <c r="Q284" s="16"/>
      <c r="R284" s="814">
        <f ca="1">R281/R282</f>
        <v>302.6306400799248</v>
      </c>
      <c r="S284" s="16"/>
      <c r="T284" s="16"/>
      <c r="U284" s="16"/>
      <c r="V284" s="16"/>
      <c r="W284" s="16"/>
      <c r="X284" s="16"/>
      <c r="Y284" s="16"/>
      <c r="Z284" s="16"/>
      <c r="AA284" s="16"/>
      <c r="AB284" s="16"/>
    </row>
    <row r="285" ht="13.5" customHeight="1" hidden="1" spans="1:28" x14ac:dyDescent="0.25" outlineLevel="1" collapsed="1">
      <c r="A285" s="16"/>
      <c r="B285" s="16"/>
      <c r="C285" s="16"/>
      <c r="D285" s="84"/>
      <c r="E285" s="84"/>
      <c r="F285" s="84"/>
      <c r="G285" s="84"/>
      <c r="H285" s="84"/>
      <c r="I285" s="84"/>
      <c r="J285" s="84"/>
      <c r="K285" s="16"/>
      <c r="L285" s="16"/>
      <c r="M285" s="16"/>
      <c r="N285" s="16"/>
      <c r="O285" s="311" t="s">
        <v>878</v>
      </c>
      <c r="P285" s="131"/>
      <c r="Q285" s="131"/>
      <c r="R285" s="773">
        <f ca="1">R284/Share_Price-1</f>
        <v>0.29784132464158497</v>
      </c>
      <c r="S285" s="16"/>
      <c r="T285" s="16"/>
      <c r="U285" s="16"/>
      <c r="V285" s="16"/>
      <c r="W285" s="16"/>
      <c r="X285" s="16"/>
      <c r="Y285" s="16"/>
      <c r="Z285" s="16"/>
      <c r="AA285" s="16"/>
      <c r="AB285" s="16"/>
    </row>
    <row r="286" ht="4.5" customHeight="1" hidden="1" spans="1:28" x14ac:dyDescent="0.25" outlineLevel="1" collapsed="1">
      <c r="A286" s="16"/>
      <c r="B286" s="16"/>
      <c r="C286" s="84"/>
      <c r="D286" s="724"/>
      <c r="E286" s="724"/>
      <c r="F286" s="724"/>
      <c r="G286" s="724"/>
      <c r="H286" s="724"/>
      <c r="I286" s="724"/>
      <c r="J286" s="724"/>
      <c r="K286" s="16"/>
      <c r="L286" s="16"/>
      <c r="M286" s="16"/>
      <c r="N286" s="16"/>
      <c r="O286" s="16"/>
      <c r="P286" s="16"/>
      <c r="Q286" s="16"/>
      <c r="R286" s="16"/>
      <c r="S286" s="16"/>
      <c r="T286" s="16"/>
      <c r="U286" s="16"/>
      <c r="V286" s="16"/>
      <c r="W286" s="16"/>
      <c r="X286" s="16"/>
      <c r="Y286" s="16"/>
      <c r="Z286" s="16"/>
      <c r="AA286" s="16"/>
      <c r="AB286" s="16"/>
    </row>
    <row r="287" ht="13.5" customHeight="1" hidden="1" spans="1:28" x14ac:dyDescent="0.25" outlineLevel="1" collapsed="1">
      <c r="A287" s="264" t="s">
        <v>1</v>
      </c>
      <c r="B287" s="16"/>
      <c r="C287" s="512" t="s">
        <v>46</v>
      </c>
      <c r="D287" s="513"/>
      <c r="E287" s="513"/>
      <c r="F287" s="513"/>
      <c r="G287" s="834"/>
      <c r="H287" s="834"/>
      <c r="I287" s="834"/>
      <c r="J287" s="834"/>
      <c r="K287" s="834"/>
      <c r="L287" s="834"/>
      <c r="M287" s="834"/>
      <c r="N287" s="834"/>
      <c r="O287" s="834"/>
      <c r="P287" s="834"/>
      <c r="Q287" s="834"/>
      <c r="R287" s="835"/>
      <c r="S287" s="264" t="s">
        <v>1</v>
      </c>
      <c r="T287" s="16"/>
      <c r="U287" s="16"/>
      <c r="V287" s="16"/>
      <c r="W287" s="16"/>
      <c r="X287" s="16"/>
      <c r="Y287" s="16"/>
      <c r="Z287" s="16"/>
      <c r="AA287" s="16"/>
      <c r="AB287" s="16"/>
    </row>
    <row r="288" ht="4.5" customHeight="1" hidden="1" spans="1:28" x14ac:dyDescent="0.25" outlineLevel="1" collapsed="1">
      <c r="A288" s="16"/>
      <c r="B288" s="16"/>
      <c r="C288" s="16"/>
      <c r="D288" s="16"/>
      <c r="E288" s="16"/>
      <c r="F288" s="16"/>
      <c r="G288" s="16"/>
      <c r="H288" s="16"/>
      <c r="I288" s="16"/>
      <c r="J288" s="16"/>
      <c r="K288" s="16"/>
      <c r="L288" s="16"/>
      <c r="M288" s="16"/>
      <c r="N288" s="16"/>
      <c r="O288" s="16"/>
      <c r="P288" s="16"/>
      <c r="Q288" s="16"/>
      <c r="R288" s="16"/>
      <c r="S288" s="16"/>
      <c r="T288" s="16"/>
      <c r="U288" s="16"/>
      <c r="V288" s="16"/>
      <c r="W288" s="16"/>
      <c r="X288" s="16"/>
      <c r="Y288" s="16"/>
      <c r="Z288" s="16"/>
      <c r="AA288" s="16"/>
      <c r="AB288" s="16"/>
    </row>
    <row r="289" ht="13.5" customHeight="1" hidden="1" spans="1:28" x14ac:dyDescent="0.25" outlineLevel="1" collapsed="1">
      <c r="A289" s="16"/>
      <c r="B289" s="16"/>
      <c r="C289" s="16" t="str">
        <f t="shared" ref="C289:C294" si="87" ca="1">"Multiple Used for "&amp;C272</f>
        <v>Multiple Used for Home Improvement Retail</v>
      </c>
      <c r="D289" s="16"/>
      <c r="E289" s="16"/>
      <c r="F289" s="16"/>
      <c r="G289" s="42" t="s">
        <v>562</v>
      </c>
      <c r="H289" s="16"/>
      <c r="I289" s="16"/>
      <c r="J289" s="16"/>
      <c r="K289" s="16"/>
      <c r="L289" s="16"/>
      <c r="M289" s="16"/>
      <c r="N289" s="16"/>
      <c r="O289" s="16"/>
      <c r="P289" s="16"/>
      <c r="Q289" s="16"/>
      <c r="R289" s="16"/>
      <c r="S289" s="16"/>
      <c r="T289" s="16"/>
      <c r="U289" s="16"/>
      <c r="V289" s="16"/>
      <c r="W289" s="16"/>
      <c r="X289" s="16"/>
      <c r="Y289" s="16"/>
      <c r="Z289" s="16"/>
      <c r="AA289" s="16"/>
      <c r="AB289" s="16"/>
    </row>
    <row r="290" ht="13.5" customHeight="1" hidden="1" spans="1:28" x14ac:dyDescent="0.25" outlineLevel="1" collapsed="1">
      <c r="A290" s="16"/>
      <c r="B290" s="16"/>
      <c r="C290" s="16" t="str">
        <f ca="1">"Multiple Used for "&amp;C273</f>
        <v>Multiple Used for Segment 2</v>
      </c>
      <c r="D290" s="16"/>
      <c r="E290" s="16"/>
      <c r="F290" s="16"/>
      <c r="G290" s="42" t="s">
        <v>562</v>
      </c>
      <c r="H290" s="16"/>
      <c r="I290" s="16"/>
      <c r="J290" s="16"/>
      <c r="K290" s="16"/>
      <c r="L290" s="16"/>
      <c r="M290" s="16"/>
      <c r="N290" s="16"/>
      <c r="O290" s="16"/>
      <c r="P290" s="16"/>
      <c r="Q290" s="16"/>
      <c r="R290" s="16"/>
      <c r="S290" s="16"/>
      <c r="T290" s="16"/>
      <c r="U290" s="16"/>
      <c r="V290" s="16"/>
      <c r="W290" s="16"/>
      <c r="X290" s="16"/>
      <c r="Y290" s="16"/>
      <c r="Z290" s="16"/>
      <c r="AA290" s="16"/>
      <c r="AB290" s="16"/>
    </row>
    <row r="291" ht="13.5" customHeight="1" hidden="1" spans="1:28" x14ac:dyDescent="0.25" outlineLevel="1" collapsed="1">
      <c r="A291" s="16"/>
      <c r="B291" s="16"/>
      <c r="C291" s="16" t="str">
        <f ca="1">"Multiple Used for "&amp;C274</f>
        <v>Multiple Used for Segment 3</v>
      </c>
      <c r="D291" s="16"/>
      <c r="E291" s="16"/>
      <c r="F291" s="16"/>
      <c r="G291" s="42" t="s">
        <v>914</v>
      </c>
      <c r="H291" s="16"/>
      <c r="I291" s="16"/>
      <c r="J291" s="16"/>
      <c r="K291" s="16"/>
      <c r="L291" s="16"/>
      <c r="M291" s="16"/>
      <c r="N291" s="16"/>
      <c r="O291" s="16"/>
      <c r="P291" s="16"/>
      <c r="Q291" s="16"/>
      <c r="R291" s="16"/>
      <c r="S291" s="16"/>
      <c r="T291" s="16"/>
      <c r="U291" s="16"/>
      <c r="V291" s="16"/>
      <c r="W291" s="16"/>
      <c r="X291" s="16"/>
      <c r="Y291" s="16"/>
      <c r="Z291" s="16"/>
      <c r="AA291" s="16"/>
      <c r="AB291" s="16"/>
    </row>
    <row r="292" ht="13.5" customHeight="1" hidden="1" spans="1:28" x14ac:dyDescent="0.25" outlineLevel="1" collapsed="1">
      <c r="A292" s="16"/>
      <c r="B292" s="16"/>
      <c r="C292" s="16" t="str">
        <f ca="1">"Multiple Used for "&amp;C275</f>
        <v>Multiple Used for Segment 4</v>
      </c>
      <c r="D292" s="16"/>
      <c r="E292" s="16"/>
      <c r="F292" s="16"/>
      <c r="G292" s="42" t="s">
        <v>914</v>
      </c>
      <c r="H292" s="16"/>
      <c r="I292" s="16"/>
      <c r="J292" s="16"/>
      <c r="K292" s="16"/>
      <c r="L292" s="16"/>
      <c r="M292" s="16"/>
      <c r="N292" s="16"/>
      <c r="O292" s="16"/>
      <c r="P292" s="16"/>
      <c r="Q292" s="16"/>
      <c r="R292" s="16"/>
      <c r="S292" s="16"/>
      <c r="T292" s="16"/>
      <c r="U292" s="16"/>
      <c r="V292" s="16"/>
      <c r="W292" s="16"/>
      <c r="X292" s="16"/>
      <c r="Y292" s="16"/>
      <c r="Z292" s="16"/>
      <c r="AA292" s="16"/>
      <c r="AB292" s="16"/>
    </row>
    <row r="293" ht="13.5" customHeight="1" hidden="1" spans="1:28" x14ac:dyDescent="0.25" outlineLevel="1" collapsed="1">
      <c r="A293" s="16"/>
      <c r="B293" s="16"/>
      <c r="C293" s="16" t="str">
        <f ca="1">"Multiple Used for "&amp;C276</f>
        <v>Multiple Used for Segment 5</v>
      </c>
      <c r="D293" s="16"/>
      <c r="E293" s="16"/>
      <c r="F293" s="16"/>
      <c r="G293" s="42" t="s">
        <v>914</v>
      </c>
      <c r="H293" s="16"/>
      <c r="I293" s="16"/>
      <c r="J293" s="16"/>
      <c r="K293" s="16"/>
      <c r="L293" s="16"/>
      <c r="M293" s="16"/>
      <c r="N293" s="16"/>
      <c r="O293" s="16"/>
      <c r="P293" s="16"/>
      <c r="Q293" s="16"/>
      <c r="R293" s="16"/>
      <c r="S293" s="16"/>
      <c r="T293" s="16"/>
      <c r="U293" s="16"/>
      <c r="V293" s="16"/>
      <c r="W293" s="16"/>
      <c r="X293" s="16"/>
      <c r="Y293" s="16"/>
      <c r="Z293" s="16"/>
      <c r="AA293" s="16"/>
      <c r="AB293" s="16"/>
    </row>
    <row r="294" ht="13.5" customHeight="1" hidden="1" spans="1:28" x14ac:dyDescent="0.25" outlineLevel="1" collapsed="1">
      <c r="A294" s="16"/>
      <c r="B294" s="16"/>
      <c r="C294" s="16" t="str">
        <f ca="1">"Multiple Used for "&amp;C277</f>
        <v>Multiple Used for Segment 6</v>
      </c>
      <c r="D294" s="16"/>
      <c r="E294" s="16"/>
      <c r="F294" s="16"/>
      <c r="G294" s="42" t="s">
        <v>914</v>
      </c>
      <c r="H294" s="16"/>
      <c r="I294" s="16"/>
      <c r="J294" s="16"/>
      <c r="K294" s="16"/>
      <c r="L294" s="16"/>
      <c r="M294" s="16"/>
      <c r="N294" s="16"/>
      <c r="O294" s="16"/>
      <c r="P294" s="16"/>
      <c r="Q294" s="16"/>
      <c r="R294" s="16"/>
      <c r="S294" s="16"/>
      <c r="T294" s="16"/>
      <c r="U294" s="16"/>
      <c r="V294" s="16"/>
      <c r="W294" s="16"/>
      <c r="X294" s="16"/>
      <c r="Y294" s="16"/>
      <c r="Z294" s="16"/>
      <c r="AA294" s="16"/>
      <c r="AB294" s="16"/>
    </row>
    <row r="295" ht="13.5" customHeight="1" spans="1:28" x14ac:dyDescent="0.25">
      <c r="A295" s="16"/>
      <c r="B295" s="16"/>
      <c r="C295" s="16"/>
      <c r="D295" s="16"/>
      <c r="E295" s="16"/>
      <c r="F295" s="16"/>
      <c r="G295" s="16"/>
      <c r="H295" s="16"/>
      <c r="I295" s="16"/>
      <c r="J295" s="16"/>
      <c r="K295" s="16"/>
      <c r="L295" s="16"/>
      <c r="M295" s="16"/>
      <c r="N295" s="16"/>
      <c r="O295" s="16"/>
      <c r="P295" s="16"/>
      <c r="Q295" s="16"/>
      <c r="R295" s="16"/>
      <c r="S295" s="16"/>
      <c r="T295" s="16"/>
      <c r="U295" s="16"/>
      <c r="V295" s="16"/>
      <c r="W295" s="16"/>
      <c r="X295" s="16"/>
      <c r="Y295" s="16"/>
      <c r="Z295" s="16"/>
      <c r="AA295" s="16"/>
      <c r="AB295" s="16"/>
    </row>
    <row r="296" ht="13.5" customHeight="1" spans="1:28" x14ac:dyDescent="0.25">
      <c r="A296" s="264" t="s">
        <v>1</v>
      </c>
      <c r="B296" s="264" t="s">
        <v>1</v>
      </c>
      <c r="C296" s="836" t="s">
        <v>262</v>
      </c>
      <c r="D296" s="110"/>
      <c r="E296" s="110"/>
      <c r="F296" s="110"/>
      <c r="G296" s="111"/>
      <c r="H296" s="111"/>
      <c r="I296" s="111"/>
      <c r="J296" s="111"/>
      <c r="K296" s="111"/>
      <c r="L296" s="111"/>
      <c r="M296" s="111"/>
      <c r="N296" s="111"/>
      <c r="O296" s="111"/>
      <c r="P296" s="111"/>
      <c r="Q296" s="111"/>
      <c r="R296" s="111"/>
      <c r="S296" s="264" t="s">
        <v>1</v>
      </c>
      <c r="T296" s="16"/>
      <c r="U296" s="16"/>
      <c r="V296" s="16"/>
      <c r="W296" s="16"/>
      <c r="X296" s="16"/>
      <c r="Y296" s="16"/>
      <c r="Z296" s="16"/>
      <c r="AA296" s="16"/>
      <c r="AB296" s="16"/>
    </row>
    <row r="297" ht="13.5" customHeight="1" spans="1:28" x14ac:dyDescent="0.25">
      <c r="A297" s="16"/>
      <c r="B297" s="16"/>
      <c r="C297" s="16"/>
      <c r="D297" s="16"/>
      <c r="E297" s="16"/>
      <c r="F297" s="16"/>
      <c r="G297" s="16"/>
      <c r="H297" s="16"/>
      <c r="I297" s="16"/>
      <c r="J297" s="16"/>
      <c r="K297" s="16"/>
      <c r="L297" s="16"/>
      <c r="M297" s="16"/>
      <c r="N297" s="16"/>
      <c r="O297" s="16"/>
      <c r="P297" s="16"/>
      <c r="Q297" s="16"/>
      <c r="R297" s="16"/>
      <c r="S297" s="16"/>
      <c r="T297" s="16"/>
      <c r="U297" s="16"/>
      <c r="V297" s="16"/>
      <c r="W297" s="16"/>
      <c r="X297" s="16"/>
      <c r="Y297" s="16"/>
      <c r="Z297" s="16"/>
      <c r="AA297" s="16"/>
      <c r="AB297" s="16"/>
    </row>
    <row r="298" ht="13.5" customHeight="1" spans="1:28" x14ac:dyDescent="0.25">
      <c r="A298" s="16"/>
      <c r="B298" s="16"/>
      <c r="C298" s="16"/>
      <c r="D298" s="16"/>
      <c r="E298" s="16"/>
      <c r="F298" s="16"/>
      <c r="G298" s="16"/>
      <c r="H298" s="16"/>
      <c r="I298" s="16"/>
      <c r="J298" s="16"/>
      <c r="K298" s="16"/>
      <c r="L298" s="16"/>
      <c r="M298" s="16"/>
      <c r="N298" s="16"/>
      <c r="O298" s="16"/>
      <c r="P298" s="16"/>
      <c r="Q298" s="16"/>
      <c r="R298" s="16"/>
      <c r="S298" s="16"/>
      <c r="T298" s="16"/>
      <c r="U298" s="16"/>
      <c r="V298" s="16"/>
      <c r="W298" s="16"/>
      <c r="X298" s="16"/>
      <c r="Y298" s="16"/>
      <c r="Z298" s="16"/>
      <c r="AA298" s="16"/>
      <c r="AB298" s="16"/>
    </row>
    <row r="299" ht="13.5" customHeight="1" spans="1:28" x14ac:dyDescent="0.25">
      <c r="A299" s="264"/>
      <c r="B299" s="264"/>
      <c r="C299" s="16"/>
      <c r="D299" s="16"/>
      <c r="E299" s="16"/>
      <c r="F299" s="16"/>
      <c r="G299" s="16"/>
      <c r="H299" s="16"/>
      <c r="I299" s="16"/>
      <c r="J299" s="16"/>
      <c r="K299" s="16"/>
      <c r="L299" s="16"/>
      <c r="M299" s="16"/>
      <c r="N299" s="16"/>
      <c r="O299" s="16"/>
      <c r="P299" s="16"/>
      <c r="Q299" s="16"/>
      <c r="R299" s="16"/>
      <c r="S299" s="16"/>
      <c r="T299" s="16"/>
      <c r="U299" s="16"/>
      <c r="V299" s="16"/>
      <c r="W299" s="16"/>
      <c r="X299" s="16"/>
      <c r="Y299" s="16"/>
      <c r="Z299" s="16"/>
      <c r="AA299" s="16"/>
      <c r="AB299" s="16"/>
    </row>
    <row r="300" ht="13.5" customHeight="1" spans="1:28" x14ac:dyDescent="0.25">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c r="AA300" s="4"/>
      <c r="AB300" s="4"/>
    </row>
    <row r="301" ht="13.5" customHeight="1" spans="1:28" x14ac:dyDescent="0.25">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c r="AA301" s="4"/>
      <c r="AB301" s="4"/>
    </row>
    <row r="302" ht="13.5" customHeight="1" spans="1:28" x14ac:dyDescent="0.25">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c r="AA302" s="4"/>
      <c r="AB302" s="4"/>
    </row>
    <row r="303" ht="13.5" customHeight="1" spans="1:28" x14ac:dyDescent="0.25">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c r="AA303" s="4"/>
      <c r="AB303" s="4"/>
    </row>
    <row r="304" ht="13.5" customHeight="1" spans="1:28" x14ac:dyDescent="0.25">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c r="AA304" s="4"/>
      <c r="AB304" s="4"/>
    </row>
    <row r="305" ht="13.5" customHeight="1" spans="1:28" x14ac:dyDescent="0.2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c r="AA305" s="4"/>
      <c r="AB305" s="4"/>
    </row>
    <row r="306" ht="13.5" customHeight="1" spans="1:28" x14ac:dyDescent="0.25">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c r="AA306" s="4"/>
      <c r="AB306" s="4"/>
    </row>
    <row r="307" ht="13.5" customHeight="1" spans="1:28" x14ac:dyDescent="0.25">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c r="AA307" s="4"/>
      <c r="AB307" s="4"/>
    </row>
    <row r="308" ht="13.5" customHeight="1" spans="1:28" x14ac:dyDescent="0.25">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c r="AA308" s="4"/>
      <c r="AB308" s="4"/>
    </row>
    <row r="309" ht="13.5" customHeight="1" spans="1:28" x14ac:dyDescent="0.25">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c r="AA309" s="4"/>
      <c r="AB309" s="4"/>
    </row>
    <row r="310" ht="13.5" customHeight="1" spans="1:28" x14ac:dyDescent="0.25">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c r="AA310" s="4"/>
      <c r="AB310" s="4"/>
    </row>
    <row r="311" ht="13.5" customHeight="1" spans="1:28" x14ac:dyDescent="0.25">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c r="AA311" s="4"/>
      <c r="AB311" s="4"/>
    </row>
    <row r="312" ht="13.5" customHeight="1" spans="1:28" x14ac:dyDescent="0.25">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c r="AA312" s="4"/>
      <c r="AB312" s="4"/>
    </row>
    <row r="313" ht="13.5" customHeight="1" spans="1:28" x14ac:dyDescent="0.25">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c r="AA313" s="4"/>
      <c r="AB313" s="4"/>
    </row>
    <row r="314" ht="13.5" customHeight="1" spans="1:28" x14ac:dyDescent="0.25">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c r="AA314" s="4"/>
      <c r="AB314" s="4"/>
    </row>
    <row r="315" ht="13.5" customHeight="1" spans="1:28" x14ac:dyDescent="0.2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c r="AA315" s="4"/>
      <c r="AB315" s="4"/>
    </row>
    <row r="316" ht="13.5" customHeight="1" spans="1:28" x14ac:dyDescent="0.25">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c r="AA316" s="4"/>
      <c r="AB316" s="4"/>
    </row>
    <row r="317" ht="13.5" customHeight="1" spans="1:28" x14ac:dyDescent="0.25">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c r="AA317" s="4"/>
      <c r="AB317" s="4"/>
    </row>
    <row r="318" ht="13.5" customHeight="1" spans="1:28" x14ac:dyDescent="0.25">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c r="AA318" s="4"/>
      <c r="AB318" s="4"/>
    </row>
    <row r="319" ht="13.5" customHeight="1" spans="1:28" x14ac:dyDescent="0.25">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c r="AA319" s="4"/>
      <c r="AB319" s="4"/>
    </row>
    <row r="320" ht="13.5" customHeight="1" spans="1:28" x14ac:dyDescent="0.25">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c r="AA320" s="4"/>
      <c r="AB320" s="4"/>
    </row>
    <row r="321" ht="13.5" customHeight="1" spans="1:28" x14ac:dyDescent="0.25">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c r="AA321" s="4"/>
      <c r="AB321" s="4"/>
    </row>
    <row r="322" ht="13.5" customHeight="1" spans="1:28" x14ac:dyDescent="0.25">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c r="AA322" s="4"/>
      <c r="AB322" s="4"/>
    </row>
    <row r="323" ht="13.5" customHeight="1" spans="1:28" x14ac:dyDescent="0.25">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c r="AA323" s="4"/>
      <c r="AB323" s="4"/>
    </row>
    <row r="324" ht="13.5" customHeight="1" spans="1:28" x14ac:dyDescent="0.25">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c r="AA324" s="4"/>
      <c r="AB324" s="4"/>
    </row>
    <row r="325" ht="13.5" customHeight="1" spans="1:28" x14ac:dyDescent="0.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c r="AA325" s="4"/>
      <c r="AB325" s="4"/>
    </row>
    <row r="326" ht="13.5" customHeight="1" spans="1:28" x14ac:dyDescent="0.25">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c r="AA326" s="4"/>
      <c r="AB326" s="4"/>
    </row>
    <row r="327" ht="13.5" customHeight="1" spans="1:28" x14ac:dyDescent="0.25">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c r="AA327" s="4"/>
      <c r="AB327" s="4"/>
    </row>
    <row r="328" ht="13.5" customHeight="1" spans="1:28" x14ac:dyDescent="0.25">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c r="AA328" s="4"/>
      <c r="AB328" s="4"/>
    </row>
    <row r="329" ht="13.5" customHeight="1" spans="1:28" x14ac:dyDescent="0.25">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c r="AA329" s="4"/>
      <c r="AB329" s="4"/>
    </row>
    <row r="330" ht="13.5" customHeight="1" spans="1:28" x14ac:dyDescent="0.25">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c r="AA330" s="4"/>
      <c r="AB330" s="4"/>
    </row>
    <row r="331" ht="13.5" customHeight="1" spans="1:28" x14ac:dyDescent="0.25">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c r="AA331" s="4"/>
      <c r="AB331" s="4"/>
    </row>
    <row r="332" ht="13.5" customHeight="1" spans="1:28" x14ac:dyDescent="0.25">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c r="AA332" s="4"/>
      <c r="AB332" s="4"/>
    </row>
    <row r="333" ht="13.5" customHeight="1" spans="1:28" x14ac:dyDescent="0.25">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c r="AA333" s="4"/>
      <c r="AB333" s="4"/>
    </row>
    <row r="334" ht="13.5" customHeight="1" spans="1:28" x14ac:dyDescent="0.25">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c r="AA334" s="4"/>
      <c r="AB334" s="4"/>
    </row>
    <row r="335" ht="13.5" customHeight="1" spans="1:28" x14ac:dyDescent="0.2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c r="AA335" s="4"/>
      <c r="AB335" s="4"/>
    </row>
    <row r="336" ht="13.5" customHeight="1" spans="1:28" x14ac:dyDescent="0.25">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c r="AA336" s="4"/>
      <c r="AB336" s="4"/>
    </row>
    <row r="337" ht="13.5" customHeight="1" spans="1:28" x14ac:dyDescent="0.25">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c r="AA337" s="4"/>
      <c r="AB337" s="4"/>
    </row>
    <row r="338" ht="13.5" customHeight="1" spans="1:28" x14ac:dyDescent="0.25">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c r="AA338" s="4"/>
      <c r="AB338" s="4"/>
    </row>
    <row r="339" ht="13.5" customHeight="1" spans="1:28" x14ac:dyDescent="0.25">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c r="AA339" s="4"/>
      <c r="AB339" s="4"/>
    </row>
    <row r="340" ht="13.5" customHeight="1" spans="1:28" x14ac:dyDescent="0.25">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c r="AA340" s="4"/>
      <c r="AB340" s="4"/>
    </row>
    <row r="341" ht="13.5" customHeight="1" spans="1:28" x14ac:dyDescent="0.25">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c r="AA341" s="4"/>
      <c r="AB341" s="4"/>
    </row>
    <row r="342" ht="13.5" customHeight="1" spans="1:28" x14ac:dyDescent="0.25">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c r="AA342" s="4"/>
      <c r="AB342" s="4"/>
    </row>
    <row r="343" ht="13.5" customHeight="1" spans="1:28" x14ac:dyDescent="0.25">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c r="AA343" s="4"/>
      <c r="AB343" s="4"/>
    </row>
    <row r="344" ht="13.5" customHeight="1" spans="1:28" x14ac:dyDescent="0.25">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c r="AA344" s="4"/>
      <c r="AB344" s="4"/>
    </row>
    <row r="345" ht="13.5" customHeight="1" spans="1:28" x14ac:dyDescent="0.2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c r="AA345" s="4"/>
      <c r="AB345" s="4"/>
    </row>
    <row r="346" ht="13.5" customHeight="1" spans="1:28" x14ac:dyDescent="0.25">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c r="AA346" s="4"/>
      <c r="AB346" s="4"/>
    </row>
    <row r="347" ht="13.5" customHeight="1" spans="1:28" x14ac:dyDescent="0.25">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c r="AA347" s="4"/>
      <c r="AB347" s="4"/>
    </row>
    <row r="348" ht="13.5" customHeight="1" spans="1:28" x14ac:dyDescent="0.25">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c r="AA348" s="4"/>
      <c r="AB348" s="4"/>
    </row>
    <row r="349" ht="13.5" customHeight="1" spans="1:28" x14ac:dyDescent="0.25">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c r="AA349" s="4"/>
      <c r="AB349" s="4"/>
    </row>
    <row r="350" ht="13.5" customHeight="1" spans="1:28" x14ac:dyDescent="0.25">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c r="AA350" s="4"/>
      <c r="AB350" s="4"/>
    </row>
    <row r="351" ht="13.5" customHeight="1" spans="1:28" x14ac:dyDescent="0.25">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c r="AA351" s="4"/>
      <c r="AB351" s="4"/>
    </row>
    <row r="352" ht="13.5" customHeight="1" spans="1:28" x14ac:dyDescent="0.25">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c r="AA352" s="4"/>
      <c r="AB352" s="4"/>
    </row>
    <row r="353" ht="13.5" customHeight="1" spans="1:28" x14ac:dyDescent="0.25">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c r="AA353" s="4"/>
      <c r="AB353" s="4"/>
    </row>
    <row r="354" ht="13.5" customHeight="1" spans="1:28" x14ac:dyDescent="0.25">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c r="AA354" s="4"/>
      <c r="AB354" s="4"/>
    </row>
    <row r="355" ht="13.5" customHeight="1" spans="1:28" x14ac:dyDescent="0.2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c r="AA355" s="4"/>
      <c r="AB355" s="4"/>
    </row>
    <row r="356" ht="13.5" customHeight="1" spans="1:28" x14ac:dyDescent="0.25">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c r="AA356" s="4"/>
      <c r="AB356" s="4"/>
    </row>
    <row r="357" ht="13.5" customHeight="1" spans="1:28" x14ac:dyDescent="0.25">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c r="AA357" s="4"/>
      <c r="AB357" s="4"/>
    </row>
    <row r="358" ht="13.5" customHeight="1" spans="1:28" x14ac:dyDescent="0.25">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c r="AA358" s="4"/>
      <c r="AB358" s="4"/>
    </row>
    <row r="359" ht="13.5" customHeight="1" spans="1:28" x14ac:dyDescent="0.25">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c r="AA359" s="4"/>
      <c r="AB359" s="4"/>
    </row>
    <row r="360" ht="13.5" customHeight="1" spans="1:28" x14ac:dyDescent="0.25">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c r="AA360" s="4"/>
      <c r="AB360" s="4"/>
    </row>
    <row r="361" ht="13.5" customHeight="1" spans="1:28" x14ac:dyDescent="0.25">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c r="AA361" s="4"/>
      <c r="AB361" s="4"/>
    </row>
    <row r="362" ht="13.5" customHeight="1" spans="1:28" x14ac:dyDescent="0.25">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c r="AA362" s="4"/>
      <c r="AB362" s="4"/>
    </row>
    <row r="363" ht="13.5" customHeight="1" spans="1:28" x14ac:dyDescent="0.25">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c r="AA363" s="4"/>
      <c r="AB363" s="4"/>
    </row>
    <row r="364" ht="13.5" customHeight="1" spans="1:28" x14ac:dyDescent="0.25">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c r="AA364" s="4"/>
      <c r="AB364" s="4"/>
    </row>
    <row r="365" ht="13.5" customHeight="1" spans="1:28" x14ac:dyDescent="0.2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c r="AA365" s="4"/>
      <c r="AB365" s="4"/>
    </row>
    <row r="366" ht="13.5" customHeight="1" spans="1:28" x14ac:dyDescent="0.25">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c r="AA366" s="4"/>
      <c r="AB366" s="4"/>
    </row>
    <row r="367" ht="13.5" customHeight="1" spans="1:28" x14ac:dyDescent="0.25">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c r="AA367" s="4"/>
      <c r="AB367" s="4"/>
    </row>
    <row r="368" ht="13.5" customHeight="1" spans="1:28" x14ac:dyDescent="0.25">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c r="AA368" s="4"/>
      <c r="AB368" s="4"/>
    </row>
    <row r="369" ht="13.5" customHeight="1" spans="1:28" x14ac:dyDescent="0.25">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c r="AA369" s="4"/>
      <c r="AB369" s="4"/>
    </row>
    <row r="370" ht="13.5" customHeight="1" spans="1:28" x14ac:dyDescent="0.25">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c r="AA370" s="4"/>
      <c r="AB370" s="4"/>
    </row>
    <row r="371" ht="13.5" customHeight="1" spans="1:28" x14ac:dyDescent="0.25">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c r="AA371" s="4"/>
      <c r="AB371" s="4"/>
    </row>
    <row r="372" ht="13.5" customHeight="1" spans="1:28" x14ac:dyDescent="0.25">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c r="AA372" s="4"/>
      <c r="AB372" s="4"/>
    </row>
    <row r="373" ht="13.5" customHeight="1" spans="1:28" x14ac:dyDescent="0.25">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c r="AA373" s="4"/>
      <c r="AB373" s="4"/>
    </row>
    <row r="374" ht="13.5" customHeight="1" spans="1:28" x14ac:dyDescent="0.25">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c r="AA374" s="4"/>
      <c r="AB374" s="4"/>
    </row>
    <row r="375" ht="13.5" customHeight="1" spans="1:28" x14ac:dyDescent="0.2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c r="AA375" s="4"/>
      <c r="AB375" s="4"/>
    </row>
    <row r="376" ht="13.5" customHeight="1" spans="1:28" x14ac:dyDescent="0.25">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c r="AA376" s="4"/>
      <c r="AB376" s="4"/>
    </row>
    <row r="377" ht="13.5" customHeight="1" spans="1:28" x14ac:dyDescent="0.25">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c r="AA377" s="4"/>
      <c r="AB377" s="4"/>
    </row>
    <row r="378" ht="13.5" customHeight="1" spans="1:28" x14ac:dyDescent="0.25">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c r="AA378" s="4"/>
      <c r="AB378" s="4"/>
    </row>
    <row r="379" ht="13.5" customHeight="1" spans="1:28" x14ac:dyDescent="0.25">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c r="AA379" s="4"/>
      <c r="AB379" s="4"/>
    </row>
    <row r="380" ht="13.5" customHeight="1" spans="1:28" x14ac:dyDescent="0.25">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c r="AA380" s="4"/>
      <c r="AB380" s="4"/>
    </row>
    <row r="381" ht="13.5" customHeight="1" spans="1:28" x14ac:dyDescent="0.25">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c r="AA381" s="4"/>
      <c r="AB381" s="4"/>
    </row>
    <row r="382" ht="13.5" customHeight="1" spans="1:28" x14ac:dyDescent="0.25">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c r="AA382" s="4"/>
      <c r="AB382" s="4"/>
    </row>
    <row r="383" ht="13.5" customHeight="1" spans="1:28" x14ac:dyDescent="0.25">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c r="AA383" s="4"/>
      <c r="AB383" s="4"/>
    </row>
    <row r="384" ht="13.5" customHeight="1" spans="1:28" x14ac:dyDescent="0.25">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c r="AA384" s="4"/>
      <c r="AB384" s="4"/>
    </row>
    <row r="385" ht="13.5" customHeight="1" spans="1:28" x14ac:dyDescent="0.2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c r="AA385" s="4"/>
      <c r="AB385" s="4"/>
    </row>
    <row r="386" ht="13.5" customHeight="1" spans="1:28" x14ac:dyDescent="0.25">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c r="AA386" s="4"/>
      <c r="AB386" s="4"/>
    </row>
    <row r="387" ht="13.5" customHeight="1" spans="1:28" x14ac:dyDescent="0.25">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c r="AA387" s="4"/>
      <c r="AB387" s="4"/>
    </row>
    <row r="388" ht="13.5" customHeight="1" spans="1:28" x14ac:dyDescent="0.25">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c r="AA388" s="4"/>
      <c r="AB388" s="4"/>
    </row>
    <row r="389" ht="13.5" customHeight="1" spans="1:28" x14ac:dyDescent="0.25">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c r="AA389" s="4"/>
      <c r="AB389" s="4"/>
    </row>
    <row r="390" ht="13.5" customHeight="1" spans="1:28" x14ac:dyDescent="0.25">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c r="AA390" s="4"/>
      <c r="AB390" s="4"/>
    </row>
    <row r="391" ht="13.5" customHeight="1" spans="1:28" x14ac:dyDescent="0.25">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c r="AA391" s="4"/>
      <c r="AB391" s="4"/>
    </row>
    <row r="392" ht="13.5" customHeight="1" spans="1:28" x14ac:dyDescent="0.25">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c r="AA392" s="4"/>
      <c r="AB392" s="4"/>
    </row>
    <row r="393" ht="13.5" customHeight="1" spans="1:28" x14ac:dyDescent="0.25">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c r="AA393" s="4"/>
      <c r="AB393" s="4"/>
    </row>
    <row r="394" ht="13.5" customHeight="1" spans="1:28" x14ac:dyDescent="0.25">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c r="AA394" s="4"/>
      <c r="AB394" s="4"/>
    </row>
    <row r="395" ht="13.5" customHeight="1" spans="1:28" x14ac:dyDescent="0.2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c r="AA395" s="4"/>
      <c r="AB395" s="4"/>
    </row>
    <row r="396" ht="13.5" customHeight="1" spans="1:28" x14ac:dyDescent="0.25">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c r="AA396" s="4"/>
      <c r="AB396" s="4"/>
    </row>
    <row r="397" ht="13.5" customHeight="1" spans="1:28" x14ac:dyDescent="0.25">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c r="AA397" s="4"/>
      <c r="AB397" s="4"/>
    </row>
    <row r="398" ht="13.5" customHeight="1" spans="1:28" x14ac:dyDescent="0.25">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c r="AA398" s="4"/>
      <c r="AB398" s="4"/>
    </row>
    <row r="399" ht="13.5" customHeight="1" spans="1:28" x14ac:dyDescent="0.25">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c r="AA399" s="4"/>
      <c r="AB399" s="4"/>
    </row>
    <row r="400" ht="13.5" customHeight="1" spans="1:28" x14ac:dyDescent="0.25">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c r="AA400" s="4"/>
      <c r="AB400" s="4"/>
    </row>
    <row r="401" ht="13.5" customHeight="1" spans="1:28" x14ac:dyDescent="0.25">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c r="AA401" s="4"/>
      <c r="AB401" s="4"/>
    </row>
    <row r="402" ht="13.5" customHeight="1" spans="1:28" x14ac:dyDescent="0.25">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c r="AA402" s="4"/>
      <c r="AB402" s="4"/>
    </row>
    <row r="403" ht="13.5" customHeight="1" spans="1:28" x14ac:dyDescent="0.25">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c r="AA403" s="4"/>
      <c r="AB403" s="4"/>
    </row>
    <row r="404" ht="13.5" customHeight="1" spans="1:28" x14ac:dyDescent="0.25">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c r="AA404" s="4"/>
      <c r="AB404" s="4"/>
    </row>
    <row r="405" ht="13.5" customHeight="1" spans="1:28" x14ac:dyDescent="0.2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c r="AA405" s="4"/>
      <c r="AB405" s="4"/>
    </row>
    <row r="406" ht="13.5" customHeight="1" spans="1:28" x14ac:dyDescent="0.25">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c r="AA406" s="4"/>
      <c r="AB406" s="4"/>
    </row>
    <row r="407" ht="13.5" customHeight="1" spans="1:28" x14ac:dyDescent="0.25">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c r="AA407" s="4"/>
      <c r="AB407" s="4"/>
    </row>
    <row r="408" ht="13.5" customHeight="1" spans="1:28" x14ac:dyDescent="0.25">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c r="AA408" s="4"/>
      <c r="AB408" s="4"/>
    </row>
    <row r="409" ht="13.5" customHeight="1" spans="1:28" x14ac:dyDescent="0.25">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c r="AA409" s="4"/>
      <c r="AB409" s="4"/>
    </row>
    <row r="410" ht="13.5" customHeight="1" spans="1:28" x14ac:dyDescent="0.25">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c r="AA410" s="4"/>
      <c r="AB410" s="4"/>
    </row>
    <row r="411" ht="13.5" customHeight="1" spans="1:28" x14ac:dyDescent="0.25">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c r="AA411" s="4"/>
      <c r="AB411" s="4"/>
    </row>
    <row r="412" ht="13.5" customHeight="1" spans="1:28" x14ac:dyDescent="0.25">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c r="AA412" s="4"/>
      <c r="AB412" s="4"/>
    </row>
    <row r="413" ht="13.5" customHeight="1" spans="1:28" x14ac:dyDescent="0.25">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c r="AA413" s="4"/>
      <c r="AB413" s="4"/>
    </row>
    <row r="414" ht="13.5" customHeight="1" spans="1:28" x14ac:dyDescent="0.25">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c r="AA414" s="4"/>
      <c r="AB414" s="4"/>
    </row>
    <row r="415" ht="13.5" customHeight="1" spans="1:28" x14ac:dyDescent="0.2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c r="AA415" s="4"/>
      <c r="AB415" s="4"/>
    </row>
    <row r="416" ht="13.5" customHeight="1" spans="1:28" x14ac:dyDescent="0.25">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c r="AA416" s="4"/>
      <c r="AB416" s="4"/>
    </row>
    <row r="417" ht="13.5" customHeight="1" spans="1:28" x14ac:dyDescent="0.25">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c r="AA417" s="4"/>
      <c r="AB417" s="4"/>
    </row>
    <row r="418" ht="13.5" customHeight="1" spans="1:28" x14ac:dyDescent="0.25">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c r="AA418" s="4"/>
      <c r="AB418" s="4"/>
    </row>
    <row r="419" ht="13.5" customHeight="1" spans="1:28" x14ac:dyDescent="0.25">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c r="AA419" s="4"/>
      <c r="AB419" s="4"/>
    </row>
    <row r="420" ht="13.5" customHeight="1" spans="1:28" x14ac:dyDescent="0.25">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c r="AA420" s="4"/>
      <c r="AB420" s="4"/>
    </row>
    <row r="421" ht="13.5" customHeight="1" spans="1:28" x14ac:dyDescent="0.25">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c r="AA421" s="4"/>
      <c r="AB421" s="4"/>
    </row>
    <row r="422" ht="13.5" customHeight="1" spans="1:28" x14ac:dyDescent="0.25">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c r="AA422" s="4"/>
      <c r="AB422" s="4"/>
    </row>
    <row r="423" ht="13.5" customHeight="1" spans="1:28" x14ac:dyDescent="0.25">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c r="AA423" s="4"/>
      <c r="AB423" s="4"/>
    </row>
    <row r="424" ht="13.5" customHeight="1" spans="1:28" x14ac:dyDescent="0.25">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c r="AA424" s="4"/>
      <c r="AB424" s="4"/>
    </row>
    <row r="425" ht="13.5" customHeight="1" spans="1:28" x14ac:dyDescent="0.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c r="AA425" s="4"/>
      <c r="AB425" s="4"/>
    </row>
    <row r="426" ht="13.5" customHeight="1" spans="1:28" x14ac:dyDescent="0.25">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c r="AA426" s="4"/>
      <c r="AB426" s="4"/>
    </row>
    <row r="427" ht="13.5" customHeight="1" spans="1:28" x14ac:dyDescent="0.25">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c r="AA427" s="4"/>
      <c r="AB427" s="4"/>
    </row>
    <row r="428" ht="13.5" customHeight="1" spans="1:28" x14ac:dyDescent="0.25">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c r="AA428" s="4"/>
      <c r="AB428" s="4"/>
    </row>
    <row r="429" ht="13.5" customHeight="1" spans="1:28" x14ac:dyDescent="0.25">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c r="AA429" s="4"/>
      <c r="AB429" s="4"/>
    </row>
    <row r="430" ht="13.5" customHeight="1" spans="1:28" x14ac:dyDescent="0.25">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c r="AA430" s="4"/>
      <c r="AB430" s="4"/>
    </row>
    <row r="431" ht="13.5" customHeight="1" spans="1:28" x14ac:dyDescent="0.25">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c r="AA431" s="4"/>
      <c r="AB431" s="4"/>
    </row>
    <row r="432" ht="13.5" customHeight="1" spans="1:28" x14ac:dyDescent="0.25">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c r="AA432" s="4"/>
      <c r="AB432" s="4"/>
    </row>
    <row r="433" ht="13.5" customHeight="1" spans="1:28" x14ac:dyDescent="0.25">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c r="AA433" s="4"/>
      <c r="AB433" s="4"/>
    </row>
    <row r="434" ht="13.5" customHeight="1" spans="1:28" x14ac:dyDescent="0.25">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c r="AA434" s="4"/>
      <c r="AB434" s="4"/>
    </row>
    <row r="435" ht="13.5" customHeight="1" spans="1:28" x14ac:dyDescent="0.2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c r="AA435" s="4"/>
      <c r="AB435" s="4"/>
    </row>
    <row r="436" ht="13.5" customHeight="1" spans="1:28" x14ac:dyDescent="0.25">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c r="AA436" s="4"/>
      <c r="AB436" s="4"/>
    </row>
    <row r="437" ht="13.5" customHeight="1" spans="1:28" x14ac:dyDescent="0.25">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c r="AA437" s="4"/>
      <c r="AB437" s="4"/>
    </row>
    <row r="438" ht="13.5" customHeight="1" spans="1:28" x14ac:dyDescent="0.25">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c r="AA438" s="4"/>
      <c r="AB438" s="4"/>
    </row>
    <row r="439" ht="13.5" customHeight="1" spans="1:28" x14ac:dyDescent="0.25">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c r="AA439" s="4"/>
      <c r="AB439" s="4"/>
    </row>
    <row r="440" ht="13.5" customHeight="1" spans="1:28" x14ac:dyDescent="0.25">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c r="AA440" s="4"/>
      <c r="AB440" s="4"/>
    </row>
    <row r="441" ht="13.5" customHeight="1" spans="1:28" x14ac:dyDescent="0.25">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c r="AA441" s="4"/>
      <c r="AB441" s="4"/>
    </row>
    <row r="442" ht="13.5" customHeight="1" spans="1:28" x14ac:dyDescent="0.25">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c r="AA442" s="4"/>
      <c r="AB442" s="4"/>
    </row>
    <row r="443" ht="13.5" customHeight="1" spans="1:28" x14ac:dyDescent="0.25">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c r="AA443" s="4"/>
      <c r="AB443" s="4"/>
    </row>
    <row r="444" ht="13.5" customHeight="1" spans="1:28" x14ac:dyDescent="0.25">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c r="AA444" s="4"/>
      <c r="AB444" s="4"/>
    </row>
    <row r="445" ht="13.5" customHeight="1" spans="1:28" x14ac:dyDescent="0.2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c r="AA445" s="4"/>
      <c r="AB445" s="4"/>
    </row>
    <row r="446" ht="13.5" customHeight="1" spans="1:28" x14ac:dyDescent="0.25">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c r="AA446" s="4"/>
      <c r="AB446" s="4"/>
    </row>
    <row r="447" ht="13.5" customHeight="1" spans="1:28" x14ac:dyDescent="0.25">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c r="AA447" s="4"/>
      <c r="AB447" s="4"/>
    </row>
    <row r="448" ht="13.5" customHeight="1" spans="1:28" x14ac:dyDescent="0.25">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c r="AA448" s="4"/>
      <c r="AB448" s="4"/>
    </row>
    <row r="449" ht="13.5" customHeight="1" spans="1:28" x14ac:dyDescent="0.25">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c r="AA449" s="4"/>
      <c r="AB449" s="4"/>
    </row>
    <row r="450" ht="13.5" customHeight="1" spans="1:28" x14ac:dyDescent="0.25">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c r="AA450" s="4"/>
      <c r="AB450" s="4"/>
    </row>
    <row r="451" ht="13.5" customHeight="1" spans="1:28" x14ac:dyDescent="0.25">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c r="AA451" s="4"/>
      <c r="AB451" s="4"/>
    </row>
    <row r="452" ht="13.5" customHeight="1" spans="1:28" x14ac:dyDescent="0.25">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c r="AA452" s="4"/>
      <c r="AB452" s="4"/>
    </row>
    <row r="453" ht="13.5" customHeight="1" spans="1:28" x14ac:dyDescent="0.25">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c r="AA453" s="4"/>
      <c r="AB453" s="4"/>
    </row>
    <row r="454" ht="13.5" customHeight="1" spans="1:28" x14ac:dyDescent="0.25">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c r="AA454" s="4"/>
      <c r="AB454" s="4"/>
    </row>
    <row r="455" ht="13.5" customHeight="1" spans="1:28" x14ac:dyDescent="0.2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c r="AA455" s="4"/>
      <c r="AB455" s="4"/>
    </row>
    <row r="456" ht="13.5" customHeight="1" spans="1:28" x14ac:dyDescent="0.25">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c r="AA456" s="4"/>
      <c r="AB456" s="4"/>
    </row>
    <row r="457" ht="13.5" customHeight="1" spans="1:28" x14ac:dyDescent="0.25">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c r="AA457" s="4"/>
      <c r="AB457" s="4"/>
    </row>
    <row r="458" ht="13.5" customHeight="1" spans="1:28" x14ac:dyDescent="0.25">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c r="AA458" s="4"/>
      <c r="AB458" s="4"/>
    </row>
    <row r="459" ht="13.5" customHeight="1" spans="1:28" x14ac:dyDescent="0.25">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c r="AA459" s="4"/>
      <c r="AB459" s="4"/>
    </row>
    <row r="460" ht="13.5" customHeight="1" spans="1:28" x14ac:dyDescent="0.25">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c r="AA460" s="4"/>
      <c r="AB460" s="4"/>
    </row>
    <row r="461" ht="13.5" customHeight="1" spans="1:28" x14ac:dyDescent="0.25">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c r="AA461" s="4"/>
      <c r="AB461" s="4"/>
    </row>
    <row r="462" ht="13.5" customHeight="1" spans="1:28" x14ac:dyDescent="0.25">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c r="AA462" s="4"/>
      <c r="AB462" s="4"/>
    </row>
    <row r="463" ht="13.5" customHeight="1" spans="1:28" x14ac:dyDescent="0.25">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c r="AA463" s="4"/>
      <c r="AB463" s="4"/>
    </row>
    <row r="464" ht="13.5" customHeight="1" spans="1:28" x14ac:dyDescent="0.25">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c r="AA464" s="4"/>
      <c r="AB464" s="4"/>
    </row>
    <row r="465" ht="13.5" customHeight="1" spans="1:28" x14ac:dyDescent="0.2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c r="AA465" s="4"/>
      <c r="AB465" s="4"/>
    </row>
    <row r="466" ht="13.5" customHeight="1" spans="1:28" x14ac:dyDescent="0.25">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c r="AA466" s="4"/>
      <c r="AB466" s="4"/>
    </row>
    <row r="467" ht="13.5" customHeight="1" spans="1:28" x14ac:dyDescent="0.25">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c r="AA467" s="4"/>
      <c r="AB467" s="4"/>
    </row>
    <row r="468" ht="13.5" customHeight="1" spans="1:28" x14ac:dyDescent="0.25">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c r="AA468" s="4"/>
      <c r="AB468" s="4"/>
    </row>
    <row r="469" ht="13.5" customHeight="1" spans="1:28" x14ac:dyDescent="0.25">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c r="AA469" s="4"/>
      <c r="AB469" s="4"/>
    </row>
    <row r="470" ht="13.5" customHeight="1" spans="1:28" x14ac:dyDescent="0.25">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c r="AA470" s="4"/>
      <c r="AB470" s="4"/>
    </row>
    <row r="471" ht="13.5" customHeight="1" spans="1:28" x14ac:dyDescent="0.25">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c r="AA471" s="4"/>
      <c r="AB471" s="4"/>
    </row>
    <row r="472" ht="13.5" customHeight="1" spans="1:28" x14ac:dyDescent="0.25">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c r="AA472" s="4"/>
      <c r="AB472" s="4"/>
    </row>
    <row r="473" ht="13.5" customHeight="1" spans="1:28" x14ac:dyDescent="0.25">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c r="AA473" s="4"/>
      <c r="AB473" s="4"/>
    </row>
    <row r="474" ht="13.5" customHeight="1" spans="1:28" x14ac:dyDescent="0.25">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c r="AA474" s="4"/>
      <c r="AB474" s="4"/>
    </row>
    <row r="475" ht="13.5" customHeight="1" spans="1:28" x14ac:dyDescent="0.2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c r="AA475" s="4"/>
      <c r="AB475" s="4"/>
    </row>
    <row r="476" ht="13.5" customHeight="1" spans="1:28" x14ac:dyDescent="0.25">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c r="AA476" s="4"/>
      <c r="AB476" s="4"/>
    </row>
    <row r="477" ht="13.5" customHeight="1" spans="1:28" x14ac:dyDescent="0.25">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c r="AA477" s="4"/>
      <c r="AB477" s="4"/>
    </row>
    <row r="478" ht="13.5" customHeight="1" spans="1:28" x14ac:dyDescent="0.25">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c r="AA478" s="4"/>
      <c r="AB478" s="4"/>
    </row>
    <row r="479" ht="13.5" customHeight="1" spans="1:28" x14ac:dyDescent="0.25">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c r="AA479" s="4"/>
      <c r="AB479" s="4"/>
    </row>
    <row r="480" ht="13.5" customHeight="1" spans="1:28" x14ac:dyDescent="0.25">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c r="AA480" s="4"/>
      <c r="AB480" s="4"/>
    </row>
    <row r="481" ht="13.5" customHeight="1" spans="1:28" x14ac:dyDescent="0.25">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c r="AA481" s="4"/>
      <c r="AB481" s="4"/>
    </row>
    <row r="482" ht="13.5" customHeight="1" spans="1:28" x14ac:dyDescent="0.25">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c r="AA482" s="4"/>
      <c r="AB482" s="4"/>
    </row>
    <row r="483" ht="13.5" customHeight="1" spans="1:28" x14ac:dyDescent="0.25">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c r="AA483" s="4"/>
      <c r="AB483" s="4"/>
    </row>
    <row r="484" ht="13.5" customHeight="1" spans="1:28" x14ac:dyDescent="0.25">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c r="AA484" s="4"/>
      <c r="AB484" s="4"/>
    </row>
    <row r="485" ht="13.5" customHeight="1" spans="1:28" x14ac:dyDescent="0.2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c r="AA485" s="4"/>
      <c r="AB485" s="4"/>
    </row>
    <row r="486" ht="13.5" customHeight="1" spans="1:28" x14ac:dyDescent="0.25">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c r="AA486" s="4"/>
      <c r="AB486" s="4"/>
    </row>
    <row r="487" ht="13.5" customHeight="1" spans="1:28" x14ac:dyDescent="0.25">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c r="AA487" s="4"/>
      <c r="AB487" s="4"/>
    </row>
    <row r="488" ht="13.5" customHeight="1" spans="1:28" x14ac:dyDescent="0.25">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c r="AA488" s="4"/>
      <c r="AB488" s="4"/>
    </row>
    <row r="489" ht="13.5" customHeight="1" spans="1:28" x14ac:dyDescent="0.25">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c r="AA489" s="4"/>
      <c r="AB489" s="4"/>
    </row>
    <row r="490" ht="13.5" customHeight="1" spans="1:28" x14ac:dyDescent="0.25">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c r="AA490" s="4"/>
      <c r="AB490" s="4"/>
    </row>
    <row r="491" ht="13.5" customHeight="1" spans="1:28" x14ac:dyDescent="0.25">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c r="AA491" s="4"/>
      <c r="AB491" s="4"/>
    </row>
    <row r="492" ht="13.5" customHeight="1" spans="1:28" x14ac:dyDescent="0.25">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c r="AA492" s="4"/>
      <c r="AB492" s="4"/>
    </row>
    <row r="493" ht="13.5" customHeight="1" spans="1:28" x14ac:dyDescent="0.25">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c r="AA493" s="4"/>
      <c r="AB493" s="4"/>
    </row>
    <row r="494" ht="13.5" customHeight="1" spans="1:28" x14ac:dyDescent="0.25">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c r="AA494" s="4"/>
      <c r="AB494" s="4"/>
    </row>
    <row r="495" ht="13.5" customHeight="1" spans="1:28" x14ac:dyDescent="0.2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c r="AA495" s="4"/>
      <c r="AB495" s="4"/>
    </row>
    <row r="496" ht="13.5" customHeight="1" spans="1:28" x14ac:dyDescent="0.25">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c r="AA496" s="4"/>
      <c r="AB496" s="4"/>
    </row>
    <row r="497" ht="13.5" customHeight="1" spans="1:28" x14ac:dyDescent="0.25">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c r="AA497" s="4"/>
      <c r="AB497" s="4"/>
    </row>
    <row r="498" ht="13.5" customHeight="1" spans="1:28" x14ac:dyDescent="0.25">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c r="AA498" s="4"/>
      <c r="AB498" s="4"/>
    </row>
    <row r="499" ht="13.5" customHeight="1" spans="1:28" x14ac:dyDescent="0.25">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c r="AA499" s="4"/>
      <c r="AB499" s="4"/>
    </row>
    <row r="500" ht="13.5" customHeight="1" spans="1:28" x14ac:dyDescent="0.25">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c r="AA500" s="4"/>
      <c r="AB500" s="4"/>
    </row>
    <row r="501" ht="13.5" customHeight="1" spans="1:28" x14ac:dyDescent="0.25">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c r="AA501" s="4"/>
      <c r="AB501" s="4"/>
    </row>
    <row r="502" ht="13.5" customHeight="1" spans="1:28" x14ac:dyDescent="0.25">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c r="AA502" s="4"/>
      <c r="AB502" s="4"/>
    </row>
    <row r="503" ht="13.5" customHeight="1" spans="1:28" x14ac:dyDescent="0.25">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c r="AA503" s="4"/>
      <c r="AB503" s="4"/>
    </row>
    <row r="504" ht="13.5" customHeight="1" spans="1:28" x14ac:dyDescent="0.25">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c r="AA504" s="4"/>
      <c r="AB504" s="4"/>
    </row>
    <row r="505" ht="13.5" customHeight="1" spans="1:28" x14ac:dyDescent="0.2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c r="AA505" s="4"/>
      <c r="AB505" s="4"/>
    </row>
    <row r="506" ht="13.5" customHeight="1" spans="1:28" x14ac:dyDescent="0.25">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c r="AA506" s="4"/>
      <c r="AB506" s="4"/>
    </row>
    <row r="507" ht="13.5" customHeight="1" spans="1:28" x14ac:dyDescent="0.25">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c r="AA507" s="4"/>
      <c r="AB507" s="4"/>
    </row>
    <row r="508" ht="13.5" customHeight="1" spans="1:28" x14ac:dyDescent="0.25">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c r="AA508" s="4"/>
      <c r="AB508" s="4"/>
    </row>
    <row r="509" ht="13.5" customHeight="1" spans="1:28" x14ac:dyDescent="0.25">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c r="AA509" s="4"/>
      <c r="AB509" s="4"/>
    </row>
    <row r="510" ht="13.5" customHeight="1" spans="1:28" x14ac:dyDescent="0.25">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c r="AA510" s="4"/>
      <c r="AB510" s="4"/>
    </row>
    <row r="511" ht="13.5" customHeight="1" spans="1:28" x14ac:dyDescent="0.25">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c r="AA511" s="4"/>
      <c r="AB511" s="4"/>
    </row>
    <row r="512" ht="13.5" customHeight="1" spans="1:28" x14ac:dyDescent="0.25">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c r="AA512" s="4"/>
      <c r="AB512" s="4"/>
    </row>
    <row r="513" ht="13.5" customHeight="1" spans="1:28" x14ac:dyDescent="0.25">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c r="AA513" s="4"/>
      <c r="AB513" s="4"/>
    </row>
    <row r="514" ht="13.5" customHeight="1" spans="1:28" x14ac:dyDescent="0.25">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c r="AA514" s="4"/>
      <c r="AB514" s="4"/>
    </row>
    <row r="515" ht="13.5" customHeight="1" spans="1:28" x14ac:dyDescent="0.2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c r="AA515" s="4"/>
      <c r="AB515" s="4"/>
    </row>
    <row r="516" ht="13.5" customHeight="1" spans="1:28" x14ac:dyDescent="0.25">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c r="AA516" s="4"/>
      <c r="AB516" s="4"/>
    </row>
    <row r="517" ht="13.5" customHeight="1" spans="1:28" x14ac:dyDescent="0.25">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c r="AA517" s="4"/>
      <c r="AB517" s="4"/>
    </row>
    <row r="518" ht="13.5" customHeight="1" spans="1:28" x14ac:dyDescent="0.25">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c r="AA518" s="4"/>
      <c r="AB518" s="4"/>
    </row>
    <row r="519" ht="13.5" customHeight="1" spans="1:28" x14ac:dyDescent="0.25">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c r="AA519" s="4"/>
      <c r="AB519" s="4"/>
    </row>
    <row r="520" ht="13.5" customHeight="1" spans="1:28" x14ac:dyDescent="0.25">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c r="AA520" s="4"/>
      <c r="AB520" s="4"/>
    </row>
    <row r="521" ht="13.5" customHeight="1" spans="1:28" x14ac:dyDescent="0.25">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c r="AA521" s="4"/>
      <c r="AB521" s="4"/>
    </row>
    <row r="522" ht="13.5" customHeight="1" spans="1:28" x14ac:dyDescent="0.25">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c r="AA522" s="4"/>
      <c r="AB522" s="4"/>
    </row>
    <row r="523" ht="13.5" customHeight="1" spans="1:28" x14ac:dyDescent="0.25">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c r="AA523" s="4"/>
      <c r="AB523" s="4"/>
    </row>
    <row r="524" ht="13.5" customHeight="1" spans="1:28" x14ac:dyDescent="0.25">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c r="AA524" s="4"/>
      <c r="AB524" s="4"/>
    </row>
    <row r="525" ht="13.5" customHeight="1" spans="1:28" x14ac:dyDescent="0.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c r="AA525" s="4"/>
      <c r="AB525" s="4"/>
    </row>
    <row r="526" ht="13.5" customHeight="1" spans="1:28" x14ac:dyDescent="0.25">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c r="AA526" s="4"/>
      <c r="AB526" s="4"/>
    </row>
    <row r="527" ht="13.5" customHeight="1" spans="1:28" x14ac:dyDescent="0.25">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c r="AA527" s="4"/>
      <c r="AB527" s="4"/>
    </row>
    <row r="528" ht="13.5" customHeight="1" spans="1:28" x14ac:dyDescent="0.25">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c r="AA528" s="4"/>
      <c r="AB528" s="4"/>
    </row>
    <row r="529" ht="13.5" customHeight="1" spans="1:28" x14ac:dyDescent="0.25">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c r="AA529" s="4"/>
      <c r="AB529" s="4"/>
    </row>
    <row r="530" ht="13.5" customHeight="1" spans="1:28" x14ac:dyDescent="0.25">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c r="AA530" s="4"/>
      <c r="AB530" s="4"/>
    </row>
    <row r="531" ht="13.5" customHeight="1" spans="1:28" x14ac:dyDescent="0.25">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c r="AA531" s="4"/>
      <c r="AB531" s="4"/>
    </row>
    <row r="532" ht="13.5" customHeight="1" spans="1:28" x14ac:dyDescent="0.25">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c r="AA532" s="4"/>
      <c r="AB532" s="4"/>
    </row>
    <row r="533" ht="13.5" customHeight="1" spans="1:28" x14ac:dyDescent="0.25">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c r="AA533" s="4"/>
      <c r="AB533" s="4"/>
    </row>
    <row r="534" ht="13.5" customHeight="1" spans="1:28" x14ac:dyDescent="0.25">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c r="AA534" s="4"/>
      <c r="AB534" s="4"/>
    </row>
    <row r="535" ht="13.5" customHeight="1" spans="1:28" x14ac:dyDescent="0.2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c r="AA535" s="4"/>
      <c r="AB535" s="4"/>
    </row>
    <row r="536" ht="13.5" customHeight="1" spans="1:28" x14ac:dyDescent="0.25">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c r="AA536" s="4"/>
      <c r="AB536" s="4"/>
    </row>
    <row r="537" ht="13.5" customHeight="1" spans="1:28" x14ac:dyDescent="0.25">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c r="AA537" s="4"/>
      <c r="AB537" s="4"/>
    </row>
    <row r="538" ht="13.5" customHeight="1" spans="1:28" x14ac:dyDescent="0.25">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c r="AA538" s="4"/>
      <c r="AB538" s="4"/>
    </row>
    <row r="539" ht="13.5" customHeight="1" spans="1:28" x14ac:dyDescent="0.25">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c r="AA539" s="4"/>
      <c r="AB539" s="4"/>
    </row>
    <row r="540" ht="13.5" customHeight="1" spans="1:28" x14ac:dyDescent="0.25">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c r="AA540" s="4"/>
      <c r="AB540" s="4"/>
    </row>
    <row r="541" ht="13.5" customHeight="1" spans="1:28" x14ac:dyDescent="0.25">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c r="AA541" s="4"/>
      <c r="AB541" s="4"/>
    </row>
    <row r="542" ht="13.5" customHeight="1" spans="1:28" x14ac:dyDescent="0.25">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c r="AA542" s="4"/>
      <c r="AB542" s="4"/>
    </row>
    <row r="543" ht="13.5" customHeight="1" spans="1:28" x14ac:dyDescent="0.25">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c r="AA543" s="4"/>
      <c r="AB543" s="4"/>
    </row>
    <row r="544" ht="13.5" customHeight="1" spans="1:28" x14ac:dyDescent="0.25">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c r="AA544" s="4"/>
      <c r="AB544" s="4"/>
    </row>
    <row r="545" ht="13.5" customHeight="1" spans="1:28" x14ac:dyDescent="0.2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c r="AA545" s="4"/>
      <c r="AB545" s="4"/>
    </row>
    <row r="546" ht="13.5" customHeight="1" spans="1:28" x14ac:dyDescent="0.25">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c r="AA546" s="4"/>
      <c r="AB546" s="4"/>
    </row>
    <row r="547" ht="13.5" customHeight="1" spans="1:28" x14ac:dyDescent="0.25">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c r="AA547" s="4"/>
      <c r="AB547" s="4"/>
    </row>
    <row r="548" ht="13.5" customHeight="1" spans="1:28" x14ac:dyDescent="0.25">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c r="AA548" s="4"/>
      <c r="AB548" s="4"/>
    </row>
    <row r="549" ht="13.5" customHeight="1" spans="1:28" x14ac:dyDescent="0.25">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c r="AA549" s="4"/>
      <c r="AB549" s="4"/>
    </row>
    <row r="550" ht="13.5" customHeight="1" spans="1:28" x14ac:dyDescent="0.25">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c r="AA550" s="4"/>
      <c r="AB550" s="4"/>
    </row>
    <row r="551" ht="13.5" customHeight="1" spans="1:28" x14ac:dyDescent="0.25">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c r="AA551" s="4"/>
      <c r="AB551" s="4"/>
    </row>
    <row r="552" ht="13.5" customHeight="1" spans="1:28" x14ac:dyDescent="0.25">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c r="AA552" s="4"/>
      <c r="AB552" s="4"/>
    </row>
    <row r="553" ht="13.5" customHeight="1" spans="1:28" x14ac:dyDescent="0.25">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c r="AA553" s="4"/>
      <c r="AB553" s="4"/>
    </row>
    <row r="554" ht="13.5" customHeight="1" spans="1:28" x14ac:dyDescent="0.25">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c r="AA554" s="4"/>
      <c r="AB554" s="4"/>
    </row>
    <row r="555" ht="13.5" customHeight="1" spans="1:28" x14ac:dyDescent="0.2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c r="AA555" s="4"/>
      <c r="AB555" s="4"/>
    </row>
    <row r="556" ht="13.5" customHeight="1" spans="1:28" x14ac:dyDescent="0.25">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c r="AA556" s="4"/>
      <c r="AB556" s="4"/>
    </row>
    <row r="557" ht="13.5" customHeight="1" spans="1:28" x14ac:dyDescent="0.25">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c r="AA557" s="4"/>
      <c r="AB557" s="4"/>
    </row>
    <row r="558" ht="13.5" customHeight="1" spans="1:28" x14ac:dyDescent="0.25">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c r="AA558" s="4"/>
      <c r="AB558" s="4"/>
    </row>
    <row r="559" ht="13.5" customHeight="1" spans="1:28" x14ac:dyDescent="0.25">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c r="AA559" s="4"/>
      <c r="AB559" s="4"/>
    </row>
    <row r="560" ht="13.5" customHeight="1" spans="1:28" x14ac:dyDescent="0.25">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c r="AA560" s="4"/>
      <c r="AB560" s="4"/>
    </row>
    <row r="561" ht="13.5" customHeight="1" spans="1:28" x14ac:dyDescent="0.25">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c r="AA561" s="4"/>
      <c r="AB561" s="4"/>
    </row>
    <row r="562" ht="13.5" customHeight="1" spans="1:28" x14ac:dyDescent="0.25">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c r="AA562" s="4"/>
      <c r="AB562" s="4"/>
    </row>
    <row r="563" ht="13.5" customHeight="1" spans="1:28" x14ac:dyDescent="0.25">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c r="AA563" s="4"/>
      <c r="AB563" s="4"/>
    </row>
    <row r="564" ht="13.5" customHeight="1" spans="1:28" x14ac:dyDescent="0.25">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c r="AA564" s="4"/>
      <c r="AB564" s="4"/>
    </row>
    <row r="565" ht="13.5" customHeight="1" spans="1:28" x14ac:dyDescent="0.2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c r="AA565" s="4"/>
      <c r="AB565" s="4"/>
    </row>
    <row r="566" ht="13.5" customHeight="1" spans="1:28" x14ac:dyDescent="0.25">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c r="AA566" s="4"/>
      <c r="AB566" s="4"/>
    </row>
    <row r="567" ht="13.5" customHeight="1" spans="1:28" x14ac:dyDescent="0.25">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c r="AA567" s="4"/>
      <c r="AB567" s="4"/>
    </row>
    <row r="568" ht="13.5" customHeight="1" spans="1:28" x14ac:dyDescent="0.25">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c r="AA568" s="4"/>
      <c r="AB568" s="4"/>
    </row>
    <row r="569" ht="13.5" customHeight="1" spans="1:28" x14ac:dyDescent="0.25">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c r="AA569" s="4"/>
      <c r="AB569" s="4"/>
    </row>
    <row r="570" ht="13.5" customHeight="1" spans="1:28" x14ac:dyDescent="0.25">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c r="AA570" s="4"/>
      <c r="AB570" s="4"/>
    </row>
    <row r="571" ht="13.5" customHeight="1" spans="1:28" x14ac:dyDescent="0.25">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c r="AA571" s="4"/>
      <c r="AB571" s="4"/>
    </row>
    <row r="572" ht="13.5" customHeight="1" spans="1:28" x14ac:dyDescent="0.25">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c r="AA572" s="4"/>
      <c r="AB572" s="4"/>
    </row>
    <row r="573" ht="13.5" customHeight="1" spans="1:28" x14ac:dyDescent="0.25">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c r="AA573" s="4"/>
      <c r="AB573" s="4"/>
    </row>
    <row r="574" ht="13.5" customHeight="1" spans="1:28" x14ac:dyDescent="0.25">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c r="AA574" s="4"/>
      <c r="AB574" s="4"/>
    </row>
    <row r="575" ht="13.5" customHeight="1" spans="1:28" x14ac:dyDescent="0.2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c r="AA575" s="4"/>
      <c r="AB575" s="4"/>
    </row>
    <row r="576" ht="13.5" customHeight="1" spans="1:28" x14ac:dyDescent="0.25">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c r="AA576" s="4"/>
      <c r="AB576" s="4"/>
    </row>
    <row r="577" ht="13.5" customHeight="1" spans="1:28" x14ac:dyDescent="0.25">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c r="AA577" s="4"/>
      <c r="AB577" s="4"/>
    </row>
    <row r="578" ht="13.5" customHeight="1" spans="1:28" x14ac:dyDescent="0.25">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c r="AA578" s="4"/>
      <c r="AB578" s="4"/>
    </row>
    <row r="579" ht="13.5" customHeight="1" spans="1:28" x14ac:dyDescent="0.25">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c r="AA579" s="4"/>
      <c r="AB579" s="4"/>
    </row>
    <row r="580" ht="13.5" customHeight="1" spans="1:28" x14ac:dyDescent="0.25">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c r="AA580" s="4"/>
      <c r="AB580" s="4"/>
    </row>
    <row r="581" ht="13.5" customHeight="1" spans="1:28" x14ac:dyDescent="0.25">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c r="AA581" s="4"/>
      <c r="AB581" s="4"/>
    </row>
    <row r="582" ht="13.5" customHeight="1" spans="1:28" x14ac:dyDescent="0.25">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c r="AA582" s="4"/>
      <c r="AB582" s="4"/>
    </row>
    <row r="583" ht="13.5" customHeight="1" spans="1:28" x14ac:dyDescent="0.25">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c r="AA583" s="4"/>
      <c r="AB583" s="4"/>
    </row>
    <row r="584" ht="13.5" customHeight="1" spans="1:28" x14ac:dyDescent="0.25">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c r="AA584" s="4"/>
      <c r="AB584" s="4"/>
    </row>
    <row r="585" ht="13.5" customHeight="1" spans="1:28" x14ac:dyDescent="0.2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c r="AA585" s="4"/>
      <c r="AB585" s="4"/>
    </row>
    <row r="586" ht="13.5" customHeight="1" spans="1:28" x14ac:dyDescent="0.25">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c r="AA586" s="4"/>
      <c r="AB586" s="4"/>
    </row>
    <row r="587" ht="13.5" customHeight="1" spans="1:28" x14ac:dyDescent="0.25">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c r="AA587" s="4"/>
      <c r="AB587" s="4"/>
    </row>
    <row r="588" ht="13.5" customHeight="1" spans="1:28" x14ac:dyDescent="0.25">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c r="AA588" s="4"/>
      <c r="AB588" s="4"/>
    </row>
    <row r="589" ht="13.5" customHeight="1" spans="1:28" x14ac:dyDescent="0.25">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c r="AA589" s="4"/>
      <c r="AB589" s="4"/>
    </row>
    <row r="590" ht="13.5" customHeight="1" spans="1:28" x14ac:dyDescent="0.25">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c r="AA590" s="4"/>
      <c r="AB590" s="4"/>
    </row>
    <row r="591" ht="13.5" customHeight="1" spans="1:28" x14ac:dyDescent="0.25">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c r="AA591" s="4"/>
      <c r="AB591" s="4"/>
    </row>
    <row r="592" ht="13.5" customHeight="1" spans="1:28" x14ac:dyDescent="0.25">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c r="AA592" s="4"/>
      <c r="AB592" s="4"/>
    </row>
    <row r="593" ht="13.5" customHeight="1" spans="1:28" x14ac:dyDescent="0.25">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c r="AA593" s="4"/>
      <c r="AB593" s="4"/>
    </row>
    <row r="594" ht="13.5" customHeight="1" spans="1:28" x14ac:dyDescent="0.25">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c r="AA594" s="4"/>
      <c r="AB594" s="4"/>
    </row>
    <row r="595" ht="13.5" customHeight="1" spans="1:28" x14ac:dyDescent="0.2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c r="AA595" s="4"/>
      <c r="AB595" s="4"/>
    </row>
    <row r="596" ht="13.5" customHeight="1" spans="1:28" x14ac:dyDescent="0.25">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c r="AA596" s="4"/>
      <c r="AB596" s="4"/>
    </row>
    <row r="597" ht="13.5" customHeight="1" spans="1:28" x14ac:dyDescent="0.25">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c r="AA597" s="4"/>
      <c r="AB597" s="4"/>
    </row>
    <row r="598" ht="13.5" customHeight="1" spans="1:28" x14ac:dyDescent="0.25">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c r="AA598" s="4"/>
      <c r="AB598" s="4"/>
    </row>
    <row r="599" ht="13.5" customHeight="1" spans="1:28" x14ac:dyDescent="0.25">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c r="AA599" s="4"/>
      <c r="AB599" s="4"/>
    </row>
    <row r="600" ht="13.5" customHeight="1" spans="1:28" x14ac:dyDescent="0.25">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c r="AA600" s="4"/>
      <c r="AB600" s="4"/>
    </row>
    <row r="601" ht="13.5" customHeight="1" spans="1:28" x14ac:dyDescent="0.25">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c r="AA601" s="4"/>
      <c r="AB601" s="4"/>
    </row>
    <row r="602" ht="13.5" customHeight="1" spans="1:28" x14ac:dyDescent="0.25">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c r="AA602" s="4"/>
      <c r="AB602" s="4"/>
    </row>
    <row r="603" ht="13.5" customHeight="1" spans="1:28" x14ac:dyDescent="0.25">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c r="AA603" s="4"/>
      <c r="AB603" s="4"/>
    </row>
    <row r="604" ht="13.5" customHeight="1" spans="1:28" x14ac:dyDescent="0.25">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c r="AA604" s="4"/>
      <c r="AB604" s="4"/>
    </row>
    <row r="605" ht="13.5" customHeight="1" spans="1:28" x14ac:dyDescent="0.2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c r="AA605" s="4"/>
      <c r="AB605" s="4"/>
    </row>
    <row r="606" ht="13.5" customHeight="1" spans="1:28" x14ac:dyDescent="0.25">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c r="AA606" s="4"/>
      <c r="AB606" s="4"/>
    </row>
    <row r="607" ht="13.5" customHeight="1" spans="1:28" x14ac:dyDescent="0.25">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c r="AA607" s="4"/>
      <c r="AB607" s="4"/>
    </row>
    <row r="608" ht="13.5" customHeight="1" spans="1:28" x14ac:dyDescent="0.25">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c r="AA608" s="4"/>
      <c r="AB608" s="4"/>
    </row>
    <row r="609" ht="13.5" customHeight="1" spans="1:28" x14ac:dyDescent="0.25">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c r="AA609" s="4"/>
      <c r="AB609" s="4"/>
    </row>
    <row r="610" ht="13.5" customHeight="1" spans="1:28" x14ac:dyDescent="0.25">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c r="AA610" s="4"/>
      <c r="AB610" s="4"/>
    </row>
    <row r="611" ht="13.5" customHeight="1" spans="1:28" x14ac:dyDescent="0.25">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c r="AA611" s="4"/>
      <c r="AB611" s="4"/>
    </row>
    <row r="612" ht="13.5" customHeight="1" spans="1:28" x14ac:dyDescent="0.25">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c r="AA612" s="4"/>
      <c r="AB612" s="4"/>
    </row>
    <row r="613" ht="13.5" customHeight="1" spans="1:28" x14ac:dyDescent="0.25">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c r="AA613" s="4"/>
      <c r="AB613" s="4"/>
    </row>
    <row r="614" ht="13.5" customHeight="1" spans="1:28" x14ac:dyDescent="0.25">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c r="AA614" s="4"/>
      <c r="AB614" s="4"/>
    </row>
    <row r="615" ht="13.5" customHeight="1" spans="1:28" x14ac:dyDescent="0.2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c r="AA615" s="4"/>
      <c r="AB615" s="4"/>
    </row>
    <row r="616" ht="13.5" customHeight="1" spans="1:28" x14ac:dyDescent="0.25">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c r="AA616" s="4"/>
      <c r="AB616" s="4"/>
    </row>
    <row r="617" ht="13.5" customHeight="1" spans="1:28" x14ac:dyDescent="0.25">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c r="AA617" s="4"/>
      <c r="AB617" s="4"/>
    </row>
    <row r="618" ht="13.5" customHeight="1" spans="1:28" x14ac:dyDescent="0.25">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c r="AA618" s="4"/>
      <c r="AB618" s="4"/>
    </row>
    <row r="619" ht="13.5" customHeight="1" spans="1:28" x14ac:dyDescent="0.25">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c r="AA619" s="4"/>
      <c r="AB619" s="4"/>
    </row>
    <row r="620" ht="13.5" customHeight="1" spans="1:28" x14ac:dyDescent="0.25">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c r="AA620" s="4"/>
      <c r="AB620" s="4"/>
    </row>
    <row r="621" ht="13.5" customHeight="1" spans="1:28" x14ac:dyDescent="0.25">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c r="AA621" s="4"/>
      <c r="AB621" s="4"/>
    </row>
    <row r="622" ht="13.5" customHeight="1" spans="1:28" x14ac:dyDescent="0.25">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c r="AA622" s="4"/>
      <c r="AB622" s="4"/>
    </row>
    <row r="623" ht="13.5" customHeight="1" spans="1:28" x14ac:dyDescent="0.25">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c r="AA623" s="4"/>
      <c r="AB623" s="4"/>
    </row>
    <row r="624" ht="13.5" customHeight="1" spans="1:28" x14ac:dyDescent="0.25">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c r="AA624" s="4"/>
      <c r="AB624" s="4"/>
    </row>
    <row r="625" ht="13.5" customHeight="1" spans="1:28" x14ac:dyDescent="0.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c r="AA625" s="4"/>
      <c r="AB625" s="4"/>
    </row>
    <row r="626" ht="13.5" customHeight="1" spans="1:28" x14ac:dyDescent="0.25">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c r="AA626" s="4"/>
      <c r="AB626" s="4"/>
    </row>
    <row r="627" ht="13.5" customHeight="1" spans="1:28" x14ac:dyDescent="0.25">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c r="AA627" s="4"/>
      <c r="AB627" s="4"/>
    </row>
    <row r="628" ht="13.5" customHeight="1" spans="1:28" x14ac:dyDescent="0.25">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c r="AA628" s="4"/>
      <c r="AB628" s="4"/>
    </row>
    <row r="629" ht="13.5" customHeight="1" spans="1:28" x14ac:dyDescent="0.25">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c r="AA629" s="4"/>
      <c r="AB629" s="4"/>
    </row>
    <row r="630" ht="13.5" customHeight="1" spans="1:28" x14ac:dyDescent="0.25">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c r="AA630" s="4"/>
      <c r="AB630" s="4"/>
    </row>
    <row r="631" ht="13.5" customHeight="1" spans="1:28" x14ac:dyDescent="0.25">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c r="AA631" s="4"/>
      <c r="AB631" s="4"/>
    </row>
    <row r="632" ht="13.5" customHeight="1" spans="1:28" x14ac:dyDescent="0.25">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c r="AA632" s="4"/>
      <c r="AB632" s="4"/>
    </row>
    <row r="633" ht="13.5" customHeight="1" spans="1:28" x14ac:dyDescent="0.25">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c r="AA633" s="4"/>
      <c r="AB633" s="4"/>
    </row>
    <row r="634" ht="13.5" customHeight="1" spans="1:28" x14ac:dyDescent="0.25">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c r="AA634" s="4"/>
      <c r="AB634" s="4"/>
    </row>
    <row r="635" ht="13.5" customHeight="1" spans="1:28" x14ac:dyDescent="0.2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c r="AA635" s="4"/>
      <c r="AB635" s="4"/>
    </row>
    <row r="636" ht="13.5" customHeight="1" spans="1:28" x14ac:dyDescent="0.25">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c r="AA636" s="4"/>
      <c r="AB636" s="4"/>
    </row>
    <row r="637" ht="13.5" customHeight="1" spans="1:28" x14ac:dyDescent="0.25">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c r="AA637" s="4"/>
      <c r="AB637" s="4"/>
    </row>
    <row r="638" ht="13.5" customHeight="1" spans="1:28" x14ac:dyDescent="0.25">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c r="AA638" s="4"/>
      <c r="AB638" s="4"/>
    </row>
    <row r="639" ht="13.5" customHeight="1" spans="1:28" x14ac:dyDescent="0.25">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c r="AA639" s="4"/>
      <c r="AB639" s="4"/>
    </row>
    <row r="640" ht="13.5" customHeight="1" spans="1:28" x14ac:dyDescent="0.25">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c r="AA640" s="4"/>
      <c r="AB640" s="4"/>
    </row>
    <row r="641" ht="13.5" customHeight="1" spans="1:28" x14ac:dyDescent="0.25">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c r="AA641" s="4"/>
      <c r="AB641" s="4"/>
    </row>
    <row r="642" ht="13.5" customHeight="1" spans="1:28" x14ac:dyDescent="0.25">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c r="AA642" s="4"/>
      <c r="AB642" s="4"/>
    </row>
    <row r="643" ht="13.5" customHeight="1" spans="1:28" x14ac:dyDescent="0.25">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c r="AA643" s="4"/>
      <c r="AB643" s="4"/>
    </row>
    <row r="644" ht="13.5" customHeight="1" spans="1:28" x14ac:dyDescent="0.25">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c r="AA644" s="4"/>
      <c r="AB644" s="4"/>
    </row>
    <row r="645" ht="13.5" customHeight="1" spans="1:28" x14ac:dyDescent="0.2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c r="AA645" s="4"/>
      <c r="AB645" s="4"/>
    </row>
    <row r="646" ht="13.5" customHeight="1" spans="1:28" x14ac:dyDescent="0.25">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c r="AA646" s="4"/>
      <c r="AB646" s="4"/>
    </row>
    <row r="647" ht="13.5" customHeight="1" spans="1:28" x14ac:dyDescent="0.25">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c r="AA647" s="4"/>
      <c r="AB647" s="4"/>
    </row>
    <row r="648" ht="13.5" customHeight="1" spans="1:28" x14ac:dyDescent="0.25">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c r="AA648" s="4"/>
      <c r="AB648" s="4"/>
    </row>
    <row r="649" ht="13.5" customHeight="1" spans="1:28" x14ac:dyDescent="0.25">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c r="AA649" s="4"/>
      <c r="AB649" s="4"/>
    </row>
    <row r="650" ht="13.5" customHeight="1" spans="1:28" x14ac:dyDescent="0.25">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c r="AA650" s="4"/>
      <c r="AB650" s="4"/>
    </row>
    <row r="651" ht="13.5" customHeight="1" spans="1:28" x14ac:dyDescent="0.25">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c r="AA651" s="4"/>
      <c r="AB651" s="4"/>
    </row>
    <row r="652" ht="13.5" customHeight="1" spans="1:28" x14ac:dyDescent="0.25">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c r="AA652" s="4"/>
      <c r="AB652" s="4"/>
    </row>
    <row r="653" ht="13.5" customHeight="1" spans="1:28" x14ac:dyDescent="0.25">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c r="AA653" s="4"/>
      <c r="AB653" s="4"/>
    </row>
    <row r="654" ht="13.5" customHeight="1" spans="1:28" x14ac:dyDescent="0.25">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c r="AA654" s="4"/>
      <c r="AB654" s="4"/>
    </row>
    <row r="655" ht="13.5" customHeight="1" spans="1:28" x14ac:dyDescent="0.2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c r="AA655" s="4"/>
      <c r="AB655" s="4"/>
    </row>
    <row r="656" ht="13.5" customHeight="1" spans="1:28" x14ac:dyDescent="0.25">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c r="AA656" s="4"/>
      <c r="AB656" s="4"/>
    </row>
    <row r="657" ht="13.5" customHeight="1" spans="1:28" x14ac:dyDescent="0.25">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c r="AA657" s="4"/>
      <c r="AB657" s="4"/>
    </row>
    <row r="658" ht="13.5" customHeight="1" spans="1:28" x14ac:dyDescent="0.25">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c r="AA658" s="4"/>
      <c r="AB658" s="4"/>
    </row>
    <row r="659" ht="13.5" customHeight="1" spans="1:28" x14ac:dyDescent="0.25">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c r="AA659" s="4"/>
      <c r="AB659" s="4"/>
    </row>
    <row r="660" ht="13.5" customHeight="1" spans="1:28" x14ac:dyDescent="0.25">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c r="AA660" s="4"/>
      <c r="AB660" s="4"/>
    </row>
    <row r="661" ht="13.5" customHeight="1" spans="1:28" x14ac:dyDescent="0.25">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c r="AA661" s="4"/>
      <c r="AB661" s="4"/>
    </row>
    <row r="662" ht="13.5" customHeight="1" spans="1:28" x14ac:dyDescent="0.25">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c r="AA662" s="4"/>
      <c r="AB662" s="4"/>
    </row>
    <row r="663" ht="13.5" customHeight="1" spans="1:28" x14ac:dyDescent="0.25">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c r="AA663" s="4"/>
      <c r="AB663" s="4"/>
    </row>
    <row r="664" ht="13.5" customHeight="1" spans="1:28" x14ac:dyDescent="0.25">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c r="AA664" s="4"/>
      <c r="AB664" s="4"/>
    </row>
    <row r="665" ht="13.5" customHeight="1" spans="1:28" x14ac:dyDescent="0.2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c r="AA665" s="4"/>
      <c r="AB665" s="4"/>
    </row>
    <row r="666" ht="13.5" customHeight="1" spans="1:28" x14ac:dyDescent="0.25">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c r="AA666" s="4"/>
      <c r="AB666" s="4"/>
    </row>
    <row r="667" ht="13.5" customHeight="1" spans="1:28" x14ac:dyDescent="0.25">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c r="AA667" s="4"/>
      <c r="AB667" s="4"/>
    </row>
    <row r="668" ht="13.5" customHeight="1" spans="1:28" x14ac:dyDescent="0.25">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c r="AA668" s="4"/>
      <c r="AB668" s="4"/>
    </row>
    <row r="669" ht="13.5" customHeight="1" spans="1:28" x14ac:dyDescent="0.25">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c r="AA669" s="4"/>
      <c r="AB669" s="4"/>
    </row>
    <row r="670" ht="13.5" customHeight="1" spans="1:28" x14ac:dyDescent="0.25">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c r="AA670" s="4"/>
      <c r="AB670" s="4"/>
    </row>
    <row r="671" ht="13.5" customHeight="1" spans="1:28" x14ac:dyDescent="0.25">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c r="AA671" s="4"/>
      <c r="AB671" s="4"/>
    </row>
    <row r="672" ht="13.5" customHeight="1" spans="1:28" x14ac:dyDescent="0.25">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c r="AA672" s="4"/>
      <c r="AB672" s="4"/>
    </row>
    <row r="673" ht="13.5" customHeight="1" spans="1:28" x14ac:dyDescent="0.25">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c r="AA673" s="4"/>
      <c r="AB673" s="4"/>
    </row>
    <row r="674" ht="13.5" customHeight="1" spans="1:28" x14ac:dyDescent="0.25">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c r="AA674" s="4"/>
      <c r="AB674" s="4"/>
    </row>
    <row r="675" ht="13.5" customHeight="1" spans="1:28" x14ac:dyDescent="0.2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c r="AA675" s="4"/>
      <c r="AB675" s="4"/>
    </row>
    <row r="676" ht="13.5" customHeight="1" spans="1:28" x14ac:dyDescent="0.25">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c r="AA676" s="4"/>
      <c r="AB676" s="4"/>
    </row>
    <row r="677" ht="13.5" customHeight="1" spans="1:28" x14ac:dyDescent="0.25">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c r="AA677" s="4"/>
      <c r="AB677" s="4"/>
    </row>
    <row r="678" ht="13.5" customHeight="1" spans="1:28" x14ac:dyDescent="0.25">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c r="AA678" s="4"/>
      <c r="AB678" s="4"/>
    </row>
    <row r="679" ht="13.5" customHeight="1" spans="1:28" x14ac:dyDescent="0.25">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c r="AA679" s="4"/>
      <c r="AB679" s="4"/>
    </row>
    <row r="680" ht="13.5" customHeight="1" spans="1:28" x14ac:dyDescent="0.25">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c r="AA680" s="4"/>
      <c r="AB680" s="4"/>
    </row>
    <row r="681" ht="13.5" customHeight="1" spans="1:28" x14ac:dyDescent="0.25">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c r="AA681" s="4"/>
      <c r="AB681" s="4"/>
    </row>
    <row r="682" ht="13.5" customHeight="1" spans="1:28" x14ac:dyDescent="0.25">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c r="AA682" s="4"/>
      <c r="AB682" s="4"/>
    </row>
    <row r="683" ht="13.5" customHeight="1" spans="1:28" x14ac:dyDescent="0.25">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c r="AA683" s="4"/>
      <c r="AB683" s="4"/>
    </row>
    <row r="684" ht="13.5" customHeight="1" spans="1:28" x14ac:dyDescent="0.25">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c r="AA684" s="4"/>
      <c r="AB684" s="4"/>
    </row>
    <row r="685" ht="13.5" customHeight="1" spans="1:28" x14ac:dyDescent="0.2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c r="AA685" s="4"/>
      <c r="AB685" s="4"/>
    </row>
    <row r="686" ht="13.5" customHeight="1" spans="1:28" x14ac:dyDescent="0.25">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c r="AA686" s="4"/>
      <c r="AB686" s="4"/>
    </row>
    <row r="687" ht="13.5" customHeight="1" spans="1:28" x14ac:dyDescent="0.25">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c r="AA687" s="4"/>
      <c r="AB687" s="4"/>
    </row>
    <row r="688" ht="13.5" customHeight="1" spans="1:28" x14ac:dyDescent="0.25">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c r="AA688" s="4"/>
      <c r="AB688" s="4"/>
    </row>
    <row r="689" ht="13.5" customHeight="1" spans="1:28" x14ac:dyDescent="0.25">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c r="AA689" s="4"/>
      <c r="AB689" s="4"/>
    </row>
    <row r="690" ht="13.5" customHeight="1" spans="1:28" x14ac:dyDescent="0.25">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c r="AA690" s="4"/>
      <c r="AB690" s="4"/>
    </row>
    <row r="691" ht="13.5" customHeight="1" spans="1:28" x14ac:dyDescent="0.25">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c r="AA691" s="4"/>
      <c r="AB691" s="4"/>
    </row>
    <row r="692" ht="13.5" customHeight="1" spans="1:28" x14ac:dyDescent="0.25">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c r="AA692" s="4"/>
      <c r="AB692" s="4"/>
    </row>
    <row r="693" ht="13.5" customHeight="1" spans="1:28" x14ac:dyDescent="0.25">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c r="AA693" s="4"/>
      <c r="AB693" s="4"/>
    </row>
    <row r="694" ht="13.5" customHeight="1" spans="1:28" x14ac:dyDescent="0.25">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c r="AA694" s="4"/>
      <c r="AB694" s="4"/>
    </row>
    <row r="695" ht="13.5" customHeight="1" spans="1:28" x14ac:dyDescent="0.2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c r="AA695" s="4"/>
      <c r="AB695" s="4"/>
    </row>
    <row r="696" ht="13.5" customHeight="1" spans="1:28" x14ac:dyDescent="0.25">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c r="AA696" s="4"/>
      <c r="AB696" s="4"/>
    </row>
    <row r="697" ht="13.5" customHeight="1" spans="1:28" x14ac:dyDescent="0.25">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c r="AA697" s="4"/>
      <c r="AB697" s="4"/>
    </row>
    <row r="698" ht="13.5" customHeight="1" spans="1:28" x14ac:dyDescent="0.25">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c r="AA698" s="4"/>
      <c r="AB698" s="4"/>
    </row>
    <row r="699" ht="13.5" customHeight="1" spans="1:28" x14ac:dyDescent="0.25">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c r="AA699" s="4"/>
      <c r="AB699" s="4"/>
    </row>
    <row r="700" ht="13.5" customHeight="1" spans="1:28" x14ac:dyDescent="0.25">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c r="AA700" s="4"/>
      <c r="AB700" s="4"/>
    </row>
    <row r="701" ht="13.5" customHeight="1" spans="1:28" x14ac:dyDescent="0.25">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c r="AA701" s="4"/>
      <c r="AB701" s="4"/>
    </row>
    <row r="702" ht="13.5" customHeight="1" spans="1:28" x14ac:dyDescent="0.25">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c r="AA702" s="4"/>
      <c r="AB702" s="4"/>
    </row>
    <row r="703" ht="13.5" customHeight="1" spans="1:28" x14ac:dyDescent="0.25">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c r="AA703" s="4"/>
      <c r="AB703" s="4"/>
    </row>
    <row r="704" ht="13.5" customHeight="1" spans="1:28" x14ac:dyDescent="0.25">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c r="AA704" s="4"/>
      <c r="AB704" s="4"/>
    </row>
    <row r="705" ht="13.5" customHeight="1" spans="1:28" x14ac:dyDescent="0.2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c r="AA705" s="4"/>
      <c r="AB705" s="4"/>
    </row>
    <row r="706" ht="13.5" customHeight="1" spans="1:28" x14ac:dyDescent="0.25">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c r="AA706" s="4"/>
      <c r="AB706" s="4"/>
    </row>
    <row r="707" ht="13.5" customHeight="1" spans="1:28" x14ac:dyDescent="0.25">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c r="AA707" s="4"/>
      <c r="AB707" s="4"/>
    </row>
    <row r="708" ht="13.5" customHeight="1" spans="1:28" x14ac:dyDescent="0.25">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c r="AA708" s="4"/>
      <c r="AB708" s="4"/>
    </row>
    <row r="709" ht="13.5" customHeight="1" spans="1:28" x14ac:dyDescent="0.25">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c r="AA709" s="4"/>
      <c r="AB709" s="4"/>
    </row>
    <row r="710" ht="13.5" customHeight="1" spans="1:28" x14ac:dyDescent="0.25">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c r="AA710" s="4"/>
      <c r="AB710" s="4"/>
    </row>
    <row r="711" ht="13.5" customHeight="1" spans="1:28" x14ac:dyDescent="0.25">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c r="AA711" s="4"/>
      <c r="AB711" s="4"/>
    </row>
    <row r="712" ht="13.5" customHeight="1" spans="1:28" x14ac:dyDescent="0.25">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c r="AA712" s="4"/>
      <c r="AB712" s="4"/>
    </row>
    <row r="713" ht="13.5" customHeight="1" spans="1:28" x14ac:dyDescent="0.25">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c r="AA713" s="4"/>
      <c r="AB713" s="4"/>
    </row>
    <row r="714" ht="13.5" customHeight="1" spans="1:28" x14ac:dyDescent="0.25">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c r="AA714" s="4"/>
      <c r="AB714" s="4"/>
    </row>
    <row r="715" ht="13.5" customHeight="1" spans="1:28" x14ac:dyDescent="0.2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c r="AA715" s="4"/>
      <c r="AB715" s="4"/>
    </row>
    <row r="716" ht="13.5" customHeight="1" spans="1:28" x14ac:dyDescent="0.25">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c r="AA716" s="4"/>
      <c r="AB716" s="4"/>
    </row>
    <row r="717" ht="13.5" customHeight="1" spans="1:28" x14ac:dyDescent="0.25">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c r="AA717" s="4"/>
      <c r="AB717" s="4"/>
    </row>
    <row r="718" ht="13.5" customHeight="1" spans="1:28" x14ac:dyDescent="0.25">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c r="AA718" s="4"/>
      <c r="AB718" s="4"/>
    </row>
    <row r="719" ht="13.5" customHeight="1" spans="1:28" x14ac:dyDescent="0.25">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c r="AA719" s="4"/>
      <c r="AB719" s="4"/>
    </row>
    <row r="720" ht="13.5" customHeight="1" spans="1:28" x14ac:dyDescent="0.25">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c r="AA720" s="4"/>
      <c r="AB720" s="4"/>
    </row>
    <row r="721" ht="13.5" customHeight="1" spans="1:28" x14ac:dyDescent="0.25">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c r="AA721" s="4"/>
      <c r="AB721" s="4"/>
    </row>
    <row r="722" ht="13.5" customHeight="1" spans="1:28" x14ac:dyDescent="0.25">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c r="AA722" s="4"/>
      <c r="AB722" s="4"/>
    </row>
    <row r="723" ht="13.5" customHeight="1" spans="1:28" x14ac:dyDescent="0.25">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c r="AA723" s="4"/>
      <c r="AB723" s="4"/>
    </row>
    <row r="724" ht="13.5" customHeight="1" spans="1:28" x14ac:dyDescent="0.25">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c r="AA724" s="4"/>
      <c r="AB724" s="4"/>
    </row>
    <row r="725" ht="13.5" customHeight="1" spans="1:28" x14ac:dyDescent="0.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c r="AA725" s="4"/>
      <c r="AB725" s="4"/>
    </row>
    <row r="726" ht="13.5" customHeight="1" spans="1:28" x14ac:dyDescent="0.25">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c r="AA726" s="4"/>
      <c r="AB726" s="4"/>
    </row>
    <row r="727" ht="13.5" customHeight="1" spans="1:28" x14ac:dyDescent="0.25">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c r="AA727" s="4"/>
      <c r="AB727" s="4"/>
    </row>
    <row r="728" ht="13.5" customHeight="1" spans="1:28" x14ac:dyDescent="0.25">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c r="AA728" s="4"/>
      <c r="AB728" s="4"/>
    </row>
    <row r="729" ht="13.5" customHeight="1" spans="1:28" x14ac:dyDescent="0.25">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c r="AA729" s="4"/>
      <c r="AB729" s="4"/>
    </row>
    <row r="730" ht="13.5" customHeight="1" spans="1:28" x14ac:dyDescent="0.25">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c r="AA730" s="4"/>
      <c r="AB730" s="4"/>
    </row>
    <row r="731" ht="13.5" customHeight="1" spans="1:28" x14ac:dyDescent="0.25">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c r="AA731" s="4"/>
      <c r="AB731" s="4"/>
    </row>
    <row r="732" ht="13.5" customHeight="1" spans="1:28" x14ac:dyDescent="0.25">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c r="AA732" s="4"/>
      <c r="AB732" s="4"/>
    </row>
    <row r="733" ht="13.5" customHeight="1" spans="1:28" x14ac:dyDescent="0.25">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c r="AA733" s="4"/>
      <c r="AB733" s="4"/>
    </row>
    <row r="734" ht="13.5" customHeight="1" spans="1:28" x14ac:dyDescent="0.25">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c r="AA734" s="4"/>
      <c r="AB734" s="4"/>
    </row>
    <row r="735" ht="13.5" customHeight="1" spans="1:28" x14ac:dyDescent="0.2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c r="AA735" s="4"/>
      <c r="AB735" s="4"/>
    </row>
    <row r="736" ht="13.5" customHeight="1" spans="1:28" x14ac:dyDescent="0.25">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c r="AA736" s="4"/>
      <c r="AB736" s="4"/>
    </row>
    <row r="737" ht="13.5" customHeight="1" spans="1:28" x14ac:dyDescent="0.25">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c r="AA737" s="4"/>
      <c r="AB737" s="4"/>
    </row>
    <row r="738" ht="13.5" customHeight="1" spans="1:28" x14ac:dyDescent="0.25">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c r="AA738" s="4"/>
      <c r="AB738" s="4"/>
    </row>
    <row r="739" ht="13.5" customHeight="1" spans="1:28" x14ac:dyDescent="0.25">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c r="AA739" s="4"/>
      <c r="AB739" s="4"/>
    </row>
    <row r="740" ht="13.5" customHeight="1" spans="1:28" x14ac:dyDescent="0.25">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c r="AA740" s="4"/>
      <c r="AB740" s="4"/>
    </row>
    <row r="741" ht="13.5" customHeight="1" spans="1:28" x14ac:dyDescent="0.25">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c r="AA741" s="4"/>
      <c r="AB741" s="4"/>
    </row>
    <row r="742" ht="13.5" customHeight="1" spans="1:28" x14ac:dyDescent="0.25">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c r="AA742" s="4"/>
      <c r="AB742" s="4"/>
    </row>
    <row r="743" ht="13.5" customHeight="1" spans="1:28" x14ac:dyDescent="0.25">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c r="AA743" s="4"/>
      <c r="AB743" s="4"/>
    </row>
    <row r="744" ht="13.5" customHeight="1" spans="1:28" x14ac:dyDescent="0.25">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c r="AA744" s="4"/>
      <c r="AB744" s="4"/>
    </row>
    <row r="745" ht="13.5" customHeight="1" spans="1:28" x14ac:dyDescent="0.2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c r="AA745" s="4"/>
      <c r="AB745" s="4"/>
    </row>
    <row r="746" ht="13.5" customHeight="1" spans="1:28" x14ac:dyDescent="0.25">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c r="AA746" s="4"/>
      <c r="AB746" s="4"/>
    </row>
    <row r="747" ht="13.5" customHeight="1" spans="1:28" x14ac:dyDescent="0.25">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c r="AA747" s="4"/>
      <c r="AB747" s="4"/>
    </row>
    <row r="748" ht="13.5" customHeight="1" spans="1:28" x14ac:dyDescent="0.25">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c r="AA748" s="4"/>
      <c r="AB748" s="4"/>
    </row>
    <row r="749" ht="13.5" customHeight="1" spans="1:28" x14ac:dyDescent="0.25">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c r="AA749" s="4"/>
      <c r="AB749" s="4"/>
    </row>
    <row r="750" ht="13.5" customHeight="1" spans="1:28" x14ac:dyDescent="0.25">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c r="AA750" s="4"/>
      <c r="AB750" s="4"/>
    </row>
    <row r="751" ht="13.5" customHeight="1" spans="1:28" x14ac:dyDescent="0.25">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c r="AA751" s="4"/>
      <c r="AB751" s="4"/>
    </row>
    <row r="752" ht="13.5" customHeight="1" spans="1:28" x14ac:dyDescent="0.25">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c r="AA752" s="4"/>
      <c r="AB752" s="4"/>
    </row>
    <row r="753" ht="13.5" customHeight="1" spans="1:28" x14ac:dyDescent="0.25">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c r="AA753" s="4"/>
      <c r="AB753" s="4"/>
    </row>
    <row r="754" ht="13.5" customHeight="1" spans="1:28" x14ac:dyDescent="0.25">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c r="AA754" s="4"/>
      <c r="AB754" s="4"/>
    </row>
    <row r="755" ht="13.5" customHeight="1" spans="1:28" x14ac:dyDescent="0.2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c r="AA755" s="4"/>
      <c r="AB755" s="4"/>
    </row>
    <row r="756" ht="13.5" customHeight="1" spans="1:28" x14ac:dyDescent="0.25">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c r="AA756" s="4"/>
      <c r="AB756" s="4"/>
    </row>
    <row r="757" ht="13.5" customHeight="1" spans="1:28" x14ac:dyDescent="0.25">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c r="AA757" s="4"/>
      <c r="AB757" s="4"/>
    </row>
    <row r="758" ht="13.5" customHeight="1" spans="1:28" x14ac:dyDescent="0.25">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c r="AA758" s="4"/>
      <c r="AB758" s="4"/>
    </row>
    <row r="759" ht="13.5" customHeight="1" spans="1:28" x14ac:dyDescent="0.25">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c r="AA759" s="4"/>
      <c r="AB759" s="4"/>
    </row>
    <row r="760" ht="13.5" customHeight="1" spans="1:28" x14ac:dyDescent="0.25">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c r="AA760" s="4"/>
      <c r="AB760" s="4"/>
    </row>
    <row r="761" ht="13.5" customHeight="1" spans="1:28" x14ac:dyDescent="0.25">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c r="AA761" s="4"/>
      <c r="AB761" s="4"/>
    </row>
    <row r="762" ht="13.5" customHeight="1" spans="1:28" x14ac:dyDescent="0.25">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c r="AA762" s="4"/>
      <c r="AB762" s="4"/>
    </row>
    <row r="763" ht="13.5" customHeight="1" spans="1:28" x14ac:dyDescent="0.25">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c r="AA763" s="4"/>
      <c r="AB763" s="4"/>
    </row>
    <row r="764" ht="13.5" customHeight="1" spans="1:28" x14ac:dyDescent="0.25">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c r="AA764" s="4"/>
      <c r="AB764" s="4"/>
    </row>
    <row r="765" ht="13.5" customHeight="1" spans="1:28" x14ac:dyDescent="0.2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c r="AA765" s="4"/>
      <c r="AB765" s="4"/>
    </row>
    <row r="766" ht="13.5" customHeight="1" spans="1:28" x14ac:dyDescent="0.25">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c r="AA766" s="4"/>
      <c r="AB766" s="4"/>
    </row>
    <row r="767" ht="13.5" customHeight="1" spans="1:28" x14ac:dyDescent="0.25">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c r="AA767" s="4"/>
      <c r="AB767" s="4"/>
    </row>
    <row r="768" ht="13.5" customHeight="1" spans="1:28" x14ac:dyDescent="0.25">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c r="AA768" s="4"/>
      <c r="AB768" s="4"/>
    </row>
    <row r="769" ht="13.5" customHeight="1" spans="1:28" x14ac:dyDescent="0.25">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c r="AA769" s="4"/>
      <c r="AB769" s="4"/>
    </row>
    <row r="770" ht="13.5" customHeight="1" spans="1:28" x14ac:dyDescent="0.25">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c r="AA770" s="4"/>
      <c r="AB770" s="4"/>
    </row>
    <row r="771" ht="13.5" customHeight="1" spans="1:28" x14ac:dyDescent="0.25">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c r="AA771" s="4"/>
      <c r="AB771" s="4"/>
    </row>
    <row r="772" ht="13.5" customHeight="1" spans="1:28" x14ac:dyDescent="0.25">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c r="AA772" s="4"/>
      <c r="AB772" s="4"/>
    </row>
    <row r="773" ht="13.5" customHeight="1" spans="1:28" x14ac:dyDescent="0.25">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c r="AA773" s="4"/>
      <c r="AB773" s="4"/>
    </row>
    <row r="774" ht="13.5" customHeight="1" spans="1:28" x14ac:dyDescent="0.25">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c r="AA774" s="4"/>
      <c r="AB774" s="4"/>
    </row>
    <row r="775" ht="13.5" customHeight="1" spans="1:28" x14ac:dyDescent="0.2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c r="AA775" s="4"/>
      <c r="AB775" s="4"/>
    </row>
    <row r="776" ht="13.5" customHeight="1" spans="1:28" x14ac:dyDescent="0.25">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c r="AA776" s="4"/>
      <c r="AB776" s="4"/>
    </row>
    <row r="777" ht="13.5" customHeight="1" spans="1:28" x14ac:dyDescent="0.25">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c r="AA777" s="4"/>
      <c r="AB777" s="4"/>
    </row>
    <row r="778" ht="13.5" customHeight="1" spans="1:28" x14ac:dyDescent="0.25">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c r="AA778" s="4"/>
      <c r="AB778" s="4"/>
    </row>
    <row r="779" ht="13.5" customHeight="1" spans="1:28" x14ac:dyDescent="0.25">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c r="AA779" s="4"/>
      <c r="AB779" s="4"/>
    </row>
    <row r="780" ht="13.5" customHeight="1" spans="1:28" x14ac:dyDescent="0.25">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c r="AA780" s="4"/>
      <c r="AB780" s="4"/>
    </row>
    <row r="781" ht="13.5" customHeight="1" spans="1:28" x14ac:dyDescent="0.25">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c r="AA781" s="4"/>
      <c r="AB781" s="4"/>
    </row>
    <row r="782" ht="13.5" customHeight="1" spans="1:28" x14ac:dyDescent="0.25">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c r="AA782" s="4"/>
      <c r="AB782" s="4"/>
    </row>
    <row r="783" ht="13.5" customHeight="1" spans="1:28" x14ac:dyDescent="0.25">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c r="AA783" s="4"/>
      <c r="AB783" s="4"/>
    </row>
    <row r="784" ht="13.5" customHeight="1" spans="1:28" x14ac:dyDescent="0.25">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c r="AA784" s="4"/>
      <c r="AB784" s="4"/>
    </row>
    <row r="785" ht="13.5" customHeight="1" spans="1:28" x14ac:dyDescent="0.2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c r="AA785" s="4"/>
      <c r="AB785" s="4"/>
    </row>
    <row r="786" ht="13.5" customHeight="1" spans="1:28" x14ac:dyDescent="0.25">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c r="AA786" s="4"/>
      <c r="AB786" s="4"/>
    </row>
    <row r="787" ht="13.5" customHeight="1" spans="1:28" x14ac:dyDescent="0.25">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c r="AA787" s="4"/>
      <c r="AB787" s="4"/>
    </row>
    <row r="788" ht="13.5" customHeight="1" spans="1:28" x14ac:dyDescent="0.25">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c r="AA788" s="4"/>
      <c r="AB788" s="4"/>
    </row>
    <row r="789" ht="13.5" customHeight="1" spans="1:28" x14ac:dyDescent="0.25">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c r="AA789" s="4"/>
      <c r="AB789" s="4"/>
    </row>
    <row r="790" ht="13.5" customHeight="1" spans="1:28" x14ac:dyDescent="0.25">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c r="AA790" s="4"/>
      <c r="AB790" s="4"/>
    </row>
    <row r="791" ht="13.5" customHeight="1" spans="1:28" x14ac:dyDescent="0.25">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c r="AA791" s="4"/>
      <c r="AB791" s="4"/>
    </row>
    <row r="792" ht="13.5" customHeight="1" spans="1:28" x14ac:dyDescent="0.25">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c r="AA792" s="4"/>
      <c r="AB792" s="4"/>
    </row>
    <row r="793" ht="13.5" customHeight="1" spans="1:28" x14ac:dyDescent="0.25">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c r="AA793" s="4"/>
      <c r="AB793" s="4"/>
    </row>
    <row r="794" ht="13.5" customHeight="1" spans="1:28" x14ac:dyDescent="0.25">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c r="AA794" s="4"/>
      <c r="AB794" s="4"/>
    </row>
    <row r="795" ht="13.5" customHeight="1" spans="1:28" x14ac:dyDescent="0.2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c r="AA795" s="4"/>
      <c r="AB795" s="4"/>
    </row>
    <row r="796" ht="13.5" customHeight="1" spans="1:28" x14ac:dyDescent="0.25">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c r="AA796" s="4"/>
      <c r="AB796" s="4"/>
    </row>
    <row r="797" ht="13.5" customHeight="1" spans="1:28" x14ac:dyDescent="0.25">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c r="AA797" s="4"/>
      <c r="AB797" s="4"/>
    </row>
    <row r="798" ht="13.5" customHeight="1" spans="1:28" x14ac:dyDescent="0.25">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c r="AA798" s="4"/>
      <c r="AB798" s="4"/>
    </row>
    <row r="799" ht="13.5" customHeight="1" spans="1:28" x14ac:dyDescent="0.25">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c r="AA799" s="4"/>
      <c r="AB799" s="4"/>
    </row>
    <row r="800" ht="13.5" customHeight="1" spans="1:28" x14ac:dyDescent="0.25">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c r="AA800" s="4"/>
      <c r="AB800" s="4"/>
    </row>
    <row r="801" ht="13.5" customHeight="1" spans="1:28" x14ac:dyDescent="0.25">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c r="AA801" s="4"/>
      <c r="AB801" s="4"/>
    </row>
    <row r="802" ht="13.5" customHeight="1" spans="1:28" x14ac:dyDescent="0.25">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c r="AA802" s="4"/>
      <c r="AB802" s="4"/>
    </row>
    <row r="803" ht="13.5" customHeight="1" spans="1:28" x14ac:dyDescent="0.25">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c r="AA803" s="4"/>
      <c r="AB803" s="4"/>
    </row>
    <row r="804" ht="13.5" customHeight="1" spans="1:28" x14ac:dyDescent="0.25">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c r="AA804" s="4"/>
      <c r="AB804" s="4"/>
    </row>
    <row r="805" ht="13.5" customHeight="1" spans="1:28" x14ac:dyDescent="0.2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c r="AA805" s="4"/>
      <c r="AB805" s="4"/>
    </row>
    <row r="806" ht="13.5" customHeight="1" spans="1:28" x14ac:dyDescent="0.25">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c r="AA806" s="4"/>
      <c r="AB806" s="4"/>
    </row>
    <row r="807" ht="13.5" customHeight="1" spans="1:28" x14ac:dyDescent="0.25">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c r="AA807" s="4"/>
      <c r="AB807" s="4"/>
    </row>
    <row r="808" ht="13.5" customHeight="1" spans="1:28" x14ac:dyDescent="0.25">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c r="AA808" s="4"/>
      <c r="AB808" s="4"/>
    </row>
    <row r="809" ht="13.5" customHeight="1" spans="1:28" x14ac:dyDescent="0.25">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c r="AA809" s="4"/>
      <c r="AB809" s="4"/>
    </row>
    <row r="810" ht="13.5" customHeight="1" spans="1:28" x14ac:dyDescent="0.25">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c r="AA810" s="4"/>
      <c r="AB810" s="4"/>
    </row>
    <row r="811" ht="13.5" customHeight="1" spans="1:28" x14ac:dyDescent="0.25">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c r="AA811" s="4"/>
      <c r="AB811" s="4"/>
    </row>
    <row r="812" ht="13.5" customHeight="1" spans="1:28" x14ac:dyDescent="0.25">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c r="AA812" s="4"/>
      <c r="AB812" s="4"/>
    </row>
    <row r="813" ht="13.5" customHeight="1" spans="1:28" x14ac:dyDescent="0.25">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c r="AA813" s="4"/>
      <c r="AB813" s="4"/>
    </row>
    <row r="814" ht="13.5" customHeight="1" spans="1:28" x14ac:dyDescent="0.25">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c r="AA814" s="4"/>
      <c r="AB814" s="4"/>
    </row>
    <row r="815" ht="13.5" customHeight="1" spans="1:28" x14ac:dyDescent="0.2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c r="AA815" s="4"/>
      <c r="AB815" s="4"/>
    </row>
    <row r="816" ht="13.5" customHeight="1" spans="1:28" x14ac:dyDescent="0.25">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c r="AA816" s="4"/>
      <c r="AB816" s="4"/>
    </row>
    <row r="817" ht="13.5" customHeight="1" spans="1:28" x14ac:dyDescent="0.25">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c r="AA817" s="4"/>
      <c r="AB817" s="4"/>
    </row>
    <row r="818" ht="13.5" customHeight="1" spans="1:28" x14ac:dyDescent="0.25">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c r="AA818" s="4"/>
      <c r="AB818" s="4"/>
    </row>
    <row r="819" ht="13.5" customHeight="1" spans="1:28" x14ac:dyDescent="0.25">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c r="AA819" s="4"/>
      <c r="AB819" s="4"/>
    </row>
    <row r="820" ht="13.5" customHeight="1" spans="1:28" x14ac:dyDescent="0.25">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c r="AA820" s="4"/>
      <c r="AB820" s="4"/>
    </row>
    <row r="821" ht="13.5" customHeight="1" spans="1:28" x14ac:dyDescent="0.25">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c r="AA821" s="4"/>
      <c r="AB821" s="4"/>
    </row>
    <row r="822" ht="13.5" customHeight="1" spans="1:28" x14ac:dyDescent="0.25">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c r="AA822" s="4"/>
      <c r="AB822" s="4"/>
    </row>
    <row r="823" ht="13.5" customHeight="1" spans="1:28" x14ac:dyDescent="0.25">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c r="AA823" s="4"/>
      <c r="AB823" s="4"/>
    </row>
    <row r="824" ht="13.5" customHeight="1" spans="1:28" x14ac:dyDescent="0.25">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c r="AA824" s="4"/>
      <c r="AB824" s="4"/>
    </row>
    <row r="825" ht="13.5" customHeight="1" spans="1:28" x14ac:dyDescent="0.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c r="AA825" s="4"/>
      <c r="AB825" s="4"/>
    </row>
    <row r="826" ht="13.5" customHeight="1" spans="1:28" x14ac:dyDescent="0.25">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c r="AA826" s="4"/>
      <c r="AB826" s="4"/>
    </row>
    <row r="827" ht="13.5" customHeight="1" spans="1:28" x14ac:dyDescent="0.25">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c r="AA827" s="4"/>
      <c r="AB827" s="4"/>
    </row>
    <row r="828" ht="13.5" customHeight="1" spans="1:28" x14ac:dyDescent="0.25">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c r="AA828" s="4"/>
      <c r="AB828" s="4"/>
    </row>
    <row r="829" ht="13.5" customHeight="1" spans="1:28" x14ac:dyDescent="0.25">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c r="AA829" s="4"/>
      <c r="AB829" s="4"/>
    </row>
    <row r="830" ht="13.5" customHeight="1" spans="1:28" x14ac:dyDescent="0.25">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c r="AA830" s="4"/>
      <c r="AB830" s="4"/>
    </row>
    <row r="831" ht="13.5" customHeight="1" spans="1:28" x14ac:dyDescent="0.25">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c r="AA831" s="4"/>
      <c r="AB831" s="4"/>
    </row>
    <row r="832" ht="13.5" customHeight="1" spans="1:28" x14ac:dyDescent="0.25">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c r="AA832" s="4"/>
      <c r="AB832" s="4"/>
    </row>
    <row r="833" ht="13.5" customHeight="1" spans="1:28" x14ac:dyDescent="0.25">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c r="AA833" s="4"/>
      <c r="AB833" s="4"/>
    </row>
    <row r="834" ht="13.5" customHeight="1" spans="1:28" x14ac:dyDescent="0.25">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c r="AA834" s="4"/>
      <c r="AB834" s="4"/>
    </row>
    <row r="835" ht="13.5" customHeight="1" spans="1:28" x14ac:dyDescent="0.2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c r="AA835" s="4"/>
      <c r="AB835" s="4"/>
    </row>
    <row r="836" ht="13.5" customHeight="1" spans="1:28" x14ac:dyDescent="0.25">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c r="AA836" s="4"/>
      <c r="AB836" s="4"/>
    </row>
    <row r="837" ht="13.5" customHeight="1" spans="1:28" x14ac:dyDescent="0.25">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c r="AA837" s="4"/>
      <c r="AB837" s="4"/>
    </row>
    <row r="838" ht="13.5" customHeight="1" spans="1:28" x14ac:dyDescent="0.25">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c r="AA838" s="4"/>
      <c r="AB838" s="4"/>
    </row>
    <row r="839" ht="13.5" customHeight="1" spans="1:28" x14ac:dyDescent="0.25">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c r="AA839" s="4"/>
      <c r="AB839" s="4"/>
    </row>
    <row r="840" ht="13.5" customHeight="1" spans="1:28" x14ac:dyDescent="0.25">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c r="AA840" s="4"/>
      <c r="AB840" s="4"/>
    </row>
    <row r="841" ht="13.5" customHeight="1" spans="1:28" x14ac:dyDescent="0.25">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c r="AA841" s="4"/>
      <c r="AB841" s="4"/>
    </row>
    <row r="842" ht="13.5" customHeight="1" spans="1:28" x14ac:dyDescent="0.25">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c r="AA842" s="4"/>
      <c r="AB842" s="4"/>
    </row>
    <row r="843" ht="13.5" customHeight="1" spans="1:28" x14ac:dyDescent="0.25">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c r="AA843" s="4"/>
      <c r="AB843" s="4"/>
    </row>
    <row r="844" ht="13.5" customHeight="1" spans="1:28" x14ac:dyDescent="0.25">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c r="AA844" s="4"/>
      <c r="AB844" s="4"/>
    </row>
    <row r="845" ht="13.5" customHeight="1" spans="1:28" x14ac:dyDescent="0.2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c r="AA845" s="4"/>
      <c r="AB845" s="4"/>
    </row>
    <row r="846" ht="13.5" customHeight="1" spans="1:28" x14ac:dyDescent="0.25">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c r="AA846" s="4"/>
      <c r="AB846" s="4"/>
    </row>
    <row r="847" ht="13.5" customHeight="1" spans="1:28" x14ac:dyDescent="0.25">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c r="AA847" s="4"/>
      <c r="AB847" s="4"/>
    </row>
    <row r="848" ht="13.5" customHeight="1" spans="1:28" x14ac:dyDescent="0.25">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c r="AA848" s="4"/>
      <c r="AB848" s="4"/>
    </row>
    <row r="849" ht="13.5" customHeight="1" spans="1:28" x14ac:dyDescent="0.25">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c r="AA849" s="4"/>
      <c r="AB849" s="4"/>
    </row>
    <row r="850" ht="13.5" customHeight="1" spans="1:28" x14ac:dyDescent="0.25">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c r="AA850" s="4"/>
      <c r="AB850" s="4"/>
    </row>
    <row r="851" ht="13.5" customHeight="1" spans="1:28" x14ac:dyDescent="0.25">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c r="AA851" s="4"/>
      <c r="AB851" s="4"/>
    </row>
    <row r="852" ht="13.5" customHeight="1" spans="1:28" x14ac:dyDescent="0.25">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c r="AA852" s="4"/>
      <c r="AB852" s="4"/>
    </row>
    <row r="853" ht="13.5" customHeight="1" spans="1:28" x14ac:dyDescent="0.25">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c r="AA853" s="4"/>
      <c r="AB853" s="4"/>
    </row>
    <row r="854" ht="13.5" customHeight="1" spans="1:28" x14ac:dyDescent="0.25">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c r="AA854" s="4"/>
      <c r="AB854" s="4"/>
    </row>
    <row r="855" ht="13.5" customHeight="1" spans="1:28" x14ac:dyDescent="0.2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c r="AA855" s="4"/>
      <c r="AB855" s="4"/>
    </row>
    <row r="856" ht="13.5" customHeight="1" spans="1:28" x14ac:dyDescent="0.25">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c r="AA856" s="4"/>
      <c r="AB856" s="4"/>
    </row>
    <row r="857" ht="13.5" customHeight="1" spans="1:28" x14ac:dyDescent="0.25">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c r="AA857" s="4"/>
      <c r="AB857" s="4"/>
    </row>
    <row r="858" ht="13.5" customHeight="1" spans="1:28" x14ac:dyDescent="0.25">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c r="AA858" s="4"/>
      <c r="AB858" s="4"/>
    </row>
    <row r="859" ht="13.5" customHeight="1" spans="1:28" x14ac:dyDescent="0.25">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c r="AA859" s="4"/>
      <c r="AB859" s="4"/>
    </row>
    <row r="860" ht="13.5" customHeight="1" spans="1:28" x14ac:dyDescent="0.25">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c r="AA860" s="4"/>
      <c r="AB860" s="4"/>
    </row>
    <row r="861" ht="13.5" customHeight="1" spans="1:28" x14ac:dyDescent="0.25">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c r="AA861" s="4"/>
      <c r="AB861" s="4"/>
    </row>
    <row r="862" ht="13.5" customHeight="1" spans="1:28" x14ac:dyDescent="0.25">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c r="AA862" s="4"/>
      <c r="AB862" s="4"/>
    </row>
    <row r="863" ht="13.5" customHeight="1" spans="1:28" x14ac:dyDescent="0.25">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c r="AA863" s="4"/>
      <c r="AB863" s="4"/>
    </row>
    <row r="864" ht="13.5" customHeight="1" spans="1:28" x14ac:dyDescent="0.25">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c r="AA864" s="4"/>
      <c r="AB864" s="4"/>
    </row>
    <row r="865" ht="13.5" customHeight="1" spans="1:28" x14ac:dyDescent="0.2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c r="AA865" s="4"/>
      <c r="AB865" s="4"/>
    </row>
    <row r="866" ht="13.5" customHeight="1" spans="1:28" x14ac:dyDescent="0.25">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c r="AA866" s="4"/>
      <c r="AB866" s="4"/>
    </row>
    <row r="867" ht="13.5" customHeight="1" spans="1:28" x14ac:dyDescent="0.25">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c r="AA867" s="4"/>
      <c r="AB867" s="4"/>
    </row>
    <row r="868" ht="13.5" customHeight="1" spans="1:28" x14ac:dyDescent="0.25">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c r="AA868" s="4"/>
      <c r="AB868" s="4"/>
    </row>
    <row r="869" ht="13.5" customHeight="1" spans="1:28" x14ac:dyDescent="0.25">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c r="AA869" s="4"/>
      <c r="AB869" s="4"/>
    </row>
    <row r="870" ht="13.5" customHeight="1" spans="1:28" x14ac:dyDescent="0.25">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c r="AA870" s="4"/>
      <c r="AB870" s="4"/>
    </row>
    <row r="871" ht="13.5" customHeight="1" spans="1:28" x14ac:dyDescent="0.25">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c r="AA871" s="4"/>
      <c r="AB871" s="4"/>
    </row>
    <row r="872" ht="13.5" customHeight="1" spans="1:28" x14ac:dyDescent="0.25">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c r="AA872" s="4"/>
      <c r="AB872" s="4"/>
    </row>
    <row r="873" ht="13.5" customHeight="1" spans="1:28" x14ac:dyDescent="0.25">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c r="AA873" s="4"/>
      <c r="AB873" s="4"/>
    </row>
    <row r="874" ht="13.5" customHeight="1" spans="1:28" x14ac:dyDescent="0.25">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c r="AA874" s="4"/>
      <c r="AB874" s="4"/>
    </row>
    <row r="875" ht="13.5" customHeight="1" spans="1:28" x14ac:dyDescent="0.2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c r="AA875" s="4"/>
      <c r="AB875" s="4"/>
    </row>
    <row r="876" ht="13.5" customHeight="1" spans="1:28" x14ac:dyDescent="0.25">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c r="AA876" s="4"/>
      <c r="AB876" s="4"/>
    </row>
    <row r="877" ht="13.5" customHeight="1" spans="1:28" x14ac:dyDescent="0.25">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c r="AA877" s="4"/>
      <c r="AB877" s="4"/>
    </row>
    <row r="878" ht="13.5" customHeight="1" spans="1:28" x14ac:dyDescent="0.25">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c r="AA878" s="4"/>
      <c r="AB878" s="4"/>
    </row>
    <row r="879" ht="13.5" customHeight="1" spans="1:28" x14ac:dyDescent="0.25">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c r="AA879" s="4"/>
      <c r="AB879" s="4"/>
    </row>
    <row r="880" ht="13.5" customHeight="1" spans="1:28" x14ac:dyDescent="0.25">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c r="AA880" s="4"/>
      <c r="AB880" s="4"/>
    </row>
    <row r="881" ht="13.5" customHeight="1" spans="1:28" x14ac:dyDescent="0.25">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c r="AA881" s="4"/>
      <c r="AB881" s="4"/>
    </row>
    <row r="882" ht="13.5" customHeight="1" spans="1:28" x14ac:dyDescent="0.25">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c r="AA882" s="4"/>
      <c r="AB882" s="4"/>
    </row>
    <row r="883" ht="13.5" customHeight="1" spans="1:28" x14ac:dyDescent="0.25">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c r="AA883" s="4"/>
      <c r="AB883" s="4"/>
    </row>
    <row r="884" ht="13.5" customHeight="1" spans="1:28" x14ac:dyDescent="0.25">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c r="AA884" s="4"/>
      <c r="AB884" s="4"/>
    </row>
    <row r="885" ht="13.5" customHeight="1" spans="1:28" x14ac:dyDescent="0.2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c r="AA885" s="4"/>
      <c r="AB885" s="4"/>
    </row>
    <row r="886" ht="13.5" customHeight="1" spans="1:28" x14ac:dyDescent="0.25">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c r="AA886" s="4"/>
      <c r="AB886" s="4"/>
    </row>
    <row r="887" ht="13.5" customHeight="1" spans="1:28" x14ac:dyDescent="0.25">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c r="AA887" s="4"/>
      <c r="AB887" s="4"/>
    </row>
    <row r="888" ht="13.5" customHeight="1" spans="1:28" x14ac:dyDescent="0.25">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c r="AA888" s="4"/>
      <c r="AB888" s="4"/>
    </row>
    <row r="889" ht="13.5" customHeight="1" spans="1:28" x14ac:dyDescent="0.25">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c r="AA889" s="4"/>
      <c r="AB889" s="4"/>
    </row>
    <row r="890" ht="13.5" customHeight="1" spans="1:28" x14ac:dyDescent="0.25">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c r="AA890" s="4"/>
      <c r="AB890" s="4"/>
    </row>
    <row r="891" ht="13.5" customHeight="1" spans="1:28" x14ac:dyDescent="0.25">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c r="AA891" s="4"/>
      <c r="AB891" s="4"/>
    </row>
    <row r="892" ht="13.5" customHeight="1" spans="1:28" x14ac:dyDescent="0.25">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c r="AA892" s="4"/>
      <c r="AB892" s="4"/>
    </row>
    <row r="893" ht="13.5" customHeight="1" spans="1:28" x14ac:dyDescent="0.25">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c r="AA893" s="4"/>
      <c r="AB893" s="4"/>
    </row>
    <row r="894" ht="13.5" customHeight="1" spans="1:28" x14ac:dyDescent="0.25">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c r="AA894" s="4"/>
      <c r="AB894" s="4"/>
    </row>
    <row r="895" ht="13.5" customHeight="1" spans="1:28" x14ac:dyDescent="0.2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c r="AA895" s="4"/>
      <c r="AB895" s="4"/>
    </row>
    <row r="896" ht="13.5" customHeight="1" spans="1:28" x14ac:dyDescent="0.25">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c r="AA896" s="4"/>
      <c r="AB896" s="4"/>
    </row>
    <row r="897" ht="13.5" customHeight="1" spans="1:28" x14ac:dyDescent="0.25">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c r="AA897" s="4"/>
      <c r="AB897" s="4"/>
    </row>
    <row r="898" ht="13.5" customHeight="1" spans="1:28" x14ac:dyDescent="0.25">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c r="AA898" s="4"/>
      <c r="AB898" s="4"/>
    </row>
    <row r="899" ht="13.5" customHeight="1" spans="1:28" x14ac:dyDescent="0.25">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c r="AA899" s="4"/>
      <c r="AB899" s="4"/>
    </row>
    <row r="900" ht="13.5" customHeight="1" spans="1:28" x14ac:dyDescent="0.25">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c r="AA900" s="4"/>
      <c r="AB900" s="4"/>
    </row>
    <row r="901" ht="13.5" customHeight="1" spans="1:28" x14ac:dyDescent="0.25">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c r="AA901" s="4"/>
      <c r="AB901" s="4"/>
    </row>
    <row r="902" ht="13.5" customHeight="1" spans="1:28" x14ac:dyDescent="0.25">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c r="AA902" s="4"/>
      <c r="AB902" s="4"/>
    </row>
    <row r="903" ht="13.5" customHeight="1" spans="1:28" x14ac:dyDescent="0.25">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c r="AA903" s="4"/>
      <c r="AB903" s="4"/>
    </row>
    <row r="904" ht="13.5" customHeight="1" spans="1:28" x14ac:dyDescent="0.25">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c r="AA904" s="4"/>
      <c r="AB904" s="4"/>
    </row>
    <row r="905" ht="13.5" customHeight="1" spans="1:28" x14ac:dyDescent="0.2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c r="AA905" s="4"/>
      <c r="AB905" s="4"/>
    </row>
    <row r="906" ht="13.5" customHeight="1" spans="1:28" x14ac:dyDescent="0.25">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c r="AA906" s="4"/>
      <c r="AB906" s="4"/>
    </row>
    <row r="907" ht="13.5" customHeight="1" spans="1:28" x14ac:dyDescent="0.25">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c r="AA907" s="4"/>
      <c r="AB907" s="4"/>
    </row>
    <row r="908" ht="13.5" customHeight="1" spans="1:28" x14ac:dyDescent="0.25">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c r="AA908" s="4"/>
      <c r="AB908" s="4"/>
    </row>
    <row r="909" ht="13.5" customHeight="1" spans="1:28" x14ac:dyDescent="0.25">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c r="AA909" s="4"/>
      <c r="AB909" s="4"/>
    </row>
    <row r="910" ht="13.5" customHeight="1" spans="1:28" x14ac:dyDescent="0.25">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c r="AA910" s="4"/>
      <c r="AB910" s="4"/>
    </row>
    <row r="911" ht="13.5" customHeight="1" spans="1:28" x14ac:dyDescent="0.25">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c r="AA911" s="4"/>
      <c r="AB911" s="4"/>
    </row>
    <row r="912" ht="13.5" customHeight="1" spans="1:28" x14ac:dyDescent="0.25">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c r="AA912" s="4"/>
      <c r="AB912" s="4"/>
    </row>
    <row r="913" ht="13.5" customHeight="1" spans="1:28" x14ac:dyDescent="0.25">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c r="AA913" s="4"/>
      <c r="AB913" s="4"/>
    </row>
    <row r="914" ht="13.5" customHeight="1" spans="1:28" x14ac:dyDescent="0.25">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c r="AA914" s="4"/>
      <c r="AB914" s="4"/>
    </row>
    <row r="915" ht="13.5" customHeight="1" spans="1:28" x14ac:dyDescent="0.2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c r="AA915" s="4"/>
      <c r="AB915" s="4"/>
    </row>
    <row r="916" ht="13.5" customHeight="1" spans="1:28" x14ac:dyDescent="0.25">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c r="AA916" s="4"/>
      <c r="AB916" s="4"/>
    </row>
    <row r="917" ht="13.5" customHeight="1" spans="1:28" x14ac:dyDescent="0.25">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c r="AA917" s="4"/>
      <c r="AB917" s="4"/>
    </row>
    <row r="918" ht="13.5" customHeight="1" spans="1:28" x14ac:dyDescent="0.25">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c r="AA918" s="4"/>
      <c r="AB918" s="4"/>
    </row>
    <row r="919" ht="13.5" customHeight="1" spans="1:28" x14ac:dyDescent="0.25">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c r="AA919" s="4"/>
      <c r="AB919" s="4"/>
    </row>
    <row r="920" ht="13.5" customHeight="1" spans="1:28" x14ac:dyDescent="0.25">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c r="AA920" s="4"/>
      <c r="AB920" s="4"/>
    </row>
    <row r="921" ht="13.5" customHeight="1" spans="1:28" x14ac:dyDescent="0.25">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c r="AA921" s="4"/>
      <c r="AB921" s="4"/>
    </row>
    <row r="922" ht="13.5" customHeight="1" spans="1:28" x14ac:dyDescent="0.25">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c r="AA922" s="4"/>
      <c r="AB922" s="4"/>
    </row>
    <row r="923" ht="13.5" customHeight="1" spans="1:28" x14ac:dyDescent="0.25">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c r="AA923" s="4"/>
      <c r="AB923" s="4"/>
    </row>
    <row r="924" ht="13.5" customHeight="1" spans="1:28" x14ac:dyDescent="0.25">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c r="AA924" s="4"/>
      <c r="AB924" s="4"/>
    </row>
    <row r="925" ht="13.5" customHeight="1" spans="1:28" x14ac:dyDescent="0.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c r="AA925" s="4"/>
      <c r="AB925" s="4"/>
    </row>
    <row r="926" ht="13.5" customHeight="1" spans="1:28" x14ac:dyDescent="0.25">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c r="AA926" s="4"/>
      <c r="AB926" s="4"/>
    </row>
    <row r="927" ht="13.5" customHeight="1" spans="1:28" x14ac:dyDescent="0.25">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c r="AA927" s="4"/>
      <c r="AB927" s="4"/>
    </row>
    <row r="928" ht="13.5" customHeight="1" spans="1:28" x14ac:dyDescent="0.25">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c r="AA928" s="4"/>
      <c r="AB928" s="4"/>
    </row>
    <row r="929" ht="13.5" customHeight="1" spans="1:28" x14ac:dyDescent="0.25">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c r="AA929" s="4"/>
      <c r="AB929" s="4"/>
    </row>
    <row r="930" ht="13.5" customHeight="1" spans="1:28" x14ac:dyDescent="0.25">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c r="AA930" s="4"/>
      <c r="AB930" s="4"/>
    </row>
    <row r="931" ht="13.5" customHeight="1" spans="1:28" x14ac:dyDescent="0.25">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c r="AA931" s="4"/>
      <c r="AB931" s="4"/>
    </row>
    <row r="932" ht="13.5" customHeight="1" spans="1:28" x14ac:dyDescent="0.25">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c r="AA932" s="4"/>
      <c r="AB932" s="4"/>
    </row>
    <row r="933" ht="13.5" customHeight="1" spans="1:28" x14ac:dyDescent="0.25">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c r="AA933" s="4"/>
      <c r="AB933" s="4"/>
    </row>
    <row r="934" ht="13.5" customHeight="1" spans="1:28" x14ac:dyDescent="0.25">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c r="AA934" s="4"/>
      <c r="AB934" s="4"/>
    </row>
    <row r="935" ht="13.5" customHeight="1" spans="1:28" x14ac:dyDescent="0.2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c r="AA935" s="4"/>
      <c r="AB935" s="4"/>
    </row>
    <row r="936" ht="13.5" customHeight="1" spans="1:28" x14ac:dyDescent="0.25">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c r="AA936" s="4"/>
      <c r="AB936" s="4"/>
    </row>
    <row r="937" ht="13.5" customHeight="1" spans="1:28" x14ac:dyDescent="0.25">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c r="AA937" s="4"/>
      <c r="AB937" s="4"/>
    </row>
    <row r="938" ht="13.5" customHeight="1" spans="1:28" x14ac:dyDescent="0.25">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c r="AA938" s="4"/>
      <c r="AB938" s="4"/>
    </row>
    <row r="939" ht="13.5" customHeight="1" spans="1:28" x14ac:dyDescent="0.25">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c r="AA939" s="4"/>
      <c r="AB939" s="4"/>
    </row>
    <row r="940" ht="13.5" customHeight="1" spans="1:28" x14ac:dyDescent="0.25">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c r="AA940" s="4"/>
      <c r="AB940" s="4"/>
    </row>
    <row r="941" ht="13.5" customHeight="1" spans="1:28" x14ac:dyDescent="0.25">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c r="AA941" s="4"/>
      <c r="AB941" s="4"/>
    </row>
    <row r="942" ht="13.5" customHeight="1" spans="1:28" x14ac:dyDescent="0.25">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c r="AA942" s="4"/>
      <c r="AB942" s="4"/>
    </row>
    <row r="943" ht="13.5" customHeight="1" spans="1:28" x14ac:dyDescent="0.25">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c r="AA943" s="4"/>
      <c r="AB943" s="4"/>
    </row>
    <row r="944" ht="13.5" customHeight="1" spans="1:28" x14ac:dyDescent="0.25">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c r="AA944" s="4"/>
      <c r="AB944" s="4"/>
    </row>
    <row r="945" ht="13.5" customHeight="1" spans="1:28" x14ac:dyDescent="0.2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c r="AA945" s="4"/>
      <c r="AB945" s="4"/>
    </row>
    <row r="946" ht="13.5" customHeight="1" spans="1:28" x14ac:dyDescent="0.25">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c r="AA946" s="4"/>
      <c r="AB946" s="4"/>
    </row>
    <row r="947" ht="13.5" customHeight="1" spans="1:28" x14ac:dyDescent="0.25">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c r="AA947" s="4"/>
      <c r="AB947" s="4"/>
    </row>
    <row r="948" ht="13.5" customHeight="1" spans="1:28" x14ac:dyDescent="0.25">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c r="AA948" s="4"/>
      <c r="AB948" s="4"/>
    </row>
    <row r="949" ht="13.5" customHeight="1" spans="1:28" x14ac:dyDescent="0.25">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c r="AA949" s="4"/>
      <c r="AB949" s="4"/>
    </row>
    <row r="950" ht="13.5" customHeight="1" spans="1:28" x14ac:dyDescent="0.25">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c r="AA950" s="4"/>
      <c r="AB950" s="4"/>
    </row>
    <row r="951" ht="13.5" customHeight="1" spans="1:28" x14ac:dyDescent="0.25">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c r="AA951" s="4"/>
      <c r="AB951" s="4"/>
    </row>
    <row r="952" ht="13.5" customHeight="1" spans="1:28" x14ac:dyDescent="0.25">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c r="AA952" s="4"/>
      <c r="AB952" s="4"/>
    </row>
    <row r="953" ht="13.5" customHeight="1" spans="1:28" x14ac:dyDescent="0.25">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c r="AA953" s="4"/>
      <c r="AB953" s="4"/>
    </row>
    <row r="954" ht="13.5" customHeight="1" spans="1:28" x14ac:dyDescent="0.25">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c r="AA954" s="4"/>
      <c r="AB954" s="4"/>
    </row>
    <row r="955" ht="13.5" customHeight="1" spans="1:28" x14ac:dyDescent="0.2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c r="AA955" s="4"/>
      <c r="AB955" s="4"/>
    </row>
    <row r="956" ht="13.5" customHeight="1" spans="1:28" x14ac:dyDescent="0.25">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c r="AA956" s="4"/>
      <c r="AB956" s="4"/>
    </row>
    <row r="957" ht="13.5" customHeight="1" spans="1:28" x14ac:dyDescent="0.25">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c r="AA957" s="4"/>
      <c r="AB957" s="4"/>
    </row>
    <row r="958" ht="13.5" customHeight="1" spans="1:28" x14ac:dyDescent="0.25">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c r="AA958" s="4"/>
      <c r="AB958" s="4"/>
    </row>
    <row r="959" ht="13.5" customHeight="1" spans="1:28" x14ac:dyDescent="0.25">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c r="AA959" s="4"/>
      <c r="AB959" s="4"/>
    </row>
    <row r="960" ht="13.5" customHeight="1" spans="1:28" x14ac:dyDescent="0.25">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c r="AA960" s="4"/>
      <c r="AB960" s="4"/>
    </row>
    <row r="961" ht="13.5" customHeight="1" spans="1:28" x14ac:dyDescent="0.25">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c r="AA961" s="4"/>
      <c r="AB961" s="4"/>
    </row>
    <row r="962" ht="13.5" customHeight="1" spans="1:28" x14ac:dyDescent="0.25">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c r="AA962" s="4"/>
      <c r="AB962" s="4"/>
    </row>
    <row r="963" ht="13.5" customHeight="1" spans="1:28" x14ac:dyDescent="0.25">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c r="AA963" s="4"/>
      <c r="AB963" s="4"/>
    </row>
    <row r="964" ht="13.5" customHeight="1" spans="1:28" x14ac:dyDescent="0.25">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c r="AA964" s="4"/>
      <c r="AB964" s="4"/>
    </row>
    <row r="965" ht="13.5" customHeight="1" spans="1:28" x14ac:dyDescent="0.2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c r="AA965" s="4"/>
      <c r="AB965" s="4"/>
    </row>
    <row r="966" ht="13.5" customHeight="1" spans="1:28" x14ac:dyDescent="0.25">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c r="AA966" s="4"/>
      <c r="AB966" s="4"/>
    </row>
    <row r="967" ht="13.5" customHeight="1" spans="1:28" x14ac:dyDescent="0.25">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c r="AA967" s="4"/>
      <c r="AB967" s="4"/>
    </row>
    <row r="968" ht="13.5" customHeight="1" spans="1:28" x14ac:dyDescent="0.25">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c r="AA968" s="4"/>
      <c r="AB968" s="4"/>
    </row>
    <row r="969" ht="13.5" customHeight="1" spans="1:28" x14ac:dyDescent="0.25">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c r="AA969" s="4"/>
      <c r="AB969" s="4"/>
    </row>
    <row r="970" ht="13.5" customHeight="1" spans="1:28" x14ac:dyDescent="0.25">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c r="AA970" s="4"/>
      <c r="AB970" s="4"/>
    </row>
    <row r="971" ht="13.5" customHeight="1" spans="1:28" x14ac:dyDescent="0.25">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c r="AA971" s="4"/>
      <c r="AB971" s="4"/>
    </row>
    <row r="972" ht="13.5" customHeight="1" spans="1:28" x14ac:dyDescent="0.25">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c r="AA972" s="4"/>
      <c r="AB972" s="4"/>
    </row>
    <row r="973" ht="13.5" customHeight="1" spans="1:28" x14ac:dyDescent="0.25">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c r="AA973" s="4"/>
      <c r="AB973" s="4"/>
    </row>
    <row r="974" ht="13.5" customHeight="1" spans="1:28" x14ac:dyDescent="0.25">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c r="AA974" s="4"/>
      <c r="AB974" s="4"/>
    </row>
    <row r="975" ht="13.5" customHeight="1" spans="1:28" x14ac:dyDescent="0.2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c r="AA975" s="4"/>
      <c r="AB975" s="4"/>
    </row>
    <row r="976" ht="13.5" customHeight="1" spans="1:28" x14ac:dyDescent="0.25">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c r="AA976" s="4"/>
      <c r="AB976" s="4"/>
    </row>
    <row r="977" ht="13.5" customHeight="1" spans="1:28" x14ac:dyDescent="0.25">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c r="AA977" s="4"/>
      <c r="AB977" s="4"/>
    </row>
    <row r="978" ht="13.5" customHeight="1" spans="1:28" x14ac:dyDescent="0.25">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c r="AA978" s="4"/>
      <c r="AB978" s="4"/>
    </row>
    <row r="979" ht="13.5" customHeight="1" spans="1:28" x14ac:dyDescent="0.25">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c r="AA979" s="4"/>
      <c r="AB979" s="4"/>
    </row>
    <row r="980" ht="13.5" customHeight="1" spans="1:28" x14ac:dyDescent="0.25">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c r="AA980" s="4"/>
      <c r="AB980" s="4"/>
    </row>
    <row r="981" ht="13.5" customHeight="1" spans="1:28" x14ac:dyDescent="0.25">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c r="AA981" s="4"/>
      <c r="AB981" s="4"/>
    </row>
    <row r="982" ht="13.5" customHeight="1" spans="1:28" x14ac:dyDescent="0.25">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c r="AA982" s="4"/>
      <c r="AB982" s="4"/>
    </row>
    <row r="983" ht="13.5" customHeight="1" spans="1:28" x14ac:dyDescent="0.25">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c r="AA983" s="4"/>
      <c r="AB983" s="4"/>
    </row>
    <row r="984" ht="13.5" customHeight="1" spans="1:28" x14ac:dyDescent="0.25">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c r="AA984" s="4"/>
      <c r="AB984" s="4"/>
    </row>
    <row r="985" ht="13.5" customHeight="1" spans="1:28" x14ac:dyDescent="0.2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c r="AA985" s="4"/>
      <c r="AB985" s="4"/>
    </row>
    <row r="986" ht="13.5" customHeight="1" spans="1:28" x14ac:dyDescent="0.25">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c r="AA986" s="4"/>
      <c r="AB986" s="4"/>
    </row>
    <row r="987" ht="13.5" customHeight="1" spans="1:28" x14ac:dyDescent="0.25">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c r="AA987" s="4"/>
      <c r="AB987" s="4"/>
    </row>
    <row r="988" ht="13.5" customHeight="1" spans="1:28" x14ac:dyDescent="0.25">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c r="AA988" s="4"/>
      <c r="AB988" s="4"/>
    </row>
    <row r="989" ht="13.5" customHeight="1" spans="1:28" x14ac:dyDescent="0.25">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c r="AA989" s="4"/>
      <c r="AB989" s="4"/>
    </row>
    <row r="990" ht="13.5" customHeight="1" spans="1:28" x14ac:dyDescent="0.25">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c r="AA990" s="4"/>
      <c r="AB990" s="4"/>
    </row>
    <row r="991" ht="13.5" customHeight="1" spans="1:28" x14ac:dyDescent="0.25">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c r="AA991" s="4"/>
      <c r="AB991" s="4"/>
    </row>
    <row r="992" ht="13.5" customHeight="1" spans="1:28" x14ac:dyDescent="0.25">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c r="AA992" s="4"/>
      <c r="AB992" s="4"/>
    </row>
    <row r="993" ht="13.5" customHeight="1" spans="1:28" x14ac:dyDescent="0.25">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c r="AA993" s="4"/>
      <c r="AB993" s="4"/>
    </row>
    <row r="994" ht="13.5" customHeight="1" spans="1:28" x14ac:dyDescent="0.25">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c r="AA994" s="4"/>
      <c r="AB994" s="4"/>
    </row>
    <row r="995" ht="13.5" customHeight="1" spans="1:28" x14ac:dyDescent="0.2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c r="AA995" s="4"/>
      <c r="AB995" s="4"/>
    </row>
    <row r="996" ht="13.5" customHeight="1" spans="1:28" x14ac:dyDescent="0.25">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c r="AA996" s="4"/>
      <c r="AB996" s="4"/>
    </row>
    <row r="997" ht="13.5" customHeight="1" spans="1:28" x14ac:dyDescent="0.25">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c r="AA997" s="4"/>
      <c r="AB997" s="4"/>
    </row>
    <row r="998" ht="13.5" customHeight="1" spans="1:28" x14ac:dyDescent="0.25">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c r="AA998" s="4"/>
      <c r="AB998" s="4"/>
    </row>
    <row r="999" ht="13.5" customHeight="1" spans="1:28" x14ac:dyDescent="0.25">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c r="AA999" s="4"/>
      <c r="AB999" s="4"/>
    </row>
    <row r="1000" ht="13.5" customHeight="1" spans="1:28" x14ac:dyDescent="0.25">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c r="AA1000" s="4"/>
      <c r="AB1000" s="4"/>
    </row>
  </sheetData>
  <mergeCells count="83">
    <mergeCell ref="C4:R4"/>
    <mergeCell ref="L6:R6"/>
    <mergeCell ref="C9:J9"/>
    <mergeCell ref="C14:J14"/>
    <mergeCell ref="C19:J19"/>
    <mergeCell ref="G57:K57"/>
    <mergeCell ref="N57:R57"/>
    <mergeCell ref="X57:AB57"/>
    <mergeCell ref="C81:R81"/>
    <mergeCell ref="I83:J83"/>
    <mergeCell ref="C90:R90"/>
    <mergeCell ref="D95:J95"/>
    <mergeCell ref="L95:R95"/>
    <mergeCell ref="F97:J97"/>
    <mergeCell ref="N97:R97"/>
    <mergeCell ref="D99:D103"/>
    <mergeCell ref="L99:L103"/>
    <mergeCell ref="F105:J105"/>
    <mergeCell ref="N105:R105"/>
    <mergeCell ref="D107:D111"/>
    <mergeCell ref="L107:L111"/>
    <mergeCell ref="C114:R114"/>
    <mergeCell ref="D116:F116"/>
    <mergeCell ref="H116:J116"/>
    <mergeCell ref="L116:N116"/>
    <mergeCell ref="P116:R116"/>
    <mergeCell ref="C140:R140"/>
    <mergeCell ref="J142:K142"/>
    <mergeCell ref="C149:R149"/>
    <mergeCell ref="D158:J158"/>
    <mergeCell ref="L158:R158"/>
    <mergeCell ref="F160:J160"/>
    <mergeCell ref="N160:R160"/>
    <mergeCell ref="D162:D166"/>
    <mergeCell ref="L162:L166"/>
    <mergeCell ref="F168:J168"/>
    <mergeCell ref="N168:R168"/>
    <mergeCell ref="D170:D174"/>
    <mergeCell ref="L170:L174"/>
    <mergeCell ref="F176:J176"/>
    <mergeCell ref="N176:R176"/>
    <mergeCell ref="D178:D182"/>
    <mergeCell ref="L178:L182"/>
    <mergeCell ref="F184:J184"/>
    <mergeCell ref="N184:R184"/>
    <mergeCell ref="D186:D190"/>
    <mergeCell ref="L186:L190"/>
    <mergeCell ref="C192:R192"/>
    <mergeCell ref="D194:F194"/>
    <mergeCell ref="H194:J194"/>
    <mergeCell ref="L194:N194"/>
    <mergeCell ref="P194:R194"/>
    <mergeCell ref="C218:R218"/>
    <mergeCell ref="K220:L220"/>
    <mergeCell ref="M220:N220"/>
    <mergeCell ref="O220:P220"/>
    <mergeCell ref="K221:L221"/>
    <mergeCell ref="M221:N221"/>
    <mergeCell ref="O221:P221"/>
    <mergeCell ref="K222:L222"/>
    <mergeCell ref="M222:N222"/>
    <mergeCell ref="O222:P222"/>
    <mergeCell ref="C225:R225"/>
    <mergeCell ref="D234:J234"/>
    <mergeCell ref="L234:R234"/>
    <mergeCell ref="F236:J236"/>
    <mergeCell ref="N236:R236"/>
    <mergeCell ref="D238:D242"/>
    <mergeCell ref="L238:L242"/>
    <mergeCell ref="F244:J244"/>
    <mergeCell ref="N244:R244"/>
    <mergeCell ref="D246:D250"/>
    <mergeCell ref="L246:L250"/>
    <mergeCell ref="F252:J252"/>
    <mergeCell ref="N252:R252"/>
    <mergeCell ref="D254:D258"/>
    <mergeCell ref="L254:L258"/>
    <mergeCell ref="F260:J260"/>
    <mergeCell ref="N260:R260"/>
    <mergeCell ref="D262:D266"/>
    <mergeCell ref="L262:L266"/>
    <mergeCell ref="C268:R268"/>
    <mergeCell ref="O270:R270"/>
  </mergeCells>
  <conditionalFormatting sqref="C7:G7 K59:K79 R59:R79 G83:G87 E92:P93 H106 E109 F118:F127 N118:N131 N133:N138 G142:G145 H161 E164 H169 E172 H177 E180 H185 E188 N196:N204 F196:F205 N211:N216 G220:G223 H237 E240 H245 E248 H253 E256 H261 E264 R272:R274 I272:I277 R280:R285">
    <cfRule type="expression" dxfId="38" priority="1">
      <formula>$R$2="Report"</formula>
    </cfRule>
  </conditionalFormatting>
  <conditionalFormatting sqref="F92">
    <cfRule type="expression" dxfId="39" priority="2">
      <formula>F92&lt;&gt;0</formula>
    </cfRule>
    <cfRule type="expression" dxfId="40" priority="3">
      <formula>$AQ$2="Report"</formula>
    </cfRule>
    <cfRule type="expression" dxfId="41" priority="4">
      <formula>F92&lt;&gt;0</formula>
    </cfRule>
    <cfRule type="expression" dxfId="42" priority="5">
      <formula>$AQ$2="Report"</formula>
    </cfRule>
  </conditionalFormatting>
  <conditionalFormatting sqref="F121">
    <cfRule type="cellIs" dxfId="43" priority="6" operator="between">
      <formula>0.15</formula>
      <formula>0.3</formula>
    </cfRule>
  </conditionalFormatting>
  <conditionalFormatting sqref="F131:F132">
    <cfRule type="expression" dxfId="44" priority="7">
      <formula>$R$2="Report"</formula>
    </cfRule>
  </conditionalFormatting>
  <conditionalFormatting sqref="F151">
    <cfRule type="expression" dxfId="45" priority="8">
      <formula>$R$2="Report"</formula>
    </cfRule>
    <cfRule type="expression" dxfId="46" priority="9">
      <formula>F151&lt;&gt;0</formula>
    </cfRule>
    <cfRule type="expression" dxfId="47" priority="10">
      <formula>$AQ$2="Report"</formula>
    </cfRule>
  </conditionalFormatting>
  <conditionalFormatting sqref="F154">
    <cfRule type="expression" dxfId="48" priority="11">
      <formula>$R$2="Report"</formula>
    </cfRule>
    <cfRule type="expression" dxfId="49" priority="12">
      <formula>F154&lt;&gt;0</formula>
    </cfRule>
    <cfRule type="expression" dxfId="50" priority="13">
      <formula>$AQ$2="Report"</formula>
    </cfRule>
  </conditionalFormatting>
  <conditionalFormatting sqref="F199">
    <cfRule type="cellIs" dxfId="51" priority="14" operator="between">
      <formula>0.15</formula>
      <formula>0.3</formula>
    </cfRule>
  </conditionalFormatting>
  <conditionalFormatting sqref="F227">
    <cfRule type="expression" dxfId="52" priority="15">
      <formula>$R$2="Report"</formula>
    </cfRule>
  </conditionalFormatting>
  <conditionalFormatting sqref="F227:F229">
    <cfRule type="expression" dxfId="53" priority="16">
      <formula>F227&lt;&gt;0</formula>
    </cfRule>
    <cfRule type="expression" dxfId="54" priority="17">
      <formula>$AQ$2="Report"</formula>
    </cfRule>
  </conditionalFormatting>
  <conditionalFormatting sqref="F230">
    <cfRule type="expression" dxfId="55" priority="18">
      <formula>$R$2="Report"</formula>
    </cfRule>
  </conditionalFormatting>
  <conditionalFormatting sqref="F230:F231">
    <cfRule type="expression" dxfId="56" priority="20">
      <formula>$AQ$2="Report"</formula>
    </cfRule>
    <cfRule type="expression" dxfId="57" priority="19">
      <formula>F230&lt;&gt;0</formula>
    </cfRule>
  </conditionalFormatting>
  <conditionalFormatting sqref="G58:S59 G60:K60 M60:R60 G61:S77 K79 R79 L127:L133">
    <cfRule type="expression" dxfId="58" priority="21">
      <formula>$R$4=1</formula>
    </cfRule>
  </conditionalFormatting>
  <conditionalFormatting sqref="H98 E101">
    <cfRule type="expression" dxfId="59" priority="22">
      <formula>$R$2="Report"</formula>
    </cfRule>
  </conditionalFormatting>
  <conditionalFormatting sqref="H144">
    <cfRule type="cellIs" dxfId="60" priority="23" operator="equal">
      <formula>"FALSE"</formula>
    </cfRule>
  </conditionalFormatting>
  <conditionalFormatting sqref="H222">
    <cfRule type="cellIs" dxfId="61" priority="24" operator="equal">
      <formula>"FALSE"</formula>
    </cfRule>
  </conditionalFormatting>
  <conditionalFormatting sqref="H31:I31">
    <cfRule type="expression" dxfId="62" priority="25">
      <formula>$AF$11="On"</formula>
    </cfRule>
  </conditionalFormatting>
  <conditionalFormatting sqref="J84:J87">
    <cfRule type="expression" dxfId="63" priority="26">
      <formula>$R$2="Report"</formula>
    </cfRule>
  </conditionalFormatting>
  <conditionalFormatting sqref="K92">
    <cfRule type="expression" dxfId="64" priority="27">
      <formula>K92&lt;&gt;0</formula>
    </cfRule>
    <cfRule type="expression" dxfId="65" priority="28">
      <formula>$AQ$2="Report"</formula>
    </cfRule>
    <cfRule type="expression" dxfId="66" priority="29">
      <formula>K92&lt;&gt;0</formula>
    </cfRule>
    <cfRule type="expression" dxfId="67" priority="30">
      <formula>$AQ$2="Report"</formula>
    </cfRule>
  </conditionalFormatting>
  <conditionalFormatting sqref="L9:L10">
    <cfRule type="expression" dxfId="68" priority="31">
      <formula>$R$2="Report"</formula>
    </cfRule>
    <cfRule type="cellIs" dxfId="69" priority="32" operator="between">
      <formula>0.15</formula>
      <formula>0.3</formula>
    </cfRule>
  </conditionalFormatting>
  <conditionalFormatting sqref="L12:L15">
    <cfRule type="expression" dxfId="70" priority="33">
      <formula>$R$2="Report"</formula>
    </cfRule>
    <cfRule type="cellIs" dxfId="71" priority="34" operator="between">
      <formula>0.15</formula>
      <formula>0.3</formula>
    </cfRule>
  </conditionalFormatting>
  <conditionalFormatting sqref="L17:L20">
    <cfRule type="expression" dxfId="72" priority="35">
      <formula>$R$2="Report"</formula>
    </cfRule>
    <cfRule type="cellIs" dxfId="73" priority="36" operator="between">
      <formula>0.15</formula>
      <formula>0.3</formula>
    </cfRule>
  </conditionalFormatting>
  <conditionalFormatting sqref="L22">
    <cfRule type="expression" dxfId="74" priority="37">
      <formula>$R$2="Report"</formula>
    </cfRule>
    <cfRule type="cellIs" dxfId="75" priority="38" operator="between">
      <formula>0.15</formula>
      <formula>0.3</formula>
    </cfRule>
  </conditionalFormatting>
  <conditionalFormatting sqref="L151">
    <cfRule type="expression" dxfId="76" priority="39">
      <formula>$R$2="Report"</formula>
    </cfRule>
  </conditionalFormatting>
  <conditionalFormatting sqref="L151:L153">
    <cfRule type="expression" dxfId="77" priority="41">
      <formula>$AQ$2="Report"</formula>
    </cfRule>
    <cfRule type="expression" dxfId="78" priority="40">
      <formula>L151&lt;&gt;0</formula>
    </cfRule>
  </conditionalFormatting>
  <conditionalFormatting sqref="L154">
    <cfRule type="expression" dxfId="79" priority="42">
      <formula>$R$2="Report"</formula>
    </cfRule>
  </conditionalFormatting>
  <conditionalFormatting sqref="L154:L155">
    <cfRule type="expression" dxfId="80" priority="43">
      <formula>L154&lt;&gt;0</formula>
    </cfRule>
    <cfRule type="expression" dxfId="81" priority="44">
      <formula>$AQ$2="Report"</formula>
    </cfRule>
  </conditionalFormatting>
  <conditionalFormatting sqref="L205:L211">
    <cfRule type="expression" dxfId="82" priority="45">
      <formula>$R$4=1</formula>
    </cfRule>
  </conditionalFormatting>
  <conditionalFormatting sqref="L227">
    <cfRule type="expression" dxfId="83" priority="46">
      <formula>$R$2="Report"</formula>
    </cfRule>
  </conditionalFormatting>
  <conditionalFormatting sqref="L227:L229">
    <cfRule type="expression" dxfId="84" priority="47">
      <formula>L227&lt;&gt;0</formula>
    </cfRule>
    <cfRule type="expression" dxfId="85" priority="48">
      <formula>$AQ$2="Report"</formula>
    </cfRule>
  </conditionalFormatting>
  <conditionalFormatting sqref="L230">
    <cfRule type="expression" dxfId="86" priority="49">
      <formula>$R$2="Report"</formula>
    </cfRule>
  </conditionalFormatting>
  <conditionalFormatting sqref="L230:L231">
    <cfRule type="expression" dxfId="87" priority="50">
      <formula>L230&lt;&gt;0</formula>
    </cfRule>
    <cfRule type="expression" dxfId="88" priority="51">
      <formula>$AQ$2="Report"</formula>
    </cfRule>
  </conditionalFormatting>
  <conditionalFormatting sqref="N121">
    <cfRule type="cellIs" dxfId="89" priority="52" operator="between">
      <formula>0.15</formula>
      <formula>0.3</formula>
    </cfRule>
  </conditionalFormatting>
  <conditionalFormatting sqref="N127:N132">
    <cfRule type="expression" dxfId="90" priority="53">
      <formula>$R$4=1</formula>
    </cfRule>
  </conditionalFormatting>
  <conditionalFormatting sqref="N199">
    <cfRule type="cellIs" dxfId="91" priority="54" operator="between">
      <formula>0.15</formula>
      <formula>0.3</formula>
    </cfRule>
  </conditionalFormatting>
  <conditionalFormatting sqref="N205:N210">
    <cfRule type="expression" dxfId="92" priority="55">
      <formula>$R$4=1</formula>
    </cfRule>
  </conditionalFormatting>
  <conditionalFormatting sqref="N99:R103">
    <cfRule type="cellIs" dxfId="93" priority="56" operator="between">
      <formula>0.15</formula>
      <formula>0.3</formula>
    </cfRule>
  </conditionalFormatting>
  <conditionalFormatting sqref="N107:R111">
    <cfRule type="cellIs" dxfId="94" priority="57" operator="between">
      <formula>0.15</formula>
      <formula>0.3</formula>
    </cfRule>
  </conditionalFormatting>
  <conditionalFormatting sqref="N162:R166">
    <cfRule type="cellIs" dxfId="95" priority="58" operator="between">
      <formula>0.15</formula>
      <formula>0.3</formula>
    </cfRule>
  </conditionalFormatting>
  <conditionalFormatting sqref="N170:R174">
    <cfRule type="cellIs" dxfId="96" priority="59" operator="between">
      <formula>0.15</formula>
      <formula>0.3</formula>
    </cfRule>
  </conditionalFormatting>
  <conditionalFormatting sqref="N178:R182">
    <cfRule type="cellIs" dxfId="97" priority="60" operator="between">
      <formula>0.15</formula>
      <formula>0.3</formula>
    </cfRule>
  </conditionalFormatting>
  <conditionalFormatting sqref="N186:R190">
    <cfRule type="cellIs" dxfId="98" priority="61" operator="between">
      <formula>0.15</formula>
      <formula>0.3</formula>
    </cfRule>
  </conditionalFormatting>
  <conditionalFormatting sqref="N238:R242">
    <cfRule type="cellIs" dxfId="99" priority="62" operator="between">
      <formula>0.15</formula>
      <formula>0.3</formula>
    </cfRule>
  </conditionalFormatting>
  <conditionalFormatting sqref="N246:R250">
    <cfRule type="cellIs" dxfId="100" priority="63" operator="between">
      <formula>0.15</formula>
      <formula>0.3</formula>
    </cfRule>
  </conditionalFormatting>
  <conditionalFormatting sqref="N254:R258">
    <cfRule type="cellIs" dxfId="101" priority="64" operator="between">
      <formula>0.15</formula>
      <formula>0.3</formula>
    </cfRule>
  </conditionalFormatting>
  <conditionalFormatting sqref="N262:R267">
    <cfRule type="cellIs" dxfId="102" priority="65" operator="between">
      <formula>0.15</formula>
      <formula>0.3</formula>
    </cfRule>
  </conditionalFormatting>
  <conditionalFormatting sqref="O274:O280">
    <cfRule type="expression" dxfId="103" priority="66">
      <formula>$R$4=1</formula>
    </cfRule>
  </conditionalFormatting>
  <conditionalFormatting sqref="P92">
    <cfRule type="expression" dxfId="104" priority="67">
      <formula>P92&lt;&gt;0</formula>
    </cfRule>
    <cfRule type="expression" dxfId="105" priority="68">
      <formula>$AQ$2="Report"</formula>
    </cfRule>
  </conditionalFormatting>
  <conditionalFormatting sqref="P127:P133">
    <cfRule type="expression" dxfId="106" priority="69">
      <formula>$R$4=1</formula>
    </cfRule>
  </conditionalFormatting>
  <conditionalFormatting sqref="P205:P211">
    <cfRule type="expression" dxfId="107" priority="70">
      <formula>$R$4=1</formula>
    </cfRule>
  </conditionalFormatting>
  <conditionalFormatting sqref="R127:R132">
    <cfRule type="expression" dxfId="108" priority="71">
      <formula>$R$4=1</formula>
    </cfRule>
  </conditionalFormatting>
  <conditionalFormatting sqref="R151:R154">
    <cfRule type="expression" dxfId="109" priority="72">
      <formula>$R$2="Report"</formula>
    </cfRule>
    <cfRule type="expression" dxfId="110" priority="73">
      <formula>R151&lt;&gt;0</formula>
    </cfRule>
    <cfRule type="expression" dxfId="111" priority="74">
      <formula>$AQ$2="Report"</formula>
    </cfRule>
  </conditionalFormatting>
  <conditionalFormatting sqref="R205:R210">
    <cfRule type="expression" dxfId="112" priority="75">
      <formula>$R$4=1</formula>
    </cfRule>
  </conditionalFormatting>
  <conditionalFormatting sqref="R227:R230">
    <cfRule type="expression" dxfId="113" priority="76">
      <formula>$R$2="Report"</formula>
    </cfRule>
    <cfRule type="expression" dxfId="114" priority="77">
      <formula>R227&lt;&gt;0</formula>
    </cfRule>
    <cfRule type="expression" dxfId="115" priority="78">
      <formula>$AQ$2="Report"</formula>
    </cfRule>
  </conditionalFormatting>
  <conditionalFormatting sqref="R274:R279">
    <cfRule type="expression" dxfId="116" priority="79">
      <formula>$R$4=1</formula>
    </cfRule>
  </conditionalFormatting>
  <conditionalFormatting sqref="X58:AB77 AB79">
    <cfRule type="expression" dxfId="117" priority="80">
      <formula>$R$4=1</formula>
    </cfRule>
  </conditionalFormatting>
  <conditionalFormatting sqref="AB59:AB79">
    <cfRule type="expression" dxfId="118" priority="81">
      <formula>$R$2="Report"</formula>
    </cfRule>
  </conditionalFormatting>
  <dataValidations count="12">
    <dataValidation type="list" allowBlank="1" showErrorMessage="1" sqref="D24">
      <formula1>"LTM,NTM"</formula1>
    </dataValidation>
    <dataValidation type="list" allowBlank="1" showErrorMessage="1" sqref="G142:G143">
      <formula1>"1 Year,2 Year,3 Year,5 Year"</formula1>
    </dataValidation>
    <dataValidation type="list" allowBlank="1" showErrorMessage="1" sqref="G144">
      <formula1>"LTM,NTM"</formula1>
    </dataValidation>
    <dataValidation type="list" allowBlank="1" showErrorMessage="1" sqref="G145:G146">
      <formula1>$B$9:$B$11</formula1>
    </dataValidation>
    <dataValidation type="list" allowBlank="1" showErrorMessage="1" sqref="G220">
      <formula1>"2002-2008,2009-2018,2002-2018"</formula1>
    </dataValidation>
    <dataValidation type="list" allowBlank="1" showErrorMessage="1" sqref="G221">
      <formula1>"Early Cycle,Mid Cycle,Late Cycle,Full Cycle"</formula1>
    </dataValidation>
    <dataValidation type="list" allowBlank="1" showErrorMessage="1" sqref="G222">
      <formula1>"LTM,NTM"</formula1>
    </dataValidation>
    <dataValidation type="list" allowBlank="1" showErrorMessage="1" sqref="G223:G224">
      <formula1>$B$9:$B$11</formula1>
    </dataValidation>
    <dataValidation type="list" allowBlank="1" showErrorMessage="1" sqref="G289:G294">
      <formula1>$B$9:$B$12</formula1>
    </dataValidation>
    <dataValidation type="list" allowBlank="1" showErrorMessage="1" sqref="G83">
      <formula1>"Yes,No"</formula1>
    </dataValidation>
    <dataValidation type="list" allowBlank="1" showErrorMessage="1" sqref="G86">
      <formula1>"1.00%,1.25%,1.50%,1.75%,2.00%,2.25%,2.50%,2.75%,3.00%,3.25%,3.50%,3.75%,4.00%"</formula1>
    </dataValidation>
    <dataValidation type="list" allowBlank="1" showErrorMessage="1" sqref="R2">
      <formula1>"Working,Report"</formula1>
    </dataValidation>
  </dataValidations>
  <pageMargins left="0.7" right="0.7" top="0.75" bottom="0.75" header="0" footer="0"/>
  <pageSetup orientation="portrait" horizontalDpi="4294967295" verticalDpi="4294967295" scale="100" fitToWidth="1" fitToHeight="1" firstPageNumber="1" useFirstPageNumber="1" copies="1"/>
  <legacy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760000"/>
  </sheetPr>
  <dimension ref="A1:CI1000"/>
  <sheetViews>
    <sheetView workbookViewId="0" showGridLines="0" zoomScale="100" zoomScaleNormal="100">
      <pane ySplit="2" topLeftCell="A3" activePane="bottomLeft" state="frozen"/>
      <selection pane="bottomLeft" activeCell="B4" sqref="B4"/>
    </sheetView>
  </sheetViews>
  <sheetFormatPr defaultRowHeight="15" outlineLevelRow="0" outlineLevelCol="2" x14ac:dyDescent="0" defaultColWidth="14.5"/>
  <cols>
    <col min="1" max="2" width="1.6640625" customWidth="1"/>
    <col min="3" max="3" width="18.6640625" customWidth="1"/>
    <col min="4" max="4" width="5.6640625" customWidth="1"/>
    <col min="5" max="8" width="18.6640625" customWidth="1"/>
    <col min="9" max="9" width="13.33203125" hidden="1" outlineLevel="1" customWidth="1"/>
    <col min="10" max="10" width="12.6640625" hidden="1" outlineLevel="2" collapsed="1" customWidth="1"/>
    <col min="11" max="11" width="12.6640625" customWidth="1"/>
    <col min="12" max="12" width="21.5" customWidth="1"/>
    <col min="13" max="13" width="13.6640625" customWidth="1"/>
    <col min="14" max="17" width="17.6640625" customWidth="1"/>
    <col min="18" max="18" width="21.5" customWidth="1"/>
    <col min="19" max="23" width="17.6640625" customWidth="1"/>
    <col min="24" max="24" width="21.5" customWidth="1"/>
    <col min="25" max="29" width="17.6640625" customWidth="1"/>
    <col min="30" max="30" width="21.5" customWidth="1"/>
    <col min="31" max="35" width="17.6640625" customWidth="1"/>
    <col min="36" max="36" width="1.5" customWidth="1"/>
    <col min="37" max="37" width="12.6640625" hidden="1" outlineLevel="1" customWidth="1"/>
    <col min="38" max="38" width="21.5" hidden="1" outlineLevel="1" customWidth="1"/>
    <col min="39" max="43" width="17.6640625" hidden="1" outlineLevel="1" customWidth="1"/>
    <col min="44" max="44" width="21.5" hidden="1" outlineLevel="1" customWidth="1"/>
    <col min="45" max="49" width="17.6640625" hidden="1" outlineLevel="1" customWidth="1"/>
    <col min="50" max="50" width="21.5" hidden="1" outlineLevel="1" customWidth="1"/>
    <col min="51" max="55" width="17.6640625" hidden="1" outlineLevel="1" customWidth="1"/>
    <col min="56" max="56" width="21.5" hidden="1" outlineLevel="1" customWidth="1"/>
    <col min="57" max="61" width="17.6640625" hidden="1" outlineLevel="1" customWidth="1"/>
    <col min="62" max="62" width="1.5" hidden="1" outlineLevel="1" customWidth="1"/>
    <col min="63" max="63" width="12.6640625" hidden="1" outlineLevel="1" customWidth="1"/>
    <col min="64" max="64" width="21.5" hidden="1" outlineLevel="1" customWidth="1"/>
    <col min="65" max="69" width="17.6640625" hidden="1" outlineLevel="1" customWidth="1"/>
    <col min="70" max="70" width="21.5" hidden="1" outlineLevel="1" customWidth="1"/>
    <col min="71" max="75" width="17.6640625" hidden="1" outlineLevel="1" customWidth="1"/>
    <col min="76" max="76" width="21.5" hidden="1" outlineLevel="1" customWidth="1"/>
    <col min="77" max="81" width="17.6640625" hidden="1" outlineLevel="1" customWidth="1"/>
    <col min="82" max="82" width="21.5" hidden="1" outlineLevel="1" customWidth="1"/>
    <col min="83" max="87" width="17.6640625" hidden="1" outlineLevel="1" customWidth="1"/>
  </cols>
  <sheetData>
    <row r="1" ht="19.5" customHeight="1" spans="1:87" x14ac:dyDescent="0.25">
      <c r="A1" s="11"/>
      <c r="B1" s="11"/>
      <c r="C1" s="837" t="str">
        <f ca="1">Company_Name&amp;" - "&amp;MID(CELL("filename",A1),FIND("]",CELL("filename",A1))+1,255)&amp;": "&amp;Case_Scenario&amp;" Case"</f>
        <v>Lowe's Companies, Inc. - Multiples Data: Base Case</v>
      </c>
      <c r="D1" s="11"/>
      <c r="E1" s="11"/>
      <c r="F1" s="11"/>
      <c r="G1" s="11"/>
      <c r="H1" s="11"/>
      <c r="I1" s="11"/>
      <c r="J1" s="11"/>
      <c r="K1" s="225"/>
      <c r="L1" s="11"/>
      <c r="M1" s="11"/>
      <c r="N1" s="11"/>
      <c r="O1" s="11"/>
      <c r="P1" s="11"/>
      <c r="Q1" s="11"/>
      <c r="R1" s="11"/>
      <c r="S1" s="11"/>
      <c r="T1" s="11"/>
      <c r="U1" s="11"/>
      <c r="V1" s="11"/>
      <c r="W1" s="11"/>
      <c r="X1" s="11"/>
      <c r="Y1" s="11"/>
      <c r="Z1" s="11"/>
      <c r="AA1" s="11"/>
      <c r="AB1" s="11"/>
      <c r="AC1" s="11"/>
      <c r="AD1" s="11"/>
      <c r="AE1" s="11"/>
      <c r="AF1" s="11"/>
      <c r="AG1" s="11"/>
      <c r="AH1" s="11"/>
      <c r="AI1" s="11"/>
      <c r="AJ1" s="11"/>
      <c r="AK1" s="11"/>
      <c r="AL1" s="11"/>
      <c r="AM1" s="11"/>
      <c r="AN1" s="11"/>
      <c r="AO1" s="11"/>
      <c r="AP1" s="11"/>
      <c r="AQ1" s="11"/>
      <c r="AR1" s="11"/>
      <c r="AS1" s="11"/>
      <c r="AT1" s="11"/>
      <c r="AU1" s="11"/>
      <c r="AV1" s="11"/>
      <c r="AW1" s="11"/>
      <c r="AX1" s="11"/>
      <c r="AY1" s="11"/>
      <c r="AZ1" s="11"/>
      <c r="BA1" s="11"/>
      <c r="BB1" s="11"/>
      <c r="BC1" s="11"/>
      <c r="BD1" s="11"/>
      <c r="BE1" s="11"/>
      <c r="BF1" s="11"/>
      <c r="BG1" s="11"/>
      <c r="BH1" s="11"/>
      <c r="BI1" s="11"/>
      <c r="BJ1" s="11"/>
      <c r="BK1" s="11"/>
      <c r="BL1" s="11"/>
      <c r="BM1" s="11"/>
      <c r="BN1" s="11"/>
      <c r="BO1" s="11"/>
      <c r="BP1" s="11"/>
      <c r="BQ1" s="11"/>
      <c r="BR1" s="11"/>
      <c r="BS1" s="11"/>
      <c r="BT1" s="11"/>
      <c r="BU1" s="11"/>
      <c r="BV1" s="11"/>
      <c r="BW1" s="11"/>
      <c r="BX1" s="11"/>
      <c r="BY1" s="11"/>
      <c r="BZ1" s="11"/>
      <c r="CA1" s="11"/>
      <c r="CB1" s="11"/>
      <c r="CC1" s="11"/>
      <c r="CD1" s="11"/>
      <c r="CE1" s="11"/>
      <c r="CF1" s="11"/>
      <c r="CG1" s="11"/>
      <c r="CH1" s="11"/>
      <c r="CI1" s="11"/>
    </row>
    <row r="2" ht="15" customHeight="1" spans="1:87" x14ac:dyDescent="0.25">
      <c r="A2" s="4"/>
      <c r="B2" s="4"/>
      <c r="C2" s="14" t="str">
        <f ca="1">Cover!C2</f>
        <v>$ in Millions Except Per Share Data</v>
      </c>
      <c r="D2" s="4"/>
      <c r="E2" s="4"/>
      <c r="F2" s="4"/>
      <c r="G2" s="4"/>
      <c r="H2" s="4"/>
      <c r="I2" s="4"/>
      <c r="J2" s="4"/>
      <c r="K2" s="242"/>
      <c r="L2" s="838" t="s">
        <v>915</v>
      </c>
      <c r="M2" s="4"/>
      <c r="N2" s="4"/>
      <c r="O2" s="4"/>
      <c r="P2" s="4"/>
      <c r="Q2" s="4"/>
      <c r="R2" s="4"/>
      <c r="S2" s="4"/>
      <c r="T2" s="4"/>
      <c r="U2" s="4"/>
      <c r="V2" s="4"/>
      <c r="W2" s="4"/>
      <c r="X2" s="4"/>
      <c r="Y2" s="4"/>
      <c r="Z2" s="4"/>
      <c r="AA2" s="4"/>
      <c r="AB2" s="4"/>
      <c r="AC2" s="4"/>
      <c r="AD2" s="4"/>
      <c r="AE2" s="4"/>
      <c r="AF2" s="4"/>
      <c r="AG2" s="4"/>
      <c r="AH2" s="4"/>
      <c r="AI2" s="4"/>
      <c r="AJ2" s="4"/>
      <c r="AK2" s="4"/>
      <c r="AL2" s="4"/>
      <c r="AM2" s="4"/>
      <c r="AN2" s="4"/>
      <c r="AO2" s="4"/>
      <c r="AP2" s="4"/>
      <c r="AQ2" s="4"/>
      <c r="AR2" s="4"/>
      <c r="AS2" s="4"/>
      <c r="AT2" s="4"/>
      <c r="AU2" s="4"/>
      <c r="AV2" s="4"/>
      <c r="AW2" s="4"/>
      <c r="AX2" s="4"/>
      <c r="AY2" s="4"/>
      <c r="AZ2" s="4"/>
      <c r="BA2" s="4"/>
      <c r="BB2" s="4"/>
      <c r="BC2" s="4"/>
      <c r="BD2" s="4"/>
      <c r="BE2" s="4"/>
      <c r="BF2" s="4"/>
      <c r="BG2" s="4"/>
      <c r="BH2" s="4"/>
      <c r="BI2" s="4"/>
      <c r="BJ2" s="4"/>
      <c r="BK2" s="4"/>
      <c r="BL2" s="4"/>
      <c r="BM2" s="4"/>
      <c r="BN2" s="4"/>
      <c r="BO2" s="4"/>
      <c r="BP2" s="4"/>
      <c r="BQ2" s="4"/>
      <c r="BR2" s="4"/>
      <c r="BS2" s="4"/>
      <c r="BT2" s="4"/>
      <c r="BU2" s="4"/>
      <c r="BV2" s="4"/>
      <c r="BW2" s="4"/>
      <c r="BX2" s="4"/>
      <c r="BY2" s="4"/>
      <c r="BZ2" s="4"/>
      <c r="CA2" s="4"/>
      <c r="CB2" s="4"/>
      <c r="CC2" s="4"/>
      <c r="CD2" s="4"/>
      <c r="CE2" s="4"/>
      <c r="CF2" s="4"/>
      <c r="CG2" s="4"/>
      <c r="CH2" s="4"/>
      <c r="CI2" s="4"/>
    </row>
    <row r="3" ht="15" customHeight="1" spans="1:87" x14ac:dyDescent="0.25">
      <c r="A3" s="5"/>
      <c r="B3" s="16"/>
      <c r="C3" s="303"/>
      <c r="D3" s="16"/>
      <c r="E3" s="16"/>
      <c r="F3" s="16"/>
      <c r="G3" s="16"/>
      <c r="H3" s="16"/>
      <c r="I3" s="16"/>
      <c r="J3" s="16"/>
      <c r="K3" s="84"/>
      <c r="L3" s="16"/>
      <c r="M3" s="16"/>
      <c r="N3" s="16"/>
      <c r="O3" s="16"/>
      <c r="P3" s="16"/>
      <c r="Q3" s="16"/>
      <c r="R3" s="16"/>
      <c r="S3" s="16"/>
      <c r="T3" s="16"/>
      <c r="U3" s="16"/>
      <c r="V3" s="16"/>
      <c r="W3" s="16"/>
      <c r="X3" s="16"/>
      <c r="Y3" s="16"/>
      <c r="Z3" s="16"/>
      <c r="AA3" s="16"/>
      <c r="AB3" s="16"/>
      <c r="AC3" s="16"/>
      <c r="AD3" s="16"/>
      <c r="AE3" s="16"/>
      <c r="AF3" s="16"/>
      <c r="AG3" s="16"/>
      <c r="AH3" s="16"/>
      <c r="AI3" s="16"/>
      <c r="AJ3" s="16"/>
      <c r="AK3" s="16"/>
      <c r="AL3" s="16"/>
      <c r="AM3" s="16"/>
      <c r="AN3" s="16"/>
      <c r="AO3" s="16"/>
      <c r="AP3" s="16"/>
      <c r="AQ3" s="16"/>
      <c r="AR3" s="16"/>
      <c r="AS3" s="16"/>
      <c r="AT3" s="16"/>
      <c r="AU3" s="16"/>
      <c r="AV3" s="16"/>
      <c r="AW3" s="16"/>
      <c r="AX3" s="16"/>
      <c r="AY3" s="16"/>
      <c r="AZ3" s="16"/>
      <c r="BA3" s="16"/>
      <c r="BB3" s="16"/>
      <c r="BC3" s="16"/>
      <c r="BD3" s="16"/>
      <c r="BE3" s="16"/>
      <c r="BF3" s="16"/>
      <c r="BG3" s="16"/>
      <c r="BH3" s="16"/>
      <c r="BI3" s="16"/>
      <c r="BJ3" s="16"/>
      <c r="BK3" s="16"/>
      <c r="BL3" s="16"/>
      <c r="BM3" s="16"/>
      <c r="BN3" s="16"/>
      <c r="BO3" s="16"/>
      <c r="BP3" s="16"/>
      <c r="BQ3" s="16"/>
      <c r="BR3" s="16"/>
      <c r="BS3" s="16"/>
      <c r="BT3" s="16"/>
      <c r="BU3" s="16"/>
      <c r="BV3" s="16"/>
      <c r="BW3" s="16"/>
      <c r="BX3" s="16"/>
      <c r="BY3" s="16"/>
      <c r="BZ3" s="16"/>
      <c r="CA3" s="16"/>
      <c r="CB3" s="16"/>
      <c r="CC3" s="16"/>
      <c r="CD3" s="16"/>
      <c r="CE3" s="16"/>
      <c r="CF3" s="16"/>
      <c r="CG3" s="16"/>
      <c r="CH3" s="16"/>
      <c r="CI3" s="16"/>
    </row>
    <row r="4" ht="14.25" customHeight="1" spans="1:87" x14ac:dyDescent="0.25">
      <c r="A4" s="16"/>
      <c r="B4" s="16"/>
      <c r="C4" s="16"/>
      <c r="D4" s="16"/>
      <c r="E4" s="16"/>
      <c r="F4" s="16"/>
      <c r="G4" s="16"/>
      <c r="H4" s="16"/>
      <c r="I4" s="16"/>
      <c r="J4" s="16"/>
      <c r="K4" s="84"/>
      <c r="L4" s="839" t="str">
        <f ca="1">Comparables!S88</f>
        <v>Primary Peer Group</v>
      </c>
      <c r="M4" s="112"/>
      <c r="N4" s="112"/>
      <c r="O4" s="112"/>
      <c r="P4" s="112"/>
      <c r="Q4" s="112"/>
      <c r="R4" s="112"/>
      <c r="S4" s="112"/>
      <c r="T4" s="112"/>
      <c r="U4" s="112"/>
      <c r="V4" s="112"/>
      <c r="W4" s="112"/>
      <c r="X4" s="112"/>
      <c r="Y4" s="112"/>
      <c r="Z4" s="112"/>
      <c r="AA4" s="112"/>
      <c r="AB4" s="112"/>
      <c r="AC4" s="112"/>
      <c r="AD4" s="112"/>
      <c r="AE4" s="112"/>
      <c r="AF4" s="112"/>
      <c r="AG4" s="112"/>
      <c r="AH4" s="112"/>
      <c r="AI4" s="112"/>
      <c r="AJ4" s="16"/>
      <c r="AK4" s="16"/>
      <c r="AL4" s="839" t="str">
        <f ca="1">Comparables!S89</f>
        <v>Defense Peer Group</v>
      </c>
      <c r="AM4" s="112"/>
      <c r="AN4" s="112"/>
      <c r="AO4" s="112"/>
      <c r="AP4" s="112"/>
      <c r="AQ4" s="112"/>
      <c r="AR4" s="112"/>
      <c r="AS4" s="112"/>
      <c r="AT4" s="112"/>
      <c r="AU4" s="112"/>
      <c r="AV4" s="112"/>
      <c r="AW4" s="112"/>
      <c r="AX4" s="112"/>
      <c r="AY4" s="112"/>
      <c r="AZ4" s="112"/>
      <c r="BA4" s="112"/>
      <c r="BB4" s="112"/>
      <c r="BC4" s="112"/>
      <c r="BD4" s="112"/>
      <c r="BE4" s="112"/>
      <c r="BF4" s="112"/>
      <c r="BG4" s="112"/>
      <c r="BH4" s="112"/>
      <c r="BI4" s="112"/>
      <c r="BJ4" s="16"/>
      <c r="BK4" s="16"/>
      <c r="BL4" s="839" t="str">
        <f ca="1">Comparables!S90</f>
        <v>Cap. Goods Peer Group</v>
      </c>
      <c r="BM4" s="112"/>
      <c r="BN4" s="112"/>
      <c r="BO4" s="112"/>
      <c r="BP4" s="112"/>
      <c r="BQ4" s="112"/>
      <c r="BR4" s="112"/>
      <c r="BS4" s="112"/>
      <c r="BT4" s="112"/>
      <c r="BU4" s="112"/>
      <c r="BV4" s="112"/>
      <c r="BW4" s="112"/>
      <c r="BX4" s="112"/>
      <c r="BY4" s="112"/>
      <c r="BZ4" s="112"/>
      <c r="CA4" s="112"/>
      <c r="CB4" s="112"/>
      <c r="CC4" s="112"/>
      <c r="CD4" s="112"/>
      <c r="CE4" s="112"/>
      <c r="CF4" s="112"/>
      <c r="CG4" s="112"/>
      <c r="CH4" s="112"/>
      <c r="CI4" s="112"/>
    </row>
    <row r="5" ht="14.25" customHeight="1" spans="1:87" x14ac:dyDescent="0.25">
      <c r="A5" s="264" t="s">
        <v>1</v>
      </c>
      <c r="B5" s="16"/>
      <c r="C5" s="836" t="s">
        <v>34</v>
      </c>
      <c r="D5" s="110"/>
      <c r="E5" s="110"/>
      <c r="F5" s="110"/>
      <c r="G5" s="110"/>
      <c r="H5" s="111"/>
      <c r="I5" s="199"/>
      <c r="J5" s="16"/>
      <c r="K5" s="264"/>
      <c r="L5" s="840" t="s">
        <v>916</v>
      </c>
      <c r="M5" s="112"/>
      <c r="N5" s="112"/>
      <c r="O5" s="112"/>
      <c r="P5" s="112"/>
      <c r="Q5" s="112"/>
      <c r="R5" s="839" t="s">
        <v>917</v>
      </c>
      <c r="S5" s="112"/>
      <c r="T5" s="112"/>
      <c r="U5" s="112"/>
      <c r="V5" s="112"/>
      <c r="W5" s="112"/>
      <c r="X5" s="839" t="s">
        <v>918</v>
      </c>
      <c r="Y5" s="112"/>
      <c r="Z5" s="112"/>
      <c r="AA5" s="112"/>
      <c r="AB5" s="112"/>
      <c r="AC5" s="112"/>
      <c r="AD5" s="839" t="s">
        <v>919</v>
      </c>
      <c r="AE5" s="112"/>
      <c r="AF5" s="112"/>
      <c r="AG5" s="112"/>
      <c r="AH5" s="112"/>
      <c r="AI5" s="112"/>
      <c r="AJ5" s="16"/>
      <c r="AK5" s="16"/>
      <c r="AL5" s="840" t="s">
        <v>916</v>
      </c>
      <c r="AM5" s="112"/>
      <c r="AN5" s="112"/>
      <c r="AO5" s="112"/>
      <c r="AP5" s="112"/>
      <c r="AQ5" s="112"/>
      <c r="AR5" s="839" t="s">
        <v>917</v>
      </c>
      <c r="AS5" s="112"/>
      <c r="AT5" s="112"/>
      <c r="AU5" s="112"/>
      <c r="AV5" s="112"/>
      <c r="AW5" s="112"/>
      <c r="AX5" s="839" t="s">
        <v>918</v>
      </c>
      <c r="AY5" s="112"/>
      <c r="AZ5" s="112"/>
      <c r="BA5" s="112"/>
      <c r="BB5" s="112"/>
      <c r="BC5" s="112"/>
      <c r="BD5" s="839" t="s">
        <v>919</v>
      </c>
      <c r="BE5" s="112"/>
      <c r="BF5" s="112"/>
      <c r="BG5" s="112"/>
      <c r="BH5" s="112"/>
      <c r="BI5" s="112"/>
      <c r="BJ5" s="16"/>
      <c r="BK5" s="16"/>
      <c r="BL5" s="840" t="s">
        <v>916</v>
      </c>
      <c r="BM5" s="112"/>
      <c r="BN5" s="112"/>
      <c r="BO5" s="112"/>
      <c r="BP5" s="112"/>
      <c r="BQ5" s="112"/>
      <c r="BR5" s="839" t="s">
        <v>917</v>
      </c>
      <c r="BS5" s="112"/>
      <c r="BT5" s="112"/>
      <c r="BU5" s="112"/>
      <c r="BV5" s="112"/>
      <c r="BW5" s="112"/>
      <c r="BX5" s="839" t="s">
        <v>918</v>
      </c>
      <c r="BY5" s="112"/>
      <c r="BZ5" s="112"/>
      <c r="CA5" s="112"/>
      <c r="CB5" s="112"/>
      <c r="CC5" s="112"/>
      <c r="CD5" s="839" t="s">
        <v>919</v>
      </c>
      <c r="CE5" s="112"/>
      <c r="CF5" s="112"/>
      <c r="CG5" s="112"/>
      <c r="CH5" s="112"/>
      <c r="CI5" s="112"/>
    </row>
    <row r="6" ht="14.25" customHeight="1" spans="1:87" x14ac:dyDescent="0.25">
      <c r="A6" s="16"/>
      <c r="B6" s="16"/>
      <c r="C6" s="836" t="str">
        <f ca="1">Company_Name</f>
        <v>Lowe's Companies, Inc.</v>
      </c>
      <c r="D6" s="110"/>
      <c r="E6" s="110"/>
      <c r="F6" s="110"/>
      <c r="G6" s="110"/>
      <c r="H6" s="111"/>
      <c r="I6" s="841" t="str">
        <f ca="1">Last_FQR</f>
        <v>2Q</v>
      </c>
      <c r="J6" s="16"/>
      <c r="K6" s="264"/>
      <c r="L6" s="842" t="str">
        <f ca="1">Comparables!E88</f>
        <v>Lowe's Companies, Inc.</v>
      </c>
      <c r="M6" s="843" t="str">
        <f ca="1">Comparables!$E$92</f>
        <v>The Home Depot, Inc.</v>
      </c>
      <c r="N6" s="843" t="str">
        <f ca="1">Comparables!$E$96</f>
        <v>Apple</v>
      </c>
      <c r="O6" s="843" t="str">
        <f ca="1">Comparables!$E$100</f>
        <v>Microsoft</v>
      </c>
      <c r="P6" s="843" t="str">
        <f ca="1">Comparables!$E$104</f>
        <v>Broadcom</v>
      </c>
      <c r="Q6" s="843" t="str">
        <f ca="1">Comparables!$E$108</f>
        <v>Disney</v>
      </c>
      <c r="R6" s="843" t="str">
        <f ca="1">$L$6</f>
        <v>Lowe's Companies, Inc.</v>
      </c>
      <c r="S6" s="843" t="str">
        <f t="shared" ref="S6:W6" si="0" ca="1">M6</f>
        <v>The Home Depot, Inc.</v>
      </c>
      <c r="T6" s="843" t="str">
        <f ca="1">N6</f>
        <v>Apple</v>
      </c>
      <c r="U6" s="843" t="str">
        <f ca="1">O6</f>
        <v>Microsoft</v>
      </c>
      <c r="V6" s="843" t="str">
        <f ca="1">P6</f>
        <v>Broadcom</v>
      </c>
      <c r="W6" s="843" t="str">
        <f ca="1">Q6</f>
        <v>Disney</v>
      </c>
      <c r="X6" s="843" t="str">
        <f t="shared" ref="X6:AC6" si="1" ca="1">L6</f>
        <v>Lowe's Companies, Inc.</v>
      </c>
      <c r="Y6" s="843" t="str">
        <f ca="1">M6</f>
        <v>The Home Depot, Inc.</v>
      </c>
      <c r="Z6" s="843" t="str">
        <f ca="1">N6</f>
        <v>Apple</v>
      </c>
      <c r="AA6" s="843" t="str">
        <f ca="1">O6</f>
        <v>Microsoft</v>
      </c>
      <c r="AB6" s="843" t="str">
        <f ca="1">P6</f>
        <v>Broadcom</v>
      </c>
      <c r="AC6" s="843" t="str">
        <f ca="1">Q6</f>
        <v>Disney</v>
      </c>
      <c r="AD6" s="843" t="str">
        <f t="shared" ref="AD6:AI6" si="2" ca="1">L6</f>
        <v>Lowe's Companies, Inc.</v>
      </c>
      <c r="AE6" s="843" t="str">
        <f ca="1">M6</f>
        <v>The Home Depot, Inc.</v>
      </c>
      <c r="AF6" s="843" t="str">
        <f ca="1">N6</f>
        <v>Apple</v>
      </c>
      <c r="AG6" s="843" t="str">
        <f ca="1">O6</f>
        <v>Microsoft</v>
      </c>
      <c r="AH6" s="843" t="str">
        <f ca="1">P6</f>
        <v>Broadcom</v>
      </c>
      <c r="AI6" s="843" t="str">
        <f ca="1">Q6</f>
        <v>Disney</v>
      </c>
      <c r="AJ6" s="16"/>
      <c r="AK6" s="16"/>
      <c r="AL6" s="842" t="str">
        <f ca="1">AD6</f>
        <v>Lowe's Companies, Inc.</v>
      </c>
      <c r="AM6" s="843" t="str">
        <f ca="1">Comparables!I$92</f>
        <v>Raytheon</v>
      </c>
      <c r="AN6" s="843" t="str">
        <f ca="1">Comparables!$I$96</f>
        <v>Boeing</v>
      </c>
      <c r="AO6" s="843" t="str">
        <f ca="1">Comparables!$I$100</f>
        <v>Huntington Ingalls</v>
      </c>
      <c r="AP6" s="843" t="str">
        <f ca="1">Comparables!$I$104</f>
        <v>Lockheed Martin</v>
      </c>
      <c r="AQ6" s="843" t="str">
        <f ca="1">Comparables!$I$108</f>
        <v>Northrop Grumman</v>
      </c>
      <c r="AR6" s="843" t="str">
        <f ca="1">$AL$6</f>
        <v>Lowe's Companies, Inc.</v>
      </c>
      <c r="AS6" s="843" t="str">
        <f t="shared" ref="AS6:AW6" si="3" ca="1">AM6</f>
        <v>Raytheon</v>
      </c>
      <c r="AT6" s="843" t="str">
        <f ca="1">AN6</f>
        <v>Boeing</v>
      </c>
      <c r="AU6" s="843" t="str">
        <f ca="1">AO6</f>
        <v>Huntington Ingalls</v>
      </c>
      <c r="AV6" s="843" t="str">
        <f ca="1">AP6</f>
        <v>Lockheed Martin</v>
      </c>
      <c r="AW6" s="844" t="str">
        <f ca="1">AQ6</f>
        <v>Northrop Grumman</v>
      </c>
      <c r="AX6" s="843" t="s">
        <v>920</v>
      </c>
      <c r="AY6" s="843" t="str">
        <f t="shared" ref="AY6:BC6" si="4" ca="1">AS6</f>
        <v>Raytheon</v>
      </c>
      <c r="AZ6" s="843" t="str">
        <f ca="1">AT6</f>
        <v>Boeing</v>
      </c>
      <c r="BA6" s="843" t="str">
        <f ca="1">AU6</f>
        <v>Huntington Ingalls</v>
      </c>
      <c r="BB6" s="843" t="str">
        <f ca="1">AV6</f>
        <v>Lockheed Martin</v>
      </c>
      <c r="BC6" s="844" t="str">
        <f ca="1">AW6</f>
        <v>Northrop Grumman</v>
      </c>
      <c r="BD6" s="843" t="s">
        <v>920</v>
      </c>
      <c r="BE6" s="843" t="str">
        <f t="shared" ref="BE6:BI6" si="5" ca="1">AY6</f>
        <v>Raytheon</v>
      </c>
      <c r="BF6" s="843" t="str">
        <f ca="1">AZ6</f>
        <v>Boeing</v>
      </c>
      <c r="BG6" s="843" t="str">
        <f ca="1">BA6</f>
        <v>Huntington Ingalls</v>
      </c>
      <c r="BH6" s="843" t="str">
        <f ca="1">BB6</f>
        <v>Lockheed Martin</v>
      </c>
      <c r="BI6" s="844" t="str">
        <f ca="1">BC6</f>
        <v>Northrop Grumman</v>
      </c>
      <c r="BJ6" s="16"/>
      <c r="BK6" s="16"/>
      <c r="BL6" s="842" t="str">
        <f ca="1">BD6</f>
        <v>Lowe's Companies, Inc.</v>
      </c>
      <c r="BM6" s="843" t="str">
        <f ca="1">Comparables!N$92</f>
        <v>3M Company</v>
      </c>
      <c r="BN6" s="843" t="str">
        <f ca="1">Comparables!$N$96</f>
        <v>General Electric</v>
      </c>
      <c r="BO6" s="843" t="str">
        <f ca="1">Comparables!$N$100</f>
        <v>Honeywell</v>
      </c>
      <c r="BP6" s="843" t="str">
        <f ca="1">Comparables!$N$104</f>
        <v>Roper Technologies</v>
      </c>
      <c r="BQ6" s="845" t="str">
        <f ca="1">Comparables!$N$108</f>
        <v>Emerson Electric</v>
      </c>
      <c r="BR6" s="843" t="s">
        <v>920</v>
      </c>
      <c r="BS6" s="843" t="str">
        <f t="shared" ref="BS6:BW6" si="6" ca="1">BM6</f>
        <v>3M Company</v>
      </c>
      <c r="BT6" s="843" t="str">
        <f ca="1">BN6</f>
        <v>General Electric</v>
      </c>
      <c r="BU6" s="843" t="str">
        <f ca="1">BO6</f>
        <v>Honeywell</v>
      </c>
      <c r="BV6" s="843" t="str">
        <f ca="1">BP6</f>
        <v>Roper Technologies</v>
      </c>
      <c r="BW6" s="844" t="str">
        <f ca="1">BQ6</f>
        <v>Emerson Electric</v>
      </c>
      <c r="BX6" s="843" t="str">
        <f ca="1">$BD$6</f>
        <v>Lowe's Companies, Inc.</v>
      </c>
      <c r="BY6" s="843" t="str">
        <f t="shared" ref="BY6:CC6" si="7" ca="1">BS6</f>
        <v>3M Company</v>
      </c>
      <c r="BZ6" s="843" t="str">
        <f ca="1">BT6</f>
        <v>General Electric</v>
      </c>
      <c r="CA6" s="843" t="str">
        <f ca="1">BU6</f>
        <v>Honeywell</v>
      </c>
      <c r="CB6" s="843" t="str">
        <f ca="1">BV6</f>
        <v>Roper Technologies</v>
      </c>
      <c r="CC6" s="844" t="str">
        <f ca="1">BW6</f>
        <v>Emerson Electric</v>
      </c>
      <c r="CD6" s="843" t="str">
        <f ca="1">$BD$6</f>
        <v>Lowe's Companies, Inc.</v>
      </c>
      <c r="CE6" s="843" t="str">
        <f t="shared" ref="CE6:CI6" si="8" ca="1">BY6</f>
        <v>3M Company</v>
      </c>
      <c r="CF6" s="843" t="str">
        <f ca="1">BZ6</f>
        <v>General Electric</v>
      </c>
      <c r="CG6" s="843" t="str">
        <f ca="1">CA6</f>
        <v>Honeywell</v>
      </c>
      <c r="CH6" s="843" t="str">
        <f ca="1">CB6</f>
        <v>Roper Technologies</v>
      </c>
      <c r="CI6" s="844" t="str">
        <f ca="1">CC6</f>
        <v>Emerson Electric</v>
      </c>
    </row>
    <row r="7" ht="14.25" customHeight="1" spans="1:87" x14ac:dyDescent="0.25">
      <c r="A7" s="16"/>
      <c r="B7" s="16"/>
      <c r="C7" s="846" t="s">
        <v>921</v>
      </c>
      <c r="D7" s="846"/>
      <c r="E7" s="846"/>
      <c r="F7" s="846"/>
      <c r="G7" s="846"/>
      <c r="H7" s="846"/>
      <c r="I7" s="84" t="str">
        <f ca="1">LEFT(I6)</f>
        <v>2</v>
      </c>
      <c r="J7" s="16"/>
      <c r="K7" s="84"/>
      <c r="L7" s="842" t="str">
        <f ca="1">Ticker</f>
        <v>LOW</v>
      </c>
      <c r="M7" s="843" t="str">
        <f ca="1">Comparables!$E$93</f>
        <v>HD</v>
      </c>
      <c r="N7" s="843" t="str">
        <f ca="1">Comparables!$E$97</f>
        <v>""</v>
      </c>
      <c r="O7" s="843" t="str">
        <f ca="1">Comparables!$E$101</f>
        <v>""</v>
      </c>
      <c r="P7" s="843" t="str">
        <f ca="1">Comparables!$E$105</f>
        <v>""</v>
      </c>
      <c r="Q7" s="843" t="str">
        <f ca="1">Comparables!$E$109</f>
        <v>""</v>
      </c>
      <c r="R7" s="843" t="str">
        <f t="shared" ref="R7:W7" si="9" ca="1">L7</f>
        <v>LOW</v>
      </c>
      <c r="S7" s="843" t="str">
        <f ca="1">M7</f>
        <v>HD</v>
      </c>
      <c r="T7" s="843" t="str">
        <f ca="1">N7</f>
        <v>""</v>
      </c>
      <c r="U7" s="843" t="str">
        <f ca="1">O7</f>
        <v>""</v>
      </c>
      <c r="V7" s="843" t="str">
        <f ca="1">P7</f>
        <v>""</v>
      </c>
      <c r="W7" s="843" t="str">
        <f ca="1">Q7</f>
        <v>""</v>
      </c>
      <c r="X7" s="843" t="str">
        <f t="shared" ref="X7:AC7" si="10" ca="1">L7</f>
        <v>LOW</v>
      </c>
      <c r="Y7" s="843" t="str">
        <f ca="1">M7</f>
        <v>HD</v>
      </c>
      <c r="Z7" s="843" t="str">
        <f ca="1">N7</f>
        <v>""</v>
      </c>
      <c r="AA7" s="843" t="str">
        <f ca="1">O7</f>
        <v>""</v>
      </c>
      <c r="AB7" s="843" t="str">
        <f ca="1">P7</f>
        <v>""</v>
      </c>
      <c r="AC7" s="843" t="str">
        <f ca="1">Q7</f>
        <v>""</v>
      </c>
      <c r="AD7" s="843" t="str">
        <f t="shared" ref="AD7:AI7" si="11" ca="1">L7</f>
        <v>LOW</v>
      </c>
      <c r="AE7" s="843" t="str">
        <f ca="1">M7</f>
        <v>HD</v>
      </c>
      <c r="AF7" s="843" t="str">
        <f ca="1">N7</f>
        <v>""</v>
      </c>
      <c r="AG7" s="843" t="str">
        <f ca="1">O7</f>
        <v>""</v>
      </c>
      <c r="AH7" s="843" t="str">
        <f ca="1">P7</f>
        <v>""</v>
      </c>
      <c r="AI7" s="843" t="str">
        <f ca="1">Q7</f>
        <v>""</v>
      </c>
      <c r="AJ7" s="16"/>
      <c r="AK7" s="16"/>
      <c r="AL7" s="842" t="str">
        <f ca="1">Ticker</f>
        <v>LOW</v>
      </c>
      <c r="AM7" s="843" t="str">
        <f ca="1">Comparables!$I$93</f>
        <v>RTX</v>
      </c>
      <c r="AN7" s="843" t="str">
        <f ca="1">Comparables!$I$97</f>
        <v>BA</v>
      </c>
      <c r="AO7" s="843" t="str">
        <f ca="1">Comparables!$I$101</f>
        <v>HII</v>
      </c>
      <c r="AP7" s="843" t="str">
        <f ca="1">Comparables!$I$105</f>
        <v>LMT</v>
      </c>
      <c r="AQ7" s="843" t="str">
        <f ca="1">Comparables!$I$109</f>
        <v>NOC</v>
      </c>
      <c r="AR7" s="843" t="str">
        <f ca="1">$AL$7</f>
        <v>LOW</v>
      </c>
      <c r="AS7" s="843" t="str">
        <f t="shared" ref="AS7:AW7" si="12" ca="1">AM7</f>
        <v>RTX</v>
      </c>
      <c r="AT7" s="843" t="str">
        <f ca="1">AN7</f>
        <v>BA</v>
      </c>
      <c r="AU7" s="843" t="str">
        <f ca="1">AO7</f>
        <v>HII</v>
      </c>
      <c r="AV7" s="843" t="str">
        <f ca="1">AP7</f>
        <v>LMT</v>
      </c>
      <c r="AW7" s="845" t="str">
        <f ca="1">AQ7</f>
        <v>NOC</v>
      </c>
      <c r="AX7" s="843" t="s">
        <v>504</v>
      </c>
      <c r="AY7" s="843" t="str">
        <f t="shared" ref="AY7:BC7" si="13" ca="1">AS7</f>
        <v>RTX</v>
      </c>
      <c r="AZ7" s="843" t="str">
        <f ca="1">AT7</f>
        <v>BA</v>
      </c>
      <c r="BA7" s="843" t="str">
        <f ca="1">AU7</f>
        <v>HII</v>
      </c>
      <c r="BB7" s="843" t="str">
        <f ca="1">AV7</f>
        <v>LMT</v>
      </c>
      <c r="BC7" s="845" t="str">
        <f ca="1">AW7</f>
        <v>NOC</v>
      </c>
      <c r="BD7" s="843" t="s">
        <v>504</v>
      </c>
      <c r="BE7" s="843" t="str">
        <f t="shared" ref="BE7:BI7" si="14" ca="1">AY7</f>
        <v>RTX</v>
      </c>
      <c r="BF7" s="843" t="str">
        <f ca="1">AZ7</f>
        <v>BA</v>
      </c>
      <c r="BG7" s="843" t="str">
        <f ca="1">BA7</f>
        <v>HII</v>
      </c>
      <c r="BH7" s="843" t="str">
        <f ca="1">BB7</f>
        <v>LMT</v>
      </c>
      <c r="BI7" s="845" t="str">
        <f ca="1">BC7</f>
        <v>NOC</v>
      </c>
      <c r="BJ7" s="16"/>
      <c r="BK7" s="16"/>
      <c r="BL7" s="842" t="str">
        <f ca="1">Ticker</f>
        <v>LOW</v>
      </c>
      <c r="BM7" s="843" t="str">
        <f ca="1">Comparables!$N$93</f>
        <v>MMM</v>
      </c>
      <c r="BN7" s="843" t="str">
        <f ca="1">Comparables!$N$97</f>
        <v>GE</v>
      </c>
      <c r="BO7" s="843" t="str">
        <f ca="1">Comparables!$N$101</f>
        <v>HON</v>
      </c>
      <c r="BP7" s="843" t="str">
        <f ca="1">Comparables!$N$105</f>
        <v>ROP</v>
      </c>
      <c r="BQ7" s="845" t="str">
        <f ca="1">Comparables!$N$109</f>
        <v>EMR</v>
      </c>
      <c r="BR7" s="843" t="s">
        <v>504</v>
      </c>
      <c r="BS7" s="843" t="str">
        <f t="shared" ref="BS7:BW7" si="15" ca="1">BM7</f>
        <v>MMM</v>
      </c>
      <c r="BT7" s="843" t="str">
        <f ca="1">BN7</f>
        <v>GE</v>
      </c>
      <c r="BU7" s="843" t="str">
        <f ca="1">BO7</f>
        <v>HON</v>
      </c>
      <c r="BV7" s="843" t="str">
        <f ca="1">BP7</f>
        <v>ROP</v>
      </c>
      <c r="BW7" s="845" t="str">
        <f ca="1">BQ7</f>
        <v>EMR</v>
      </c>
      <c r="BX7" s="843" t="str">
        <f ca="1">$BD$7</f>
        <v>LOW</v>
      </c>
      <c r="BY7" s="843" t="str">
        <f t="shared" ref="BY7:CC7" si="16" ca="1">BS7</f>
        <v>MMM</v>
      </c>
      <c r="BZ7" s="843" t="str">
        <f ca="1">BT7</f>
        <v>GE</v>
      </c>
      <c r="CA7" s="843" t="str">
        <f ca="1">BU7</f>
        <v>HON</v>
      </c>
      <c r="CB7" s="843" t="str">
        <f ca="1">BV7</f>
        <v>ROP</v>
      </c>
      <c r="CC7" s="845" t="str">
        <f ca="1">BW7</f>
        <v>EMR</v>
      </c>
      <c r="CD7" s="843" t="str">
        <f ca="1">$BD$7</f>
        <v>LOW</v>
      </c>
      <c r="CE7" s="843" t="str">
        <f t="shared" ref="CE7:CI7" si="17" ca="1">BY7</f>
        <v>MMM</v>
      </c>
      <c r="CF7" s="843" t="str">
        <f ca="1">BZ7</f>
        <v>GE</v>
      </c>
      <c r="CG7" s="843" t="str">
        <f ca="1">CA7</f>
        <v>HON</v>
      </c>
      <c r="CH7" s="843" t="str">
        <f ca="1">CB7</f>
        <v>ROP</v>
      </c>
      <c r="CI7" s="845" t="str">
        <f ca="1">CC7</f>
        <v>EMR</v>
      </c>
    </row>
    <row r="8" ht="14.25" customHeight="1" spans="1:87" x14ac:dyDescent="0.25">
      <c r="A8" s="16"/>
      <c r="B8" s="16"/>
      <c r="C8" s="84"/>
      <c r="D8" s="16"/>
      <c r="E8" s="84" t="s">
        <v>916</v>
      </c>
      <c r="F8" s="84" t="s">
        <v>917</v>
      </c>
      <c r="G8" s="84" t="s">
        <v>918</v>
      </c>
      <c r="H8" s="84" t="s">
        <v>919</v>
      </c>
      <c r="I8" s="84">
        <f ca="1">IF(I7="1",4,I7-1)</f>
        <v>1</v>
      </c>
      <c r="J8" s="641">
        <v>2004</v>
      </c>
      <c r="K8" s="345" t="str">
        <f t="shared" ref="K8:K85" si="18" ca="1">I8&amp;"Q"&amp;RIGHT(J8,2)</f>
        <v>1Q04</v>
      </c>
      <c r="L8" s="847">
        <v>31.0959</v>
      </c>
      <c r="M8" s="778">
        <v>26.6159</v>
      </c>
      <c r="N8" s="778">
        <v>37.6822</v>
      </c>
      <c r="O8" s="778">
        <v>37.6822</v>
      </c>
      <c r="P8" s="778">
        <v>37.6822</v>
      </c>
      <c r="Q8" s="848">
        <v>37.6822</v>
      </c>
      <c r="R8" s="847">
        <v>26.8322</v>
      </c>
      <c r="S8" s="778">
        <v>23.4247</v>
      </c>
      <c r="T8" s="778">
        <v>31.7712</v>
      </c>
      <c r="U8" s="778">
        <v>31.7712</v>
      </c>
      <c r="V8" s="778">
        <v>31.7712</v>
      </c>
      <c r="W8" s="848">
        <v>31.7712</v>
      </c>
      <c r="X8" s="847">
        <v>14.7082</v>
      </c>
      <c r="Y8" s="778">
        <v>13.6254</v>
      </c>
      <c r="Z8" s="778">
        <v>19.7715</v>
      </c>
      <c r="AA8" s="778">
        <v>19.7715</v>
      </c>
      <c r="AB8" s="778">
        <v>19.7715</v>
      </c>
      <c r="AC8" s="848">
        <v>19.7715</v>
      </c>
      <c r="AD8" s="778"/>
      <c r="AE8" s="778"/>
      <c r="AF8" s="778">
        <v>19.7715</v>
      </c>
      <c r="AG8" s="778">
        <v>19.7715</v>
      </c>
      <c r="AH8" s="778">
        <v>19.7715</v>
      </c>
      <c r="AI8" s="848">
        <v>19.7715</v>
      </c>
      <c r="AJ8" s="16"/>
      <c r="AK8" s="345" t="str">
        <f t="shared" ref="AK8:AK84" si="19" ca="1">$K8</f>
        <v>1Q04</v>
      </c>
      <c r="AL8" s="847">
        <f t="shared" ref="AL8:AL84" si="20" ca="1">L8</f>
        <v>31.0959</v>
      </c>
      <c r="AM8" s="778">
        <v>31.6373624508615</v>
      </c>
      <c r="AN8" s="778">
        <v>57.3242799255251</v>
      </c>
      <c r="AO8" s="778">
        <v>29.5323741007194</v>
      </c>
      <c r="AP8" s="778">
        <v>19.8206751054852</v>
      </c>
      <c r="AQ8" s="848"/>
      <c r="AR8" s="847">
        <f t="shared" ref="AR8:AR84" si="21" ca="1">R8</f>
        <v>26.8322</v>
      </c>
      <c r="AS8" s="778">
        <v>24.1628199748217</v>
      </c>
      <c r="AT8" s="778">
        <v>15.5671617478749</v>
      </c>
      <c r="AU8" s="778">
        <v>19.4273544723142</v>
      </c>
      <c r="AV8" s="778">
        <v>18.1932610379551</v>
      </c>
      <c r="AW8" s="848"/>
      <c r="AX8" s="847">
        <f t="shared" ref="AX8:AX84" si="22" ca="1">X8</f>
        <v>14.7082</v>
      </c>
      <c r="AY8" s="778">
        <v>13.3943921309475</v>
      </c>
      <c r="AZ8" s="778">
        <v>10.1673549788865</v>
      </c>
      <c r="BA8" s="778">
        <v>16.4177867910307</v>
      </c>
      <c r="BB8" s="778">
        <v>11.5907362783901</v>
      </c>
      <c r="BC8" s="848">
        <v>9.99367805512879</v>
      </c>
      <c r="BD8" s="847"/>
      <c r="BE8" s="778"/>
      <c r="BF8" s="778"/>
      <c r="BG8" s="778"/>
      <c r="BH8" s="778"/>
      <c r="BI8" s="848"/>
      <c r="BJ8" s="16"/>
      <c r="BK8" s="345" t="str">
        <f t="shared" ref="BK8:BK84" si="23" ca="1">$K8</f>
        <v>1Q04</v>
      </c>
      <c r="BL8" s="847">
        <f t="shared" ref="BL8:BL84" si="24" ca="1">AL8</f>
        <v>31.0959</v>
      </c>
      <c r="BM8" s="778">
        <v>24.0889830508475</v>
      </c>
      <c r="BN8" s="778">
        <v>198.04347826087</v>
      </c>
      <c r="BO8" s="778">
        <v>24.6567570429574</v>
      </c>
      <c r="BP8" s="778">
        <v>18.3081071668037</v>
      </c>
      <c r="BQ8" s="848">
        <v>18.3663366336634</v>
      </c>
      <c r="BR8" s="847">
        <f t="shared" ref="BR8:BR84" si="25" ca="1">AR8</f>
        <v>26.8322</v>
      </c>
      <c r="BS8" s="778">
        <v>21.3400900900901</v>
      </c>
      <c r="BT8" s="778">
        <v>59.3098958333333</v>
      </c>
      <c r="BU8" s="778">
        <v>21.8971197871046</v>
      </c>
      <c r="BV8" s="778">
        <v>15.6499713324482</v>
      </c>
      <c r="BW8" s="848">
        <v>17.2077922077922</v>
      </c>
      <c r="BX8" s="847">
        <f t="shared" ref="BX8:BX84" si="26" ca="1">AX8</f>
        <v>14.7082</v>
      </c>
      <c r="BY8" s="778">
        <v>9.95734832672691</v>
      </c>
      <c r="BZ8" s="778"/>
      <c r="CA8" s="778">
        <v>14.8271286946223</v>
      </c>
      <c r="CB8" s="778">
        <v>10.0353539604855</v>
      </c>
      <c r="CC8" s="848">
        <v>9.43229913064321</v>
      </c>
      <c r="CD8" s="847"/>
      <c r="CE8" s="778"/>
      <c r="CF8" s="778"/>
      <c r="CG8" s="778"/>
      <c r="CH8" s="778"/>
      <c r="CI8" s="848"/>
    </row>
    <row r="9" ht="14.25" customHeight="1" spans="1:87" x14ac:dyDescent="0.25">
      <c r="A9" s="16"/>
      <c r="B9" s="16"/>
      <c r="C9" s="16" t="s">
        <v>890</v>
      </c>
      <c r="D9" s="16"/>
      <c r="E9" s="724">
        <f ca="1">AVERAGE(L81:L86)</f>
        <v>19.53543333333333</v>
      </c>
      <c r="F9" s="724">
        <f ca="1">AVERAGE(R81:R86)</f>
        <v>18.597966666666668</v>
      </c>
      <c r="G9" s="724">
        <f ca="1">AVERAGE(X81:X86)</f>
        <v>13.0505</v>
      </c>
      <c r="H9" s="724">
        <f ca="1">AVERAGE(AD81:AD86)</f>
        <v>12.3564</v>
      </c>
      <c r="I9" s="84">
        <f ca="1">IF(I8=4,1,I8+1)</f>
        <v>2</v>
      </c>
      <c r="J9" s="5">
        <f t="shared" ref="J9:J85" si="27" ca="1">IF(I9=1,J8+1,J8)</f>
        <v>2004</v>
      </c>
      <c r="K9" s="345" t="str">
        <f ca="1">I9&amp;"Q"&amp;RIGHT(J9,2)</f>
        <v>2Q04</v>
      </c>
      <c r="L9" s="847">
        <v>25.3988</v>
      </c>
      <c r="M9" s="778">
        <v>17.5168</v>
      </c>
      <c r="N9" s="778">
        <v>26.6159</v>
      </c>
      <c r="O9" s="778">
        <v>26.6159</v>
      </c>
      <c r="P9" s="778">
        <v>26.6159</v>
      </c>
      <c r="Q9" s="848">
        <v>26.6159</v>
      </c>
      <c r="R9" s="847">
        <v>23.6842</v>
      </c>
      <c r="S9" s="778">
        <v>16.4151</v>
      </c>
      <c r="T9" s="778">
        <v>23.4247</v>
      </c>
      <c r="U9" s="778">
        <v>23.4247</v>
      </c>
      <c r="V9" s="778">
        <v>23.4247</v>
      </c>
      <c r="W9" s="848">
        <v>23.4247</v>
      </c>
      <c r="X9" s="847">
        <v>11.6632</v>
      </c>
      <c r="Y9" s="778">
        <v>8.7786</v>
      </c>
      <c r="Z9" s="778">
        <v>13.6254</v>
      </c>
      <c r="AA9" s="778">
        <v>13.6254</v>
      </c>
      <c r="AB9" s="778">
        <v>13.6254</v>
      </c>
      <c r="AC9" s="848">
        <v>13.6254</v>
      </c>
      <c r="AD9" s="778"/>
      <c r="AE9" s="778"/>
      <c r="AF9" s="778">
        <v>13.6254</v>
      </c>
      <c r="AG9" s="778">
        <v>13.6254</v>
      </c>
      <c r="AH9" s="778">
        <v>13.6254</v>
      </c>
      <c r="AI9" s="848">
        <v>13.6254</v>
      </c>
      <c r="AJ9" s="16"/>
      <c r="AK9" s="345" t="str">
        <f ca="1">$K9</f>
        <v>2Q04</v>
      </c>
      <c r="AL9" s="847">
        <f ca="1">L9</f>
        <v>25.3988</v>
      </c>
      <c r="AM9" s="778">
        <v>33.7378642338589</v>
      </c>
      <c r="AN9" s="778">
        <v>65.2061273977061</v>
      </c>
      <c r="AO9" s="778">
        <v>25.3105590062112</v>
      </c>
      <c r="AP9" s="778">
        <v>21.4415322786777</v>
      </c>
      <c r="AQ9" s="848"/>
      <c r="AR9" s="847">
        <f ca="1">R9</f>
        <v>23.6842</v>
      </c>
      <c r="AS9" s="778">
        <v>27.5903136165145</v>
      </c>
      <c r="AT9" s="778">
        <v>17.0317268699309</v>
      </c>
      <c r="AU9" s="778">
        <v>18.7442502299908</v>
      </c>
      <c r="AV9" s="778">
        <v>20.4048349961627</v>
      </c>
      <c r="AW9" s="848"/>
      <c r="AX9" s="847">
        <f ca="1">X9</f>
        <v>11.6632</v>
      </c>
      <c r="AY9" s="778">
        <v>15.4589819476129</v>
      </c>
      <c r="AZ9" s="778">
        <v>9.63156595976785</v>
      </c>
      <c r="BA9" s="778">
        <v>16.5102450531201</v>
      </c>
      <c r="BB9" s="778">
        <v>12.6637918478585</v>
      </c>
      <c r="BC9" s="848">
        <v>10.5788759046551</v>
      </c>
      <c r="BD9" s="847"/>
      <c r="BE9" s="778"/>
      <c r="BF9" s="778"/>
      <c r="BG9" s="778"/>
      <c r="BH9" s="778"/>
      <c r="BI9" s="848"/>
      <c r="BJ9" s="16"/>
      <c r="BK9" s="345" t="str">
        <f ca="1">$K9</f>
        <v>2Q04</v>
      </c>
      <c r="BL9" s="847">
        <f ca="1">AL9</f>
        <v>25.3988</v>
      </c>
      <c r="BM9" s="778">
        <v>22.662037037037</v>
      </c>
      <c r="BN9" s="778">
        <v>171.071428571429</v>
      </c>
      <c r="BO9" s="778">
        <v>18.4929491192053</v>
      </c>
      <c r="BP9" s="778">
        <v>16.8537918862423</v>
      </c>
      <c r="BQ9" s="848">
        <v>16.5206812652068</v>
      </c>
      <c r="BR9" s="847">
        <f ca="1">AR9</f>
        <v>23.6842</v>
      </c>
      <c r="BS9" s="778">
        <v>19.6271050521251</v>
      </c>
      <c r="BT9" s="778">
        <v>55.4398148148148</v>
      </c>
      <c r="BU9" s="778">
        <v>16.8829221100363</v>
      </c>
      <c r="BV9" s="778">
        <v>14.3390533790604</v>
      </c>
      <c r="BW9" s="848">
        <v>15.68853974122</v>
      </c>
      <c r="BX9" s="847">
        <f ca="1">AX9</f>
        <v>11.6632</v>
      </c>
      <c r="BY9" s="778">
        <v>7.89044204782666</v>
      </c>
      <c r="BZ9" s="778"/>
      <c r="CA9" s="778">
        <v>10.8988746445519</v>
      </c>
      <c r="CB9" s="778">
        <v>9.53206413009416</v>
      </c>
      <c r="CC9" s="848">
        <v>8.65171889647252</v>
      </c>
      <c r="CD9" s="847"/>
      <c r="CE9" s="778"/>
      <c r="CF9" s="778"/>
      <c r="CG9" s="778"/>
      <c r="CH9" s="778"/>
      <c r="CI9" s="848"/>
    </row>
    <row r="10" ht="14.25" customHeight="1" spans="1:87" x14ac:dyDescent="0.25">
      <c r="A10" s="16"/>
      <c r="B10" s="16"/>
      <c r="C10" s="16" t="s">
        <v>892</v>
      </c>
      <c r="D10" s="16"/>
      <c r="E10" s="724">
        <f ca="1">AVERAGE(L77:L86)</f>
        <v>19.24751</v>
      </c>
      <c r="F10" s="724">
        <f ca="1">AVERAGE(R77:R86)</f>
        <v>18.62513</v>
      </c>
      <c r="G10" s="724">
        <f ca="1">AVERAGE(X77:X86)</f>
        <v>13.67243</v>
      </c>
      <c r="H10" s="724">
        <f ca="1">AVERAGE(AD77:AD86)</f>
        <v>12.432619999999998</v>
      </c>
      <c r="I10" s="84">
        <f ca="1">IF(I9+1=5,1,I9+1)</f>
        <v>3</v>
      </c>
      <c r="J10" s="5">
        <f ca="1">IF(I10=1,J9+1,J9)</f>
        <v>2004</v>
      </c>
      <c r="K10" s="345" t="str">
        <f ca="1">I10&amp;"Q"&amp;RIGHT(J10,2)</f>
        <v>3Q04</v>
      </c>
      <c r="L10" s="847">
        <v>21.5517</v>
      </c>
      <c r="M10" s="778">
        <v>15.3974</v>
      </c>
      <c r="N10" s="778">
        <v>17.5168</v>
      </c>
      <c r="O10" s="778">
        <v>17.5168</v>
      </c>
      <c r="P10" s="778">
        <v>17.5168</v>
      </c>
      <c r="Q10" s="848">
        <v>17.5168</v>
      </c>
      <c r="R10" s="847">
        <v>21.0438</v>
      </c>
      <c r="S10" s="778">
        <v>15.2994</v>
      </c>
      <c r="T10" s="778">
        <v>16.4151</v>
      </c>
      <c r="U10" s="778">
        <v>16.4151</v>
      </c>
      <c r="V10" s="778">
        <v>16.4151</v>
      </c>
      <c r="W10" s="848">
        <v>16.4151</v>
      </c>
      <c r="X10" s="847">
        <v>9.2073</v>
      </c>
      <c r="Y10" s="778">
        <v>7.8782</v>
      </c>
      <c r="Z10" s="778">
        <v>8.7786</v>
      </c>
      <c r="AA10" s="778">
        <v>8.7786</v>
      </c>
      <c r="AB10" s="778">
        <v>8.7786</v>
      </c>
      <c r="AC10" s="848">
        <v>8.7786</v>
      </c>
      <c r="AD10" s="778"/>
      <c r="AE10" s="778"/>
      <c r="AF10" s="778">
        <v>8.7786</v>
      </c>
      <c r="AG10" s="778">
        <v>8.7786</v>
      </c>
      <c r="AH10" s="778">
        <v>8.7786</v>
      </c>
      <c r="AI10" s="848">
        <v>8.7786</v>
      </c>
      <c r="AJ10" s="16"/>
      <c r="AK10" s="345" t="str">
        <f ca="1">$K10</f>
        <v>3Q04</v>
      </c>
      <c r="AL10" s="847">
        <f ca="1">L10</f>
        <v>21.5517</v>
      </c>
      <c r="AM10" s="778">
        <v>28.2401745548824</v>
      </c>
      <c r="AN10" s="778">
        <v>61.5214753802231</v>
      </c>
      <c r="AO10" s="778">
        <v>15.668449197861</v>
      </c>
      <c r="AP10" s="778">
        <v>15.6403846153846</v>
      </c>
      <c r="AQ10" s="848"/>
      <c r="AR10" s="847">
        <f ca="1">R10</f>
        <v>21.0438</v>
      </c>
      <c r="AS10" s="778">
        <v>25.4606299212598</v>
      </c>
      <c r="AT10" s="778">
        <v>17.2111267537473</v>
      </c>
      <c r="AU10" s="778">
        <v>13.5710977304308</v>
      </c>
      <c r="AV10" s="778">
        <v>15.6947124662293</v>
      </c>
      <c r="AW10" s="848"/>
      <c r="AX10" s="847">
        <f ca="1">X10</f>
        <v>9.2073</v>
      </c>
      <c r="AY10" s="778">
        <v>14.1581699783545</v>
      </c>
      <c r="AZ10" s="778">
        <v>9.50835601638205</v>
      </c>
      <c r="BA10" s="778">
        <v>8.81060549832901</v>
      </c>
      <c r="BB10" s="778">
        <v>9.70905162045044</v>
      </c>
      <c r="BC10" s="848">
        <v>6.74708071538801</v>
      </c>
      <c r="BD10" s="847"/>
      <c r="BE10" s="778"/>
      <c r="BF10" s="778"/>
      <c r="BG10" s="778"/>
      <c r="BH10" s="778"/>
      <c r="BI10" s="848"/>
      <c r="BJ10" s="16"/>
      <c r="BK10" s="345" t="str">
        <f ca="1">$K10</f>
        <v>3Q04</v>
      </c>
      <c r="BL10" s="847">
        <f ca="1">AL10</f>
        <v>21.5517</v>
      </c>
      <c r="BM10" s="778">
        <v>17.0733944954128</v>
      </c>
      <c r="BN10" s="778">
        <v>77.0338983050848</v>
      </c>
      <c r="BO10" s="778">
        <v>14.9024195031447</v>
      </c>
      <c r="BP10" s="778">
        <v>10.058718431346</v>
      </c>
      <c r="BQ10" s="848">
        <v>13.45</v>
      </c>
      <c r="BR10" s="847">
        <f ca="1">AR10</f>
        <v>21.0438</v>
      </c>
      <c r="BS10" s="778">
        <v>18.3711747285291</v>
      </c>
      <c r="BT10" s="778">
        <v>42.6360225140713</v>
      </c>
      <c r="BU10" s="778">
        <v>14.3954113061968</v>
      </c>
      <c r="BV10" s="778">
        <v>10.177874029743</v>
      </c>
      <c r="BW10" s="848">
        <v>12.8503184713376</v>
      </c>
      <c r="BX10" s="847">
        <f ca="1">AX10</f>
        <v>9.2073</v>
      </c>
      <c r="BY10" s="778">
        <v>6.29632936312156</v>
      </c>
      <c r="BZ10" s="778"/>
      <c r="CA10" s="778">
        <v>9.23730471252448</v>
      </c>
      <c r="CB10" s="778">
        <v>6.18830742591716</v>
      </c>
      <c r="CC10" s="848">
        <v>7.00932513291303</v>
      </c>
      <c r="CD10" s="847"/>
      <c r="CE10" s="778"/>
      <c r="CF10" s="778"/>
      <c r="CG10" s="778"/>
      <c r="CH10" s="778"/>
      <c r="CI10" s="848"/>
    </row>
    <row r="11" ht="14.25" customHeight="1" spans="1:87" x14ac:dyDescent="0.25">
      <c r="A11" s="16"/>
      <c r="B11" s="16"/>
      <c r="C11" s="16" t="s">
        <v>887</v>
      </c>
      <c r="D11" s="16"/>
      <c r="E11" s="724">
        <f ca="1">AVERAGE(L73:L86)</f>
        <v>19.09469285714286</v>
      </c>
      <c r="F11" s="724">
        <f ca="1">AVERAGE(R73:R86)</f>
        <v>18.758692857142854</v>
      </c>
      <c r="G11" s="724">
        <f ca="1">AVERAGE(X73:X86)</f>
        <v>14.044407142857143</v>
      </c>
      <c r="H11" s="724">
        <f ca="1">AVERAGE(AD73:AD86)</f>
        <v>12.439849999999998</v>
      </c>
      <c r="I11" s="84">
        <f ca="1">IF(I10=4,1,I10+1)</f>
        <v>4</v>
      </c>
      <c r="J11" s="5">
        <f ca="1">IF(I11=1,J10+1,J10)</f>
        <v>2004</v>
      </c>
      <c r="K11" s="345" t="str">
        <f ca="1">I11&amp;"Q"&amp;RIGHT(J11,2)</f>
        <v>4Q04</v>
      </c>
      <c r="L11" s="847">
        <v>21.9462</v>
      </c>
      <c r="M11" s="778">
        <v>15.6154</v>
      </c>
      <c r="N11" s="778">
        <v>15.3974</v>
      </c>
      <c r="O11" s="778">
        <v>15.3974</v>
      </c>
      <c r="P11" s="778">
        <v>15.3974</v>
      </c>
      <c r="Q11" s="848">
        <v>15.3974</v>
      </c>
      <c r="R11" s="847">
        <v>18.6053</v>
      </c>
      <c r="S11" s="778">
        <v>14.2958</v>
      </c>
      <c r="T11" s="778">
        <v>15.2994</v>
      </c>
      <c r="U11" s="778">
        <v>15.2994</v>
      </c>
      <c r="V11" s="778">
        <v>15.2994</v>
      </c>
      <c r="W11" s="848">
        <v>15.2994</v>
      </c>
      <c r="X11" s="847">
        <v>9.508</v>
      </c>
      <c r="Y11" s="778">
        <v>8.2772</v>
      </c>
      <c r="Z11" s="778">
        <v>7.8782</v>
      </c>
      <c r="AA11" s="778">
        <v>7.8782</v>
      </c>
      <c r="AB11" s="778">
        <v>7.8782</v>
      </c>
      <c r="AC11" s="848">
        <v>7.8782</v>
      </c>
      <c r="AD11" s="778"/>
      <c r="AE11" s="778"/>
      <c r="AF11" s="778">
        <v>7.8782</v>
      </c>
      <c r="AG11" s="778">
        <v>7.8782</v>
      </c>
      <c r="AH11" s="778">
        <v>7.8782</v>
      </c>
      <c r="AI11" s="848">
        <v>7.8782</v>
      </c>
      <c r="AJ11" s="16"/>
      <c r="AK11" s="345" t="str">
        <f ca="1">$K11</f>
        <v>4Q04</v>
      </c>
      <c r="AL11" s="847">
        <f ca="1">L11</f>
        <v>21.9462</v>
      </c>
      <c r="AM11" s="778">
        <v>22.470817037238</v>
      </c>
      <c r="AN11" s="778">
        <v>38.2756671232394</v>
      </c>
      <c r="AO11" s="778">
        <v>16.6216216216216</v>
      </c>
      <c r="AP11" s="778">
        <v>15.0037807183365</v>
      </c>
      <c r="AQ11" s="848"/>
      <c r="AR11" s="847">
        <f ca="1">R11</f>
        <v>18.6053</v>
      </c>
      <c r="AS11" s="778">
        <v>22.6470588235294</v>
      </c>
      <c r="AT11" s="778">
        <v>14.7843172547043</v>
      </c>
      <c r="AU11" s="778">
        <v>14.5047169811321</v>
      </c>
      <c r="AV11" s="778">
        <v>15.3283120896099</v>
      </c>
      <c r="AW11" s="848"/>
      <c r="AX11" s="847">
        <f ca="1">X11</f>
        <v>9.508</v>
      </c>
      <c r="AY11" s="778">
        <v>12.4382164540118</v>
      </c>
      <c r="AZ11" s="778">
        <v>12.8718399686108</v>
      </c>
      <c r="BA11" s="778">
        <v>9.55054580501164</v>
      </c>
      <c r="BB11" s="778">
        <v>9.38555303097033</v>
      </c>
      <c r="BC11" s="848">
        <v>5.74453431728535</v>
      </c>
      <c r="BD11" s="847"/>
      <c r="BE11" s="778"/>
      <c r="BF11" s="778"/>
      <c r="BG11" s="778"/>
      <c r="BH11" s="778"/>
      <c r="BI11" s="848"/>
      <c r="BJ11" s="16"/>
      <c r="BK11" s="345" t="str">
        <f ca="1">$K11</f>
        <v>4Q04</v>
      </c>
      <c r="BL11" s="847">
        <f ca="1">AL11</f>
        <v>21.9462</v>
      </c>
      <c r="BM11" s="778">
        <v>19.8782608695652</v>
      </c>
      <c r="BN11" s="778">
        <v>33.7132352941176</v>
      </c>
      <c r="BO11" s="778">
        <v>15.5009745629139</v>
      </c>
      <c r="BP11" s="778">
        <v>11.424029243357</v>
      </c>
      <c r="BQ11" s="848">
        <v>14.0772727272727</v>
      </c>
      <c r="BR11" s="847">
        <f ca="1">AR11</f>
        <v>18.6053</v>
      </c>
      <c r="BS11" s="778">
        <v>21.8546845124283</v>
      </c>
      <c r="BT11" s="778">
        <v>19.3623310810811</v>
      </c>
      <c r="BU11" s="778">
        <v>15.470238988764</v>
      </c>
      <c r="BV11" s="778">
        <v>11.4012267897774</v>
      </c>
      <c r="BW11" s="848">
        <v>14.0581025873808</v>
      </c>
      <c r="BX11" s="847">
        <f ca="1">AX11</f>
        <v>9.508</v>
      </c>
      <c r="BY11" s="778">
        <v>5.60281246475435</v>
      </c>
      <c r="BZ11" s="778"/>
      <c r="CA11" s="778">
        <v>10.262349948648</v>
      </c>
      <c r="CB11" s="778">
        <v>7.16364226171752</v>
      </c>
      <c r="CC11" s="848">
        <v>7.56131327496828</v>
      </c>
      <c r="CD11" s="847"/>
      <c r="CE11" s="778"/>
      <c r="CF11" s="778"/>
      <c r="CG11" s="778"/>
      <c r="CH11" s="778"/>
      <c r="CI11" s="848"/>
    </row>
    <row r="12" ht="14.25" customHeight="1" spans="1:87" x14ac:dyDescent="0.25">
      <c r="A12" s="16"/>
      <c r="B12" s="16"/>
      <c r="C12" s="16" t="s">
        <v>893</v>
      </c>
      <c r="D12" s="16"/>
      <c r="E12" s="724">
        <f ca="1">AVERAGE(L65:L86)</f>
        <v>19.295113636363638</v>
      </c>
      <c r="F12" s="724">
        <f ca="1">AVERAGE(R65:R86)</f>
        <v>18.396150000000002</v>
      </c>
      <c r="G12" s="724">
        <f ca="1">AVERAGE(X65:X86)</f>
        <v>12.976963636363633</v>
      </c>
      <c r="H12" s="724">
        <f ca="1">AVERAGE(AD65:AD86)</f>
        <v>11.666890909090908</v>
      </c>
      <c r="I12" s="84">
        <f ca="1">I8</f>
        <v>1</v>
      </c>
      <c r="J12" s="5">
        <f ca="1">IF(I12=1,J11+1,J11)</f>
        <v>2005</v>
      </c>
      <c r="K12" s="345" t="str">
        <f ca="1">I12&amp;"Q"&amp;RIGHT(J12,2)</f>
        <v>1Q05</v>
      </c>
      <c r="L12" s="847">
        <v>22.3698</v>
      </c>
      <c r="M12" s="778">
        <v>20.8302</v>
      </c>
      <c r="N12" s="778">
        <v>15.6154</v>
      </c>
      <c r="O12" s="778">
        <v>15.6154</v>
      </c>
      <c r="P12" s="778">
        <v>15.6154</v>
      </c>
      <c r="Q12" s="848">
        <v>15.6154</v>
      </c>
      <c r="R12" s="847">
        <v>19.6119</v>
      </c>
      <c r="S12" s="778">
        <v>19.1114</v>
      </c>
      <c r="T12" s="778">
        <v>14.2958</v>
      </c>
      <c r="U12" s="778">
        <v>14.2958</v>
      </c>
      <c r="V12" s="778">
        <v>14.2958</v>
      </c>
      <c r="W12" s="848">
        <v>14.2958</v>
      </c>
      <c r="X12" s="847">
        <v>9.4789</v>
      </c>
      <c r="Y12" s="778">
        <v>10.6559</v>
      </c>
      <c r="Z12" s="778">
        <v>8.2772</v>
      </c>
      <c r="AA12" s="778">
        <v>8.2772</v>
      </c>
      <c r="AB12" s="778">
        <v>8.2772</v>
      </c>
      <c r="AC12" s="848">
        <v>8.2772</v>
      </c>
      <c r="AD12" s="778"/>
      <c r="AE12" s="778"/>
      <c r="AF12" s="778">
        <v>8.2772</v>
      </c>
      <c r="AG12" s="778">
        <v>8.2772</v>
      </c>
      <c r="AH12" s="778">
        <v>8.2772</v>
      </c>
      <c r="AI12" s="848">
        <v>8.2772</v>
      </c>
      <c r="AJ12" s="16"/>
      <c r="AK12" s="345" t="str">
        <f ca="1">$K12</f>
        <v>1Q05</v>
      </c>
      <c r="AL12" s="847">
        <f ca="1">L12</f>
        <v>22.3698</v>
      </c>
      <c r="AM12" s="778">
        <v>18.1488548131938</v>
      </c>
      <c r="AN12" s="778">
        <v>13.8276219685405</v>
      </c>
      <c r="AO12" s="778">
        <v>16.2114285714286</v>
      </c>
      <c r="AP12" s="778">
        <v>10.4695817490494</v>
      </c>
      <c r="AQ12" s="848"/>
      <c r="AR12" s="847">
        <f ca="1">R12</f>
        <v>19.6119</v>
      </c>
      <c r="AS12" s="778">
        <v>21.5940054495913</v>
      </c>
      <c r="AT12" s="778">
        <v>20.1751850233281</v>
      </c>
      <c r="AU12" s="778">
        <v>16.4559164733179</v>
      </c>
      <c r="AV12" s="778">
        <v>10.9352660841938</v>
      </c>
      <c r="AW12" s="848"/>
      <c r="AX12" s="847">
        <f ca="1">X12</f>
        <v>9.4789</v>
      </c>
      <c r="AY12" s="778">
        <v>10.3640936852251</v>
      </c>
      <c r="AZ12" s="778">
        <v>10.8635508026007</v>
      </c>
      <c r="BA12" s="778">
        <v>9.75856331300942</v>
      </c>
      <c r="BB12" s="778">
        <v>7.4360441182741</v>
      </c>
      <c r="BC12" s="848">
        <v>5.38774679702789</v>
      </c>
      <c r="BD12" s="847"/>
      <c r="BE12" s="778"/>
      <c r="BF12" s="778"/>
      <c r="BG12" s="778"/>
      <c r="BH12" s="778"/>
      <c r="BI12" s="848"/>
      <c r="BJ12" s="16"/>
      <c r="BK12" s="345" t="str">
        <f ca="1">$K12</f>
        <v>1Q05</v>
      </c>
      <c r="BL12" s="847">
        <f ca="1">AL12</f>
        <v>22.3698</v>
      </c>
      <c r="BM12" s="778">
        <v>20.1639344262295</v>
      </c>
      <c r="BN12" s="778">
        <v>21.8111111111111</v>
      </c>
      <c r="BO12" s="778">
        <v>16.5621018243243</v>
      </c>
      <c r="BP12" s="778">
        <v>10.8742096541045</v>
      </c>
      <c r="BQ12" s="848">
        <v>12.84</v>
      </c>
      <c r="BR12" s="847">
        <f ca="1">AR12</f>
        <v>19.6119</v>
      </c>
      <c r="BS12" s="778">
        <v>21.8278615794144</v>
      </c>
      <c r="BT12" s="778">
        <v>16.523569023569</v>
      </c>
      <c r="BU12" s="778">
        <v>15.2532113876789</v>
      </c>
      <c r="BV12" s="778">
        <v>12.4524017471987</v>
      </c>
      <c r="BW12" s="848">
        <v>12.3093310609288</v>
      </c>
      <c r="BX12" s="847">
        <f ca="1">AX12</f>
        <v>9.4789</v>
      </c>
      <c r="BY12" s="778">
        <v>6.93754542616547</v>
      </c>
      <c r="BZ12" s="778"/>
      <c r="CA12" s="778">
        <v>10.9533057003254</v>
      </c>
      <c r="CB12" s="778">
        <v>6.96558270476352</v>
      </c>
      <c r="CC12" s="848">
        <v>7.03993127598507</v>
      </c>
      <c r="CD12" s="847"/>
      <c r="CE12" s="778"/>
      <c r="CF12" s="778"/>
      <c r="CG12" s="778"/>
      <c r="CH12" s="778"/>
      <c r="CI12" s="848"/>
    </row>
    <row r="13" ht="14.25" customHeight="1" spans="1:87" x14ac:dyDescent="0.25">
      <c r="A13" s="16"/>
      <c r="B13" s="16"/>
      <c r="C13" s="846" t="s">
        <v>922</v>
      </c>
      <c r="D13" s="846"/>
      <c r="E13" s="846"/>
      <c r="F13" s="846"/>
      <c r="G13" s="846"/>
      <c r="H13" s="846"/>
      <c r="I13" s="84">
        <f ca="1">IF(I12=4,1,I12+1)</f>
        <v>2</v>
      </c>
      <c r="J13" s="5">
        <f ca="1">IF(I13=1,J12+1,J12)</f>
        <v>2005</v>
      </c>
      <c r="K13" s="345" t="str">
        <f ca="1">I13&amp;"Q"&amp;RIGHT(J13,2)</f>
        <v>2Q05</v>
      </c>
      <c r="L13" s="847">
        <v>25.1942</v>
      </c>
      <c r="M13" s="778">
        <v>19.303</v>
      </c>
      <c r="N13" s="778">
        <v>20.8302</v>
      </c>
      <c r="O13" s="778">
        <v>20.8302</v>
      </c>
      <c r="P13" s="778">
        <v>20.8302</v>
      </c>
      <c r="Q13" s="848">
        <v>20.8302</v>
      </c>
      <c r="R13" s="847">
        <v>22.7432</v>
      </c>
      <c r="S13" s="778">
        <v>18.0863</v>
      </c>
      <c r="T13" s="778">
        <v>19.1114</v>
      </c>
      <c r="U13" s="778">
        <v>19.1114</v>
      </c>
      <c r="V13" s="778">
        <v>19.1114</v>
      </c>
      <c r="W13" s="848">
        <v>19.1114</v>
      </c>
      <c r="X13" s="847">
        <v>11.0759</v>
      </c>
      <c r="Y13" s="778">
        <v>10.0964</v>
      </c>
      <c r="Z13" s="778">
        <v>10.6559</v>
      </c>
      <c r="AA13" s="778">
        <v>10.6559</v>
      </c>
      <c r="AB13" s="778">
        <v>10.6559</v>
      </c>
      <c r="AC13" s="848">
        <v>10.6559</v>
      </c>
      <c r="AD13" s="778"/>
      <c r="AE13" s="778"/>
      <c r="AF13" s="778">
        <v>10.6559</v>
      </c>
      <c r="AG13" s="778">
        <v>10.6559</v>
      </c>
      <c r="AH13" s="778">
        <v>10.6559</v>
      </c>
      <c r="AI13" s="848">
        <v>10.6559</v>
      </c>
      <c r="AJ13" s="16"/>
      <c r="AK13" s="345" t="str">
        <f ca="1">$K13</f>
        <v>2Q05</v>
      </c>
      <c r="AL13" s="847">
        <f ca="1">L13</f>
        <v>25.1942</v>
      </c>
      <c r="AM13" s="778">
        <v>18.0189389708436</v>
      </c>
      <c r="AN13" s="778">
        <v>14.3659743500337</v>
      </c>
      <c r="AO13" s="778">
        <v>20.1472392638037</v>
      </c>
      <c r="AP13" s="778">
        <v>14.1050583657588</v>
      </c>
      <c r="AQ13" s="848"/>
      <c r="AR13" s="847">
        <f ca="1">R13</f>
        <v>22.7432</v>
      </c>
      <c r="AS13" s="778">
        <v>20.6736201651456</v>
      </c>
      <c r="AT13" s="778">
        <v>19.4244121565757</v>
      </c>
      <c r="AU13" s="778">
        <v>18.9607390300231</v>
      </c>
      <c r="AV13" s="778">
        <v>14.9054276315789</v>
      </c>
      <c r="AW13" s="848"/>
      <c r="AX13" s="847">
        <f ca="1">X13</f>
        <v>11.0759</v>
      </c>
      <c r="AY13" s="778">
        <v>10.3669599181416</v>
      </c>
      <c r="AZ13" s="778">
        <v>11.1857641603841</v>
      </c>
      <c r="BA13" s="778">
        <v>10.7758521211248</v>
      </c>
      <c r="BB13" s="778">
        <v>9.58501615579418</v>
      </c>
      <c r="BC13" s="848">
        <v>5.69296651382372</v>
      </c>
      <c r="BD13" s="847"/>
      <c r="BE13" s="778"/>
      <c r="BF13" s="778"/>
      <c r="BG13" s="778"/>
      <c r="BH13" s="778"/>
      <c r="BI13" s="848"/>
      <c r="BJ13" s="16"/>
      <c r="BK13" s="345" t="str">
        <f ca="1">$K13</f>
        <v>2Q05</v>
      </c>
      <c r="BL13" s="847">
        <f ca="1">AL13</f>
        <v>25.1942</v>
      </c>
      <c r="BM13" s="778">
        <v>18.4916943521595</v>
      </c>
      <c r="BN13" s="778">
        <v>20.0438596491228</v>
      </c>
      <c r="BO13" s="778">
        <v>19.4145705295775</v>
      </c>
      <c r="BP13" s="778">
        <v>15.1250091313676</v>
      </c>
      <c r="BQ13" s="848">
        <v>15.635761589404</v>
      </c>
      <c r="BR13" s="847">
        <f ca="1">AR13</f>
        <v>22.7432</v>
      </c>
      <c r="BS13" s="778">
        <v>24.4982394366197</v>
      </c>
      <c r="BT13" s="778">
        <v>19.6643717728055</v>
      </c>
      <c r="BU13" s="778">
        <v>17.2844452363636</v>
      </c>
      <c r="BV13" s="778">
        <v>16.4381128180137</v>
      </c>
      <c r="BW13" s="848">
        <v>15.2914507772021</v>
      </c>
      <c r="BX13" s="847">
        <f ca="1">AX13</f>
        <v>11.0759</v>
      </c>
      <c r="BY13" s="778">
        <v>7.88023838323117</v>
      </c>
      <c r="BZ13" s="778"/>
      <c r="CA13" s="778">
        <v>12.5033257784677</v>
      </c>
      <c r="CB13" s="778">
        <v>9.07894458569696</v>
      </c>
      <c r="CC13" s="848">
        <v>8.28311190789697</v>
      </c>
      <c r="CD13" s="847"/>
      <c r="CE13" s="778"/>
      <c r="CF13" s="778"/>
      <c r="CG13" s="778"/>
      <c r="CH13" s="778"/>
      <c r="CI13" s="848"/>
    </row>
    <row r="14" ht="14.25" customHeight="1" spans="1:87" x14ac:dyDescent="0.25">
      <c r="A14" s="16"/>
      <c r="B14" s="16"/>
      <c r="C14" s="84"/>
      <c r="D14" s="16"/>
      <c r="E14" s="84" t="s">
        <v>916</v>
      </c>
      <c r="F14" s="84" t="s">
        <v>917</v>
      </c>
      <c r="G14" s="84" t="s">
        <v>918</v>
      </c>
      <c r="H14" s="84" t="s">
        <v>919</v>
      </c>
      <c r="I14" s="84">
        <f ca="1">IF(I13+1=5,1,I13+1)</f>
        <v>3</v>
      </c>
      <c r="J14" s="5">
        <f ca="1">IF(I14=1,J13+1,J13)</f>
        <v>2005</v>
      </c>
      <c r="K14" s="345" t="str">
        <f ca="1">I14&amp;"Q"&amp;RIGHT(J14,2)</f>
        <v>3Q05</v>
      </c>
      <c r="L14" s="847">
        <v>25.4083</v>
      </c>
      <c r="M14" s="778">
        <v>20.28</v>
      </c>
      <c r="N14" s="778">
        <v>19.303</v>
      </c>
      <c r="O14" s="778">
        <v>19.303</v>
      </c>
      <c r="P14" s="778">
        <v>19.303</v>
      </c>
      <c r="Q14" s="848">
        <v>19.303</v>
      </c>
      <c r="R14" s="847">
        <v>23.793</v>
      </c>
      <c r="S14" s="778">
        <v>19.5</v>
      </c>
      <c r="T14" s="778">
        <v>18.0863</v>
      </c>
      <c r="U14" s="778">
        <v>18.0863</v>
      </c>
      <c r="V14" s="778">
        <v>18.0863</v>
      </c>
      <c r="W14" s="848">
        <v>18.0863</v>
      </c>
      <c r="X14" s="847">
        <v>12.2065</v>
      </c>
      <c r="Y14" s="778">
        <v>10.3455</v>
      </c>
      <c r="Z14" s="778">
        <v>10.0964</v>
      </c>
      <c r="AA14" s="778">
        <v>10.0964</v>
      </c>
      <c r="AB14" s="778">
        <v>10.0964</v>
      </c>
      <c r="AC14" s="848">
        <v>10.0964</v>
      </c>
      <c r="AD14" s="778"/>
      <c r="AE14" s="778"/>
      <c r="AF14" s="778">
        <v>10.0964</v>
      </c>
      <c r="AG14" s="778">
        <v>10.0964</v>
      </c>
      <c r="AH14" s="778">
        <v>10.0964</v>
      </c>
      <c r="AI14" s="848">
        <v>10.0964</v>
      </c>
      <c r="AJ14" s="16"/>
      <c r="AK14" s="345" t="str">
        <f ca="1">$K14</f>
        <v>3Q05</v>
      </c>
      <c r="AL14" s="847">
        <f ca="1">L14</f>
        <v>25.4083</v>
      </c>
      <c r="AM14" s="778">
        <v>17.4810601955945</v>
      </c>
      <c r="AN14" s="778">
        <v>15.5222617083941</v>
      </c>
      <c r="AO14" s="778">
        <v>18.6666666666667</v>
      </c>
      <c r="AP14" s="778">
        <v>15.4574257425743</v>
      </c>
      <c r="AQ14" s="848"/>
      <c r="AR14" s="847">
        <f ca="1">R14</f>
        <v>23.793</v>
      </c>
      <c r="AS14" s="778">
        <v>19.7559931506849</v>
      </c>
      <c r="AT14" s="778">
        <v>18.1815152343096</v>
      </c>
      <c r="AU14" s="778">
        <v>16.1476355247982</v>
      </c>
      <c r="AV14" s="778">
        <v>15.7315598548972</v>
      </c>
      <c r="AW14" s="848"/>
      <c r="AX14" s="847">
        <f ca="1">X14</f>
        <v>12.2065</v>
      </c>
      <c r="AY14" s="778">
        <v>10.1269007814659</v>
      </c>
      <c r="AZ14" s="778">
        <v>10.1162324790173</v>
      </c>
      <c r="BA14" s="778">
        <v>11.2636629241168</v>
      </c>
      <c r="BB14" s="778">
        <v>11.3925268271013</v>
      </c>
      <c r="BC14" s="848">
        <v>6.44598235164602</v>
      </c>
      <c r="BD14" s="847"/>
      <c r="BE14" s="778"/>
      <c r="BF14" s="778"/>
      <c r="BG14" s="778"/>
      <c r="BH14" s="778"/>
      <c r="BI14" s="848"/>
      <c r="BJ14" s="16"/>
      <c r="BK14" s="345" t="str">
        <f ca="1">$K14</f>
        <v>3Q05</v>
      </c>
      <c r="BL14" s="847">
        <f ca="1">AL14</f>
        <v>25.4083</v>
      </c>
      <c r="BM14" s="778">
        <v>21.9936102236422</v>
      </c>
      <c r="BN14" s="778">
        <v>19.817843866171</v>
      </c>
      <c r="BO14" s="778">
        <v>20.3226270304026</v>
      </c>
      <c r="BP14" s="778">
        <v>15.7768957317849</v>
      </c>
      <c r="BQ14" s="848">
        <v>16.8366013071895</v>
      </c>
      <c r="BR14" s="847">
        <f ca="1">AR14</f>
        <v>23.793</v>
      </c>
      <c r="BS14" s="778">
        <v>22.0499679692505</v>
      </c>
      <c r="BT14" s="778">
        <v>20.9222919937206</v>
      </c>
      <c r="BU14" s="778">
        <v>18.2631639477374</v>
      </c>
      <c r="BV14" s="778">
        <v>15.9982552382258</v>
      </c>
      <c r="BW14" s="848">
        <v>16.6122098022356</v>
      </c>
      <c r="BX14" s="847">
        <f ca="1">AX14</f>
        <v>12.2065</v>
      </c>
      <c r="BY14" s="778">
        <v>9.11842510539123</v>
      </c>
      <c r="BZ14" s="778"/>
      <c r="CA14" s="778">
        <v>19.2130441562616</v>
      </c>
      <c r="CB14" s="778">
        <v>9.10394617290455</v>
      </c>
      <c r="CC14" s="848">
        <v>9.17891227629023</v>
      </c>
      <c r="CD14" s="847"/>
      <c r="CE14" s="778"/>
      <c r="CF14" s="778"/>
      <c r="CG14" s="778"/>
      <c r="CH14" s="778"/>
      <c r="CI14" s="848"/>
    </row>
    <row r="15" ht="14.25" customHeight="1" spans="1:87" x14ac:dyDescent="0.25">
      <c r="A15" s="16"/>
      <c r="B15" s="16"/>
      <c r="C15" s="16" t="s">
        <v>923</v>
      </c>
      <c r="D15" s="16"/>
      <c r="E15" s="724">
        <f ca="1">AVERAGE(L8:L75)</f>
        <v>19.79816153846154</v>
      </c>
      <c r="F15" s="724">
        <f ca="1">AVERAGE(R8:R75)</f>
        <v>18.242857352941172</v>
      </c>
      <c r="G15" s="724">
        <f ca="1">AVERAGE(X8:X75)</f>
        <v>9.726156923076925</v>
      </c>
      <c r="H15" s="724">
        <f ca="1">AVERAGE(AD8:AD75)</f>
        <v>8.828614545454545</v>
      </c>
      <c r="I15" s="84">
        <f ca="1">IF(I14=4,1,I14+1)</f>
        <v>4</v>
      </c>
      <c r="J15" s="5">
        <f ca="1">IF(I15=1,J14+1,J14)</f>
        <v>2005</v>
      </c>
      <c r="K15" s="345" t="str">
        <f ca="1">I15&amp;"Q"&amp;RIGHT(J15,2)</f>
        <v>4Q05</v>
      </c>
      <c r="L15" s="847">
        <v>24.8363</v>
      </c>
      <c r="M15" s="778">
        <v>19.9786</v>
      </c>
      <c r="N15" s="778">
        <v>20.28</v>
      </c>
      <c r="O15" s="778">
        <v>20.28</v>
      </c>
      <c r="P15" s="778">
        <v>20.28</v>
      </c>
      <c r="Q15" s="848">
        <v>20.28</v>
      </c>
      <c r="R15" s="847">
        <v>21.1492</v>
      </c>
      <c r="S15" s="778">
        <v>17.8074</v>
      </c>
      <c r="T15" s="778">
        <v>19.5</v>
      </c>
      <c r="U15" s="778">
        <v>19.5</v>
      </c>
      <c r="V15" s="778">
        <v>19.5</v>
      </c>
      <c r="W15" s="848">
        <v>19.5</v>
      </c>
      <c r="X15" s="847">
        <v>11.7912</v>
      </c>
      <c r="Y15" s="778">
        <v>10.5422</v>
      </c>
      <c r="Z15" s="778">
        <v>10.3455</v>
      </c>
      <c r="AA15" s="778">
        <v>10.3455</v>
      </c>
      <c r="AB15" s="778">
        <v>10.3455</v>
      </c>
      <c r="AC15" s="848">
        <v>10.3455</v>
      </c>
      <c r="AD15" s="778"/>
      <c r="AE15" s="778"/>
      <c r="AF15" s="778">
        <v>10.3455</v>
      </c>
      <c r="AG15" s="778">
        <v>10.3455</v>
      </c>
      <c r="AH15" s="778">
        <v>10.3455</v>
      </c>
      <c r="AI15" s="848">
        <v>10.3455</v>
      </c>
      <c r="AJ15" s="16"/>
      <c r="AK15" s="345" t="str">
        <f ca="1">$K15</f>
        <v>4Q05</v>
      </c>
      <c r="AL15" s="847">
        <f ca="1">L15</f>
        <v>24.8363</v>
      </c>
      <c r="AM15" s="778">
        <v>20.0781245138205</v>
      </c>
      <c r="AN15" s="778">
        <v>19.3154136802241</v>
      </c>
      <c r="AO15" s="778">
        <v>17.8809523809524</v>
      </c>
      <c r="AP15" s="778">
        <v>18.0419162535235</v>
      </c>
      <c r="AQ15" s="848"/>
      <c r="AR15" s="847">
        <f ca="1">R15</f>
        <v>21.1492</v>
      </c>
      <c r="AS15" s="778">
        <v>22.1075268817204</v>
      </c>
      <c r="AT15" s="778">
        <v>20.1782706468125</v>
      </c>
      <c r="AU15" s="778">
        <v>22.7059712773999</v>
      </c>
      <c r="AV15" s="778">
        <v>18.1287605294826</v>
      </c>
      <c r="AW15" s="848"/>
      <c r="AX15" s="847">
        <f ca="1">X15</f>
        <v>11.7912</v>
      </c>
      <c r="AY15" s="778">
        <v>10.883162475822</v>
      </c>
      <c r="AZ15" s="778">
        <v>10.5446324556368</v>
      </c>
      <c r="BA15" s="778">
        <v>11.294114858807</v>
      </c>
      <c r="BB15" s="778">
        <v>12.0667264935075</v>
      </c>
      <c r="BC15" s="848">
        <v>7.7573009425963</v>
      </c>
      <c r="BD15" s="847"/>
      <c r="BE15" s="778"/>
      <c r="BF15" s="778"/>
      <c r="BG15" s="778"/>
      <c r="BH15" s="778"/>
      <c r="BI15" s="848"/>
      <c r="BJ15" s="16"/>
      <c r="BK15" s="345" t="str">
        <f ca="1">$K15</f>
        <v>4Q05</v>
      </c>
      <c r="BL15" s="847">
        <f ca="1">AL15</f>
        <v>24.8363</v>
      </c>
      <c r="BM15" s="778">
        <v>25.7826086956522</v>
      </c>
      <c r="BN15" s="778">
        <v>24.6401515151515</v>
      </c>
      <c r="BO15" s="778">
        <v>19.2126246822476</v>
      </c>
      <c r="BP15" s="778">
        <v>20.1426844728599</v>
      </c>
      <c r="BQ15" s="848">
        <v>20.2068230277186</v>
      </c>
      <c r="BR15" s="847">
        <f ca="1">AR15</f>
        <v>21.1492</v>
      </c>
      <c r="BS15" s="778">
        <v>26.7117117117117</v>
      </c>
      <c r="BT15" s="778">
        <v>18.6603557085485</v>
      </c>
      <c r="BU15" s="778">
        <v>19.1878662190722</v>
      </c>
      <c r="BV15" s="778">
        <v>20.4796920637829</v>
      </c>
      <c r="BW15" s="848">
        <v>20.3281853281853</v>
      </c>
      <c r="BX15" s="847">
        <f ca="1">AX15</f>
        <v>11.7912</v>
      </c>
      <c r="BY15" s="778">
        <v>10.5557385077167</v>
      </c>
      <c r="BZ15" s="778"/>
      <c r="CA15" s="778">
        <v>12.0164333674176</v>
      </c>
      <c r="CB15" s="778">
        <v>11.1252626809564</v>
      </c>
      <c r="CC15" s="848">
        <v>10.5473523792329</v>
      </c>
      <c r="CD15" s="847"/>
      <c r="CE15" s="778"/>
      <c r="CF15" s="778"/>
      <c r="CG15" s="778"/>
      <c r="CH15" s="778"/>
      <c r="CI15" s="848"/>
    </row>
    <row r="16" ht="14.25" customHeight="1" spans="1:87" x14ac:dyDescent="0.25">
      <c r="A16" s="16"/>
      <c r="B16" s="16"/>
      <c r="C16" s="16" t="s">
        <v>924</v>
      </c>
      <c r="D16" s="16"/>
      <c r="E16" s="724">
        <f t="shared" ref="E16:H16" si="28" ca="1">AVERAGE(E20,E24)</f>
        <v>20.521407291666662</v>
      </c>
      <c r="F16" s="724">
        <f ca="1">AVERAGE(F20,F24)</f>
        <v>18.89432708333333</v>
      </c>
      <c r="G16" s="724">
        <f ca="1">AVERAGE(G20,G24)</f>
        <v>9.275228125</v>
      </c>
      <c r="H16" s="724">
        <f ca="1">AVERAGE(H20,H24)</f>
        <v>3.7041437499999996</v>
      </c>
      <c r="I16" s="84">
        <f ca="1">I12</f>
        <v>1</v>
      </c>
      <c r="J16" s="5">
        <f ca="1">IF(I16=1,J15+1,J15)</f>
        <v>2006</v>
      </c>
      <c r="K16" s="345" t="str">
        <f ca="1">I16&amp;"Q"&amp;RIGHT(J16,2)</f>
        <v>1Q06</v>
      </c>
      <c r="L16" s="847">
        <v>22.5536</v>
      </c>
      <c r="M16" s="778">
        <v>17.868</v>
      </c>
      <c r="N16" s="778">
        <v>19.9786</v>
      </c>
      <c r="O16" s="778">
        <v>19.9786</v>
      </c>
      <c r="P16" s="778">
        <v>19.9786</v>
      </c>
      <c r="Q16" s="848">
        <v>19.9786</v>
      </c>
      <c r="R16" s="847">
        <v>19.3199</v>
      </c>
      <c r="S16" s="778">
        <v>16.3114</v>
      </c>
      <c r="T16" s="778">
        <v>17.8074</v>
      </c>
      <c r="U16" s="778">
        <v>17.8074</v>
      </c>
      <c r="V16" s="778">
        <v>17.8074</v>
      </c>
      <c r="W16" s="848">
        <v>17.8074</v>
      </c>
      <c r="X16" s="847">
        <v>10.6765</v>
      </c>
      <c r="Y16" s="778">
        <v>9.1232</v>
      </c>
      <c r="Z16" s="778">
        <v>10.5422</v>
      </c>
      <c r="AA16" s="778">
        <v>10.5422</v>
      </c>
      <c r="AB16" s="778">
        <v>10.5422</v>
      </c>
      <c r="AC16" s="848">
        <v>10.5422</v>
      </c>
      <c r="AD16" s="778"/>
      <c r="AE16" s="778"/>
      <c r="AF16" s="778">
        <v>10.5422</v>
      </c>
      <c r="AG16" s="778">
        <v>10.5422</v>
      </c>
      <c r="AH16" s="778">
        <v>10.5422</v>
      </c>
      <c r="AI16" s="848">
        <v>10.5422</v>
      </c>
      <c r="AJ16" s="16"/>
      <c r="AK16" s="345" t="str">
        <f ca="1">$K16</f>
        <v>1Q06</v>
      </c>
      <c r="AL16" s="847">
        <f ca="1">L16</f>
        <v>22.5536</v>
      </c>
      <c r="AM16" s="778">
        <v>17.1578944138873</v>
      </c>
      <c r="AN16" s="778">
        <v>17.964677885176</v>
      </c>
      <c r="AO16" s="778">
        <v>18.9939393939394</v>
      </c>
      <c r="AP16" s="778">
        <v>17.8303394062093</v>
      </c>
      <c r="AQ16" s="848"/>
      <c r="AR16" s="847">
        <f ca="1">R16</f>
        <v>19.3199</v>
      </c>
      <c r="AS16" s="778">
        <v>18.0466587584025</v>
      </c>
      <c r="AT16" s="778">
        <v>15.2884330339041</v>
      </c>
      <c r="AU16" s="778">
        <v>24.2007722007722</v>
      </c>
      <c r="AV16" s="778">
        <v>15.9574848160057</v>
      </c>
      <c r="AW16" s="848"/>
      <c r="AX16" s="847">
        <f ca="1">X16</f>
        <v>10.6765</v>
      </c>
      <c r="AY16" s="778">
        <v>9.4015377156013</v>
      </c>
      <c r="AZ16" s="778">
        <v>10.1759737942789</v>
      </c>
      <c r="BA16" s="778">
        <v>12.1605676983264</v>
      </c>
      <c r="BB16" s="778">
        <v>12.000659807003</v>
      </c>
      <c r="BC16" s="848">
        <v>8.87294525283335</v>
      </c>
      <c r="BD16" s="847"/>
      <c r="BE16" s="778"/>
      <c r="BF16" s="778"/>
      <c r="BG16" s="778"/>
      <c r="BH16" s="778"/>
      <c r="BI16" s="848"/>
      <c r="BJ16" s="16"/>
      <c r="BK16" s="345" t="str">
        <f ca="1">$K16</f>
        <v>1Q06</v>
      </c>
      <c r="BL16" s="847">
        <f ca="1">AL16</f>
        <v>22.5536</v>
      </c>
      <c r="BM16" s="778">
        <v>19.7182044887781</v>
      </c>
      <c r="BN16" s="778">
        <v>22.7993421052632</v>
      </c>
      <c r="BO16" s="778">
        <v>18.9273500743124</v>
      </c>
      <c r="BP16" s="778">
        <v>19.8921496855779</v>
      </c>
      <c r="BQ16" s="848">
        <v>18.0543933054393</v>
      </c>
      <c r="BR16" s="847">
        <f ca="1">AR16</f>
        <v>19.3199</v>
      </c>
      <c r="BS16" s="778">
        <v>17.7845254161044</v>
      </c>
      <c r="BT16" s="778">
        <v>17.2756729810568</v>
      </c>
      <c r="BU16" s="778">
        <v>18.6981470541746</v>
      </c>
      <c r="BV16" s="778">
        <v>21.0760513346214</v>
      </c>
      <c r="BW16" s="848">
        <v>16.5515918680476</v>
      </c>
      <c r="BX16" s="847">
        <f ca="1">AX16</f>
        <v>10.6765</v>
      </c>
      <c r="BY16" s="778">
        <v>9.02621661418133</v>
      </c>
      <c r="BZ16" s="778"/>
      <c r="CA16" s="778">
        <v>11.6418359774573</v>
      </c>
      <c r="CB16" s="778">
        <v>11.3025559147528</v>
      </c>
      <c r="CC16" s="848">
        <v>10.0109727373618</v>
      </c>
      <c r="CD16" s="847"/>
      <c r="CE16" s="778"/>
      <c r="CF16" s="778"/>
      <c r="CG16" s="778"/>
      <c r="CH16" s="778"/>
      <c r="CI16" s="848"/>
    </row>
    <row r="17" ht="14.25" customHeight="1" spans="1:87" x14ac:dyDescent="0.25">
      <c r="A17" s="16"/>
      <c r="B17" s="16"/>
      <c r="C17" s="16" t="s">
        <v>925</v>
      </c>
      <c r="D17" s="16"/>
      <c r="E17" s="724">
        <f t="shared" ref="E17:H17" si="29" ca="1">AVERAGE(E21,E25)</f>
        <v>20.795365625</v>
      </c>
      <c r="F17" s="724">
        <f ca="1">AVERAGE(F21,F25)</f>
        <v>18.852084374999997</v>
      </c>
      <c r="G17" s="724">
        <f ca="1">AVERAGE(G21,G25)</f>
        <v>9.887566666666665</v>
      </c>
      <c r="H17" s="724">
        <f ca="1">AVERAGE(H21,H25)</f>
        <v>8.968177232142857</v>
      </c>
      <c r="I17" s="84">
        <f ca="1">IF(I16=4,1,I16+1)</f>
        <v>2</v>
      </c>
      <c r="J17" s="5">
        <f ca="1">IF(I17=1,J16+1,J16)</f>
        <v>2006</v>
      </c>
      <c r="K17" s="345" t="str">
        <f ca="1">I17&amp;"Q"&amp;RIGHT(J17,2)</f>
        <v>2Q06</v>
      </c>
      <c r="L17" s="847">
        <v>21.8273</v>
      </c>
      <c r="M17" s="778">
        <v>18.5782</v>
      </c>
      <c r="N17" s="778">
        <v>17.868</v>
      </c>
      <c r="O17" s="778">
        <v>17.868</v>
      </c>
      <c r="P17" s="778">
        <v>17.868</v>
      </c>
      <c r="Q17" s="848">
        <v>17.868</v>
      </c>
      <c r="R17" s="847">
        <v>20.0999</v>
      </c>
      <c r="S17" s="778">
        <v>17.6975</v>
      </c>
      <c r="T17" s="778">
        <v>16.3114</v>
      </c>
      <c r="U17" s="778">
        <v>16.3114</v>
      </c>
      <c r="V17" s="778">
        <v>16.3114</v>
      </c>
      <c r="W17" s="848">
        <v>16.3114</v>
      </c>
      <c r="X17" s="847">
        <v>9.9769</v>
      </c>
      <c r="Y17" s="778">
        <v>9.6115</v>
      </c>
      <c r="Z17" s="778">
        <v>9.1232</v>
      </c>
      <c r="AA17" s="778">
        <v>9.1232</v>
      </c>
      <c r="AB17" s="778">
        <v>9.1232</v>
      </c>
      <c r="AC17" s="848">
        <v>9.1232</v>
      </c>
      <c r="AD17" s="778"/>
      <c r="AE17" s="778"/>
      <c r="AF17" s="778">
        <v>9.1232</v>
      </c>
      <c r="AG17" s="778">
        <v>9.1232</v>
      </c>
      <c r="AH17" s="778">
        <v>9.1232</v>
      </c>
      <c r="AI17" s="848">
        <v>9.1232</v>
      </c>
      <c r="AJ17" s="16"/>
      <c r="AK17" s="345" t="str">
        <f ca="1">$K17</f>
        <v>2Q06</v>
      </c>
      <c r="AL17" s="847">
        <f ca="1">L17</f>
        <v>21.8273</v>
      </c>
      <c r="AM17" s="778">
        <v>19.1470584543003</v>
      </c>
      <c r="AN17" s="778">
        <v>18.700749834615</v>
      </c>
      <c r="AO17" s="778">
        <v>22.6392405063291</v>
      </c>
      <c r="AP17" s="778">
        <v>19.0229884014843</v>
      </c>
      <c r="AQ17" s="848">
        <v>24.9147727272727</v>
      </c>
      <c r="AR17" s="847">
        <f ca="1">R17</f>
        <v>20.0999</v>
      </c>
      <c r="AS17" s="778">
        <v>19.7272727272727</v>
      </c>
      <c r="AT17" s="778">
        <v>16.5025248069106</v>
      </c>
      <c r="AU17" s="778">
        <v>26.4375461936438</v>
      </c>
      <c r="AV17" s="778">
        <v>17.1621154510888</v>
      </c>
      <c r="AW17" s="848"/>
      <c r="AX17" s="847">
        <f ca="1">X17</f>
        <v>9.9769</v>
      </c>
      <c r="AY17" s="778">
        <v>9.95245399025653</v>
      </c>
      <c r="AZ17" s="778">
        <v>10.214673565937</v>
      </c>
      <c r="BA17" s="778">
        <v>12.6131830189275</v>
      </c>
      <c r="BB17" s="778">
        <v>12.0972903732795</v>
      </c>
      <c r="BC17" s="848">
        <v>8.01996146287317</v>
      </c>
      <c r="BD17" s="847"/>
      <c r="BE17" s="778"/>
      <c r="BF17" s="778"/>
      <c r="BG17" s="778"/>
      <c r="BH17" s="778"/>
      <c r="BI17" s="848"/>
      <c r="BJ17" s="16"/>
      <c r="BK17" s="345" t="str">
        <f ca="1">$K17</f>
        <v>2Q06</v>
      </c>
      <c r="BL17" s="847">
        <f ca="1">AL17</f>
        <v>21.8273</v>
      </c>
      <c r="BM17" s="778">
        <v>18.0136054421769</v>
      </c>
      <c r="BN17" s="778">
        <v>18.2181818181818</v>
      </c>
      <c r="BO17" s="778">
        <v>20.0932549936999</v>
      </c>
      <c r="BP17" s="778">
        <v>20.5128525090277</v>
      </c>
      <c r="BQ17" s="848">
        <v>18.296</v>
      </c>
      <c r="BR17" s="847">
        <f ca="1">AR17</f>
        <v>20.0999</v>
      </c>
      <c r="BS17" s="778">
        <v>14.4436363636364</v>
      </c>
      <c r="BT17" s="778">
        <v>14.955223880597</v>
      </c>
      <c r="BU17" s="778">
        <v>19.8499333078394</v>
      </c>
      <c r="BV17" s="778">
        <v>21.8358480058529</v>
      </c>
      <c r="BW17" s="848">
        <v>17.3652239939256</v>
      </c>
      <c r="BX17" s="847">
        <f ca="1">AX17</f>
        <v>9.9769</v>
      </c>
      <c r="BY17" s="778">
        <v>8.58797299804687</v>
      </c>
      <c r="BZ17" s="778"/>
      <c r="CA17" s="778">
        <v>13.5574812819828</v>
      </c>
      <c r="CB17" s="778">
        <v>12.8221316954229</v>
      </c>
      <c r="CC17" s="848">
        <v>9.89004761598154</v>
      </c>
      <c r="CD17" s="847"/>
      <c r="CE17" s="778"/>
      <c r="CF17" s="778"/>
      <c r="CG17" s="778"/>
      <c r="CH17" s="778"/>
      <c r="CI17" s="848"/>
    </row>
    <row r="18" ht="14.25" customHeight="1" spans="1:87" x14ac:dyDescent="0.25">
      <c r="A18" s="16"/>
      <c r="B18" s="16"/>
      <c r="C18" s="16" t="s">
        <v>926</v>
      </c>
      <c r="D18" s="16"/>
      <c r="E18" s="724">
        <f t="shared" ref="E18:H18" si="30" ca="1">AVERAGE(E22,E26)</f>
        <v>17.294518402777776</v>
      </c>
      <c r="F18" s="724">
        <f ca="1">AVERAGE(F22,F26)</f>
        <v>16.837352083333336</v>
      </c>
      <c r="G18" s="724">
        <f ca="1">AVERAGE(G22,G26)</f>
        <v>9.422169444444444</v>
      </c>
      <c r="H18" s="724">
        <f ca="1">AVERAGE(H22,H26)</f>
        <v>8.970667708333334</v>
      </c>
      <c r="I18" s="84">
        <f ca="1">IF(I17+1=5,1,I17+1)</f>
        <v>3</v>
      </c>
      <c r="J18" s="5">
        <f ca="1">IF(I18=1,J17+1,J17)</f>
        <v>2006</v>
      </c>
      <c r="K18" s="345" t="str">
        <f ca="1">I18&amp;"Q"&amp;RIGHT(J18,2)</f>
        <v>3Q06</v>
      </c>
      <c r="L18" s="847">
        <v>22.15</v>
      </c>
      <c r="M18" s="778">
        <v>19.3394</v>
      </c>
      <c r="N18" s="778">
        <v>18.5782</v>
      </c>
      <c r="O18" s="778">
        <v>18.5782</v>
      </c>
      <c r="P18" s="778">
        <v>18.5782</v>
      </c>
      <c r="Q18" s="848">
        <v>18.5782</v>
      </c>
      <c r="R18" s="847">
        <v>21.204</v>
      </c>
      <c r="S18" s="778">
        <v>18.9366</v>
      </c>
      <c r="T18" s="778">
        <v>17.6975</v>
      </c>
      <c r="U18" s="778">
        <v>17.6975</v>
      </c>
      <c r="V18" s="778">
        <v>17.6975</v>
      </c>
      <c r="W18" s="848">
        <v>17.6975</v>
      </c>
      <c r="X18" s="847">
        <v>10.2601</v>
      </c>
      <c r="Y18" s="778">
        <v>10.2606</v>
      </c>
      <c r="Z18" s="778">
        <v>9.6115</v>
      </c>
      <c r="AA18" s="778">
        <v>9.6115</v>
      </c>
      <c r="AB18" s="778">
        <v>9.6115</v>
      </c>
      <c r="AC18" s="848">
        <v>9.6115</v>
      </c>
      <c r="AD18" s="778"/>
      <c r="AE18" s="778"/>
      <c r="AF18" s="778">
        <v>9.6115</v>
      </c>
      <c r="AG18" s="778">
        <v>9.6115</v>
      </c>
      <c r="AH18" s="778">
        <v>9.6115</v>
      </c>
      <c r="AI18" s="848">
        <v>9.6115</v>
      </c>
      <c r="AJ18" s="16"/>
      <c r="AK18" s="345" t="str">
        <f ca="1">$K18</f>
        <v>3Q06</v>
      </c>
      <c r="AL18" s="847">
        <f ca="1">L18</f>
        <v>22.15</v>
      </c>
      <c r="AM18" s="778">
        <v>20.283636187782</v>
      </c>
      <c r="AN18" s="778">
        <v>17.0052012260412</v>
      </c>
      <c r="AO18" s="778">
        <v>24.3461538461538</v>
      </c>
      <c r="AP18" s="778">
        <v>18.7683820568193</v>
      </c>
      <c r="AQ18" s="848">
        <v>25.5397727272727</v>
      </c>
      <c r="AR18" s="847">
        <f ca="1">R18</f>
        <v>21.204</v>
      </c>
      <c r="AS18" s="778">
        <v>20.7824143070045</v>
      </c>
      <c r="AT18" s="778">
        <v>16.1319764611537</v>
      </c>
      <c r="AU18" s="778">
        <v>27.8241758241758</v>
      </c>
      <c r="AV18" s="778">
        <v>17.2875042329834</v>
      </c>
      <c r="AW18" s="848"/>
      <c r="AX18" s="847">
        <f ca="1">X18</f>
        <v>10.2601</v>
      </c>
      <c r="AY18" s="778">
        <v>10.2475201845274</v>
      </c>
      <c r="AZ18" s="778">
        <v>9.51743184236952</v>
      </c>
      <c r="BA18" s="778">
        <v>12.2776011231134</v>
      </c>
      <c r="BB18" s="778">
        <v>11.4778476285343</v>
      </c>
      <c r="BC18" s="848">
        <v>8.17718077005582</v>
      </c>
      <c r="BD18" s="847"/>
      <c r="BE18" s="778"/>
      <c r="BF18" s="778"/>
      <c r="BG18" s="778"/>
      <c r="BH18" s="778"/>
      <c r="BI18" s="848"/>
      <c r="BJ18" s="16"/>
      <c r="BK18" s="345" t="str">
        <f ca="1">$K18</f>
        <v>3Q06</v>
      </c>
      <c r="BL18" s="847">
        <f ca="1">AL18</f>
        <v>22.15</v>
      </c>
      <c r="BM18" s="778">
        <v>15.8366141732283</v>
      </c>
      <c r="BN18" s="778">
        <v>14.6371882086168</v>
      </c>
      <c r="BO18" s="778">
        <v>21.0972692888889</v>
      </c>
      <c r="BP18" s="778">
        <v>19.2874618016375</v>
      </c>
      <c r="BQ18" s="848">
        <v>17.8206106870229</v>
      </c>
      <c r="BR18" s="847">
        <f ca="1">AR18</f>
        <v>21.204</v>
      </c>
      <c r="BS18" s="778">
        <v>14.143811533052</v>
      </c>
      <c r="BT18" s="778">
        <v>12.5779423226812</v>
      </c>
      <c r="BU18" s="778">
        <v>20.4944901663492</v>
      </c>
      <c r="BV18" s="778">
        <v>20.2965561170621</v>
      </c>
      <c r="BW18" s="848">
        <v>17.0215092963908</v>
      </c>
      <c r="BX18" s="847">
        <f ca="1">AX18</f>
        <v>10.2601</v>
      </c>
      <c r="BY18" s="778">
        <v>8.08240337357128</v>
      </c>
      <c r="BZ18" s="778"/>
      <c r="CA18" s="778">
        <v>13.6957786457396</v>
      </c>
      <c r="CB18" s="778">
        <v>12.8479606538945</v>
      </c>
      <c r="CC18" s="848">
        <v>9.60016211905478</v>
      </c>
      <c r="CD18" s="847"/>
      <c r="CE18" s="778"/>
      <c r="CF18" s="778"/>
      <c r="CG18" s="778"/>
      <c r="CH18" s="778"/>
      <c r="CI18" s="848"/>
    </row>
    <row r="19" ht="14.25" customHeight="1" spans="1:87" x14ac:dyDescent="0.25">
      <c r="A19" s="16"/>
      <c r="B19" s="16"/>
      <c r="C19" s="16" t="s">
        <v>927</v>
      </c>
      <c r="D19" s="16"/>
      <c r="E19" s="724">
        <f ca="1">AVERAGE(L8:L35)</f>
        <v>19.619196</v>
      </c>
      <c r="F19" s="724">
        <f ca="1">AVERAGE(R8:R35)</f>
        <v>17.960307142857143</v>
      </c>
      <c r="G19" s="724">
        <f ca="1">AVERAGE(X8:X35)</f>
        <v>9.25948</v>
      </c>
      <c r="H19" s="724">
        <f ca="1">AVERAGE(AD8:AD35)</f>
        <v>7.4632</v>
      </c>
      <c r="I19" s="84">
        <f ca="1">IF(I18=4,1,I18+1)</f>
        <v>4</v>
      </c>
      <c r="J19" s="5">
        <f ca="1">IF(I19=1,J18+1,J18)</f>
        <v>2006</v>
      </c>
      <c r="K19" s="345" t="str">
        <f ca="1">I19&amp;"Q"&amp;RIGHT(J19,2)</f>
        <v>4Q06</v>
      </c>
      <c r="L19" s="847">
        <v>20.6848</v>
      </c>
      <c r="M19" s="778">
        <v>16.9204</v>
      </c>
      <c r="N19" s="778">
        <v>19.3394</v>
      </c>
      <c r="O19" s="778">
        <v>19.3394</v>
      </c>
      <c r="P19" s="778">
        <v>19.3394</v>
      </c>
      <c r="Q19" s="848">
        <v>19.3394</v>
      </c>
      <c r="R19" s="847">
        <v>16.7912</v>
      </c>
      <c r="S19" s="778">
        <v>16.9278</v>
      </c>
      <c r="T19" s="778">
        <v>18.9366</v>
      </c>
      <c r="U19" s="778">
        <v>18.9366</v>
      </c>
      <c r="V19" s="778">
        <v>18.9366</v>
      </c>
      <c r="W19" s="848">
        <v>18.9366</v>
      </c>
      <c r="X19" s="847">
        <v>9.6935</v>
      </c>
      <c r="Y19" s="778">
        <v>9.0825</v>
      </c>
      <c r="Z19" s="778">
        <v>10.2606</v>
      </c>
      <c r="AA19" s="778">
        <v>10.2606</v>
      </c>
      <c r="AB19" s="778">
        <v>10.2606</v>
      </c>
      <c r="AC19" s="848">
        <v>10.2606</v>
      </c>
      <c r="AD19" s="778"/>
      <c r="AE19" s="778"/>
      <c r="AF19" s="778">
        <v>10.2606</v>
      </c>
      <c r="AG19" s="778">
        <v>10.2606</v>
      </c>
      <c r="AH19" s="778">
        <v>10.2606</v>
      </c>
      <c r="AI19" s="848">
        <v>10.2606</v>
      </c>
      <c r="AJ19" s="16"/>
      <c r="AK19" s="345" t="str">
        <f ca="1">$K19</f>
        <v>4Q06</v>
      </c>
      <c r="AL19" s="847">
        <f ca="1">L19</f>
        <v>20.6848</v>
      </c>
      <c r="AM19" s="778">
        <v>19.4912279071203</v>
      </c>
      <c r="AN19" s="778">
        <v>16.6883893888325</v>
      </c>
      <c r="AO19" s="778">
        <v>24.7324840764331</v>
      </c>
      <c r="AP19" s="778">
        <v>17.4916383775587</v>
      </c>
      <c r="AQ19" s="848">
        <v>16.2323943661972</v>
      </c>
      <c r="AR19" s="847">
        <f ca="1">R19</f>
        <v>16.7912</v>
      </c>
      <c r="AS19" s="778">
        <v>20.3629032258064</v>
      </c>
      <c r="AT19" s="778">
        <v>16.26994082613</v>
      </c>
      <c r="AU19" s="778">
        <v>29.3277945619335</v>
      </c>
      <c r="AV19" s="778">
        <v>17.3293571901922</v>
      </c>
      <c r="AW19" s="848"/>
      <c r="AX19" s="847">
        <f ca="1">X19</f>
        <v>9.6935</v>
      </c>
      <c r="AY19" s="778">
        <v>10.7674086640521</v>
      </c>
      <c r="AZ19" s="778">
        <v>8.60474491581603</v>
      </c>
      <c r="BA19" s="778">
        <v>12.2104350605702</v>
      </c>
      <c r="BB19" s="778">
        <v>10.2696746314403</v>
      </c>
      <c r="BC19" s="848">
        <v>5.40103317680117</v>
      </c>
      <c r="BD19" s="847"/>
      <c r="BE19" s="778"/>
      <c r="BF19" s="778"/>
      <c r="BG19" s="778"/>
      <c r="BH19" s="778"/>
      <c r="BI19" s="848"/>
      <c r="BJ19" s="16"/>
      <c r="BK19" s="345" t="str">
        <f ca="1">$K19</f>
        <v>4Q06</v>
      </c>
      <c r="BL19" s="847">
        <f ca="1">AL19</f>
        <v>20.6848</v>
      </c>
      <c r="BM19" s="778">
        <v>17.258407079646</v>
      </c>
      <c r="BN19" s="778">
        <v>13.3333333333333</v>
      </c>
      <c r="BO19" s="778">
        <v>21.7923454037267</v>
      </c>
      <c r="BP19" s="778">
        <v>18.2218412390662</v>
      </c>
      <c r="BQ19" s="848">
        <v>19.2100371747212</v>
      </c>
      <c r="BR19" s="847">
        <f ca="1">AR19</f>
        <v>16.7912</v>
      </c>
      <c r="BS19" s="778">
        <v>16.9937260369467</v>
      </c>
      <c r="BT19" s="778">
        <v>12.3301292674843</v>
      </c>
      <c r="BU19" s="778">
        <v>22.2061241139241</v>
      </c>
      <c r="BV19" s="778">
        <v>20.0418586755485</v>
      </c>
      <c r="BW19" s="848">
        <v>18.7977446344125</v>
      </c>
      <c r="BX19" s="847">
        <f ca="1">AX19</f>
        <v>9.6935</v>
      </c>
      <c r="BY19" s="778">
        <v>9.01958863284541</v>
      </c>
      <c r="BZ19" s="778"/>
      <c r="CA19" s="778">
        <v>13.8749350159271</v>
      </c>
      <c r="CB19" s="778">
        <v>13.6789537402863</v>
      </c>
      <c r="CC19" s="848">
        <v>10.4510562469768</v>
      </c>
      <c r="CD19" s="847"/>
      <c r="CE19" s="778"/>
      <c r="CF19" s="778"/>
      <c r="CG19" s="778"/>
      <c r="CH19" s="778"/>
      <c r="CI19" s="848"/>
    </row>
    <row r="20" ht="14.25" customHeight="1" spans="1:87" x14ac:dyDescent="0.25">
      <c r="A20" s="16"/>
      <c r="B20" s="16"/>
      <c r="C20" s="16" t="s">
        <v>928</v>
      </c>
      <c r="D20" s="16"/>
      <c r="E20" s="724">
        <f ca="1">AVERAGE(L8:L19)</f>
        <v>23.75140833333333</v>
      </c>
      <c r="F20" s="724">
        <f ca="1">AVERAGE(R8:R19)</f>
        <v>21.239816666666666</v>
      </c>
      <c r="G20" s="724">
        <f ca="1">AVERAGE(X8:X19)</f>
        <v>10.85385</v>
      </c>
      <c r="H20" s="724">
        <f ca="1">AVERAGE(AD8:AD19)</f>
      </c>
      <c r="I20" s="84">
        <f ca="1">I16</f>
        <v>1</v>
      </c>
      <c r="J20" s="5">
        <f ca="1">IF(I20=1,J19+1,J19)</f>
        <v>2007</v>
      </c>
      <c r="K20" s="345" t="str">
        <f ca="1">I20&amp;"Q"&amp;RIGHT(J20,2)</f>
        <v>1Q07</v>
      </c>
      <c r="L20" s="847">
        <v>19.9384</v>
      </c>
      <c r="M20" s="778">
        <v>16.4135</v>
      </c>
      <c r="N20" s="778">
        <v>16.9204</v>
      </c>
      <c r="O20" s="778">
        <v>16.9204</v>
      </c>
      <c r="P20" s="778">
        <v>16.9204</v>
      </c>
      <c r="Q20" s="848">
        <v>16.9204</v>
      </c>
      <c r="R20" s="847">
        <v>17.5573</v>
      </c>
      <c r="S20" s="778">
        <v>15.1953</v>
      </c>
      <c r="T20" s="778">
        <v>16.9278</v>
      </c>
      <c r="U20" s="778">
        <v>16.9278</v>
      </c>
      <c r="V20" s="778">
        <v>16.9278</v>
      </c>
      <c r="W20" s="848">
        <v>16.9278</v>
      </c>
      <c r="X20" s="847">
        <v>9.2975</v>
      </c>
      <c r="Y20" s="778">
        <v>8.6582</v>
      </c>
      <c r="Z20" s="778">
        <v>9.0825</v>
      </c>
      <c r="AA20" s="778">
        <v>9.0825</v>
      </c>
      <c r="AB20" s="778">
        <v>9.0825</v>
      </c>
      <c r="AC20" s="848">
        <v>9.0825</v>
      </c>
      <c r="AD20" s="778"/>
      <c r="AE20" s="778">
        <v>8.0135</v>
      </c>
      <c r="AF20" s="778">
        <v>9.0825</v>
      </c>
      <c r="AG20" s="778">
        <v>9.0825</v>
      </c>
      <c r="AH20" s="778">
        <v>9.0825</v>
      </c>
      <c r="AI20" s="848">
        <v>9.0825</v>
      </c>
      <c r="AJ20" s="16"/>
      <c r="AK20" s="345" t="str">
        <f ca="1">$K20</f>
        <v>1Q07</v>
      </c>
      <c r="AL20" s="847">
        <f ca="1">L20</f>
        <v>19.9384</v>
      </c>
      <c r="AM20" s="778">
        <v>20.3533331715796</v>
      </c>
      <c r="AN20" s="778">
        <v>14.8843352711246</v>
      </c>
      <c r="AO20" s="778">
        <v>21.6201117318436</v>
      </c>
      <c r="AP20" s="778">
        <v>17.9013373644136</v>
      </c>
      <c r="AQ20" s="848">
        <v>18.2746478873239</v>
      </c>
      <c r="AR20" s="847">
        <f ca="1">R20</f>
        <v>17.5573</v>
      </c>
      <c r="AS20" s="778">
        <v>18.2759652798563</v>
      </c>
      <c r="AT20" s="778">
        <v>13.5724675837029</v>
      </c>
      <c r="AU20" s="778">
        <v>20.5087440381558</v>
      </c>
      <c r="AV20" s="778">
        <v>15.71953010279</v>
      </c>
      <c r="AW20" s="848">
        <v>13.586387434555</v>
      </c>
      <c r="AX20" s="847">
        <f ca="1">X20</f>
        <v>9.2975</v>
      </c>
      <c r="AY20" s="778">
        <v>10.3774982265422</v>
      </c>
      <c r="AZ20" s="778">
        <v>8.32260009072282</v>
      </c>
      <c r="BA20" s="778">
        <v>11.6311076834988</v>
      </c>
      <c r="BB20" s="778">
        <v>10.5217939917218</v>
      </c>
      <c r="BC20" s="848">
        <v>6.02203790579992</v>
      </c>
      <c r="BD20" s="847"/>
      <c r="BE20" s="778"/>
      <c r="BF20" s="778"/>
      <c r="BG20" s="778"/>
      <c r="BH20" s="778"/>
      <c r="BI20" s="848">
        <v>6.32046729906071</v>
      </c>
      <c r="BJ20" s="16"/>
      <c r="BK20" s="345" t="str">
        <f ca="1">$K20</f>
        <v>1Q07</v>
      </c>
      <c r="BL20" s="847">
        <f ca="1">AL20</f>
        <v>19.9384</v>
      </c>
      <c r="BM20" s="778">
        <v>14.9411764705882</v>
      </c>
      <c r="BN20" s="778">
        <v>11.6545138888889</v>
      </c>
      <c r="BO20" s="778">
        <v>21.3967441259259</v>
      </c>
      <c r="BP20" s="778">
        <v>17.8909144842303</v>
      </c>
      <c r="BQ20" s="848">
        <v>18.1860465116279</v>
      </c>
      <c r="BR20" s="847">
        <f ca="1">AR20</f>
        <v>17.5573</v>
      </c>
      <c r="BS20" s="778">
        <v>12.5157404872707</v>
      </c>
      <c r="BT20" s="778">
        <v>11.2219993313273</v>
      </c>
      <c r="BU20" s="778">
        <v>19.1718614402655</v>
      </c>
      <c r="BV20" s="778">
        <v>17.5714338684405</v>
      </c>
      <c r="BW20" s="848">
        <v>16.753460777851</v>
      </c>
      <c r="BX20" s="847">
        <f ca="1">AX20</f>
        <v>9.2975</v>
      </c>
      <c r="BY20" s="778">
        <v>8.27385494627539</v>
      </c>
      <c r="BZ20" s="778"/>
      <c r="CA20" s="778">
        <v>13.8084395686712</v>
      </c>
      <c r="CB20" s="778">
        <v>13.7812305778841</v>
      </c>
      <c r="CC20" s="848">
        <v>10.06424152212</v>
      </c>
      <c r="CD20" s="847"/>
      <c r="CE20" s="778"/>
      <c r="CF20" s="778"/>
      <c r="CG20" s="778">
        <v>27.8906291783535</v>
      </c>
      <c r="CH20" s="778"/>
      <c r="CI20" s="848"/>
    </row>
    <row r="21" ht="14.25" customHeight="1" spans="1:87" x14ac:dyDescent="0.25">
      <c r="A21" s="16"/>
      <c r="B21" s="16"/>
      <c r="C21" s="16" t="s">
        <v>929</v>
      </c>
      <c r="D21" s="16"/>
      <c r="E21" s="724">
        <f ca="1">AVERAGE(L16:L27)</f>
        <v>19.173399999999997</v>
      </c>
      <c r="F21" s="724">
        <f ca="1">AVERAGE(R16:R27)</f>
        <v>17.364974999999998</v>
      </c>
      <c r="G21" s="724">
        <f ca="1">AVERAGE(X16:X27)</f>
        <v>9.242608333333331</v>
      </c>
      <c r="H21" s="724">
        <f ca="1">AVERAGE(AD16:AD27)</f>
        <v>8.039285714285713</v>
      </c>
      <c r="I21" s="84">
        <f ca="1">IF(I20=4,1,I20+1)</f>
        <v>2</v>
      </c>
      <c r="J21" s="5">
        <f ca="1">IF(I21=1,J20+1,J20)</f>
        <v>2007</v>
      </c>
      <c r="K21" s="345" t="str">
        <f ca="1">I21&amp;"Q"&amp;RIGHT(J21,2)</f>
        <v>2Q07</v>
      </c>
      <c r="L21" s="847">
        <v>20.9091</v>
      </c>
      <c r="M21" s="778">
        <v>15.3173</v>
      </c>
      <c r="N21" s="778">
        <v>16.4135</v>
      </c>
      <c r="O21" s="778">
        <v>16.4135</v>
      </c>
      <c r="P21" s="778">
        <v>16.4135</v>
      </c>
      <c r="Q21" s="848">
        <v>16.4135</v>
      </c>
      <c r="R21" s="847">
        <v>19.0645</v>
      </c>
      <c r="S21" s="778">
        <v>15.4789</v>
      </c>
      <c r="T21" s="778">
        <v>15.1953</v>
      </c>
      <c r="U21" s="778">
        <v>15.1953</v>
      </c>
      <c r="V21" s="778">
        <v>15.1953</v>
      </c>
      <c r="W21" s="848">
        <v>15.1953</v>
      </c>
      <c r="X21" s="847">
        <v>10.166</v>
      </c>
      <c r="Y21" s="778">
        <v>8.1684</v>
      </c>
      <c r="Z21" s="778">
        <v>8.6582</v>
      </c>
      <c r="AA21" s="778">
        <v>8.6582</v>
      </c>
      <c r="AB21" s="778">
        <v>8.6582</v>
      </c>
      <c r="AC21" s="848">
        <v>8.6582</v>
      </c>
      <c r="AD21" s="778">
        <v>7.9341</v>
      </c>
      <c r="AE21" s="778">
        <v>7.7405</v>
      </c>
      <c r="AF21" s="778">
        <v>8.6582</v>
      </c>
      <c r="AG21" s="778">
        <v>8.6582</v>
      </c>
      <c r="AH21" s="778">
        <v>8.6582</v>
      </c>
      <c r="AI21" s="848">
        <v>8.6582</v>
      </c>
      <c r="AJ21" s="16"/>
      <c r="AK21" s="345" t="str">
        <f ca="1">$K21</f>
        <v>2Q07</v>
      </c>
      <c r="AL21" s="847">
        <f ca="1">L21</f>
        <v>20.9091</v>
      </c>
      <c r="AM21" s="778">
        <v>19.657575771778</v>
      </c>
      <c r="AN21" s="778">
        <v>14.2796521296296</v>
      </c>
      <c r="AO21" s="778">
        <v>20.0615384615385</v>
      </c>
      <c r="AP21" s="778">
        <v>17.1156247577095</v>
      </c>
      <c r="AQ21" s="848">
        <v>16.2146892655367</v>
      </c>
      <c r="AR21" s="847">
        <f ca="1">R21</f>
        <v>19.0645</v>
      </c>
      <c r="AS21" s="778">
        <v>18.3041760722348</v>
      </c>
      <c r="AT21" s="778">
        <v>13.1036807777778</v>
      </c>
      <c r="AU21" s="778">
        <v>19.9286805909322</v>
      </c>
      <c r="AV21" s="778">
        <v>15.7024082568807</v>
      </c>
      <c r="AW21" s="848">
        <v>15.0261780104712</v>
      </c>
      <c r="AX21" s="847">
        <f ca="1">X21</f>
        <v>10.166</v>
      </c>
      <c r="AY21" s="778">
        <v>10.022293535005</v>
      </c>
      <c r="AZ21" s="778">
        <v>7.90501443792319</v>
      </c>
      <c r="BA21" s="778">
        <v>10.9872619593073</v>
      </c>
      <c r="BB21" s="778"/>
      <c r="BC21" s="848">
        <v>8.80582950510381</v>
      </c>
      <c r="BD21" s="847"/>
      <c r="BE21" s="778"/>
      <c r="BF21" s="778"/>
      <c r="BG21" s="778"/>
      <c r="BH21" s="778"/>
      <c r="BI21" s="848">
        <v>8.51924925493771</v>
      </c>
      <c r="BJ21" s="16"/>
      <c r="BK21" s="345" t="str">
        <f ca="1">$K21</f>
        <v>2Q07</v>
      </c>
      <c r="BL21" s="847">
        <f ca="1">AL21</f>
        <v>20.9091</v>
      </c>
      <c r="BM21" s="778">
        <v>14.1619613670134</v>
      </c>
      <c r="BN21" s="778">
        <v>10.4117647058824</v>
      </c>
      <c r="BO21" s="778">
        <v>20.1862794</v>
      </c>
      <c r="BP21" s="778">
        <v>16.6056425073082</v>
      </c>
      <c r="BQ21" s="848">
        <v>17.6157804459691</v>
      </c>
      <c r="BR21" s="847">
        <f ca="1">AR21</f>
        <v>19.0645</v>
      </c>
      <c r="BS21" s="778">
        <v>12.0737268811756</v>
      </c>
      <c r="BT21" s="778">
        <v>10.378763866878</v>
      </c>
      <c r="BU21" s="778">
        <v>18.3714070656371</v>
      </c>
      <c r="BV21" s="778">
        <v>17.0522490295096</v>
      </c>
      <c r="BW21" s="848">
        <v>16.8250327653997</v>
      </c>
      <c r="BX21" s="847">
        <f ca="1">AX21</f>
        <v>10.166</v>
      </c>
      <c r="BY21" s="778">
        <v>7.98506943682416</v>
      </c>
      <c r="BZ21" s="778"/>
      <c r="CA21" s="778">
        <v>12.9726266960503</v>
      </c>
      <c r="CB21" s="778">
        <v>12.8277093823215</v>
      </c>
      <c r="CC21" s="848">
        <v>10.1722518312873</v>
      </c>
      <c r="CD21" s="847"/>
      <c r="CE21" s="778">
        <v>7.8171070404282</v>
      </c>
      <c r="CF21" s="778"/>
      <c r="CG21" s="778">
        <v>26.7661161852786</v>
      </c>
      <c r="CH21" s="778"/>
      <c r="CI21" s="848">
        <v>9.80040687200641</v>
      </c>
    </row>
    <row r="22" ht="14.25" customHeight="1" spans="1:87" x14ac:dyDescent="0.25">
      <c r="A22" s="16"/>
      <c r="B22" s="16"/>
      <c r="C22" s="16" t="s">
        <v>930</v>
      </c>
      <c r="D22" s="16"/>
      <c r="E22" s="724">
        <f ca="1">AVERAGE(L24:L35)</f>
        <v>13.922155555555555</v>
      </c>
      <c r="F22" s="724">
        <f ca="1">AVERAGE(R24:R35)</f>
        <v>14.71904166666667</v>
      </c>
      <c r="G22" s="724">
        <f ca="1">AVERAGE(X24:X35)</f>
        <v>6.932388888888889</v>
      </c>
      <c r="H22" s="724">
        <f ca="1">AVERAGE(AD24:AD35)</f>
        <v>7.137241666666667</v>
      </c>
      <c r="I22" s="84">
        <f ca="1">IF(I21+1=5,1,I21+1)</f>
        <v>3</v>
      </c>
      <c r="J22" s="5">
        <f ca="1">IF(I22=1,J21+1,J21)</f>
        <v>2007</v>
      </c>
      <c r="K22" s="345" t="str">
        <f ca="1">I22&amp;"Q"&amp;RIGHT(J22,2)</f>
        <v>3Q07</v>
      </c>
      <c r="L22" s="847">
        <v>20.6378</v>
      </c>
      <c r="M22" s="778">
        <v>15.5096</v>
      </c>
      <c r="N22" s="778">
        <v>15.3173</v>
      </c>
      <c r="O22" s="778">
        <v>15.3173</v>
      </c>
      <c r="P22" s="778">
        <v>15.3173</v>
      </c>
      <c r="Q22" s="848">
        <v>15.3173</v>
      </c>
      <c r="R22" s="847">
        <v>19.0893</v>
      </c>
      <c r="S22" s="778">
        <v>15.4386</v>
      </c>
      <c r="T22" s="778">
        <v>15.4789</v>
      </c>
      <c r="U22" s="778">
        <v>15.4789</v>
      </c>
      <c r="V22" s="778">
        <v>15.4789</v>
      </c>
      <c r="W22" s="848">
        <v>15.4789</v>
      </c>
      <c r="X22" s="847">
        <v>10.0884</v>
      </c>
      <c r="Y22" s="778">
        <v>8.3894</v>
      </c>
      <c r="Z22" s="778">
        <v>8.1684</v>
      </c>
      <c r="AA22" s="778">
        <v>8.1684</v>
      </c>
      <c r="AB22" s="778">
        <v>8.1684</v>
      </c>
      <c r="AC22" s="848">
        <v>8.1684</v>
      </c>
      <c r="AD22" s="778">
        <v>10.3418</v>
      </c>
      <c r="AE22" s="778">
        <v>8.155</v>
      </c>
      <c r="AF22" s="778">
        <v>8.1684</v>
      </c>
      <c r="AG22" s="778">
        <v>8.1684</v>
      </c>
      <c r="AH22" s="778">
        <v>8.1684</v>
      </c>
      <c r="AI22" s="848">
        <v>8.1684</v>
      </c>
      <c r="AJ22" s="16"/>
      <c r="AK22" s="345" t="str">
        <f ca="1">$K22</f>
        <v>3Q07</v>
      </c>
      <c r="AL22" s="847">
        <f ca="1">L22</f>
        <v>20.6378</v>
      </c>
      <c r="AM22" s="778">
        <v>17.0980392156863</v>
      </c>
      <c r="AN22" s="778">
        <v>14.6741425193452</v>
      </c>
      <c r="AO22" s="778">
        <v>18.5463414634146</v>
      </c>
      <c r="AP22" s="778">
        <v>17.5036603221083</v>
      </c>
      <c r="AQ22" s="848">
        <v>19.406779661017</v>
      </c>
      <c r="AR22" s="847">
        <f ca="1">R22</f>
        <v>19.0893</v>
      </c>
      <c r="AS22" s="778">
        <v>16.0758493547538</v>
      </c>
      <c r="AT22" s="778">
        <v>12.5076405035515</v>
      </c>
      <c r="AU22" s="778">
        <v>19.0004997501249</v>
      </c>
      <c r="AV22" s="778">
        <v>16.852269523541</v>
      </c>
      <c r="AW22" s="848">
        <v>16.2028301886792</v>
      </c>
      <c r="AX22" s="847">
        <f ca="1">X22</f>
        <v>10.0884</v>
      </c>
      <c r="AY22" s="778">
        <v>8.85585659875072</v>
      </c>
      <c r="AZ22" s="778">
        <v>7.86304877795203</v>
      </c>
      <c r="BA22" s="778">
        <v>10.2621107586187</v>
      </c>
      <c r="BB22" s="778"/>
      <c r="BC22" s="848">
        <v>10.1926114955517</v>
      </c>
      <c r="BD22" s="847">
        <f t="shared" ref="BD22:BD84" si="31" ca="1">AD22</f>
        <v>10.3418</v>
      </c>
      <c r="BE22" s="778">
        <v>8.02052961360611</v>
      </c>
      <c r="BF22" s="778">
        <v>7.33188710956758</v>
      </c>
      <c r="BG22" s="778">
        <v>9.44294226823773</v>
      </c>
      <c r="BH22" s="778">
        <v>9.41766242765802</v>
      </c>
      <c r="BI22" s="848">
        <v>10.2188931136207</v>
      </c>
      <c r="BJ22" s="16"/>
      <c r="BK22" s="345" t="str">
        <f ca="1">$K22</f>
        <v>3Q07</v>
      </c>
      <c r="BL22" s="847">
        <f ca="1">AL22</f>
        <v>20.6378</v>
      </c>
      <c r="BM22" s="778">
        <v>16.2968099861304</v>
      </c>
      <c r="BN22" s="778">
        <v>9.77635782747604</v>
      </c>
      <c r="BO22" s="778">
        <v>19.03843214</v>
      </c>
      <c r="BP22" s="778">
        <v>16.2273142661321</v>
      </c>
      <c r="BQ22" s="848">
        <v>17.2225913621262</v>
      </c>
      <c r="BR22" s="847">
        <f ca="1">AR22</f>
        <v>19.0893</v>
      </c>
      <c r="BS22" s="778">
        <v>14.2458777885548</v>
      </c>
      <c r="BT22" s="778">
        <v>10.6620209059233</v>
      </c>
      <c r="BU22" s="778">
        <v>17.8223208359031</v>
      </c>
      <c r="BV22" s="778">
        <v>17.0000435169003</v>
      </c>
      <c r="BW22" s="848">
        <v>16.869508623495</v>
      </c>
      <c r="BX22" s="847">
        <f ca="1">AX22</f>
        <v>10.0884</v>
      </c>
      <c r="BY22" s="778">
        <v>8.8394808862531</v>
      </c>
      <c r="BZ22" s="778"/>
      <c r="CA22" s="778">
        <v>12.1583880831806</v>
      </c>
      <c r="CB22" s="778">
        <v>12.5701333982331</v>
      </c>
      <c r="CC22" s="848">
        <v>10.0294593414261</v>
      </c>
      <c r="CD22" s="847">
        <f t="shared" ref="CD22:CD84" si="32" ca="1">BD22</f>
        <v>10.3418</v>
      </c>
      <c r="CE22" s="778">
        <v>8.38393367640048</v>
      </c>
      <c r="CF22" s="778">
        <v>5.33821694698564</v>
      </c>
      <c r="CG22" s="778">
        <v>9.86346882858572</v>
      </c>
      <c r="CH22" s="778">
        <v>10.4046216084725</v>
      </c>
      <c r="CI22" s="848">
        <v>9.73529237361496</v>
      </c>
    </row>
    <row r="23" ht="14.25" customHeight="1" spans="1:87" x14ac:dyDescent="0.25">
      <c r="A23" s="16"/>
      <c r="B23" s="16"/>
      <c r="C23" s="16" t="s">
        <v>931</v>
      </c>
      <c r="D23" s="16"/>
      <c r="E23" s="724">
        <f ca="1">AVERAGE(L36:L75)</f>
        <v>19.910015</v>
      </c>
      <c r="F23" s="724">
        <f ca="1">AVERAGE(R36:R75)</f>
        <v>18.440642500000003</v>
      </c>
      <c r="G23" s="724">
        <f ca="1">AVERAGE(X36:X75)</f>
        <v>10.017830000000002</v>
      </c>
      <c r="H23" s="724">
        <f ca="1">AVERAGE(AD36:AD75)</f>
        <v>9.340644999999999</v>
      </c>
      <c r="I23" s="84">
        <f ca="1">IF(I22=4,1,I22+1)</f>
        <v>4</v>
      </c>
      <c r="J23" s="5">
        <f ca="1">IF(I23=1,J22+1,J22)</f>
        <v>2007</v>
      </c>
      <c r="K23" s="345" t="str">
        <f ca="1">I23&amp;"Q"&amp;RIGHT(J23,2)</f>
        <v>4Q07</v>
      </c>
      <c r="L23" s="847">
        <v>18.6783</v>
      </c>
      <c r="M23" s="778">
        <v>15.438</v>
      </c>
      <c r="N23" s="778">
        <v>15.5096</v>
      </c>
      <c r="O23" s="778">
        <v>15.5096</v>
      </c>
      <c r="P23" s="778">
        <v>15.5096</v>
      </c>
      <c r="Q23" s="848">
        <v>15.5096</v>
      </c>
      <c r="R23" s="847">
        <v>15.6712</v>
      </c>
      <c r="S23" s="778">
        <v>13.8416</v>
      </c>
      <c r="T23" s="778">
        <v>15.4386</v>
      </c>
      <c r="U23" s="778">
        <v>15.4386</v>
      </c>
      <c r="V23" s="778">
        <v>15.4386</v>
      </c>
      <c r="W23" s="848">
        <v>15.4386</v>
      </c>
      <c r="X23" s="847">
        <v>9.2974</v>
      </c>
      <c r="Y23" s="778">
        <v>8.4868</v>
      </c>
      <c r="Z23" s="778">
        <v>8.3894</v>
      </c>
      <c r="AA23" s="778">
        <v>8.3894</v>
      </c>
      <c r="AB23" s="778">
        <v>8.3894</v>
      </c>
      <c r="AC23" s="848">
        <v>8.3894</v>
      </c>
      <c r="AD23" s="778">
        <v>8.0252</v>
      </c>
      <c r="AE23" s="778">
        <v>7.545</v>
      </c>
      <c r="AF23" s="778">
        <v>8.3894</v>
      </c>
      <c r="AG23" s="778">
        <v>8.3894</v>
      </c>
      <c r="AH23" s="778">
        <v>8.3894</v>
      </c>
      <c r="AI23" s="848">
        <v>8.3894</v>
      </c>
      <c r="AJ23" s="16"/>
      <c r="AK23" s="345" t="str">
        <f ca="1">$K23</f>
        <v>4Q07</v>
      </c>
      <c r="AL23" s="847">
        <f ca="1">L23</f>
        <v>18.6783</v>
      </c>
      <c r="AM23" s="778">
        <v>17.0980392156863</v>
      </c>
      <c r="AN23" s="778">
        <v>14.9398530326027</v>
      </c>
      <c r="AO23" s="778">
        <v>19.1190476190476</v>
      </c>
      <c r="AP23" s="778">
        <v>15.9287709497207</v>
      </c>
      <c r="AQ23" s="848">
        <v>27.4640287769784</v>
      </c>
      <c r="AR23" s="847">
        <f ca="1">R23</f>
        <v>15.6712</v>
      </c>
      <c r="AS23" s="778">
        <v>16.0722404647638</v>
      </c>
      <c r="AT23" s="778">
        <v>14.7619013451543</v>
      </c>
      <c r="AU23" s="778">
        <v>19.5758166747928</v>
      </c>
      <c r="AV23" s="778">
        <v>15.8226970033296</v>
      </c>
      <c r="AW23" s="848">
        <v>18.0070754716981</v>
      </c>
      <c r="AX23" s="847">
        <f ca="1">X23</f>
        <v>9.2974</v>
      </c>
      <c r="AY23" s="778">
        <v>8.14393988109869</v>
      </c>
      <c r="AZ23" s="778">
        <v>8.51506896797682</v>
      </c>
      <c r="BA23" s="778">
        <v>9.99949700916278</v>
      </c>
      <c r="BB23" s="778">
        <v>9.51634435930719</v>
      </c>
      <c r="BC23" s="848">
        <v>11.144456998288</v>
      </c>
      <c r="BD23" s="847">
        <f ca="1">AD23</f>
        <v>8.0252</v>
      </c>
      <c r="BE23" s="778">
        <v>7.89003508895669</v>
      </c>
      <c r="BF23" s="778">
        <v>7.69701748867841</v>
      </c>
      <c r="BG23" s="778">
        <v>8.55207703377935</v>
      </c>
      <c r="BH23" s="778">
        <v>8.14331030360429</v>
      </c>
      <c r="BI23" s="848">
        <v>8.69454187226435</v>
      </c>
      <c r="BJ23" s="16"/>
      <c r="BK23" s="345" t="str">
        <f ca="1">$K23</f>
        <v>4Q07</v>
      </c>
      <c r="BL23" s="847">
        <f ca="1">AL23</f>
        <v>18.6783</v>
      </c>
      <c r="BM23" s="778">
        <v>14.3172242874845</v>
      </c>
      <c r="BN23" s="778">
        <v>11.8865619546248</v>
      </c>
      <c r="BO23" s="778">
        <v>19.2524923257143</v>
      </c>
      <c r="BP23" s="778">
        <v>15.4856291599362</v>
      </c>
      <c r="BQ23" s="848">
        <v>17.8057324840764</v>
      </c>
      <c r="BR23" s="847">
        <f ca="1">AR23</f>
        <v>15.6712</v>
      </c>
      <c r="BS23" s="778">
        <v>14.6401419158642</v>
      </c>
      <c r="BT23" s="778">
        <v>10.7768987341772</v>
      </c>
      <c r="BU23" s="778">
        <v>19.4077543605991</v>
      </c>
      <c r="BV23" s="778">
        <v>16.8786724303922</v>
      </c>
      <c r="BW23" s="848">
        <v>17.9948503379466</v>
      </c>
      <c r="BX23" s="847">
        <f ca="1">AX23</f>
        <v>9.2974</v>
      </c>
      <c r="BY23" s="778">
        <v>8.04174963302337</v>
      </c>
      <c r="BZ23" s="778">
        <v>5.57286484093618</v>
      </c>
      <c r="CA23" s="778">
        <v>12.3021853597381</v>
      </c>
      <c r="CB23" s="778">
        <v>11.4719491585091</v>
      </c>
      <c r="CC23" s="848">
        <v>10.3347166358238</v>
      </c>
      <c r="CD23" s="847">
        <f ca="1">BD23</f>
        <v>8.0252</v>
      </c>
      <c r="CE23" s="778">
        <v>7.0964548994156</v>
      </c>
      <c r="CF23" s="778">
        <v>5.77276339622483</v>
      </c>
      <c r="CG23" s="778">
        <v>9.44339138004464</v>
      </c>
      <c r="CH23" s="778">
        <v>8.65216305801951</v>
      </c>
      <c r="CI23" s="848">
        <v>9.26565185572825</v>
      </c>
    </row>
    <row r="24" ht="14.25" customHeight="1" spans="1:87" x14ac:dyDescent="0.25">
      <c r="A24" s="16"/>
      <c r="B24" s="16"/>
      <c r="C24" s="16" t="s">
        <v>932</v>
      </c>
      <c r="D24" s="16"/>
      <c r="E24" s="724">
        <f ca="1">AVERAGE(L36:L51)</f>
        <v>17.291406249999998</v>
      </c>
      <c r="F24" s="724">
        <f ca="1">AVERAGE(R36:R51)</f>
        <v>16.548837499999998</v>
      </c>
      <c r="G24" s="724">
        <f ca="1">AVERAGE(X36:X51)</f>
        <v>7.696606249999999</v>
      </c>
      <c r="H24" s="724">
        <f ca="1">AVERAGE(AD36:AD51)</f>
        <v>7.408287499999999</v>
      </c>
      <c r="I24" s="84">
        <f ca="1">I20</f>
        <v>1</v>
      </c>
      <c r="J24" s="5">
        <f ca="1">IF(I24=1,J23+1,J23)</f>
        <v>2008</v>
      </c>
      <c r="K24" s="345" t="str">
        <f ca="1">I24&amp;"Q"&amp;RIGHT(J24,2)</f>
        <v>1Q08</v>
      </c>
      <c r="L24" s="847">
        <v>16.0503</v>
      </c>
      <c r="M24" s="778">
        <v>12.6021</v>
      </c>
      <c r="N24" s="778">
        <v>15.438</v>
      </c>
      <c r="O24" s="778">
        <v>15.438</v>
      </c>
      <c r="P24" s="778">
        <v>15.438</v>
      </c>
      <c r="Q24" s="848">
        <v>15.438</v>
      </c>
      <c r="R24" s="847">
        <v>14.5631</v>
      </c>
      <c r="S24" s="778">
        <v>11.4199</v>
      </c>
      <c r="T24" s="778">
        <v>13.8416</v>
      </c>
      <c r="U24" s="778">
        <v>13.8416</v>
      </c>
      <c r="V24" s="778">
        <v>13.8416</v>
      </c>
      <c r="W24" s="848">
        <v>13.8416</v>
      </c>
      <c r="X24" s="847">
        <v>7.9532</v>
      </c>
      <c r="Y24" s="778">
        <v>6.8149</v>
      </c>
      <c r="Z24" s="778">
        <v>8.4868</v>
      </c>
      <c r="AA24" s="778">
        <v>8.4868</v>
      </c>
      <c r="AB24" s="778">
        <v>8.4868</v>
      </c>
      <c r="AC24" s="848">
        <v>8.4868</v>
      </c>
      <c r="AD24" s="778">
        <v>7.2602</v>
      </c>
      <c r="AE24" s="778">
        <v>6.2537</v>
      </c>
      <c r="AF24" s="778">
        <v>8.4868</v>
      </c>
      <c r="AG24" s="778">
        <v>8.4868</v>
      </c>
      <c r="AH24" s="778">
        <v>8.4868</v>
      </c>
      <c r="AI24" s="848">
        <v>8.4868</v>
      </c>
      <c r="AJ24" s="16"/>
      <c r="AK24" s="345" t="str">
        <f ca="1">$K24</f>
        <v>1Q08</v>
      </c>
      <c r="AL24" s="847">
        <f ca="1">L24</f>
        <v>16.0503</v>
      </c>
      <c r="AM24" s="778">
        <v>17.4720930232558</v>
      </c>
      <c r="AN24" s="778">
        <v>16.6535426857527</v>
      </c>
      <c r="AO24" s="778">
        <v>20.6486486486486</v>
      </c>
      <c r="AP24" s="778">
        <v>17.4808743169399</v>
      </c>
      <c r="AQ24" s="848">
        <v>30.2697841726619</v>
      </c>
      <c r="AR24" s="847">
        <f ca="1">R24</f>
        <v>14.5631</v>
      </c>
      <c r="AS24" s="778">
        <v>16.1500429922614</v>
      </c>
      <c r="AT24" s="778">
        <v>14.2711768696153</v>
      </c>
      <c r="AU24" s="778">
        <v>17.6851851851852</v>
      </c>
      <c r="AV24" s="778">
        <v>16.0190285428142</v>
      </c>
      <c r="AW24" s="848">
        <v>16.5649606299213</v>
      </c>
      <c r="AX24" s="847">
        <f ca="1">X24</f>
        <v>7.9532</v>
      </c>
      <c r="AY24" s="778">
        <v>8.61555833241446</v>
      </c>
      <c r="AZ24" s="778">
        <v>9.77164783427025</v>
      </c>
      <c r="BA24" s="778">
        <v>11.1010203748702</v>
      </c>
      <c r="BB24" s="778">
        <v>10.616211642331</v>
      </c>
      <c r="BC24" s="848">
        <v>12.2117798159006</v>
      </c>
      <c r="BD24" s="847">
        <f ca="1">AD24</f>
        <v>7.2602</v>
      </c>
      <c r="BE24" s="778">
        <v>8.47923620690157</v>
      </c>
      <c r="BF24" s="778">
        <v>8.73491664130109</v>
      </c>
      <c r="BG24" s="778">
        <v>9.66165648553287</v>
      </c>
      <c r="BH24" s="778">
        <v>9.20147957997077</v>
      </c>
      <c r="BI24" s="848">
        <v>9.44777207299858</v>
      </c>
      <c r="BJ24" s="16"/>
      <c r="BK24" s="345" t="str">
        <f ca="1">$K24</f>
        <v>1Q08</v>
      </c>
      <c r="BL24" s="847">
        <f ca="1">AL24</f>
        <v>16.0503</v>
      </c>
      <c r="BM24" s="778">
        <v>16.2466063348416</v>
      </c>
      <c r="BN24" s="778">
        <v>13.605851979346</v>
      </c>
      <c r="BO24" s="778">
        <v>18.5735131622222</v>
      </c>
      <c r="BP24" s="778">
        <v>16.8950805926133</v>
      </c>
      <c r="BQ24" s="848">
        <v>17.8369230769231</v>
      </c>
      <c r="BR24" s="847">
        <f ca="1">AR24</f>
        <v>14.5631</v>
      </c>
      <c r="BS24" s="778">
        <v>14.4632426988922</v>
      </c>
      <c r="BT24" s="778">
        <v>12.6237623762376</v>
      </c>
      <c r="BU24" s="778">
        <v>18.1205006460705</v>
      </c>
      <c r="BV24" s="778">
        <v>16.4980325073736</v>
      </c>
      <c r="BW24" s="848">
        <v>16.4360646441735</v>
      </c>
      <c r="BX24" s="847">
        <f ca="1">AX24</f>
        <v>7.9532</v>
      </c>
      <c r="BY24" s="778">
        <v>8.92992048937141</v>
      </c>
      <c r="BZ24" s="778">
        <v>6.39162415109242</v>
      </c>
      <c r="CA24" s="778">
        <v>12.2438373320001</v>
      </c>
      <c r="CB24" s="778">
        <v>12.2282689647088</v>
      </c>
      <c r="CC24" s="848">
        <v>10.2409050296403</v>
      </c>
      <c r="CD24" s="847">
        <f ca="1">BD24</f>
        <v>7.2602</v>
      </c>
      <c r="CE24" s="778">
        <v>8.63452107677273</v>
      </c>
      <c r="CF24" s="778">
        <v>7.63712730640728</v>
      </c>
      <c r="CG24" s="778">
        <v>12.8046274714408</v>
      </c>
      <c r="CH24" s="778">
        <v>9.44700227696712</v>
      </c>
      <c r="CI24" s="848">
        <v>9.39085100873505</v>
      </c>
    </row>
    <row r="25" ht="14.25" customHeight="1" spans="1:87" x14ac:dyDescent="0.25">
      <c r="A25" s="16"/>
      <c r="B25" s="16"/>
      <c r="C25" s="16" t="s">
        <v>933</v>
      </c>
      <c r="D25" s="16"/>
      <c r="E25" s="724">
        <f ca="1">AVERAGE(L48:L63)</f>
        <v>22.41733125</v>
      </c>
      <c r="F25" s="724">
        <f ca="1">AVERAGE(R48:R63)</f>
        <v>20.33919375</v>
      </c>
      <c r="G25" s="724">
        <f ca="1">AVERAGE(X48:X63)</f>
        <v>10.532525</v>
      </c>
      <c r="H25" s="724">
        <f ca="1">AVERAGE(AD48:AD63)</f>
        <v>9.897068749999999</v>
      </c>
      <c r="I25" s="84">
        <f ca="1">IF(I24=4,1,I24+1)</f>
        <v>2</v>
      </c>
      <c r="J25" s="5">
        <f ca="1">IF(I25=1,J24+1,J24)</f>
        <v>2008</v>
      </c>
      <c r="K25" s="345" t="str">
        <f ca="1">I25&amp;"Q"&amp;RIGHT(J25,2)</f>
        <v>2Q08</v>
      </c>
      <c r="L25" s="847">
        <v>14.2799</v>
      </c>
      <c r="M25" s="778">
        <v>12.7711</v>
      </c>
      <c r="N25" s="778">
        <v>12.6021</v>
      </c>
      <c r="O25" s="778">
        <v>12.6021</v>
      </c>
      <c r="P25" s="778">
        <v>12.6021</v>
      </c>
      <c r="Q25" s="848">
        <v>12.6021</v>
      </c>
      <c r="R25" s="847">
        <v>13.4645</v>
      </c>
      <c r="S25" s="778">
        <v>12.0538</v>
      </c>
      <c r="T25" s="778">
        <v>11.4199</v>
      </c>
      <c r="U25" s="778">
        <v>11.4199</v>
      </c>
      <c r="V25" s="778">
        <v>11.4199</v>
      </c>
      <c r="W25" s="848">
        <v>11.4199</v>
      </c>
      <c r="X25" s="847">
        <v>7.1858</v>
      </c>
      <c r="Y25" s="778">
        <v>6.4955</v>
      </c>
      <c r="Z25" s="778">
        <v>6.8149</v>
      </c>
      <c r="AA25" s="778">
        <v>6.8149</v>
      </c>
      <c r="AB25" s="778">
        <v>6.8149</v>
      </c>
      <c r="AC25" s="848">
        <v>6.8149</v>
      </c>
      <c r="AD25" s="778">
        <v>7.1029</v>
      </c>
      <c r="AE25" s="778">
        <v>6.1999</v>
      </c>
      <c r="AF25" s="778">
        <v>6.8149</v>
      </c>
      <c r="AG25" s="778">
        <v>6.8149</v>
      </c>
      <c r="AH25" s="778">
        <v>6.8149</v>
      </c>
      <c r="AI25" s="848">
        <v>6.8149</v>
      </c>
      <c r="AJ25" s="16"/>
      <c r="AK25" s="345" t="str">
        <f ca="1">$K25</f>
        <v>2Q08</v>
      </c>
      <c r="AL25" s="847">
        <f ca="1">L25</f>
        <v>14.2799</v>
      </c>
      <c r="AM25" s="778">
        <v>15.4279569892473</v>
      </c>
      <c r="AN25" s="778">
        <v>15.0553928170984</v>
      </c>
      <c r="AO25" s="778">
        <v>19.5482456140351</v>
      </c>
      <c r="AP25" s="778">
        <v>16.9585492227979</v>
      </c>
      <c r="AQ25" s="848">
        <v>30.5578512396694</v>
      </c>
      <c r="AR25" s="847">
        <f ca="1">R25</f>
        <v>13.4645</v>
      </c>
      <c r="AS25" s="778">
        <v>14.5991045991046</v>
      </c>
      <c r="AT25" s="778">
        <v>13.2498441117191</v>
      </c>
      <c r="AU25" s="778">
        <v>16.4404278863888</v>
      </c>
      <c r="AV25" s="778">
        <v>15.6677836285304</v>
      </c>
      <c r="AW25" s="848">
        <v>14.9092741935484</v>
      </c>
      <c r="AX25" s="847">
        <f ca="1">X25</f>
        <v>7.1858</v>
      </c>
      <c r="AY25" s="778">
        <v>7.63779299955548</v>
      </c>
      <c r="AZ25" s="778">
        <v>8.81353092988812</v>
      </c>
      <c r="BA25" s="778">
        <v>10.6843425636309</v>
      </c>
      <c r="BB25" s="778">
        <v>10.043763313574</v>
      </c>
      <c r="BC25" s="848">
        <v>9.895961637202</v>
      </c>
      <c r="BD25" s="847">
        <f ca="1">AD25</f>
        <v>7.1029</v>
      </c>
      <c r="BE25" s="778">
        <v>7.65548728620756</v>
      </c>
      <c r="BF25" s="778">
        <v>7.99308465903532</v>
      </c>
      <c r="BG25" s="778">
        <v>8.95666163844804</v>
      </c>
      <c r="BH25" s="778">
        <v>9.6289268838999</v>
      </c>
      <c r="BI25" s="848">
        <v>8.63670687874056</v>
      </c>
      <c r="BJ25" s="16"/>
      <c r="BK25" s="345" t="str">
        <f ca="1">$K25</f>
        <v>2Q08</v>
      </c>
      <c r="BL25" s="847">
        <f ca="1">AL25</f>
        <v>14.2799</v>
      </c>
      <c r="BM25" s="778">
        <v>15.3251028806584</v>
      </c>
      <c r="BN25" s="778">
        <v>14.4696707105719</v>
      </c>
      <c r="BO25" s="778">
        <v>17.1258627805405</v>
      </c>
      <c r="BP25" s="778">
        <v>14.9282872408329</v>
      </c>
      <c r="BQ25" s="848">
        <v>18.5982404692082</v>
      </c>
      <c r="BR25" s="847">
        <f ca="1">AR25</f>
        <v>13.4645</v>
      </c>
      <c r="BS25" s="778">
        <v>14.0927152317881</v>
      </c>
      <c r="BT25" s="778">
        <v>13.0493904345108</v>
      </c>
      <c r="BU25" s="778">
        <v>15.9290327521368</v>
      </c>
      <c r="BV25" s="778">
        <v>15.4017254953595</v>
      </c>
      <c r="BW25" s="848">
        <v>17.5971143174251</v>
      </c>
      <c r="BX25" s="847">
        <f ca="1">AX25</f>
        <v>7.1858</v>
      </c>
      <c r="BY25" s="778">
        <v>8.71342246572718</v>
      </c>
      <c r="BZ25" s="778">
        <v>6.58452980858521</v>
      </c>
      <c r="CA25" s="778">
        <v>11.1879267021409</v>
      </c>
      <c r="CB25" s="778">
        <v>10.8915271624449</v>
      </c>
      <c r="CC25" s="848">
        <v>10.6184235577362</v>
      </c>
      <c r="CD25" s="847">
        <f ca="1">BD25</f>
        <v>7.1029</v>
      </c>
      <c r="CE25" s="778">
        <v>8.73196687365729</v>
      </c>
      <c r="CF25" s="778">
        <v>7.9292794875331</v>
      </c>
      <c r="CG25" s="778">
        <v>11.8924594472119</v>
      </c>
      <c r="CH25" s="778">
        <v>9.06167211008443</v>
      </c>
      <c r="CI25" s="848">
        <v>10.0294018548875</v>
      </c>
    </row>
    <row r="26" ht="14.25" customHeight="1" spans="1:87" x14ac:dyDescent="0.25">
      <c r="A26" s="16"/>
      <c r="B26" s="16"/>
      <c r="C26" s="16" t="s">
        <v>934</v>
      </c>
      <c r="D26" s="16"/>
      <c r="E26" s="724">
        <f ca="1">AVERAGE(L60:L75)</f>
        <v>20.666881249999996</v>
      </c>
      <c r="F26" s="724">
        <f ca="1">AVERAGE(R60:R75)</f>
        <v>18.955662500000006</v>
      </c>
      <c r="G26" s="724">
        <f ca="1">AVERAGE(X60:X75)</f>
        <v>11.91195</v>
      </c>
      <c r="H26" s="724">
        <f ca="1">AVERAGE(AD60:AD75)</f>
        <v>10.80409375</v>
      </c>
      <c r="I26" s="84">
        <f ca="1">IF(I25+1=5,1,I25+1)</f>
        <v>3</v>
      </c>
      <c r="J26" s="5">
        <f ca="1">IF(I26=1,J25+1,J25)</f>
        <v>2008</v>
      </c>
      <c r="K26" s="345" t="str">
        <f ca="1">I26&amp;"Q"&amp;RIGHT(J26,2)</f>
        <v>3Q08</v>
      </c>
      <c r="L26" s="847">
        <v>15.4208</v>
      </c>
      <c r="M26" s="778">
        <v>14.4982</v>
      </c>
      <c r="N26" s="778">
        <v>12.7711</v>
      </c>
      <c r="O26" s="778">
        <v>12.7711</v>
      </c>
      <c r="P26" s="778">
        <v>12.7711</v>
      </c>
      <c r="Q26" s="848">
        <v>12.7711</v>
      </c>
      <c r="R26" s="847">
        <v>15.958</v>
      </c>
      <c r="S26" s="778">
        <v>14.1408</v>
      </c>
      <c r="T26" s="778">
        <v>12.0538</v>
      </c>
      <c r="U26" s="778">
        <v>12.0538</v>
      </c>
      <c r="V26" s="778">
        <v>12.0538</v>
      </c>
      <c r="W26" s="848">
        <v>12.0538</v>
      </c>
      <c r="X26" s="847">
        <v>7.7965</v>
      </c>
      <c r="Y26" s="778">
        <v>7.799</v>
      </c>
      <c r="Z26" s="778">
        <v>6.4955</v>
      </c>
      <c r="AA26" s="778">
        <v>6.4955</v>
      </c>
      <c r="AB26" s="778">
        <v>6.4955</v>
      </c>
      <c r="AC26" s="848">
        <v>6.4955</v>
      </c>
      <c r="AD26" s="778">
        <v>7.824</v>
      </c>
      <c r="AE26" s="778">
        <v>7.6411</v>
      </c>
      <c r="AF26" s="778">
        <v>6.4955</v>
      </c>
      <c r="AG26" s="778">
        <v>6.4955</v>
      </c>
      <c r="AH26" s="778">
        <v>6.4955</v>
      </c>
      <c r="AI26" s="848">
        <v>6.4955</v>
      </c>
      <c r="AJ26" s="16"/>
      <c r="AK26" s="345" t="str">
        <f ca="1">$K26</f>
        <v>3Q08</v>
      </c>
      <c r="AL26" s="847">
        <f ca="1">L26</f>
        <v>15.4208</v>
      </c>
      <c r="AM26" s="778">
        <v>17.2464929859719</v>
      </c>
      <c r="AN26" s="778">
        <v>14.3943122734266</v>
      </c>
      <c r="AO26" s="778">
        <v>20.172268907563</v>
      </c>
      <c r="AP26" s="778">
        <v>17.740099009901</v>
      </c>
      <c r="AQ26" s="848">
        <v>32.6652892561983</v>
      </c>
      <c r="AR26" s="847">
        <f ca="1">R26</f>
        <v>15.958</v>
      </c>
      <c r="AS26" s="778">
        <v>16.4929091605979</v>
      </c>
      <c r="AT26" s="778">
        <v>13.759269084893</v>
      </c>
      <c r="AU26" s="778">
        <v>17.5925247343349</v>
      </c>
      <c r="AV26" s="778">
        <v>17.1009305654975</v>
      </c>
      <c r="AW26" s="848">
        <v>14.9715909090909</v>
      </c>
      <c r="AX26" s="847">
        <f ca="1">X26</f>
        <v>7.7965</v>
      </c>
      <c r="AY26" s="778">
        <v>8.59690566989158</v>
      </c>
      <c r="AZ26" s="778">
        <v>8.80108366138237</v>
      </c>
      <c r="BA26" s="778">
        <v>11.0940527176738</v>
      </c>
      <c r="BB26" s="778">
        <v>9.85910704093812</v>
      </c>
      <c r="BC26" s="848">
        <v>10.5383628649705</v>
      </c>
      <c r="BD26" s="847">
        <f ca="1">AD26</f>
        <v>7.824</v>
      </c>
      <c r="BE26" s="778">
        <v>8.74279316866968</v>
      </c>
      <c r="BF26" s="778">
        <v>8.15291865119672</v>
      </c>
      <c r="BG26" s="778">
        <v>9.70235882969312</v>
      </c>
      <c r="BH26" s="778">
        <v>10.2335240724788</v>
      </c>
      <c r="BI26" s="848">
        <v>8.72096085961602</v>
      </c>
      <c r="BJ26" s="16"/>
      <c r="BK26" s="345" t="str">
        <f ca="1">$K26</f>
        <v>3Q08</v>
      </c>
      <c r="BL26" s="847">
        <f ca="1">AL26</f>
        <v>15.4208</v>
      </c>
      <c r="BM26" s="778">
        <v>12.8015564202335</v>
      </c>
      <c r="BN26" s="778">
        <v>13.8237232289951</v>
      </c>
      <c r="BO26" s="778">
        <v>18.0490289468085</v>
      </c>
      <c r="BP26" s="778">
        <v>14.1588726076758</v>
      </c>
      <c r="BQ26" s="848">
        <v>17.7450980392157</v>
      </c>
      <c r="BR26" s="847">
        <f ca="1">AR26</f>
        <v>15.958</v>
      </c>
      <c r="BS26" s="778">
        <v>12.0160701241782</v>
      </c>
      <c r="BT26" s="778">
        <v>13.4773530356569</v>
      </c>
      <c r="BU26" s="778">
        <v>17.094294418136</v>
      </c>
      <c r="BV26" s="778">
        <v>15.5312723059866</v>
      </c>
      <c r="BW26" s="848">
        <v>17.4038461538462</v>
      </c>
      <c r="BX26" s="847">
        <f ca="1">AX26</f>
        <v>7.7965</v>
      </c>
      <c r="BY26" s="778">
        <v>10.8942187359427</v>
      </c>
      <c r="BZ26" s="778">
        <v>5.79676573417688</v>
      </c>
      <c r="CA26" s="778">
        <v>12.0248697957627</v>
      </c>
      <c r="CB26" s="778">
        <v>10.1625572132205</v>
      </c>
      <c r="CC26" s="848">
        <v>10.1605825557342</v>
      </c>
      <c r="CD26" s="847">
        <f ca="1">BD26</f>
        <v>7.824</v>
      </c>
      <c r="CE26" s="778">
        <v>10.5973735387781</v>
      </c>
      <c r="CF26" s="778">
        <v>7.73496272319748</v>
      </c>
      <c r="CG26" s="778">
        <v>12.5738819755107</v>
      </c>
      <c r="CH26" s="778">
        <v>8.95566003348914</v>
      </c>
      <c r="CI26" s="848">
        <v>9.88405890122222</v>
      </c>
    </row>
    <row r="27" ht="14.25" customHeight="1" spans="1:87" x14ac:dyDescent="0.25">
      <c r="A27" s="16"/>
      <c r="B27" s="16"/>
      <c r="C27" s="16"/>
      <c r="D27" s="16"/>
      <c r="E27" s="16"/>
      <c r="F27" s="16"/>
      <c r="G27" s="16"/>
      <c r="H27" s="16"/>
      <c r="I27" s="84">
        <f ca="1">IF(I26=4,1,I26+1)</f>
        <v>4</v>
      </c>
      <c r="J27" s="5">
        <f ca="1">IF(I27=1,J26+1,J26)</f>
        <v>2008</v>
      </c>
      <c r="K27" s="345" t="str">
        <f ca="1">I27&amp;"Q"&amp;RIGHT(J27,2)</f>
        <v>4Q08</v>
      </c>
      <c r="L27" s="847">
        <v>16.9505</v>
      </c>
      <c r="M27" s="778">
        <v>13.9696</v>
      </c>
      <c r="N27" s="778">
        <v>14.4982</v>
      </c>
      <c r="O27" s="778">
        <v>14.4982</v>
      </c>
      <c r="P27" s="778">
        <v>14.4982</v>
      </c>
      <c r="Q27" s="848">
        <v>14.4982</v>
      </c>
      <c r="R27" s="847">
        <v>15.5968</v>
      </c>
      <c r="S27" s="778">
        <v>13.5322</v>
      </c>
      <c r="T27" s="778">
        <v>14.1408</v>
      </c>
      <c r="U27" s="778">
        <v>14.1408</v>
      </c>
      <c r="V27" s="778">
        <v>14.1408</v>
      </c>
      <c r="W27" s="848">
        <v>14.1408</v>
      </c>
      <c r="X27" s="847">
        <v>8.5195</v>
      </c>
      <c r="Y27" s="778">
        <v>7.6507</v>
      </c>
      <c r="Z27" s="778">
        <v>7.799</v>
      </c>
      <c r="AA27" s="778">
        <v>7.799</v>
      </c>
      <c r="AB27" s="778">
        <v>7.799</v>
      </c>
      <c r="AC27" s="848">
        <v>7.799</v>
      </c>
      <c r="AD27" s="778">
        <v>7.7868</v>
      </c>
      <c r="AE27" s="778">
        <v>7.4128</v>
      </c>
      <c r="AF27" s="778">
        <v>7.799</v>
      </c>
      <c r="AG27" s="778">
        <v>7.799</v>
      </c>
      <c r="AH27" s="778">
        <v>7.799</v>
      </c>
      <c r="AI27" s="848">
        <v>7.799</v>
      </c>
      <c r="AJ27" s="16"/>
      <c r="AK27" s="345" t="str">
        <f ca="1">$K27</f>
        <v>4Q08</v>
      </c>
      <c r="AL27" s="847">
        <f ca="1">L27</f>
        <v>16.9505</v>
      </c>
      <c r="AM27" s="778">
        <v>16.7096188747731</v>
      </c>
      <c r="AN27" s="778">
        <v>13.7703909932735</v>
      </c>
      <c r="AO27" s="778">
        <v>20.952380952381</v>
      </c>
      <c r="AP27" s="778">
        <v>17.744630071599</v>
      </c>
      <c r="AQ27" s="848">
        <v>25.9249561574435</v>
      </c>
      <c r="AR27" s="847">
        <f ca="1">R27</f>
        <v>15.5968</v>
      </c>
      <c r="AS27" s="778">
        <v>16.7735470941884</v>
      </c>
      <c r="AT27" s="778">
        <v>13.9518273125852</v>
      </c>
      <c r="AU27" s="778">
        <v>20.4492641363284</v>
      </c>
      <c r="AV27" s="778">
        <v>17.7277062470196</v>
      </c>
      <c r="AW27" s="848">
        <v>16.8948412698413</v>
      </c>
      <c r="AX27" s="847">
        <f ca="1">X27</f>
        <v>8.5195</v>
      </c>
      <c r="AY27" s="778">
        <v>8.72887163490164</v>
      </c>
      <c r="AZ27" s="778">
        <v>8.50140191692857</v>
      </c>
      <c r="BA27" s="778">
        <v>11.1070955202352</v>
      </c>
      <c r="BB27" s="778">
        <v>9.56326177625636</v>
      </c>
      <c r="BC27" s="848">
        <v>9.70015168691678</v>
      </c>
      <c r="BD27" s="847">
        <f ca="1">AD27</f>
        <v>7.7868</v>
      </c>
      <c r="BE27" s="778">
        <v>8.54571044640648</v>
      </c>
      <c r="BF27" s="778">
        <v>7.68553234522558</v>
      </c>
      <c r="BG27" s="778">
        <v>9.42364323846125</v>
      </c>
      <c r="BH27" s="778">
        <v>9.25498225269748</v>
      </c>
      <c r="BI27" s="848">
        <v>7.89259181500183</v>
      </c>
      <c r="BJ27" s="16"/>
      <c r="BK27" s="345" t="str">
        <f ca="1">$K27</f>
        <v>4Q08</v>
      </c>
      <c r="BL27" s="847">
        <f ca="1">AL27</f>
        <v>16.9505</v>
      </c>
      <c r="BM27" s="778">
        <v>11.6596958174905</v>
      </c>
      <c r="BN27" s="778">
        <v>14.9481132075472</v>
      </c>
      <c r="BO27" s="778">
        <v>19.0256194648936</v>
      </c>
      <c r="BP27" s="778">
        <v>15.3269004439344</v>
      </c>
      <c r="BQ27" s="848">
        <v>16.8064516129032</v>
      </c>
      <c r="BR27" s="847">
        <f ca="1">AR27</f>
        <v>15.5968</v>
      </c>
      <c r="BS27" s="778">
        <v>11.755798351543</v>
      </c>
      <c r="BT27" s="778">
        <v>15.0474833808167</v>
      </c>
      <c r="BU27" s="778">
        <v>18.0647295929293</v>
      </c>
      <c r="BV27" s="778">
        <v>17.1042852452168</v>
      </c>
      <c r="BW27" s="848">
        <v>17.0215083038388</v>
      </c>
      <c r="BX27" s="847">
        <f ca="1">AX27</f>
        <v>8.5195</v>
      </c>
      <c r="BY27" s="778">
        <v>10.2197271127802</v>
      </c>
      <c r="BZ27" s="778">
        <v>6.28424395129667</v>
      </c>
      <c r="CA27" s="778">
        <v>12.6356232363168</v>
      </c>
      <c r="CB27" s="778">
        <v>10.57792595541</v>
      </c>
      <c r="CC27" s="848">
        <v>9.67175051875175</v>
      </c>
      <c r="CD27" s="847">
        <f ca="1">BD27</f>
        <v>7.7868</v>
      </c>
      <c r="CE27" s="778">
        <v>10.0449453713049</v>
      </c>
      <c r="CF27" s="778">
        <v>9.23733240057122</v>
      </c>
      <c r="CG27" s="778">
        <v>10.897307886223</v>
      </c>
      <c r="CH27" s="778">
        <v>8.8081389308222</v>
      </c>
      <c r="CI27" s="848">
        <v>8.94642283185287</v>
      </c>
    </row>
    <row r="28" ht="14.25" customHeight="1" spans="1:87" x14ac:dyDescent="0.25">
      <c r="A28" s="264" t="s">
        <v>1</v>
      </c>
      <c r="B28" s="16"/>
      <c r="C28" s="836" t="str">
        <f ca="1">Comparables!S88</f>
        <v>Primary Peer Group</v>
      </c>
      <c r="D28" s="110"/>
      <c r="E28" s="110"/>
      <c r="F28" s="110"/>
      <c r="G28" s="110"/>
      <c r="H28" s="111"/>
      <c r="I28" s="84">
        <f ca="1">I24</f>
        <v>1</v>
      </c>
      <c r="J28" s="5">
        <f ca="1">IF(I28=1,J27+1,J27)</f>
        <v>2009</v>
      </c>
      <c r="K28" s="345" t="str">
        <f ca="1">I28&amp;"Q"&amp;RIGHT(J28,2)</f>
        <v>1Q09</v>
      </c>
      <c r="L28" s="847"/>
      <c r="M28" s="778">
        <v>16.3278</v>
      </c>
      <c r="N28" s="778">
        <v>13.9696</v>
      </c>
      <c r="O28" s="778">
        <v>13.9696</v>
      </c>
      <c r="P28" s="778">
        <v>13.9696</v>
      </c>
      <c r="Q28" s="848">
        <v>13.9696</v>
      </c>
      <c r="R28" s="847">
        <v>15.5</v>
      </c>
      <c r="S28" s="778">
        <v>15.3292</v>
      </c>
      <c r="T28" s="778">
        <v>13.5322</v>
      </c>
      <c r="U28" s="778">
        <v>13.5322</v>
      </c>
      <c r="V28" s="778">
        <v>13.5322</v>
      </c>
      <c r="W28" s="848">
        <v>13.5322</v>
      </c>
      <c r="X28" s="847"/>
      <c r="Y28" s="778">
        <v>8.5659</v>
      </c>
      <c r="Z28" s="778">
        <v>7.6507</v>
      </c>
      <c r="AA28" s="778">
        <v>7.6507</v>
      </c>
      <c r="AB28" s="778">
        <v>7.6507</v>
      </c>
      <c r="AC28" s="848">
        <v>7.6507</v>
      </c>
      <c r="AD28" s="778">
        <v>7.7076</v>
      </c>
      <c r="AE28" s="778">
        <v>8.3646</v>
      </c>
      <c r="AF28" s="778">
        <v>7.6507</v>
      </c>
      <c r="AG28" s="778">
        <v>7.6507</v>
      </c>
      <c r="AH28" s="778">
        <v>7.6507</v>
      </c>
      <c r="AI28" s="848">
        <v>7.6507</v>
      </c>
      <c r="AJ28" s="16"/>
      <c r="AK28" s="345" t="str">
        <f ca="1">$K28</f>
        <v>1Q09</v>
      </c>
      <c r="AL28" s="847">
        <f ca="1">L28</f>
        <v>1e-12</v>
      </c>
      <c r="AM28" s="778">
        <v>17.2021276595745</v>
      </c>
      <c r="AN28" s="778">
        <v>14.7979656567033</v>
      </c>
      <c r="AO28" s="778">
        <v>19.7962264150943</v>
      </c>
      <c r="AP28" s="778">
        <v>17.7262180974478</v>
      </c>
      <c r="AQ28" s="848">
        <v>28.010522213562</v>
      </c>
      <c r="AR28" s="847">
        <f ca="1">R28</f>
        <v>15.5</v>
      </c>
      <c r="AS28" s="778">
        <v>16.0257680872151</v>
      </c>
      <c r="AT28" s="778">
        <v>13.4769302918335</v>
      </c>
      <c r="AU28" s="778">
        <v>17.2395662175485</v>
      </c>
      <c r="AV28" s="778">
        <v>16.1147437249525</v>
      </c>
      <c r="AW28" s="848">
        <v>16.7272727272727</v>
      </c>
      <c r="AX28" s="847">
        <f ca="1">X28</f>
        <v>1e-12</v>
      </c>
      <c r="AY28" s="778">
        <v>8.85900261785775</v>
      </c>
      <c r="AZ28" s="778">
        <v>9.35236565763727</v>
      </c>
      <c r="BA28" s="778">
        <v>11.0643323413605</v>
      </c>
      <c r="BB28" s="778">
        <v>9.54752528769943</v>
      </c>
      <c r="BC28" s="848">
        <v>10.4468358443576</v>
      </c>
      <c r="BD28" s="847">
        <f ca="1">AD28</f>
        <v>7.7076</v>
      </c>
      <c r="BE28" s="778">
        <v>8.4865906345287</v>
      </c>
      <c r="BF28" s="778">
        <v>8.5156768142428</v>
      </c>
      <c r="BG28" s="778">
        <v>9.73644673364436</v>
      </c>
      <c r="BH28" s="778">
        <v>9.64438372190624</v>
      </c>
      <c r="BI28" s="848">
        <v>8.80910495908152</v>
      </c>
      <c r="BJ28" s="16"/>
      <c r="BK28" s="345" t="str">
        <f ca="1">$K28</f>
        <v>1Q09</v>
      </c>
      <c r="BL28" s="847">
        <f ca="1">AL28</f>
        <v>1e-12</v>
      </c>
      <c r="BM28" s="778">
        <v>12.6710775047259</v>
      </c>
      <c r="BN28" s="778">
        <v>16.8173374613003</v>
      </c>
      <c r="BO28" s="778">
        <v>17.1665906585859</v>
      </c>
      <c r="BP28" s="778">
        <v>14.5678512444358</v>
      </c>
      <c r="BQ28" s="848">
        <v>16.8831168831169</v>
      </c>
      <c r="BR28" s="847">
        <f ca="1">AR28</f>
        <v>15.5</v>
      </c>
      <c r="BS28" s="778">
        <v>12.2855571847507</v>
      </c>
      <c r="BT28" s="778">
        <v>16.5710799267846</v>
      </c>
      <c r="BU28" s="778">
        <v>15.3245489197475</v>
      </c>
      <c r="BV28" s="778">
        <v>14.7590818733598</v>
      </c>
      <c r="BW28" s="848">
        <v>15.6400384985563</v>
      </c>
      <c r="BX28" s="847">
        <f ca="1">AX28</f>
        <v>1e-12</v>
      </c>
      <c r="BY28" s="778">
        <v>10.8467594071463</v>
      </c>
      <c r="BZ28" s="778">
        <v>7.36376070979415</v>
      </c>
      <c r="CA28" s="778">
        <v>11.4163523058198</v>
      </c>
      <c r="CB28" s="778">
        <v>10.2260901018242</v>
      </c>
      <c r="CC28" s="848">
        <v>9.68686175304303</v>
      </c>
      <c r="CD28" s="847">
        <f ca="1">BD28</f>
        <v>7.7076</v>
      </c>
      <c r="CE28" s="778">
        <v>11.3120660096171</v>
      </c>
      <c r="CF28" s="778">
        <v>9.96573481753223</v>
      </c>
      <c r="CG28" s="778">
        <v>10.2594851844776</v>
      </c>
      <c r="CH28" s="778">
        <v>8.86152326463816</v>
      </c>
      <c r="CI28" s="848">
        <v>9.1640965083525</v>
      </c>
    </row>
    <row r="29" ht="14.25" customHeight="1" spans="1:87" x14ac:dyDescent="0.25">
      <c r="A29" s="16"/>
      <c r="B29" s="16"/>
      <c r="C29" s="846" t="s">
        <v>921</v>
      </c>
      <c r="D29" s="846"/>
      <c r="E29" s="846"/>
      <c r="F29" s="846"/>
      <c r="G29" s="846"/>
      <c r="H29" s="846"/>
      <c r="I29" s="84">
        <f ca="1">IF(I28=4,1,I28+1)</f>
        <v>2</v>
      </c>
      <c r="J29" s="5">
        <f ca="1">IF(I29=1,J28+1,J28)</f>
        <v>2009</v>
      </c>
      <c r="K29" s="345" t="str">
        <f ca="1">I29&amp;"Q"&amp;RIGHT(J29,2)</f>
        <v>2Q09</v>
      </c>
      <c r="L29" s="847"/>
      <c r="M29" s="778">
        <v>13.7458</v>
      </c>
      <c r="N29" s="778">
        <v>16.3278</v>
      </c>
      <c r="O29" s="778">
        <v>16.3278</v>
      </c>
      <c r="P29" s="778">
        <v>16.3278</v>
      </c>
      <c r="Q29" s="848">
        <v>16.3278</v>
      </c>
      <c r="R29" s="847">
        <v>14.3252</v>
      </c>
      <c r="S29" s="778">
        <v>13.6131</v>
      </c>
      <c r="T29" s="778">
        <v>15.3292</v>
      </c>
      <c r="U29" s="778">
        <v>15.3292</v>
      </c>
      <c r="V29" s="778">
        <v>15.3292</v>
      </c>
      <c r="W29" s="848">
        <v>15.3292</v>
      </c>
      <c r="X29" s="847"/>
      <c r="Y29" s="778">
        <v>6.4526</v>
      </c>
      <c r="Z29" s="778">
        <v>8.5659</v>
      </c>
      <c r="AA29" s="778">
        <v>8.5659</v>
      </c>
      <c r="AB29" s="778">
        <v>8.5659</v>
      </c>
      <c r="AC29" s="848">
        <v>8.5659</v>
      </c>
      <c r="AD29" s="778">
        <v>7.1951</v>
      </c>
      <c r="AE29" s="778">
        <v>6.6933</v>
      </c>
      <c r="AF29" s="778">
        <v>8.5659</v>
      </c>
      <c r="AG29" s="778">
        <v>8.5659</v>
      </c>
      <c r="AH29" s="778">
        <v>8.5659</v>
      </c>
      <c r="AI29" s="848">
        <v>8.5659</v>
      </c>
      <c r="AJ29" s="16"/>
      <c r="AK29" s="345" t="str">
        <f ca="1">$K29</f>
        <v>2Q09</v>
      </c>
      <c r="AL29" s="847">
        <f ca="1">L29</f>
        <v>1e-12</v>
      </c>
      <c r="AM29" s="778">
        <v>15.4058919803601</v>
      </c>
      <c r="AN29" s="778">
        <v>14.8719880153684</v>
      </c>
      <c r="AO29" s="778">
        <v>18.7770034843206</v>
      </c>
      <c r="AP29" s="778">
        <v>17.1912087912088</v>
      </c>
      <c r="AQ29" s="848">
        <v>17.9026098026735</v>
      </c>
      <c r="AR29" s="847">
        <f ca="1">R29</f>
        <v>14.3252</v>
      </c>
      <c r="AS29" s="778">
        <v>14.8329656476521</v>
      </c>
      <c r="AT29" s="778">
        <v>14.1680591803049</v>
      </c>
      <c r="AU29" s="778">
        <v>17.6168682576005</v>
      </c>
      <c r="AV29" s="778">
        <v>16.4052013422819</v>
      </c>
      <c r="AW29" s="848">
        <v>14.8897058823529</v>
      </c>
      <c r="AX29" s="847">
        <f ca="1">X29</f>
        <v>1e-12</v>
      </c>
      <c r="AY29" s="778">
        <v>8.01288639099495</v>
      </c>
      <c r="AZ29" s="778">
        <v>9.59164296154905</v>
      </c>
      <c r="BA29" s="778">
        <v>9.68836800040644</v>
      </c>
      <c r="BB29" s="778">
        <v>9.56951054364888</v>
      </c>
      <c r="BC29" s="848">
        <v>8.3114767326934</v>
      </c>
      <c r="BD29" s="847">
        <f ca="1">AD29</f>
        <v>7.1951</v>
      </c>
      <c r="BE29" s="778">
        <v>7.97273141350249</v>
      </c>
      <c r="BF29" s="778">
        <v>8.61574057333204</v>
      </c>
      <c r="BG29" s="778">
        <v>9.10850981783904</v>
      </c>
      <c r="BH29" s="778">
        <v>9.66151145850426</v>
      </c>
      <c r="BI29" s="848">
        <v>7.72762338743707</v>
      </c>
      <c r="BJ29" s="16"/>
      <c r="BK29" s="345" t="str">
        <f ca="1">$K29</f>
        <v>2Q09</v>
      </c>
      <c r="BL29" s="847">
        <f ca="1">AL29</f>
        <v>1e-12</v>
      </c>
      <c r="BM29" s="778">
        <v>15.6287425149701</v>
      </c>
      <c r="BN29" s="778">
        <v>17.7298091042584</v>
      </c>
      <c r="BO29" s="778">
        <v>17.8624774718447</v>
      </c>
      <c r="BP29" s="778">
        <v>16.9552839086532</v>
      </c>
      <c r="BQ29" s="848">
        <v>17.6882793017456</v>
      </c>
      <c r="BR29" s="847">
        <f ca="1">AR29</f>
        <v>14.3252</v>
      </c>
      <c r="BS29" s="778">
        <v>13.9896373056995</v>
      </c>
      <c r="BT29" s="778">
        <v>17.3427176098822</v>
      </c>
      <c r="BU29" s="778">
        <v>16.6350377902351</v>
      </c>
      <c r="BV29" s="778">
        <v>17.3787535359534</v>
      </c>
      <c r="BW29" s="848">
        <v>16.9770224988033</v>
      </c>
      <c r="BX29" s="847">
        <f ca="1">AX29</f>
        <v>1e-12</v>
      </c>
      <c r="BY29" s="778">
        <v>8.73674862448364</v>
      </c>
      <c r="BZ29" s="778">
        <v>7.507600302718</v>
      </c>
      <c r="CA29" s="778">
        <v>12.0946544433192</v>
      </c>
      <c r="CB29" s="778">
        <v>11.9712771283663</v>
      </c>
      <c r="CC29" s="848">
        <v>6.79728445867446</v>
      </c>
      <c r="CD29" s="847">
        <f ca="1">BD29</f>
        <v>7.1951</v>
      </c>
      <c r="CE29" s="778">
        <v>8.18113448420725</v>
      </c>
      <c r="CF29" s="778">
        <v>10.2162420953171</v>
      </c>
      <c r="CG29" s="778">
        <v>10.9766502375101</v>
      </c>
      <c r="CH29" s="778">
        <v>10.6271859083267</v>
      </c>
      <c r="CI29" s="848">
        <v>9.68541593941421</v>
      </c>
    </row>
    <row r="30" ht="14.25" customHeight="1" spans="1:87" x14ac:dyDescent="0.25">
      <c r="A30" s="16"/>
      <c r="B30" s="16"/>
      <c r="C30" s="84"/>
      <c r="D30" s="16"/>
      <c r="E30" s="84" t="s">
        <v>916</v>
      </c>
      <c r="F30" s="84" t="s">
        <v>917</v>
      </c>
      <c r="G30" s="84" t="s">
        <v>918</v>
      </c>
      <c r="H30" s="84" t="s">
        <v>919</v>
      </c>
      <c r="I30" s="84">
        <f ca="1">IF(I29+1=5,1,I29+1)</f>
        <v>3</v>
      </c>
      <c r="J30" s="5">
        <f ca="1">IF(I30=1,J29+1,J29)</f>
        <v>2009</v>
      </c>
      <c r="K30" s="345" t="str">
        <f ca="1">I30&amp;"Q"&amp;RIGHT(J30,2)</f>
        <v>3Q09</v>
      </c>
      <c r="L30" s="847"/>
      <c r="M30" s="778">
        <v>11.713</v>
      </c>
      <c r="N30" s="778">
        <v>13.7458</v>
      </c>
      <c r="O30" s="778">
        <v>13.7458</v>
      </c>
      <c r="P30" s="778">
        <v>13.7458</v>
      </c>
      <c r="Q30" s="848">
        <v>13.7458</v>
      </c>
      <c r="R30" s="847">
        <v>12.2469</v>
      </c>
      <c r="S30" s="778">
        <v>11.5227</v>
      </c>
      <c r="T30" s="778">
        <v>13.6131</v>
      </c>
      <c r="U30" s="778">
        <v>13.6131</v>
      </c>
      <c r="V30" s="778">
        <v>13.6131</v>
      </c>
      <c r="W30" s="848">
        <v>13.6131</v>
      </c>
      <c r="X30" s="847"/>
      <c r="Y30" s="778">
        <v>6.1372</v>
      </c>
      <c r="Z30" s="778">
        <v>6.4526</v>
      </c>
      <c r="AA30" s="778">
        <v>6.4526</v>
      </c>
      <c r="AB30" s="778">
        <v>6.4526</v>
      </c>
      <c r="AC30" s="848">
        <v>6.4526</v>
      </c>
      <c r="AD30" s="778">
        <v>6.259</v>
      </c>
      <c r="AE30" s="778">
        <v>5.8248</v>
      </c>
      <c r="AF30" s="778">
        <v>6.4526</v>
      </c>
      <c r="AG30" s="778">
        <v>6.4526</v>
      </c>
      <c r="AH30" s="778">
        <v>6.4526</v>
      </c>
      <c r="AI30" s="848">
        <v>6.4526</v>
      </c>
      <c r="AJ30" s="16"/>
      <c r="AK30" s="345" t="str">
        <f ca="1">$K30</f>
        <v>3Q09</v>
      </c>
      <c r="AL30" s="847">
        <f ca="1">L30</f>
        <v>1e-12</v>
      </c>
      <c r="AM30" s="778">
        <v>16.4130105900151</v>
      </c>
      <c r="AN30" s="778">
        <v>13.929109488189</v>
      </c>
      <c r="AO30" s="778">
        <v>20.4551282051282</v>
      </c>
      <c r="AP30" s="778">
        <v>17.5613305613306</v>
      </c>
      <c r="AQ30" s="848">
        <v>21.8146615743688</v>
      </c>
      <c r="AR30" s="847">
        <f ca="1">R30</f>
        <v>12.2469</v>
      </c>
      <c r="AS30" s="778">
        <v>15.7872526193248</v>
      </c>
      <c r="AT30" s="778">
        <v>14.0257435480674</v>
      </c>
      <c r="AU30" s="778">
        <v>19.7523986381925</v>
      </c>
      <c r="AV30" s="778">
        <v>17.106115836371</v>
      </c>
      <c r="AW30" s="848">
        <v>16.9006849315069</v>
      </c>
      <c r="AX30" s="847">
        <f ca="1">X30</f>
        <v>1e-12</v>
      </c>
      <c r="AY30" s="778">
        <v>8.58424870725069</v>
      </c>
      <c r="AZ30" s="778">
        <v>8.44273757619393</v>
      </c>
      <c r="BA30" s="778">
        <v>11.1349827480621</v>
      </c>
      <c r="BB30" s="778">
        <v>10.4017651747751</v>
      </c>
      <c r="BC30" s="848">
        <v>10.7651705951063</v>
      </c>
      <c r="BD30" s="847">
        <f ca="1">AD30</f>
        <v>6.259</v>
      </c>
      <c r="BE30" s="778">
        <v>8.56723621121493</v>
      </c>
      <c r="BF30" s="778">
        <v>8.46114657038452</v>
      </c>
      <c r="BG30" s="778">
        <v>10.5056506409749</v>
      </c>
      <c r="BH30" s="778">
        <v>10.058965891206</v>
      </c>
      <c r="BI30" s="848">
        <v>9.44569181856999</v>
      </c>
      <c r="BJ30" s="16"/>
      <c r="BK30" s="345" t="str">
        <f ca="1">$K30</f>
        <v>3Q09</v>
      </c>
      <c r="BL30" s="847">
        <f ca="1">AL30</f>
        <v>1e-12</v>
      </c>
      <c r="BM30" s="778">
        <v>15.111753371869</v>
      </c>
      <c r="BN30" s="778">
        <v>20.2482946793997</v>
      </c>
      <c r="BO30" s="778">
        <v>18.4239851666667</v>
      </c>
      <c r="BP30" s="778">
        <v>17.1044063218137</v>
      </c>
      <c r="BQ30" s="848">
        <v>19.2997601918465</v>
      </c>
      <c r="BR30" s="847">
        <f ca="1">AR30</f>
        <v>12.2469</v>
      </c>
      <c r="BS30" s="778">
        <v>14.5213849287169</v>
      </c>
      <c r="BT30" s="778">
        <v>19.4114569709652</v>
      </c>
      <c r="BU30" s="778">
        <v>18.0479854693878</v>
      </c>
      <c r="BV30" s="778">
        <v>18.0075015665405</v>
      </c>
      <c r="BW30" s="848">
        <v>19.012520670919</v>
      </c>
      <c r="BX30" s="847">
        <f ca="1">AX30</f>
        <v>1e-12</v>
      </c>
      <c r="BY30" s="778">
        <v>8.29237002443662</v>
      </c>
      <c r="BZ30" s="778">
        <v>8.90934420426463</v>
      </c>
      <c r="CA30" s="778">
        <v>12.5523640844115</v>
      </c>
      <c r="CB30" s="778">
        <v>11.7121590153251</v>
      </c>
      <c r="CC30" s="848">
        <v>7.52760370412584</v>
      </c>
      <c r="CD30" s="847">
        <f ca="1">BD30</f>
        <v>6.259</v>
      </c>
      <c r="CE30" s="778">
        <v>8.15426847974502</v>
      </c>
      <c r="CF30" s="778">
        <v>10.7704744434713</v>
      </c>
      <c r="CG30" s="778">
        <v>12.3639389901145</v>
      </c>
      <c r="CH30" s="778">
        <v>10.6466484541989</v>
      </c>
      <c r="CI30" s="848">
        <v>10.8118977956183</v>
      </c>
    </row>
    <row r="31" ht="14.25" customHeight="1" spans="1:87" x14ac:dyDescent="0.25">
      <c r="A31" s="16"/>
      <c r="B31" s="16"/>
      <c r="C31" s="16" t="s">
        <v>890</v>
      </c>
      <c r="D31" s="16"/>
      <c r="E31" s="724">
        <f ca="1">AVERAGE(M81:Q86)</f>
        <v>24.03590666666668</v>
      </c>
      <c r="F31" s="724">
        <f ca="1">AVERAGE(S81:W86)</f>
        <v>23.23926666666667</v>
      </c>
      <c r="G31" s="724">
        <f ca="1">AVERAGE(Y81:AC86)</f>
        <v>15.931383333333336</v>
      </c>
      <c r="H31" s="724">
        <f ca="1">AVERAGE(AE81:AI86)</f>
        <v>15.898750000000001</v>
      </c>
      <c r="I31" s="84">
        <f ca="1">IF(I30=4,1,I30+1)</f>
        <v>4</v>
      </c>
      <c r="J31" s="5">
        <f ca="1">IF(I31=1,J30+1,J30)</f>
        <v>2009</v>
      </c>
      <c r="K31" s="345" t="str">
        <f ca="1">I31&amp;"Q"&amp;RIGHT(J31,2)</f>
        <v>4Q09</v>
      </c>
      <c r="L31" s="847">
        <v>12.3333</v>
      </c>
      <c r="M31" s="778">
        <v>12.4866</v>
      </c>
      <c r="N31" s="778">
        <v>11.713</v>
      </c>
      <c r="O31" s="778">
        <v>11.713</v>
      </c>
      <c r="P31" s="778">
        <v>11.713</v>
      </c>
      <c r="Q31" s="848">
        <v>11.713</v>
      </c>
      <c r="R31" s="847">
        <v>14.8383</v>
      </c>
      <c r="S31" s="778">
        <v>15.617</v>
      </c>
      <c r="T31" s="778">
        <v>11.5227</v>
      </c>
      <c r="U31" s="778">
        <v>11.5227</v>
      </c>
      <c r="V31" s="778">
        <v>11.5227</v>
      </c>
      <c r="W31" s="848">
        <v>11.5227</v>
      </c>
      <c r="X31" s="847">
        <v>6.4357</v>
      </c>
      <c r="Y31" s="778">
        <v>6.578</v>
      </c>
      <c r="Z31" s="778">
        <v>6.1372</v>
      </c>
      <c r="AA31" s="778">
        <v>6.1372</v>
      </c>
      <c r="AB31" s="778">
        <v>6.1372</v>
      </c>
      <c r="AC31" s="848">
        <v>6.1372</v>
      </c>
      <c r="AD31" s="778">
        <v>7.207</v>
      </c>
      <c r="AE31" s="778">
        <v>8.2121</v>
      </c>
      <c r="AF31" s="778">
        <v>6.1372</v>
      </c>
      <c r="AG31" s="778">
        <v>6.1372</v>
      </c>
      <c r="AH31" s="778">
        <v>6.1372</v>
      </c>
      <c r="AI31" s="848">
        <v>6.1372</v>
      </c>
      <c r="AJ31" s="16"/>
      <c r="AK31" s="345" t="str">
        <f ca="1">$K31</f>
        <v>4Q09</v>
      </c>
      <c r="AL31" s="847">
        <f ca="1">L31</f>
        <v>12.3333</v>
      </c>
      <c r="AM31" s="778">
        <v>15.3440233236152</v>
      </c>
      <c r="AN31" s="778">
        <v>13.7193211646154</v>
      </c>
      <c r="AO31" s="778">
        <v>18.2831325301205</v>
      </c>
      <c r="AP31" s="778">
        <v>17.4490196078431</v>
      </c>
      <c r="AQ31" s="848">
        <v>19.1538461538462</v>
      </c>
      <c r="AR31" s="847">
        <f ca="1">R31</f>
        <v>14.8383</v>
      </c>
      <c r="AS31" s="778">
        <v>15.1956113757759</v>
      </c>
      <c r="AT31" s="778">
        <v>13.8983966600429</v>
      </c>
      <c r="AU31" s="778">
        <v>18.6941792423776</v>
      </c>
      <c r="AV31" s="778">
        <v>17.5315208825847</v>
      </c>
      <c r="AW31" s="848">
        <v>16.8243243243243</v>
      </c>
      <c r="AX31" s="847">
        <f ca="1">X31</f>
        <v>6.4357</v>
      </c>
      <c r="AY31" s="778">
        <v>8.24111235821925</v>
      </c>
      <c r="AZ31" s="778">
        <v>8.02423787510952</v>
      </c>
      <c r="BA31" s="778">
        <v>9.96072924776507</v>
      </c>
      <c r="BB31" s="778">
        <v>10.0980469559544</v>
      </c>
      <c r="BC31" s="848">
        <v>9.3325299750434</v>
      </c>
      <c r="BD31" s="847">
        <f ca="1">AD31</f>
        <v>7.207</v>
      </c>
      <c r="BE31" s="778">
        <v>7.97389754145216</v>
      </c>
      <c r="BF31" s="778">
        <v>7.72976976739138</v>
      </c>
      <c r="BG31" s="778">
        <v>8.71093614698981</v>
      </c>
      <c r="BH31" s="778">
        <v>9.15086981964502</v>
      </c>
      <c r="BI31" s="848">
        <v>8.56753479334558</v>
      </c>
      <c r="BJ31" s="16"/>
      <c r="BK31" s="345" t="str">
        <f ca="1">$K31</f>
        <v>4Q09</v>
      </c>
      <c r="BL31" s="847">
        <f ca="1">AL31</f>
        <v>12.3333</v>
      </c>
      <c r="BM31" s="778">
        <v>13.512104283054</v>
      </c>
      <c r="BN31" s="778">
        <v>23.250936329588</v>
      </c>
      <c r="BO31" s="778">
        <v>15.7670749548673</v>
      </c>
      <c r="BP31" s="778">
        <v>16.1919309510472</v>
      </c>
      <c r="BQ31" s="848">
        <v>17.4748858447489</v>
      </c>
      <c r="BR31" s="847">
        <f ca="1">AR31</f>
        <v>14.8383</v>
      </c>
      <c r="BS31" s="778">
        <v>13.4869888475836</v>
      </c>
      <c r="BT31" s="778">
        <v>18.594249201278</v>
      </c>
      <c r="BU31" s="778">
        <v>16.1676902894737</v>
      </c>
      <c r="BV31" s="778">
        <v>18.6433810568673</v>
      </c>
      <c r="BW31" s="848">
        <v>17.9967082059723</v>
      </c>
      <c r="BX31" s="847">
        <f ca="1">AX31</f>
        <v>6.4357</v>
      </c>
      <c r="BY31" s="778">
        <v>7.33406986274049</v>
      </c>
      <c r="BZ31" s="778">
        <v>10.3981517643782</v>
      </c>
      <c r="CA31" s="778">
        <v>10.9312546610151</v>
      </c>
      <c r="CB31" s="778">
        <v>11.3586064014464</v>
      </c>
      <c r="CC31" s="848">
        <v>6.90251803024707</v>
      </c>
      <c r="CD31" s="847">
        <f ca="1">BD31</f>
        <v>7.207</v>
      </c>
      <c r="CE31" s="778">
        <v>7.15781064029143</v>
      </c>
      <c r="CF31" s="778">
        <v>11.0079026660542</v>
      </c>
      <c r="CG31" s="778">
        <v>9.6792214411202</v>
      </c>
      <c r="CH31" s="778">
        <v>9.8381757631917</v>
      </c>
      <c r="CI31" s="848">
        <v>9.27720073675327</v>
      </c>
    </row>
    <row r="32" ht="14.25" customHeight="1" spans="1:87" x14ac:dyDescent="0.25">
      <c r="A32" s="16"/>
      <c r="B32" s="16"/>
      <c r="C32" s="16" t="s">
        <v>892</v>
      </c>
      <c r="D32" s="16"/>
      <c r="E32" s="724">
        <f ca="1">AVERAGE(M77:Q86)</f>
        <v>22.794811999999997</v>
      </c>
      <c r="F32" s="724">
        <f ca="1">AVERAGE(S77:W86)</f>
        <v>22.402899999999995</v>
      </c>
      <c r="G32" s="724">
        <f ca="1">AVERAGE(Y77:AC86)</f>
        <v>15.202821999999996</v>
      </c>
      <c r="H32" s="724">
        <f ca="1">AVERAGE(AE77:AI86)</f>
        <v>15.226447999999996</v>
      </c>
      <c r="I32" s="84">
        <f ca="1">I28</f>
        <v>1</v>
      </c>
      <c r="J32" s="5">
        <f ca="1">IF(I32=1,J31+1,J31)</f>
        <v>2010</v>
      </c>
      <c r="K32" s="345" t="str">
        <f ca="1">I32&amp;"Q"&amp;RIGHT(J32,2)</f>
        <v>1Q10</v>
      </c>
      <c r="L32" s="847">
        <v>11.5922</v>
      </c>
      <c r="M32" s="778">
        <v>10.7796</v>
      </c>
      <c r="N32" s="778">
        <v>12.4866</v>
      </c>
      <c r="O32" s="778">
        <v>12.4866</v>
      </c>
      <c r="P32" s="778">
        <v>12.4866</v>
      </c>
      <c r="Q32" s="848">
        <v>12.4866</v>
      </c>
      <c r="R32" s="847">
        <v>13.7874</v>
      </c>
      <c r="S32" s="778">
        <v>13.5298</v>
      </c>
      <c r="T32" s="778">
        <v>15.617</v>
      </c>
      <c r="U32" s="778">
        <v>15.617</v>
      </c>
      <c r="V32" s="778">
        <v>15.617</v>
      </c>
      <c r="W32" s="848">
        <v>15.617</v>
      </c>
      <c r="X32" s="847">
        <v>5.7847</v>
      </c>
      <c r="Y32" s="778">
        <v>6.2369</v>
      </c>
      <c r="Z32" s="778">
        <v>6.578</v>
      </c>
      <c r="AA32" s="778">
        <v>6.578</v>
      </c>
      <c r="AB32" s="778">
        <v>6.578</v>
      </c>
      <c r="AC32" s="848">
        <v>6.578</v>
      </c>
      <c r="AD32" s="778">
        <v>6.4312</v>
      </c>
      <c r="AE32" s="778">
        <v>7.187</v>
      </c>
      <c r="AF32" s="778">
        <v>6.578</v>
      </c>
      <c r="AG32" s="778">
        <v>6.578</v>
      </c>
      <c r="AH32" s="778">
        <v>6.578</v>
      </c>
      <c r="AI32" s="848">
        <v>6.578</v>
      </c>
      <c r="AJ32" s="16"/>
      <c r="AK32" s="345" t="str">
        <f ca="1">$K32</f>
        <v>1Q10</v>
      </c>
      <c r="AL32" s="847">
        <f ca="1">L32</f>
        <v>11.5922</v>
      </c>
      <c r="AM32" s="778">
        <v>13.7916666666667</v>
      </c>
      <c r="AN32" s="778">
        <v>14.4646541801229</v>
      </c>
      <c r="AO32" s="778">
        <v>18.2514124293785</v>
      </c>
      <c r="AP32" s="778">
        <v>15.297247706422</v>
      </c>
      <c r="AQ32" s="848">
        <v>18.6634615384615</v>
      </c>
      <c r="AR32" s="847">
        <f ca="1">R32</f>
        <v>13.7874</v>
      </c>
      <c r="AS32" s="778">
        <v>13.4771986970684</v>
      </c>
      <c r="AT32" s="778">
        <v>12.3404741956294</v>
      </c>
      <c r="AU32" s="778">
        <v>16.664947124065</v>
      </c>
      <c r="AV32" s="778">
        <v>14.4890510948905</v>
      </c>
      <c r="AW32" s="848">
        <v>13.7855113636364</v>
      </c>
      <c r="AX32" s="847">
        <f ca="1">X32</f>
        <v>5.7847</v>
      </c>
      <c r="AY32" s="778">
        <v>7.5082358060283</v>
      </c>
      <c r="AZ32" s="778">
        <v>8.52486044129458</v>
      </c>
      <c r="BA32" s="778">
        <v>10.3114736638174</v>
      </c>
      <c r="BB32" s="778">
        <v>8.98015145446268</v>
      </c>
      <c r="BC32" s="848">
        <v>9.08579678005642</v>
      </c>
      <c r="BD32" s="847">
        <f ca="1">AD32</f>
        <v>6.4312</v>
      </c>
      <c r="BE32" s="778">
        <v>7.44225321565274</v>
      </c>
      <c r="BF32" s="778">
        <v>7.58233332727495</v>
      </c>
      <c r="BG32" s="778">
        <v>9.37739082369275</v>
      </c>
      <c r="BH32" s="778">
        <v>8.58421079389026</v>
      </c>
      <c r="BI32" s="848">
        <v>8.06478592151889</v>
      </c>
      <c r="BJ32" s="16"/>
      <c r="BK32" s="345" t="str">
        <f ca="1">$K32</f>
        <v>1Q10</v>
      </c>
      <c r="BL32" s="847">
        <f ca="1">AL32</f>
        <v>11.5922</v>
      </c>
      <c r="BM32" s="778">
        <v>14.005366726297</v>
      </c>
      <c r="BN32" s="778">
        <v>18.6419466975666</v>
      </c>
      <c r="BO32" s="778">
        <v>16.0251866279279</v>
      </c>
      <c r="BP32" s="778">
        <v>14.024015011101</v>
      </c>
      <c r="BQ32" s="848">
        <v>15.15859030837</v>
      </c>
      <c r="BR32" s="847">
        <f ca="1">AR32</f>
        <v>13.7874</v>
      </c>
      <c r="BS32" s="778">
        <v>13.1403155421282</v>
      </c>
      <c r="BT32" s="778">
        <v>15.4811393379523</v>
      </c>
      <c r="BU32" s="778">
        <v>14.6523535065898</v>
      </c>
      <c r="BV32" s="778">
        <v>14.2851003969459</v>
      </c>
      <c r="BW32" s="848">
        <v>14.1546688605512</v>
      </c>
      <c r="BX32" s="847">
        <f ca="1">AX32</f>
        <v>5.7847</v>
      </c>
      <c r="BY32" s="778">
        <v>7.58359118671717</v>
      </c>
      <c r="BZ32" s="778">
        <v>8.82653249435534</v>
      </c>
      <c r="CA32" s="778">
        <v>10.8670026348689</v>
      </c>
      <c r="CB32" s="778">
        <v>10.0792752371108</v>
      </c>
      <c r="CC32" s="848">
        <v>6.17659738967299</v>
      </c>
      <c r="CD32" s="847">
        <f ca="1">BD32</f>
        <v>6.4312</v>
      </c>
      <c r="CE32" s="778">
        <v>7.96814530662271</v>
      </c>
      <c r="CF32" s="778">
        <v>9.57449076073544</v>
      </c>
      <c r="CG32" s="778">
        <v>9.11535440583849</v>
      </c>
      <c r="CH32" s="778">
        <v>9.0013095935908</v>
      </c>
      <c r="CI32" s="848">
        <v>8.36843695719435</v>
      </c>
    </row>
    <row r="33" ht="14.25" customHeight="1" spans="1:87" x14ac:dyDescent="0.25">
      <c r="A33" s="16"/>
      <c r="B33" s="16"/>
      <c r="C33" s="16" t="s">
        <v>887</v>
      </c>
      <c r="D33" s="16"/>
      <c r="E33" s="724">
        <f ca="1">AVERAGE(M73:Q86)</f>
        <v>22.434631428571436</v>
      </c>
      <c r="F33" s="724">
        <f ca="1">AVERAGE(S73:W86)</f>
        <v>21.62764142857142</v>
      </c>
      <c r="G33" s="724">
        <f ca="1">AVERAGE(Y73:AC86)</f>
        <v>14.829062857142853</v>
      </c>
      <c r="H33" s="724">
        <f ca="1">AVERAGE(AE73:AI86)</f>
        <v>14.83389857142857</v>
      </c>
      <c r="I33" s="84">
        <f ca="1">IF(I32=4,1,I32+1)</f>
        <v>2</v>
      </c>
      <c r="J33" s="5">
        <f ca="1">IF(I33=1,J32+1,J32)</f>
        <v>2010</v>
      </c>
      <c r="K33" s="345" t="str">
        <f ca="1">I33&amp;"Q"&amp;RIGHT(J33,2)</f>
        <v>2Q10</v>
      </c>
      <c r="L33" s="847">
        <v>13.4602</v>
      </c>
      <c r="M33" s="778">
        <v>12.2148</v>
      </c>
      <c r="N33" s="778">
        <v>10.7796</v>
      </c>
      <c r="O33" s="778">
        <v>10.7796</v>
      </c>
      <c r="P33" s="778">
        <v>10.7796</v>
      </c>
      <c r="Q33" s="848">
        <v>10.7796</v>
      </c>
      <c r="R33" s="847">
        <v>15.4735</v>
      </c>
      <c r="S33" s="778">
        <v>14.7605</v>
      </c>
      <c r="T33" s="778">
        <v>13.5298</v>
      </c>
      <c r="U33" s="778">
        <v>13.5298</v>
      </c>
      <c r="V33" s="778">
        <v>13.5298</v>
      </c>
      <c r="W33" s="848">
        <v>13.5298</v>
      </c>
      <c r="X33" s="847">
        <v>6.5525</v>
      </c>
      <c r="Y33" s="778">
        <v>7.1046</v>
      </c>
      <c r="Z33" s="778">
        <v>6.2369</v>
      </c>
      <c r="AA33" s="778">
        <v>6.2369</v>
      </c>
      <c r="AB33" s="778">
        <v>6.2369</v>
      </c>
      <c r="AC33" s="848">
        <v>6.2369</v>
      </c>
      <c r="AD33" s="778">
        <v>7.1468</v>
      </c>
      <c r="AE33" s="778">
        <v>7.6393</v>
      </c>
      <c r="AF33" s="778">
        <v>6.2369</v>
      </c>
      <c r="AG33" s="778">
        <v>6.2369</v>
      </c>
      <c r="AH33" s="778">
        <v>6.2369</v>
      </c>
      <c r="AI33" s="848">
        <v>6.2369</v>
      </c>
      <c r="AJ33" s="16"/>
      <c r="AK33" s="345" t="str">
        <f ca="1">$K33</f>
        <v>2Q10</v>
      </c>
      <c r="AL33" s="847">
        <f ca="1">L33</f>
        <v>13.4602</v>
      </c>
      <c r="AM33" s="778">
        <v>13.0330250990753</v>
      </c>
      <c r="AN33" s="778">
        <v>12.3103857018256</v>
      </c>
      <c r="AO33" s="778">
        <v>15.048128342246</v>
      </c>
      <c r="AP33" s="778">
        <v>14.7978910369069</v>
      </c>
      <c r="AQ33" s="848">
        <v>16.1496350364963</v>
      </c>
      <c r="AR33" s="847">
        <f ca="1">R33</f>
        <v>15.4735</v>
      </c>
      <c r="AS33" s="778">
        <v>13.2518468770987</v>
      </c>
      <c r="AT33" s="778">
        <v>11.8143277224061</v>
      </c>
      <c r="AU33" s="778">
        <v>14.3534812547819</v>
      </c>
      <c r="AV33" s="778">
        <v>14.2518618821936</v>
      </c>
      <c r="AW33" s="848">
        <v>12.6068376068376</v>
      </c>
      <c r="AX33" s="847">
        <f ca="1">X33</f>
        <v>6.5525</v>
      </c>
      <c r="AY33" s="778">
        <v>7.13845427889995</v>
      </c>
      <c r="AZ33" s="778">
        <v>7.2858484195114</v>
      </c>
      <c r="BA33" s="778">
        <v>8.56023963831996</v>
      </c>
      <c r="BB33" s="778">
        <v>8.52483697498763</v>
      </c>
      <c r="BC33" s="848">
        <v>8.51204820813631</v>
      </c>
      <c r="BD33" s="847">
        <f ca="1">AD33</f>
        <v>7.1468</v>
      </c>
      <c r="BE33" s="778">
        <v>7.17551512396366</v>
      </c>
      <c r="BF33" s="778">
        <v>7.07841661921764</v>
      </c>
      <c r="BG33" s="778">
        <v>7.97209442218629</v>
      </c>
      <c r="BH33" s="778">
        <v>8.23352538970197</v>
      </c>
      <c r="BI33" s="848">
        <v>8.00985159188212</v>
      </c>
      <c r="BJ33" s="16"/>
      <c r="BK33" s="345" t="str">
        <f ca="1">$K33</f>
        <v>2Q10</v>
      </c>
      <c r="BL33" s="847">
        <f ca="1">AL33</f>
        <v>13.4602</v>
      </c>
      <c r="BM33" s="778">
        <v>12.1215106732348</v>
      </c>
      <c r="BN33" s="778">
        <v>15.3631522896699</v>
      </c>
      <c r="BO33" s="778">
        <v>11.4534820830357</v>
      </c>
      <c r="BP33" s="778">
        <v>11.7898232831689</v>
      </c>
      <c r="BQ33" s="848">
        <v>13.0168776371308</v>
      </c>
      <c r="BR33" s="847">
        <f ca="1">AR33</f>
        <v>15.4735</v>
      </c>
      <c r="BS33" s="778">
        <v>12.1996364237316</v>
      </c>
      <c r="BT33" s="778">
        <v>14.2156089869925</v>
      </c>
      <c r="BU33" s="778">
        <v>11.5879854859982</v>
      </c>
      <c r="BV33" s="778">
        <v>12.6164160594796</v>
      </c>
      <c r="BW33" s="848">
        <v>12.6046986721144</v>
      </c>
      <c r="BX33" s="847">
        <f ca="1">AX33</f>
        <v>6.5525</v>
      </c>
      <c r="BY33" s="778">
        <v>6.76726294065942</v>
      </c>
      <c r="BZ33" s="778">
        <v>7.10345359639207</v>
      </c>
      <c r="CA33" s="778">
        <v>7.78108940528903</v>
      </c>
      <c r="CB33" s="778">
        <v>8.89386809611559</v>
      </c>
      <c r="CC33" s="848">
        <v>7.83430844388233</v>
      </c>
      <c r="CD33" s="847">
        <f ca="1">BD33</f>
        <v>7.1468</v>
      </c>
      <c r="CE33" s="778">
        <v>7.42775735230166</v>
      </c>
      <c r="CF33" s="778">
        <v>8.32214301402676</v>
      </c>
      <c r="CG33" s="778">
        <v>7.3101900362287</v>
      </c>
      <c r="CH33" s="778">
        <v>8.08381866379652</v>
      </c>
      <c r="CI33" s="848">
        <v>7.55503811116955</v>
      </c>
    </row>
    <row r="34" ht="14.25" customHeight="1" spans="1:87" x14ac:dyDescent="0.25">
      <c r="A34" s="16"/>
      <c r="B34" s="16"/>
      <c r="C34" s="16" t="s">
        <v>893</v>
      </c>
      <c r="D34" s="16"/>
      <c r="E34" s="724">
        <f ca="1">AVERAGE(M65:Q86)</f>
        <v>22.779055454545446</v>
      </c>
      <c r="F34" s="724">
        <f ca="1">AVERAGE(S65:W86)</f>
        <v>21.50007</v>
      </c>
      <c r="G34" s="724">
        <f ca="1">AVERAGE(Y65:AC86)</f>
        <v>14.193111818181821</v>
      </c>
      <c r="H34" s="724">
        <f ca="1">AVERAGE(AE65:AI86)</f>
        <v>14.158867272727273</v>
      </c>
      <c r="I34" s="84">
        <f ca="1">IF(I33+1=5,1,I33+1)</f>
        <v>3</v>
      </c>
      <c r="J34" s="5">
        <f ca="1">IF(I34=1,J33+1,J33)</f>
        <v>2010</v>
      </c>
      <c r="K34" s="345" t="str">
        <f ca="1">I34&amp;"Q"&amp;RIGHT(J34,2)</f>
        <v>3Q10</v>
      </c>
      <c r="L34" s="847">
        <v>12.9639</v>
      </c>
      <c r="M34" s="778">
        <v>11.6289</v>
      </c>
      <c r="N34" s="778">
        <v>12.2148</v>
      </c>
      <c r="O34" s="778">
        <v>12.2148</v>
      </c>
      <c r="P34" s="778">
        <v>12.2148</v>
      </c>
      <c r="Q34" s="848">
        <v>12.2148</v>
      </c>
      <c r="R34" s="847">
        <v>14.299</v>
      </c>
      <c r="S34" s="778">
        <v>13.3141</v>
      </c>
      <c r="T34" s="778">
        <v>14.7605</v>
      </c>
      <c r="U34" s="778">
        <v>14.7605</v>
      </c>
      <c r="V34" s="778">
        <v>14.7605</v>
      </c>
      <c r="W34" s="848">
        <v>14.7605</v>
      </c>
      <c r="X34" s="847">
        <v>6.2556</v>
      </c>
      <c r="Y34" s="778">
        <v>6.8262</v>
      </c>
      <c r="Z34" s="778">
        <v>7.1046</v>
      </c>
      <c r="AA34" s="778">
        <v>7.1046</v>
      </c>
      <c r="AB34" s="778">
        <v>7.1046</v>
      </c>
      <c r="AC34" s="848">
        <v>7.1046</v>
      </c>
      <c r="AD34" s="778">
        <v>6.6945</v>
      </c>
      <c r="AE34" s="778">
        <v>7.0848</v>
      </c>
      <c r="AF34" s="778">
        <v>7.1046</v>
      </c>
      <c r="AG34" s="778">
        <v>7.1046</v>
      </c>
      <c r="AH34" s="778">
        <v>7.1046</v>
      </c>
      <c r="AI34" s="848">
        <v>7.1046</v>
      </c>
      <c r="AJ34" s="16"/>
      <c r="AK34" s="345" t="str">
        <f ca="1">$K34</f>
        <v>3Q10</v>
      </c>
      <c r="AL34" s="847">
        <f ca="1">L34</f>
        <v>12.9639</v>
      </c>
      <c r="AM34" s="778">
        <v>14.2613784135241</v>
      </c>
      <c r="AN34" s="778">
        <v>10.9403486187251</v>
      </c>
      <c r="AO34" s="778">
        <v>13.6310164596243</v>
      </c>
      <c r="AP34" s="778">
        <v>12.3939393939394</v>
      </c>
      <c r="AQ34" s="848">
        <v>15.036496350365</v>
      </c>
      <c r="AR34" s="847">
        <f ca="1">R34</f>
        <v>14.299</v>
      </c>
      <c r="AS34" s="778">
        <v>14.1894164833743</v>
      </c>
      <c r="AT34" s="778">
        <v>10.6953359427459</v>
      </c>
      <c r="AU34" s="778">
        <v>13.3708145927036</v>
      </c>
      <c r="AV34" s="778">
        <v>12.0274464956706</v>
      </c>
      <c r="AW34" s="848">
        <v>11.2568306010929</v>
      </c>
      <c r="AX34" s="847">
        <f ca="1">X34</f>
        <v>6.2556</v>
      </c>
      <c r="AY34" s="778">
        <v>7.63722758727173</v>
      </c>
      <c r="AZ34" s="778">
        <v>6.5458498682913</v>
      </c>
      <c r="BA34" s="778">
        <v>7.38488673506552</v>
      </c>
      <c r="BB34" s="778">
        <v>7.15096702293113</v>
      </c>
      <c r="BC34" s="848">
        <v>7.94865866056743</v>
      </c>
      <c r="BD34" s="847">
        <f ca="1">AD34</f>
        <v>6.6945</v>
      </c>
      <c r="BE34" s="778">
        <v>7.65709577706541</v>
      </c>
      <c r="BF34" s="778">
        <v>6.31387809328918</v>
      </c>
      <c r="BG34" s="778">
        <v>7.29278151519314</v>
      </c>
      <c r="BH34" s="778">
        <v>7.04444582656831</v>
      </c>
      <c r="BI34" s="848">
        <v>7.05981330295993</v>
      </c>
      <c r="BJ34" s="16"/>
      <c r="BK34" s="345" t="str">
        <f ca="1">$K34</f>
        <v>3Q10</v>
      </c>
      <c r="BL34" s="847">
        <f ca="1">AL34</f>
        <v>12.9639</v>
      </c>
      <c r="BM34" s="778">
        <v>9.80263157894737</v>
      </c>
      <c r="BN34" s="778">
        <v>10.2484472049689</v>
      </c>
      <c r="BO34" s="778">
        <v>11.5079392957746</v>
      </c>
      <c r="BP34" s="778">
        <v>8.52493561532834</v>
      </c>
      <c r="BQ34" s="848">
        <v>12.1578947368421</v>
      </c>
      <c r="BR34" s="847">
        <f ca="1">AR34</f>
        <v>14.299</v>
      </c>
      <c r="BS34" s="778">
        <v>9.80101956914981</v>
      </c>
      <c r="BT34" s="778">
        <v>10.116492949111</v>
      </c>
      <c r="BU34" s="778">
        <v>12.1166142857143</v>
      </c>
      <c r="BV34" s="778">
        <v>10.3440641357541</v>
      </c>
      <c r="BW34" s="848">
        <v>12.1406913280776</v>
      </c>
      <c r="BX34" s="847">
        <f ca="1">AX34</f>
        <v>6.2556</v>
      </c>
      <c r="BY34" s="778">
        <v>5.8776212254061</v>
      </c>
      <c r="BZ34" s="778">
        <v>4.76372495848693</v>
      </c>
      <c r="CA34" s="778">
        <v>7.59923687527338</v>
      </c>
      <c r="CB34" s="778">
        <v>8.4334234393286</v>
      </c>
      <c r="CC34" s="848">
        <v>7.37840266412968</v>
      </c>
      <c r="CD34" s="847">
        <f ca="1">BD34</f>
        <v>6.6945</v>
      </c>
      <c r="CE34" s="778">
        <v>6.22487769295433</v>
      </c>
      <c r="CF34" s="778">
        <v>5.71660154479643</v>
      </c>
      <c r="CG34" s="778">
        <v>7.06802129940095</v>
      </c>
      <c r="CH34" s="778">
        <v>7.00106176187648</v>
      </c>
      <c r="CI34" s="848">
        <v>7.14659152822386</v>
      </c>
    </row>
    <row r="35" ht="14.25" customHeight="1" spans="1:87" x14ac:dyDescent="0.25">
      <c r="A35" s="16"/>
      <c r="B35" s="16"/>
      <c r="C35" s="846" t="s">
        <v>922</v>
      </c>
      <c r="D35" s="846"/>
      <c r="E35" s="846"/>
      <c r="F35" s="846"/>
      <c r="G35" s="846"/>
      <c r="H35" s="846"/>
      <c r="I35" s="84">
        <f ca="1">IF(I34=4,1,I34+1)</f>
        <v>4</v>
      </c>
      <c r="J35" s="5">
        <f ca="1">IF(I35=1,J34+1,J34)</f>
        <v>2010</v>
      </c>
      <c r="K35" s="345" t="str">
        <f ca="1">I35&amp;"Q"&amp;RIGHT(J35,2)</f>
        <v>4Q10</v>
      </c>
      <c r="L35" s="847">
        <v>12.2483</v>
      </c>
      <c r="M35" s="778">
        <v>13.1544</v>
      </c>
      <c r="N35" s="778">
        <v>11.6289</v>
      </c>
      <c r="O35" s="778">
        <v>11.6289</v>
      </c>
      <c r="P35" s="778">
        <v>11.6289</v>
      </c>
      <c r="Q35" s="848">
        <v>11.6289</v>
      </c>
      <c r="R35" s="847">
        <v>16.5758</v>
      </c>
      <c r="S35" s="778">
        <v>18.0122</v>
      </c>
      <c r="T35" s="778">
        <v>13.3141</v>
      </c>
      <c r="U35" s="778">
        <v>13.3141</v>
      </c>
      <c r="V35" s="778">
        <v>13.3141</v>
      </c>
      <c r="W35" s="848">
        <v>13.3141</v>
      </c>
      <c r="X35" s="847">
        <v>5.908</v>
      </c>
      <c r="Y35" s="778">
        <v>8.1223</v>
      </c>
      <c r="Z35" s="778">
        <v>6.8262</v>
      </c>
      <c r="AA35" s="778">
        <v>6.8262</v>
      </c>
      <c r="AB35" s="778">
        <v>6.8262</v>
      </c>
      <c r="AC35" s="848">
        <v>6.8262</v>
      </c>
      <c r="AD35" s="778">
        <v>7.0318</v>
      </c>
      <c r="AE35" s="778">
        <v>8.6896</v>
      </c>
      <c r="AF35" s="778">
        <v>6.8262</v>
      </c>
      <c r="AG35" s="778">
        <v>6.8262</v>
      </c>
      <c r="AH35" s="778">
        <v>6.8262</v>
      </c>
      <c r="AI35" s="848">
        <v>6.8262</v>
      </c>
      <c r="AJ35" s="16"/>
      <c r="AK35" s="345" t="str">
        <f ca="1">$K35</f>
        <v>4Q10</v>
      </c>
      <c r="AL35" s="847">
        <f ca="1">L35</f>
        <v>12.2483</v>
      </c>
      <c r="AM35" s="778">
        <v>10.8211068211068</v>
      </c>
      <c r="AN35" s="778">
        <v>21.9437661740064</v>
      </c>
      <c r="AO35" s="778">
        <v>12.4621362504108</v>
      </c>
      <c r="AP35" s="778">
        <v>9.37947882736156</v>
      </c>
      <c r="AQ35" s="848">
        <v>7.59576612903226</v>
      </c>
      <c r="AR35" s="847">
        <f ca="1">R35</f>
        <v>16.5758</v>
      </c>
      <c r="AS35" s="778">
        <v>10.8883708883709</v>
      </c>
      <c r="AT35" s="778">
        <v>7.85453529719339</v>
      </c>
      <c r="AU35" s="778">
        <v>12.6493184634449</v>
      </c>
      <c r="AV35" s="778">
        <v>9.32631578947369</v>
      </c>
      <c r="AW35" s="848">
        <v>10.0199468085106</v>
      </c>
      <c r="AX35" s="847">
        <f ca="1">X35</f>
        <v>5.908</v>
      </c>
      <c r="AY35" s="778">
        <v>5.90011760747417</v>
      </c>
      <c r="AZ35" s="778">
        <v>4.82447464821243</v>
      </c>
      <c r="BA35" s="778">
        <v>7.14185113877008</v>
      </c>
      <c r="BB35" s="778">
        <v>6.06203857526081</v>
      </c>
      <c r="BC35" s="848">
        <v>5.50760434172874</v>
      </c>
      <c r="BD35" s="847">
        <f ca="1">AD35</f>
        <v>7.0318</v>
      </c>
      <c r="BE35" s="778">
        <v>6.03087847680449</v>
      </c>
      <c r="BF35" s="778">
        <v>4.62504773738436</v>
      </c>
      <c r="BG35" s="778">
        <v>6.2991772819749</v>
      </c>
      <c r="BH35" s="778">
        <v>5.53833867354741</v>
      </c>
      <c r="BI35" s="848">
        <v>5.70512358787155</v>
      </c>
      <c r="BJ35" s="16"/>
      <c r="BK35" s="345" t="str">
        <f ca="1">$K35</f>
        <v>4Q10</v>
      </c>
      <c r="BL35" s="847">
        <f ca="1">AL35</f>
        <v>12.2483</v>
      </c>
      <c r="BM35" s="778">
        <v>7.89222614840989</v>
      </c>
      <c r="BN35" s="778">
        <v>8.01673640167364</v>
      </c>
      <c r="BO35" s="778">
        <v>7.98578086153846</v>
      </c>
      <c r="BP35" s="778">
        <v>6.70691845599802</v>
      </c>
      <c r="BQ35" s="848">
        <v>10.784708249497</v>
      </c>
      <c r="BR35" s="847">
        <f ca="1">AR35</f>
        <v>16.5758</v>
      </c>
      <c r="BS35" s="778">
        <v>7.57118644067797</v>
      </c>
      <c r="BT35" s="778">
        <v>8.47600088476001</v>
      </c>
      <c r="BU35" s="778">
        <v>8.1487559811617</v>
      </c>
      <c r="BV35" s="778">
        <v>8.31229787365712</v>
      </c>
      <c r="BW35" s="848">
        <v>10.9387755102041</v>
      </c>
      <c r="BX35" s="847">
        <f ca="1">AX35</f>
        <v>5.908</v>
      </c>
      <c r="BY35" s="778">
        <v>4.30281119062126</v>
      </c>
      <c r="BZ35" s="778">
        <v>3.84144099267505</v>
      </c>
      <c r="CA35" s="778">
        <v>5.64581306397784</v>
      </c>
      <c r="CB35" s="778">
        <v>6.80370302620347</v>
      </c>
      <c r="CC35" s="848">
        <v>6.62475062506113</v>
      </c>
      <c r="CD35" s="847">
        <f ca="1">BD35</f>
        <v>7.0318</v>
      </c>
      <c r="CE35" s="778">
        <v>6.17013682805112</v>
      </c>
      <c r="CF35" s="778">
        <v>4.79104348371169</v>
      </c>
      <c r="CG35" s="778">
        <v>4.54697852739125</v>
      </c>
      <c r="CH35" s="778">
        <v>6.34376169566361</v>
      </c>
      <c r="CI35" s="848">
        <v>6.76024263312271</v>
      </c>
    </row>
    <row r="36" ht="14.25" customHeight="1" spans="1:87" x14ac:dyDescent="0.25">
      <c r="A36" s="16"/>
      <c r="B36" s="16"/>
      <c r="C36" s="84"/>
      <c r="D36" s="16"/>
      <c r="E36" s="84" t="s">
        <v>916</v>
      </c>
      <c r="F36" s="84" t="s">
        <v>917</v>
      </c>
      <c r="G36" s="84" t="s">
        <v>918</v>
      </c>
      <c r="H36" s="84" t="s">
        <v>919</v>
      </c>
      <c r="I36" s="84">
        <f ca="1">I32</f>
        <v>1</v>
      </c>
      <c r="J36" s="5">
        <f ca="1">IF(I36=1,J35+1,J35)</f>
        <v>2011</v>
      </c>
      <c r="K36" s="345" t="str">
        <f ca="1">I36&amp;"Q"&amp;RIGHT(J36,2)</f>
        <v>1Q11</v>
      </c>
      <c r="L36" s="847">
        <v>13.8423</v>
      </c>
      <c r="M36" s="778">
        <v>13.7252</v>
      </c>
      <c r="N36" s="778">
        <v>13.1544</v>
      </c>
      <c r="O36" s="778">
        <v>13.1544</v>
      </c>
      <c r="P36" s="778">
        <v>13.1544</v>
      </c>
      <c r="Q36" s="848">
        <v>13.1544</v>
      </c>
      <c r="R36" s="847">
        <v>15.7677</v>
      </c>
      <c r="S36" s="778">
        <v>16.5129</v>
      </c>
      <c r="T36" s="778">
        <v>18.0122</v>
      </c>
      <c r="U36" s="778">
        <v>18.0122</v>
      </c>
      <c r="V36" s="778">
        <v>18.0122</v>
      </c>
      <c r="W36" s="848">
        <v>18.0122</v>
      </c>
      <c r="X36" s="847">
        <v>6.181</v>
      </c>
      <c r="Y36" s="778">
        <v>7.6196</v>
      </c>
      <c r="Z36" s="778">
        <v>8.1223</v>
      </c>
      <c r="AA36" s="778">
        <v>8.1223</v>
      </c>
      <c r="AB36" s="778">
        <v>8.1223</v>
      </c>
      <c r="AC36" s="848">
        <v>8.1223</v>
      </c>
      <c r="AD36" s="778">
        <v>6.7382</v>
      </c>
      <c r="AE36" s="778">
        <v>8.0188</v>
      </c>
      <c r="AF36" s="778">
        <v>8.1223</v>
      </c>
      <c r="AG36" s="778">
        <v>8.1223</v>
      </c>
      <c r="AH36" s="778">
        <v>8.1223</v>
      </c>
      <c r="AI36" s="848">
        <v>8.1223</v>
      </c>
      <c r="AJ36" s="16"/>
      <c r="AK36" s="345" t="str">
        <f ca="1">$K36</f>
        <v>1Q11</v>
      </c>
      <c r="AL36" s="847">
        <f ca="1">L36</f>
        <v>13.8423</v>
      </c>
      <c r="AM36" s="778">
        <v>8.94170984455958</v>
      </c>
      <c r="AN36" s="778">
        <v>18.143558</v>
      </c>
      <c r="AO36" s="778">
        <v>9.14879335309855</v>
      </c>
      <c r="AP36" s="778">
        <v>6.77361563517915</v>
      </c>
      <c r="AQ36" s="848">
        <v>6.74395161290323</v>
      </c>
      <c r="AR36" s="847">
        <f ca="1">R36</f>
        <v>15.7677</v>
      </c>
      <c r="AS36" s="778">
        <v>9.4007898679014</v>
      </c>
      <c r="AT36" s="778">
        <v>8.16609809323432</v>
      </c>
      <c r="AU36" s="778">
        <v>8.41945945945946</v>
      </c>
      <c r="AV36" s="778">
        <v>6.82810704317846</v>
      </c>
      <c r="AW36" s="848">
        <v>8.06024096385542</v>
      </c>
      <c r="AX36" s="847">
        <f ca="1">X36</f>
        <v>6.181</v>
      </c>
      <c r="AY36" s="778">
        <v>4.89790121018937</v>
      </c>
      <c r="AZ36" s="778">
        <v>4.62200946967527</v>
      </c>
      <c r="BA36" s="778">
        <v>5.07124184961911</v>
      </c>
      <c r="BB36" s="778">
        <v>4.50233671413515</v>
      </c>
      <c r="BC36" s="848">
        <v>4.90204376382567</v>
      </c>
      <c r="BD36" s="847">
        <f ca="1">AD36</f>
        <v>6.7382</v>
      </c>
      <c r="BE36" s="778">
        <v>5.2630583207003</v>
      </c>
      <c r="BF36" s="778">
        <v>4.9107333603228</v>
      </c>
      <c r="BG36" s="778">
        <v>4.76823874635809</v>
      </c>
      <c r="BH36" s="778">
        <v>4.5585638192333</v>
      </c>
      <c r="BI36" s="848">
        <v>4.8074347810977</v>
      </c>
      <c r="BJ36" s="16"/>
      <c r="BK36" s="345" t="str">
        <f ca="1">$K36</f>
        <v>1Q11</v>
      </c>
      <c r="BL36" s="847">
        <f ca="1">AL36</f>
        <v>13.8423</v>
      </c>
      <c r="BM36" s="778">
        <v>6.06261010977097</v>
      </c>
      <c r="BN36" s="778">
        <v>7.29854559770248</v>
      </c>
      <c r="BO36" s="778">
        <v>5.51742027483059</v>
      </c>
      <c r="BP36" s="778">
        <v>6.20276365659083</v>
      </c>
      <c r="BQ36" s="848">
        <v>8.96724015554344</v>
      </c>
      <c r="BR36" s="847">
        <f ca="1">AR36</f>
        <v>15.7677</v>
      </c>
      <c r="BS36" s="778">
        <v>13.1576470588235</v>
      </c>
      <c r="BT36" s="778">
        <v>10.2303143479614</v>
      </c>
      <c r="BU36" s="778">
        <v>10.0395161714876</v>
      </c>
      <c r="BV36" s="778">
        <v>8.64779520486701</v>
      </c>
      <c r="BW36" s="848">
        <v>10.3069544364508</v>
      </c>
      <c r="BX36" s="847">
        <f ca="1">AX36</f>
        <v>6.181</v>
      </c>
      <c r="BY36" s="778">
        <v>3.7364763015806</v>
      </c>
      <c r="BZ36" s="778">
        <v>3.66001445821772</v>
      </c>
      <c r="CA36" s="778">
        <v>4.34125575482718</v>
      </c>
      <c r="CB36" s="778">
        <v>6.51077564649239</v>
      </c>
      <c r="CC36" s="848">
        <v>5.76187677861997</v>
      </c>
      <c r="CD36" s="847">
        <f ca="1">BD36</f>
        <v>6.7382</v>
      </c>
      <c r="CE36" s="778">
        <v>6.63022308926675</v>
      </c>
      <c r="CF36" s="778">
        <v>5.85000314803948</v>
      </c>
      <c r="CG36" s="778">
        <v>4.72919234884656</v>
      </c>
      <c r="CH36" s="778">
        <v>5.90416055786468</v>
      </c>
      <c r="CI36" s="848">
        <v>6.27194697572948</v>
      </c>
    </row>
    <row r="37" ht="14.25" customHeight="1" spans="1:87" x14ac:dyDescent="0.25">
      <c r="A37" s="16"/>
      <c r="B37" s="16"/>
      <c r="C37" s="16" t="s">
        <v>923</v>
      </c>
      <c r="D37" s="16"/>
      <c r="E37" s="724">
        <f ca="1">AVERAGE(M8:Q75)</f>
        <v>19.21793823529415</v>
      </c>
      <c r="F37" s="724">
        <f ca="1">AVERAGE(S8:W75)</f>
        <v>18.137459117647047</v>
      </c>
      <c r="G37" s="724">
        <f ca="1">AVERAGE(Y8:AC75)</f>
        <v>10.293522941176485</v>
      </c>
      <c r="H37" s="724">
        <f ca="1">AVERAGE(AE8:AI75)</f>
        <v>10.249110670731723</v>
      </c>
      <c r="I37" s="84">
        <f ca="1">IF(I36=4,1,I36+1)</f>
        <v>2</v>
      </c>
      <c r="J37" s="5">
        <f ca="1">IF(I37=1,J36+1,J36)</f>
        <v>2011</v>
      </c>
      <c r="K37" s="345" t="str">
        <f ca="1">I37&amp;"Q"&amp;RIGHT(J37,2)</f>
        <v>2Q11</v>
      </c>
      <c r="L37" s="847">
        <v>16.0511</v>
      </c>
      <c r="M37" s="778">
        <v>15.9513</v>
      </c>
      <c r="N37" s="778">
        <v>13.7252</v>
      </c>
      <c r="O37" s="778">
        <v>13.7252</v>
      </c>
      <c r="P37" s="778">
        <v>13.7252</v>
      </c>
      <c r="Q37" s="848">
        <v>13.7252</v>
      </c>
      <c r="R37" s="847">
        <v>17.45</v>
      </c>
      <c r="S37" s="778">
        <v>17.5726</v>
      </c>
      <c r="T37" s="778">
        <v>16.5129</v>
      </c>
      <c r="U37" s="778">
        <v>16.5129</v>
      </c>
      <c r="V37" s="778">
        <v>16.5129</v>
      </c>
      <c r="W37" s="848">
        <v>16.5129</v>
      </c>
      <c r="X37" s="847">
        <v>6.8694</v>
      </c>
      <c r="Y37" s="778">
        <v>8.5839</v>
      </c>
      <c r="Z37" s="778">
        <v>7.6196</v>
      </c>
      <c r="AA37" s="778">
        <v>7.6196</v>
      </c>
      <c r="AB37" s="778">
        <v>7.6196</v>
      </c>
      <c r="AC37" s="848">
        <v>7.6196</v>
      </c>
      <c r="AD37" s="778">
        <v>7.1572</v>
      </c>
      <c r="AE37" s="778">
        <v>8.4114</v>
      </c>
      <c r="AF37" s="778">
        <v>7.6196</v>
      </c>
      <c r="AG37" s="778">
        <v>7.6196</v>
      </c>
      <c r="AH37" s="778">
        <v>7.6196</v>
      </c>
      <c r="AI37" s="848">
        <v>7.6196</v>
      </c>
      <c r="AJ37" s="16"/>
      <c r="AK37" s="345" t="str">
        <f ca="1">$K37</f>
        <v>2Q11</v>
      </c>
      <c r="AL37" s="847">
        <f ca="1">L37</f>
        <v>16.0511</v>
      </c>
      <c r="AM37" s="778">
        <v>10.8400537634409</v>
      </c>
      <c r="AN37" s="778">
        <v>20.8031558594378</v>
      </c>
      <c r="AO37" s="778">
        <v>9.88465235857861</v>
      </c>
      <c r="AP37" s="778">
        <v>8.8482428115016</v>
      </c>
      <c r="AQ37" s="848">
        <v>10.9902597402597</v>
      </c>
      <c r="AR37" s="847">
        <f ca="1">R37</f>
        <v>17.45</v>
      </c>
      <c r="AS37" s="778">
        <v>10.8810037776579</v>
      </c>
      <c r="AT37" s="778">
        <v>8.3497655595406</v>
      </c>
      <c r="AU37" s="778">
        <v>9.41712590080543</v>
      </c>
      <c r="AV37" s="778">
        <v>9.01823510257245</v>
      </c>
      <c r="AW37" s="848">
        <v>8.05952380952381</v>
      </c>
      <c r="AX37" s="847">
        <f ca="1">X37</f>
        <v>6.8694</v>
      </c>
      <c r="AY37" s="778">
        <v>5.82167252554598</v>
      </c>
      <c r="AZ37" s="778">
        <v>5.04100180226023</v>
      </c>
      <c r="BA37" s="778">
        <v>5.51825909288744</v>
      </c>
      <c r="BB37" s="778">
        <v>5.75990533872074</v>
      </c>
      <c r="BC37" s="848">
        <v>4.63550797149717</v>
      </c>
      <c r="BD37" s="847">
        <f ca="1">AD37</f>
        <v>7.1572</v>
      </c>
      <c r="BE37" s="778">
        <v>5.95575380710775</v>
      </c>
      <c r="BF37" s="778">
        <v>5.05876329563125</v>
      </c>
      <c r="BG37" s="778">
        <v>5.28198572877306</v>
      </c>
      <c r="BH37" s="778">
        <v>5.86429997708341</v>
      </c>
      <c r="BI37" s="848">
        <v>4.71638627172521</v>
      </c>
      <c r="BJ37" s="16"/>
      <c r="BK37" s="345" t="str">
        <f ca="1">$K37</f>
        <v>2Q11</v>
      </c>
      <c r="BL37" s="847">
        <f ca="1">AL37</f>
        <v>16.0511</v>
      </c>
      <c r="BM37" s="778">
        <v>9.19853836784409</v>
      </c>
      <c r="BN37" s="778">
        <v>10.3133050412313</v>
      </c>
      <c r="BO37" s="778">
        <v>7.82122628507479</v>
      </c>
      <c r="BP37" s="778">
        <v>7.68649436762423</v>
      </c>
      <c r="BQ37" s="848">
        <v>11.2296705358169</v>
      </c>
      <c r="BR37" s="847">
        <f ca="1">AR37</f>
        <v>17.45</v>
      </c>
      <c r="BS37" s="778">
        <v>28.2634730538922</v>
      </c>
      <c r="BT37" s="778">
        <v>15.7036163522013</v>
      </c>
      <c r="BU37" s="778">
        <v>11.4957820489796</v>
      </c>
      <c r="BV37" s="778">
        <v>10.4776994462381</v>
      </c>
      <c r="BW37" s="848">
        <v>12.747791952895</v>
      </c>
      <c r="BX37" s="847">
        <f ca="1">AX37</f>
        <v>6.8694</v>
      </c>
      <c r="BY37" s="778">
        <v>4.9804834814134</v>
      </c>
      <c r="BZ37" s="778">
        <v>3.58839260043144</v>
      </c>
      <c r="CA37" s="778">
        <v>5.67519919824192</v>
      </c>
      <c r="CB37" s="778">
        <v>7.58509884744024</v>
      </c>
      <c r="CC37" s="848">
        <v>7.07566910748467</v>
      </c>
      <c r="CD37" s="847">
        <f ca="1">BD37</f>
        <v>7.1572</v>
      </c>
      <c r="CE37" s="778">
        <v>9.89561708373266</v>
      </c>
      <c r="CF37" s="778">
        <v>6.09088945161138</v>
      </c>
      <c r="CG37" s="778">
        <v>6.66279642640942</v>
      </c>
      <c r="CH37" s="778">
        <v>6.76085839496737</v>
      </c>
      <c r="CI37" s="848">
        <v>7.46422950954564</v>
      </c>
    </row>
    <row r="38" ht="14.25" customHeight="1" spans="1:87" x14ac:dyDescent="0.25">
      <c r="A38" s="16"/>
      <c r="B38" s="16"/>
      <c r="C38" s="16" t="s">
        <v>924</v>
      </c>
      <c r="D38" s="16"/>
      <c r="E38" s="724">
        <f t="shared" ref="E38:H38" si="33" ca="1">AVERAGE(E42,E46)</f>
        <v>19.162175625</v>
      </c>
      <c r="F38" s="724">
        <f ca="1">AVERAGE(F42,F46)</f>
        <v>18.071488541666675</v>
      </c>
      <c r="G38" s="724">
        <f ca="1">AVERAGE(G42,G46)</f>
        <v>9.864566666666665</v>
      </c>
      <c r="H38" s="724">
        <f ca="1">AVERAGE(H42,H46)</f>
        <v>9.915280416666667</v>
      </c>
      <c r="I38" s="84">
        <f ca="1">IF(I37+1=5,1,I37+1)</f>
        <v>3</v>
      </c>
      <c r="J38" s="5">
        <f ca="1">IF(I38=1,J37+1,J37)</f>
        <v>2011</v>
      </c>
      <c r="K38" s="345" t="str">
        <f ca="1">I38&amp;"Q"&amp;RIGHT(J38,2)</f>
        <v>3Q11</v>
      </c>
      <c r="L38" s="847">
        <v>18.9198</v>
      </c>
      <c r="M38" s="778">
        <v>17.7138</v>
      </c>
      <c r="N38" s="778">
        <v>15.9513</v>
      </c>
      <c r="O38" s="778">
        <v>15.9513</v>
      </c>
      <c r="P38" s="778">
        <v>15.9513</v>
      </c>
      <c r="Q38" s="848">
        <v>15.9513</v>
      </c>
      <c r="R38" s="847">
        <v>19.251</v>
      </c>
      <c r="S38" s="778">
        <v>18.5925</v>
      </c>
      <c r="T38" s="778">
        <v>17.5726</v>
      </c>
      <c r="U38" s="778">
        <v>17.5726</v>
      </c>
      <c r="V38" s="778">
        <v>17.5726</v>
      </c>
      <c r="W38" s="848">
        <v>17.5726</v>
      </c>
      <c r="X38" s="847">
        <v>7.8838</v>
      </c>
      <c r="Y38" s="778">
        <v>9.2119</v>
      </c>
      <c r="Z38" s="778">
        <v>8.5839</v>
      </c>
      <c r="AA38" s="778">
        <v>8.5839</v>
      </c>
      <c r="AB38" s="778">
        <v>8.5839</v>
      </c>
      <c r="AC38" s="848">
        <v>8.5839</v>
      </c>
      <c r="AD38" s="778">
        <v>7.845</v>
      </c>
      <c r="AE38" s="778">
        <v>8.714</v>
      </c>
      <c r="AF38" s="778">
        <v>8.5839</v>
      </c>
      <c r="AG38" s="778">
        <v>8.5839</v>
      </c>
      <c r="AH38" s="778">
        <v>8.5839</v>
      </c>
      <c r="AI38" s="848">
        <v>8.5839</v>
      </c>
      <c r="AJ38" s="16"/>
      <c r="AK38" s="345" t="str">
        <f ca="1">$K38</f>
        <v>3Q11</v>
      </c>
      <c r="AL38" s="847">
        <f ca="1">L38</f>
        <v>18.9198</v>
      </c>
      <c r="AM38" s="778">
        <v>10.5377576439906</v>
      </c>
      <c r="AN38" s="778">
        <v>27.4851857570911</v>
      </c>
      <c r="AO38" s="778">
        <v>10.2080314672093</v>
      </c>
      <c r="AP38" s="778">
        <v>10.1572327044025</v>
      </c>
      <c r="AQ38" s="848">
        <v>11.3376623376623</v>
      </c>
      <c r="AR38" s="847">
        <f ca="1">R38</f>
        <v>19.251</v>
      </c>
      <c r="AS38" s="778">
        <v>10.5899905058999</v>
      </c>
      <c r="AT38" s="778">
        <v>9.63399473117176</v>
      </c>
      <c r="AU38" s="778">
        <v>10.025078369906</v>
      </c>
      <c r="AV38" s="778">
        <v>10.4683195592286</v>
      </c>
      <c r="AW38" s="848">
        <v>8.64356435643564</v>
      </c>
      <c r="AX38" s="847">
        <f ca="1">X38</f>
        <v>7.8838</v>
      </c>
      <c r="AY38" s="778">
        <v>5.75086825776484</v>
      </c>
      <c r="AZ38" s="778">
        <v>5.76379770975627</v>
      </c>
      <c r="BA38" s="778">
        <v>5.67244769955988</v>
      </c>
      <c r="BB38" s="778">
        <v>6.41895446200724</v>
      </c>
      <c r="BC38" s="848">
        <v>4.78298077282033</v>
      </c>
      <c r="BD38" s="847">
        <f ca="1">AD38</f>
        <v>7.845</v>
      </c>
      <c r="BE38" s="778">
        <v>5.82626829111257</v>
      </c>
      <c r="BF38" s="778">
        <v>5.64016330373248</v>
      </c>
      <c r="BG38" s="778">
        <v>5.50800076174861</v>
      </c>
      <c r="BH38" s="778">
        <v>6.54640211913482</v>
      </c>
      <c r="BI38" s="848">
        <v>4.90525100638369</v>
      </c>
      <c r="BJ38" s="16"/>
      <c r="BK38" s="345" t="str">
        <f ca="1">$K38</f>
        <v>3Q11</v>
      </c>
      <c r="BL38" s="847">
        <f ca="1">AL38</f>
        <v>18.9198</v>
      </c>
      <c r="BM38" s="778">
        <v>19.4664826079701</v>
      </c>
      <c r="BN38" s="778">
        <v>12.1118500568766</v>
      </c>
      <c r="BO38" s="778">
        <v>12.9341481944021</v>
      </c>
      <c r="BP38" s="778">
        <v>10.6991838719928</v>
      </c>
      <c r="BQ38" s="848">
        <v>13.6541211445259</v>
      </c>
      <c r="BR38" s="847">
        <f ca="1">AR38</f>
        <v>19.251</v>
      </c>
      <c r="BS38" s="778">
        <v>35.2783505154639</v>
      </c>
      <c r="BT38" s="778">
        <v>16.3007975693126</v>
      </c>
      <c r="BU38" s="778">
        <v>16.1718729385246</v>
      </c>
      <c r="BV38" s="778">
        <v>12.6626890556961</v>
      </c>
      <c r="BW38" s="848">
        <v>14.9191968658178</v>
      </c>
      <c r="BX38" s="847">
        <f ca="1">AX38</f>
        <v>7.8838</v>
      </c>
      <c r="BY38" s="778">
        <v>8.42885511890875</v>
      </c>
      <c r="BZ38" s="778">
        <v>4.11881142036482</v>
      </c>
      <c r="CA38" s="778">
        <v>8.4896052720449</v>
      </c>
      <c r="CB38" s="778">
        <v>7.89812505069555</v>
      </c>
      <c r="CC38" s="848">
        <v>8.31292487435405</v>
      </c>
      <c r="CD38" s="847">
        <f ca="1">BD38</f>
        <v>7.845</v>
      </c>
      <c r="CE38" s="778">
        <v>13.4717395070908</v>
      </c>
      <c r="CF38" s="778">
        <v>8.52424333939433</v>
      </c>
      <c r="CG38" s="778">
        <v>6.84037574361095</v>
      </c>
      <c r="CH38" s="778">
        <v>7.62192591280778</v>
      </c>
      <c r="CI38" s="848">
        <v>8.47323729728315</v>
      </c>
    </row>
    <row r="39" ht="14.25" customHeight="1" spans="1:87" x14ac:dyDescent="0.25">
      <c r="A39" s="16"/>
      <c r="B39" s="16"/>
      <c r="C39" s="16" t="s">
        <v>925</v>
      </c>
      <c r="D39" s="16"/>
      <c r="E39" s="724">
        <f t="shared" ref="E39:H39" si="34" ca="1">AVERAGE(E43,E47)</f>
        <v>19.35671791666666</v>
      </c>
      <c r="F39" s="724">
        <f ca="1">AVERAGE(F43,F47)</f>
        <v>18.00337229166665</v>
      </c>
      <c r="G39" s="724">
        <f ca="1">AVERAGE(G43,G47)</f>
        <v>10.236756666666668</v>
      </c>
      <c r="H39" s="724">
        <f ca="1">AVERAGE(H43,H47)</f>
        <v>10.106916607142859</v>
      </c>
      <c r="I39" s="84">
        <f ca="1">IF(I38=4,1,I38+1)</f>
        <v>4</v>
      </c>
      <c r="J39" s="5">
        <f ca="1">IF(I39=1,J38+1,J38)</f>
        <v>2011</v>
      </c>
      <c r="K39" s="345" t="str">
        <f ca="1">I39&amp;"Q"&amp;RIGHT(J39,2)</f>
        <v>4Q11</v>
      </c>
      <c r="L39" s="847">
        <v>18.9098</v>
      </c>
      <c r="M39" s="778">
        <v>19.4746</v>
      </c>
      <c r="N39" s="778">
        <v>17.7138</v>
      </c>
      <c r="O39" s="778">
        <v>17.7138</v>
      </c>
      <c r="P39" s="778">
        <v>17.7138</v>
      </c>
      <c r="Q39" s="848">
        <v>17.7138</v>
      </c>
      <c r="R39" s="847">
        <v>17.2037</v>
      </c>
      <c r="S39" s="778">
        <v>17.6776</v>
      </c>
      <c r="T39" s="778">
        <v>18.5925</v>
      </c>
      <c r="U39" s="778">
        <v>18.5925</v>
      </c>
      <c r="V39" s="778">
        <v>18.5925</v>
      </c>
      <c r="W39" s="848">
        <v>18.5925</v>
      </c>
      <c r="X39" s="847">
        <v>8.0501</v>
      </c>
      <c r="Y39" s="778">
        <v>9.5377</v>
      </c>
      <c r="Z39" s="778">
        <v>9.2119</v>
      </c>
      <c r="AA39" s="778">
        <v>9.2119</v>
      </c>
      <c r="AB39" s="778">
        <v>9.2119</v>
      </c>
      <c r="AC39" s="848">
        <v>9.2119</v>
      </c>
      <c r="AD39" s="778">
        <v>7.4794</v>
      </c>
      <c r="AE39" s="778">
        <v>8.7837</v>
      </c>
      <c r="AF39" s="778">
        <v>9.2119</v>
      </c>
      <c r="AG39" s="778">
        <v>9.2119</v>
      </c>
      <c r="AH39" s="778">
        <v>9.2119</v>
      </c>
      <c r="AI39" s="848">
        <v>9.2119</v>
      </c>
      <c r="AJ39" s="16"/>
      <c r="AK39" s="345" t="str">
        <f ca="1">$K39</f>
        <v>4Q11</v>
      </c>
      <c r="AL39" s="847">
        <f ca="1">L39</f>
        <v>18.9098</v>
      </c>
      <c r="AM39" s="778">
        <v>10.1197188934144</v>
      </c>
      <c r="AN39" s="778">
        <v>11.7970385363965</v>
      </c>
      <c r="AO39" s="778">
        <v>10.5807044670822</v>
      </c>
      <c r="AP39" s="778">
        <v>10.9774557165862</v>
      </c>
      <c r="AQ39" s="848">
        <v>11.6558441558442</v>
      </c>
      <c r="AR39" s="847">
        <f ca="1">R39</f>
        <v>17.2037</v>
      </c>
      <c r="AS39" s="778">
        <v>9.93277089375165</v>
      </c>
      <c r="AT39" s="778">
        <v>9.80566783723631</v>
      </c>
      <c r="AU39" s="778">
        <v>10.6732960430909</v>
      </c>
      <c r="AV39" s="778">
        <v>11.0147035062207</v>
      </c>
      <c r="AW39" s="848">
        <v>8.89851485148515</v>
      </c>
      <c r="AX39" s="847">
        <f ca="1">X39</f>
        <v>8.0501</v>
      </c>
      <c r="AY39" s="778">
        <v>5.91454019307236</v>
      </c>
      <c r="AZ39" s="778">
        <v>6.57052903854619</v>
      </c>
      <c r="BA39" s="778">
        <v>5.67431486087671</v>
      </c>
      <c r="BB39" s="778">
        <v>6.58510139823663</v>
      </c>
      <c r="BC39" s="848">
        <v>5.03048952812205</v>
      </c>
      <c r="BD39" s="847">
        <f ca="1">AD39</f>
        <v>7.4794</v>
      </c>
      <c r="BE39" s="778">
        <v>6.0064613737832</v>
      </c>
      <c r="BF39" s="778">
        <v>5.03010214457906</v>
      </c>
      <c r="BG39" s="778">
        <v>5.86572589595718</v>
      </c>
      <c r="BH39" s="778">
        <v>6.45559338832222</v>
      </c>
      <c r="BI39" s="848">
        <v>4.62066972486577</v>
      </c>
      <c r="BJ39" s="16"/>
      <c r="BK39" s="345" t="str">
        <f ca="1">$K39</f>
        <v>4Q11</v>
      </c>
      <c r="BL39" s="847">
        <f ca="1">AL39</f>
        <v>18.9098</v>
      </c>
      <c r="BM39" s="778">
        <v>28.6224270452053</v>
      </c>
      <c r="BN39" s="778">
        <v>25.6560579886675</v>
      </c>
      <c r="BO39" s="778">
        <v>14.7276675216782</v>
      </c>
      <c r="BP39" s="778">
        <v>13.5143829788318</v>
      </c>
      <c r="BQ39" s="848">
        <v>15.4123269305155</v>
      </c>
      <c r="BR39" s="847">
        <f ca="1">AR39</f>
        <v>17.2037</v>
      </c>
      <c r="BS39" s="778">
        <v>28.2128712871287</v>
      </c>
      <c r="BT39" s="778">
        <v>21.5326433121019</v>
      </c>
      <c r="BU39" s="778">
        <v>14.5874961705115</v>
      </c>
      <c r="BV39" s="778">
        <v>13.126449359233</v>
      </c>
      <c r="BW39" s="848">
        <v>16.8634596695821</v>
      </c>
      <c r="BX39" s="847">
        <f ca="1">AX39</f>
        <v>8.0501</v>
      </c>
      <c r="BY39" s="778">
        <v>14.1545619542665</v>
      </c>
      <c r="BZ39" s="778">
        <v>6.03047033443133</v>
      </c>
      <c r="CA39" s="778">
        <v>7.96553378664613</v>
      </c>
      <c r="CB39" s="778">
        <v>9.80775472028126</v>
      </c>
      <c r="CC39" s="848">
        <v>9.2828708723069</v>
      </c>
      <c r="CD39" s="847">
        <f ca="1">BD39</f>
        <v>7.4794</v>
      </c>
      <c r="CE39" s="778">
        <v>9.83100998373389</v>
      </c>
      <c r="CF39" s="778">
        <v>8.1240381305083</v>
      </c>
      <c r="CG39" s="778">
        <v>7.31440259308921</v>
      </c>
      <c r="CH39" s="778">
        <v>8.17767144467011</v>
      </c>
      <c r="CI39" s="848">
        <v>8.48806467440511</v>
      </c>
    </row>
    <row r="40" ht="14.25" customHeight="1" spans="1:87" x14ac:dyDescent="0.25">
      <c r="A40" s="16"/>
      <c r="B40" s="16"/>
      <c r="C40" s="16" t="s">
        <v>926</v>
      </c>
      <c r="D40" s="16"/>
      <c r="E40" s="724">
        <f t="shared" ref="E40:H40" si="35" ca="1">AVERAGE(E44,E48)</f>
        <v>18.215712083333333</v>
      </c>
      <c r="F40" s="724">
        <f ca="1">AVERAGE(F44,F48)</f>
        <v>17.444910625</v>
      </c>
      <c r="G40" s="724">
        <f ca="1">AVERAGE(G44,G48)</f>
        <v>10.194504583333329</v>
      </c>
      <c r="H40" s="724">
        <f ca="1">AVERAGE(H44,H48)</f>
        <v>10.159341458333332</v>
      </c>
      <c r="I40" s="84">
        <f ca="1">I36</f>
        <v>1</v>
      </c>
      <c r="J40" s="5">
        <f ca="1">IF(I40=1,J39+1,J39)</f>
        <v>2012</v>
      </c>
      <c r="K40" s="345" t="str">
        <f ca="1">I40&amp;"Q"&amp;RIGHT(J40,2)</f>
        <v>1Q12</v>
      </c>
      <c r="L40" s="847">
        <v>15.7119</v>
      </c>
      <c r="M40" s="778">
        <v>16.0591</v>
      </c>
      <c r="N40" s="778">
        <v>19.4746</v>
      </c>
      <c r="O40" s="778">
        <v>19.4746</v>
      </c>
      <c r="P40" s="778">
        <v>19.4746</v>
      </c>
      <c r="Q40" s="848">
        <v>19.4746</v>
      </c>
      <c r="R40" s="847">
        <v>14.0344</v>
      </c>
      <c r="S40" s="778">
        <v>14.544</v>
      </c>
      <c r="T40" s="778">
        <v>17.6776</v>
      </c>
      <c r="U40" s="778">
        <v>17.6776</v>
      </c>
      <c r="V40" s="778">
        <v>17.6776</v>
      </c>
      <c r="W40" s="848">
        <v>17.6776</v>
      </c>
      <c r="X40" s="847">
        <v>6.5555</v>
      </c>
      <c r="Y40" s="778">
        <v>7.8657</v>
      </c>
      <c r="Z40" s="778">
        <v>9.5377</v>
      </c>
      <c r="AA40" s="778">
        <v>9.5377</v>
      </c>
      <c r="AB40" s="778">
        <v>9.5377</v>
      </c>
      <c r="AC40" s="848">
        <v>9.5377</v>
      </c>
      <c r="AD40" s="778">
        <v>5.9953</v>
      </c>
      <c r="AE40" s="778">
        <v>7.406</v>
      </c>
      <c r="AF40" s="778">
        <v>9.5377</v>
      </c>
      <c r="AG40" s="778">
        <v>9.5377</v>
      </c>
      <c r="AH40" s="778">
        <v>9.5377</v>
      </c>
      <c r="AI40" s="848">
        <v>9.5377</v>
      </c>
      <c r="AJ40" s="16"/>
      <c r="AK40" s="345" t="str">
        <f ca="1">$K40</f>
        <v>1Q12</v>
      </c>
      <c r="AL40" s="847">
        <f ca="1">L40</f>
        <v>15.7119</v>
      </c>
      <c r="AM40" s="778">
        <v>11.2459018741683</v>
      </c>
      <c r="AN40" s="778">
        <v>13.1752667734563</v>
      </c>
      <c r="AO40" s="778">
        <v>11.5195012733566</v>
      </c>
      <c r="AP40" s="778">
        <v>12.4315619967794</v>
      </c>
      <c r="AQ40" s="848"/>
      <c r="AR40" s="847">
        <f ca="1">R40</f>
        <v>14.0344</v>
      </c>
      <c r="AS40" s="778">
        <v>11.1375802997859</v>
      </c>
      <c r="AT40" s="778">
        <v>10.206529667639</v>
      </c>
      <c r="AU40" s="778">
        <v>11.4790996784566</v>
      </c>
      <c r="AV40" s="778">
        <v>11.7952635599694</v>
      </c>
      <c r="AW40" s="848">
        <v>8.63488372093023</v>
      </c>
      <c r="AX40" s="847">
        <f ca="1">X40</f>
        <v>6.5555</v>
      </c>
      <c r="AY40" s="778">
        <v>6.37346540340196</v>
      </c>
      <c r="AZ40" s="778">
        <v>7.79228770791539</v>
      </c>
      <c r="BA40" s="778">
        <v>6.23389074738903</v>
      </c>
      <c r="BB40" s="778">
        <v>7.38346757418372</v>
      </c>
      <c r="BC40" s="848">
        <v>5.16271847804848</v>
      </c>
      <c r="BD40" s="847">
        <f ca="1">AD40</f>
        <v>5.9953</v>
      </c>
      <c r="BE40" s="778">
        <v>6.26735005457296</v>
      </c>
      <c r="BF40" s="778">
        <v>6.12120177969153</v>
      </c>
      <c r="BG40" s="778">
        <v>6.40531229040912</v>
      </c>
      <c r="BH40" s="778">
        <v>7.19464424631259</v>
      </c>
      <c r="BI40" s="848">
        <v>4.60460511198831</v>
      </c>
      <c r="BJ40" s="16"/>
      <c r="BK40" s="345" t="str">
        <f ca="1">$K40</f>
        <v>1Q12</v>
      </c>
      <c r="BL40" s="847">
        <f ca="1">AL40</f>
        <v>15.7119</v>
      </c>
      <c r="BM40" s="778">
        <v>30.6330289851329</v>
      </c>
      <c r="BN40" s="778">
        <v>27.9859571305592</v>
      </c>
      <c r="BO40" s="778">
        <v>18.4238341654617</v>
      </c>
      <c r="BP40" s="778">
        <v>14.9901358803284</v>
      </c>
      <c r="BQ40" s="848">
        <v>16.0648337493764</v>
      </c>
      <c r="BR40" s="847">
        <f ca="1">AR40</f>
        <v>14.0344</v>
      </c>
      <c r="BS40" s="778">
        <v>23.8068181818182</v>
      </c>
      <c r="BT40" s="778">
        <v>18.6103286384977</v>
      </c>
      <c r="BU40" s="778">
        <v>17.1854376031434</v>
      </c>
      <c r="BV40" s="778">
        <v>17.8308441541432</v>
      </c>
      <c r="BW40" s="848">
        <v>15.8335125833513</v>
      </c>
      <c r="BX40" s="847">
        <f ca="1">AX40</f>
        <v>6.5555</v>
      </c>
      <c r="BY40" s="778">
        <v>12.476167804583</v>
      </c>
      <c r="BZ40" s="778">
        <v>7.63827368985477</v>
      </c>
      <c r="CA40" s="778">
        <v>9.43856452292771</v>
      </c>
      <c r="CB40" s="778">
        <v>10.6734174337219</v>
      </c>
      <c r="CC40" s="848">
        <v>9.66733389012338</v>
      </c>
      <c r="CD40" s="847">
        <f ca="1">BD40</f>
        <v>5.9953</v>
      </c>
      <c r="CE40" s="778">
        <v>10.4278073137258</v>
      </c>
      <c r="CF40" s="778">
        <v>8.88010584888657</v>
      </c>
      <c r="CG40" s="778">
        <v>8.9840782933758</v>
      </c>
      <c r="CH40" s="778">
        <v>9.31664203954609</v>
      </c>
      <c r="CI40" s="848">
        <v>8.85374365092694</v>
      </c>
    </row>
    <row r="41" ht="14.25" customHeight="1" spans="1:87" x14ac:dyDescent="0.25">
      <c r="A41" s="16"/>
      <c r="B41" s="16"/>
      <c r="C41" s="16" t="s">
        <v>927</v>
      </c>
      <c r="D41" s="16"/>
      <c r="E41" s="724">
        <f ca="1">AVERAGE(M8:Q35)</f>
        <v>16.658422857142874</v>
      </c>
      <c r="F41" s="724">
        <f ca="1">AVERAGE(S8:W35)</f>
        <v>16.129296428571422</v>
      </c>
      <c r="G41" s="724">
        <f ca="1">AVERAGE(Y8:AC35)</f>
        <v>8.788684285714279</v>
      </c>
      <c r="H41" s="724">
        <f ca="1">AVERAGE(AE8:AI35)</f>
        <v>8.689914062499994</v>
      </c>
      <c r="I41" s="84">
        <f ca="1">IF(I40=4,1,I40+1)</f>
        <v>2</v>
      </c>
      <c r="J41" s="5">
        <f ca="1">IF(I41=1,J40+1,J40)</f>
        <v>2012</v>
      </c>
      <c r="K41" s="345" t="str">
        <f ca="1">I41&amp;"Q"&amp;RIGHT(J41,2)</f>
        <v>2Q12</v>
      </c>
      <c r="L41" s="847">
        <v>16.6112</v>
      </c>
      <c r="M41" s="778">
        <v>17.5752</v>
      </c>
      <c r="N41" s="778">
        <v>16.0591</v>
      </c>
      <c r="O41" s="778">
        <v>16.0591</v>
      </c>
      <c r="P41" s="778">
        <v>16.0591</v>
      </c>
      <c r="Q41" s="848">
        <v>16.0591</v>
      </c>
      <c r="R41" s="847">
        <v>15.8535</v>
      </c>
      <c r="S41" s="778">
        <v>16.5864</v>
      </c>
      <c r="T41" s="778">
        <v>14.544</v>
      </c>
      <c r="U41" s="778">
        <v>14.544</v>
      </c>
      <c r="V41" s="778">
        <v>14.544</v>
      </c>
      <c r="W41" s="848">
        <v>14.544</v>
      </c>
      <c r="X41" s="847">
        <v>6.995</v>
      </c>
      <c r="Y41" s="778">
        <v>8.4603</v>
      </c>
      <c r="Z41" s="778">
        <v>7.8657</v>
      </c>
      <c r="AA41" s="778">
        <v>7.8657</v>
      </c>
      <c r="AB41" s="778">
        <v>7.8657</v>
      </c>
      <c r="AC41" s="848">
        <v>7.8657</v>
      </c>
      <c r="AD41" s="778">
        <v>6.7063</v>
      </c>
      <c r="AE41" s="778">
        <v>8.2703</v>
      </c>
      <c r="AF41" s="778">
        <v>7.8657</v>
      </c>
      <c r="AG41" s="778">
        <v>7.8657</v>
      </c>
      <c r="AH41" s="778">
        <v>7.8657</v>
      </c>
      <c r="AI41" s="848">
        <v>7.8657</v>
      </c>
      <c r="AJ41" s="16"/>
      <c r="AK41" s="345" t="str">
        <f ca="1">$K41</f>
        <v>2Q12</v>
      </c>
      <c r="AL41" s="847">
        <f ca="1">L41</f>
        <v>16.6112</v>
      </c>
      <c r="AM41" s="778">
        <v>9.99996107397703</v>
      </c>
      <c r="AN41" s="778">
        <v>9.85670908369511</v>
      </c>
      <c r="AO41" s="778">
        <v>9.66791056853068</v>
      </c>
      <c r="AP41" s="778">
        <v>9.42995169082126</v>
      </c>
      <c r="AQ41" s="848">
        <v>20.3891830018601</v>
      </c>
      <c r="AR41" s="847">
        <f ca="1">R41</f>
        <v>15.8535</v>
      </c>
      <c r="AS41" s="778">
        <v>10.1734261914516</v>
      </c>
      <c r="AT41" s="778">
        <v>8.23661855837225</v>
      </c>
      <c r="AU41" s="778">
        <v>9.65868263473054</v>
      </c>
      <c r="AV41" s="778">
        <v>8.90375551163144</v>
      </c>
      <c r="AW41" s="848">
        <v>7.27378190255221</v>
      </c>
      <c r="AX41" s="847">
        <f ca="1">X41</f>
        <v>6.995</v>
      </c>
      <c r="AY41" s="778">
        <v>5.57867980886728</v>
      </c>
      <c r="AZ41" s="778">
        <v>6.34889563397409</v>
      </c>
      <c r="BA41" s="778">
        <v>6.10014357670282</v>
      </c>
      <c r="BB41" s="778">
        <v>5.74195406620974</v>
      </c>
      <c r="BC41" s="848">
        <v>4.55449762754802</v>
      </c>
      <c r="BD41" s="847">
        <f ca="1">AD41</f>
        <v>6.7063</v>
      </c>
      <c r="BE41" s="778">
        <v>5.48624360801162</v>
      </c>
      <c r="BF41" s="778">
        <v>5.01723905576566</v>
      </c>
      <c r="BG41" s="778">
        <v>5.49481693377574</v>
      </c>
      <c r="BH41" s="778">
        <v>5.51320902779737</v>
      </c>
      <c r="BI41" s="848">
        <v>4.30941821783298</v>
      </c>
      <c r="BJ41" s="16"/>
      <c r="BK41" s="345" t="str">
        <f ca="1">$K41</f>
        <v>2Q12</v>
      </c>
      <c r="BL41" s="847">
        <f ca="1">AL41</f>
        <v>16.6112</v>
      </c>
      <c r="BM41" s="778">
        <v>24.3601654723143</v>
      </c>
      <c r="BN41" s="778">
        <v>24.2652759456071</v>
      </c>
      <c r="BO41" s="778">
        <v>13.810354033387</v>
      </c>
      <c r="BP41" s="778">
        <v>12.5183083648824</v>
      </c>
      <c r="BQ41" s="848">
        <v>13.9457009277726</v>
      </c>
      <c r="BR41" s="847">
        <f ca="1">AR41</f>
        <v>15.8535</v>
      </c>
      <c r="BS41" s="778">
        <v>18.8721332076657</v>
      </c>
      <c r="BT41" s="778">
        <v>13.2539871459176</v>
      </c>
      <c r="BU41" s="778">
        <v>12.7284161505969</v>
      </c>
      <c r="BV41" s="778">
        <v>14.9644201023031</v>
      </c>
      <c r="BW41" s="848">
        <v>13.9172384219554</v>
      </c>
      <c r="BX41" s="847">
        <f ca="1">AX41</f>
        <v>6.995</v>
      </c>
      <c r="BY41" s="778">
        <v>10.085262951603</v>
      </c>
      <c r="BZ41" s="778">
        <v>5.69241256770504</v>
      </c>
      <c r="CA41" s="778">
        <v>6.97192353485524</v>
      </c>
      <c r="CB41" s="778">
        <v>9.34802359765625</v>
      </c>
      <c r="CC41" s="848">
        <v>8.30648684877004</v>
      </c>
      <c r="CD41" s="847">
        <f ca="1">BD41</f>
        <v>6.7063</v>
      </c>
      <c r="CE41" s="778">
        <v>8.86619078776349</v>
      </c>
      <c r="CF41" s="778">
        <v>6.44518685988233</v>
      </c>
      <c r="CG41" s="778">
        <v>6.05585644966015</v>
      </c>
      <c r="CH41" s="778">
        <v>8.02558484769993</v>
      </c>
      <c r="CI41" s="848">
        <v>7.91463424216468</v>
      </c>
    </row>
    <row r="42" ht="14.25" customHeight="1" spans="1:87" x14ac:dyDescent="0.25">
      <c r="A42" s="16"/>
      <c r="B42" s="16"/>
      <c r="C42" s="16" t="s">
        <v>928</v>
      </c>
      <c r="D42" s="16"/>
      <c r="E42" s="724">
        <f ca="1">AVERAGE(M8:Q19)</f>
        <v>20.404395000000005</v>
      </c>
      <c r="F42" s="724">
        <f ca="1">AVERAGE(S8:W19)</f>
        <v>18.80734333333334</v>
      </c>
      <c r="G42" s="724">
        <f ca="1">AVERAGE(Y8:AC19)</f>
        <v>10.569033333333326</v>
      </c>
      <c r="H42" s="724">
        <f ca="1">AVERAGE(AE8:AI19)</f>
        <v>10.747183333333332</v>
      </c>
      <c r="I42" s="84">
        <f ca="1">IF(I41+1=5,1,I41+1)</f>
        <v>3</v>
      </c>
      <c r="J42" s="5">
        <f ca="1">IF(I42=1,J41+1,J41)</f>
        <v>2012</v>
      </c>
      <c r="K42" s="345" t="str">
        <f ca="1">I42&amp;"Q"&amp;RIGHT(J42,2)</f>
        <v>3Q12</v>
      </c>
      <c r="L42" s="847">
        <v>18.064</v>
      </c>
      <c r="M42" s="778">
        <v>18.4582</v>
      </c>
      <c r="N42" s="778">
        <v>17.5752</v>
      </c>
      <c r="O42" s="778">
        <v>17.5752</v>
      </c>
      <c r="P42" s="778">
        <v>17.5752</v>
      </c>
      <c r="Q42" s="848">
        <v>17.5752</v>
      </c>
      <c r="R42" s="847">
        <v>17.7872</v>
      </c>
      <c r="S42" s="778">
        <v>17.7429</v>
      </c>
      <c r="T42" s="778">
        <v>16.5864</v>
      </c>
      <c r="U42" s="778">
        <v>16.5864</v>
      </c>
      <c r="V42" s="778">
        <v>16.5864</v>
      </c>
      <c r="W42" s="848">
        <v>16.5864</v>
      </c>
      <c r="X42" s="847">
        <v>7.5419</v>
      </c>
      <c r="Y42" s="778">
        <v>9.0606</v>
      </c>
      <c r="Z42" s="778">
        <v>8.4603</v>
      </c>
      <c r="AA42" s="778">
        <v>8.4603</v>
      </c>
      <c r="AB42" s="778">
        <v>8.4603</v>
      </c>
      <c r="AC42" s="848">
        <v>8.4603</v>
      </c>
      <c r="AD42" s="778">
        <v>7.4564</v>
      </c>
      <c r="AE42" s="778">
        <v>8.9236</v>
      </c>
      <c r="AF42" s="778">
        <v>8.4603</v>
      </c>
      <c r="AG42" s="778">
        <v>8.4603</v>
      </c>
      <c r="AH42" s="778">
        <v>8.4603</v>
      </c>
      <c r="AI42" s="848">
        <v>8.4603</v>
      </c>
      <c r="AJ42" s="16"/>
      <c r="AK42" s="345" t="str">
        <f ca="1">$K42</f>
        <v>3Q12</v>
      </c>
      <c r="AL42" s="847">
        <f ca="1">L42</f>
        <v>18.064</v>
      </c>
      <c r="AM42" s="778">
        <v>9.62040432691451</v>
      </c>
      <c r="AN42" s="778">
        <v>10.3691488431885</v>
      </c>
      <c r="AO42" s="778">
        <v>9.12142389198446</v>
      </c>
      <c r="AP42" s="778">
        <v>10.0015923566879</v>
      </c>
      <c r="AQ42" s="848">
        <v>22.2622562728443</v>
      </c>
      <c r="AR42" s="847">
        <f ca="1">R42</f>
        <v>17.7872</v>
      </c>
      <c r="AS42" s="778">
        <v>9.74169741697417</v>
      </c>
      <c r="AT42" s="778">
        <v>8.02132070541053</v>
      </c>
      <c r="AU42" s="778">
        <v>10.8368895211</v>
      </c>
      <c r="AV42" s="778">
        <v>9.42244224422442</v>
      </c>
      <c r="AW42" s="848">
        <v>7.97902097902098</v>
      </c>
      <c r="AX42" s="847">
        <f ca="1">X42</f>
        <v>7.5419</v>
      </c>
      <c r="AY42" s="778">
        <v>5.46947202107553</v>
      </c>
      <c r="AZ42" s="778">
        <v>6.54580673361049</v>
      </c>
      <c r="BA42" s="778">
        <v>5.76122459373739</v>
      </c>
      <c r="BB42" s="778">
        <v>6.03174555515099</v>
      </c>
      <c r="BC42" s="848">
        <v>4.92733810453777</v>
      </c>
      <c r="BD42" s="847">
        <f ca="1">AD42</f>
        <v>7.4564</v>
      </c>
      <c r="BE42" s="778">
        <v>5.24216521595774</v>
      </c>
      <c r="BF42" s="778">
        <v>5.25786728179236</v>
      </c>
      <c r="BG42" s="778">
        <v>5.75195786783777</v>
      </c>
      <c r="BH42" s="778">
        <v>5.80837472527022</v>
      </c>
      <c r="BI42" s="848">
        <v>4.63549621133982</v>
      </c>
      <c r="BJ42" s="16"/>
      <c r="BK42" s="345" t="str">
        <f ca="1">$K42</f>
        <v>3Q12</v>
      </c>
      <c r="BL42" s="847">
        <f ca="1">AL42</f>
        <v>18.064</v>
      </c>
      <c r="BM42" s="778">
        <v>24.1651089979097</v>
      </c>
      <c r="BN42" s="778">
        <v>25.4241271250078</v>
      </c>
      <c r="BO42" s="778">
        <v>14.8512626154585</v>
      </c>
      <c r="BP42" s="778">
        <v>14.0012354399375</v>
      </c>
      <c r="BQ42" s="848">
        <v>14.8656322568568</v>
      </c>
      <c r="BR42" s="847">
        <f ca="1">AR42</f>
        <v>17.7872</v>
      </c>
      <c r="BS42" s="778">
        <v>20.9981318388044</v>
      </c>
      <c r="BT42" s="778">
        <v>15.5793703951775</v>
      </c>
      <c r="BU42" s="778">
        <v>14.0344431716083</v>
      </c>
      <c r="BV42" s="778">
        <v>16.625988505336</v>
      </c>
      <c r="BW42" s="848">
        <v>15.0974989402289</v>
      </c>
      <c r="BX42" s="847">
        <f ca="1">AX42</f>
        <v>7.5419</v>
      </c>
      <c r="BY42" s="778">
        <v>10.6384200202094</v>
      </c>
      <c r="BZ42" s="778">
        <v>6.7226025644169</v>
      </c>
      <c r="CA42" s="778">
        <v>7.2666825847505</v>
      </c>
      <c r="CB42" s="778">
        <v>10.3942191863169</v>
      </c>
      <c r="CC42" s="848">
        <v>8.7331252074087</v>
      </c>
      <c r="CD42" s="847">
        <f ca="1">BD42</f>
        <v>7.4564</v>
      </c>
      <c r="CE42" s="778">
        <v>9.94026232129299</v>
      </c>
      <c r="CF42" s="778">
        <v>7.97901468449838</v>
      </c>
      <c r="CG42" s="778">
        <v>6.45567601185599</v>
      </c>
      <c r="CH42" s="778">
        <v>8.65400002064891</v>
      </c>
      <c r="CI42" s="848">
        <v>8.35655127966832</v>
      </c>
    </row>
    <row r="43" ht="14.25" customHeight="1" spans="1:87" x14ac:dyDescent="0.25">
      <c r="A43" s="16"/>
      <c r="B43" s="16"/>
      <c r="C43" s="16" t="s">
        <v>929</v>
      </c>
      <c r="D43" s="16"/>
      <c r="E43" s="724">
        <f ca="1">AVERAGE(M16:Q27)</f>
        <v>16.169383333333332</v>
      </c>
      <c r="F43" s="724">
        <f ca="1">AVERAGE(S16:W27)</f>
        <v>15.366213333333322</v>
      </c>
      <c r="G43" s="724">
        <f ca="1">AVERAGE(Y16:AC27)</f>
        <v>8.57115833333334</v>
      </c>
      <c r="H43" s="724">
        <f ca="1">AVERAGE(AE16:AI27)</f>
        <v>8.440898214285719</v>
      </c>
      <c r="I43" s="84">
        <f ca="1">IF(I42=4,1,I42+1)</f>
        <v>4</v>
      </c>
      <c r="J43" s="5">
        <f ca="1">IF(I43=1,J42+1,J42)</f>
        <v>2012</v>
      </c>
      <c r="K43" s="345" t="str">
        <f ca="1">I43&amp;"Q"&amp;RIGHT(J43,2)</f>
        <v>4Q12</v>
      </c>
      <c r="L43" s="847">
        <v>18.1996</v>
      </c>
      <c r="M43" s="778">
        <v>18.3465</v>
      </c>
      <c r="N43" s="778">
        <v>18.4582</v>
      </c>
      <c r="O43" s="778">
        <v>18.4582</v>
      </c>
      <c r="P43" s="778">
        <v>18.4582</v>
      </c>
      <c r="Q43" s="848">
        <v>18.4582</v>
      </c>
      <c r="R43" s="847">
        <v>15.5197</v>
      </c>
      <c r="S43" s="778">
        <v>16.0851</v>
      </c>
      <c r="T43" s="778">
        <v>17.7429</v>
      </c>
      <c r="U43" s="778">
        <v>17.7429</v>
      </c>
      <c r="V43" s="778">
        <v>17.7429</v>
      </c>
      <c r="W43" s="848">
        <v>17.7429</v>
      </c>
      <c r="X43" s="847">
        <v>7.6837</v>
      </c>
      <c r="Y43" s="778">
        <v>9.1727</v>
      </c>
      <c r="Z43" s="778">
        <v>9.0606</v>
      </c>
      <c r="AA43" s="778">
        <v>9.0606</v>
      </c>
      <c r="AB43" s="778">
        <v>9.0606</v>
      </c>
      <c r="AC43" s="848">
        <v>9.0606</v>
      </c>
      <c r="AD43" s="778">
        <v>7.3362</v>
      </c>
      <c r="AE43" s="778">
        <v>8.6994</v>
      </c>
      <c r="AF43" s="778">
        <v>9.0606</v>
      </c>
      <c r="AG43" s="778">
        <v>9.0606</v>
      </c>
      <c r="AH43" s="778">
        <v>9.0606</v>
      </c>
      <c r="AI43" s="848">
        <v>9.0606</v>
      </c>
      <c r="AJ43" s="16"/>
      <c r="AK43" s="345" t="str">
        <f ca="1">$K43</f>
        <v>4Q12</v>
      </c>
      <c r="AL43" s="847">
        <f ca="1">L43</f>
        <v>18.1996</v>
      </c>
      <c r="AM43" s="778">
        <v>9.06200062426827</v>
      </c>
      <c r="AN43" s="778">
        <v>9.63178918427491</v>
      </c>
      <c r="AO43" s="778">
        <v>8.89285662197338</v>
      </c>
      <c r="AP43" s="778">
        <v>10.389458272328</v>
      </c>
      <c r="AQ43" s="848">
        <v>11.8536611648916</v>
      </c>
      <c r="AR43" s="847">
        <f ca="1">R43</f>
        <v>15.5197</v>
      </c>
      <c r="AS43" s="778">
        <v>9.99142489638416</v>
      </c>
      <c r="AT43" s="778">
        <v>8.83315562332782</v>
      </c>
      <c r="AU43" s="778">
        <v>10.0892662747659</v>
      </c>
      <c r="AV43" s="778">
        <v>10.5048112509252</v>
      </c>
      <c r="AW43" s="848">
        <v>7.80141843971631</v>
      </c>
      <c r="AX43" s="847">
        <f ca="1">X43</f>
        <v>7.6837</v>
      </c>
      <c r="AY43" s="778">
        <v>5.37935561442249</v>
      </c>
      <c r="AZ43" s="778">
        <v>5.89533430770612</v>
      </c>
      <c r="BA43" s="778">
        <v>5.61642635813002</v>
      </c>
      <c r="BB43" s="778">
        <v>6.0688318330818</v>
      </c>
      <c r="BC43" s="848">
        <v>4.64361067804519</v>
      </c>
      <c r="BD43" s="847">
        <f ca="1">AD43</f>
        <v>7.3362</v>
      </c>
      <c r="BE43" s="778">
        <v>5.48536072155875</v>
      </c>
      <c r="BF43" s="778">
        <v>5.31834143798385</v>
      </c>
      <c r="BG43" s="778">
        <v>5.78754811440326</v>
      </c>
      <c r="BH43" s="778">
        <v>6.12172221106844</v>
      </c>
      <c r="BI43" s="848">
        <v>4.12038909541942</v>
      </c>
      <c r="BJ43" s="16"/>
      <c r="BK43" s="345" t="str">
        <f ca="1">$K43</f>
        <v>4Q12</v>
      </c>
      <c r="BL43" s="847">
        <f ca="1">AL43</f>
        <v>18.1996</v>
      </c>
      <c r="BM43" s="778">
        <v>21.6053469427488</v>
      </c>
      <c r="BN43" s="778">
        <v>18.758399494054</v>
      </c>
      <c r="BO43" s="778">
        <v>15.2439619136967</v>
      </c>
      <c r="BP43" s="778">
        <v>16.7696200950246</v>
      </c>
      <c r="BQ43" s="848">
        <v>15.9786464227176</v>
      </c>
      <c r="BR43" s="847">
        <f ca="1">AR43</f>
        <v>15.5197</v>
      </c>
      <c r="BS43" s="778">
        <v>23.4384384384384</v>
      </c>
      <c r="BT43" s="778">
        <v>15.297476515012</v>
      </c>
      <c r="BU43" s="778">
        <v>15.6835754736842</v>
      </c>
      <c r="BV43" s="778">
        <v>16.8976459259003</v>
      </c>
      <c r="BW43" s="848">
        <v>16.6744333827579</v>
      </c>
      <c r="BX43" s="847">
        <f ca="1">AX43</f>
        <v>7.6837</v>
      </c>
      <c r="BY43" s="778">
        <v>10.1400009753533</v>
      </c>
      <c r="BZ43" s="778">
        <v>11.1988774428578</v>
      </c>
      <c r="CA43" s="778">
        <v>7.68797062316564</v>
      </c>
      <c r="CB43" s="778">
        <v>11.3236402907469</v>
      </c>
      <c r="CC43" s="848">
        <v>9.44621815527045</v>
      </c>
      <c r="CD43" s="847">
        <f ca="1">BD43</f>
        <v>7.3362</v>
      </c>
      <c r="CE43" s="778">
        <v>11.0350072347685</v>
      </c>
      <c r="CF43" s="778">
        <v>12.8452543560021</v>
      </c>
      <c r="CG43" s="778">
        <v>6.94898491531654</v>
      </c>
      <c r="CH43" s="778">
        <v>10.3703628458668</v>
      </c>
      <c r="CI43" s="848">
        <v>9.12801964987489</v>
      </c>
    </row>
    <row r="44" ht="14.25" customHeight="1" spans="1:87" x14ac:dyDescent="0.25">
      <c r="A44" s="264"/>
      <c r="B44" s="16"/>
      <c r="C44" s="16" t="s">
        <v>930</v>
      </c>
      <c r="D44" s="16"/>
      <c r="E44" s="724">
        <f ca="1">AVERAGE(M24:Q35)</f>
        <v>13.14323166666666</v>
      </c>
      <c r="F44" s="724">
        <f ca="1">AVERAGE(S24:W35)</f>
        <v>13.625734999999999</v>
      </c>
      <c r="G44" s="724">
        <f ca="1">AVERAGE(Y24:AC35)</f>
        <v>7.089616666666662</v>
      </c>
      <c r="H44" s="724">
        <f ca="1">AVERAGE(AE24:AI35)</f>
        <v>7.129936666666663</v>
      </c>
      <c r="I44" s="84">
        <f ca="1">I40</f>
        <v>1</v>
      </c>
      <c r="J44" s="5">
        <f ca="1">IF(I44=1,J43+1,J43)</f>
        <v>2013</v>
      </c>
      <c r="K44" s="345" t="str">
        <f ca="1">I44&amp;"Q"&amp;RIGHT(J44,2)</f>
        <v>1Q13</v>
      </c>
      <c r="L44" s="847">
        <v>16.0512</v>
      </c>
      <c r="M44" s="778">
        <v>17.3301</v>
      </c>
      <c r="N44" s="778">
        <v>18.3465</v>
      </c>
      <c r="O44" s="778">
        <v>18.3465</v>
      </c>
      <c r="P44" s="778">
        <v>18.3465</v>
      </c>
      <c r="Q44" s="848">
        <v>18.3465</v>
      </c>
      <c r="R44" s="847">
        <v>14.2569</v>
      </c>
      <c r="S44" s="778">
        <v>15.6864</v>
      </c>
      <c r="T44" s="778">
        <v>16.0851</v>
      </c>
      <c r="U44" s="778">
        <v>16.0851</v>
      </c>
      <c r="V44" s="778">
        <v>16.0851</v>
      </c>
      <c r="W44" s="848">
        <v>16.0851</v>
      </c>
      <c r="X44" s="847">
        <v>6.7773</v>
      </c>
      <c r="Y44" s="778">
        <v>8.6982</v>
      </c>
      <c r="Z44" s="778">
        <v>9.1727</v>
      </c>
      <c r="AA44" s="778">
        <v>9.1727</v>
      </c>
      <c r="AB44" s="778">
        <v>9.1727</v>
      </c>
      <c r="AC44" s="848">
        <v>9.1727</v>
      </c>
      <c r="AD44" s="778">
        <v>6.5787</v>
      </c>
      <c r="AE44" s="778">
        <v>8.3241</v>
      </c>
      <c r="AF44" s="778">
        <v>9.1727</v>
      </c>
      <c r="AG44" s="778">
        <v>9.1727</v>
      </c>
      <c r="AH44" s="778">
        <v>9.1727</v>
      </c>
      <c r="AI44" s="848">
        <v>9.1727</v>
      </c>
      <c r="AJ44" s="16"/>
      <c r="AK44" s="345" t="str">
        <f ca="1">$K44</f>
        <v>1Q13</v>
      </c>
      <c r="AL44" s="847">
        <f ca="1">L44</f>
        <v>16.0512</v>
      </c>
      <c r="AM44" s="778">
        <v>10.5091692501708</v>
      </c>
      <c r="AN44" s="778">
        <v>9.75066381791588</v>
      </c>
      <c r="AO44" s="778">
        <v>9.76218421147574</v>
      </c>
      <c r="AP44" s="778">
        <v>11.2093704245974</v>
      </c>
      <c r="AQ44" s="848">
        <v>11.670468219616</v>
      </c>
      <c r="AR44" s="847">
        <f ca="1">R44</f>
        <v>14.2569</v>
      </c>
      <c r="AS44" s="778">
        <v>11.5301878674889</v>
      </c>
      <c r="AT44" s="778">
        <v>9.29450125981918</v>
      </c>
      <c r="AU44" s="778">
        <v>10.174</v>
      </c>
      <c r="AV44" s="778">
        <v>10.7061949377709</v>
      </c>
      <c r="AW44" s="848">
        <v>7.75417661097852</v>
      </c>
      <c r="AX44" s="847">
        <f ca="1">X44</f>
        <v>6.7773</v>
      </c>
      <c r="AY44" s="778">
        <v>5.7719211459489</v>
      </c>
      <c r="AZ44" s="778">
        <v>5.19886979324506</v>
      </c>
      <c r="BA44" s="778">
        <v>6.08048688220001</v>
      </c>
      <c r="BB44" s="778">
        <v>6.46307310037609</v>
      </c>
      <c r="BC44" s="848">
        <v>4.57502620920203</v>
      </c>
      <c r="BD44" s="847">
        <f ca="1">AD44</f>
        <v>6.5787</v>
      </c>
      <c r="BE44" s="778">
        <v>6.27598014282426</v>
      </c>
      <c r="BF44" s="778">
        <v>4.62767057952832</v>
      </c>
      <c r="BG44" s="778">
        <v>5.70927463609689</v>
      </c>
      <c r="BH44" s="778">
        <v>6.36502714720231</v>
      </c>
      <c r="BI44" s="848">
        <v>4.16147661595403</v>
      </c>
      <c r="BJ44" s="16"/>
      <c r="BK44" s="345" t="str">
        <f ca="1">$K44</f>
        <v>1Q13</v>
      </c>
      <c r="BL44" s="847">
        <f ca="1">AL44</f>
        <v>16.0512</v>
      </c>
      <c r="BM44" s="778">
        <v>19.5893812359237</v>
      </c>
      <c r="BN44" s="778">
        <v>19.1582548172462</v>
      </c>
      <c r="BO44" s="778">
        <v>15.8492421790324</v>
      </c>
      <c r="BP44" s="778">
        <v>17.5627157944909</v>
      </c>
      <c r="BQ44" s="848">
        <v>16.7394614065933</v>
      </c>
      <c r="BR44" s="847">
        <f ca="1">AR44</f>
        <v>14.2569</v>
      </c>
      <c r="BS44" s="778">
        <v>17.939423231835</v>
      </c>
      <c r="BT44" s="778">
        <v>15.6957719099303</v>
      </c>
      <c r="BU44" s="778">
        <v>14.3829034104478</v>
      </c>
      <c r="BV44" s="778">
        <v>14.8263081664242</v>
      </c>
      <c r="BW44" s="848">
        <v>15.7693740685544</v>
      </c>
      <c r="BX44" s="847">
        <f ca="1">AX44</f>
        <v>6.7773</v>
      </c>
      <c r="BY44" s="778">
        <v>9.60840326774442</v>
      </c>
      <c r="BZ44" s="778">
        <v>8.16922604900108</v>
      </c>
      <c r="CA44" s="778">
        <v>8.18729190293281</v>
      </c>
      <c r="CB44" s="778">
        <v>12.1352364269548</v>
      </c>
      <c r="CC44" s="848">
        <v>9.8779039587798</v>
      </c>
      <c r="CD44" s="847">
        <f ca="1">BD44</f>
        <v>6.5787</v>
      </c>
      <c r="CE44" s="778">
        <v>8.92820985953084</v>
      </c>
      <c r="CF44" s="778">
        <v>9.19884162373248</v>
      </c>
      <c r="CG44" s="778">
        <v>6.32416201011649</v>
      </c>
      <c r="CH44" s="778">
        <v>8.8863638105699</v>
      </c>
      <c r="CI44" s="848">
        <v>8.84993577634552</v>
      </c>
    </row>
    <row r="45" ht="14.25" customHeight="1" spans="1:87" x14ac:dyDescent="0.25">
      <c r="A45" s="16"/>
      <c r="B45" s="16"/>
      <c r="C45" s="16" t="s">
        <v>931</v>
      </c>
      <c r="D45" s="16"/>
      <c r="E45" s="724">
        <f ca="1">AVERAGE(M36:Q75)</f>
        <v>21.009599000000016</v>
      </c>
      <c r="F45" s="724">
        <f ca="1">AVERAGE(S36:W75)</f>
        <v>19.543173000000007</v>
      </c>
      <c r="G45" s="724">
        <f ca="1">AVERAGE(Y36:AC75)</f>
        <v>11.346910000000005</v>
      </c>
      <c r="H45" s="724">
        <f ca="1">AVERAGE(AE36:AI75)</f>
        <v>11.246996500000002</v>
      </c>
      <c r="I45" s="84">
        <f ca="1">IF(I44=4,1,I44+1)</f>
        <v>2</v>
      </c>
      <c r="J45" s="5">
        <f ca="1">IF(I45=1,J44+1,J44)</f>
        <v>2013</v>
      </c>
      <c r="K45" s="345" t="str">
        <f ca="1">I45&amp;"Q"&amp;RIGHT(J45,2)</f>
        <v>2Q13</v>
      </c>
      <c r="L45" s="847">
        <v>12.4786</v>
      </c>
      <c r="M45" s="778">
        <v>14.6532</v>
      </c>
      <c r="N45" s="778">
        <v>17.3301</v>
      </c>
      <c r="O45" s="778">
        <v>17.3301</v>
      </c>
      <c r="P45" s="778">
        <v>17.3301</v>
      </c>
      <c r="Q45" s="848">
        <v>17.3301</v>
      </c>
      <c r="R45" s="847">
        <v>12.1635</v>
      </c>
      <c r="S45" s="778">
        <v>13.9575</v>
      </c>
      <c r="T45" s="778">
        <v>15.6864</v>
      </c>
      <c r="U45" s="778">
        <v>15.6864</v>
      </c>
      <c r="V45" s="778">
        <v>15.6864</v>
      </c>
      <c r="W45" s="848">
        <v>15.6864</v>
      </c>
      <c r="X45" s="847">
        <v>5.8519</v>
      </c>
      <c r="Y45" s="778">
        <v>7.5477</v>
      </c>
      <c r="Z45" s="778">
        <v>8.6982</v>
      </c>
      <c r="AA45" s="778">
        <v>8.6982</v>
      </c>
      <c r="AB45" s="778">
        <v>8.6982</v>
      </c>
      <c r="AC45" s="848">
        <v>8.6982</v>
      </c>
      <c r="AD45" s="778">
        <v>5.8119</v>
      </c>
      <c r="AE45" s="778">
        <v>7.3938</v>
      </c>
      <c r="AF45" s="778">
        <v>8.6982</v>
      </c>
      <c r="AG45" s="778">
        <v>8.6982</v>
      </c>
      <c r="AH45" s="778">
        <v>8.6982</v>
      </c>
      <c r="AI45" s="848">
        <v>8.6982</v>
      </c>
      <c r="AJ45" s="16"/>
      <c r="AK45" s="345" t="str">
        <f ca="1">$K45</f>
        <v>2Q13</v>
      </c>
      <c r="AL45" s="847">
        <f ca="1">L45</f>
        <v>12.4786</v>
      </c>
      <c r="AM45" s="778">
        <v>10.3602506215894</v>
      </c>
      <c r="AN45" s="778">
        <v>10.610981378837</v>
      </c>
      <c r="AO45" s="778">
        <v>9.78501046318922</v>
      </c>
      <c r="AP45" s="778">
        <v>10.7532467532468</v>
      </c>
      <c r="AQ45" s="848">
        <v>11.911217487238</v>
      </c>
      <c r="AR45" s="847">
        <f ca="1">R45</f>
        <v>12.1635</v>
      </c>
      <c r="AS45" s="778">
        <v>11.1498209859543</v>
      </c>
      <c r="AT45" s="778">
        <v>10.333780360602</v>
      </c>
      <c r="AU45" s="778">
        <v>10.1321138211382</v>
      </c>
      <c r="AV45" s="778">
        <v>10.4574796519787</v>
      </c>
      <c r="AW45" s="848">
        <v>7.73058252427184</v>
      </c>
      <c r="AX45" s="847">
        <f ca="1">X45</f>
        <v>5.8519</v>
      </c>
      <c r="AY45" s="778">
        <v>5.9342711326619</v>
      </c>
      <c r="AZ45" s="778">
        <v>5.66188219786021</v>
      </c>
      <c r="BA45" s="778">
        <v>6.48128357458311</v>
      </c>
      <c r="BB45" s="778">
        <v>6.28518664402408</v>
      </c>
      <c r="BC45" s="848">
        <v>5.05828311740116</v>
      </c>
      <c r="BD45" s="847">
        <f ca="1">AD45</f>
        <v>5.8119</v>
      </c>
      <c r="BE45" s="778">
        <v>6.38573615633208</v>
      </c>
      <c r="BF45" s="778">
        <v>5.46057925530489</v>
      </c>
      <c r="BG45" s="778">
        <v>6.03688149144837</v>
      </c>
      <c r="BH45" s="778">
        <v>6.25303430168215</v>
      </c>
      <c r="BI45" s="848">
        <v>4.43980479601535</v>
      </c>
      <c r="BJ45" s="16"/>
      <c r="BK45" s="345" t="str">
        <f ca="1">$K45</f>
        <v>2Q13</v>
      </c>
      <c r="BL45" s="847">
        <f ca="1">AL45</f>
        <v>12.4786</v>
      </c>
      <c r="BM45" s="778">
        <v>16.68959147028</v>
      </c>
      <c r="BN45" s="778">
        <v>13.9808558081172</v>
      </c>
      <c r="BO45" s="778">
        <v>14.46875186873</v>
      </c>
      <c r="BP45" s="778">
        <v>16.2050489802576</v>
      </c>
      <c r="BQ45" s="848">
        <v>17.1849095098311</v>
      </c>
      <c r="BR45" s="847">
        <f ca="1">AR45</f>
        <v>12.1635</v>
      </c>
      <c r="BS45" s="778">
        <v>15.2412312097351</v>
      </c>
      <c r="BT45" s="778">
        <v>12.9049929566442</v>
      </c>
      <c r="BU45" s="778">
        <v>13.1086054981923</v>
      </c>
      <c r="BV45" s="778">
        <v>14.3004348922704</v>
      </c>
      <c r="BW45" s="848">
        <v>16.252295262578</v>
      </c>
      <c r="BX45" s="847">
        <f ca="1">AX45</f>
        <v>5.8519</v>
      </c>
      <c r="BY45" s="778">
        <v>8.36946250489108</v>
      </c>
      <c r="BZ45" s="778">
        <v>5.88717727923427</v>
      </c>
      <c r="CA45" s="778">
        <v>7.73022880757182</v>
      </c>
      <c r="CB45" s="778">
        <v>11.2146878954447</v>
      </c>
      <c r="CC45" s="848">
        <v>9.93992146414024</v>
      </c>
      <c r="CD45" s="847">
        <f ca="1">BD45</f>
        <v>5.8119</v>
      </c>
      <c r="CE45" s="778">
        <v>7.78784011197483</v>
      </c>
      <c r="CF45" s="778">
        <v>7.09815111740564</v>
      </c>
      <c r="CG45" s="778">
        <v>6.0878290524665</v>
      </c>
      <c r="CH45" s="778">
        <v>8.44947361558363</v>
      </c>
      <c r="CI45" s="848">
        <v>9.14745418425886</v>
      </c>
    </row>
    <row r="46" ht="14.25" customHeight="1" spans="1:87" x14ac:dyDescent="0.25">
      <c r="A46" s="16"/>
      <c r="B46" s="16"/>
      <c r="C46" s="16" t="s">
        <v>932</v>
      </c>
      <c r="D46" s="16"/>
      <c r="E46" s="724">
        <f ca="1">AVERAGE(M36:Q51)</f>
        <v>17.919956249999995</v>
      </c>
      <c r="F46" s="724">
        <f ca="1">AVERAGE(S36:W51)</f>
        <v>17.335633750000007</v>
      </c>
      <c r="G46" s="724">
        <f ca="1">AVERAGE(Y36:AC51)</f>
        <v>9.160100000000002</v>
      </c>
      <c r="H46" s="724">
        <f ca="1">AVERAGE(AE36:AI51)</f>
        <v>9.083377500000001</v>
      </c>
      <c r="I46" s="84">
        <f ca="1">IF(I45+1=5,1,I45+1)</f>
        <v>3</v>
      </c>
      <c r="J46" s="5">
        <f ca="1">IF(I46=1,J45+1,J45)</f>
        <v>2013</v>
      </c>
      <c r="K46" s="345" t="str">
        <f ca="1">I46&amp;"Q"&amp;RIGHT(J46,2)</f>
        <v>3Q13</v>
      </c>
      <c r="L46" s="847">
        <v>16.299</v>
      </c>
      <c r="M46" s="778">
        <v>18.0182</v>
      </c>
      <c r="N46" s="778">
        <v>14.6532</v>
      </c>
      <c r="O46" s="778">
        <v>14.6532</v>
      </c>
      <c r="P46" s="778">
        <v>14.6532</v>
      </c>
      <c r="Q46" s="848">
        <v>14.6532</v>
      </c>
      <c r="R46" s="847">
        <v>15.8131</v>
      </c>
      <c r="S46" s="778">
        <v>17.6268</v>
      </c>
      <c r="T46" s="778">
        <v>13.9575</v>
      </c>
      <c r="U46" s="778">
        <v>13.9575</v>
      </c>
      <c r="V46" s="778">
        <v>13.9575</v>
      </c>
      <c r="W46" s="848">
        <v>13.9575</v>
      </c>
      <c r="X46" s="847">
        <v>7.7749</v>
      </c>
      <c r="Y46" s="778">
        <v>9.1024</v>
      </c>
      <c r="Z46" s="778">
        <v>7.5477</v>
      </c>
      <c r="AA46" s="778">
        <v>7.5477</v>
      </c>
      <c r="AB46" s="778">
        <v>7.5477</v>
      </c>
      <c r="AC46" s="848">
        <v>7.5477</v>
      </c>
      <c r="AD46" s="778">
        <v>7.228</v>
      </c>
      <c r="AE46" s="778">
        <v>9.0502</v>
      </c>
      <c r="AF46" s="778">
        <v>7.5477</v>
      </c>
      <c r="AG46" s="778">
        <v>7.5477</v>
      </c>
      <c r="AH46" s="778">
        <v>7.5477</v>
      </c>
      <c r="AI46" s="848">
        <v>7.5477</v>
      </c>
      <c r="AJ46" s="16"/>
      <c r="AK46" s="345" t="str">
        <f ca="1">$K46</f>
        <v>3Q13</v>
      </c>
      <c r="AL46" s="847">
        <f ca="1">L46</f>
        <v>16.299</v>
      </c>
      <c r="AM46" s="778">
        <v>9.04425371771246</v>
      </c>
      <c r="AN46" s="778">
        <v>7.57659154169478</v>
      </c>
      <c r="AO46" s="778">
        <v>7.88501727102388</v>
      </c>
      <c r="AP46" s="778">
        <v>7.99251241094299</v>
      </c>
      <c r="AQ46" s="848">
        <v>9.99644720357523</v>
      </c>
      <c r="AR46" s="847">
        <f ca="1">R46</f>
        <v>15.8131</v>
      </c>
      <c r="AS46" s="778">
        <v>9.68533333333333</v>
      </c>
      <c r="AT46" s="778">
        <v>7.58726003490401</v>
      </c>
      <c r="AU46" s="778">
        <v>8.15931323617489</v>
      </c>
      <c r="AV46" s="778">
        <v>7.91898663697105</v>
      </c>
      <c r="AW46" s="848">
        <v>6.6825</v>
      </c>
      <c r="AX46" s="847">
        <f ca="1">X46</f>
        <v>7.7749</v>
      </c>
      <c r="AY46" s="778">
        <v>5.17253288820194</v>
      </c>
      <c r="AZ46" s="778">
        <v>4.19984269413635</v>
      </c>
      <c r="BA46" s="778">
        <v>4.9072512661101</v>
      </c>
      <c r="BB46" s="778">
        <v>5.11248886371017</v>
      </c>
      <c r="BC46" s="848">
        <v>4.17560435412474</v>
      </c>
      <c r="BD46" s="847">
        <f ca="1">AD46</f>
        <v>7.228</v>
      </c>
      <c r="BE46" s="778">
        <v>5.73955958020657</v>
      </c>
      <c r="BF46" s="778">
        <v>4.13814087690871</v>
      </c>
      <c r="BG46" s="778">
        <v>5.1077271800271</v>
      </c>
      <c r="BH46" s="778">
        <v>5.11346710201057</v>
      </c>
      <c r="BI46" s="848">
        <v>3.80655337899628</v>
      </c>
      <c r="BJ46" s="16"/>
      <c r="BK46" s="345" t="str">
        <f ca="1">$K46</f>
        <v>3Q13</v>
      </c>
      <c r="BL46" s="847">
        <f ca="1">AL46</f>
        <v>16.299</v>
      </c>
      <c r="BM46" s="778">
        <v>10.518527508713</v>
      </c>
      <c r="BN46" s="778">
        <v>10.5037129820166</v>
      </c>
      <c r="BO46" s="778">
        <v>12.2308782324965</v>
      </c>
      <c r="BP46" s="778">
        <v>11.8037669920092</v>
      </c>
      <c r="BQ46" s="848">
        <v>13.3534736207215</v>
      </c>
      <c r="BR46" s="847">
        <f ca="1">AR46</f>
        <v>15.8131</v>
      </c>
      <c r="BS46" s="778">
        <v>11.1121143717081</v>
      </c>
      <c r="BT46" s="778">
        <v>10.02484086322</v>
      </c>
      <c r="BU46" s="778">
        <v>10.586285316932</v>
      </c>
      <c r="BV46" s="778">
        <v>10.5668420137303</v>
      </c>
      <c r="BW46" s="848">
        <v>12.8911689263466</v>
      </c>
      <c r="BX46" s="847">
        <f ca="1">AX46</f>
        <v>7.7749</v>
      </c>
      <c r="BY46" s="778">
        <v>6.2721458318025</v>
      </c>
      <c r="BZ46" s="778">
        <v>4.42812180634823</v>
      </c>
      <c r="CA46" s="778">
        <v>6.45564856024358</v>
      </c>
      <c r="CB46" s="778">
        <v>8.29363910369546</v>
      </c>
      <c r="CC46" s="848">
        <v>7.75376264505377</v>
      </c>
      <c r="CD46" s="847">
        <f ca="1">BD46</f>
        <v>7.228</v>
      </c>
      <c r="CE46" s="778">
        <v>6.19665638883915</v>
      </c>
      <c r="CF46" s="778">
        <v>5.63644248650866</v>
      </c>
      <c r="CG46" s="778">
        <v>5.04933041465077</v>
      </c>
      <c r="CH46" s="778">
        <v>6.59517977339049</v>
      </c>
      <c r="CI46" s="848">
        <v>7.20004497573731</v>
      </c>
    </row>
    <row r="47" ht="14.25" customHeight="1" spans="1:87" x14ac:dyDescent="0.25">
      <c r="A47" s="16"/>
      <c r="B47" s="16"/>
      <c r="C47" s="16" t="s">
        <v>933</v>
      </c>
      <c r="D47" s="16"/>
      <c r="E47" s="724">
        <f ca="1">AVERAGE(M48:Q63)</f>
        <v>22.544052499999985</v>
      </c>
      <c r="F47" s="724">
        <f ca="1">AVERAGE(S48:W63)</f>
        <v>20.64053124999998</v>
      </c>
      <c r="G47" s="724">
        <f ca="1">AVERAGE(Y48:AC63)</f>
        <v>11.902354999999996</v>
      </c>
      <c r="H47" s="724">
        <f ca="1">AVERAGE(AE48:AI63)</f>
        <v>11.772934999999999</v>
      </c>
      <c r="I47" s="84">
        <f ca="1">IF(I46=4,1,I46+1)</f>
        <v>4</v>
      </c>
      <c r="J47" s="5">
        <f ca="1">IF(I47=1,J46+1,J46)</f>
        <v>2013</v>
      </c>
      <c r="K47" s="345" t="str">
        <f ca="1">I47&amp;"Q"&amp;RIGHT(J47,2)</f>
        <v>4Q13</v>
      </c>
      <c r="L47" s="847">
        <v>19.3622</v>
      </c>
      <c r="M47" s="778">
        <v>20.252</v>
      </c>
      <c r="N47" s="778">
        <v>18.0182</v>
      </c>
      <c r="O47" s="778">
        <v>18.0182</v>
      </c>
      <c r="P47" s="778">
        <v>18.0182</v>
      </c>
      <c r="Q47" s="848">
        <v>18.0182</v>
      </c>
      <c r="R47" s="847">
        <v>17.0729</v>
      </c>
      <c r="S47" s="778">
        <v>17.5909</v>
      </c>
      <c r="T47" s="778">
        <v>17.6268</v>
      </c>
      <c r="U47" s="778">
        <v>17.6268</v>
      </c>
      <c r="V47" s="778">
        <v>17.6268</v>
      </c>
      <c r="W47" s="848">
        <v>17.6268</v>
      </c>
      <c r="X47" s="847">
        <v>9.4056</v>
      </c>
      <c r="Y47" s="778">
        <v>10.2405</v>
      </c>
      <c r="Z47" s="778">
        <v>9.1024</v>
      </c>
      <c r="AA47" s="778">
        <v>9.1024</v>
      </c>
      <c r="AB47" s="778">
        <v>9.1024</v>
      </c>
      <c r="AC47" s="848">
        <v>9.1024</v>
      </c>
      <c r="AD47" s="778">
        <v>8.4288</v>
      </c>
      <c r="AE47" s="778">
        <v>9.5161</v>
      </c>
      <c r="AF47" s="778">
        <v>9.1024</v>
      </c>
      <c r="AG47" s="778">
        <v>9.1024</v>
      </c>
      <c r="AH47" s="778">
        <v>9.1024</v>
      </c>
      <c r="AI47" s="848">
        <v>9.1024</v>
      </c>
      <c r="AJ47" s="16"/>
      <c r="AK47" s="345" t="str">
        <f ca="1">$K47</f>
        <v>4Q13</v>
      </c>
      <c r="AL47" s="847">
        <f ca="1">L47</f>
        <v>19.3622</v>
      </c>
      <c r="AM47" s="778">
        <v>10.2927177685897</v>
      </c>
      <c r="AN47" s="778">
        <v>7.86693684375211</v>
      </c>
      <c r="AO47" s="778">
        <v>9.19345748111427</v>
      </c>
      <c r="AP47" s="778">
        <v>9.16962241204287</v>
      </c>
      <c r="AQ47" s="848">
        <v>7.68521613491045</v>
      </c>
      <c r="AR47" s="847">
        <f ca="1">R47</f>
        <v>17.0729</v>
      </c>
      <c r="AS47" s="778">
        <v>10.6363397317907</v>
      </c>
      <c r="AT47" s="778">
        <v>8.33998859098688</v>
      </c>
      <c r="AU47" s="778">
        <v>9.57830132647001</v>
      </c>
      <c r="AV47" s="778">
        <v>9.17265193370166</v>
      </c>
      <c r="AW47" s="848">
        <v>7.09203980099503</v>
      </c>
      <c r="AX47" s="847">
        <f ca="1">X47</f>
        <v>9.4056</v>
      </c>
      <c r="AY47" s="778">
        <v>5.07278733970358</v>
      </c>
      <c r="AZ47" s="778">
        <v>4.24756283297713</v>
      </c>
      <c r="BA47" s="778">
        <v>5.34768426856692</v>
      </c>
      <c r="BB47" s="778">
        <v>5.64292679516856</v>
      </c>
      <c r="BC47" s="848">
        <v>4.66421621992631</v>
      </c>
      <c r="BD47" s="847">
        <f ca="1">AD47</f>
        <v>8.4288</v>
      </c>
      <c r="BE47" s="778">
        <v>6.07540150394393</v>
      </c>
      <c r="BF47" s="778">
        <v>4.65268102660666</v>
      </c>
      <c r="BG47" s="778">
        <v>5.46753756842904</v>
      </c>
      <c r="BH47" s="778">
        <v>5.31948909525611</v>
      </c>
      <c r="BI47" s="848">
        <v>4.19598269631482</v>
      </c>
      <c r="BJ47" s="16"/>
      <c r="BK47" s="345" t="str">
        <f ca="1">$K47</f>
        <v>4Q13</v>
      </c>
      <c r="BL47" s="847">
        <f ca="1">AL47</f>
        <v>19.3622</v>
      </c>
      <c r="BM47" s="778">
        <v>11.136940235073</v>
      </c>
      <c r="BN47" s="778">
        <v>11.6666666666667</v>
      </c>
      <c r="BO47" s="778">
        <v>17.1928194605477</v>
      </c>
      <c r="BP47" s="778">
        <v>19.4974550891937</v>
      </c>
      <c r="BQ47" s="848">
        <v>13.7129944740891</v>
      </c>
      <c r="BR47" s="847">
        <f ca="1">AR47</f>
        <v>17.0729</v>
      </c>
      <c r="BS47" s="778">
        <v>13.3372589430296</v>
      </c>
      <c r="BT47" s="778">
        <v>9.89889941131303</v>
      </c>
      <c r="BU47" s="778">
        <v>12.5756118144631</v>
      </c>
      <c r="BV47" s="778">
        <v>12.8358552339463</v>
      </c>
      <c r="BW47" s="848">
        <v>13.3302936348714</v>
      </c>
      <c r="BX47" s="847">
        <f ca="1">AX47</f>
        <v>9.4056</v>
      </c>
      <c r="BY47" s="778">
        <v>6.85328618451584</v>
      </c>
      <c r="BZ47" s="778">
        <v>4.81163814208943</v>
      </c>
      <c r="CA47" s="778">
        <v>7.47677448960995</v>
      </c>
      <c r="CB47" s="778">
        <v>13.0253702514268</v>
      </c>
      <c r="CC47" s="848">
        <v>7.88061779049841</v>
      </c>
      <c r="CD47" s="847">
        <f ca="1">BD47</f>
        <v>8.4288</v>
      </c>
      <c r="CE47" s="778">
        <v>5.85992946565517</v>
      </c>
      <c r="CF47" s="778">
        <v>5.4586822092923</v>
      </c>
      <c r="CG47" s="778">
        <v>6.43430463007913</v>
      </c>
      <c r="CH47" s="778">
        <v>7.21769284670727</v>
      </c>
      <c r="CI47" s="848">
        <v>6.87365323404273</v>
      </c>
    </row>
    <row r="48" ht="14.25" customHeight="1" spans="1:87" x14ac:dyDescent="0.25">
      <c r="A48" s="16"/>
      <c r="B48" s="16"/>
      <c r="C48" s="16" t="s">
        <v>934</v>
      </c>
      <c r="D48" s="16"/>
      <c r="E48" s="724">
        <f ca="1">AVERAGE(M60:Q75)</f>
        <v>23.288192500000008</v>
      </c>
      <c r="F48" s="724">
        <f ca="1">AVERAGE(S60:W75)</f>
        <v>21.26408625</v>
      </c>
      <c r="G48" s="724">
        <f ca="1">AVERAGE(Y60:AC75)</f>
        <v>13.299392499999996</v>
      </c>
      <c r="H48" s="724">
        <f ca="1">AVERAGE(AE60:AI75)</f>
        <v>13.18874625</v>
      </c>
      <c r="I48" s="84">
        <f ca="1">I44</f>
        <v>1</v>
      </c>
      <c r="J48" s="5">
        <f ca="1">IF(I48=1,J47+1,J47)</f>
        <v>2014</v>
      </c>
      <c r="K48" s="345" t="str">
        <f ca="1">I48&amp;"Q"&amp;RIGHT(J48,2)</f>
        <v>1Q14</v>
      </c>
      <c r="L48" s="847">
        <v>16.5283</v>
      </c>
      <c r="M48" s="778">
        <v>20.1026</v>
      </c>
      <c r="N48" s="778">
        <v>20.252</v>
      </c>
      <c r="O48" s="778">
        <v>20.252</v>
      </c>
      <c r="P48" s="778">
        <v>20.252</v>
      </c>
      <c r="Q48" s="848">
        <v>20.252</v>
      </c>
      <c r="R48" s="847">
        <v>15.575</v>
      </c>
      <c r="S48" s="778">
        <v>18.141</v>
      </c>
      <c r="T48" s="778">
        <v>17.5909</v>
      </c>
      <c r="U48" s="778">
        <v>17.5909</v>
      </c>
      <c r="V48" s="778">
        <v>17.5909</v>
      </c>
      <c r="W48" s="848">
        <v>17.5909</v>
      </c>
      <c r="X48" s="847">
        <v>8.0008</v>
      </c>
      <c r="Y48" s="778">
        <v>10.2939</v>
      </c>
      <c r="Z48" s="778">
        <v>10.2405</v>
      </c>
      <c r="AA48" s="778">
        <v>10.2405</v>
      </c>
      <c r="AB48" s="778">
        <v>10.2405</v>
      </c>
      <c r="AC48" s="848">
        <v>10.2405</v>
      </c>
      <c r="AD48" s="778">
        <v>7.3711</v>
      </c>
      <c r="AE48" s="778">
        <v>9.6947</v>
      </c>
      <c r="AF48" s="778">
        <v>10.2405</v>
      </c>
      <c r="AG48" s="778">
        <v>10.2405</v>
      </c>
      <c r="AH48" s="778">
        <v>10.2405</v>
      </c>
      <c r="AI48" s="848">
        <v>10.2405</v>
      </c>
      <c r="AJ48" s="16"/>
      <c r="AK48" s="345" t="str">
        <f ca="1">$K48</f>
        <v>1Q14</v>
      </c>
      <c r="AL48" s="847">
        <f ca="1">L48</f>
        <v>16.5283</v>
      </c>
      <c r="AM48" s="778">
        <v>10.8005768320536</v>
      </c>
      <c r="AN48" s="778">
        <v>7.90818529546226</v>
      </c>
      <c r="AO48" s="778">
        <v>9.5463149108266</v>
      </c>
      <c r="AP48" s="778">
        <v>10.2308964708008</v>
      </c>
      <c r="AQ48" s="848">
        <v>8.08416807737511</v>
      </c>
      <c r="AR48" s="847">
        <f ca="1">R48</f>
        <v>15.575</v>
      </c>
      <c r="AS48" s="778">
        <v>11.4122428244856</v>
      </c>
      <c r="AT48" s="778">
        <v>9.2925604746691</v>
      </c>
      <c r="AU48" s="778">
        <v>10.414364640884</v>
      </c>
      <c r="AV48" s="778">
        <v>10.0027262813522</v>
      </c>
      <c r="AW48" s="848">
        <v>7.40493827160494</v>
      </c>
      <c r="AX48" s="847">
        <f ca="1">X48</f>
        <v>8.0008</v>
      </c>
      <c r="AY48" s="778">
        <v>5.45960287918951</v>
      </c>
      <c r="AZ48" s="778">
        <v>4.38531826368266</v>
      </c>
      <c r="BA48" s="778">
        <v>5.63891016583893</v>
      </c>
      <c r="BB48" s="778">
        <v>6.34456824794384</v>
      </c>
      <c r="BC48" s="848">
        <v>4.89789496193626</v>
      </c>
      <c r="BD48" s="847">
        <f ca="1">AD48</f>
        <v>7.3711</v>
      </c>
      <c r="BE48" s="778">
        <v>6.72381189121008</v>
      </c>
      <c r="BF48" s="778">
        <v>5.03245583564808</v>
      </c>
      <c r="BG48" s="778">
        <v>6.03177403608887</v>
      </c>
      <c r="BH48" s="778">
        <v>6.08587259966105</v>
      </c>
      <c r="BI48" s="848">
        <v>4.49590768173475</v>
      </c>
      <c r="BJ48" s="16"/>
      <c r="BK48" s="345" t="str">
        <f ca="1">$K48</f>
        <v>1Q14</v>
      </c>
      <c r="BL48" s="847">
        <f ca="1">AL48</f>
        <v>16.5283</v>
      </c>
      <c r="BM48" s="778">
        <v>12.2734575189388</v>
      </c>
      <c r="BN48" s="778">
        <v>12.0208023774146</v>
      </c>
      <c r="BO48" s="778">
        <v>18.8921422410501</v>
      </c>
      <c r="BP48" s="778">
        <v>20.5661114791311</v>
      </c>
      <c r="BQ48" s="848">
        <v>15.5022531910082</v>
      </c>
      <c r="BR48" s="847">
        <f ca="1">AR48</f>
        <v>15.575</v>
      </c>
      <c r="BS48" s="778">
        <v>11.1855507718156</v>
      </c>
      <c r="BT48" s="778">
        <v>10.1049213090182</v>
      </c>
      <c r="BU48" s="778">
        <v>12.5356176725146</v>
      </c>
      <c r="BV48" s="778">
        <v>13.0753090608726</v>
      </c>
      <c r="BW48" s="848">
        <v>15.0280847979706</v>
      </c>
      <c r="BX48" s="847">
        <f ca="1">AX48</f>
        <v>8.0008</v>
      </c>
      <c r="BY48" s="778">
        <v>7.56652201636161</v>
      </c>
      <c r="BZ48" s="778">
        <v>5.69160000786954</v>
      </c>
      <c r="CA48" s="778">
        <v>8.57187044792342</v>
      </c>
      <c r="CB48" s="778">
        <v>13.8815772921564</v>
      </c>
      <c r="CC48" s="848">
        <v>8.77225038791144</v>
      </c>
      <c r="CD48" s="847">
        <f ca="1">BD48</f>
        <v>7.3711</v>
      </c>
      <c r="CE48" s="778">
        <v>6.50489804620697</v>
      </c>
      <c r="CF48" s="778">
        <v>6.40484134479815</v>
      </c>
      <c r="CG48" s="778">
        <v>6.98060565859495</v>
      </c>
      <c r="CH48" s="778">
        <v>8.15894519046955</v>
      </c>
      <c r="CI48" s="848">
        <v>8.01958260038547</v>
      </c>
    </row>
    <row r="49" ht="14.25" customHeight="1" spans="1:87" x14ac:dyDescent="0.25">
      <c r="A49" s="16"/>
      <c r="B49" s="16"/>
      <c r="C49" s="16"/>
      <c r="D49" s="16"/>
      <c r="E49" s="16"/>
      <c r="F49" s="16"/>
      <c r="G49" s="16"/>
      <c r="H49" s="16"/>
      <c r="I49" s="84">
        <f ca="1">IF(I48=4,1,I48+1)</f>
        <v>2</v>
      </c>
      <c r="J49" s="5">
        <f ca="1">IF(I49=1,J48+1,J48)</f>
        <v>2014</v>
      </c>
      <c r="K49" s="345" t="str">
        <f ca="1">I49&amp;"Q"&amp;RIGHT(J49,2)</f>
        <v>2Q14</v>
      </c>
      <c r="L49" s="847">
        <v>17.9097</v>
      </c>
      <c r="M49" s="778">
        <v>21.7723</v>
      </c>
      <c r="N49" s="778">
        <v>20.1026</v>
      </c>
      <c r="O49" s="778">
        <v>20.1026</v>
      </c>
      <c r="P49" s="778">
        <v>20.1026</v>
      </c>
      <c r="Q49" s="848">
        <v>20.1026</v>
      </c>
      <c r="R49" s="847">
        <v>18.2719</v>
      </c>
      <c r="S49" s="778">
        <v>20.3403</v>
      </c>
      <c r="T49" s="778">
        <v>18.141</v>
      </c>
      <c r="U49" s="778">
        <v>18.141</v>
      </c>
      <c r="V49" s="778">
        <v>18.141</v>
      </c>
      <c r="W49" s="848">
        <v>18.141</v>
      </c>
      <c r="X49" s="847">
        <v>8.6037</v>
      </c>
      <c r="Y49" s="778">
        <v>11.131</v>
      </c>
      <c r="Z49" s="778">
        <v>10.2939</v>
      </c>
      <c r="AA49" s="778">
        <v>10.2939</v>
      </c>
      <c r="AB49" s="778">
        <v>10.2939</v>
      </c>
      <c r="AC49" s="848">
        <v>10.2939</v>
      </c>
      <c r="AD49" s="778">
        <v>8.2363</v>
      </c>
      <c r="AE49" s="778">
        <v>10.7053</v>
      </c>
      <c r="AF49" s="778">
        <v>10.2939</v>
      </c>
      <c r="AG49" s="778">
        <v>10.2939</v>
      </c>
      <c r="AH49" s="778">
        <v>10.2939</v>
      </c>
      <c r="AI49" s="848">
        <v>10.2939</v>
      </c>
      <c r="AJ49" s="16"/>
      <c r="AK49" s="345" t="str">
        <f ca="1">$K49</f>
        <v>2Q14</v>
      </c>
      <c r="AL49" s="847">
        <f ca="1">L49</f>
        <v>17.9097</v>
      </c>
      <c r="AM49" s="778">
        <v>10.1080216461171</v>
      </c>
      <c r="AN49" s="778">
        <v>8.18487580198375</v>
      </c>
      <c r="AO49" s="778">
        <v>9.8608863994173</v>
      </c>
      <c r="AP49" s="778">
        <v>9.13270838802435</v>
      </c>
      <c r="AQ49" s="848">
        <v>8.1531872577492</v>
      </c>
      <c r="AR49" s="847">
        <f ca="1">R49</f>
        <v>18.2719</v>
      </c>
      <c r="AS49" s="778">
        <v>11.0437539632213</v>
      </c>
      <c r="AT49" s="778">
        <v>9.24358788581365</v>
      </c>
      <c r="AU49" s="778">
        <v>10.886879569065</v>
      </c>
      <c r="AV49" s="778">
        <v>9.19559459082671</v>
      </c>
      <c r="AW49" s="848">
        <v>7.12592592592593</v>
      </c>
      <c r="AX49" s="847">
        <f ca="1">X49</f>
        <v>8.6037</v>
      </c>
      <c r="AY49" s="778">
        <v>5.09384229041825</v>
      </c>
      <c r="AZ49" s="778">
        <v>4.51621775796576</v>
      </c>
      <c r="BA49" s="778">
        <v>5.9616220191104</v>
      </c>
      <c r="BB49" s="778">
        <v>5.74067742761281</v>
      </c>
      <c r="BC49" s="848">
        <v>4.69190112304688</v>
      </c>
      <c r="BD49" s="847">
        <f ca="1">AD49</f>
        <v>8.2363</v>
      </c>
      <c r="BE49" s="778">
        <v>6.36674768430075</v>
      </c>
      <c r="BF49" s="778">
        <v>4.98548193136238</v>
      </c>
      <c r="BG49" s="778">
        <v>6.42986450834854</v>
      </c>
      <c r="BH49" s="778">
        <v>5.61897147902472</v>
      </c>
      <c r="BI49" s="848">
        <v>4.2346854791345</v>
      </c>
      <c r="BJ49" s="16"/>
      <c r="BK49" s="345" t="str">
        <f ca="1">$K49</f>
        <v>2Q14</v>
      </c>
      <c r="BL49" s="847">
        <f ca="1">AL49</f>
        <v>17.9097</v>
      </c>
      <c r="BM49" s="778">
        <v>9.0476464984031</v>
      </c>
      <c r="BN49" s="778">
        <v>11.2008310249307</v>
      </c>
      <c r="BO49" s="778">
        <v>19.0565186308401</v>
      </c>
      <c r="BP49" s="778">
        <v>17.7444200779301</v>
      </c>
      <c r="BQ49" s="848">
        <v>13.557266662622</v>
      </c>
      <c r="BR49" s="847">
        <f ca="1">AR49</f>
        <v>18.2719</v>
      </c>
      <c r="BS49" s="778">
        <v>8.73829371205104</v>
      </c>
      <c r="BT49" s="778">
        <v>9.80123621379227</v>
      </c>
      <c r="BU49" s="778">
        <v>12.9325236772111</v>
      </c>
      <c r="BV49" s="778">
        <v>11.7818741310035</v>
      </c>
      <c r="BW49" s="848">
        <v>13.7377228082939</v>
      </c>
      <c r="BX49" s="847">
        <f ca="1">AX49</f>
        <v>8.6037</v>
      </c>
      <c r="BY49" s="778">
        <v>5.60872942522665</v>
      </c>
      <c r="BZ49" s="778">
        <v>4.98025707935359</v>
      </c>
      <c r="CA49" s="778">
        <v>9.22266505630733</v>
      </c>
      <c r="CB49" s="778">
        <v>12.458154399644</v>
      </c>
      <c r="CC49" s="848">
        <v>9.2789607868955</v>
      </c>
      <c r="CD49" s="847">
        <f ca="1">BD49</f>
        <v>8.2363</v>
      </c>
      <c r="CE49" s="778">
        <v>5.27651474375429</v>
      </c>
      <c r="CF49" s="778">
        <v>5.61804636350975</v>
      </c>
      <c r="CG49" s="778">
        <v>8.32664327429542</v>
      </c>
      <c r="CH49" s="778">
        <v>7.46946887391111</v>
      </c>
      <c r="CI49" s="848">
        <v>8.6931720305652</v>
      </c>
    </row>
    <row r="50" ht="14.25" customHeight="1" spans="1:87" x14ac:dyDescent="0.25">
      <c r="A50" s="264" t="s">
        <v>1</v>
      </c>
      <c r="B50" s="16"/>
      <c r="C50" s="836" t="str">
        <f ca="1">Comparables!S89</f>
        <v>Defense Peer Group</v>
      </c>
      <c r="D50" s="110"/>
      <c r="E50" s="110"/>
      <c r="F50" s="110"/>
      <c r="G50" s="110"/>
      <c r="H50" s="111"/>
      <c r="I50" s="84">
        <f ca="1">IF(I49+1=5,1,I49+1)</f>
        <v>3</v>
      </c>
      <c r="J50" s="5">
        <f ca="1">IF(I50=1,J49+1,J49)</f>
        <v>2014</v>
      </c>
      <c r="K50" s="345" t="str">
        <f ca="1">I50&amp;"Q"&amp;RIGHT(J50,2)</f>
        <v>3Q14</v>
      </c>
      <c r="L50" s="847">
        <v>20.0442</v>
      </c>
      <c r="M50" s="778">
        <v>22.0673</v>
      </c>
      <c r="N50" s="778">
        <v>21.7723</v>
      </c>
      <c r="O50" s="778">
        <v>21.7723</v>
      </c>
      <c r="P50" s="778">
        <v>21.7723</v>
      </c>
      <c r="Q50" s="848">
        <v>21.7723</v>
      </c>
      <c r="R50" s="847">
        <v>20.5913</v>
      </c>
      <c r="S50" s="778">
        <v>20.3387</v>
      </c>
      <c r="T50" s="778">
        <v>20.3403</v>
      </c>
      <c r="U50" s="778">
        <v>20.3403</v>
      </c>
      <c r="V50" s="778">
        <v>20.3403</v>
      </c>
      <c r="W50" s="848">
        <v>20.3403</v>
      </c>
      <c r="X50" s="847">
        <v>9.2169</v>
      </c>
      <c r="Y50" s="778">
        <v>11.1681</v>
      </c>
      <c r="Z50" s="778">
        <v>11.131</v>
      </c>
      <c r="AA50" s="778">
        <v>11.131</v>
      </c>
      <c r="AB50" s="778">
        <v>11.131</v>
      </c>
      <c r="AC50" s="848">
        <v>11.131</v>
      </c>
      <c r="AD50" s="778">
        <v>9.2309</v>
      </c>
      <c r="AE50" s="778">
        <v>10.7137</v>
      </c>
      <c r="AF50" s="778">
        <v>11.131</v>
      </c>
      <c r="AG50" s="778">
        <v>11.131</v>
      </c>
      <c r="AH50" s="778">
        <v>11.131</v>
      </c>
      <c r="AI50" s="848">
        <v>11.131</v>
      </c>
      <c r="AJ50" s="16"/>
      <c r="AK50" s="345" t="str">
        <f ca="1">$K50</f>
        <v>3Q14</v>
      </c>
      <c r="AL50" s="847">
        <f ca="1">L50</f>
        <v>20.0442</v>
      </c>
      <c r="AM50" s="778">
        <v>10.6045068586335</v>
      </c>
      <c r="AN50" s="778">
        <v>8.56758558525328</v>
      </c>
      <c r="AO50" s="778">
        <v>9.80641929304912</v>
      </c>
      <c r="AP50" s="778">
        <v>9.34626997319944</v>
      </c>
      <c r="AQ50" s="848">
        <v>9.18434226435989</v>
      </c>
      <c r="AR50" s="847">
        <f ca="1">R50</f>
        <v>20.5913</v>
      </c>
      <c r="AS50" s="778">
        <v>11.5326664196616</v>
      </c>
      <c r="AT50" s="778">
        <v>9.20465567410281</v>
      </c>
      <c r="AU50" s="778">
        <v>10.7262150497279</v>
      </c>
      <c r="AV50" s="778">
        <v>9.3113645965357</v>
      </c>
      <c r="AW50" s="848">
        <v>8.02716049382716</v>
      </c>
      <c r="AX50" s="847">
        <f ca="1">X50</f>
        <v>9.2169</v>
      </c>
      <c r="AY50" s="778">
        <v>5.20991143288719</v>
      </c>
      <c r="AZ50" s="778">
        <v>4.63203413299972</v>
      </c>
      <c r="BA50" s="778">
        <v>5.67915444963531</v>
      </c>
      <c r="BB50" s="778">
        <v>5.66900012121866</v>
      </c>
      <c r="BC50" s="848">
        <v>5.23832863134496</v>
      </c>
      <c r="BD50" s="847">
        <f ca="1">AD50</f>
        <v>9.2309</v>
      </c>
      <c r="BE50" s="778">
        <v>6.40014317784417</v>
      </c>
      <c r="BF50" s="778">
        <v>4.83632597350223</v>
      </c>
      <c r="BG50" s="778">
        <v>6.17153294639134</v>
      </c>
      <c r="BH50" s="778">
        <v>5.47483447978444</v>
      </c>
      <c r="BI50" s="848">
        <v>4.73882668145305</v>
      </c>
      <c r="BJ50" s="16"/>
      <c r="BK50" s="345" t="str">
        <f ca="1">$K50</f>
        <v>3Q14</v>
      </c>
      <c r="BL50" s="847">
        <f ca="1">AL50</f>
        <v>20.0442</v>
      </c>
      <c r="BM50" s="778">
        <v>8.7278773820466</v>
      </c>
      <c r="BN50" s="778">
        <v>10.9813581890812</v>
      </c>
      <c r="BO50" s="778">
        <v>18.6636395296049</v>
      </c>
      <c r="BP50" s="778">
        <v>17.1441961813853</v>
      </c>
      <c r="BQ50" s="848">
        <v>14.213143045327</v>
      </c>
      <c r="BR50" s="847">
        <f ca="1">AR50</f>
        <v>20.5913</v>
      </c>
      <c r="BS50" s="778">
        <v>9.06829679595278</v>
      </c>
      <c r="BT50" s="778">
        <v>10.6098031648012</v>
      </c>
      <c r="BU50" s="778">
        <v>14.1845479493177</v>
      </c>
      <c r="BV50" s="778">
        <v>12.6292508009654</v>
      </c>
      <c r="BW50" s="848">
        <v>14.7355543007717</v>
      </c>
      <c r="BX50" s="847">
        <f ca="1">AX50</f>
        <v>9.2169</v>
      </c>
      <c r="BY50" s="778">
        <v>5.20222161078648</v>
      </c>
      <c r="BZ50" s="778">
        <v>4.88940153984057</v>
      </c>
      <c r="CA50" s="778">
        <v>10.3988669282679</v>
      </c>
      <c r="CB50" s="778">
        <v>12.060953090903</v>
      </c>
      <c r="CC50" s="848">
        <v>10.4329188660323</v>
      </c>
      <c r="CD50" s="847">
        <f ca="1">BD50</f>
        <v>9.2309</v>
      </c>
      <c r="CE50" s="778">
        <v>5.40052665911043</v>
      </c>
      <c r="CF50" s="778">
        <v>6.01212995806737</v>
      </c>
      <c r="CG50" s="778">
        <v>9.28148033731055</v>
      </c>
      <c r="CH50" s="778">
        <v>7.9211118503344</v>
      </c>
      <c r="CI50" s="848">
        <v>10.09882653422</v>
      </c>
    </row>
    <row r="51" ht="14.25" customHeight="1" spans="1:87" x14ac:dyDescent="0.25">
      <c r="A51" s="16"/>
      <c r="B51" s="16"/>
      <c r="C51" s="846" t="s">
        <v>921</v>
      </c>
      <c r="D51" s="846"/>
      <c r="E51" s="846"/>
      <c r="F51" s="846"/>
      <c r="G51" s="846"/>
      <c r="H51" s="846"/>
      <c r="I51" s="84">
        <f ca="1">IF(I50=4,1,I50+1)</f>
        <v>4</v>
      </c>
      <c r="J51" s="5">
        <f ca="1">IF(I51=1,J50+1,J50)</f>
        <v>2014</v>
      </c>
      <c r="K51" s="345" t="str">
        <f ca="1">I51&amp;"Q"&amp;RIGHT(J51,2)</f>
        <v>4Q14</v>
      </c>
      <c r="L51" s="847">
        <v>21.6796</v>
      </c>
      <c r="M51" s="778">
        <v>23.4809</v>
      </c>
      <c r="N51" s="778">
        <v>22.0673</v>
      </c>
      <c r="O51" s="778">
        <v>22.0673</v>
      </c>
      <c r="P51" s="778">
        <v>22.0673</v>
      </c>
      <c r="Q51" s="848">
        <v>22.0673</v>
      </c>
      <c r="R51" s="847">
        <v>18.1696</v>
      </c>
      <c r="S51" s="778">
        <v>19.8239</v>
      </c>
      <c r="T51" s="778">
        <v>20.3387</v>
      </c>
      <c r="U51" s="778">
        <v>20.3387</v>
      </c>
      <c r="V51" s="778">
        <v>20.3387</v>
      </c>
      <c r="W51" s="848">
        <v>20.3387</v>
      </c>
      <c r="X51" s="847">
        <v>9.7542</v>
      </c>
      <c r="Y51" s="778">
        <v>11.8478</v>
      </c>
      <c r="Z51" s="778">
        <v>11.1681</v>
      </c>
      <c r="AA51" s="778">
        <v>11.1681</v>
      </c>
      <c r="AB51" s="778">
        <v>11.1681</v>
      </c>
      <c r="AC51" s="848">
        <v>11.1681</v>
      </c>
      <c r="AD51" s="778">
        <v>8.9329</v>
      </c>
      <c r="AE51" s="778">
        <v>10.7791</v>
      </c>
      <c r="AF51" s="778">
        <v>11.1681</v>
      </c>
      <c r="AG51" s="778">
        <v>11.1681</v>
      </c>
      <c r="AH51" s="778">
        <v>11.1681</v>
      </c>
      <c r="AI51" s="848">
        <v>11.1681</v>
      </c>
      <c r="AJ51" s="16"/>
      <c r="AK51" s="345" t="str">
        <f ca="1">$K51</f>
        <v>4Q14</v>
      </c>
      <c r="AL51" s="847">
        <f ca="1">L51</f>
        <v>21.6796</v>
      </c>
      <c r="AM51" s="778">
        <v>10.939313538814</v>
      </c>
      <c r="AN51" s="778">
        <v>8.65965505408376</v>
      </c>
      <c r="AO51" s="778">
        <v>10.0778388743355</v>
      </c>
      <c r="AP51" s="778">
        <v>10.9430778279215</v>
      </c>
      <c r="AQ51" s="848">
        <v>11.5336818429242</v>
      </c>
      <c r="AR51" s="847">
        <f ca="1">R51</f>
        <v>18.1696</v>
      </c>
      <c r="AS51" s="778">
        <v>10.9842894548917</v>
      </c>
      <c r="AT51" s="778">
        <v>9.13737155219037</v>
      </c>
      <c r="AU51" s="778">
        <v>10.4030363274896</v>
      </c>
      <c r="AV51" s="778">
        <v>9.9056199056199</v>
      </c>
      <c r="AW51" s="848">
        <v>8.48614609571788</v>
      </c>
      <c r="AX51" s="847">
        <f ca="1">X51</f>
        <v>9.7542</v>
      </c>
      <c r="AY51" s="778">
        <v>6.32126177836678</v>
      </c>
      <c r="AZ51" s="778">
        <v>4.57695008741106</v>
      </c>
      <c r="BA51" s="778">
        <v>5.76020463790628</v>
      </c>
      <c r="BB51" s="778">
        <v>17.2533686233174</v>
      </c>
      <c r="BC51" s="848">
        <v>4.84202675761119</v>
      </c>
      <c r="BD51" s="847">
        <f ca="1">AD51</f>
        <v>8.9329</v>
      </c>
      <c r="BE51" s="778">
        <v>6.78215566248927</v>
      </c>
      <c r="BF51" s="778">
        <v>5.09924907976123</v>
      </c>
      <c r="BG51" s="778">
        <v>6.10279206481292</v>
      </c>
      <c r="BH51" s="778">
        <v>5.62315387593203</v>
      </c>
      <c r="BI51" s="848">
        <v>4.41711007599884</v>
      </c>
      <c r="BJ51" s="16"/>
      <c r="BK51" s="345" t="str">
        <f ca="1">$K51</f>
        <v>4Q14</v>
      </c>
      <c r="BL51" s="847">
        <f ca="1">AL51</f>
        <v>21.6796</v>
      </c>
      <c r="BM51" s="778">
        <v>10.410691881697</v>
      </c>
      <c r="BN51" s="778">
        <v>11.1961858862244</v>
      </c>
      <c r="BO51" s="778">
        <v>14.1480637413155</v>
      </c>
      <c r="BP51" s="778">
        <v>14.8818083973992</v>
      </c>
      <c r="BQ51" s="848">
        <v>15.0859111459884</v>
      </c>
      <c r="BR51" s="847">
        <f ca="1">AR51</f>
        <v>18.1696</v>
      </c>
      <c r="BS51" s="778">
        <v>9.84059960465627</v>
      </c>
      <c r="BT51" s="778">
        <v>10.3459834789896</v>
      </c>
      <c r="BU51" s="778">
        <v>13.4242627318696</v>
      </c>
      <c r="BV51" s="778">
        <v>13.4783838217687</v>
      </c>
      <c r="BW51" s="848">
        <v>15.4038317054846</v>
      </c>
      <c r="BX51" s="847">
        <f ca="1">AX51</f>
        <v>9.7542</v>
      </c>
      <c r="BY51" s="778">
        <v>5.78148773705291</v>
      </c>
      <c r="BZ51" s="778">
        <v>4.72035075619799</v>
      </c>
      <c r="CA51" s="778">
        <v>9.15838226846345</v>
      </c>
      <c r="CB51" s="778">
        <v>9.03030245541161</v>
      </c>
      <c r="CC51" s="848">
        <v>10.3128599049214</v>
      </c>
      <c r="CD51" s="847">
        <f ca="1">BD51</f>
        <v>8.9329</v>
      </c>
      <c r="CE51" s="778">
        <v>5.90612163514183</v>
      </c>
      <c r="CF51" s="778">
        <v>5.299003534864</v>
      </c>
      <c r="CG51" s="778">
        <v>7.82073296342177</v>
      </c>
      <c r="CH51" s="778">
        <v>7.50386760768766</v>
      </c>
      <c r="CI51" s="848">
        <v>8.61617127928056</v>
      </c>
    </row>
    <row r="52" ht="14.25" customHeight="1" spans="1:87" x14ac:dyDescent="0.25">
      <c r="A52" s="16"/>
      <c r="B52" s="16"/>
      <c r="C52" s="84"/>
      <c r="D52" s="16"/>
      <c r="E52" s="84" t="s">
        <v>916</v>
      </c>
      <c r="F52" s="84" t="s">
        <v>917</v>
      </c>
      <c r="G52" s="84" t="s">
        <v>918</v>
      </c>
      <c r="H52" s="84" t="s">
        <v>919</v>
      </c>
      <c r="I52" s="84">
        <f ca="1">I48</f>
        <v>1</v>
      </c>
      <c r="J52" s="5">
        <f ca="1">IF(I52=1,J51+1,J51)</f>
        <v>2015</v>
      </c>
      <c r="K52" s="345" t="str">
        <f ca="1">I52&amp;"Q"&amp;RIGHT(J52,2)</f>
        <v>1Q15</v>
      </c>
      <c r="L52" s="847">
        <v>22.7334</v>
      </c>
      <c r="M52" s="778">
        <v>24.5937</v>
      </c>
      <c r="N52" s="778">
        <v>23.4809</v>
      </c>
      <c r="O52" s="778">
        <v>23.4809</v>
      </c>
      <c r="P52" s="778">
        <v>23.4809</v>
      </c>
      <c r="Q52" s="848">
        <v>23.4809</v>
      </c>
      <c r="R52" s="847">
        <v>19.6163</v>
      </c>
      <c r="S52" s="778">
        <v>21.3651</v>
      </c>
      <c r="T52" s="778">
        <v>19.8239</v>
      </c>
      <c r="U52" s="778">
        <v>19.8239</v>
      </c>
      <c r="V52" s="778">
        <v>19.8239</v>
      </c>
      <c r="W52" s="848">
        <v>19.8239</v>
      </c>
      <c r="X52" s="847">
        <v>9.9684</v>
      </c>
      <c r="Y52" s="778">
        <v>12.3412</v>
      </c>
      <c r="Z52" s="778">
        <v>11.8478</v>
      </c>
      <c r="AA52" s="778">
        <v>11.8478</v>
      </c>
      <c r="AB52" s="778">
        <v>11.8478</v>
      </c>
      <c r="AC52" s="848">
        <v>11.8478</v>
      </c>
      <c r="AD52" s="778">
        <v>9.254</v>
      </c>
      <c r="AE52" s="778">
        <v>11.4176</v>
      </c>
      <c r="AF52" s="778">
        <v>11.8478</v>
      </c>
      <c r="AG52" s="778">
        <v>11.8478</v>
      </c>
      <c r="AH52" s="778">
        <v>11.8478</v>
      </c>
      <c r="AI52" s="848">
        <v>11.8478</v>
      </c>
      <c r="AJ52" s="16"/>
      <c r="AK52" s="345" t="str">
        <f ca="1">$K52</f>
        <v>1Q15</v>
      </c>
      <c r="AL52" s="847">
        <f ca="1">L52</f>
        <v>22.7334</v>
      </c>
      <c r="AM52" s="778">
        <v>10.9747005408781</v>
      </c>
      <c r="AN52" s="778">
        <v>8.90906102941755</v>
      </c>
      <c r="AO52" s="778">
        <v>9.99584455790109</v>
      </c>
      <c r="AP52" s="778">
        <v>11.0516739030497</v>
      </c>
      <c r="AQ52" s="848">
        <v>13.4987555674236</v>
      </c>
      <c r="AR52" s="847">
        <f ca="1">R52</f>
        <v>19.6163</v>
      </c>
      <c r="AS52" s="778">
        <v>10.7964205816555</v>
      </c>
      <c r="AT52" s="778">
        <v>9.9545906059316</v>
      </c>
      <c r="AU52" s="778">
        <v>11.0217472815898</v>
      </c>
      <c r="AV52" s="778">
        <v>10.4104532703381</v>
      </c>
      <c r="AW52" s="848">
        <v>9.43301435406699</v>
      </c>
      <c r="AX52" s="847">
        <f ca="1">X52</f>
        <v>9.9684</v>
      </c>
      <c r="AY52" s="778">
        <v>6.25222651321006</v>
      </c>
      <c r="AZ52" s="778">
        <v>4.83952787353108</v>
      </c>
      <c r="BA52" s="778">
        <v>5.83587531857158</v>
      </c>
      <c r="BB52" s="778">
        <v>17.5958788491898</v>
      </c>
      <c r="BC52" s="848">
        <v>5.68527472329238</v>
      </c>
      <c r="BD52" s="847">
        <f ca="1">AD52</f>
        <v>9.254</v>
      </c>
      <c r="BE52" s="778">
        <v>6.40065941153131</v>
      </c>
      <c r="BF52" s="778">
        <v>5.38918917105491</v>
      </c>
      <c r="BG52" s="778">
        <v>6.37096811530985</v>
      </c>
      <c r="BH52" s="778">
        <v>6.06595367790709</v>
      </c>
      <c r="BI52" s="848">
        <v>5.2266664649216</v>
      </c>
      <c r="BJ52" s="16"/>
      <c r="BK52" s="345" t="str">
        <f ca="1">$K52</f>
        <v>1Q15</v>
      </c>
      <c r="BL52" s="847">
        <f ca="1">AL52</f>
        <v>22.7334</v>
      </c>
      <c r="BM52" s="778">
        <v>11.3979492341081</v>
      </c>
      <c r="BN52" s="778">
        <v>10.6559916715208</v>
      </c>
      <c r="BO52" s="778">
        <v>16.3110862969049</v>
      </c>
      <c r="BP52" s="778">
        <v>16.9422737201693</v>
      </c>
      <c r="BQ52" s="848">
        <v>16.5946552528309</v>
      </c>
      <c r="BR52" s="847">
        <f ca="1">AR52</f>
        <v>19.6163</v>
      </c>
      <c r="BS52" s="778">
        <v>10.8617459722743</v>
      </c>
      <c r="BT52" s="778">
        <v>10.0128100617212</v>
      </c>
      <c r="BU52" s="778">
        <v>13.2523150673822</v>
      </c>
      <c r="BV52" s="778">
        <v>14.4974502069346</v>
      </c>
      <c r="BW52" s="848">
        <v>15.2838213643056</v>
      </c>
      <c r="BX52" s="847">
        <f ca="1">AX52</f>
        <v>9.9684</v>
      </c>
      <c r="BY52" s="778">
        <v>6.17824326026236</v>
      </c>
      <c r="BZ52" s="778">
        <v>5.36871235891615</v>
      </c>
      <c r="CA52" s="778">
        <v>9.74395550475693</v>
      </c>
      <c r="CB52" s="778">
        <v>10.5591287033373</v>
      </c>
      <c r="CC52" s="848">
        <v>10.940341244788</v>
      </c>
      <c r="CD52" s="847">
        <f ca="1">BD52</f>
        <v>9.254</v>
      </c>
      <c r="CE52" s="778">
        <v>6.05796027145949</v>
      </c>
      <c r="CF52" s="778">
        <v>6.03868418220498</v>
      </c>
      <c r="CG52" s="778">
        <v>7.77903050962802</v>
      </c>
      <c r="CH52" s="778">
        <v>9.0216648635804</v>
      </c>
      <c r="CI52" s="848">
        <v>9.76738277151971</v>
      </c>
    </row>
    <row r="53" ht="14.25" customHeight="1" spans="1:87" x14ac:dyDescent="0.25">
      <c r="A53" s="16"/>
      <c r="B53" s="16"/>
      <c r="C53" s="16" t="s">
        <v>890</v>
      </c>
      <c r="D53" s="16"/>
      <c r="E53" s="724">
        <f ca="1">AVERAGE(AM81:AQ86)</f>
        <v>16.2811317957635</v>
      </c>
      <c r="F53" s="724">
        <f ca="1">AVERAGE(AS81:AW86)</f>
        <v>16.207046180263625</v>
      </c>
      <c r="G53" s="724">
        <f ca="1">AVERAGE(AY81:BC86)</f>
        <v>12.026952580590283</v>
      </c>
      <c r="H53" s="724">
        <f ca="1">AVERAGE(BE81:BI86)</f>
        <v>12.189450395723325</v>
      </c>
      <c r="I53" s="84">
        <f ca="1">IF(I52=4,1,I52+1)</f>
        <v>2</v>
      </c>
      <c r="J53" s="5">
        <f ca="1">IF(I53=1,J52+1,J52)</f>
        <v>2015</v>
      </c>
      <c r="K53" s="345" t="str">
        <f ca="1">I53&amp;"Q"&amp;RIGHT(J53,2)</f>
        <v>2Q15</v>
      </c>
      <c r="L53" s="847">
        <v>23.4712</v>
      </c>
      <c r="M53" s="778">
        <v>22.4408</v>
      </c>
      <c r="N53" s="778">
        <v>24.5937</v>
      </c>
      <c r="O53" s="778">
        <v>24.5937</v>
      </c>
      <c r="P53" s="778">
        <v>24.5937</v>
      </c>
      <c r="Q53" s="848">
        <v>24.5937</v>
      </c>
      <c r="R53" s="847">
        <v>21.8094</v>
      </c>
      <c r="S53" s="778">
        <v>20.5834</v>
      </c>
      <c r="T53" s="778">
        <v>21.3651</v>
      </c>
      <c r="U53" s="778">
        <v>21.3651</v>
      </c>
      <c r="V53" s="778">
        <v>21.3651</v>
      </c>
      <c r="W53" s="848">
        <v>21.3651</v>
      </c>
      <c r="X53" s="847">
        <v>10.4997</v>
      </c>
      <c r="Y53" s="778">
        <v>11.4298</v>
      </c>
      <c r="Z53" s="778">
        <v>12.3412</v>
      </c>
      <c r="AA53" s="778">
        <v>12.3412</v>
      </c>
      <c r="AB53" s="778">
        <v>12.3412</v>
      </c>
      <c r="AC53" s="848">
        <v>12.3412</v>
      </c>
      <c r="AD53" s="778">
        <v>10.1421</v>
      </c>
      <c r="AE53" s="778">
        <v>10.9513</v>
      </c>
      <c r="AF53" s="778">
        <v>12.3412</v>
      </c>
      <c r="AG53" s="778">
        <v>12.3412</v>
      </c>
      <c r="AH53" s="778">
        <v>12.3412</v>
      </c>
      <c r="AI53" s="848">
        <v>12.3412</v>
      </c>
      <c r="AJ53" s="16"/>
      <c r="AK53" s="345" t="str">
        <f ca="1">$K53</f>
        <v>2Q15</v>
      </c>
      <c r="AL53" s="847">
        <f ca="1">L53</f>
        <v>23.4712</v>
      </c>
      <c r="AM53" s="778">
        <v>11.9782130374776</v>
      </c>
      <c r="AN53" s="778">
        <v>10.1920161063397</v>
      </c>
      <c r="AO53" s="778">
        <v>11.0652994919033</v>
      </c>
      <c r="AP53" s="778">
        <v>12.1382016308239</v>
      </c>
      <c r="AQ53" s="848">
        <v>13.1569455274973</v>
      </c>
      <c r="AR53" s="847">
        <f ca="1">R53</f>
        <v>21.8094</v>
      </c>
      <c r="AS53" s="778">
        <v>12.041745309204</v>
      </c>
      <c r="AT53" s="778">
        <v>11.5031953320367</v>
      </c>
      <c r="AU53" s="778">
        <v>12.081125525306</v>
      </c>
      <c r="AV53" s="778">
        <v>11.6027255221449</v>
      </c>
      <c r="AW53" s="848">
        <v>9.05437352245863</v>
      </c>
      <c r="AX53" s="847">
        <f ca="1">X53</f>
        <v>10.4997</v>
      </c>
      <c r="AY53" s="778">
        <v>6.78063849169565</v>
      </c>
      <c r="AZ53" s="778">
        <v>5.66684750026189</v>
      </c>
      <c r="BA53" s="778">
        <v>6.6173009488542</v>
      </c>
      <c r="BB53" s="778">
        <v>19.9828410370048</v>
      </c>
      <c r="BC53" s="848">
        <v>6.51827173074468</v>
      </c>
      <c r="BD53" s="847">
        <f ca="1">AD53</f>
        <v>10.1421</v>
      </c>
      <c r="BE53" s="778">
        <v>7.09397312761365</v>
      </c>
      <c r="BF53" s="778">
        <v>6.33862033674069</v>
      </c>
      <c r="BG53" s="778">
        <v>7.28432496531872</v>
      </c>
      <c r="BH53" s="778">
        <v>6.68105898371528</v>
      </c>
      <c r="BI53" s="848">
        <v>5.73741529842785</v>
      </c>
      <c r="BJ53" s="16"/>
      <c r="BK53" s="345" t="str">
        <f ca="1">$K53</f>
        <v>2Q15</v>
      </c>
      <c r="BL53" s="847">
        <f ca="1">AL53</f>
        <v>23.4712</v>
      </c>
      <c r="BM53" s="778">
        <v>12.7998713961279</v>
      </c>
      <c r="BN53" s="778">
        <v>9.88599170185066</v>
      </c>
      <c r="BO53" s="778">
        <v>16.8796644924156</v>
      </c>
      <c r="BP53" s="778">
        <v>17.1543540948171</v>
      </c>
      <c r="BQ53" s="848">
        <v>16.2968345494295</v>
      </c>
      <c r="BR53" s="847">
        <f ca="1">AR53</f>
        <v>21.8094</v>
      </c>
      <c r="BS53" s="778">
        <v>12.0599415204678</v>
      </c>
      <c r="BT53" s="778">
        <v>9.54310547333803</v>
      </c>
      <c r="BU53" s="778">
        <v>13.4285662445783</v>
      </c>
      <c r="BV53" s="778">
        <v>15.2589643125916</v>
      </c>
      <c r="BW53" s="848">
        <v>15.2111292962357</v>
      </c>
      <c r="BX53" s="847">
        <f ca="1">AX53</f>
        <v>10.4997</v>
      </c>
      <c r="BY53" s="778">
        <v>8.31815669163724</v>
      </c>
      <c r="BZ53" s="778">
        <v>4.36124069424063</v>
      </c>
      <c r="CA53" s="778">
        <v>9.98979284446393</v>
      </c>
      <c r="CB53" s="778">
        <v>10.9047396522652</v>
      </c>
      <c r="CC53" s="848">
        <v>10.2848031066489</v>
      </c>
      <c r="CD53" s="847">
        <f ca="1">BD53</f>
        <v>10.1421</v>
      </c>
      <c r="CE53" s="778">
        <v>8.60527544095053</v>
      </c>
      <c r="CF53" s="778">
        <v>5.30711310091909</v>
      </c>
      <c r="CG53" s="778">
        <v>8.22929198083086</v>
      </c>
      <c r="CH53" s="778">
        <v>9.50349294444337</v>
      </c>
      <c r="CI53" s="848">
        <v>9.46146004385748</v>
      </c>
    </row>
    <row r="54" ht="14.25" customHeight="1" spans="1:87" x14ac:dyDescent="0.25">
      <c r="A54" s="16"/>
      <c r="B54" s="16"/>
      <c r="C54" s="16" t="s">
        <v>892</v>
      </c>
      <c r="D54" s="16"/>
      <c r="E54" s="724">
        <f ca="1">AVERAGE(AM77:AQ86)</f>
        <v>16.167189775700525</v>
      </c>
      <c r="F54" s="724">
        <f ca="1">AVERAGE(AS77:AW86)</f>
        <v>16.123041845273583</v>
      </c>
      <c r="G54" s="724">
        <f ca="1">AVERAGE(AY77:BC86)</f>
        <v>11.95618302887918</v>
      </c>
      <c r="H54" s="724">
        <f ca="1">AVERAGE(BE77:BI86)</f>
        <v>12.1269722740679</v>
      </c>
      <c r="I54" s="84">
        <f ca="1">IF(I53+1=5,1,I53+1)</f>
        <v>3</v>
      </c>
      <c r="J54" s="5">
        <f ca="1">IF(I54=1,J53+1,J53)</f>
        <v>2015</v>
      </c>
      <c r="K54" s="345" t="str">
        <f ca="1">I54&amp;"Q"&amp;RIGHT(J54,2)</f>
        <v>3Q15</v>
      </c>
      <c r="L54" s="847">
        <v>23.5402</v>
      </c>
      <c r="M54" s="778">
        <v>22.2541</v>
      </c>
      <c r="N54" s="778">
        <v>22.4408</v>
      </c>
      <c r="O54" s="778">
        <v>22.4408</v>
      </c>
      <c r="P54" s="778">
        <v>22.4408</v>
      </c>
      <c r="Q54" s="848">
        <v>22.4408</v>
      </c>
      <c r="R54" s="847">
        <v>22.8236</v>
      </c>
      <c r="S54" s="778">
        <v>21.9925</v>
      </c>
      <c r="T54" s="778">
        <v>20.5834</v>
      </c>
      <c r="U54" s="778">
        <v>20.5834</v>
      </c>
      <c r="V54" s="778">
        <v>20.5834</v>
      </c>
      <c r="W54" s="848">
        <v>20.5834</v>
      </c>
      <c r="X54" s="847">
        <v>10.6759</v>
      </c>
      <c r="Y54" s="778">
        <v>11.6625</v>
      </c>
      <c r="Z54" s="778">
        <v>11.4298</v>
      </c>
      <c r="AA54" s="778">
        <v>11.4298</v>
      </c>
      <c r="AB54" s="778">
        <v>11.4298</v>
      </c>
      <c r="AC54" s="848">
        <v>11.4298</v>
      </c>
      <c r="AD54" s="778">
        <v>10.6153</v>
      </c>
      <c r="AE54" s="778">
        <v>11.6875</v>
      </c>
      <c r="AF54" s="778">
        <v>11.4298</v>
      </c>
      <c r="AG54" s="778">
        <v>11.4298</v>
      </c>
      <c r="AH54" s="778">
        <v>11.4298</v>
      </c>
      <c r="AI54" s="848">
        <v>11.4298</v>
      </c>
      <c r="AJ54" s="16"/>
      <c r="AK54" s="345" t="str">
        <f ca="1">$K54</f>
        <v>3Q15</v>
      </c>
      <c r="AL54" s="847">
        <f ca="1">L54</f>
        <v>23.5402</v>
      </c>
      <c r="AM54" s="778">
        <v>13.61392571717</v>
      </c>
      <c r="AN54" s="778">
        <v>11.2813752145605</v>
      </c>
      <c r="AO54" s="778">
        <v>12.8588618530776</v>
      </c>
      <c r="AP54" s="778">
        <v>13.2005714616677</v>
      </c>
      <c r="AQ54" s="848">
        <v>15.6097024743989</v>
      </c>
      <c r="AR54" s="847">
        <f ca="1">R54</f>
        <v>22.8236</v>
      </c>
      <c r="AS54" s="778">
        <v>13.3532244556114</v>
      </c>
      <c r="AT54" s="778">
        <v>12.3698221010258</v>
      </c>
      <c r="AU54" s="778">
        <v>13.5614992081647</v>
      </c>
      <c r="AV54" s="778">
        <v>12.5729061916391</v>
      </c>
      <c r="AW54" s="848">
        <v>10.6168224299065</v>
      </c>
      <c r="AX54" s="847">
        <f ca="1">X54</f>
        <v>10.6759</v>
      </c>
      <c r="AY54" s="778">
        <v>7.77708057929062</v>
      </c>
      <c r="AZ54" s="778">
        <v>6.25430883142553</v>
      </c>
      <c r="BA54" s="778">
        <v>7.53946972682942</v>
      </c>
      <c r="BB54" s="778">
        <v>21.4577285987806</v>
      </c>
      <c r="BC54" s="848">
        <v>7.61177518320519</v>
      </c>
      <c r="BD54" s="847">
        <f ca="1">AD54</f>
        <v>10.6153</v>
      </c>
      <c r="BE54" s="778">
        <v>7.84948878142277</v>
      </c>
      <c r="BF54" s="778">
        <v>6.6309938124452</v>
      </c>
      <c r="BG54" s="778">
        <v>7.96930082065482</v>
      </c>
      <c r="BH54" s="778">
        <v>7.18444358023124</v>
      </c>
      <c r="BI54" s="848">
        <v>6.62350163338909</v>
      </c>
      <c r="BJ54" s="16"/>
      <c r="BK54" s="345" t="str">
        <f ca="1">$K54</f>
        <v>3Q15</v>
      </c>
      <c r="BL54" s="847">
        <f ca="1">AL54</f>
        <v>23.5402</v>
      </c>
      <c r="BM54" s="778">
        <v>14.9862401518031</v>
      </c>
      <c r="BN54" s="778">
        <v>9.13300318819126</v>
      </c>
      <c r="BO54" s="778">
        <v>17.6015046977109</v>
      </c>
      <c r="BP54" s="778">
        <v>17.71647607207</v>
      </c>
      <c r="BQ54" s="848">
        <v>18.2145269890738</v>
      </c>
      <c r="BR54" s="847">
        <f ca="1">AR54</f>
        <v>22.8236</v>
      </c>
      <c r="BS54" s="778">
        <v>13.2654684269127</v>
      </c>
      <c r="BT54" s="778">
        <v>9.18415707515233</v>
      </c>
      <c r="BU54" s="778">
        <v>13.8673284698068</v>
      </c>
      <c r="BV54" s="778">
        <v>15.9802470919811</v>
      </c>
      <c r="BW54" s="848">
        <v>17.5203119922002</v>
      </c>
      <c r="BX54" s="847">
        <f ca="1">AX54</f>
        <v>10.6759</v>
      </c>
      <c r="BY54" s="778">
        <v>7.22081451044756</v>
      </c>
      <c r="BZ54" s="778">
        <v>4.05393973980648</v>
      </c>
      <c r="CA54" s="778">
        <v>10.6003988879441</v>
      </c>
      <c r="CB54" s="778">
        <v>11.0192322082175</v>
      </c>
      <c r="CC54" s="848">
        <v>11.2008098892945</v>
      </c>
      <c r="CD54" s="847">
        <f ca="1">BD54</f>
        <v>10.6153</v>
      </c>
      <c r="CE54" s="778">
        <v>6.9112131795103</v>
      </c>
      <c r="CF54" s="778">
        <v>4.86796467959036</v>
      </c>
      <c r="CG54" s="778">
        <v>9.24679972699082</v>
      </c>
      <c r="CH54" s="778">
        <v>10.1547982579153</v>
      </c>
      <c r="CI54" s="848">
        <v>10.8621545004283</v>
      </c>
    </row>
    <row r="55" ht="14.25" customHeight="1" spans="1:87" x14ac:dyDescent="0.25">
      <c r="A55" s="16"/>
      <c r="B55" s="16"/>
      <c r="C55" s="16" t="s">
        <v>887</v>
      </c>
      <c r="D55" s="16"/>
      <c r="E55" s="724">
        <f ca="1">AVERAGE(AM73:AQ86)</f>
        <v>16.693825092020955</v>
      </c>
      <c r="F55" s="724">
        <f ca="1">AVERAGE(AS73:AW86)</f>
        <v>16.078511393647254</v>
      </c>
      <c r="G55" s="724">
        <f ca="1">AVERAGE(AY73:BC86)</f>
        <v>11.965668501832177</v>
      </c>
      <c r="H55" s="724">
        <f ca="1">AVERAGE(BE73:BI86)</f>
        <v>11.89400826050088</v>
      </c>
      <c r="I55" s="84">
        <f ca="1">IF(I54=4,1,I54+1)</f>
        <v>4</v>
      </c>
      <c r="J55" s="5">
        <f ca="1">IF(I55=1,J54+1,J54)</f>
        <v>2015</v>
      </c>
      <c r="K55" s="345" t="str">
        <f ca="1">I55&amp;"Q"&amp;RIGHT(J55,2)</f>
        <v>4Q15</v>
      </c>
      <c r="L55" s="847">
        <v>22.6923</v>
      </c>
      <c r="M55" s="778">
        <v>21.1013</v>
      </c>
      <c r="N55" s="778">
        <v>22.2541</v>
      </c>
      <c r="O55" s="778">
        <v>22.2541</v>
      </c>
      <c r="P55" s="778">
        <v>22.2541</v>
      </c>
      <c r="Q55" s="848">
        <v>22.2541</v>
      </c>
      <c r="R55" s="847">
        <v>18.5932</v>
      </c>
      <c r="S55" s="778">
        <v>17.8623</v>
      </c>
      <c r="T55" s="778">
        <v>21.9925</v>
      </c>
      <c r="U55" s="778">
        <v>21.9925</v>
      </c>
      <c r="V55" s="778">
        <v>21.9925</v>
      </c>
      <c r="W55" s="848">
        <v>21.9925</v>
      </c>
      <c r="X55" s="847">
        <v>10.6981</v>
      </c>
      <c r="Y55" s="778">
        <v>11.1784</v>
      </c>
      <c r="Z55" s="778">
        <v>11.6625</v>
      </c>
      <c r="AA55" s="778">
        <v>11.6625</v>
      </c>
      <c r="AB55" s="778">
        <v>11.6625</v>
      </c>
      <c r="AC55" s="848">
        <v>11.6625</v>
      </c>
      <c r="AD55" s="778">
        <v>9.6794</v>
      </c>
      <c r="AE55" s="778">
        <v>10.1811</v>
      </c>
      <c r="AF55" s="778">
        <v>11.6625</v>
      </c>
      <c r="AG55" s="778">
        <v>11.6625</v>
      </c>
      <c r="AH55" s="778">
        <v>11.6625</v>
      </c>
      <c r="AI55" s="848">
        <v>11.6625</v>
      </c>
      <c r="AJ55" s="16"/>
      <c r="AK55" s="345" t="str">
        <f ca="1">$K55</f>
        <v>4Q15</v>
      </c>
      <c r="AL55" s="847">
        <f ca="1">L55</f>
        <v>22.6923</v>
      </c>
      <c r="AM55" s="778">
        <v>14.899093867298</v>
      </c>
      <c r="AN55" s="778">
        <v>13.4652467749377</v>
      </c>
      <c r="AO55" s="778">
        <v>14.8842735424243</v>
      </c>
      <c r="AP55" s="778">
        <v>13.4577711198626</v>
      </c>
      <c r="AQ55" s="848">
        <v>83.6538461538461</v>
      </c>
      <c r="AR55" s="847">
        <f ca="1">R55</f>
        <v>18.5932</v>
      </c>
      <c r="AS55" s="778">
        <v>15.3669629935911</v>
      </c>
      <c r="AT55" s="778">
        <v>14.1145320197044</v>
      </c>
      <c r="AU55" s="778">
        <v>15.56547108289</v>
      </c>
      <c r="AV55" s="778">
        <v>13.5956175298805</v>
      </c>
      <c r="AW55" s="848">
        <v>10.0694444444444</v>
      </c>
      <c r="AX55" s="847">
        <f ca="1">X55</f>
        <v>10.6981</v>
      </c>
      <c r="AY55" s="778">
        <v>9.30880362696557</v>
      </c>
      <c r="AZ55" s="778">
        <v>7.2477448823506</v>
      </c>
      <c r="BA55" s="778">
        <v>8.74227284277257</v>
      </c>
      <c r="BB55" s="778">
        <v>7.69023648176773</v>
      </c>
      <c r="BC55" s="848">
        <v>6.98574669803306</v>
      </c>
      <c r="BD55" s="847">
        <f ca="1">AD55</f>
        <v>9.6794</v>
      </c>
      <c r="BE55" s="778">
        <v>8.47633778801312</v>
      </c>
      <c r="BF55" s="778">
        <v>7.47266848603473</v>
      </c>
      <c r="BG55" s="778">
        <v>8.54010978861887</v>
      </c>
      <c r="BH55" s="778">
        <v>7.44769376803239</v>
      </c>
      <c r="BI55" s="848">
        <v>6.37364243076596</v>
      </c>
      <c r="BJ55" s="16"/>
      <c r="BK55" s="345" t="str">
        <f ca="1">$K55</f>
        <v>4Q15</v>
      </c>
      <c r="BL55" s="847">
        <f ca="1">AL55</f>
        <v>22.6923</v>
      </c>
      <c r="BM55" s="778">
        <v>16.2012154925796</v>
      </c>
      <c r="BN55" s="778">
        <v>9.78991294877581</v>
      </c>
      <c r="BO55" s="778">
        <v>20.0747118434189</v>
      </c>
      <c r="BP55" s="778">
        <v>16.4086024096269</v>
      </c>
      <c r="BQ55" s="848">
        <v>18.1950160365563</v>
      </c>
      <c r="BR55" s="847">
        <f ca="1">AR55</f>
        <v>18.5932</v>
      </c>
      <c r="BS55" s="778">
        <v>16.6014625228519</v>
      </c>
      <c r="BT55" s="778">
        <v>10.9508393285372</v>
      </c>
      <c r="BU55" s="778">
        <v>16.4593016139279</v>
      </c>
      <c r="BV55" s="778">
        <v>17.5868302999988</v>
      </c>
      <c r="BW55" s="848">
        <v>18.5040650406504</v>
      </c>
      <c r="BX55" s="847">
        <f ca="1">AX55</f>
        <v>10.6981</v>
      </c>
      <c r="BY55" s="778">
        <v>7.11789902474014</v>
      </c>
      <c r="BZ55" s="778">
        <v>4.28902815945814</v>
      </c>
      <c r="CA55" s="778">
        <v>15.144914733762</v>
      </c>
      <c r="CB55" s="778">
        <v>11.4352152994917</v>
      </c>
      <c r="CC55" s="848">
        <v>11.1025976069489</v>
      </c>
      <c r="CD55" s="847">
        <f ca="1">BD55</f>
        <v>9.6794</v>
      </c>
      <c r="CE55" s="778">
        <v>7.513322197713</v>
      </c>
      <c r="CF55" s="778">
        <v>5.63279108316854</v>
      </c>
      <c r="CG55" s="778">
        <v>9.16310246193321</v>
      </c>
      <c r="CH55" s="778">
        <v>9.45976313593936</v>
      </c>
      <c r="CI55" s="848">
        <v>10.199800616474</v>
      </c>
    </row>
    <row r="56" ht="14.25" customHeight="1" spans="1:87" x14ac:dyDescent="0.25">
      <c r="A56" s="16"/>
      <c r="B56" s="16"/>
      <c r="C56" s="16" t="s">
        <v>893</v>
      </c>
      <c r="D56" s="16"/>
      <c r="E56" s="724">
        <f ca="1">AVERAGE(AM65:AQ86)</f>
        <v>18.270614828253066</v>
      </c>
      <c r="F56" s="724">
        <f ca="1">AVERAGE(AS65:AW86)</f>
        <v>17.344062816540788</v>
      </c>
      <c r="G56" s="724">
        <f ca="1">AVERAGE(AY65:BC86)</f>
        <v>12.110641773518143</v>
      </c>
      <c r="H56" s="724">
        <f ca="1">AVERAGE(BE65:BI86)</f>
        <v>11.961096449914985</v>
      </c>
      <c r="I56" s="84">
        <f ca="1">I52</f>
        <v>1</v>
      </c>
      <c r="J56" s="5">
        <f ca="1">IF(I56=1,J55+1,J55)</f>
        <v>2016</v>
      </c>
      <c r="K56" s="345" t="str">
        <f ca="1">I56&amp;"Q"&amp;RIGHT(J56,2)</f>
        <v>1Q16</v>
      </c>
      <c r="L56" s="847">
        <v>20.9599</v>
      </c>
      <c r="M56" s="778">
        <v>20.866</v>
      </c>
      <c r="N56" s="778">
        <v>21.1013</v>
      </c>
      <c r="O56" s="778">
        <v>21.1013</v>
      </c>
      <c r="P56" s="778">
        <v>21.1013</v>
      </c>
      <c r="Q56" s="848">
        <v>21.1013</v>
      </c>
      <c r="R56" s="847">
        <v>18.3448</v>
      </c>
      <c r="S56" s="778">
        <v>18.3583</v>
      </c>
      <c r="T56" s="778">
        <v>17.8623</v>
      </c>
      <c r="U56" s="778">
        <v>17.8623</v>
      </c>
      <c r="V56" s="778">
        <v>17.8623</v>
      </c>
      <c r="W56" s="848">
        <v>17.8623</v>
      </c>
      <c r="X56" s="847">
        <v>9.8367</v>
      </c>
      <c r="Y56" s="778">
        <v>11.0589</v>
      </c>
      <c r="Z56" s="778">
        <v>11.1784</v>
      </c>
      <c r="AA56" s="778">
        <v>11.1784</v>
      </c>
      <c r="AB56" s="778">
        <v>11.1784</v>
      </c>
      <c r="AC56" s="848">
        <v>11.1784</v>
      </c>
      <c r="AD56" s="778">
        <v>9.1363</v>
      </c>
      <c r="AE56" s="778">
        <v>10.2746</v>
      </c>
      <c r="AF56" s="778">
        <v>11.1784</v>
      </c>
      <c r="AG56" s="778">
        <v>11.1784</v>
      </c>
      <c r="AH56" s="778">
        <v>11.1784</v>
      </c>
      <c r="AI56" s="848">
        <v>11.1784</v>
      </c>
      <c r="AJ56" s="16"/>
      <c r="AK56" s="345" t="str">
        <f ca="1">$K56</f>
        <v>1Q16</v>
      </c>
      <c r="AL56" s="847">
        <f ca="1">L56</f>
        <v>20.9599</v>
      </c>
      <c r="AM56" s="778">
        <v>15.6067765380931</v>
      </c>
      <c r="AN56" s="778">
        <v>13.8939188373522</v>
      </c>
      <c r="AO56" s="778">
        <v>15.8564149382548</v>
      </c>
      <c r="AP56" s="778">
        <v>15.0353292967643</v>
      </c>
      <c r="AQ56" s="848">
        <v>79.6538461538461</v>
      </c>
      <c r="AR56" s="847">
        <f ca="1">R56</f>
        <v>18.3448</v>
      </c>
      <c r="AS56" s="778">
        <v>15.3854853911404</v>
      </c>
      <c r="AT56" s="778">
        <v>13.9113767053783</v>
      </c>
      <c r="AU56" s="778">
        <v>14.2184801381693</v>
      </c>
      <c r="AV56" s="778">
        <v>15.1026067665003</v>
      </c>
      <c r="AW56" s="848">
        <v>10.5394402035623</v>
      </c>
      <c r="AX56" s="847">
        <f ca="1">X56</f>
        <v>9.8367</v>
      </c>
      <c r="AY56" s="778">
        <v>9.52318541881982</v>
      </c>
      <c r="AZ56" s="778">
        <v>7.77289795350423</v>
      </c>
      <c r="BA56" s="778">
        <v>9.07602320303267</v>
      </c>
      <c r="BB56" s="778">
        <v>8.82115813258258</v>
      </c>
      <c r="BC56" s="848">
        <v>6.58313719115977</v>
      </c>
      <c r="BD56" s="847">
        <f ca="1">AD56</f>
        <v>9.1363</v>
      </c>
      <c r="BE56" s="778">
        <v>8.75561902375599</v>
      </c>
      <c r="BF56" s="778">
        <v>7.91193042025454</v>
      </c>
      <c r="BG56" s="778">
        <v>8.47813366479963</v>
      </c>
      <c r="BH56" s="778">
        <v>8.76916252515342</v>
      </c>
      <c r="BI56" s="848">
        <v>6.39860235563282</v>
      </c>
      <c r="BJ56" s="16"/>
      <c r="BK56" s="345" t="str">
        <f ca="1">$K56</f>
        <v>1Q16</v>
      </c>
      <c r="BL56" s="847">
        <f ca="1">AL56</f>
        <v>20.9599</v>
      </c>
      <c r="BM56" s="778">
        <v>17.0516310759413</v>
      </c>
      <c r="BN56" s="778">
        <v>9.49964789575999</v>
      </c>
      <c r="BO56" s="778">
        <v>18.027276007093</v>
      </c>
      <c r="BP56" s="778">
        <v>16.5223404454521</v>
      </c>
      <c r="BQ56" s="848">
        <v>18.3451782515745</v>
      </c>
      <c r="BR56" s="847">
        <f ca="1">AR56</f>
        <v>18.3448</v>
      </c>
      <c r="BS56" s="778">
        <v>17.1121060788703</v>
      </c>
      <c r="BT56" s="778">
        <v>10.8172504169645</v>
      </c>
      <c r="BU56" s="778">
        <v>14.6651730972304</v>
      </c>
      <c r="BV56" s="778">
        <v>15.9141730133627</v>
      </c>
      <c r="BW56" s="848">
        <v>17.0868675051185</v>
      </c>
      <c r="BX56" s="847">
        <f ca="1">AX56</f>
        <v>9.8367</v>
      </c>
      <c r="BY56" s="778">
        <v>7.61704507988604</v>
      </c>
      <c r="BZ56" s="778">
        <v>4.9037833624296</v>
      </c>
      <c r="CA56" s="778">
        <v>13.7003339232748</v>
      </c>
      <c r="CB56" s="778">
        <v>11.524812180156</v>
      </c>
      <c r="CC56" s="848">
        <v>11.2269030250655</v>
      </c>
      <c r="CD56" s="847">
        <f ca="1">BD56</f>
        <v>9.1363</v>
      </c>
      <c r="CE56" s="778">
        <v>8.35980225899281</v>
      </c>
      <c r="CF56" s="778">
        <v>6.56989915929296</v>
      </c>
      <c r="CG56" s="778">
        <v>9.69570425830949</v>
      </c>
      <c r="CH56" s="778">
        <v>9.59166047764717</v>
      </c>
      <c r="CI56" s="848">
        <v>10.1585096304399</v>
      </c>
    </row>
    <row r="57" ht="14.25" customHeight="1" spans="1:87" x14ac:dyDescent="0.25">
      <c r="A57" s="16"/>
      <c r="B57" s="16"/>
      <c r="C57" s="846" t="s">
        <v>922</v>
      </c>
      <c r="D57" s="846"/>
      <c r="E57" s="846"/>
      <c r="F57" s="846"/>
      <c r="G57" s="846"/>
      <c r="H57" s="846"/>
      <c r="I57" s="84">
        <f ca="1">IF(I56=4,1,I56+1)</f>
        <v>2</v>
      </c>
      <c r="J57" s="5">
        <f ca="1">IF(I57=1,J56+1,J56)</f>
        <v>2016</v>
      </c>
      <c r="K57" s="345" t="str">
        <f ca="1">I57&amp;"Q"&amp;RIGHT(J57,2)</f>
        <v>2Q16</v>
      </c>
      <c r="L57" s="847">
        <v>21.5976</v>
      </c>
      <c r="M57" s="778">
        <v>22.106</v>
      </c>
      <c r="N57" s="778">
        <v>20.866</v>
      </c>
      <c r="O57" s="778">
        <v>20.866</v>
      </c>
      <c r="P57" s="778">
        <v>20.866</v>
      </c>
      <c r="Q57" s="848">
        <v>20.866</v>
      </c>
      <c r="R57" s="847">
        <v>20.16</v>
      </c>
      <c r="S57" s="778">
        <v>20.3867</v>
      </c>
      <c r="T57" s="778">
        <v>18.3583</v>
      </c>
      <c r="U57" s="778">
        <v>18.3583</v>
      </c>
      <c r="V57" s="778">
        <v>18.3583</v>
      </c>
      <c r="W57" s="848">
        <v>18.3583</v>
      </c>
      <c r="X57" s="847">
        <v>10.1552</v>
      </c>
      <c r="Y57" s="778">
        <v>11.7694</v>
      </c>
      <c r="Z57" s="778">
        <v>11.0589</v>
      </c>
      <c r="AA57" s="778">
        <v>11.0589</v>
      </c>
      <c r="AB57" s="778">
        <v>11.0589</v>
      </c>
      <c r="AC57" s="848">
        <v>11.0589</v>
      </c>
      <c r="AD57" s="778">
        <v>9.7479</v>
      </c>
      <c r="AE57" s="778">
        <v>11.2143</v>
      </c>
      <c r="AF57" s="778">
        <v>11.0589</v>
      </c>
      <c r="AG57" s="778">
        <v>11.0589</v>
      </c>
      <c r="AH57" s="778">
        <v>11.0589</v>
      </c>
      <c r="AI57" s="848">
        <v>11.0589</v>
      </c>
      <c r="AJ57" s="16"/>
      <c r="AK57" s="345" t="str">
        <f ca="1">$K57</f>
        <v>2Q16</v>
      </c>
      <c r="AL57" s="847">
        <f ca="1">L57</f>
        <v>21.5976</v>
      </c>
      <c r="AM57" s="778">
        <v>15.1925047159338</v>
      </c>
      <c r="AN57" s="778">
        <v>13.1171174490227</v>
      </c>
      <c r="AO57" s="778">
        <v>14.5572995033791</v>
      </c>
      <c r="AP57" s="778">
        <v>16.0071527457314</v>
      </c>
      <c r="AQ57" s="848">
        <v>72.15</v>
      </c>
      <c r="AR57" s="847">
        <f ca="1">R57</f>
        <v>20.16</v>
      </c>
      <c r="AS57" s="778">
        <v>14.6771984293672</v>
      </c>
      <c r="AT57" s="778">
        <v>13.0886214442013</v>
      </c>
      <c r="AU57" s="778">
        <v>13.2886776145203</v>
      </c>
      <c r="AV57" s="778">
        <v>15.9069196123925</v>
      </c>
      <c r="AW57" s="848">
        <v>11.1285347043702</v>
      </c>
      <c r="AX57" s="847">
        <f ca="1">X57</f>
        <v>10.1552</v>
      </c>
      <c r="AY57" s="778">
        <v>9.04341450295343</v>
      </c>
      <c r="AZ57" s="778">
        <v>7.56549925881769</v>
      </c>
      <c r="BA57" s="778">
        <v>8.56850789299641</v>
      </c>
      <c r="BB57" s="778">
        <v>9.53762607969839</v>
      </c>
      <c r="BC57" s="848">
        <v>7.3059059511382</v>
      </c>
      <c r="BD57" s="847">
        <f ca="1">AD57</f>
        <v>9.7479</v>
      </c>
      <c r="BE57" s="778">
        <v>8.34191205536816</v>
      </c>
      <c r="BF57" s="778">
        <v>7.68678470437694</v>
      </c>
      <c r="BG57" s="778">
        <v>8.01440888453109</v>
      </c>
      <c r="BH57" s="778">
        <v>9.3871322553164</v>
      </c>
      <c r="BI57" s="848">
        <v>6.98257489680346</v>
      </c>
      <c r="BJ57" s="16"/>
      <c r="BK57" s="345" t="str">
        <f ca="1">$K57</f>
        <v>2Q16</v>
      </c>
      <c r="BL57" s="847">
        <f ca="1">AL57</f>
        <v>21.5976</v>
      </c>
      <c r="BM57" s="778">
        <v>17.5122655959803</v>
      </c>
      <c r="BN57" s="778">
        <v>9.57282674631935</v>
      </c>
      <c r="BO57" s="778">
        <v>18.8148107152353</v>
      </c>
      <c r="BP57" s="778">
        <v>16.3834695861817</v>
      </c>
      <c r="BQ57" s="848">
        <v>18.81446848108</v>
      </c>
      <c r="BR57" s="847">
        <f ca="1">AR57</f>
        <v>20.16</v>
      </c>
      <c r="BS57" s="778">
        <v>17.5330751855437</v>
      </c>
      <c r="BT57" s="778">
        <v>10.6919352934231</v>
      </c>
      <c r="BU57" s="778">
        <v>14.9212562268163</v>
      </c>
      <c r="BV57" s="778">
        <v>15.9611519686452</v>
      </c>
      <c r="BW57" s="848">
        <v>16.8392648774796</v>
      </c>
      <c r="BX57" s="847">
        <f ca="1">AX57</f>
        <v>10.1552</v>
      </c>
      <c r="BY57" s="778">
        <v>8.01713636023447</v>
      </c>
      <c r="BZ57" s="778">
        <v>4.40170908891738</v>
      </c>
      <c r="CA57" s="778">
        <v>16.4908873645734</v>
      </c>
      <c r="CB57" s="778">
        <v>11.2461348569961</v>
      </c>
      <c r="CC57" s="848">
        <v>11.2015939345566</v>
      </c>
      <c r="CD57" s="847">
        <f ca="1">BD57</f>
        <v>9.7479</v>
      </c>
      <c r="CE57" s="778">
        <v>8.40880387409117</v>
      </c>
      <c r="CF57" s="778">
        <v>5.66171143775593</v>
      </c>
      <c r="CG57" s="778">
        <v>12.2215912297605</v>
      </c>
      <c r="CH57" s="778">
        <v>9.947615731982</v>
      </c>
      <c r="CI57" s="848">
        <v>10.0975235451036</v>
      </c>
    </row>
    <row r="58" ht="14.25" customHeight="1" spans="1:87" x14ac:dyDescent="0.25">
      <c r="A58" s="16"/>
      <c r="B58" s="16"/>
      <c r="C58" s="84"/>
      <c r="D58" s="16"/>
      <c r="E58" s="84" t="s">
        <v>916</v>
      </c>
      <c r="F58" s="84" t="s">
        <v>917</v>
      </c>
      <c r="G58" s="84" t="s">
        <v>918</v>
      </c>
      <c r="H58" s="84" t="s">
        <v>919</v>
      </c>
      <c r="I58" s="84">
        <f ca="1">IF(I57+1=5,1,I57+1)</f>
        <v>3</v>
      </c>
      <c r="J58" s="5">
        <f ca="1">IF(I58=1,J57+1,J57)</f>
        <v>2016</v>
      </c>
      <c r="K58" s="345" t="str">
        <f ca="1">I58&amp;"Q"&amp;RIGHT(J58,2)</f>
        <v>3Q16</v>
      </c>
      <c r="L58" s="847">
        <v>26.8605</v>
      </c>
      <c r="M58" s="778">
        <v>24.0556</v>
      </c>
      <c r="N58" s="778">
        <v>22.106</v>
      </c>
      <c r="O58" s="778">
        <v>22.106</v>
      </c>
      <c r="P58" s="778">
        <v>22.106</v>
      </c>
      <c r="Q58" s="848">
        <v>22.106</v>
      </c>
      <c r="R58" s="847">
        <v>25.7389</v>
      </c>
      <c r="S58" s="778">
        <v>23.3786</v>
      </c>
      <c r="T58" s="778">
        <v>20.3867</v>
      </c>
      <c r="U58" s="778">
        <v>20.3867</v>
      </c>
      <c r="V58" s="778">
        <v>20.3867</v>
      </c>
      <c r="W58" s="848">
        <v>20.3867</v>
      </c>
      <c r="X58" s="847">
        <v>12.3539</v>
      </c>
      <c r="Y58" s="778">
        <v>12.9295</v>
      </c>
      <c r="Z58" s="778">
        <v>11.7694</v>
      </c>
      <c r="AA58" s="778">
        <v>11.7694</v>
      </c>
      <c r="AB58" s="778">
        <v>11.7694</v>
      </c>
      <c r="AC58" s="848">
        <v>11.7694</v>
      </c>
      <c r="AD58" s="778">
        <v>12.1286</v>
      </c>
      <c r="AE58" s="778">
        <v>12.6303</v>
      </c>
      <c r="AF58" s="778">
        <v>11.7694</v>
      </c>
      <c r="AG58" s="778">
        <v>11.7694</v>
      </c>
      <c r="AH58" s="778">
        <v>11.7694</v>
      </c>
      <c r="AI58" s="848">
        <v>11.7694</v>
      </c>
      <c r="AJ58" s="16"/>
      <c r="AK58" s="345" t="str">
        <f ca="1">$K58</f>
        <v>3Q16</v>
      </c>
      <c r="AL58" s="847">
        <f ca="1">L58</f>
        <v>26.8605</v>
      </c>
      <c r="AM58" s="778">
        <v>16.971911291818</v>
      </c>
      <c r="AN58" s="778">
        <v>14.2595180334852</v>
      </c>
      <c r="AO58" s="778">
        <v>15.677518897643</v>
      </c>
      <c r="AP58" s="778">
        <v>17.0492565080697</v>
      </c>
      <c r="AQ58" s="848">
        <v>78.5833333333333</v>
      </c>
      <c r="AR58" s="847">
        <f ca="1">R58</f>
        <v>25.7389</v>
      </c>
      <c r="AS58" s="778">
        <v>16.2847469707769</v>
      </c>
      <c r="AT58" s="778">
        <v>14.1723136495644</v>
      </c>
      <c r="AU58" s="778">
        <v>14.7510524023806</v>
      </c>
      <c r="AV58" s="778">
        <v>16.8219722038385</v>
      </c>
      <c r="AW58" s="848">
        <v>12.3429319371728</v>
      </c>
      <c r="AX58" s="847">
        <f ca="1">X58</f>
        <v>12.3539</v>
      </c>
      <c r="AY58" s="778">
        <v>10.0416969007958</v>
      </c>
      <c r="AZ58" s="778">
        <v>8.14425798294657</v>
      </c>
      <c r="BA58" s="778">
        <v>9.35769418461125</v>
      </c>
      <c r="BB58" s="778">
        <v>9.75761197852728</v>
      </c>
      <c r="BC58" s="848">
        <v>7.89638044866552</v>
      </c>
      <c r="BD58" s="847">
        <f ca="1">AD58</f>
        <v>12.1286</v>
      </c>
      <c r="BE58" s="778">
        <v>9.2948278991057</v>
      </c>
      <c r="BF58" s="778">
        <v>8.12215087658678</v>
      </c>
      <c r="BG58" s="778">
        <v>8.88488425961786</v>
      </c>
      <c r="BH58" s="778">
        <v>9.53304479938265</v>
      </c>
      <c r="BI58" s="848">
        <v>7.74058870834201</v>
      </c>
      <c r="BJ58" s="16"/>
      <c r="BK58" s="345" t="str">
        <f ca="1">$K58</f>
        <v>3Q16</v>
      </c>
      <c r="BL58" s="847">
        <f ca="1">AL58</f>
        <v>26.8605</v>
      </c>
      <c r="BM58" s="778">
        <v>15.332360616874</v>
      </c>
      <c r="BN58" s="778">
        <v>8.99394808981443</v>
      </c>
      <c r="BO58" s="778">
        <v>18.9573315361765</v>
      </c>
      <c r="BP58" s="778">
        <v>15.7377424098325</v>
      </c>
      <c r="BQ58" s="848">
        <v>16.4562418244736</v>
      </c>
      <c r="BR58" s="847">
        <f ca="1">AR58</f>
        <v>25.7389</v>
      </c>
      <c r="BS58" s="778">
        <v>15.7565632458234</v>
      </c>
      <c r="BT58" s="778">
        <v>9.79218917950555</v>
      </c>
      <c r="BU58" s="778">
        <v>14.7116253691756</v>
      </c>
      <c r="BV58" s="778">
        <v>16.0047782864145</v>
      </c>
      <c r="BW58" s="848">
        <v>15.4003208400175</v>
      </c>
      <c r="BX58" s="847">
        <f ca="1">AX58</f>
        <v>12.3539</v>
      </c>
      <c r="BY58" s="778">
        <v>7.57544625043682</v>
      </c>
      <c r="BZ58" s="778">
        <v>4.05603816119173</v>
      </c>
      <c r="CA58" s="778">
        <v>17.7328149474707</v>
      </c>
      <c r="CB58" s="778">
        <v>10.9756319204545</v>
      </c>
      <c r="CC58" s="848">
        <v>10.1415569877265</v>
      </c>
      <c r="CD58" s="847">
        <f ca="1">BD58</f>
        <v>12.1286</v>
      </c>
      <c r="CE58" s="778">
        <v>7.96799593359051</v>
      </c>
      <c r="CF58" s="778">
        <v>5.3607663011855</v>
      </c>
      <c r="CG58" s="778">
        <v>9.67451431715901</v>
      </c>
      <c r="CH58" s="778">
        <v>9.9254800396092</v>
      </c>
      <c r="CI58" s="848">
        <v>9.51600454033976</v>
      </c>
    </row>
    <row r="59" ht="14.25" customHeight="1" spans="1:87" x14ac:dyDescent="0.25">
      <c r="A59" s="16"/>
      <c r="B59" s="16"/>
      <c r="C59" s="16" t="s">
        <v>923</v>
      </c>
      <c r="D59" s="16"/>
      <c r="E59" s="724">
        <f ca="1">AVERAGE(AM8:AQ75)</f>
        <v>17.45184436944251</v>
      </c>
      <c r="F59" s="724">
        <f ca="1">AVERAGE(AS8:AW75)</f>
        <v>14.789390590177238</v>
      </c>
      <c r="G59" s="724">
        <f ca="1">AVERAGE(AY8:BC75)</f>
        <v>9.073633064438093</v>
      </c>
      <c r="H59" s="724">
        <f ca="1">AVERAGE(BE8:BI75)</f>
        <v>8.246703176081793</v>
      </c>
      <c r="I59" s="84">
        <f ca="1">IF(I58=4,1,I58+1)</f>
        <v>4</v>
      </c>
      <c r="J59" s="5">
        <f ca="1">IF(I59=1,J58+1,J58)</f>
        <v>2016</v>
      </c>
      <c r="K59" s="345" t="str">
        <f ca="1">I59&amp;"Q"&amp;RIGHT(J59,2)</f>
        <v>4Q16</v>
      </c>
      <c r="L59" s="847">
        <v>27.2129</v>
      </c>
      <c r="M59" s="778">
        <v>24.2568</v>
      </c>
      <c r="N59" s="778">
        <v>24.0556</v>
      </c>
      <c r="O59" s="778">
        <v>24.0556</v>
      </c>
      <c r="P59" s="778">
        <v>24.0556</v>
      </c>
      <c r="Q59" s="848">
        <v>24.0556</v>
      </c>
      <c r="R59" s="847">
        <v>22.4675</v>
      </c>
      <c r="S59" s="778">
        <v>21.7269</v>
      </c>
      <c r="T59" s="778">
        <v>23.3786</v>
      </c>
      <c r="U59" s="778">
        <v>23.3786</v>
      </c>
      <c r="V59" s="778">
        <v>23.3786</v>
      </c>
      <c r="W59" s="848">
        <v>23.3786</v>
      </c>
      <c r="X59" s="847">
        <v>12.7884</v>
      </c>
      <c r="Y59" s="778">
        <v>13.3829</v>
      </c>
      <c r="Z59" s="778">
        <v>12.9295</v>
      </c>
      <c r="AA59" s="778">
        <v>12.9295</v>
      </c>
      <c r="AB59" s="778">
        <v>12.9295</v>
      </c>
      <c r="AC59" s="848">
        <v>12.9295</v>
      </c>
      <c r="AD59" s="778">
        <v>11.5241</v>
      </c>
      <c r="AE59" s="778">
        <v>12.4027</v>
      </c>
      <c r="AF59" s="778">
        <v>12.9295</v>
      </c>
      <c r="AG59" s="778">
        <v>12.9295</v>
      </c>
      <c r="AH59" s="778">
        <v>12.9295</v>
      </c>
      <c r="AI59" s="848">
        <v>12.9295</v>
      </c>
      <c r="AJ59" s="16"/>
      <c r="AK59" s="345" t="str">
        <f ca="1">$K59</f>
        <v>4Q16</v>
      </c>
      <c r="AL59" s="847">
        <f ca="1">L59</f>
        <v>27.2129</v>
      </c>
      <c r="AM59" s="778">
        <v>16.6817556410833</v>
      </c>
      <c r="AN59" s="778">
        <v>15.918574316111</v>
      </c>
      <c r="AO59" s="778">
        <v>15.8996603114082</v>
      </c>
      <c r="AP59" s="778">
        <v>17.4549775223724</v>
      </c>
      <c r="AQ59" s="848">
        <v>20.1709401709402</v>
      </c>
      <c r="AR59" s="847">
        <f ca="1">R59</f>
        <v>22.4675</v>
      </c>
      <c r="AS59" s="778">
        <v>17.1983567026882</v>
      </c>
      <c r="AT59" s="778">
        <v>15.7434308908353</v>
      </c>
      <c r="AU59" s="778">
        <v>15.7041231126597</v>
      </c>
      <c r="AV59" s="778">
        <v>17.745970341715</v>
      </c>
      <c r="AW59" s="848">
        <v>12.4867724867725</v>
      </c>
      <c r="AX59" s="847">
        <f ca="1">X59</f>
        <v>12.7884</v>
      </c>
      <c r="AY59" s="778">
        <v>9.95045705434438</v>
      </c>
      <c r="AZ59" s="778">
        <v>8.70357416548189</v>
      </c>
      <c r="BA59" s="778">
        <v>9.4411740744081</v>
      </c>
      <c r="BB59" s="778">
        <v>10.2711420804772</v>
      </c>
      <c r="BC59" s="848">
        <v>8.48781093666622</v>
      </c>
      <c r="BD59" s="847">
        <f ca="1">AD59</f>
        <v>11.5241</v>
      </c>
      <c r="BE59" s="778">
        <v>9.93486989815585</v>
      </c>
      <c r="BF59" s="778">
        <v>9.36741340683429</v>
      </c>
      <c r="BG59" s="778">
        <v>9.33322544205644</v>
      </c>
      <c r="BH59" s="778">
        <v>9.84506720804911</v>
      </c>
      <c r="BI59" s="848">
        <v>7.50290457326061</v>
      </c>
      <c r="BJ59" s="16"/>
      <c r="BK59" s="345" t="str">
        <f ca="1">$K59</f>
        <v>4Q16</v>
      </c>
      <c r="BL59" s="847">
        <f ca="1">AL59</f>
        <v>27.2129</v>
      </c>
      <c r="BM59" s="778">
        <v>14.3522461116201</v>
      </c>
      <c r="BN59" s="778">
        <v>10.1688766856749</v>
      </c>
      <c r="BO59" s="778">
        <v>19.5619707538714</v>
      </c>
      <c r="BP59" s="778">
        <v>16.9047152213896</v>
      </c>
      <c r="BQ59" s="848">
        <v>18.0135446191584</v>
      </c>
      <c r="BR59" s="847">
        <f ca="1">AR59</f>
        <v>22.4675</v>
      </c>
      <c r="BS59" s="778">
        <v>14.0146991272393</v>
      </c>
      <c r="BT59" s="778">
        <v>16.0300779126653</v>
      </c>
      <c r="BU59" s="778">
        <v>14.7306384948454</v>
      </c>
      <c r="BV59" s="778">
        <v>17.1642157162912</v>
      </c>
      <c r="BW59" s="848">
        <v>16.8473483738646</v>
      </c>
      <c r="BX59" s="847">
        <f ca="1">AX59</f>
        <v>12.7884</v>
      </c>
      <c r="BY59" s="778">
        <v>6.97434437524555</v>
      </c>
      <c r="BZ59" s="778">
        <v>4.08809822037653</v>
      </c>
      <c r="CA59" s="778">
        <v>14.0383531727903</v>
      </c>
      <c r="CB59" s="778">
        <v>11.5358113174269</v>
      </c>
      <c r="CC59" s="848">
        <v>10.8198573575872</v>
      </c>
      <c r="CD59" s="847">
        <f ca="1">BD59</f>
        <v>11.5241</v>
      </c>
      <c r="CE59" s="778">
        <v>6.52036681165495</v>
      </c>
      <c r="CF59" s="778">
        <v>7.58448179387161</v>
      </c>
      <c r="CG59" s="778">
        <v>8.75010111273845</v>
      </c>
      <c r="CH59" s="778">
        <v>9.67800656373421</v>
      </c>
      <c r="CI59" s="848">
        <v>9.61483174381438</v>
      </c>
    </row>
    <row r="60" ht="14.25" customHeight="1" spans="1:87" x14ac:dyDescent="0.25">
      <c r="A60" s="264"/>
      <c r="B60" s="16"/>
      <c r="C60" s="16" t="s">
        <v>924</v>
      </c>
      <c r="D60" s="16"/>
      <c r="E60" s="724">
        <f t="shared" ref="E60:H60" si="36" ca="1">AVERAGE(E64,E68)</f>
        <v>16.511356338309774</v>
      </c>
      <c r="F60" s="724">
        <f ca="1">AVERAGE(F64,F68)</f>
        <v>14.249403727801335</v>
      </c>
      <c r="G60" s="724">
        <f ca="1">AVERAGE(G64,G68)</f>
        <v>8.008187979985276</v>
      </c>
      <c r="H60" s="724">
        <f ca="1">AVERAGE(H64,H68)</f>
        <v>2.7157301350125858</v>
      </c>
      <c r="I60" s="84">
        <f ca="1">I56</f>
        <v>1</v>
      </c>
      <c r="J60" s="5">
        <f ca="1">IF(I60=1,J59+1,J59)</f>
        <v>2017</v>
      </c>
      <c r="K60" s="345" t="str">
        <f ca="1">I60&amp;"Q"&amp;RIGHT(J60,2)</f>
        <v>1Q17</v>
      </c>
      <c r="L60" s="847">
        <v>23.7725</v>
      </c>
      <c r="M60" s="778">
        <v>22.7393</v>
      </c>
      <c r="N60" s="778">
        <v>24.2568</v>
      </c>
      <c r="O60" s="778">
        <v>24.2568</v>
      </c>
      <c r="P60" s="778">
        <v>24.2568</v>
      </c>
      <c r="Q60" s="848">
        <v>24.2568</v>
      </c>
      <c r="R60" s="847">
        <v>20.2878</v>
      </c>
      <c r="S60" s="778">
        <v>21.1354</v>
      </c>
      <c r="T60" s="778">
        <v>21.7269</v>
      </c>
      <c r="U60" s="778">
        <v>21.7269</v>
      </c>
      <c r="V60" s="778">
        <v>21.7269</v>
      </c>
      <c r="W60" s="848">
        <v>21.7269</v>
      </c>
      <c r="X60" s="847">
        <v>11.059</v>
      </c>
      <c r="Y60" s="778">
        <v>12.5894</v>
      </c>
      <c r="Z60" s="778">
        <v>13.3829</v>
      </c>
      <c r="AA60" s="778">
        <v>13.3829</v>
      </c>
      <c r="AB60" s="778">
        <v>13.3829</v>
      </c>
      <c r="AC60" s="848">
        <v>13.3829</v>
      </c>
      <c r="AD60" s="778">
        <v>10.2391</v>
      </c>
      <c r="AE60" s="778">
        <v>11.9025</v>
      </c>
      <c r="AF60" s="778">
        <v>13.3829</v>
      </c>
      <c r="AG60" s="778">
        <v>13.3829</v>
      </c>
      <c r="AH60" s="778">
        <v>13.3829</v>
      </c>
      <c r="AI60" s="848">
        <v>13.3829</v>
      </c>
      <c r="AJ60" s="16"/>
      <c r="AK60" s="345" t="str">
        <f ca="1">$K60</f>
        <v>1Q17</v>
      </c>
      <c r="AL60" s="847">
        <f ca="1">L60</f>
        <v>23.7725</v>
      </c>
      <c r="AM60" s="778">
        <v>17.7316040068742</v>
      </c>
      <c r="AN60" s="778">
        <v>17.362804075599</v>
      </c>
      <c r="AO60" s="778">
        <v>16.7017237249017</v>
      </c>
      <c r="AP60" s="778">
        <v>17.2152601301526</v>
      </c>
      <c r="AQ60" s="848">
        <v>22.3717948717949</v>
      </c>
      <c r="AR60" s="847">
        <f ca="1">R60</f>
        <v>20.2878</v>
      </c>
      <c r="AS60" s="778">
        <v>18.1945316001793</v>
      </c>
      <c r="AT60" s="778">
        <v>16.9806941660513</v>
      </c>
      <c r="AU60" s="778">
        <v>17.0676456803624</v>
      </c>
      <c r="AV60" s="778">
        <v>16.2726291811533</v>
      </c>
      <c r="AW60" s="848">
        <v>13.2868020304569</v>
      </c>
      <c r="AX60" s="847">
        <f ca="1">X60</f>
        <v>11.059</v>
      </c>
      <c r="AY60" s="778">
        <v>10.6046500596097</v>
      </c>
      <c r="AZ60" s="778">
        <v>9.96578183599201</v>
      </c>
      <c r="BA60" s="778">
        <v>9.52725818436542</v>
      </c>
      <c r="BB60" s="778">
        <v>10.0912602544482</v>
      </c>
      <c r="BC60" s="848">
        <v>10.2362649676181</v>
      </c>
      <c r="BD60" s="847">
        <f ca="1">AD60</f>
        <v>10.2391</v>
      </c>
      <c r="BE60" s="778">
        <v>10.6614615642502</v>
      </c>
      <c r="BF60" s="778">
        <v>10.2604777628974</v>
      </c>
      <c r="BG60" s="778">
        <v>10.2780637391009</v>
      </c>
      <c r="BH60" s="778">
        <v>9.71505194619394</v>
      </c>
      <c r="BI60" s="848">
        <v>9.25020942552141</v>
      </c>
      <c r="BJ60" s="16"/>
      <c r="BK60" s="345" t="str">
        <f ca="1">$K60</f>
        <v>1Q17</v>
      </c>
      <c r="BL60" s="847">
        <f ca="1">AL60</f>
        <v>23.7725</v>
      </c>
      <c r="BM60" s="778">
        <v>11.9331635483082</v>
      </c>
      <c r="BN60" s="778">
        <v>11.0429443217241</v>
      </c>
      <c r="BO60" s="778">
        <v>20.8703264304204</v>
      </c>
      <c r="BP60" s="778">
        <v>17.1616901526493</v>
      </c>
      <c r="BQ60" s="848">
        <v>18.1428389425202</v>
      </c>
      <c r="BR60" s="847">
        <f ca="1">AR60</f>
        <v>20.2878</v>
      </c>
      <c r="BS60" s="778">
        <v>16.8236283371873</v>
      </c>
      <c r="BT60" s="778">
        <v>16.4090568862275</v>
      </c>
      <c r="BU60" s="778">
        <v>13.793318238288</v>
      </c>
      <c r="BV60" s="778">
        <v>16.2845808786291</v>
      </c>
      <c r="BW60" s="848">
        <v>16.7740088736224</v>
      </c>
      <c r="BX60" s="847">
        <f ca="1">AX60</f>
        <v>11.059</v>
      </c>
      <c r="BY60" s="778">
        <v>5.97884227127418</v>
      </c>
      <c r="BZ60" s="778">
        <v>5.09978843482164</v>
      </c>
      <c r="CA60" s="778">
        <v>16.3952157975105</v>
      </c>
      <c r="CB60" s="778">
        <v>12.1321311527739</v>
      </c>
      <c r="CC60" s="848">
        <v>11.1062594072335</v>
      </c>
      <c r="CD60" s="847">
        <f ca="1">BD60</f>
        <v>10.2391</v>
      </c>
      <c r="CE60" s="778">
        <v>7.18756391759842</v>
      </c>
      <c r="CF60" s="778">
        <v>10.405610801995</v>
      </c>
      <c r="CG60" s="778">
        <v>9.48909092212035</v>
      </c>
      <c r="CH60" s="778">
        <v>10.6121068424686</v>
      </c>
      <c r="CI60" s="848">
        <v>10.0928444397349</v>
      </c>
    </row>
    <row r="61" ht="14.25" customHeight="1" spans="1:87" x14ac:dyDescent="0.25">
      <c r="A61" s="16"/>
      <c r="B61" s="16"/>
      <c r="C61" s="16" t="s">
        <v>925</v>
      </c>
      <c r="D61" s="16"/>
      <c r="E61" s="724">
        <f t="shared" ref="E61:H61" si="37" ca="1">AVERAGE(E65,E69)</f>
        <v>18.174451528888053</v>
      </c>
      <c r="F61" s="724">
        <f ca="1">AVERAGE(F65,F69)</f>
        <v>15.177675768515218</v>
      </c>
      <c r="G61" s="724">
        <f ca="1">AVERAGE(G65,G69)</f>
        <v>9.103387224716275</v>
      </c>
      <c r="H61" s="724">
        <f ca="1">AVERAGE(H65,H69)</f>
        <v>8.16731017897481</v>
      </c>
      <c r="I61" s="84">
        <f ca="1">IF(I60=4,1,I60+1)</f>
        <v>2</v>
      </c>
      <c r="J61" s="5">
        <f ca="1">IF(I61=1,J60+1,J60)</f>
        <v>2017</v>
      </c>
      <c r="K61" s="345" t="str">
        <f ca="1">I61&amp;"Q"&amp;RIGHT(J61,2)</f>
        <v>2Q17</v>
      </c>
      <c r="L61" s="847">
        <v>23.0797</v>
      </c>
      <c r="M61" s="778">
        <v>22.7024</v>
      </c>
      <c r="N61" s="778">
        <v>22.7393</v>
      </c>
      <c r="O61" s="778">
        <v>22.7393</v>
      </c>
      <c r="P61" s="778">
        <v>22.7393</v>
      </c>
      <c r="Q61" s="848">
        <v>22.7393</v>
      </c>
      <c r="R61" s="847">
        <v>20.9674</v>
      </c>
      <c r="S61" s="778">
        <v>21.7168</v>
      </c>
      <c r="T61" s="778">
        <v>21.1354</v>
      </c>
      <c r="U61" s="778">
        <v>21.1354</v>
      </c>
      <c r="V61" s="778">
        <v>21.1354</v>
      </c>
      <c r="W61" s="848">
        <v>21.1354</v>
      </c>
      <c r="X61" s="847">
        <v>11.0655</v>
      </c>
      <c r="Y61" s="778">
        <v>12.721</v>
      </c>
      <c r="Z61" s="778">
        <v>12.5894</v>
      </c>
      <c r="AA61" s="778">
        <v>12.5894</v>
      </c>
      <c r="AB61" s="778">
        <v>12.5894</v>
      </c>
      <c r="AC61" s="848">
        <v>12.5894</v>
      </c>
      <c r="AD61" s="778">
        <v>10.5108</v>
      </c>
      <c r="AE61" s="778">
        <v>12.1155</v>
      </c>
      <c r="AF61" s="778">
        <v>12.5894</v>
      </c>
      <c r="AG61" s="778">
        <v>12.5894</v>
      </c>
      <c r="AH61" s="778">
        <v>12.5894</v>
      </c>
      <c r="AI61" s="848">
        <v>12.5894</v>
      </c>
      <c r="AJ61" s="16"/>
      <c r="AK61" s="345" t="str">
        <f ca="1">$K61</f>
        <v>2Q17</v>
      </c>
      <c r="AL61" s="847">
        <f ca="1">L61</f>
        <v>23.0797</v>
      </c>
      <c r="AM61" s="778">
        <v>15.9558420569046</v>
      </c>
      <c r="AN61" s="778">
        <v>16.4547250775695</v>
      </c>
      <c r="AO61" s="778">
        <v>15.0718630779208</v>
      </c>
      <c r="AP61" s="778">
        <v>17.1537530266344</v>
      </c>
      <c r="AQ61" s="848">
        <v>20.3243243243243</v>
      </c>
      <c r="AR61" s="847">
        <f ca="1">R61</f>
        <v>20.9674</v>
      </c>
      <c r="AS61" s="778">
        <v>16.6621851752263</v>
      </c>
      <c r="AT61" s="778">
        <v>16.5153565851119</v>
      </c>
      <c r="AU61" s="778">
        <v>14.0478637498165</v>
      </c>
      <c r="AV61" s="778">
        <v>16.4813306967547</v>
      </c>
      <c r="AW61" s="848">
        <v>11.539641943734</v>
      </c>
      <c r="AX61" s="847">
        <f ca="1">X61</f>
        <v>11.0655</v>
      </c>
      <c r="AY61" s="778">
        <v>9.74219912234432</v>
      </c>
      <c r="AZ61" s="778">
        <v>9.83265391921465</v>
      </c>
      <c r="BA61" s="778">
        <v>9.13544206295131</v>
      </c>
      <c r="BB61" s="778">
        <v>10.0301823820195</v>
      </c>
      <c r="BC61" s="848">
        <v>8.55752264300847</v>
      </c>
      <c r="BD61" s="847">
        <f ca="1">AD61</f>
        <v>10.5108</v>
      </c>
      <c r="BE61" s="778">
        <v>9.69462873537993</v>
      </c>
      <c r="BF61" s="778">
        <v>10.0388522239177</v>
      </c>
      <c r="BG61" s="778">
        <v>9.46400162584521</v>
      </c>
      <c r="BH61" s="778">
        <v>9.87431638480709</v>
      </c>
      <c r="BI61" s="848">
        <v>7.56791347800371</v>
      </c>
      <c r="BJ61" s="16"/>
      <c r="BK61" s="345" t="str">
        <f ca="1">$K61</f>
        <v>2Q17</v>
      </c>
      <c r="BL61" s="847">
        <f ca="1">AL61</f>
        <v>23.0797</v>
      </c>
      <c r="BM61" s="778">
        <v>13.2951376349264</v>
      </c>
      <c r="BN61" s="778">
        <v>13.2763337893297</v>
      </c>
      <c r="BO61" s="778">
        <v>23.8012672954539</v>
      </c>
      <c r="BP61" s="778">
        <v>16.3799936683191</v>
      </c>
      <c r="BQ61" s="848">
        <v>16.5919433423949</v>
      </c>
      <c r="BR61" s="847">
        <f ca="1">AR61</f>
        <v>20.9674</v>
      </c>
      <c r="BS61" s="778">
        <v>17.0492462311558</v>
      </c>
      <c r="BT61" s="778">
        <v>17.0952968116963</v>
      </c>
      <c r="BU61" s="778">
        <v>19.7987982155039</v>
      </c>
      <c r="BV61" s="778">
        <v>15.924489582583</v>
      </c>
      <c r="BW61" s="848">
        <v>16.0419378163413</v>
      </c>
      <c r="BX61" s="847">
        <f ca="1">AX61</f>
        <v>11.0655</v>
      </c>
      <c r="BY61" s="778">
        <v>6.31985983894386</v>
      </c>
      <c r="BZ61" s="778">
        <v>4.93598776639412</v>
      </c>
      <c r="CA61" s="778">
        <v>17.3830038396827</v>
      </c>
      <c r="CB61" s="778">
        <v>11.7950653273586</v>
      </c>
      <c r="CC61" s="848">
        <v>10.3600924530421</v>
      </c>
      <c r="CD61" s="847">
        <f ca="1">BD61</f>
        <v>10.5108</v>
      </c>
      <c r="CE61" s="778">
        <v>7.72124573116795</v>
      </c>
      <c r="CF61" s="778">
        <v>9.00796693986612</v>
      </c>
      <c r="CG61" s="778">
        <v>12.531851583217</v>
      </c>
      <c r="CH61" s="778">
        <v>10.499869312052</v>
      </c>
      <c r="CI61" s="848">
        <v>9.63552154678311</v>
      </c>
    </row>
    <row r="62" ht="14.25" customHeight="1" spans="1:87" x14ac:dyDescent="0.25">
      <c r="A62" s="16"/>
      <c r="B62" s="16"/>
      <c r="C62" s="16" t="s">
        <v>926</v>
      </c>
      <c r="D62" s="16"/>
      <c r="E62" s="724">
        <f t="shared" ref="E62:H62" si="38" ca="1">AVERAGE(E66,E70)</f>
        <v>18.375615705208343</v>
      </c>
      <c r="F62" s="724">
        <f ca="1">AVERAGE(F66,F70)</f>
        <v>16.379830180926785</v>
      </c>
      <c r="G62" s="724">
        <f ca="1">AVERAGE(G66,G70)</f>
        <v>10.316037257276058</v>
      </c>
      <c r="H62" s="724">
        <f ca="1">AVERAGE(H66,H70)</f>
        <v>9.791613882469797</v>
      </c>
      <c r="I62" s="84">
        <f ca="1">IF(I61+1=5,1,I61+1)</f>
        <v>3</v>
      </c>
      <c r="J62" s="5">
        <f ca="1">IF(I62=1,J61+1,J61)</f>
        <v>2017</v>
      </c>
      <c r="K62" s="345" t="str">
        <f ca="1">I62&amp;"Q"&amp;RIGHT(J62,2)</f>
        <v>3Q17</v>
      </c>
      <c r="L62" s="847">
        <v>23.7671</v>
      </c>
      <c r="M62" s="778">
        <v>25.0299</v>
      </c>
      <c r="N62" s="778">
        <v>22.7024</v>
      </c>
      <c r="O62" s="778">
        <v>22.7024</v>
      </c>
      <c r="P62" s="778">
        <v>22.7024</v>
      </c>
      <c r="Q62" s="848">
        <v>22.7024</v>
      </c>
      <c r="R62" s="847">
        <v>23.0634</v>
      </c>
      <c r="S62" s="778">
        <v>24.7196</v>
      </c>
      <c r="T62" s="778">
        <v>21.7168</v>
      </c>
      <c r="U62" s="778">
        <v>21.7168</v>
      </c>
      <c r="V62" s="778">
        <v>21.7168</v>
      </c>
      <c r="W62" s="848">
        <v>21.7168</v>
      </c>
      <c r="X62" s="847">
        <v>11.6577</v>
      </c>
      <c r="Y62" s="778">
        <v>14.0095</v>
      </c>
      <c r="Z62" s="778">
        <v>12.721</v>
      </c>
      <c r="AA62" s="778">
        <v>12.721</v>
      </c>
      <c r="AB62" s="778">
        <v>12.721</v>
      </c>
      <c r="AC62" s="848">
        <v>12.721</v>
      </c>
      <c r="AD62" s="778">
        <v>11.4338</v>
      </c>
      <c r="AE62" s="778">
        <v>13.735</v>
      </c>
      <c r="AF62" s="778">
        <v>12.721</v>
      </c>
      <c r="AG62" s="778">
        <v>12.721</v>
      </c>
      <c r="AH62" s="778">
        <v>12.721</v>
      </c>
      <c r="AI62" s="848">
        <v>12.721</v>
      </c>
      <c r="AJ62" s="16"/>
      <c r="AK62" s="345" t="str">
        <f ca="1">$K62</f>
        <v>3Q17</v>
      </c>
      <c r="AL62" s="847">
        <f ca="1">L62</f>
        <v>23.7671</v>
      </c>
      <c r="AM62" s="778">
        <v>18.277944487279</v>
      </c>
      <c r="AN62" s="778">
        <v>16.3813996536363</v>
      </c>
      <c r="AO62" s="778">
        <v>17.7732866493109</v>
      </c>
      <c r="AP62" s="778">
        <v>15.9479768786127</v>
      </c>
      <c r="AQ62" s="848">
        <v>20.1666666666667</v>
      </c>
      <c r="AR62" s="847">
        <f ca="1">R62</f>
        <v>23.0634</v>
      </c>
      <c r="AS62" s="778">
        <v>18.2426962337205</v>
      </c>
      <c r="AT62" s="778">
        <v>17.0502414466249</v>
      </c>
      <c r="AU62" s="778">
        <v>16.5320018157059</v>
      </c>
      <c r="AV62" s="778">
        <v>15.6193387681159</v>
      </c>
      <c r="AW62" s="848">
        <v>11.7815789473684</v>
      </c>
      <c r="AX62" s="847">
        <f ca="1">X62</f>
        <v>11.6577</v>
      </c>
      <c r="AY62" s="778">
        <v>10.9794454706282</v>
      </c>
      <c r="AZ62" s="778">
        <v>10.0118264817743</v>
      </c>
      <c r="BA62" s="778">
        <v>10.2252500521374</v>
      </c>
      <c r="BB62" s="778">
        <v>9.40471583009277</v>
      </c>
      <c r="BC62" s="848">
        <v>8.49838859338693</v>
      </c>
      <c r="BD62" s="847">
        <f ca="1">AD62</f>
        <v>11.4338</v>
      </c>
      <c r="BE62" s="778">
        <v>10.5132240979169</v>
      </c>
      <c r="BF62" s="778">
        <v>10.2990498453441</v>
      </c>
      <c r="BG62" s="778">
        <v>10.3206996601051</v>
      </c>
      <c r="BH62" s="778">
        <v>9.32664018346695</v>
      </c>
      <c r="BI62" s="848">
        <v>7.73541989514516</v>
      </c>
      <c r="BJ62" s="16"/>
      <c r="BK62" s="345" t="str">
        <f ca="1">$K62</f>
        <v>3Q17</v>
      </c>
      <c r="BL62" s="847">
        <f ca="1">AL62</f>
        <v>23.7671</v>
      </c>
      <c r="BM62" s="778">
        <v>11.434005530168</v>
      </c>
      <c r="BN62" s="778">
        <v>11.3671274961598</v>
      </c>
      <c r="BO62" s="778">
        <v>23.189227331859</v>
      </c>
      <c r="BP62" s="778">
        <v>14.8601513451196</v>
      </c>
      <c r="BQ62" s="848">
        <v>13.7774932517532</v>
      </c>
      <c r="BR62" s="847">
        <f ca="1">AR62</f>
        <v>23.0634</v>
      </c>
      <c r="BS62" s="778">
        <v>14.0498710232158</v>
      </c>
      <c r="BT62" s="778">
        <v>13.595443689142</v>
      </c>
      <c r="BU62" s="778">
        <v>18.6196315729647</v>
      </c>
      <c r="BV62" s="778">
        <v>14.7657839073638</v>
      </c>
      <c r="BW62" s="848">
        <v>14.3278055063597</v>
      </c>
      <c r="BX62" s="847">
        <f ca="1">AX62</f>
        <v>11.6577</v>
      </c>
      <c r="BY62" s="778">
        <v>5.46453209740034</v>
      </c>
      <c r="BZ62" s="778">
        <v>3.97258403706561</v>
      </c>
      <c r="CA62" s="778">
        <v>17.6965979263424</v>
      </c>
      <c r="CB62" s="778">
        <v>10.3345445475001</v>
      </c>
      <c r="CC62" s="848">
        <v>8.87964254717651</v>
      </c>
      <c r="CD62" s="847">
        <f ca="1">BD62</f>
        <v>11.4338</v>
      </c>
      <c r="CE62" s="778">
        <v>6.61628996632126</v>
      </c>
      <c r="CF62" s="778">
        <v>7.12796614778785</v>
      </c>
      <c r="CG62" s="778">
        <v>9.52452171133684</v>
      </c>
      <c r="CH62" s="778">
        <v>9.32242854047568</v>
      </c>
      <c r="CI62" s="848">
        <v>8.64771655026807</v>
      </c>
    </row>
    <row r="63" ht="14.25" customHeight="1" spans="1:87" x14ac:dyDescent="0.25">
      <c r="A63" s="16"/>
      <c r="B63" s="16"/>
      <c r="C63" s="16" t="s">
        <v>927</v>
      </c>
      <c r="D63" s="16"/>
      <c r="E63" s="724">
        <f ca="1">AVERAGE(AM8:AQ35)</f>
        <v>19.37217418639285</v>
      </c>
      <c r="F63" s="724">
        <f ca="1">AVERAGE(AS8:AW35)</f>
        <v>16.69867055372992</v>
      </c>
      <c r="G63" s="724">
        <f ca="1">AVERAGE(AY8:BC35)</f>
        <v>9.62343980262861</v>
      </c>
      <c r="H63" s="724">
        <f ca="1">AVERAGE(BE8:BI35)</f>
        <v>8.299118515323439</v>
      </c>
      <c r="I63" s="84">
        <f ca="1">IF(I62=4,1,I62+1)</f>
        <v>4</v>
      </c>
      <c r="J63" s="5">
        <f ca="1">IF(I63=1,J62+1,J62)</f>
        <v>2017</v>
      </c>
      <c r="K63" s="345" t="str">
        <f ca="1">I63&amp;"Q"&amp;RIGHT(J63,2)</f>
        <v>4Q17</v>
      </c>
      <c r="L63" s="847">
        <v>22.8282</v>
      </c>
      <c r="M63" s="778">
        <v>24.6712</v>
      </c>
      <c r="N63" s="778">
        <v>25.0299</v>
      </c>
      <c r="O63" s="778">
        <v>25.0299</v>
      </c>
      <c r="P63" s="778">
        <v>25.0299</v>
      </c>
      <c r="Q63" s="848">
        <v>25.0299</v>
      </c>
      <c r="R63" s="847">
        <v>18.947</v>
      </c>
      <c r="S63" s="778">
        <v>21.5314</v>
      </c>
      <c r="T63" s="778">
        <v>24.7196</v>
      </c>
      <c r="U63" s="778">
        <v>24.7196</v>
      </c>
      <c r="V63" s="778">
        <v>24.7196</v>
      </c>
      <c r="W63" s="848">
        <v>24.7196</v>
      </c>
      <c r="X63" s="847">
        <v>12.1863</v>
      </c>
      <c r="Y63" s="778">
        <v>13.6599</v>
      </c>
      <c r="Z63" s="778">
        <v>14.0095</v>
      </c>
      <c r="AA63" s="778">
        <v>14.0095</v>
      </c>
      <c r="AB63" s="778">
        <v>14.0095</v>
      </c>
      <c r="AC63" s="848">
        <v>14.0095</v>
      </c>
      <c r="AD63" s="778">
        <v>10.1705</v>
      </c>
      <c r="AE63" s="778">
        <v>12.4144</v>
      </c>
      <c r="AF63" s="778">
        <v>14.0095</v>
      </c>
      <c r="AG63" s="778">
        <v>14.0095</v>
      </c>
      <c r="AH63" s="778">
        <v>14.0095</v>
      </c>
      <c r="AI63" s="848">
        <v>14.0095</v>
      </c>
      <c r="AJ63" s="16"/>
      <c r="AK63" s="345" t="str">
        <f ca="1">$K63</f>
        <v>4Q17</v>
      </c>
      <c r="AL63" s="847">
        <f ca="1">L63</f>
        <v>22.8282</v>
      </c>
      <c r="AM63" s="778">
        <v>19.615028752299</v>
      </c>
      <c r="AN63" s="778">
        <v>18.7613513578504</v>
      </c>
      <c r="AO63" s="778">
        <v>20.3668719163684</v>
      </c>
      <c r="AP63" s="778">
        <v>14.7496426411567</v>
      </c>
      <c r="AQ63" s="848">
        <v>17.234896180104</v>
      </c>
      <c r="AR63" s="847">
        <f ca="1">R63</f>
        <v>18.947</v>
      </c>
      <c r="AS63" s="778">
        <v>19.1136343631723</v>
      </c>
      <c r="AT63" s="778">
        <v>19.1607469048102</v>
      </c>
      <c r="AU63" s="778">
        <v>18.625486090338</v>
      </c>
      <c r="AV63" s="778">
        <v>15.184611983197</v>
      </c>
      <c r="AW63" s="848">
        <v>13.1473684210526</v>
      </c>
      <c r="AX63" s="847">
        <f ca="1">X63</f>
        <v>12.1863</v>
      </c>
      <c r="AY63" s="778">
        <v>13.2211502199879</v>
      </c>
      <c r="AZ63" s="778">
        <v>10.8983183864816</v>
      </c>
      <c r="BA63" s="778">
        <v>11.4742241395507</v>
      </c>
      <c r="BB63" s="778">
        <v>9.2205540111037</v>
      </c>
      <c r="BC63" s="848">
        <v>9.31182324640591</v>
      </c>
      <c r="BD63" s="847">
        <f ca="1">AD63</f>
        <v>10.1705</v>
      </c>
      <c r="BE63" s="778">
        <v>11.1083674198787</v>
      </c>
      <c r="BF63" s="778">
        <v>10.8722348425467</v>
      </c>
      <c r="BG63" s="778">
        <v>10.7747774030119</v>
      </c>
      <c r="BH63" s="778">
        <v>9.13900902168595</v>
      </c>
      <c r="BI63" s="848">
        <v>8.28239172079743</v>
      </c>
      <c r="BJ63" s="16"/>
      <c r="BK63" s="345" t="str">
        <f ca="1">$K63</f>
        <v>4Q17</v>
      </c>
      <c r="BL63" s="847">
        <f ca="1">AL63</f>
        <v>22.8282</v>
      </c>
      <c r="BM63" s="778">
        <v>13.0477246062308</v>
      </c>
      <c r="BN63" s="778">
        <v>13.0830374054452</v>
      </c>
      <c r="BO63" s="778">
        <v>30.3985335335335</v>
      </c>
      <c r="BP63" s="778">
        <v>15.1654976430214</v>
      </c>
      <c r="BQ63" s="848">
        <v>16.4267964532346</v>
      </c>
      <c r="BR63" s="847">
        <f ca="1">AR63</f>
        <v>18.947</v>
      </c>
      <c r="BS63" s="778">
        <v>14.8416684865691</v>
      </c>
      <c r="BT63" s="778">
        <v>18.0734597156398</v>
      </c>
      <c r="BU63" s="778">
        <v>23.1577580123743</v>
      </c>
      <c r="BV63" s="778">
        <v>16.1584549974664</v>
      </c>
      <c r="BW63" s="848">
        <v>15.3246131759451</v>
      </c>
      <c r="BX63" s="847">
        <f ca="1">AX63</f>
        <v>12.1863</v>
      </c>
      <c r="BY63" s="778">
        <v>6.33942479775392</v>
      </c>
      <c r="BZ63" s="778">
        <v>5.39930137609857</v>
      </c>
      <c r="CA63" s="778">
        <v>29.4939880182529</v>
      </c>
      <c r="CB63" s="778">
        <v>10.9915068013633</v>
      </c>
      <c r="CC63" s="848">
        <v>10.9432052907012</v>
      </c>
      <c r="CD63" s="847">
        <f ca="1">BD63</f>
        <v>10.1705</v>
      </c>
      <c r="CE63" s="778">
        <v>7.18808379009993</v>
      </c>
      <c r="CF63" s="778">
        <v>11.0027159130296</v>
      </c>
      <c r="CG63" s="778">
        <v>17.9260231275582</v>
      </c>
      <c r="CH63" s="778">
        <v>9.8729907958619</v>
      </c>
      <c r="CI63" s="848">
        <v>9.02738412772735</v>
      </c>
    </row>
    <row r="64" ht="14.25" customHeight="1" spans="1:87" x14ac:dyDescent="0.25">
      <c r="A64" s="16"/>
      <c r="B64" s="16"/>
      <c r="C64" s="16" t="s">
        <v>928</v>
      </c>
      <c r="D64" s="16"/>
      <c r="E64" s="724">
        <f ca="1">AVERAGE(AM8:AQ19)</f>
        <v>22.394953041679578</v>
      </c>
      <c r="F64" s="724">
        <f ca="1">AVERAGE(AS8:AW19)</f>
        <v>19.063007806196822</v>
      </c>
      <c r="G64" s="724">
        <f ca="1">AVERAGE(AY8:BC19)</f>
        <v>10.384988120065191</v>
      </c>
      <c r="H64" s="724">
        <f ca="1">AVERAGE(BE8:BI19)</f>
      </c>
      <c r="I64" s="84">
        <f ca="1">I60</f>
        <v>1</v>
      </c>
      <c r="J64" s="5">
        <f ca="1">IF(I64=1,J63+1,J63)</f>
        <v>2018</v>
      </c>
      <c r="K64" s="345" t="str">
        <f ca="1">I64&amp;"Q"&amp;RIGHT(J64,2)</f>
        <v>1Q18</v>
      </c>
      <c r="L64" s="847">
        <v>22.6977</v>
      </c>
      <c r="M64" s="778">
        <v>22.4615</v>
      </c>
      <c r="N64" s="778">
        <v>24.6712</v>
      </c>
      <c r="O64" s="778">
        <v>24.6712</v>
      </c>
      <c r="P64" s="778">
        <v>24.6712</v>
      </c>
      <c r="Q64" s="848">
        <v>24.6712</v>
      </c>
      <c r="R64" s="847">
        <v>19.6452</v>
      </c>
      <c r="S64" s="778">
        <v>20.2361</v>
      </c>
      <c r="T64" s="778">
        <v>21.5314</v>
      </c>
      <c r="U64" s="778">
        <v>21.5314</v>
      </c>
      <c r="V64" s="778">
        <v>21.5314</v>
      </c>
      <c r="W64" s="848">
        <v>21.5314</v>
      </c>
      <c r="X64" s="847">
        <v>11.7067</v>
      </c>
      <c r="Y64" s="778">
        <v>12.4771</v>
      </c>
      <c r="Z64" s="778">
        <v>13.6599</v>
      </c>
      <c r="AA64" s="778">
        <v>13.6599</v>
      </c>
      <c r="AB64" s="778">
        <v>13.6599</v>
      </c>
      <c r="AC64" s="848">
        <v>13.6599</v>
      </c>
      <c r="AD64" s="778">
        <v>10.1634</v>
      </c>
      <c r="AE64" s="778">
        <v>11.605</v>
      </c>
      <c r="AF64" s="778">
        <v>13.6599</v>
      </c>
      <c r="AG64" s="778">
        <v>13.6599</v>
      </c>
      <c r="AH64" s="778">
        <v>13.6599</v>
      </c>
      <c r="AI64" s="848">
        <v>13.6599</v>
      </c>
      <c r="AJ64" s="16"/>
      <c r="AK64" s="345" t="str">
        <f ca="1">$K64</f>
        <v>1Q18</v>
      </c>
      <c r="AL64" s="847">
        <f ca="1">L64</f>
        <v>22.6977</v>
      </c>
      <c r="AM64" s="778">
        <v>19.997181435646</v>
      </c>
      <c r="AN64" s="778">
        <v>18.5234169124132</v>
      </c>
      <c r="AO64" s="778">
        <v>20.0561270625894</v>
      </c>
      <c r="AP64" s="778">
        <v>14.1064396750783</v>
      </c>
      <c r="AQ64" s="848">
        <v>17.5591716486648</v>
      </c>
      <c r="AR64" s="847">
        <f ca="1">R64</f>
        <v>19.6452</v>
      </c>
      <c r="AS64" s="778">
        <v>18.771186440678</v>
      </c>
      <c r="AT64" s="778">
        <v>19.3715740015662</v>
      </c>
      <c r="AU64" s="778">
        <v>17.4289368959636</v>
      </c>
      <c r="AV64" s="778">
        <v>14.0337570772353</v>
      </c>
      <c r="AW64" s="848">
        <v>13.0179028132992</v>
      </c>
      <c r="AX64" s="847">
        <f ca="1">X64</f>
        <v>11.7067</v>
      </c>
      <c r="AY64" s="778">
        <v>13.616533231839</v>
      </c>
      <c r="AZ64" s="778">
        <v>11.6710392592365</v>
      </c>
      <c r="BA64" s="778">
        <v>11.2373280992404</v>
      </c>
      <c r="BB64" s="778">
        <v>8.56363917869938</v>
      </c>
      <c r="BC64" s="848">
        <v>9.4807678314934</v>
      </c>
      <c r="BD64" s="847">
        <f ca="1">AD64</f>
        <v>10.1634</v>
      </c>
      <c r="BE64" s="778">
        <v>11.3551193037914</v>
      </c>
      <c r="BF64" s="778">
        <v>11.8464347473426</v>
      </c>
      <c r="BG64" s="778">
        <v>10.6119302617015</v>
      </c>
      <c r="BH64" s="778">
        <v>8.65438152874439</v>
      </c>
      <c r="BI64" s="848">
        <v>8.23791084216744</v>
      </c>
      <c r="BJ64" s="16"/>
      <c r="BK64" s="345" t="str">
        <f ca="1">$K64</f>
        <v>1Q18</v>
      </c>
      <c r="BL64" s="847">
        <f ca="1">AL64</f>
        <v>22.6977</v>
      </c>
      <c r="BM64" s="778">
        <v>19.3842278637006</v>
      </c>
      <c r="BN64" s="778">
        <v>13.9084771978835</v>
      </c>
      <c r="BO64" s="778">
        <v>33.2283092526121</v>
      </c>
      <c r="BP64" s="778">
        <v>16.0444901612988</v>
      </c>
      <c r="BQ64" s="848">
        <v>17.1915824104522</v>
      </c>
      <c r="BR64" s="847">
        <f ca="1">AR64</f>
        <v>19.6452</v>
      </c>
      <c r="BS64" s="778">
        <v>20.9756097560976</v>
      </c>
      <c r="BT64" s="778">
        <v>18.8101636941119</v>
      </c>
      <c r="BU64" s="778">
        <v>20.2774930364963</v>
      </c>
      <c r="BV64" s="778">
        <v>16.1550617991588</v>
      </c>
      <c r="BW64" s="848">
        <v>15.4</v>
      </c>
      <c r="BX64" s="847">
        <f ca="1">AX64</f>
        <v>11.7067</v>
      </c>
      <c r="BY64" s="778">
        <v>8.81085885582038</v>
      </c>
      <c r="BZ64" s="778">
        <v>5.73087440673644</v>
      </c>
      <c r="CA64" s="778">
        <v>31.5176125920062</v>
      </c>
      <c r="CB64" s="778">
        <v>11.8960133684471</v>
      </c>
      <c r="CC64" s="848">
        <v>11.3467411692216</v>
      </c>
      <c r="CD64" s="847">
        <f ca="1">BD64</f>
        <v>10.1634</v>
      </c>
      <c r="CE64" s="778">
        <v>8.60068479534296</v>
      </c>
      <c r="CF64" s="778">
        <v>11.0552448111699</v>
      </c>
      <c r="CG64" s="778">
        <v>18.195775926978</v>
      </c>
      <c r="CH64" s="778">
        <v>10.8988073314454</v>
      </c>
      <c r="CI64" s="848">
        <v>9.39712296346382</v>
      </c>
    </row>
    <row r="65" ht="14.25" customHeight="1" spans="1:87" x14ac:dyDescent="0.25">
      <c r="A65" s="16"/>
      <c r="B65" s="16"/>
      <c r="C65" s="16" t="s">
        <v>929</v>
      </c>
      <c r="D65" s="16"/>
      <c r="E65" s="724">
        <f ca="1">AVERAGE(AM16:AQ27)</f>
        <v>19.262472338714346</v>
      </c>
      <c r="F65" s="724">
        <f ca="1">AVERAGE(AS16:AW27)</f>
        <v>17.294949146403418</v>
      </c>
      <c r="G65" s="724">
        <f ca="1">AVERAGE(AY16:BC27)</f>
        <v>9.817765530907938</v>
      </c>
      <c r="H65" s="724">
        <f ca="1">AVERAGE(BE16:BI27)</f>
        <v>8.656236152701716</v>
      </c>
      <c r="I65" s="84">
        <f ca="1">IF(I64=4,1,I64+1)</f>
        <v>2</v>
      </c>
      <c r="J65" s="5">
        <f ca="1">IF(I65=1,J64+1,J64)</f>
        <v>2018</v>
      </c>
      <c r="K65" s="345" t="str">
        <f ca="1">I65&amp;"Q"&amp;RIGHT(J65,2)</f>
        <v>2Q18</v>
      </c>
      <c r="L65" s="847">
        <v>20.0393</v>
      </c>
      <c r="M65" s="778">
        <v>21.9201</v>
      </c>
      <c r="N65" s="778">
        <v>22.4615</v>
      </c>
      <c r="O65" s="778">
        <v>22.4615</v>
      </c>
      <c r="P65" s="778">
        <v>22.4615</v>
      </c>
      <c r="Q65" s="848">
        <v>22.4615</v>
      </c>
      <c r="R65" s="847">
        <v>17.9493</v>
      </c>
      <c r="S65" s="778">
        <v>20.3318</v>
      </c>
      <c r="T65" s="778">
        <v>20.2361</v>
      </c>
      <c r="U65" s="778">
        <v>20.2361</v>
      </c>
      <c r="V65" s="778">
        <v>20.2361</v>
      </c>
      <c r="W65" s="848">
        <v>20.2361</v>
      </c>
      <c r="X65" s="847">
        <v>11.0237</v>
      </c>
      <c r="Y65" s="778">
        <v>12.0196</v>
      </c>
      <c r="Z65" s="778">
        <v>12.4771</v>
      </c>
      <c r="AA65" s="778">
        <v>12.4771</v>
      </c>
      <c r="AB65" s="778">
        <v>12.4771</v>
      </c>
      <c r="AC65" s="848">
        <v>12.4771</v>
      </c>
      <c r="AD65" s="778">
        <v>9.6944</v>
      </c>
      <c r="AE65" s="778">
        <v>11.5698</v>
      </c>
      <c r="AF65" s="778">
        <v>12.4771</v>
      </c>
      <c r="AG65" s="778">
        <v>12.4771</v>
      </c>
      <c r="AH65" s="778">
        <v>12.4771</v>
      </c>
      <c r="AI65" s="848">
        <v>12.4771</v>
      </c>
      <c r="AJ65" s="16"/>
      <c r="AK65" s="345" t="str">
        <f ca="1">$K65</f>
        <v>2Q18</v>
      </c>
      <c r="AL65" s="847">
        <f ca="1">L65</f>
        <v>20.0393</v>
      </c>
      <c r="AM65" s="778">
        <v>22.4753291670761</v>
      </c>
      <c r="AN65" s="778">
        <v>20.5933531682246</v>
      </c>
      <c r="AO65" s="778">
        <v>22.0344570609292</v>
      </c>
      <c r="AP65" s="778">
        <v>15.0484698200582</v>
      </c>
      <c r="AQ65" s="848">
        <v>17.710061951419</v>
      </c>
      <c r="AR65" s="847">
        <f ca="1">R65</f>
        <v>17.9493</v>
      </c>
      <c r="AS65" s="778">
        <v>20.9585339076092</v>
      </c>
      <c r="AT65" s="778">
        <v>20.7874310296456</v>
      </c>
      <c r="AU65" s="778">
        <v>19.0193060996083</v>
      </c>
      <c r="AV65" s="778">
        <v>14.6337362059905</v>
      </c>
      <c r="AW65" s="848">
        <v>13.4704370179949</v>
      </c>
      <c r="AX65" s="847">
        <f ca="1">X65</f>
        <v>11.0237</v>
      </c>
      <c r="AY65" s="778">
        <v>14.9640761354733</v>
      </c>
      <c r="AZ65" s="778">
        <v>13.0378810681472</v>
      </c>
      <c r="BA65" s="778">
        <v>13.237373175453</v>
      </c>
      <c r="BB65" s="778">
        <v>9.442933434653</v>
      </c>
      <c r="BC65" s="848">
        <v>9.66265067327401</v>
      </c>
      <c r="BD65" s="847">
        <f ca="1">AD65</f>
        <v>9.6944</v>
      </c>
      <c r="BE65" s="778">
        <v>12.7003470026881</v>
      </c>
      <c r="BF65" s="778">
        <v>13.2737408297492</v>
      </c>
      <c r="BG65" s="778">
        <v>11.9112839944216</v>
      </c>
      <c r="BH65" s="778">
        <v>9.298047334579</v>
      </c>
      <c r="BI65" s="848">
        <v>8.67811593573978</v>
      </c>
      <c r="BJ65" s="16"/>
      <c r="BK65" s="345" t="str">
        <f ca="1">$K65</f>
        <v>2Q18</v>
      </c>
      <c r="BL65" s="847">
        <f ca="1">AL65</f>
        <v>20.0393</v>
      </c>
      <c r="BM65" s="778">
        <v>20.8351025718613</v>
      </c>
      <c r="BN65" s="778">
        <v>15.761428299699</v>
      </c>
      <c r="BO65" s="778">
        <v>32.4832851404415</v>
      </c>
      <c r="BP65" s="778">
        <v>16.1655282015733</v>
      </c>
      <c r="BQ65" s="848">
        <v>17.8036123538146</v>
      </c>
      <c r="BR65" s="847">
        <f ca="1">AR65</f>
        <v>17.9493</v>
      </c>
      <c r="BS65" s="778">
        <v>21.3368983957219</v>
      </c>
      <c r="BT65" s="778">
        <v>20.8168507577704</v>
      </c>
      <c r="BU65" s="778">
        <v>20.1064412438538</v>
      </c>
      <c r="BV65" s="778">
        <v>16.6346587750649</v>
      </c>
      <c r="BW65" s="848">
        <v>15.6780308821281</v>
      </c>
      <c r="BX65" s="847">
        <f ca="1">AX65</f>
        <v>11.0237</v>
      </c>
      <c r="BY65" s="778">
        <v>9.59620619474839</v>
      </c>
      <c r="BZ65" s="778">
        <v>5.11271417938661</v>
      </c>
      <c r="CA65" s="778">
        <v>26.051184266847</v>
      </c>
      <c r="CB65" s="778">
        <v>12.257617505758</v>
      </c>
      <c r="CC65" s="848">
        <v>11.6439186851917</v>
      </c>
      <c r="CD65" s="847">
        <f ca="1">BD65</f>
        <v>9.6944</v>
      </c>
      <c r="CE65" s="778">
        <v>9.44670346922164</v>
      </c>
      <c r="CF65" s="778">
        <v>9.34153896504469</v>
      </c>
      <c r="CG65" s="778">
        <v>17.7225201444995</v>
      </c>
      <c r="CH65" s="778">
        <v>11.4820845836601</v>
      </c>
      <c r="CI65" s="848">
        <v>9.58550665782812</v>
      </c>
    </row>
    <row r="66" ht="14.25" customHeight="1" spans="1:87" x14ac:dyDescent="0.25">
      <c r="A66" s="16"/>
      <c r="B66" s="16"/>
      <c r="C66" s="16" t="s">
        <v>930</v>
      </c>
      <c r="D66" s="16"/>
      <c r="E66" s="724">
        <f ca="1">AVERAGE(AM24:AQ35)</f>
        <v>17.224511078395345</v>
      </c>
      <c r="F66" s="724">
        <f ca="1">AVERAGE(AS24:AW35)</f>
        <v>14.896640295870613</v>
      </c>
      <c r="G66" s="724">
        <f ca="1">AVERAGE(AY24:BC35)</f>
        <v>8.930783889608419</v>
      </c>
      <c r="H66" s="724">
        <f ca="1">AVERAGE(BE24:BI35)</f>
        <v>8.288132003821932</v>
      </c>
      <c r="I66" s="84">
        <f ca="1">IF(I65+1=5,1,I65+1)</f>
        <v>3</v>
      </c>
      <c r="J66" s="5">
        <f ca="1">IF(I66=1,J65+1,J65)</f>
        <v>2018</v>
      </c>
      <c r="K66" s="345" t="str">
        <f ca="1">I66&amp;"Q"&amp;RIGHT(J66,2)</f>
        <v>3Q18</v>
      </c>
      <c r="L66" s="847">
        <v>19.0098</v>
      </c>
      <c r="M66" s="778">
        <v>21.9</v>
      </c>
      <c r="N66" s="778">
        <v>21.9201</v>
      </c>
      <c r="O66" s="778">
        <v>21.9201</v>
      </c>
      <c r="P66" s="778">
        <v>21.9201</v>
      </c>
      <c r="Q66" s="848">
        <v>21.9201</v>
      </c>
      <c r="R66" s="847">
        <v>18.037</v>
      </c>
      <c r="S66" s="778">
        <v>21.1383</v>
      </c>
      <c r="T66" s="778">
        <v>20.3318</v>
      </c>
      <c r="U66" s="778">
        <v>20.3318</v>
      </c>
      <c r="V66" s="778">
        <v>20.3318</v>
      </c>
      <c r="W66" s="848">
        <v>20.3318</v>
      </c>
      <c r="X66" s="847">
        <v>11.528</v>
      </c>
      <c r="Y66" s="778">
        <v>12.1732</v>
      </c>
      <c r="Z66" s="778">
        <v>12.0196</v>
      </c>
      <c r="AA66" s="778">
        <v>12.0196</v>
      </c>
      <c r="AB66" s="778">
        <v>12.0196</v>
      </c>
      <c r="AC66" s="848">
        <v>12.0196</v>
      </c>
      <c r="AD66" s="778">
        <v>9.8883</v>
      </c>
      <c r="AE66" s="778">
        <v>12.0319</v>
      </c>
      <c r="AF66" s="778">
        <v>12.0196</v>
      </c>
      <c r="AG66" s="778">
        <v>12.0196</v>
      </c>
      <c r="AH66" s="778">
        <v>12.0196</v>
      </c>
      <c r="AI66" s="848">
        <v>12.0196</v>
      </c>
      <c r="AJ66" s="16"/>
      <c r="AK66" s="345" t="str">
        <f ca="1">$K66</f>
        <v>3Q18</v>
      </c>
      <c r="AL66" s="847">
        <f ca="1">L66</f>
        <v>19.0098</v>
      </c>
      <c r="AM66" s="778">
        <v>20.2185342524169</v>
      </c>
      <c r="AN66" s="778">
        <v>18.7777991734784</v>
      </c>
      <c r="AO66" s="778">
        <v>19.449682429963</v>
      </c>
      <c r="AP66" s="778">
        <v>16.5720222908439</v>
      </c>
      <c r="AQ66" s="848">
        <v>17.710061951419</v>
      </c>
      <c r="AR66" s="847">
        <f ca="1">R66</f>
        <v>18.037</v>
      </c>
      <c r="AS66" s="778">
        <v>19.8855246785566</v>
      </c>
      <c r="AT66" s="778">
        <v>19.3392389044563</v>
      </c>
      <c r="AU66" s="778">
        <v>18.3909754120508</v>
      </c>
      <c r="AV66" s="778">
        <v>15.9416418370492</v>
      </c>
      <c r="AW66" s="848">
        <v>13.3333333333333</v>
      </c>
      <c r="AX66" s="847">
        <f ca="1">X66</f>
        <v>11.528</v>
      </c>
      <c r="AY66" s="778">
        <v>13.1266307559514</v>
      </c>
      <c r="AZ66" s="778">
        <v>12.3867992139277</v>
      </c>
      <c r="BA66" s="778">
        <v>11.4662626507386</v>
      </c>
      <c r="BB66" s="778">
        <v>10.68778808114</v>
      </c>
      <c r="BC66" s="848">
        <v>9.66678091753156</v>
      </c>
      <c r="BD66" s="847">
        <f ca="1">AD66</f>
        <v>9.8883</v>
      </c>
      <c r="BE66" s="778">
        <v>12.4195386896497</v>
      </c>
      <c r="BF66" s="778">
        <v>12.6633183328757</v>
      </c>
      <c r="BG66" s="778">
        <v>11.5418562781193</v>
      </c>
      <c r="BH66" s="778">
        <v>10.2055491446263</v>
      </c>
      <c r="BI66" s="848">
        <v>8.58308292297046</v>
      </c>
      <c r="BJ66" s="16"/>
      <c r="BK66" s="345" t="str">
        <f ca="1">$K66</f>
        <v>3Q18</v>
      </c>
      <c r="BL66" s="847">
        <f ca="1">AL66</f>
        <v>19.0098</v>
      </c>
      <c r="BM66" s="778">
        <v>25.8159566866585</v>
      </c>
      <c r="BN66" s="778">
        <v>17.0264463502361</v>
      </c>
      <c r="BO66" s="778">
        <v>29.0251668717398</v>
      </c>
      <c r="BP66" s="778">
        <v>16.2119049357539</v>
      </c>
      <c r="BQ66" s="848">
        <v>17.3509445420435</v>
      </c>
      <c r="BR66" s="847">
        <f ca="1">AR66</f>
        <v>18.037</v>
      </c>
      <c r="BS66" s="778">
        <v>25.1758366420873</v>
      </c>
      <c r="BT66" s="778">
        <v>19.871944121071</v>
      </c>
      <c r="BU66" s="778">
        <v>18.9310282367021</v>
      </c>
      <c r="BV66" s="778">
        <v>16.6382797367085</v>
      </c>
      <c r="BW66" s="848">
        <v>15.468940316687</v>
      </c>
      <c r="BX66" s="847">
        <f ca="1">AX66</f>
        <v>11.528</v>
      </c>
      <c r="BY66" s="778">
        <v>12.1990038422253</v>
      </c>
      <c r="BZ66" s="778">
        <v>5.03332491979714</v>
      </c>
      <c r="CA66" s="778">
        <v>24.0965972999172</v>
      </c>
      <c r="CB66" s="778">
        <v>12.3276969312074</v>
      </c>
      <c r="CC66" s="848">
        <v>11.5890282932563</v>
      </c>
      <c r="CD66" s="847">
        <f ca="1">BD66</f>
        <v>9.8883</v>
      </c>
      <c r="CE66" s="778">
        <v>10.9486870372588</v>
      </c>
      <c r="CF66" s="778">
        <v>8.42518492172013</v>
      </c>
      <c r="CG66" s="778">
        <v>16.1964084418045</v>
      </c>
      <c r="CH66" s="778">
        <v>11.2866211924263</v>
      </c>
      <c r="CI66" s="848">
        <v>9.39984198094617</v>
      </c>
    </row>
    <row r="67" ht="14.25" customHeight="1" spans="1:87" x14ac:dyDescent="0.25">
      <c r="A67" s="16"/>
      <c r="B67" s="16"/>
      <c r="C67" s="16" t="s">
        <v>931</v>
      </c>
      <c r="D67" s="16"/>
      <c r="E67" s="724">
        <f ca="1">AVERAGE(AM36:AQ75)</f>
        <v>16.187707655771675</v>
      </c>
      <c r="F67" s="724">
        <f ca="1">AVERAGE(AS36:AW75)</f>
        <v>13.567451413503498</v>
      </c>
      <c r="G67" s="724">
        <f ca="1">AVERAGE(AY36:BC75)</f>
        <v>8.694266415086647</v>
      </c>
      <c r="H67" s="724">
        <f ca="1">AVERAGE(BE36:BI75)</f>
        <v>8.227833653954802</v>
      </c>
      <c r="I67" s="84">
        <f ca="1">IF(I66=4,1,I66+1)</f>
        <v>4</v>
      </c>
      <c r="J67" s="5">
        <f ca="1">IF(I67=1,J66+1,J66)</f>
        <v>2018</v>
      </c>
      <c r="K67" s="345" t="str">
        <f ca="1">I67&amp;"Q"&amp;RIGHT(J67,2)</f>
        <v>4Q18</v>
      </c>
      <c r="L67" s="847">
        <v>20.4963</v>
      </c>
      <c r="M67" s="778">
        <v>23.0381</v>
      </c>
      <c r="N67" s="778">
        <v>21.9</v>
      </c>
      <c r="O67" s="778">
        <v>21.9</v>
      </c>
      <c r="P67" s="778">
        <v>21.9</v>
      </c>
      <c r="Q67" s="848">
        <v>21.9</v>
      </c>
      <c r="R67" s="847">
        <v>17.7559</v>
      </c>
      <c r="S67" s="778">
        <v>20.4356</v>
      </c>
      <c r="T67" s="778">
        <v>21.1383</v>
      </c>
      <c r="U67" s="778">
        <v>21.1383</v>
      </c>
      <c r="V67" s="778">
        <v>21.1383</v>
      </c>
      <c r="W67" s="848">
        <v>21.1383</v>
      </c>
      <c r="X67" s="847">
        <v>11.641</v>
      </c>
      <c r="Y67" s="778">
        <v>12.8368</v>
      </c>
      <c r="Z67" s="778">
        <v>12.1732</v>
      </c>
      <c r="AA67" s="778">
        <v>12.1732</v>
      </c>
      <c r="AB67" s="778">
        <v>12.1732</v>
      </c>
      <c r="AC67" s="848">
        <v>12.1732</v>
      </c>
      <c r="AD67" s="778">
        <v>10.2113</v>
      </c>
      <c r="AE67" s="778">
        <v>12.1057</v>
      </c>
      <c r="AF67" s="778">
        <v>12.1732</v>
      </c>
      <c r="AG67" s="778">
        <v>12.1732</v>
      </c>
      <c r="AH67" s="778">
        <v>12.1732</v>
      </c>
      <c r="AI67" s="848">
        <v>12.1732</v>
      </c>
      <c r="AJ67" s="16"/>
      <c r="AK67" s="345" t="str">
        <f ca="1">$K67</f>
        <v>4Q18</v>
      </c>
      <c r="AL67" s="847">
        <f ca="1">L67</f>
        <v>20.4963</v>
      </c>
      <c r="AM67" s="778">
        <v>20.6688097373794</v>
      </c>
      <c r="AN67" s="778">
        <v>15.9005325905884</v>
      </c>
      <c r="AO67" s="778">
        <v>20.3173920023305</v>
      </c>
      <c r="AP67" s="778">
        <v>20.0069524913094</v>
      </c>
      <c r="AQ67" s="848">
        <v>20.5307092900158</v>
      </c>
      <c r="AR67" s="847">
        <f ca="1">R67</f>
        <v>17.7559</v>
      </c>
      <c r="AS67" s="778">
        <v>20.4015998693984</v>
      </c>
      <c r="AT67" s="778">
        <v>19.8956372968349</v>
      </c>
      <c r="AU67" s="778">
        <v>19.1117092866756</v>
      </c>
      <c r="AV67" s="778">
        <v>17.6399673069064</v>
      </c>
      <c r="AW67" s="848">
        <v>14.7506234413965</v>
      </c>
      <c r="AX67" s="847">
        <f ca="1">X67</f>
        <v>11.641</v>
      </c>
      <c r="AY67" s="778">
        <v>12.0747234053077</v>
      </c>
      <c r="AZ67" s="778">
        <v>12.1950184249163</v>
      </c>
      <c r="BA67" s="778">
        <v>11.5692583860062</v>
      </c>
      <c r="BB67" s="778">
        <v>12.9286714914712</v>
      </c>
      <c r="BC67" s="848">
        <v>10.2228268024595</v>
      </c>
      <c r="BD67" s="847">
        <f ca="1">AD67</f>
        <v>10.2113</v>
      </c>
      <c r="BE67" s="778">
        <v>11.8871481239925</v>
      </c>
      <c r="BF67" s="778">
        <v>11.9642585493331</v>
      </c>
      <c r="BG67" s="778">
        <v>11.817655580723</v>
      </c>
      <c r="BH67" s="778">
        <v>11.2019939501488</v>
      </c>
      <c r="BI67" s="848">
        <v>8.84252885876577</v>
      </c>
      <c r="BJ67" s="16"/>
      <c r="BK67" s="345" t="str">
        <f ca="1">$K67</f>
        <v>4Q18</v>
      </c>
      <c r="BL67" s="847">
        <f ca="1">AL67</f>
        <v>20.4963</v>
      </c>
      <c r="BM67" s="778">
        <v>28.0660341670828</v>
      </c>
      <c r="BN67" s="778">
        <v>21.3074203339458</v>
      </c>
      <c r="BO67" s="778">
        <v>26.8891031283749</v>
      </c>
      <c r="BP67" s="778">
        <v>16.4232739479797</v>
      </c>
      <c r="BQ67" s="848">
        <v>17.1725751374574</v>
      </c>
      <c r="BR67" s="847">
        <f ca="1">AR67</f>
        <v>17.7559</v>
      </c>
      <c r="BS67" s="778">
        <v>28.4565817735502</v>
      </c>
      <c r="BT67" s="778">
        <v>23.0824372759857</v>
      </c>
      <c r="BU67" s="778">
        <v>20.3453075954454</v>
      </c>
      <c r="BV67" s="778">
        <v>16.8010938278978</v>
      </c>
      <c r="BW67" s="848">
        <v>16.6116078193666</v>
      </c>
      <c r="BX67" s="847">
        <f ca="1">AX67</f>
        <v>11.641</v>
      </c>
      <c r="BY67" s="778">
        <v>13.7639728827608</v>
      </c>
      <c r="BZ67" s="778">
        <v>7.55049031920011</v>
      </c>
      <c r="CA67" s="778">
        <v>23.1210793402323</v>
      </c>
      <c r="CB67" s="778">
        <v>12.2357248665092</v>
      </c>
      <c r="CC67" s="848">
        <v>10.7451877747124</v>
      </c>
      <c r="CD67" s="847">
        <f ca="1">BD67</f>
        <v>10.2113</v>
      </c>
      <c r="CE67" s="778">
        <v>11.1463692074734</v>
      </c>
      <c r="CF67" s="778">
        <v>12.6304413193167</v>
      </c>
      <c r="CG67" s="778">
        <v>16.374575188528</v>
      </c>
      <c r="CH67" s="778">
        <v>10.8915082737996</v>
      </c>
      <c r="CI67" s="848">
        <v>10.1995281174228</v>
      </c>
    </row>
    <row r="68" ht="14.25" customHeight="1" spans="1:87" x14ac:dyDescent="0.25">
      <c r="A68" s="16"/>
      <c r="B68" s="16"/>
      <c r="C68" s="16" t="s">
        <v>932</v>
      </c>
      <c r="D68" s="16"/>
      <c r="E68" s="724">
        <f ca="1">AVERAGE(AM36:AQ51)</f>
        <v>10.627759634939974</v>
      </c>
      <c r="F68" s="724">
        <f ca="1">AVERAGE(AS36:AW51)</f>
        <v>9.435799649405848</v>
      </c>
      <c r="G68" s="724">
        <f ca="1">AVERAGE(AY36:BC51)</f>
        <v>5.631387839905361</v>
      </c>
      <c r="H68" s="724">
        <f ca="1">AVERAGE(BE36:BI51)</f>
        <v>5.4314602700251715</v>
      </c>
      <c r="I68" s="84">
        <f ca="1">I64</f>
        <v>1</v>
      </c>
      <c r="J68" s="5">
        <f ca="1">IF(I68=1,J67+1,J67)</f>
        <v>2019</v>
      </c>
      <c r="K68" s="345" t="str">
        <f ca="1">I68&amp;"Q"&amp;RIGHT(J68,2)</f>
        <v>1Q19</v>
      </c>
      <c r="L68" s="847">
        <v>18.5863</v>
      </c>
      <c r="M68" s="778">
        <v>23.2306</v>
      </c>
      <c r="N68" s="778">
        <v>23.0338</v>
      </c>
      <c r="O68" s="778">
        <v>23.0338</v>
      </c>
      <c r="P68" s="778">
        <v>23.0338</v>
      </c>
      <c r="Q68" s="848">
        <v>23.0338</v>
      </c>
      <c r="R68" s="847">
        <v>16.6911</v>
      </c>
      <c r="S68" s="778">
        <v>21.1849</v>
      </c>
      <c r="T68" s="778">
        <v>20.4356</v>
      </c>
      <c r="U68" s="778">
        <v>20.4356</v>
      </c>
      <c r="V68" s="778">
        <v>20.4356</v>
      </c>
      <c r="W68" s="848">
        <v>20.4356</v>
      </c>
      <c r="X68" s="847">
        <v>10.719</v>
      </c>
      <c r="Y68" s="778">
        <v>12.9227</v>
      </c>
      <c r="Z68" s="778">
        <v>12.8368</v>
      </c>
      <c r="AA68" s="778">
        <v>12.8368</v>
      </c>
      <c r="AB68" s="778">
        <v>12.8368</v>
      </c>
      <c r="AC68" s="848">
        <v>12.8368</v>
      </c>
      <c r="AD68" s="778">
        <v>9.4314</v>
      </c>
      <c r="AE68" s="778">
        <v>12.3409</v>
      </c>
      <c r="AF68" s="778">
        <v>12.8368</v>
      </c>
      <c r="AG68" s="778">
        <v>12.8368</v>
      </c>
      <c r="AH68" s="778">
        <v>12.8368</v>
      </c>
      <c r="AI68" s="848">
        <v>12.8368</v>
      </c>
      <c r="AJ68" s="16"/>
      <c r="AK68" s="345" t="str">
        <f ca="1">$K68</f>
        <v>1Q19</v>
      </c>
      <c r="AL68" s="847">
        <f ca="1">L68</f>
        <v>18.5863</v>
      </c>
      <c r="AM68" s="778">
        <v>21.5919408806849</v>
      </c>
      <c r="AN68" s="778">
        <v>16.3220713054363</v>
      </c>
      <c r="AO68" s="778">
        <v>20.9216903189234</v>
      </c>
      <c r="AP68" s="778">
        <v>20.7308970099668</v>
      </c>
      <c r="AQ68" s="848">
        <v>22.3008972423248</v>
      </c>
      <c r="AR68" s="847">
        <f ca="1">R68</f>
        <v>16.6911</v>
      </c>
      <c r="AS68" s="778">
        <v>21.1090952118009</v>
      </c>
      <c r="AT68" s="778">
        <v>20.0168321831342</v>
      </c>
      <c r="AU68" s="778">
        <v>20.5969746083198</v>
      </c>
      <c r="AV68" s="778">
        <v>19.1940941248847</v>
      </c>
      <c r="AW68" s="848">
        <v>14.7025171624714</v>
      </c>
      <c r="AX68" s="847">
        <f ca="1">X68</f>
        <v>10.719</v>
      </c>
      <c r="AY68" s="778">
        <v>12.2299186581744</v>
      </c>
      <c r="AZ68" s="778">
        <v>12.2332703953318</v>
      </c>
      <c r="BA68" s="778">
        <v>11.5069141760127</v>
      </c>
      <c r="BB68" s="778">
        <v>13.5947942570683</v>
      </c>
      <c r="BC68" s="848">
        <v>11.0410116059098</v>
      </c>
      <c r="BD68" s="847">
        <f ca="1">AD68</f>
        <v>9.4314</v>
      </c>
      <c r="BE68" s="778">
        <v>12.6639328350543</v>
      </c>
      <c r="BF68" s="778">
        <v>12.5960409466614</v>
      </c>
      <c r="BG68" s="778">
        <v>12.3328687695918</v>
      </c>
      <c r="BH68" s="778">
        <v>12.4744740331326</v>
      </c>
      <c r="BI68" s="848">
        <v>9.49871843920386</v>
      </c>
      <c r="BJ68" s="16"/>
      <c r="BK68" s="345" t="str">
        <f ca="1">$K68</f>
        <v>1Q19</v>
      </c>
      <c r="BL68" s="847">
        <f ca="1">AL68</f>
        <v>18.5863</v>
      </c>
      <c r="BM68" s="778">
        <v>23.6974210277568</v>
      </c>
      <c r="BN68" s="778">
        <v>23.5895257824892</v>
      </c>
      <c r="BO68" s="778">
        <v>25.7915588945533</v>
      </c>
      <c r="BP68" s="778">
        <v>17.3070234376427</v>
      </c>
      <c r="BQ68" s="848">
        <v>17.53752845101</v>
      </c>
      <c r="BR68" s="847">
        <f ca="1">AR68</f>
        <v>16.6911</v>
      </c>
      <c r="BS68" s="778">
        <v>29.6168582375479</v>
      </c>
      <c r="BT68" s="778">
        <v>22.7455077308817</v>
      </c>
      <c r="BU68" s="778">
        <v>17.6495944054221</v>
      </c>
      <c r="BV68" s="778">
        <v>16.9873599113953</v>
      </c>
      <c r="BW68" s="848">
        <v>17.1286826438712</v>
      </c>
      <c r="BX68" s="847">
        <f ca="1">AX68</f>
        <v>10.719</v>
      </c>
      <c r="BY68" s="778">
        <v>13.8194579192422</v>
      </c>
      <c r="BZ68" s="778">
        <v>7.99421889014724</v>
      </c>
      <c r="CA68" s="778">
        <v>22.0261974275927</v>
      </c>
      <c r="CB68" s="778">
        <v>13.3849672643896</v>
      </c>
      <c r="CC68" s="848">
        <v>10.5374575768322</v>
      </c>
      <c r="CD68" s="847">
        <f ca="1">BD68</f>
        <v>9.4314</v>
      </c>
      <c r="CE68" s="778">
        <v>10.8109945315616</v>
      </c>
      <c r="CF68" s="778">
        <v>11.5073082924952</v>
      </c>
      <c r="CG68" s="778">
        <v>16.0718960793361</v>
      </c>
      <c r="CH68" s="778">
        <v>11.6798602720559</v>
      </c>
      <c r="CI68" s="848">
        <v>10.218256912726</v>
      </c>
    </row>
    <row r="69" ht="14.25" customHeight="1" spans="1:87" x14ac:dyDescent="0.25">
      <c r="A69" s="16"/>
      <c r="B69" s="16"/>
      <c r="C69" s="16" t="s">
        <v>933</v>
      </c>
      <c r="D69" s="16"/>
      <c r="E69" s="724">
        <f ca="1">AVERAGE(AM48:AQ63)</f>
        <v>17.08643071906176</v>
      </c>
      <c r="F69" s="724">
        <f ca="1">AVERAGE(AS48:AW63)</f>
        <v>13.060402390627019</v>
      </c>
      <c r="G69" s="724">
        <f ca="1">AVERAGE(AY48:BC63)</f>
        <v>8.389008918524613</v>
      </c>
      <c r="H69" s="724">
        <f ca="1">AVERAGE(BE48:BI63)</f>
        <v>7.678384205247906</v>
      </c>
      <c r="I69" s="84">
        <f ca="1">IF(I68=4,1,I68+1)</f>
        <v>2</v>
      </c>
      <c r="J69" s="5">
        <f ca="1">IF(I69=1,J68+1,J68)</f>
        <v>2019</v>
      </c>
      <c r="K69" s="345" t="str">
        <f ca="1">I69&amp;"Q"&amp;RIGHT(J69,2)</f>
        <v>2Q19</v>
      </c>
      <c r="L69" s="847">
        <v>18.0924</v>
      </c>
      <c r="M69" s="778">
        <v>23.5074</v>
      </c>
      <c r="N69" s="778">
        <v>23.2264</v>
      </c>
      <c r="O69" s="778">
        <v>23.2264</v>
      </c>
      <c r="P69" s="778">
        <v>23.2264</v>
      </c>
      <c r="Q69" s="848">
        <v>23.2264</v>
      </c>
      <c r="R69" s="847">
        <v>17.7763</v>
      </c>
      <c r="S69" s="778">
        <v>22.3473</v>
      </c>
      <c r="T69" s="778">
        <v>21.1849</v>
      </c>
      <c r="U69" s="778">
        <v>21.1849</v>
      </c>
      <c r="V69" s="778">
        <v>21.1849</v>
      </c>
      <c r="W69" s="848">
        <v>21.1849</v>
      </c>
      <c r="X69" s="847">
        <v>10.4598</v>
      </c>
      <c r="Y69" s="778">
        <v>13.2519</v>
      </c>
      <c r="Z69" s="778">
        <v>12.9227</v>
      </c>
      <c r="AA69" s="778">
        <v>12.9227</v>
      </c>
      <c r="AB69" s="778">
        <v>12.9227</v>
      </c>
      <c r="AC69" s="848">
        <v>12.9227</v>
      </c>
      <c r="AD69" s="778">
        <v>9.8543</v>
      </c>
      <c r="AE69" s="778">
        <v>12.8606</v>
      </c>
      <c r="AF69" s="778">
        <v>12.9227</v>
      </c>
      <c r="AG69" s="778">
        <v>12.9227</v>
      </c>
      <c r="AH69" s="778">
        <v>12.9227</v>
      </c>
      <c r="AI69" s="848">
        <v>12.9227</v>
      </c>
      <c r="AJ69" s="16"/>
      <c r="AK69" s="345" t="str">
        <f ca="1">$K69</f>
        <v>2Q19</v>
      </c>
      <c r="AL69" s="847">
        <f ca="1">L69</f>
        <v>18.0924</v>
      </c>
      <c r="AM69" s="778">
        <v>21.7844169029372</v>
      </c>
      <c r="AN69" s="778">
        <v>17.2500685406486</v>
      </c>
      <c r="AO69" s="778">
        <v>22.1205479452055</v>
      </c>
      <c r="AP69" s="778">
        <v>21.5795206971678</v>
      </c>
      <c r="AQ69" s="848">
        <v>18.7367829520415</v>
      </c>
      <c r="AR69" s="847">
        <f ca="1">R69</f>
        <v>17.7763</v>
      </c>
      <c r="AS69" s="778">
        <v>22.1397240609299</v>
      </c>
      <c r="AT69" s="778">
        <v>20.8148868888348</v>
      </c>
      <c r="AU69" s="778">
        <v>21.5594125500668</v>
      </c>
      <c r="AV69" s="778">
        <v>20.2039775624681</v>
      </c>
      <c r="AW69" s="848">
        <v>14.4305239179954</v>
      </c>
      <c r="AX69" s="847">
        <f ca="1">X69</f>
        <v>10.4598</v>
      </c>
      <c r="AY69" s="778">
        <v>12.0202300603609</v>
      </c>
      <c r="AZ69" s="778">
        <v>12.6144758164482</v>
      </c>
      <c r="BA69" s="778">
        <v>11.7393095004713</v>
      </c>
      <c r="BB69" s="778">
        <v>14.2659952164131</v>
      </c>
      <c r="BC69" s="848">
        <v>10.3526050422766</v>
      </c>
      <c r="BD69" s="847">
        <f ca="1">AD69</f>
        <v>9.8543</v>
      </c>
      <c r="BE69" s="778">
        <v>13.3289772635557</v>
      </c>
      <c r="BF69" s="778">
        <v>13.1897408687117</v>
      </c>
      <c r="BG69" s="778">
        <v>12.8497335792121</v>
      </c>
      <c r="BH69" s="778">
        <v>13.133248032386</v>
      </c>
      <c r="BI69" s="848">
        <v>9.40870102313227</v>
      </c>
      <c r="BJ69" s="16"/>
      <c r="BK69" s="345" t="str">
        <f ca="1">$K69</f>
        <v>2Q19</v>
      </c>
      <c r="BL69" s="847">
        <f ca="1">AL69</f>
        <v>18.0924</v>
      </c>
      <c r="BM69" s="778">
        <v>24.742040170703</v>
      </c>
      <c r="BN69" s="778">
        <v>24.0214920341708</v>
      </c>
      <c r="BO69" s="778">
        <v>23.4933771233793</v>
      </c>
      <c r="BP69" s="778">
        <v>18.0285981640464</v>
      </c>
      <c r="BQ69" s="848">
        <v>18.3791047444912</v>
      </c>
      <c r="BR69" s="847">
        <f ca="1">AR69</f>
        <v>17.7763</v>
      </c>
      <c r="BS69" s="778">
        <v>25.9627929451558</v>
      </c>
      <c r="BT69" s="778">
        <v>19.6392817416177</v>
      </c>
      <c r="BU69" s="778">
        <v>15.870049091687</v>
      </c>
      <c r="BV69" s="778">
        <v>18.0227065984269</v>
      </c>
      <c r="BW69" s="848">
        <v>18.5239684466019</v>
      </c>
      <c r="BX69" s="847">
        <f ca="1">AX69</f>
        <v>10.4598</v>
      </c>
      <c r="BY69" s="778">
        <v>14.3264244041204</v>
      </c>
      <c r="BZ69" s="778">
        <v>7.1606597322999</v>
      </c>
      <c r="CA69" s="778">
        <v>25.6475468440842</v>
      </c>
      <c r="CB69" s="778">
        <v>14.752252083434</v>
      </c>
      <c r="CC69" s="848">
        <v>11.3109397504525</v>
      </c>
      <c r="CD69" s="847">
        <f ca="1">BD69</f>
        <v>9.8543</v>
      </c>
      <c r="CE69" s="778">
        <v>11.112001785687</v>
      </c>
      <c r="CF69" s="778">
        <v>11.7841043437958</v>
      </c>
      <c r="CG69" s="778">
        <v>15.9469374086928</v>
      </c>
      <c r="CH69" s="778">
        <v>12.6190343687216</v>
      </c>
      <c r="CI69" s="848">
        <v>10.944111913627</v>
      </c>
    </row>
    <row r="70" ht="14.25" customHeight="1" spans="1:87" x14ac:dyDescent="0.25">
      <c r="A70" s="16"/>
      <c r="B70" s="16"/>
      <c r="C70" s="16" t="s">
        <v>934</v>
      </c>
      <c r="D70" s="16"/>
      <c r="E70" s="724">
        <f ca="1">AVERAGE(AM60:AQ75)</f>
        <v>19.52672033202134</v>
      </c>
      <c r="F70" s="724">
        <f ca="1">AVERAGE(AS60:AW75)</f>
        <v>17.86302006598296</v>
      </c>
      <c r="G70" s="724">
        <f ca="1">AVERAGE(AY60:BC75)</f>
        <v>11.701290624943695</v>
      </c>
      <c r="H70" s="724">
        <f ca="1">AVERAGE(BE60:BI75)</f>
        <v>11.295095761117661</v>
      </c>
      <c r="I70" s="84">
        <f ca="1">IF(I69+1=5,1,I69+1)</f>
        <v>3</v>
      </c>
      <c r="J70" s="5">
        <f ca="1">IF(I70=1,J69+1,J69)</f>
        <v>2019</v>
      </c>
      <c r="K70" s="345" t="str">
        <f ca="1">I70&amp;"Q"&amp;RIGHT(J70,2)</f>
        <v>3Q19</v>
      </c>
      <c r="L70" s="847">
        <v>20.4988</v>
      </c>
      <c r="M70" s="778">
        <v>26.3762</v>
      </c>
      <c r="N70" s="778">
        <v>23.5034</v>
      </c>
      <c r="O70" s="778">
        <v>23.5034</v>
      </c>
      <c r="P70" s="778">
        <v>23.5034</v>
      </c>
      <c r="Q70" s="848">
        <v>23.5034</v>
      </c>
      <c r="R70" s="847">
        <v>20.3905</v>
      </c>
      <c r="S70" s="778">
        <v>25.5569</v>
      </c>
      <c r="T70" s="778">
        <v>22.3473</v>
      </c>
      <c r="U70" s="778">
        <v>22.3473</v>
      </c>
      <c r="V70" s="778">
        <v>22.3473</v>
      </c>
      <c r="W70" s="848">
        <v>22.3473</v>
      </c>
      <c r="X70" s="847">
        <v>11.1172</v>
      </c>
      <c r="Y70" s="778">
        <v>14.7932</v>
      </c>
      <c r="Z70" s="778">
        <v>13.2519</v>
      </c>
      <c r="AA70" s="778">
        <v>13.2519</v>
      </c>
      <c r="AB70" s="778">
        <v>13.2519</v>
      </c>
      <c r="AC70" s="848">
        <v>13.2519</v>
      </c>
      <c r="AD70" s="778">
        <v>11.2417</v>
      </c>
      <c r="AE70" s="778">
        <v>14.6108</v>
      </c>
      <c r="AF70" s="778">
        <v>13.2519</v>
      </c>
      <c r="AG70" s="778">
        <v>13.2519</v>
      </c>
      <c r="AH70" s="778">
        <v>13.2519</v>
      </c>
      <c r="AI70" s="848">
        <v>13.2519</v>
      </c>
      <c r="AJ70" s="16"/>
      <c r="AK70" s="345" t="str">
        <f ca="1">$K70</f>
        <v>3Q19</v>
      </c>
      <c r="AL70" s="847">
        <f ca="1">L70</f>
        <v>20.4988</v>
      </c>
      <c r="AM70" s="778">
        <v>24.2456302934027</v>
      </c>
      <c r="AN70" s="778">
        <v>18.9268554528184</v>
      </c>
      <c r="AO70" s="778">
        <v>25.1117092866756</v>
      </c>
      <c r="AP70" s="778">
        <v>22.0107066381156</v>
      </c>
      <c r="AQ70" s="848">
        <v>18.6776297304092</v>
      </c>
      <c r="AR70" s="847">
        <f ca="1">R70</f>
        <v>20.3905</v>
      </c>
      <c r="AS70" s="778">
        <v>24.5599176824442</v>
      </c>
      <c r="AT70" s="778">
        <v>22.8985276561878</v>
      </c>
      <c r="AU70" s="778">
        <v>24.5758693361433</v>
      </c>
      <c r="AV70" s="778">
        <v>20.9839746861284</v>
      </c>
      <c r="AW70" s="848">
        <v>14.7202797202797</v>
      </c>
      <c r="AX70" s="847">
        <f ca="1">X70</f>
        <v>11.1172</v>
      </c>
      <c r="AY70" s="778">
        <v>12.9700972455721</v>
      </c>
      <c r="AZ70" s="778">
        <v>13.7961004266903</v>
      </c>
      <c r="BA70" s="778">
        <v>12.5893754769231</v>
      </c>
      <c r="BB70" s="778">
        <v>14.538753651645</v>
      </c>
      <c r="BC70" s="848">
        <v>10.3251758897163</v>
      </c>
      <c r="BD70" s="847">
        <f ca="1">AD70</f>
        <v>11.2417</v>
      </c>
      <c r="BE70" s="778">
        <v>14.4037001752278</v>
      </c>
      <c r="BF70" s="778">
        <v>14.5728760844369</v>
      </c>
      <c r="BG70" s="778">
        <v>14.6792074636279</v>
      </c>
      <c r="BH70" s="778">
        <v>13.6358243911247</v>
      </c>
      <c r="BI70" s="848">
        <v>9.46012259866141</v>
      </c>
      <c r="BJ70" s="16"/>
      <c r="BK70" s="345" t="str">
        <f ca="1">$K70</f>
        <v>3Q19</v>
      </c>
      <c r="BL70" s="847">
        <f ca="1">AL70</f>
        <v>20.4988</v>
      </c>
      <c r="BM70" s="778">
        <v>22.9110920659941</v>
      </c>
      <c r="BN70" s="778">
        <v>22.684546980981</v>
      </c>
      <c r="BO70" s="778">
        <v>23.0472722740321</v>
      </c>
      <c r="BP70" s="778">
        <v>18.5624804884841</v>
      </c>
      <c r="BQ70" s="848">
        <v>17.196000181915</v>
      </c>
      <c r="BR70" s="847">
        <f ca="1">AR70</f>
        <v>20.3905</v>
      </c>
      <c r="BS70" s="778">
        <v>24.1967403958091</v>
      </c>
      <c r="BT70" s="778">
        <v>19.2504598405886</v>
      </c>
      <c r="BU70" s="778">
        <v>14.9761977139175</v>
      </c>
      <c r="BV70" s="778">
        <v>19.154446768158</v>
      </c>
      <c r="BW70" s="848">
        <v>17.6816450875857</v>
      </c>
      <c r="BX70" s="847">
        <f ca="1">AX70</f>
        <v>11.1172</v>
      </c>
      <c r="BY70" s="778">
        <v>13.6676931552284</v>
      </c>
      <c r="BZ70" s="778">
        <v>7.45034129457223</v>
      </c>
      <c r="CA70" s="778">
        <v>30.1140879312756</v>
      </c>
      <c r="CB70" s="778">
        <v>15.5163968058044</v>
      </c>
      <c r="CC70" s="848">
        <v>11.1544756048268</v>
      </c>
      <c r="CD70" s="847">
        <f ca="1">BD70</f>
        <v>11.2417</v>
      </c>
      <c r="CE70" s="778">
        <v>11.2664306736894</v>
      </c>
      <c r="CF70" s="778">
        <v>12.2155263486962</v>
      </c>
      <c r="CG70" s="778">
        <v>15.5063637404971</v>
      </c>
      <c r="CH70" s="778">
        <v>13.3370545414741</v>
      </c>
      <c r="CI70" s="848">
        <v>10.5691443030444</v>
      </c>
    </row>
    <row r="71" ht="14.25" customHeight="1" spans="1:87" x14ac:dyDescent="0.25">
      <c r="A71" s="16"/>
      <c r="B71" s="16"/>
      <c r="C71" s="16"/>
      <c r="D71" s="16"/>
      <c r="E71" s="16"/>
      <c r="F71" s="16"/>
      <c r="G71" s="16"/>
      <c r="H71" s="16"/>
      <c r="I71" s="84">
        <f ca="1">IF(I70=4,1,I70+1)</f>
        <v>4</v>
      </c>
      <c r="J71" s="5">
        <f ca="1">IF(I71=1,J70+1,J70)</f>
        <v>2019</v>
      </c>
      <c r="K71" s="345" t="str">
        <f ca="1">I71&amp;"Q"&amp;RIGHT(J71,2)</f>
        <v>4Q19</v>
      </c>
      <c r="L71" s="847">
        <v>19.7102</v>
      </c>
      <c r="M71" s="778">
        <v>24.1229</v>
      </c>
      <c r="N71" s="778">
        <v>26.3719</v>
      </c>
      <c r="O71" s="778">
        <v>26.3719</v>
      </c>
      <c r="P71" s="778">
        <v>26.3719</v>
      </c>
      <c r="Q71" s="848">
        <v>26.3719</v>
      </c>
      <c r="R71" s="847">
        <v>15.9545</v>
      </c>
      <c r="S71" s="778">
        <v>18.8974</v>
      </c>
      <c r="T71" s="778">
        <v>25.5569</v>
      </c>
      <c r="U71" s="778">
        <v>25.5569</v>
      </c>
      <c r="V71" s="778">
        <v>25.5569</v>
      </c>
      <c r="W71" s="848">
        <v>25.5569</v>
      </c>
      <c r="X71" s="847">
        <v>10.9166</v>
      </c>
      <c r="Y71" s="778">
        <v>13.7194</v>
      </c>
      <c r="Z71" s="778">
        <v>14.7932</v>
      </c>
      <c r="AA71" s="778">
        <v>14.7932</v>
      </c>
      <c r="AB71" s="778">
        <v>14.7932</v>
      </c>
      <c r="AC71" s="848">
        <v>14.7932</v>
      </c>
      <c r="AD71" s="778">
        <v>10.8542</v>
      </c>
      <c r="AE71" s="778">
        <v>12.8467</v>
      </c>
      <c r="AF71" s="778">
        <v>14.7932</v>
      </c>
      <c r="AG71" s="778">
        <v>14.7932</v>
      </c>
      <c r="AH71" s="778">
        <v>14.7932</v>
      </c>
      <c r="AI71" s="848">
        <v>14.7932</v>
      </c>
      <c r="AJ71" s="16"/>
      <c r="AK71" s="345" t="str">
        <f ca="1">$K71</f>
        <v>4Q19</v>
      </c>
      <c r="AL71" s="847">
        <f ca="1">L71</f>
        <v>19.7102</v>
      </c>
      <c r="AM71" s="778">
        <v>24.5982132219553</v>
      </c>
      <c r="AN71" s="778">
        <v>21.8626218691042</v>
      </c>
      <c r="AO71" s="778">
        <v>24.9480221869395</v>
      </c>
      <c r="AP71" s="778">
        <v>21.303664921466</v>
      </c>
      <c r="AQ71" s="848">
        <v>22.0380377300437</v>
      </c>
      <c r="AR71" s="847">
        <f ca="1">R71</f>
        <v>15.9545</v>
      </c>
      <c r="AS71" s="778">
        <v>24.5001526251526</v>
      </c>
      <c r="AT71" s="778">
        <v>23.2895735316436</v>
      </c>
      <c r="AU71" s="778">
        <v>24.6166950596252</v>
      </c>
      <c r="AV71" s="778">
        <v>20.70737913486</v>
      </c>
      <c r="AW71" s="848">
        <v>13.4192037470726</v>
      </c>
      <c r="AX71" s="847">
        <f ca="1">X71</f>
        <v>10.9166</v>
      </c>
      <c r="AY71" s="778">
        <v>13.0409382554541</v>
      </c>
      <c r="AZ71" s="778">
        <v>15.5527575607632</v>
      </c>
      <c r="BA71" s="778">
        <v>11.8107075820958</v>
      </c>
      <c r="BB71" s="778">
        <v>13.2019857913941</v>
      </c>
      <c r="BC71" s="848">
        <v>9.3627293419853</v>
      </c>
      <c r="BD71" s="847">
        <f ca="1">AD71</f>
        <v>10.8542</v>
      </c>
      <c r="BE71" s="778">
        <v>14.3633208455077</v>
      </c>
      <c r="BF71" s="778">
        <v>13.5977377549885</v>
      </c>
      <c r="BG71" s="778">
        <v>13.6092786505394</v>
      </c>
      <c r="BH71" s="778">
        <v>12.6617017462373</v>
      </c>
      <c r="BI71" s="848">
        <v>8.08378705222728</v>
      </c>
      <c r="BJ71" s="16"/>
      <c r="BK71" s="345" t="str">
        <f ca="1">$K71</f>
        <v>4Q19</v>
      </c>
      <c r="BL71" s="847">
        <f ca="1">AL71</f>
        <v>19.7102</v>
      </c>
      <c r="BM71" s="778">
        <v>22.9411991646364</v>
      </c>
      <c r="BN71" s="778">
        <v>25.1826307908707</v>
      </c>
      <c r="BO71" s="778">
        <v>742.467994422803</v>
      </c>
      <c r="BP71" s="778">
        <v>51.5397345560592</v>
      </c>
      <c r="BQ71" s="848">
        <v>18.7735294559135</v>
      </c>
      <c r="BR71" s="847">
        <f ca="1">AR71</f>
        <v>15.9545</v>
      </c>
      <c r="BS71" s="778">
        <v>24.4120836560806</v>
      </c>
      <c r="BT71" s="778">
        <v>19.3150684931507</v>
      </c>
      <c r="BU71" s="778">
        <v>15.7500816244131</v>
      </c>
      <c r="BV71" s="778">
        <v>20.6897066816639</v>
      </c>
      <c r="BW71" s="848">
        <v>19.2529429520072</v>
      </c>
      <c r="BX71" s="847">
        <f ca="1">AX71</f>
        <v>10.9166</v>
      </c>
      <c r="BY71" s="778">
        <v>12.8627005385798</v>
      </c>
      <c r="BZ71" s="778">
        <v>8.35257679501803</v>
      </c>
      <c r="CA71" s="778">
        <v>24.2403751473379</v>
      </c>
      <c r="CB71" s="778">
        <v>16.7295227167314</v>
      </c>
      <c r="CC71" s="848">
        <v>11.7565902366369</v>
      </c>
      <c r="CD71" s="847">
        <f ca="1">BD71</f>
        <v>10.8542</v>
      </c>
      <c r="CE71" s="778">
        <v>10.5916795781224</v>
      </c>
      <c r="CF71" s="778">
        <v>10.7911630214727</v>
      </c>
      <c r="CG71" s="778">
        <v>13.760511897776</v>
      </c>
      <c r="CH71" s="778">
        <v>13.3151035628192</v>
      </c>
      <c r="CI71" s="848">
        <v>11.1186982090238</v>
      </c>
    </row>
    <row r="72" ht="14.25" customHeight="1" spans="1:87" x14ac:dyDescent="0.25">
      <c r="A72" s="264" t="s">
        <v>1</v>
      </c>
      <c r="B72" s="16"/>
      <c r="C72" s="836" t="str">
        <f ca="1">Comparables!S90</f>
        <v>Cap. Goods Peer Group</v>
      </c>
      <c r="D72" s="110"/>
      <c r="E72" s="110"/>
      <c r="F72" s="110"/>
      <c r="G72" s="110"/>
      <c r="H72" s="111"/>
      <c r="I72" s="84">
        <f ca="1">I68</f>
        <v>1</v>
      </c>
      <c r="J72" s="5">
        <f ca="1">IF(I72=1,J71+1,J71)</f>
        <v>2020</v>
      </c>
      <c r="K72" s="345" t="str">
        <f ca="1">I72&amp;"Q"&amp;RIGHT(J72,2)</f>
        <v>1Q20</v>
      </c>
      <c r="L72" s="847">
        <v>20.7337</v>
      </c>
      <c r="M72" s="778">
        <v>25.0166</v>
      </c>
      <c r="N72" s="778">
        <v>24.1229</v>
      </c>
      <c r="O72" s="778">
        <v>24.1229</v>
      </c>
      <c r="P72" s="778">
        <v>24.1229</v>
      </c>
      <c r="Q72" s="848">
        <v>24.1229</v>
      </c>
      <c r="R72" s="847">
        <v>17.539</v>
      </c>
      <c r="S72" s="778">
        <v>20.6674</v>
      </c>
      <c r="T72" s="778">
        <v>18.8974</v>
      </c>
      <c r="U72" s="778">
        <v>18.8974</v>
      </c>
      <c r="V72" s="778">
        <v>18.8974</v>
      </c>
      <c r="W72" s="848">
        <v>18.8974</v>
      </c>
      <c r="X72" s="847">
        <v>11.4662</v>
      </c>
      <c r="Y72" s="778">
        <v>14.7155</v>
      </c>
      <c r="Z72" s="778">
        <v>13.7194</v>
      </c>
      <c r="AA72" s="778">
        <v>13.7194</v>
      </c>
      <c r="AB72" s="778">
        <v>13.7194</v>
      </c>
      <c r="AC72" s="848">
        <v>13.7194</v>
      </c>
      <c r="AD72" s="778">
        <v>11.3381</v>
      </c>
      <c r="AE72" s="778">
        <v>13.9605</v>
      </c>
      <c r="AF72" s="778">
        <v>13.7194</v>
      </c>
      <c r="AG72" s="778">
        <v>13.7194</v>
      </c>
      <c r="AH72" s="778">
        <v>13.7194</v>
      </c>
      <c r="AI72" s="848">
        <v>13.7194</v>
      </c>
      <c r="AJ72" s="16"/>
      <c r="AK72" s="345" t="str">
        <f ca="1">$K72</f>
        <v>1Q20</v>
      </c>
      <c r="AL72" s="847">
        <f ca="1">L72</f>
        <v>20.7337</v>
      </c>
      <c r="AM72" s="778">
        <v>24.1509383260948</v>
      </c>
      <c r="AN72" s="778">
        <v>22.0227858117546</v>
      </c>
      <c r="AO72" s="778">
        <v>26.9786634548615</v>
      </c>
      <c r="AP72" s="778">
        <v>22.7263374485597</v>
      </c>
      <c r="AQ72" s="848">
        <v>22.3611084402223</v>
      </c>
      <c r="AR72" s="847">
        <f ca="1">R72</f>
        <v>17.539</v>
      </c>
      <c r="AS72" s="778">
        <v>21.6760744066709</v>
      </c>
      <c r="AT72" s="778">
        <v>22.4139702105804</v>
      </c>
      <c r="AU72" s="778">
        <v>22.2540730047432</v>
      </c>
      <c r="AV72" s="778">
        <v>19.7144132083891</v>
      </c>
      <c r="AW72" s="848">
        <v>13.3655172413793</v>
      </c>
      <c r="AX72" s="847">
        <f ca="1">X72</f>
        <v>11.4662</v>
      </c>
      <c r="AY72" s="778">
        <v>13.1406935347941</v>
      </c>
      <c r="AZ72" s="778">
        <v>17.7530299203028</v>
      </c>
      <c r="BA72" s="778">
        <v>13.3347745275671</v>
      </c>
      <c r="BB72" s="778">
        <v>14.6630133422256</v>
      </c>
      <c r="BC72" s="848">
        <v>9.50060170826765</v>
      </c>
      <c r="BD72" s="847">
        <f ca="1">AD72</f>
        <v>11.3381</v>
      </c>
      <c r="BE72" s="778">
        <v>13.4225475232659</v>
      </c>
      <c r="BF72" s="778">
        <v>15.691728942063</v>
      </c>
      <c r="BG72" s="778">
        <v>13.1858626537768</v>
      </c>
      <c r="BH72" s="778">
        <v>14.2275973172747</v>
      </c>
      <c r="BI72" s="848">
        <v>8.7443957905331</v>
      </c>
      <c r="BJ72" s="16"/>
      <c r="BK72" s="345" t="str">
        <f ca="1">$K72</f>
        <v>1Q20</v>
      </c>
      <c r="BL72" s="847">
        <f ca="1">AL72</f>
        <v>20.7337</v>
      </c>
      <c r="BM72" s="778">
        <v>17.5267411238021</v>
      </c>
      <c r="BN72" s="778">
        <v>22.2618223649331</v>
      </c>
      <c r="BO72" s="778">
        <v>649.507211629073</v>
      </c>
      <c r="BP72" s="778">
        <v>42.8914940993145</v>
      </c>
      <c r="BQ72" s="848">
        <v>17.7342126112493</v>
      </c>
      <c r="BR72" s="847">
        <f ca="1">AR72</f>
        <v>17.539</v>
      </c>
      <c r="BS72" s="778">
        <v>16.1123865748333</v>
      </c>
      <c r="BT72" s="778">
        <v>16.481324278438</v>
      </c>
      <c r="BU72" s="778">
        <v>13.6540241011591</v>
      </c>
      <c r="BV72" s="778">
        <v>17.3537435803074</v>
      </c>
      <c r="BW72" s="848">
        <v>17.7736968498375</v>
      </c>
      <c r="BX72" s="847">
        <f ca="1">AX72</f>
        <v>11.4662</v>
      </c>
      <c r="BY72" s="778">
        <v>9.86145266460381</v>
      </c>
      <c r="BZ72" s="778">
        <v>8.91440884436263</v>
      </c>
      <c r="CA72" s="778"/>
      <c r="CB72" s="778">
        <v>15.2716598940273</v>
      </c>
      <c r="CC72" s="848">
        <v>11.9371984794053</v>
      </c>
      <c r="CD72" s="847">
        <f ca="1">BD72</f>
        <v>11.3381</v>
      </c>
      <c r="CE72" s="778">
        <v>9.01207187211989</v>
      </c>
      <c r="CF72" s="778">
        <v>10.9906442092482</v>
      </c>
      <c r="CG72" s="778">
        <v>11.7410015531219</v>
      </c>
      <c r="CH72" s="778">
        <v>12.4278117827672</v>
      </c>
      <c r="CI72" s="848">
        <v>11.2409200860146</v>
      </c>
    </row>
    <row r="73" ht="14.25" customHeight="1" spans="1:87" x14ac:dyDescent="0.25">
      <c r="A73" s="16"/>
      <c r="B73" s="16"/>
      <c r="C73" s="846" t="s">
        <v>921</v>
      </c>
      <c r="D73" s="846"/>
      <c r="E73" s="846"/>
      <c r="F73" s="846"/>
      <c r="G73" s="846"/>
      <c r="H73" s="846"/>
      <c r="I73" s="84">
        <f ca="1">IF(I72=4,1,I72+1)</f>
        <v>2</v>
      </c>
      <c r="J73" s="5">
        <f ca="1">IF(I73=1,J72+1,J72)</f>
        <v>2020</v>
      </c>
      <c r="K73" s="345" t="str">
        <f ca="1">I73&amp;"Q"&amp;RIGHT(J73,2)</f>
        <v>2Q20</v>
      </c>
      <c r="L73" s="847">
        <v>21.4403</v>
      </c>
      <c r="M73" s="778">
        <v>24.0905</v>
      </c>
      <c r="N73" s="778">
        <v>25.0166</v>
      </c>
      <c r="O73" s="778">
        <v>25.0166</v>
      </c>
      <c r="P73" s="778">
        <v>25.0166</v>
      </c>
      <c r="Q73" s="848">
        <v>25.0166</v>
      </c>
      <c r="R73" s="847">
        <v>22.3038</v>
      </c>
      <c r="S73" s="778">
        <v>21.6232</v>
      </c>
      <c r="T73" s="778">
        <v>20.6674</v>
      </c>
      <c r="U73" s="778">
        <v>20.6674</v>
      </c>
      <c r="V73" s="778">
        <v>20.6674</v>
      </c>
      <c r="W73" s="848">
        <v>20.6674</v>
      </c>
      <c r="X73" s="847">
        <v>13.5961</v>
      </c>
      <c r="Y73" s="778">
        <v>15.0067</v>
      </c>
      <c r="Z73" s="778">
        <v>14.7155</v>
      </c>
      <c r="AA73" s="778">
        <v>14.7155</v>
      </c>
      <c r="AB73" s="778">
        <v>14.7155</v>
      </c>
      <c r="AC73" s="848">
        <v>14.7155</v>
      </c>
      <c r="AD73" s="778">
        <v>13.8093</v>
      </c>
      <c r="AE73" s="778">
        <v>14.5523</v>
      </c>
      <c r="AF73" s="778">
        <v>14.7155</v>
      </c>
      <c r="AG73" s="778">
        <v>14.7155</v>
      </c>
      <c r="AH73" s="778">
        <v>14.7155</v>
      </c>
      <c r="AI73" s="848">
        <v>14.7155</v>
      </c>
      <c r="AJ73" s="16"/>
      <c r="AK73" s="345" t="str">
        <f ca="1">$K73</f>
        <v>2Q20</v>
      </c>
      <c r="AL73" s="847">
        <f ca="1">L73</f>
        <v>21.4403</v>
      </c>
      <c r="AM73" s="778">
        <v>19.6597714281227</v>
      </c>
      <c r="AN73" s="778">
        <v>17.897159906267</v>
      </c>
      <c r="AO73" s="778">
        <v>22.5695103649992</v>
      </c>
      <c r="AP73" s="778">
        <v>18.5036143640697</v>
      </c>
      <c r="AQ73" s="848">
        <v>28.2439248051353</v>
      </c>
      <c r="AR73" s="847">
        <f ca="1">R73</f>
        <v>22.3038</v>
      </c>
      <c r="AS73" s="778">
        <v>18.4068535825545</v>
      </c>
      <c r="AT73" s="778">
        <v>18.7006199100523</v>
      </c>
      <c r="AU73" s="778">
        <v>19.4875416120246</v>
      </c>
      <c r="AV73" s="778">
        <v>16.7891560839413</v>
      </c>
      <c r="AW73" s="848">
        <v>14.9032258064516</v>
      </c>
      <c r="AX73" s="847">
        <f ca="1">X73</f>
        <v>13.5961</v>
      </c>
      <c r="AY73" s="778">
        <v>11.7060983861026</v>
      </c>
      <c r="AZ73" s="778">
        <v>18.2101294010831</v>
      </c>
      <c r="BA73" s="778">
        <v>11.7567860040568</v>
      </c>
      <c r="BB73" s="778">
        <v>14.219845002532</v>
      </c>
      <c r="BC73" s="848">
        <v>11.6540606664239</v>
      </c>
      <c r="BD73" s="847">
        <f ca="1">AD73</f>
        <v>13.8093</v>
      </c>
      <c r="BE73" s="778">
        <v>11.8571842051646</v>
      </c>
      <c r="BF73" s="778">
        <v>15.8835936734414</v>
      </c>
      <c r="BG73" s="778">
        <v>11.2725510514067</v>
      </c>
      <c r="BH73" s="778">
        <v>13.1408227441087</v>
      </c>
      <c r="BI73" s="848">
        <v>10.252465604512</v>
      </c>
      <c r="BJ73" s="16"/>
      <c r="BK73" s="345" t="str">
        <f ca="1">$K73</f>
        <v>2Q20</v>
      </c>
      <c r="BL73" s="847">
        <f ca="1">AL73</f>
        <v>21.4403</v>
      </c>
      <c r="BM73" s="778">
        <v>13.7596348884381</v>
      </c>
      <c r="BN73" s="778">
        <v>17.5804740540875</v>
      </c>
      <c r="BO73" s="778">
        <v>666.371271278196</v>
      </c>
      <c r="BP73" s="778">
        <v>37.9065386167391</v>
      </c>
      <c r="BQ73" s="848">
        <v>17.3187216863556</v>
      </c>
      <c r="BR73" s="847">
        <f ca="1">AR73</f>
        <v>22.3038</v>
      </c>
      <c r="BS73" s="778">
        <v>12.5249261447563</v>
      </c>
      <c r="BT73" s="778">
        <v>14.5337353155214</v>
      </c>
      <c r="BU73" s="778">
        <v>13.9771704636752</v>
      </c>
      <c r="BV73" s="778">
        <v>17.160752720791</v>
      </c>
      <c r="BW73" s="848">
        <v>17.5161109554497</v>
      </c>
      <c r="BX73" s="847">
        <f ca="1">AX73</f>
        <v>13.5961</v>
      </c>
      <c r="BY73" s="778">
        <v>8.15101099180971</v>
      </c>
      <c r="BZ73" s="778">
        <v>7.56118596743218</v>
      </c>
      <c r="CA73" s="778"/>
      <c r="CB73" s="778">
        <v>14.7275249455244</v>
      </c>
      <c r="CC73" s="848">
        <v>10.9446678157627</v>
      </c>
      <c r="CD73" s="847">
        <f ca="1">BD73</f>
        <v>13.8093</v>
      </c>
      <c r="CE73" s="778">
        <v>7.51579358116501</v>
      </c>
      <c r="CF73" s="778">
        <v>10.0753547067155</v>
      </c>
      <c r="CG73" s="778">
        <v>11.6934775650165</v>
      </c>
      <c r="CH73" s="778">
        <v>12.3198580391385</v>
      </c>
      <c r="CI73" s="848">
        <v>10.8240208659149</v>
      </c>
    </row>
    <row r="74" ht="14.25" customHeight="1" spans="1:87" x14ac:dyDescent="0.25">
      <c r="A74" s="16"/>
      <c r="B74" s="16"/>
      <c r="C74" s="84"/>
      <c r="D74" s="16"/>
      <c r="E74" s="84" t="s">
        <v>916</v>
      </c>
      <c r="F74" s="84" t="s">
        <v>917</v>
      </c>
      <c r="G74" s="84" t="s">
        <v>918</v>
      </c>
      <c r="H74" s="84" t="s">
        <v>919</v>
      </c>
      <c r="I74" s="84">
        <f ca="1">IF(I73+1=5,1,I73+1)</f>
        <v>3</v>
      </c>
      <c r="J74" s="5">
        <f ca="1">IF(I74=1,J73+1,J73)</f>
        <v>2020</v>
      </c>
      <c r="K74" s="345" t="str">
        <f ca="1">I74&amp;"Q"&amp;RIGHT(J74,2)</f>
        <v>3Q20</v>
      </c>
      <c r="L74" s="847">
        <v>16.8606</v>
      </c>
      <c r="M74" s="778">
        <v>18.5374</v>
      </c>
      <c r="N74" s="778">
        <v>24.0905</v>
      </c>
      <c r="O74" s="778">
        <v>24.0905</v>
      </c>
      <c r="P74" s="778">
        <v>24.0905</v>
      </c>
      <c r="Q74" s="848">
        <v>24.0905</v>
      </c>
      <c r="R74" s="847">
        <v>17.927</v>
      </c>
      <c r="S74" s="778">
        <v>17.5291</v>
      </c>
      <c r="T74" s="778">
        <v>21.6232</v>
      </c>
      <c r="U74" s="778">
        <v>21.6232</v>
      </c>
      <c r="V74" s="778">
        <v>21.6232</v>
      </c>
      <c r="W74" s="848">
        <v>21.6232</v>
      </c>
      <c r="X74" s="847">
        <v>12.0673</v>
      </c>
      <c r="Y74" s="778">
        <v>12.4819</v>
      </c>
      <c r="Z74" s="778">
        <v>15.0067</v>
      </c>
      <c r="AA74" s="778">
        <v>15.0067</v>
      </c>
      <c r="AB74" s="778">
        <v>15.0067</v>
      </c>
      <c r="AC74" s="848">
        <v>15.0067</v>
      </c>
      <c r="AD74" s="778">
        <v>11.5529</v>
      </c>
      <c r="AE74" s="778">
        <v>12.3127</v>
      </c>
      <c r="AF74" s="778">
        <v>15.0067</v>
      </c>
      <c r="AG74" s="778">
        <v>15.0067</v>
      </c>
      <c r="AH74" s="778">
        <v>15.0067</v>
      </c>
      <c r="AI74" s="848">
        <v>15.0067</v>
      </c>
      <c r="AJ74" s="16"/>
      <c r="AK74" s="345" t="str">
        <f ca="1">$K74</f>
        <v>3Q20</v>
      </c>
      <c r="AL74" s="847">
        <f ca="1">L74</f>
        <v>16.8606</v>
      </c>
      <c r="AM74" s="778">
        <v>20.5352447802246</v>
      </c>
      <c r="AN74" s="778">
        <v>15.8189298015738</v>
      </c>
      <c r="AO74" s="778">
        <v>23.3795868128089</v>
      </c>
      <c r="AP74" s="778">
        <v>19.6012197335797</v>
      </c>
      <c r="AQ74" s="848">
        <v>27.5015829348704</v>
      </c>
      <c r="AR74" s="847">
        <f ca="1">R74</f>
        <v>17.927</v>
      </c>
      <c r="AS74" s="778">
        <v>20.2398642719242</v>
      </c>
      <c r="AT74" s="778">
        <v>18.7604185139209</v>
      </c>
      <c r="AU74" s="778">
        <v>20.7677620339664</v>
      </c>
      <c r="AV74" s="778">
        <v>18.4233261339093</v>
      </c>
      <c r="AW74" s="848">
        <v>14.6806526806527</v>
      </c>
      <c r="AX74" s="847">
        <f ca="1">X74</f>
        <v>12.0673</v>
      </c>
      <c r="AY74" s="778">
        <v>13.0649532302836</v>
      </c>
      <c r="AZ74" s="778">
        <v>16.5122274222826</v>
      </c>
      <c r="BA74" s="778">
        <v>12.5234131462926</v>
      </c>
      <c r="BB74" s="778">
        <v>14.6980062164592</v>
      </c>
      <c r="BC74" s="848">
        <v>11.3790542079959</v>
      </c>
      <c r="BD74" s="847">
        <f ca="1">AD74</f>
        <v>11.5529</v>
      </c>
      <c r="BE74" s="778">
        <v>13.2572136445254</v>
      </c>
      <c r="BF74" s="778">
        <v>16.3477708057932</v>
      </c>
      <c r="BG74" s="778">
        <v>12.1225667507274</v>
      </c>
      <c r="BH74" s="778">
        <v>13.9077997746548</v>
      </c>
      <c r="BI74" s="848">
        <v>10.0727315724473</v>
      </c>
      <c r="BJ74" s="16"/>
      <c r="BK74" s="345" t="str">
        <f ca="1">$K74</f>
        <v>3Q20</v>
      </c>
      <c r="BL74" s="847">
        <f ca="1">AL74</f>
        <v>16.8606</v>
      </c>
      <c r="BM74" s="778">
        <v>13.9515096065874</v>
      </c>
      <c r="BN74" s="778">
        <v>17.179660415722</v>
      </c>
      <c r="BO74" s="778"/>
      <c r="BP74" s="778">
        <v>39.4152294902726</v>
      </c>
      <c r="BQ74" s="848">
        <v>18.420867479112</v>
      </c>
      <c r="BR74" s="847">
        <f ca="1">AR74</f>
        <v>17.927</v>
      </c>
      <c r="BS74" s="778">
        <v>13.1434235476642</v>
      </c>
      <c r="BT74" s="778">
        <v>15.7926252757643</v>
      </c>
      <c r="BU74" s="778">
        <v>11.5207306857749</v>
      </c>
      <c r="BV74" s="778">
        <v>19.5772945706592</v>
      </c>
      <c r="BW74" s="848">
        <v>19.3481871021312</v>
      </c>
      <c r="BX74" s="847">
        <f ca="1">AX74</f>
        <v>12.0673</v>
      </c>
      <c r="BY74" s="778">
        <v>8.64752299415454</v>
      </c>
      <c r="BZ74" s="778">
        <v>7.56630329639244</v>
      </c>
      <c r="CA74" s="778"/>
      <c r="CB74" s="778">
        <v>16.3985899726758</v>
      </c>
      <c r="CC74" s="848">
        <v>13.0317764934829</v>
      </c>
      <c r="CD74" s="847">
        <f ca="1">BD74</f>
        <v>11.5529</v>
      </c>
      <c r="CE74" s="778">
        <v>8.05740663100763</v>
      </c>
      <c r="CF74" s="778">
        <v>11.4551864034803</v>
      </c>
      <c r="CG74" s="778">
        <v>12.1940402897499</v>
      </c>
      <c r="CH74" s="778">
        <v>14.1615035463187</v>
      </c>
      <c r="CI74" s="848">
        <v>12.6911814506045</v>
      </c>
    </row>
    <row r="75" ht="14.25" customHeight="1" spans="1:87" x14ac:dyDescent="0.25">
      <c r="A75" s="16"/>
      <c r="B75" s="16"/>
      <c r="C75" s="16" t="s">
        <v>890</v>
      </c>
      <c r="D75" s="16"/>
      <c r="E75" s="724">
        <f ca="1">AVERAGE(BM81:BQ86)</f>
        <v>15.683339457774522</v>
      </c>
      <c r="F75" s="724">
        <f ca="1">AVERAGE(BS81:BW86)</f>
        <v>16.168745623234717</v>
      </c>
      <c r="G75" s="724">
        <f ca="1">AVERAGE(BY81:CC86)</f>
        <v>10.768373282856134</v>
      </c>
      <c r="H75" s="724">
        <f ca="1">AVERAGE(CE81:CI86)</f>
        <v>11.620890184734101</v>
      </c>
      <c r="I75" s="84">
        <f ca="1">IF(I74=4,1,I74+1)</f>
        <v>4</v>
      </c>
      <c r="J75" s="5">
        <f ca="1">IF(I75=1,J74+1,J74)</f>
        <v>2020</v>
      </c>
      <c r="K75" s="345" t="str">
        <f ca="1">I75&amp;"Q"&amp;RIGHT(J75,2)</f>
        <v>4Q20</v>
      </c>
      <c r="L75" s="847">
        <v>19.0572</v>
      </c>
      <c r="M75" s="778">
        <v>19.3749</v>
      </c>
      <c r="N75" s="778">
        <v>18.5374</v>
      </c>
      <c r="O75" s="778">
        <v>18.5374</v>
      </c>
      <c r="P75" s="778">
        <v>18.5374</v>
      </c>
      <c r="Q75" s="848">
        <v>18.5374</v>
      </c>
      <c r="R75" s="847">
        <v>18.0554</v>
      </c>
      <c r="S75" s="778">
        <v>18.9633</v>
      </c>
      <c r="T75" s="778">
        <v>17.5291</v>
      </c>
      <c r="U75" s="778">
        <v>17.5291</v>
      </c>
      <c r="V75" s="778">
        <v>17.5291</v>
      </c>
      <c r="W75" s="848">
        <v>17.5291</v>
      </c>
      <c r="X75" s="847">
        <v>18.3811</v>
      </c>
      <c r="Y75" s="778">
        <v>13.5308</v>
      </c>
      <c r="Z75" s="778">
        <v>12.4819</v>
      </c>
      <c r="AA75" s="778">
        <v>12.4819</v>
      </c>
      <c r="AB75" s="778">
        <v>12.4819</v>
      </c>
      <c r="AC75" s="848">
        <v>12.4819</v>
      </c>
      <c r="AD75" s="778">
        <v>12.472</v>
      </c>
      <c r="AE75" s="778">
        <v>13.0926</v>
      </c>
      <c r="AF75" s="778">
        <v>12.4819</v>
      </c>
      <c r="AG75" s="778">
        <v>12.4819</v>
      </c>
      <c r="AH75" s="778">
        <v>12.4819</v>
      </c>
      <c r="AI75" s="848">
        <v>12.4819</v>
      </c>
      <c r="AJ75" s="16"/>
      <c r="AK75" s="345" t="str">
        <f ca="1">$K75</f>
        <v>4Q20</v>
      </c>
      <c r="AL75" s="847">
        <f ca="1">L75</f>
        <v>19.0572</v>
      </c>
      <c r="AM75" s="778">
        <v>14.4221283831607</v>
      </c>
      <c r="AN75" s="778">
        <v>10.8122994961928</v>
      </c>
      <c r="AO75" s="778">
        <v>15.6007113151191</v>
      </c>
      <c r="AP75" s="778">
        <v>13.7731368724422</v>
      </c>
      <c r="AQ75" s="848">
        <v>14.6417832875778</v>
      </c>
      <c r="AR75" s="847">
        <f ca="1">R75</f>
        <v>18.0554</v>
      </c>
      <c r="AS75" s="778">
        <v>14.8865768377963</v>
      </c>
      <c r="AT75" s="778">
        <v>12.8079075362167</v>
      </c>
      <c r="AU75" s="778">
        <v>15.1771575613618</v>
      </c>
      <c r="AV75" s="778">
        <v>14.1033461918005</v>
      </c>
      <c r="AW75" s="848">
        <v>10.7540983606557</v>
      </c>
      <c r="AX75" s="847">
        <f ca="1">X75</f>
        <v>18.3811</v>
      </c>
      <c r="AY75" s="778">
        <v>10.34267476703</v>
      </c>
      <c r="AZ75" s="778">
        <v>12.1148132616025</v>
      </c>
      <c r="BA75" s="778">
        <v>9.03738404817861</v>
      </c>
      <c r="BB75" s="778">
        <v>11.1133530619828</v>
      </c>
      <c r="BC75" s="848">
        <v>8.3832981092452</v>
      </c>
      <c r="BD75" s="847">
        <f ca="1">AD75</f>
        <v>12.472</v>
      </c>
      <c r="BE75" s="778">
        <v>9.75558167960826</v>
      </c>
      <c r="BF75" s="778">
        <v>11.0823430725226</v>
      </c>
      <c r="BG75" s="778">
        <v>8.69455203771838</v>
      </c>
      <c r="BH75" s="778">
        <v>10.407686029648</v>
      </c>
      <c r="BI75" s="848">
        <v>6.865640275054</v>
      </c>
      <c r="BJ75" s="16"/>
      <c r="BK75" s="345" t="str">
        <f ca="1">$K75</f>
        <v>4Q20</v>
      </c>
      <c r="BL75" s="847">
        <f ca="1">AL75</f>
        <v>19.0572</v>
      </c>
      <c r="BM75" s="778">
        <v>11.1878312459125</v>
      </c>
      <c r="BN75" s="778">
        <v>15.8605218246713</v>
      </c>
      <c r="BO75" s="778">
        <v>13.074326127188</v>
      </c>
      <c r="BP75" s="778">
        <v>14.3644481864395</v>
      </c>
      <c r="BQ75" s="848">
        <v>13.5962086905669</v>
      </c>
      <c r="BR75" s="847">
        <f ca="1">AR75</f>
        <v>18.0554</v>
      </c>
      <c r="BS75" s="778">
        <v>10.9166666666667</v>
      </c>
      <c r="BT75" s="778">
        <v>13.0018303843807</v>
      </c>
      <c r="BU75" s="778">
        <v>10.3656311937322</v>
      </c>
      <c r="BV75" s="778">
        <v>16.5294632803703</v>
      </c>
      <c r="BW75" s="848">
        <v>14.8943908238915</v>
      </c>
      <c r="BX75" s="847">
        <f ca="1">AX75</f>
        <v>18.3811</v>
      </c>
      <c r="BY75" s="778">
        <v>6.87881904030835</v>
      </c>
      <c r="BZ75" s="778">
        <v>7.01023473851751</v>
      </c>
      <c r="CA75" s="778"/>
      <c r="CB75" s="778">
        <v>13.2075042312185</v>
      </c>
      <c r="CC75" s="848">
        <v>12.1601264994065</v>
      </c>
      <c r="CD75" s="847">
        <f ca="1">BD75</f>
        <v>12.472</v>
      </c>
      <c r="CE75" s="778">
        <v>6.20970342265055</v>
      </c>
      <c r="CF75" s="778">
        <v>8.90335407157496</v>
      </c>
      <c r="CG75" s="778">
        <v>8.68511867524407</v>
      </c>
      <c r="CH75" s="778">
        <v>11.7936329650704</v>
      </c>
      <c r="CI75" s="848">
        <v>9.85973157777744</v>
      </c>
    </row>
    <row r="76" ht="14.25" customHeight="1" spans="1:87" x14ac:dyDescent="0.25">
      <c r="A76" s="264"/>
      <c r="B76" s="16"/>
      <c r="C76" s="16" t="s">
        <v>892</v>
      </c>
      <c r="D76" s="16"/>
      <c r="E76" s="724">
        <f ca="1">AVERAGE(BM77:BQ86)</f>
        <v>15.757842039857469</v>
      </c>
      <c r="F76" s="724">
        <f ca="1">AVERAGE(BS77:BW86)</f>
        <v>16.211283525086312</v>
      </c>
      <c r="G76" s="724">
        <f ca="1">AVERAGE(BY77:CC86)</f>
        <v>10.797620950823877</v>
      </c>
      <c r="H76" s="724">
        <f ca="1">AVERAGE(CE77:CI86)</f>
        <v>11.601419698040905</v>
      </c>
      <c r="I76" s="84">
        <f ca="1">I72</f>
        <v>1</v>
      </c>
      <c r="J76" s="5">
        <f ca="1">IF(I76=1,J75+1,J75)</f>
        <v>2021</v>
      </c>
      <c r="K76" s="345" t="str">
        <f ca="1">I76&amp;"Q"&amp;RIGHT(J76,2)</f>
        <v>1Q21</v>
      </c>
      <c r="L76" s="847">
        <v>17.4925</v>
      </c>
      <c r="M76" s="778">
        <v>20.6032</v>
      </c>
      <c r="N76" s="778">
        <v>19.3749</v>
      </c>
      <c r="O76" s="778">
        <v>19.3749</v>
      </c>
      <c r="P76" s="778">
        <v>19.3749</v>
      </c>
      <c r="Q76" s="848">
        <v>19.3749</v>
      </c>
      <c r="R76" s="847">
        <v>18.0842</v>
      </c>
      <c r="S76" s="778">
        <v>20.5423</v>
      </c>
      <c r="T76" s="778">
        <v>18.9633</v>
      </c>
      <c r="U76" s="778">
        <v>18.9633</v>
      </c>
      <c r="V76" s="778">
        <v>18.9633</v>
      </c>
      <c r="W76" s="848">
        <v>18.9633</v>
      </c>
      <c r="X76" s="847">
        <v>15.8529</v>
      </c>
      <c r="Y76" s="778">
        <v>13.9343</v>
      </c>
      <c r="Z76" s="778">
        <v>13.5308</v>
      </c>
      <c r="AA76" s="778">
        <v>13.5308</v>
      </c>
      <c r="AB76" s="778">
        <v>13.5308</v>
      </c>
      <c r="AC76" s="848">
        <v>13.5308</v>
      </c>
      <c r="AD76" s="778">
        <v>11.9975</v>
      </c>
      <c r="AE76" s="778">
        <v>14.1533</v>
      </c>
      <c r="AF76" s="778">
        <v>13.5308</v>
      </c>
      <c r="AG76" s="778">
        <v>13.5308</v>
      </c>
      <c r="AH76" s="778">
        <v>13.5308</v>
      </c>
      <c r="AI76" s="848">
        <v>13.5308</v>
      </c>
      <c r="AJ76" s="16"/>
      <c r="AK76" s="345" t="str">
        <f ca="1">$K76</f>
        <v>1Q21</v>
      </c>
      <c r="AL76" s="847">
        <f ca="1">L76</f>
        <v>17.4925</v>
      </c>
      <c r="AM76" s="778">
        <v>15.0141768323488</v>
      </c>
      <c r="AN76" s="778">
        <v>11.762100009524</v>
      </c>
      <c r="AO76" s="778">
        <v>17.508231022493</v>
      </c>
      <c r="AP76" s="778">
        <v>14.9484539723962</v>
      </c>
      <c r="AQ76" s="848">
        <v>15.3815249519327</v>
      </c>
      <c r="AR76" s="847">
        <f ca="1">R76</f>
        <v>18.0842</v>
      </c>
      <c r="AS76" s="778">
        <v>15.4657873042045</v>
      </c>
      <c r="AT76" s="778">
        <v>14.2096663679966</v>
      </c>
      <c r="AU76" s="778">
        <v>15.6938458886399</v>
      </c>
      <c r="AV76" s="778">
        <v>14.4436860068259</v>
      </c>
      <c r="AW76" s="848">
        <v>10.8648648648649</v>
      </c>
      <c r="AX76" s="847">
        <f ca="1">X76</f>
        <v>15.8529</v>
      </c>
      <c r="AY76" s="778">
        <v>10.6573226693313</v>
      </c>
      <c r="AZ76" s="778">
        <v>11.9267964065934</v>
      </c>
      <c r="BA76" s="778">
        <v>10.5195834978257</v>
      </c>
      <c r="BB76" s="778">
        <v>11.1280202944651</v>
      </c>
      <c r="BC76" s="848">
        <v>8.79239651976119</v>
      </c>
      <c r="BD76" s="847">
        <f ca="1">AD76</f>
        <v>11.9975</v>
      </c>
      <c r="BE76" s="778">
        <v>10.7614328987076</v>
      </c>
      <c r="BF76" s="778">
        <v>12.3090957616733</v>
      </c>
      <c r="BG76" s="778">
        <v>10.5491686402801</v>
      </c>
      <c r="BH76" s="778">
        <v>11.7553981851193</v>
      </c>
      <c r="BI76" s="848">
        <v>7.10118619238793</v>
      </c>
      <c r="BJ76" s="16"/>
      <c r="BK76" s="345" t="str">
        <f ca="1">$K76</f>
        <v>1Q21</v>
      </c>
      <c r="BL76" s="847">
        <f ca="1">AL76</f>
        <v>17.4925</v>
      </c>
      <c r="BM76" s="778">
        <v>11.7349442544677</v>
      </c>
      <c r="BN76" s="778">
        <v>16.6874232849898</v>
      </c>
      <c r="BO76" s="778">
        <v>16.2847068834266</v>
      </c>
      <c r="BP76" s="778">
        <v>17.6336803738979</v>
      </c>
      <c r="BQ76" s="848">
        <v>16.5229079241118</v>
      </c>
      <c r="BR76" s="847">
        <f ca="1">AR76</f>
        <v>18.0842</v>
      </c>
      <c r="BS76" s="778">
        <v>11.0082872928177</v>
      </c>
      <c r="BT76" s="778">
        <v>14.28418230563</v>
      </c>
      <c r="BU76" s="778">
        <v>18.0978260869565</v>
      </c>
      <c r="BV76" s="778">
        <v>19.9272727272727</v>
      </c>
      <c r="BW76" s="848">
        <v>16.362828488003</v>
      </c>
      <c r="BX76" s="847">
        <f ca="1">AX76</f>
        <v>15.8529</v>
      </c>
      <c r="BY76" s="778">
        <v>6.9750558793406</v>
      </c>
      <c r="BZ76" s="778">
        <v>7.30111782573552</v>
      </c>
      <c r="CA76" s="778"/>
      <c r="CB76" s="778">
        <v>15.4025408311834</v>
      </c>
      <c r="CC76" s="848">
        <v>12.8108272529198</v>
      </c>
      <c r="CD76" s="847">
        <f ca="1">BD76</f>
        <v>11.9975</v>
      </c>
      <c r="CE76" s="778">
        <v>6.39685994049379</v>
      </c>
      <c r="CF76" s="778">
        <v>10.4551699244796</v>
      </c>
      <c r="CG76" s="778">
        <v>12.5074224642109</v>
      </c>
      <c r="CH76" s="778">
        <v>13.9698695489038</v>
      </c>
      <c r="CI76" s="848">
        <v>11.484140436493</v>
      </c>
    </row>
    <row r="77" ht="14.25" customHeight="1" spans="1:87" x14ac:dyDescent="0.25">
      <c r="A77" s="16"/>
      <c r="B77" s="16"/>
      <c r="C77" s="16" t="s">
        <v>887</v>
      </c>
      <c r="D77" s="16"/>
      <c r="E77" s="724">
        <f ca="1">AVERAGE(BM73:BQ86)</f>
        <v>26.530528095386988</v>
      </c>
      <c r="F77" s="724">
        <f ca="1">AVERAGE(BS73:BW86)</f>
        <v>15.846016840935276</v>
      </c>
      <c r="G77" s="724">
        <f ca="1">AVERAGE(BY73:CC86)</f>
        <v>10.720945442413932</v>
      </c>
      <c r="H77" s="724">
        <f ca="1">AVERAGE(CE73:CI86)</f>
        <v>11.2817955771977</v>
      </c>
      <c r="I77" s="84">
        <f ca="1">IF(I76=4,1,I76+1)</f>
        <v>2</v>
      </c>
      <c r="J77" s="5">
        <f ca="1">IF(I77=1,J76+1,J76)</f>
        <v>2021</v>
      </c>
      <c r="K77" s="345" t="str">
        <f ca="1">I77&amp;"Q"&amp;RIGHT(J77,2)</f>
        <v>2Q21</v>
      </c>
      <c r="L77" s="847">
        <v>19.4823</v>
      </c>
      <c r="M77" s="778">
        <v>22.7157</v>
      </c>
      <c r="N77" s="778">
        <v>20.6032</v>
      </c>
      <c r="O77" s="778">
        <v>20.6032</v>
      </c>
      <c r="P77" s="778">
        <v>20.6032</v>
      </c>
      <c r="Q77" s="848">
        <v>20.6032</v>
      </c>
      <c r="R77" s="847">
        <v>19.4276</v>
      </c>
      <c r="S77" s="778">
        <v>22.9201</v>
      </c>
      <c r="T77" s="778">
        <v>20.5423</v>
      </c>
      <c r="U77" s="778">
        <v>20.5423</v>
      </c>
      <c r="V77" s="778">
        <v>20.5423</v>
      </c>
      <c r="W77" s="848">
        <v>20.5423</v>
      </c>
      <c r="X77" s="847">
        <v>16.3737</v>
      </c>
      <c r="Y77" s="778">
        <v>15.2549</v>
      </c>
      <c r="Z77" s="778">
        <v>13.9343</v>
      </c>
      <c r="AA77" s="778">
        <v>13.9343</v>
      </c>
      <c r="AB77" s="778">
        <v>13.9343</v>
      </c>
      <c r="AC77" s="848">
        <v>13.9343</v>
      </c>
      <c r="AD77" s="778">
        <v>12.8453</v>
      </c>
      <c r="AE77" s="778">
        <v>15.6145</v>
      </c>
      <c r="AF77" s="778">
        <v>13.9343</v>
      </c>
      <c r="AG77" s="778">
        <v>13.9343</v>
      </c>
      <c r="AH77" s="778">
        <v>13.9343</v>
      </c>
      <c r="AI77" s="848">
        <v>13.9343</v>
      </c>
      <c r="AJ77" s="16"/>
      <c r="AK77" s="345" t="str">
        <f ca="1">$K77</f>
        <v>2Q21</v>
      </c>
      <c r="AL77" s="847">
        <f ca="1">L77</f>
        <v>19.4823</v>
      </c>
      <c r="AM77" s="778">
        <v>17.3634726868954</v>
      </c>
      <c r="AN77" s="778">
        <v>13.7604420785299</v>
      </c>
      <c r="AO77" s="778">
        <v>15.9963201471941</v>
      </c>
      <c r="AP77" s="778">
        <v>16.1045172719221</v>
      </c>
      <c r="AQ77" s="848">
        <v>11.9194558530206</v>
      </c>
      <c r="AR77" s="847">
        <f ca="1">R77</f>
        <v>19.4276</v>
      </c>
      <c r="AS77" s="778">
        <v>17.6974004478629</v>
      </c>
      <c r="AT77" s="778">
        <v>16.781448010803</v>
      </c>
      <c r="AU77" s="778">
        <v>14.9961190168176</v>
      </c>
      <c r="AV77" s="778">
        <v>15.4753596050728</v>
      </c>
      <c r="AW77" s="848">
        <v>11.1576576576577</v>
      </c>
      <c r="AX77" s="847">
        <f ca="1">X77</f>
        <v>16.3737</v>
      </c>
      <c r="AY77" s="778">
        <v>12.2283175827312</v>
      </c>
      <c r="AZ77" s="778">
        <v>13.1078993174288</v>
      </c>
      <c r="BA77" s="778">
        <v>9.71872496814218</v>
      </c>
      <c r="BB77" s="778">
        <v>11.9214193883622</v>
      </c>
      <c r="BC77" s="848">
        <v>9.20228078793905</v>
      </c>
      <c r="BD77" s="847">
        <f ca="1">AD77</f>
        <v>12.8453</v>
      </c>
      <c r="BE77" s="778">
        <v>12.4269354419136</v>
      </c>
      <c r="BF77" s="778">
        <v>13.9990817601658</v>
      </c>
      <c r="BG77" s="778">
        <v>10.1973626177734</v>
      </c>
      <c r="BH77" s="778">
        <v>12.5116255609596</v>
      </c>
      <c r="BI77" s="848">
        <v>8.28856515319408</v>
      </c>
      <c r="BJ77" s="16"/>
      <c r="BK77" s="345" t="str">
        <f ca="1">$K77</f>
        <v>2Q21</v>
      </c>
      <c r="BL77" s="847">
        <f ca="1">AL77</f>
        <v>19.4823</v>
      </c>
      <c r="BM77" s="778">
        <v>11.792353858178</v>
      </c>
      <c r="BN77" s="778">
        <v>16.6425212350074</v>
      </c>
      <c r="BO77" s="778">
        <v>17.2716685418764</v>
      </c>
      <c r="BP77" s="778">
        <v>19.7359258736756</v>
      </c>
      <c r="BQ77" s="848">
        <v>16.2270045772118</v>
      </c>
      <c r="BR77" s="847">
        <f ca="1">AR77</f>
        <v>19.4276</v>
      </c>
      <c r="BS77" s="778">
        <v>11.0490474260235</v>
      </c>
      <c r="BT77" s="778">
        <v>16.1259244842351</v>
      </c>
      <c r="BU77" s="778">
        <v>18.1034482758621</v>
      </c>
      <c r="BV77" s="778">
        <v>21.5383666419936</v>
      </c>
      <c r="BW77" s="848">
        <v>16.3219255359158</v>
      </c>
      <c r="BX77" s="847">
        <f ca="1">AX77</f>
        <v>16.3737</v>
      </c>
      <c r="BY77" s="778">
        <v>6.96557670431564</v>
      </c>
      <c r="BZ77" s="778">
        <v>7.30308788720167</v>
      </c>
      <c r="CA77" s="778"/>
      <c r="CB77" s="778">
        <v>16.9369454545127</v>
      </c>
      <c r="CC77" s="848">
        <v>12.7204185574551</v>
      </c>
      <c r="CD77" s="847">
        <f ca="1">BD77</f>
        <v>12.8453</v>
      </c>
      <c r="CE77" s="778">
        <v>6.76748090467348</v>
      </c>
      <c r="CF77" s="778">
        <v>11.6576939551152</v>
      </c>
      <c r="CG77" s="778">
        <v>12.7447865854973</v>
      </c>
      <c r="CH77" s="778">
        <v>15.2325098937223</v>
      </c>
      <c r="CI77" s="848">
        <v>11.5699365324391</v>
      </c>
    </row>
    <row r="78" ht="14.25" customHeight="1" spans="1:87" x14ac:dyDescent="0.25">
      <c r="A78" s="16"/>
      <c r="B78" s="16"/>
      <c r="C78" s="16" t="s">
        <v>893</v>
      </c>
      <c r="D78" s="16"/>
      <c r="E78" s="724">
        <f ca="1">AVERAGE(BM65:BQ86)</f>
        <v>37.96256935397822</v>
      </c>
      <c r="F78" s="724">
        <f ca="1">AVERAGE(BS65:BW86)</f>
        <v>17.18236554677514</v>
      </c>
      <c r="G78" s="724">
        <f ca="1">AVERAGE(BY65:CC86)</f>
        <v>12.017610025365714</v>
      </c>
      <c r="H78" s="724">
        <f ca="1">AVERAGE(CE65:CI86)</f>
        <v>11.514027269594164</v>
      </c>
      <c r="I78" s="84">
        <f ca="1">IF(I77+1=5,1,I77+1)</f>
        <v>3</v>
      </c>
      <c r="J78" s="5">
        <f ca="1">IF(I78=1,J77+1,J77)</f>
        <v>2021</v>
      </c>
      <c r="K78" s="345" t="str">
        <f ca="1">I78&amp;"Q"&amp;RIGHT(J78,2)</f>
        <v>3Q21</v>
      </c>
      <c r="L78" s="847">
        <v>20.1793</v>
      </c>
      <c r="M78" s="778">
        <v>21.3385</v>
      </c>
      <c r="N78" s="778">
        <v>22.7157</v>
      </c>
      <c r="O78" s="778">
        <v>22.7157</v>
      </c>
      <c r="P78" s="778">
        <v>22.7157</v>
      </c>
      <c r="Q78" s="848">
        <v>22.7157</v>
      </c>
      <c r="R78" s="778">
        <v>21.0253</v>
      </c>
      <c r="S78" s="778">
        <v>21.5833</v>
      </c>
      <c r="T78" s="778">
        <v>22.9201</v>
      </c>
      <c r="U78" s="778">
        <v>22.9201</v>
      </c>
      <c r="V78" s="778">
        <v>22.9201</v>
      </c>
      <c r="W78" s="848">
        <v>22.9201</v>
      </c>
      <c r="X78" s="778">
        <v>17.2551</v>
      </c>
      <c r="Y78" s="778">
        <v>14.3506</v>
      </c>
      <c r="Z78" s="778">
        <v>15.2549</v>
      </c>
      <c r="AA78" s="778">
        <v>15.2549</v>
      </c>
      <c r="AB78" s="778">
        <v>15.2549</v>
      </c>
      <c r="AC78" s="848">
        <v>15.2549</v>
      </c>
      <c r="AD78" s="778">
        <v>13.9125</v>
      </c>
      <c r="AE78" s="778">
        <v>14.9244</v>
      </c>
      <c r="AF78" s="778">
        <v>15.2549</v>
      </c>
      <c r="AG78" s="778">
        <v>15.2549</v>
      </c>
      <c r="AH78" s="778">
        <v>15.2549</v>
      </c>
      <c r="AI78" s="848">
        <v>15.2549</v>
      </c>
      <c r="AJ78" s="16"/>
      <c r="AK78" s="345" t="str">
        <f ca="1">$K78</f>
        <v>3Q21</v>
      </c>
      <c r="AL78" s="847">
        <f ca="1">L78</f>
        <v>20.1793</v>
      </c>
      <c r="AM78" s="778">
        <v>18.6301264131882</v>
      </c>
      <c r="AN78" s="778">
        <v>15.9613632713695</v>
      </c>
      <c r="AO78" s="778">
        <v>18.048758049678</v>
      </c>
      <c r="AP78" s="778">
        <v>16.185119574845</v>
      </c>
      <c r="AQ78" s="848">
        <v>13.7143517081586</v>
      </c>
      <c r="AR78" s="847">
        <f ca="1">R78</f>
        <v>21.0253</v>
      </c>
      <c r="AS78" s="778">
        <v>18.3782510365624</v>
      </c>
      <c r="AT78" s="778">
        <v>19.0626112608718</v>
      </c>
      <c r="AU78" s="778">
        <v>16.9392160248662</v>
      </c>
      <c r="AV78" s="778">
        <v>15.3839030139754</v>
      </c>
      <c r="AW78" s="848">
        <v>12.4183006535948</v>
      </c>
      <c r="AX78" s="847">
        <f ca="1">X78</f>
        <v>17.2551</v>
      </c>
      <c r="AY78" s="778">
        <v>13.0108331657086</v>
      </c>
      <c r="AZ78" s="778">
        <v>14.7207664372533</v>
      </c>
      <c r="BA78" s="778">
        <v>10.8634721764166</v>
      </c>
      <c r="BB78" s="778">
        <v>11.9670120353024</v>
      </c>
      <c r="BC78" s="848">
        <v>10.344170119619</v>
      </c>
      <c r="BD78" s="847">
        <f ca="1">AD78</f>
        <v>13.9125</v>
      </c>
      <c r="BE78" s="778">
        <v>12.9638305850015</v>
      </c>
      <c r="BF78" s="778">
        <v>15.8491313030872</v>
      </c>
      <c r="BG78" s="778">
        <v>11.268157797573</v>
      </c>
      <c r="BH78" s="778">
        <v>12.4472527602547</v>
      </c>
      <c r="BI78" s="848">
        <v>9.13104550281631</v>
      </c>
      <c r="BJ78" s="16"/>
      <c r="BK78" s="345" t="str">
        <f ca="1">$K78</f>
        <v>3Q21</v>
      </c>
      <c r="BL78" s="847">
        <f ca="1">AL78</f>
        <v>20.1793</v>
      </c>
      <c r="BM78" s="778">
        <v>10.9288444920865</v>
      </c>
      <c r="BN78" s="778">
        <v>16.7407934072159</v>
      </c>
      <c r="BO78" s="778">
        <v>14.7055920727976</v>
      </c>
      <c r="BP78" s="778">
        <v>19.126631867953</v>
      </c>
      <c r="BQ78" s="848">
        <v>17.0146748454758</v>
      </c>
      <c r="BR78" s="847">
        <f ca="1">AR78</f>
        <v>21.0253</v>
      </c>
      <c r="BS78" s="778">
        <v>10.6852212164791</v>
      </c>
      <c r="BT78" s="778">
        <v>16.9204534055572</v>
      </c>
      <c r="BU78" s="778">
        <v>14.9748743718593</v>
      </c>
      <c r="BV78" s="778">
        <v>20.8811551277305</v>
      </c>
      <c r="BW78" s="848">
        <v>17.0012453300125</v>
      </c>
      <c r="BX78" s="847">
        <f ca="1">AX78</f>
        <v>17.2551</v>
      </c>
      <c r="BY78" s="778">
        <v>6.35997189641845</v>
      </c>
      <c r="BZ78" s="778">
        <v>7.48257527449524</v>
      </c>
      <c r="CA78" s="778"/>
      <c r="CB78" s="778">
        <v>16.2659380049987</v>
      </c>
      <c r="CC78" s="848">
        <v>13.1653885302904</v>
      </c>
      <c r="CD78" s="847">
        <f ca="1">BD78</f>
        <v>13.9125</v>
      </c>
      <c r="CE78" s="778">
        <v>6.44909324484202</v>
      </c>
      <c r="CF78" s="778">
        <v>12.6021043694989</v>
      </c>
      <c r="CG78" s="778">
        <v>11.8642050200603</v>
      </c>
      <c r="CH78" s="778">
        <v>14.6422639702643</v>
      </c>
      <c r="CI78" s="848">
        <v>11.8026554700342</v>
      </c>
    </row>
    <row r="79" ht="14.25" customHeight="1" spans="1:87" x14ac:dyDescent="0.25">
      <c r="A79" s="16"/>
      <c r="B79" s="16"/>
      <c r="C79" s="846" t="s">
        <v>922</v>
      </c>
      <c r="D79" s="846"/>
      <c r="E79" s="846"/>
      <c r="F79" s="846"/>
      <c r="G79" s="846"/>
      <c r="H79" s="846"/>
      <c r="I79" s="84">
        <f ca="1">IF(I78=4,1,I78+1)</f>
        <v>4</v>
      </c>
      <c r="J79" s="5">
        <f ca="1">IF(I79=1,J78+1,J78)</f>
        <v>2021</v>
      </c>
      <c r="K79" s="345" t="str">
        <f ca="1">I79&amp;"Q"&amp;RIGHT(J79,2)</f>
        <v>4Q21</v>
      </c>
      <c r="L79" s="847">
        <v>14.6386</v>
      </c>
      <c r="M79" s="778">
        <v>18.2156</v>
      </c>
      <c r="N79" s="778">
        <v>21.3385</v>
      </c>
      <c r="O79" s="778">
        <v>21.3385</v>
      </c>
      <c r="P79" s="778">
        <v>21.3385</v>
      </c>
      <c r="Q79" s="848">
        <v>21.3385</v>
      </c>
      <c r="R79" s="778">
        <v>14.0284</v>
      </c>
      <c r="S79" s="778">
        <v>18.7234</v>
      </c>
      <c r="T79" s="778">
        <v>21.5833</v>
      </c>
      <c r="U79" s="778">
        <v>21.5833</v>
      </c>
      <c r="V79" s="778">
        <v>21.5833</v>
      </c>
      <c r="W79" s="848">
        <v>21.5833</v>
      </c>
      <c r="X79" s="778">
        <v>10.6949</v>
      </c>
      <c r="Y79" s="778">
        <v>12.4477</v>
      </c>
      <c r="Z79" s="778">
        <v>14.3506</v>
      </c>
      <c r="AA79" s="778">
        <v>14.3506</v>
      </c>
      <c r="AB79" s="778">
        <v>14.3506</v>
      </c>
      <c r="AC79" s="848">
        <v>14.3506</v>
      </c>
      <c r="AD79" s="778">
        <v>10.1357</v>
      </c>
      <c r="AE79" s="778">
        <v>13.1676</v>
      </c>
      <c r="AF79" s="778">
        <v>14.3506</v>
      </c>
      <c r="AG79" s="778">
        <v>14.3506</v>
      </c>
      <c r="AH79" s="778">
        <v>14.3506</v>
      </c>
      <c r="AI79" s="848">
        <v>14.3506</v>
      </c>
      <c r="AJ79" s="16"/>
      <c r="AK79" s="849" t="str">
        <f ca="1">$K79</f>
        <v>4Q21</v>
      </c>
      <c r="AL79" s="847">
        <f ca="1">L79</f>
        <v>14.6386</v>
      </c>
      <c r="AM79" s="778">
        <v>18.285283104649</v>
      </c>
      <c r="AN79" s="778">
        <v>15.531229783089</v>
      </c>
      <c r="AO79" s="778">
        <v>18.4342230802955</v>
      </c>
      <c r="AP79" s="778">
        <v>15.7918506010747</v>
      </c>
      <c r="AQ79" s="848">
        <v>13.3630724097093</v>
      </c>
      <c r="AR79" s="847">
        <f ca="1">R79</f>
        <v>14.0284</v>
      </c>
      <c r="AS79" s="778">
        <v>18.0372200865908</v>
      </c>
      <c r="AT79" s="778">
        <v>18.548904045644</v>
      </c>
      <c r="AU79" s="778">
        <v>17.3009847075473</v>
      </c>
      <c r="AV79" s="778">
        <v>15.0214839738927</v>
      </c>
      <c r="AW79" s="848">
        <v>12.1266380876433</v>
      </c>
      <c r="AX79" s="847">
        <f ca="1">X79</f>
        <v>10.6949</v>
      </c>
      <c r="AY79" s="778">
        <v>12.7963238557254</v>
      </c>
      <c r="AZ79" s="778">
        <v>14.3983930880516</v>
      </c>
      <c r="BA79" s="778">
        <v>11.0784790142357</v>
      </c>
      <c r="BB79" s="778">
        <v>11.7401868085495</v>
      </c>
      <c r="BC79" s="848">
        <v>10.1213801363892</v>
      </c>
      <c r="BD79" s="847">
        <f ca="1">AD79</f>
        <v>10.1357</v>
      </c>
      <c r="BE79" s="778">
        <v>12.7838345671624</v>
      </c>
      <c r="BF79" s="778">
        <v>15.5062457521629</v>
      </c>
      <c r="BG79" s="778">
        <v>11.4931908863573</v>
      </c>
      <c r="BH79" s="778">
        <v>12.2156576237082</v>
      </c>
      <c r="BI79" s="848">
        <v>8.94832314922583</v>
      </c>
      <c r="BJ79" s="16"/>
      <c r="BK79" s="849" t="str">
        <f ca="1">$K79</f>
        <v>4Q21</v>
      </c>
      <c r="BL79" s="847">
        <f ca="1">AL79</f>
        <v>14.6386</v>
      </c>
      <c r="BM79" s="778">
        <v>11.2645577634905</v>
      </c>
      <c r="BN79" s="778">
        <v>16.9769983363012</v>
      </c>
      <c r="BO79" s="778">
        <v>14.6397946127696</v>
      </c>
      <c r="BP79" s="778">
        <v>18.4969909334805</v>
      </c>
      <c r="BQ79" s="848">
        <v>17.0383556428308</v>
      </c>
      <c r="BR79" s="847">
        <f ca="1">AR79</f>
        <v>14.0284</v>
      </c>
      <c r="BS79" s="778">
        <v>11.0988919387388</v>
      </c>
      <c r="BT79" s="778">
        <v>17.1678038497184</v>
      </c>
      <c r="BU79" s="778">
        <v>15.3184158666614</v>
      </c>
      <c r="BV79" s="778">
        <v>20.2337090247079</v>
      </c>
      <c r="BW79" s="848">
        <v>17.0249074363471</v>
      </c>
      <c r="BX79" s="847">
        <f ca="1">AX79</f>
        <v>10.6949</v>
      </c>
      <c r="BY79" s="778">
        <v>6.55210704601697</v>
      </c>
      <c r="BZ79" s="778">
        <v>7.58057147914367</v>
      </c>
      <c r="CA79" s="778"/>
      <c r="CB79" s="778">
        <v>15.7600485469973</v>
      </c>
      <c r="CC79" s="848">
        <v>13.1807660592666</v>
      </c>
      <c r="CD79" s="847">
        <f ca="1">BD79</f>
        <v>10.1357</v>
      </c>
      <c r="CE79" s="778">
        <v>6.6876218938895</v>
      </c>
      <c r="CF79" s="778">
        <v>13.0119608316293</v>
      </c>
      <c r="CG79" s="778">
        <v>12.4521138558247</v>
      </c>
      <c r="CH79" s="778">
        <v>14.1638045774507</v>
      </c>
      <c r="CI79" s="848">
        <v>11.7889497648763</v>
      </c>
    </row>
    <row r="80" ht="14.25" customHeight="1" spans="1:87" x14ac:dyDescent="0.25">
      <c r="A80" s="16"/>
      <c r="B80" s="16"/>
      <c r="C80" s="84"/>
      <c r="D80" s="16"/>
      <c r="E80" s="84" t="s">
        <v>916</v>
      </c>
      <c r="F80" s="84" t="s">
        <v>917</v>
      </c>
      <c r="G80" s="84" t="s">
        <v>918</v>
      </c>
      <c r="H80" s="84" t="s">
        <v>919</v>
      </c>
      <c r="I80" s="84">
        <f ca="1">I76</f>
        <v>1</v>
      </c>
      <c r="J80" s="5">
        <f ca="1">IF(I80=1,J79+1,J79)</f>
        <v>2022</v>
      </c>
      <c r="K80" s="345" t="str">
        <f ca="1">I80&amp;"Q"&amp;RIGHT(J80,2)</f>
        <v>1Q22</v>
      </c>
      <c r="L80" s="847">
        <v>20.9623</v>
      </c>
      <c r="M80" s="778">
        <v>24.9016</v>
      </c>
      <c r="N80" s="778">
        <v>18.2156</v>
      </c>
      <c r="O80" s="778">
        <v>18.2156</v>
      </c>
      <c r="P80" s="778">
        <v>18.2156</v>
      </c>
      <c r="Q80" s="848">
        <v>18.2156</v>
      </c>
      <c r="R80" s="778">
        <v>20.1822</v>
      </c>
      <c r="S80" s="778">
        <v>24.6638</v>
      </c>
      <c r="T80" s="778">
        <v>18.7234</v>
      </c>
      <c r="U80" s="778">
        <v>18.7234</v>
      </c>
      <c r="V80" s="778">
        <v>18.7234</v>
      </c>
      <c r="W80" s="848">
        <v>18.7234</v>
      </c>
      <c r="X80" s="778">
        <v>14.0976</v>
      </c>
      <c r="Y80" s="778">
        <v>16.1964</v>
      </c>
      <c r="Z80" s="778">
        <v>12.4477</v>
      </c>
      <c r="AA80" s="778">
        <v>12.4477</v>
      </c>
      <c r="AB80" s="778">
        <v>12.4477</v>
      </c>
      <c r="AC80" s="848">
        <v>12.4477</v>
      </c>
      <c r="AD80" s="778">
        <v>13.2943</v>
      </c>
      <c r="AE80" s="778">
        <v>16.7034</v>
      </c>
      <c r="AF80" s="778">
        <v>12.4477</v>
      </c>
      <c r="AG80" s="778">
        <v>12.4477</v>
      </c>
      <c r="AH80" s="778">
        <v>12.4477</v>
      </c>
      <c r="AI80" s="848">
        <v>12.4477</v>
      </c>
      <c r="AJ80" s="16"/>
      <c r="AK80" s="849" t="str">
        <f ca="1">$K80</f>
        <v>1Q22</v>
      </c>
      <c r="AL80" s="847">
        <f ca="1">L80</f>
        <v>20.9623</v>
      </c>
      <c r="AM80" s="778">
        <v>18.285283104649</v>
      </c>
      <c r="AN80" s="778">
        <v>15.531229783089</v>
      </c>
      <c r="AO80" s="778">
        <v>18.4342230802955</v>
      </c>
      <c r="AP80" s="778">
        <v>15.7918506010747</v>
      </c>
      <c r="AQ80" s="848">
        <v>13.3630724097093</v>
      </c>
      <c r="AR80" s="847">
        <f ca="1">R80</f>
        <v>20.1822</v>
      </c>
      <c r="AS80" s="778">
        <v>18.0372200865908</v>
      </c>
      <c r="AT80" s="778">
        <v>18.548904045644</v>
      </c>
      <c r="AU80" s="778">
        <v>17.3009847075473</v>
      </c>
      <c r="AV80" s="778">
        <v>15.0214839738927</v>
      </c>
      <c r="AW80" s="848">
        <v>12.1266380876433</v>
      </c>
      <c r="AX80" s="847">
        <f ca="1">X80</f>
        <v>14.0976</v>
      </c>
      <c r="AY80" s="778">
        <v>12.7963238557254</v>
      </c>
      <c r="AZ80" s="778">
        <v>14.3983930880516</v>
      </c>
      <c r="BA80" s="778">
        <v>11.0784790142357</v>
      </c>
      <c r="BB80" s="778">
        <v>11.7401868085495</v>
      </c>
      <c r="BC80" s="848">
        <v>10.1213801363892</v>
      </c>
      <c r="BD80" s="847">
        <f ca="1">AD80</f>
        <v>13.2943</v>
      </c>
      <c r="BE80" s="778">
        <v>12.7838345671624</v>
      </c>
      <c r="BF80" s="778">
        <v>15.5062457521629</v>
      </c>
      <c r="BG80" s="778">
        <v>11.4931908863573</v>
      </c>
      <c r="BH80" s="778">
        <v>12.2156576237082</v>
      </c>
      <c r="BI80" s="848">
        <v>8.94832314922583</v>
      </c>
      <c r="BJ80" s="16"/>
      <c r="BK80" s="849" t="str">
        <f ca="1">$K80</f>
        <v>1Q22</v>
      </c>
      <c r="BL80" s="847">
        <f ca="1">AL80</f>
        <v>20.9623</v>
      </c>
      <c r="BM80" s="778">
        <v>11.2645577634905</v>
      </c>
      <c r="BN80" s="778">
        <v>16.9769983363012</v>
      </c>
      <c r="BO80" s="778">
        <v>14.6397946127696</v>
      </c>
      <c r="BP80" s="778">
        <v>18.4969909334805</v>
      </c>
      <c r="BQ80" s="848">
        <v>17.0383556428308</v>
      </c>
      <c r="BR80" s="847">
        <f ca="1">AR80</f>
        <v>20.1822</v>
      </c>
      <c r="BS80" s="778">
        <v>11.0988919387388</v>
      </c>
      <c r="BT80" s="778">
        <v>17.1678038497184</v>
      </c>
      <c r="BU80" s="778">
        <v>15.3184158666614</v>
      </c>
      <c r="BV80" s="778">
        <v>20.2337090247079</v>
      </c>
      <c r="BW80" s="848">
        <v>17.0249074363471</v>
      </c>
      <c r="BX80" s="847">
        <f ca="1">AX80</f>
        <v>14.0976</v>
      </c>
      <c r="BY80" s="778">
        <v>6.55210704601697</v>
      </c>
      <c r="BZ80" s="778">
        <v>7.58057147914367</v>
      </c>
      <c r="CA80" s="778"/>
      <c r="CB80" s="778">
        <v>15.7600485469973</v>
      </c>
      <c r="CC80" s="848">
        <v>13.1807660592666</v>
      </c>
      <c r="CD80" s="847">
        <f ca="1">BD80</f>
        <v>13.2943</v>
      </c>
      <c r="CE80" s="778">
        <v>6.6876218938895</v>
      </c>
      <c r="CF80" s="778">
        <v>13.0119608316293</v>
      </c>
      <c r="CG80" s="778">
        <v>12.4521138558247</v>
      </c>
      <c r="CH80" s="778">
        <v>14.1638045774507</v>
      </c>
      <c r="CI80" s="848">
        <v>11.7889497648763</v>
      </c>
    </row>
    <row r="81" ht="14.25" customHeight="1" spans="1:87" x14ac:dyDescent="0.25">
      <c r="A81" s="16"/>
      <c r="B81" s="16"/>
      <c r="C81" s="16" t="s">
        <v>923</v>
      </c>
      <c r="D81" s="16"/>
      <c r="E81" s="724">
        <f ca="1">AVERAGE(BM8:BQ75)</f>
        <v>23.989111745649577</v>
      </c>
      <c r="F81" s="724">
        <f ca="1">AVERAGE(BS8:BW75)</f>
        <v>16.203546988432574</v>
      </c>
      <c r="G81" s="724">
        <f ca="1">AVERAGE(BY8:CC75)</f>
        <v>9.86611312349788</v>
      </c>
      <c r="H81" s="724">
        <f ca="1">AVERAGE(CE8:CI75)</f>
        <v>9.244146434411277</v>
      </c>
      <c r="I81" s="84">
        <f ca="1">IF(I80=4,1,I80+1)</f>
        <v>2</v>
      </c>
      <c r="J81" s="5">
        <f ca="1">IF(I81=1,J80+1,J80)</f>
        <v>2022</v>
      </c>
      <c r="K81" s="345" t="str">
        <f ca="1">I81&amp;"Q"&amp;RIGHT(J81,2)</f>
        <v>2Q22</v>
      </c>
      <c r="L81" s="847">
        <v>20.5549</v>
      </c>
      <c r="M81" s="778">
        <v>25.4546</v>
      </c>
      <c r="N81" s="778">
        <v>24.9016</v>
      </c>
      <c r="O81" s="778">
        <v>24.9016</v>
      </c>
      <c r="P81" s="778">
        <v>24.9016</v>
      </c>
      <c r="Q81" s="848">
        <v>24.9016</v>
      </c>
      <c r="R81" s="778">
        <v>19.4215</v>
      </c>
      <c r="S81" s="778">
        <v>24.2457</v>
      </c>
      <c r="T81" s="778">
        <v>24.6638</v>
      </c>
      <c r="U81" s="778">
        <v>24.6638</v>
      </c>
      <c r="V81" s="778">
        <v>24.6638</v>
      </c>
      <c r="W81" s="848">
        <v>24.6638</v>
      </c>
      <c r="X81" s="778">
        <v>13.7608</v>
      </c>
      <c r="Y81" s="778">
        <v>16.3652</v>
      </c>
      <c r="Z81" s="778">
        <v>16.1964</v>
      </c>
      <c r="AA81" s="778">
        <v>16.1964</v>
      </c>
      <c r="AB81" s="778">
        <v>16.1964</v>
      </c>
      <c r="AC81" s="848">
        <v>16.1964</v>
      </c>
      <c r="AD81" s="778">
        <v>12.475</v>
      </c>
      <c r="AE81" s="778">
        <v>16.2052</v>
      </c>
      <c r="AF81" s="778">
        <v>16.1964</v>
      </c>
      <c r="AG81" s="778">
        <v>16.1964</v>
      </c>
      <c r="AH81" s="778">
        <v>16.1964</v>
      </c>
      <c r="AI81" s="848">
        <v>16.1964</v>
      </c>
      <c r="AJ81" s="16"/>
      <c r="AK81" s="849" t="str">
        <f ca="1">$K81</f>
        <v>2Q22</v>
      </c>
      <c r="AL81" s="847">
        <f ca="1">L81</f>
        <v>20.5549</v>
      </c>
      <c r="AM81" s="778">
        <v>18.285283104649</v>
      </c>
      <c r="AN81" s="778">
        <v>15.531229783089</v>
      </c>
      <c r="AO81" s="778">
        <v>18.4342230802955</v>
      </c>
      <c r="AP81" s="778">
        <v>15.7918506010747</v>
      </c>
      <c r="AQ81" s="848">
        <v>13.3630724097093</v>
      </c>
      <c r="AR81" s="847">
        <f ca="1">R81</f>
        <v>19.4215</v>
      </c>
      <c r="AS81" s="778">
        <v>18.0372200865908</v>
      </c>
      <c r="AT81" s="778">
        <v>18.548904045644</v>
      </c>
      <c r="AU81" s="778">
        <v>17.3009847075473</v>
      </c>
      <c r="AV81" s="778">
        <v>15.0214839738927</v>
      </c>
      <c r="AW81" s="848">
        <v>12.1266380876433</v>
      </c>
      <c r="AX81" s="847">
        <f ca="1">X81</f>
        <v>13.7608</v>
      </c>
      <c r="AY81" s="778">
        <v>12.7963238557254</v>
      </c>
      <c r="AZ81" s="778">
        <v>14.3983930880516</v>
      </c>
      <c r="BA81" s="778">
        <v>11.0784790142357</v>
      </c>
      <c r="BB81" s="778">
        <v>11.7401868085495</v>
      </c>
      <c r="BC81" s="848">
        <v>10.1213801363892</v>
      </c>
      <c r="BD81" s="847">
        <f ca="1">AD81</f>
        <v>12.475</v>
      </c>
      <c r="BE81" s="778">
        <v>12.7838345671624</v>
      </c>
      <c r="BF81" s="778">
        <v>15.5062457521629</v>
      </c>
      <c r="BG81" s="778">
        <v>11.4931908863573</v>
      </c>
      <c r="BH81" s="778">
        <v>12.2156576237082</v>
      </c>
      <c r="BI81" s="848">
        <v>8.94832314922583</v>
      </c>
      <c r="BJ81" s="16"/>
      <c r="BK81" s="849" t="str">
        <f ca="1">$K81</f>
        <v>2Q22</v>
      </c>
      <c r="BL81" s="847">
        <f ca="1">AL81</f>
        <v>20.5549</v>
      </c>
      <c r="BM81" s="778">
        <v>11.2645577634905</v>
      </c>
      <c r="BN81" s="778">
        <v>16.9769983363012</v>
      </c>
      <c r="BO81" s="778">
        <v>14.6397946127696</v>
      </c>
      <c r="BP81" s="778">
        <v>18.4969909334805</v>
      </c>
      <c r="BQ81" s="848">
        <v>17.0383556428308</v>
      </c>
      <c r="BR81" s="847">
        <f ca="1">AR81</f>
        <v>19.4215</v>
      </c>
      <c r="BS81" s="778">
        <v>11.0988919387388</v>
      </c>
      <c r="BT81" s="778">
        <v>17.1678038497184</v>
      </c>
      <c r="BU81" s="778">
        <v>15.3184158666614</v>
      </c>
      <c r="BV81" s="778">
        <v>20.2337090247079</v>
      </c>
      <c r="BW81" s="848">
        <v>17.0249074363471</v>
      </c>
      <c r="BX81" s="847">
        <f ca="1">AX81</f>
        <v>13.7608</v>
      </c>
      <c r="BY81" s="778">
        <v>6.55210704601697</v>
      </c>
      <c r="BZ81" s="778">
        <v>7.58057147914367</v>
      </c>
      <c r="CA81" s="778"/>
      <c r="CB81" s="778">
        <v>15.7600485469973</v>
      </c>
      <c r="CC81" s="848">
        <v>13.1807660592666</v>
      </c>
      <c r="CD81" s="847">
        <f ca="1">BD81</f>
        <v>12.475</v>
      </c>
      <c r="CE81" s="778">
        <v>6.6876218938895</v>
      </c>
      <c r="CF81" s="778">
        <v>13.0119608316293</v>
      </c>
      <c r="CG81" s="778">
        <v>12.4521138558247</v>
      </c>
      <c r="CH81" s="778">
        <v>14.1638045774507</v>
      </c>
      <c r="CI81" s="848">
        <v>11.7889497648763</v>
      </c>
    </row>
    <row r="82" ht="14.25" customHeight="1" spans="1:87" x14ac:dyDescent="0.25">
      <c r="A82" s="16"/>
      <c r="B82" s="16"/>
      <c r="C82" s="16" t="s">
        <v>924</v>
      </c>
      <c r="D82" s="16"/>
      <c r="E82" s="724">
        <f t="shared" ref="E82:H82" si="39" ca="1">AVERAGE(E86,E90)</f>
        <v>20.103998318150133</v>
      </c>
      <c r="F82" s="724">
        <f ca="1">AVERAGE(F86,F90)</f>
        <v>16.997209724820074</v>
      </c>
      <c r="G82" s="724">
        <f ca="1">AVERAGE(G86,G90)</f>
        <v>9.076301266902977</v>
      </c>
      <c r="H82" s="724">
        <f ca="1">AVERAGE(H86,H90)</f>
        <v>3.8575153583678086</v>
      </c>
      <c r="I82" s="84">
        <f ca="1">IF(I81+1=5,1,I81+1)</f>
        <v>3</v>
      </c>
      <c r="J82" s="5">
        <f ca="1">IF(I82=1,J81+1,J81)</f>
        <v>2022</v>
      </c>
      <c r="K82" s="345" t="str">
        <f ca="1">I82&amp;"Q"&amp;RIGHT(J82,2)</f>
        <v>3Q22</v>
      </c>
      <c r="L82" s="847">
        <v>18.6243</v>
      </c>
      <c r="M82" s="778">
        <v>22.9775</v>
      </c>
      <c r="N82" s="778">
        <v>25.4546</v>
      </c>
      <c r="O82" s="778">
        <v>25.4546</v>
      </c>
      <c r="P82" s="778">
        <v>25.4546</v>
      </c>
      <c r="Q82" s="848">
        <v>25.4546</v>
      </c>
      <c r="R82" s="778">
        <v>18.5239</v>
      </c>
      <c r="S82" s="778">
        <v>22.3642</v>
      </c>
      <c r="T82" s="778">
        <v>24.2457</v>
      </c>
      <c r="U82" s="778">
        <v>24.2457</v>
      </c>
      <c r="V82" s="778">
        <v>24.2457</v>
      </c>
      <c r="W82" s="848">
        <v>24.2457</v>
      </c>
      <c r="X82" s="778">
        <v>12.4247</v>
      </c>
      <c r="Y82" s="778">
        <v>15.0097</v>
      </c>
      <c r="Z82" s="778">
        <v>16.3652</v>
      </c>
      <c r="AA82" s="778">
        <v>16.3652</v>
      </c>
      <c r="AB82" s="778">
        <v>16.3652</v>
      </c>
      <c r="AC82" s="848">
        <v>16.3652</v>
      </c>
      <c r="AD82" s="778">
        <v>11.7318</v>
      </c>
      <c r="AE82" s="778">
        <v>15.0797</v>
      </c>
      <c r="AF82" s="778">
        <v>16.3652</v>
      </c>
      <c r="AG82" s="778">
        <v>16.3652</v>
      </c>
      <c r="AH82" s="778">
        <v>16.3652</v>
      </c>
      <c r="AI82" s="848">
        <v>16.3652</v>
      </c>
      <c r="AJ82" s="16"/>
      <c r="AK82" s="849" t="str">
        <f ca="1">$K82</f>
        <v>3Q22</v>
      </c>
      <c r="AL82" s="847">
        <f ca="1">L82</f>
        <v>18.6243</v>
      </c>
      <c r="AM82" s="778">
        <v>18.285283104649</v>
      </c>
      <c r="AN82" s="778">
        <v>15.531229783089</v>
      </c>
      <c r="AO82" s="778">
        <v>18.4342230802955</v>
      </c>
      <c r="AP82" s="778">
        <v>15.7918506010747</v>
      </c>
      <c r="AQ82" s="848">
        <v>13.3630724097093</v>
      </c>
      <c r="AR82" s="847">
        <f ca="1">R82</f>
        <v>18.5239</v>
      </c>
      <c r="AS82" s="778">
        <v>18.0372200865908</v>
      </c>
      <c r="AT82" s="778">
        <v>18.548904045644</v>
      </c>
      <c r="AU82" s="778">
        <v>17.3009847075473</v>
      </c>
      <c r="AV82" s="778">
        <v>15.0214839738927</v>
      </c>
      <c r="AW82" s="848">
        <v>12.1266380876433</v>
      </c>
      <c r="AX82" s="847">
        <f ca="1">X82</f>
        <v>12.4247</v>
      </c>
      <c r="AY82" s="778">
        <v>12.7963238557254</v>
      </c>
      <c r="AZ82" s="778">
        <v>14.3983930880516</v>
      </c>
      <c r="BA82" s="778">
        <v>11.0784790142357</v>
      </c>
      <c r="BB82" s="778">
        <v>11.7401868085495</v>
      </c>
      <c r="BC82" s="848">
        <v>10.1213801363892</v>
      </c>
      <c r="BD82" s="847">
        <f ca="1">AD82</f>
        <v>11.7318</v>
      </c>
      <c r="BE82" s="778">
        <v>12.7838345671624</v>
      </c>
      <c r="BF82" s="778">
        <v>15.5062457521629</v>
      </c>
      <c r="BG82" s="778">
        <v>11.4931908863573</v>
      </c>
      <c r="BH82" s="778">
        <v>12.2156576237082</v>
      </c>
      <c r="BI82" s="848">
        <v>8.94832314922583</v>
      </c>
      <c r="BJ82" s="16"/>
      <c r="BK82" s="849" t="str">
        <f ca="1">$K82</f>
        <v>3Q22</v>
      </c>
      <c r="BL82" s="847">
        <f ca="1">AL82</f>
        <v>18.6243</v>
      </c>
      <c r="BM82" s="778">
        <v>11.2645577634905</v>
      </c>
      <c r="BN82" s="778">
        <v>16.9769983363012</v>
      </c>
      <c r="BO82" s="778">
        <v>14.6397946127696</v>
      </c>
      <c r="BP82" s="778">
        <v>18.4969909334805</v>
      </c>
      <c r="BQ82" s="848">
        <v>17.0383556428308</v>
      </c>
      <c r="BR82" s="847">
        <f ca="1">AR82</f>
        <v>18.5239</v>
      </c>
      <c r="BS82" s="778">
        <v>11.0988919387388</v>
      </c>
      <c r="BT82" s="778">
        <v>17.1678038497184</v>
      </c>
      <c r="BU82" s="778">
        <v>15.3184158666614</v>
      </c>
      <c r="BV82" s="778">
        <v>20.2337090247079</v>
      </c>
      <c r="BW82" s="848">
        <v>17.0249074363471</v>
      </c>
      <c r="BX82" s="847">
        <f ca="1">AX82</f>
        <v>12.4247</v>
      </c>
      <c r="BY82" s="778">
        <v>6.55210704601697</v>
      </c>
      <c r="BZ82" s="778">
        <v>7.58057147914367</v>
      </c>
      <c r="CA82" s="778"/>
      <c r="CB82" s="778">
        <v>15.7600485469973</v>
      </c>
      <c r="CC82" s="848">
        <v>13.1807660592666</v>
      </c>
      <c r="CD82" s="847">
        <f ca="1">BD82</f>
        <v>11.7318</v>
      </c>
      <c r="CE82" s="778">
        <v>6.6876218938895</v>
      </c>
      <c r="CF82" s="778">
        <v>13.0119608316293</v>
      </c>
      <c r="CG82" s="778">
        <v>12.4521138558247</v>
      </c>
      <c r="CH82" s="778">
        <v>14.1638045774507</v>
      </c>
      <c r="CI82" s="848">
        <v>11.7889497648763</v>
      </c>
    </row>
    <row r="83" ht="14.25" customHeight="1" spans="1:87" x14ac:dyDescent="0.25">
      <c r="A83" s="16"/>
      <c r="B83" s="16"/>
      <c r="C83" s="16" t="s">
        <v>925</v>
      </c>
      <c r="D83" s="16"/>
      <c r="E83" s="724">
        <f t="shared" ref="E83:H83" si="40" ca="1">AVERAGE(E87,E91)</f>
        <v>16.107894681806094</v>
      </c>
      <c r="F83" s="724">
        <f ca="1">AVERAGE(F87,F91)</f>
        <v>15.30298364494367</v>
      </c>
      <c r="G83" s="724">
        <f ca="1">AVERAGE(G87,G91)</f>
        <v>9.975123228525447</v>
      </c>
      <c r="H83" s="724">
        <f ca="1">AVERAGE(H87,H91)</f>
        <v>9.37575884948865</v>
      </c>
      <c r="I83" s="84">
        <f ca="1">IF(I82=4,1,I82+1)</f>
        <v>4</v>
      </c>
      <c r="J83" s="5">
        <f ca="1">IF(I83=1,J82+1,J82)</f>
        <v>2022</v>
      </c>
      <c r="K83" s="345" t="str">
        <f ca="1">I83&amp;"Q"&amp;RIGHT(J83,2)</f>
        <v>4Q22</v>
      </c>
      <c r="L83" s="847">
        <v>21.1868</v>
      </c>
      <c r="M83" s="778">
        <v>25.415</v>
      </c>
      <c r="N83" s="778">
        <v>22.9775</v>
      </c>
      <c r="O83" s="778">
        <v>22.9775</v>
      </c>
      <c r="P83" s="778">
        <v>22.9775</v>
      </c>
      <c r="Q83" s="848">
        <v>22.9775</v>
      </c>
      <c r="R83" s="778">
        <v>19.582</v>
      </c>
      <c r="S83" s="778">
        <v>23.8328</v>
      </c>
      <c r="T83" s="778">
        <v>22.3642</v>
      </c>
      <c r="U83" s="778">
        <v>22.3642</v>
      </c>
      <c r="V83" s="778">
        <v>22.3642</v>
      </c>
      <c r="W83" s="848">
        <v>22.3642</v>
      </c>
      <c r="X83" s="778">
        <v>14.012</v>
      </c>
      <c r="Y83" s="778">
        <v>16.8955</v>
      </c>
      <c r="Z83" s="778">
        <v>15.0097</v>
      </c>
      <c r="AA83" s="778">
        <v>15.0097</v>
      </c>
      <c r="AB83" s="778">
        <v>15.0097</v>
      </c>
      <c r="AC83" s="848">
        <v>15.0097</v>
      </c>
      <c r="AD83" s="778">
        <v>13.2317</v>
      </c>
      <c r="AE83" s="778">
        <v>16.4515</v>
      </c>
      <c r="AF83" s="778">
        <v>15.0097</v>
      </c>
      <c r="AG83" s="778">
        <v>15.0097</v>
      </c>
      <c r="AH83" s="778">
        <v>15.0097</v>
      </c>
      <c r="AI83" s="848">
        <v>15.0097</v>
      </c>
      <c r="AJ83" s="16"/>
      <c r="AK83" s="849" t="str">
        <f ca="1">$K83</f>
        <v>4Q22</v>
      </c>
      <c r="AL83" s="847">
        <f ca="1">L83</f>
        <v>21.1868</v>
      </c>
      <c r="AM83" s="778">
        <v>18.285283104649</v>
      </c>
      <c r="AN83" s="778">
        <v>15.531229783089</v>
      </c>
      <c r="AO83" s="778">
        <v>18.4342230802955</v>
      </c>
      <c r="AP83" s="778">
        <v>15.7918506010747</v>
      </c>
      <c r="AQ83" s="848">
        <v>13.3630724097093</v>
      </c>
      <c r="AR83" s="847">
        <f ca="1">R83</f>
        <v>19.582</v>
      </c>
      <c r="AS83" s="778">
        <v>18.0372200865908</v>
      </c>
      <c r="AT83" s="778">
        <v>18.548904045644</v>
      </c>
      <c r="AU83" s="778">
        <v>17.3009847075473</v>
      </c>
      <c r="AV83" s="778">
        <v>15.0214839738927</v>
      </c>
      <c r="AW83" s="848">
        <v>12.1266380876433</v>
      </c>
      <c r="AX83" s="847">
        <f ca="1">X83</f>
        <v>14.012</v>
      </c>
      <c r="AY83" s="778">
        <v>12.7963238557254</v>
      </c>
      <c r="AZ83" s="778">
        <v>14.3983930880516</v>
      </c>
      <c r="BA83" s="778">
        <v>11.0784790142357</v>
      </c>
      <c r="BB83" s="778">
        <v>11.7401868085495</v>
      </c>
      <c r="BC83" s="848">
        <v>10.1213801363892</v>
      </c>
      <c r="BD83" s="847">
        <f ca="1">AD83</f>
        <v>13.2317</v>
      </c>
      <c r="BE83" s="778">
        <v>12.7838345671624</v>
      </c>
      <c r="BF83" s="778">
        <v>15.5062457521629</v>
      </c>
      <c r="BG83" s="778">
        <v>11.4931908863573</v>
      </c>
      <c r="BH83" s="778">
        <v>12.2156576237082</v>
      </c>
      <c r="BI83" s="848">
        <v>8.94832314922583</v>
      </c>
      <c r="BJ83" s="16"/>
      <c r="BK83" s="849" t="str">
        <f ca="1">$K83</f>
        <v>4Q22</v>
      </c>
      <c r="BL83" s="847">
        <f ca="1">AL83</f>
        <v>21.1868</v>
      </c>
      <c r="BM83" s="778">
        <v>11.2645577634905</v>
      </c>
      <c r="BN83" s="778">
        <v>16.9769983363012</v>
      </c>
      <c r="BO83" s="778">
        <v>14.6397946127696</v>
      </c>
      <c r="BP83" s="778">
        <v>18.4969909334805</v>
      </c>
      <c r="BQ83" s="848">
        <v>17.0383556428308</v>
      </c>
      <c r="BR83" s="847">
        <f ca="1">AR83</f>
        <v>19.582</v>
      </c>
      <c r="BS83" s="778">
        <v>11.0988919387388</v>
      </c>
      <c r="BT83" s="778">
        <v>17.1678038497184</v>
      </c>
      <c r="BU83" s="778">
        <v>15.3184158666614</v>
      </c>
      <c r="BV83" s="778">
        <v>20.2337090247079</v>
      </c>
      <c r="BW83" s="848">
        <v>17.0249074363471</v>
      </c>
      <c r="BX83" s="847">
        <f ca="1">AX83</f>
        <v>14.012</v>
      </c>
      <c r="BY83" s="778">
        <v>6.55210704601697</v>
      </c>
      <c r="BZ83" s="778">
        <v>7.58057147914367</v>
      </c>
      <c r="CA83" s="778"/>
      <c r="CB83" s="778">
        <v>15.7600485469973</v>
      </c>
      <c r="CC83" s="848">
        <v>13.1807660592666</v>
      </c>
      <c r="CD83" s="847">
        <f ca="1">BD83</f>
        <v>13.2317</v>
      </c>
      <c r="CE83" s="778">
        <v>6.6876218938895</v>
      </c>
      <c r="CF83" s="778">
        <v>13.0119608316293</v>
      </c>
      <c r="CG83" s="778">
        <v>12.4521138558247</v>
      </c>
      <c r="CH83" s="778">
        <v>14.1638045774507</v>
      </c>
      <c r="CI83" s="848">
        <v>11.7889497648763</v>
      </c>
    </row>
    <row r="84" ht="14.25" customHeight="1" spans="1:87" x14ac:dyDescent="0.25">
      <c r="A84" s="16"/>
      <c r="B84" s="16"/>
      <c r="C84" s="16" t="s">
        <v>926</v>
      </c>
      <c r="D84" s="16"/>
      <c r="E84" s="724">
        <f t="shared" ref="E84:H84" si="41" ca="1">AVERAGE(E88,E92)</f>
        <v>30.136895572954842</v>
      </c>
      <c r="F84" s="724">
        <f ca="1">AVERAGE(F88,F92)</f>
        <v>16.117007849523496</v>
      </c>
      <c r="G84" s="724">
        <f ca="1">AVERAGE(G88,G92)</f>
        <v>10.637190256202512</v>
      </c>
      <c r="H84" s="724">
        <f ca="1">AVERAGE(H88,H92)</f>
        <v>9.995452299174545</v>
      </c>
      <c r="I84" s="84">
        <f ca="1">I80</f>
        <v>1</v>
      </c>
      <c r="J84" s="5">
        <f ca="1">IF(I84=1,J83+1,J83)</f>
        <v>2023</v>
      </c>
      <c r="K84" s="345" t="str">
        <f ca="1">I84&amp;"Q"&amp;RIGHT(J84,2)</f>
        <v>1Q23</v>
      </c>
      <c r="L84" s="847">
        <v>18.6831</v>
      </c>
      <c r="M84" s="778">
        <v>23.1237</v>
      </c>
      <c r="N84" s="778">
        <v>25.415</v>
      </c>
      <c r="O84" s="778">
        <v>25.415</v>
      </c>
      <c r="P84" s="778">
        <v>25.415</v>
      </c>
      <c r="Q84" s="848">
        <v>25.415</v>
      </c>
      <c r="R84" s="778">
        <v>17.5443</v>
      </c>
      <c r="S84" s="778">
        <v>22.4951</v>
      </c>
      <c r="T84" s="778">
        <v>23.8328</v>
      </c>
      <c r="U84" s="778">
        <v>23.8328</v>
      </c>
      <c r="V84" s="778">
        <v>23.8328</v>
      </c>
      <c r="W84" s="848">
        <v>23.8328</v>
      </c>
      <c r="X84" s="778">
        <v>12.5499</v>
      </c>
      <c r="Y84" s="778">
        <v>15.6145</v>
      </c>
      <c r="Z84" s="778">
        <v>16.8955</v>
      </c>
      <c r="AA84" s="778">
        <v>16.8955</v>
      </c>
      <c r="AB84" s="778">
        <v>16.8955</v>
      </c>
      <c r="AC84" s="848">
        <v>16.8955</v>
      </c>
      <c r="AD84" s="778">
        <v>12.047</v>
      </c>
      <c r="AE84" s="778">
        <v>15.599</v>
      </c>
      <c r="AF84" s="778">
        <v>16.8955</v>
      </c>
      <c r="AG84" s="778">
        <v>16.8955</v>
      </c>
      <c r="AH84" s="778">
        <v>16.8955</v>
      </c>
      <c r="AI84" s="848">
        <v>16.8955</v>
      </c>
      <c r="AJ84" s="16"/>
      <c r="AK84" s="849" t="str">
        <f ca="1">$K84</f>
        <v>1Q23</v>
      </c>
      <c r="AL84" s="847">
        <f ca="1">L84</f>
        <v>18.6831</v>
      </c>
      <c r="AM84" s="778">
        <v>18.285283104649</v>
      </c>
      <c r="AN84" s="778">
        <v>15.531229783089</v>
      </c>
      <c r="AO84" s="778">
        <v>18.4342230802955</v>
      </c>
      <c r="AP84" s="778">
        <v>15.7918506010747</v>
      </c>
      <c r="AQ84" s="848">
        <v>13.3630724097093</v>
      </c>
      <c r="AR84" s="847">
        <f ca="1">R84</f>
        <v>17.5443</v>
      </c>
      <c r="AS84" s="778">
        <v>18.0372200865908</v>
      </c>
      <c r="AT84" s="778">
        <v>18.548904045644</v>
      </c>
      <c r="AU84" s="778">
        <v>17.3009847075473</v>
      </c>
      <c r="AV84" s="778">
        <v>15.0214839738927</v>
      </c>
      <c r="AW84" s="848">
        <v>12.1266380876433</v>
      </c>
      <c r="AX84" s="847">
        <f ca="1">X84</f>
        <v>12.5499</v>
      </c>
      <c r="AY84" s="778">
        <v>12.7963238557254</v>
      </c>
      <c r="AZ84" s="778">
        <v>14.3983930880516</v>
      </c>
      <c r="BA84" s="778">
        <v>11.0784790142357</v>
      </c>
      <c r="BB84" s="778">
        <v>11.7401868085495</v>
      </c>
      <c r="BC84" s="848">
        <v>10.1213801363892</v>
      </c>
      <c r="BD84" s="847">
        <f ca="1">AD84</f>
        <v>12.047</v>
      </c>
      <c r="BE84" s="778">
        <v>12.7838345671624</v>
      </c>
      <c r="BF84" s="778">
        <v>15.5062457521629</v>
      </c>
      <c r="BG84" s="778">
        <v>11.4931908863573</v>
      </c>
      <c r="BH84" s="778">
        <v>12.2156576237082</v>
      </c>
      <c r="BI84" s="848">
        <v>8.94832314922583</v>
      </c>
      <c r="BJ84" s="16"/>
      <c r="BK84" s="849" t="str">
        <f ca="1">$K84</f>
        <v>1Q23</v>
      </c>
      <c r="BL84" s="847">
        <f ca="1">AL84</f>
        <v>18.6831</v>
      </c>
      <c r="BM84" s="778">
        <v>11.2645577634905</v>
      </c>
      <c r="BN84" s="778">
        <v>16.9769983363012</v>
      </c>
      <c r="BO84" s="778">
        <v>14.6397946127696</v>
      </c>
      <c r="BP84" s="778">
        <v>18.4969909334805</v>
      </c>
      <c r="BQ84" s="848">
        <v>17.0383556428308</v>
      </c>
      <c r="BR84" s="847">
        <f ca="1">AR84</f>
        <v>17.5443</v>
      </c>
      <c r="BS84" s="778">
        <v>11.0988919387388</v>
      </c>
      <c r="BT84" s="778">
        <v>17.1678038497184</v>
      </c>
      <c r="BU84" s="778">
        <v>15.3184158666614</v>
      </c>
      <c r="BV84" s="778">
        <v>20.2337090247079</v>
      </c>
      <c r="BW84" s="848">
        <v>17.0249074363471</v>
      </c>
      <c r="BX84" s="847">
        <f ca="1">AX84</f>
        <v>12.5499</v>
      </c>
      <c r="BY84" s="778">
        <v>6.55210704601697</v>
      </c>
      <c r="BZ84" s="778">
        <v>7.58057147914367</v>
      </c>
      <c r="CA84" s="778"/>
      <c r="CB84" s="778">
        <v>15.7600485469973</v>
      </c>
      <c r="CC84" s="848">
        <v>13.1807660592666</v>
      </c>
      <c r="CD84" s="847">
        <f ca="1">BD84</f>
        <v>12.047</v>
      </c>
      <c r="CE84" s="778">
        <v>6.6876218938895</v>
      </c>
      <c r="CF84" s="778">
        <v>13.0119608316293</v>
      </c>
      <c r="CG84" s="778">
        <v>12.4521138558247</v>
      </c>
      <c r="CH84" s="778">
        <v>14.1638045774507</v>
      </c>
      <c r="CI84" s="848">
        <v>11.7889497648763</v>
      </c>
    </row>
    <row r="85" ht="14.25" customHeight="1" spans="1:87" x14ac:dyDescent="0.25">
      <c r="A85" s="16"/>
      <c r="B85" s="16"/>
      <c r="C85" s="16" t="s">
        <v>927</v>
      </c>
      <c r="D85" s="16"/>
      <c r="E85" s="724">
        <f ca="1">AVERAGE(BM8:BQ35)</f>
        <v>19.419899684661807</v>
      </c>
      <c r="F85" s="724">
        <f ca="1">AVERAGE(BS8:BW35)</f>
        <v>16.743680586508308</v>
      </c>
      <c r="G85" s="724">
        <f ca="1">AVERAGE(BY8:CC35)</f>
        <v>9.540420082667024</v>
      </c>
      <c r="H85" s="724">
        <f ca="1">AVERAGE(CE8:CI35)</f>
        <v>9.363814673822663</v>
      </c>
      <c r="I85" s="84">
        <f ca="1">IF(I84=4,1,I84+1)</f>
        <v>2</v>
      </c>
      <c r="J85" s="5">
        <f ca="1">IF(I85=1,J84+1,J84)</f>
        <v>2023</v>
      </c>
      <c r="K85" s="345" t="str">
        <f ca="1">I85&amp;"Q"&amp;RIGHT(J85,2)</f>
        <v>2Q23</v>
      </c>
      <c r="L85" s="847">
        <v>18.7245</v>
      </c>
      <c r="M85" s="778">
        <v>22.9543</v>
      </c>
      <c r="N85" s="778">
        <v>23.1237</v>
      </c>
      <c r="O85" s="778">
        <v>23.1237</v>
      </c>
      <c r="P85" s="778">
        <v>23.1237</v>
      </c>
      <c r="Q85" s="848">
        <v>23.1237</v>
      </c>
      <c r="R85" s="778">
        <v>17.8763</v>
      </c>
      <c r="S85" s="778">
        <v>22.5469</v>
      </c>
      <c r="T85" s="778">
        <v>22.5253</v>
      </c>
      <c r="U85" s="778">
        <v>22.5253</v>
      </c>
      <c r="V85" s="778">
        <v>22.5253</v>
      </c>
      <c r="W85" s="848">
        <v>22.5253</v>
      </c>
      <c r="X85" s="778">
        <v>12.6217</v>
      </c>
      <c r="Y85" s="778">
        <v>15.7117</v>
      </c>
      <c r="Z85" s="778">
        <v>15.6145</v>
      </c>
      <c r="AA85" s="778">
        <v>15.6145</v>
      </c>
      <c r="AB85" s="778">
        <v>15.6145</v>
      </c>
      <c r="AC85" s="848">
        <v>15.6145</v>
      </c>
      <c r="AD85" s="778">
        <v>12.168</v>
      </c>
      <c r="AE85" s="778">
        <v>15.7161</v>
      </c>
      <c r="AF85" s="778">
        <v>15.6145</v>
      </c>
      <c r="AG85" s="778">
        <v>15.6145</v>
      </c>
      <c r="AH85" s="778">
        <v>15.6145</v>
      </c>
      <c r="AI85" s="848">
        <v>15.6145</v>
      </c>
      <c r="AJ85" s="16"/>
      <c r="AK85" s="849"/>
      <c r="AL85" s="847"/>
      <c r="AM85" s="778"/>
      <c r="AN85" s="778"/>
      <c r="AO85" s="778"/>
      <c r="AP85" s="778"/>
      <c r="AQ85" s="848"/>
      <c r="AR85" s="847"/>
      <c r="AS85" s="778"/>
      <c r="AT85" s="778"/>
      <c r="AU85" s="778"/>
      <c r="AV85" s="778"/>
      <c r="AW85" s="848"/>
      <c r="AX85" s="847"/>
      <c r="AY85" s="778"/>
      <c r="AZ85" s="778"/>
      <c r="BA85" s="778"/>
      <c r="BB85" s="778"/>
      <c r="BC85" s="848"/>
      <c r="BD85" s="847"/>
      <c r="BE85" s="778"/>
      <c r="BF85" s="778"/>
      <c r="BG85" s="778"/>
      <c r="BH85" s="778"/>
      <c r="BI85" s="848"/>
      <c r="BJ85" s="16"/>
      <c r="BK85" s="849"/>
      <c r="BL85" s="847"/>
      <c r="BM85" s="778"/>
      <c r="BN85" s="778"/>
      <c r="BO85" s="778"/>
      <c r="BP85" s="778"/>
      <c r="BQ85" s="848"/>
      <c r="BR85" s="847"/>
      <c r="BS85" s="778"/>
      <c r="BT85" s="778"/>
      <c r="BU85" s="778"/>
      <c r="BV85" s="778"/>
      <c r="BW85" s="848"/>
      <c r="BX85" s="847"/>
      <c r="BY85" s="778"/>
      <c r="BZ85" s="778"/>
      <c r="CA85" s="778"/>
      <c r="CB85" s="778"/>
      <c r="CC85" s="848"/>
      <c r="CD85" s="847"/>
      <c r="CE85" s="778"/>
      <c r="CF85" s="778"/>
      <c r="CG85" s="778"/>
      <c r="CH85" s="778"/>
      <c r="CI85" s="848"/>
    </row>
    <row r="86" ht="14.25" customHeight="1" spans="1:87" x14ac:dyDescent="0.25">
      <c r="A86" s="16"/>
      <c r="B86" s="16"/>
      <c r="C86" s="16" t="s">
        <v>928</v>
      </c>
      <c r="D86" s="16"/>
      <c r="E86" s="724">
        <f ca="1">AVERAGE(BM8:BQ19)</f>
        <v>25.08153198498405</v>
      </c>
      <c r="F86" s="724">
        <f ca="1">AVERAGE(BS8:BW19)</f>
        <v>19.390935509155117</v>
      </c>
      <c r="G86" s="724">
        <f ca="1">AVERAGE(BY8:CC19)</f>
        <v>9.982036835170295</v>
      </c>
      <c r="H86" s="724">
        <f ca="1">AVERAGE(CE8:CI19)</f>
      </c>
      <c r="I86" s="84"/>
      <c r="J86" s="5"/>
      <c r="K86" s="849" t="s">
        <v>534</v>
      </c>
      <c r="L86" s="847">
        <v>19.439</v>
      </c>
      <c r="M86" s="778">
        <v>23.2105</v>
      </c>
      <c r="N86" s="778">
        <v>22.613</v>
      </c>
      <c r="O86" s="778">
        <v>22.613</v>
      </c>
      <c r="P86" s="778">
        <v>22.613</v>
      </c>
      <c r="Q86" s="848">
        <v>22.613</v>
      </c>
      <c r="R86" s="778">
        <v>18.6398</v>
      </c>
      <c r="S86" s="778">
        <v>22.4473</v>
      </c>
      <c r="T86" s="778">
        <v>22.1797</v>
      </c>
      <c r="U86" s="778">
        <v>22.1797</v>
      </c>
      <c r="V86" s="778">
        <v>22.1797</v>
      </c>
      <c r="W86" s="848">
        <v>22.1797</v>
      </c>
      <c r="X86" s="778">
        <v>12.9339</v>
      </c>
      <c r="Y86" s="778">
        <v>16.0153</v>
      </c>
      <c r="Z86" s="778">
        <v>15.5011</v>
      </c>
      <c r="AA86" s="778">
        <v>15.5011</v>
      </c>
      <c r="AB86" s="778">
        <v>15.5011</v>
      </c>
      <c r="AC86" s="848">
        <v>15.5011</v>
      </c>
      <c r="AD86" s="778">
        <v>12.4849</v>
      </c>
      <c r="AE86" s="778">
        <v>15.5814</v>
      </c>
      <c r="AF86" s="778">
        <v>15.5011</v>
      </c>
      <c r="AG86" s="778">
        <v>15.5011</v>
      </c>
      <c r="AH86" s="778">
        <v>15.5011</v>
      </c>
      <c r="AI86" s="848">
        <v>15.5011</v>
      </c>
      <c r="AJ86" s="16"/>
      <c r="AK86" s="849" t="str">
        <f ca="1">$K86</f>
        <v>Current</v>
      </c>
      <c r="AL86" s="847">
        <f ca="1">L86</f>
        <v>19.439</v>
      </c>
      <c r="AM86" s="778">
        <v>18.285283104649</v>
      </c>
      <c r="AN86" s="778">
        <v>15.531229783089</v>
      </c>
      <c r="AO86" s="778">
        <v>18.4342230802955</v>
      </c>
      <c r="AP86" s="778">
        <v>15.7918506010747</v>
      </c>
      <c r="AQ86" s="848">
        <v>13.3630724097093</v>
      </c>
      <c r="AR86" s="847">
        <f ca="1">R86</f>
        <v>18.6398</v>
      </c>
      <c r="AS86" s="778">
        <v>18.0372200865908</v>
      </c>
      <c r="AT86" s="778">
        <v>18.548904045644</v>
      </c>
      <c r="AU86" s="778">
        <v>17.3009847075473</v>
      </c>
      <c r="AV86" s="778">
        <v>15.0214839738927</v>
      </c>
      <c r="AW86" s="848">
        <v>12.1266380876433</v>
      </c>
      <c r="AX86" s="847">
        <f ca="1">X86</f>
        <v>12.9339</v>
      </c>
      <c r="AY86" s="778">
        <v>12.7963238557254</v>
      </c>
      <c r="AZ86" s="778">
        <v>14.3983930880516</v>
      </c>
      <c r="BA86" s="778">
        <v>11.0784790142357</v>
      </c>
      <c r="BB86" s="778">
        <v>11.7401868085495</v>
      </c>
      <c r="BC86" s="848">
        <v>10.1213801363892</v>
      </c>
      <c r="BD86" s="847">
        <f ca="1">AD86</f>
        <v>12.4849</v>
      </c>
      <c r="BE86" s="778">
        <v>12.7838345671624</v>
      </c>
      <c r="BF86" s="778">
        <v>15.5062457521629</v>
      </c>
      <c r="BG86" s="778">
        <v>11.4931908863573</v>
      </c>
      <c r="BH86" s="778">
        <v>12.2156576237082</v>
      </c>
      <c r="BI86" s="848">
        <v>8.94832314922583</v>
      </c>
      <c r="BJ86" s="16"/>
      <c r="BK86" s="849" t="str">
        <f ca="1">$K86</f>
        <v>Current</v>
      </c>
      <c r="BL86" s="847">
        <f ca="1">AL86</f>
        <v>19.439</v>
      </c>
      <c r="BM86" s="778">
        <v>11.2645577634905</v>
      </c>
      <c r="BN86" s="778">
        <v>16.9769983363012</v>
      </c>
      <c r="BO86" s="778">
        <v>14.6397946127696</v>
      </c>
      <c r="BP86" s="778">
        <v>18.4969909334805</v>
      </c>
      <c r="BQ86" s="848">
        <v>17.0383556428308</v>
      </c>
      <c r="BR86" s="847">
        <f ca="1">AR86</f>
        <v>18.6398</v>
      </c>
      <c r="BS86" s="778">
        <v>11.0988919387388</v>
      </c>
      <c r="BT86" s="778">
        <v>17.1678038497184</v>
      </c>
      <c r="BU86" s="778">
        <v>15.3184158666614</v>
      </c>
      <c r="BV86" s="778">
        <v>20.2337090247079</v>
      </c>
      <c r="BW86" s="848">
        <v>17.0249074363471</v>
      </c>
      <c r="BX86" s="847">
        <f ca="1">AX86</f>
        <v>12.9339</v>
      </c>
      <c r="BY86" s="778">
        <v>6.55210704601697</v>
      </c>
      <c r="BZ86" s="778">
        <v>7.58057147914367</v>
      </c>
      <c r="CA86" s="778"/>
      <c r="CB86" s="778">
        <v>15.7600485469973</v>
      </c>
      <c r="CC86" s="848">
        <v>13.1807660592666</v>
      </c>
      <c r="CD86" s="847">
        <f ca="1">BD86</f>
        <v>12.4849</v>
      </c>
      <c r="CE86" s="778">
        <v>6.6876218938895</v>
      </c>
      <c r="CF86" s="778">
        <v>13.0119608316293</v>
      </c>
      <c r="CG86" s="778">
        <v>12.4521138558247</v>
      </c>
      <c r="CH86" s="778">
        <v>14.1638045774507</v>
      </c>
      <c r="CI86" s="848">
        <v>11.7889497648763</v>
      </c>
    </row>
    <row r="87" ht="14.25" customHeight="1" spans="1:87" x14ac:dyDescent="0.25">
      <c r="A87" s="16"/>
      <c r="B87" s="16"/>
      <c r="C87" s="16" t="s">
        <v>929</v>
      </c>
      <c r="D87" s="16"/>
      <c r="E87" s="724">
        <f ca="1">AVERAGE(BM16:BQ27)</f>
        <v>16.855510192182262</v>
      </c>
      <c r="F87" s="724">
        <f ca="1">AVERAGE(BS16:BW27)</f>
        <v>16.195028889155573</v>
      </c>
      <c r="G87" s="724">
        <f ca="1">AVERAGE(BY16:CC27)</f>
        <v>10.485944434620379</v>
      </c>
      <c r="H87" s="724">
        <f ca="1">AVERAGE(CE16:CI27)</f>
        <v>10.278506200183173</v>
      </c>
      <c r="I87" s="84"/>
      <c r="J87" s="5"/>
      <c r="K87" s="84"/>
      <c r="L87" s="850"/>
      <c r="M87" s="850"/>
      <c r="N87" s="850"/>
      <c r="O87" s="850"/>
      <c r="P87" s="850"/>
      <c r="Q87" s="850"/>
      <c r="R87" s="16"/>
      <c r="S87" s="16"/>
      <c r="T87" s="16"/>
      <c r="U87" s="16"/>
      <c r="V87" s="16"/>
      <c r="W87" s="16"/>
      <c r="X87" s="16"/>
      <c r="Y87" s="16"/>
      <c r="Z87" s="16"/>
      <c r="AA87" s="16"/>
      <c r="AB87" s="16"/>
      <c r="AC87" s="16"/>
      <c r="AD87" s="16"/>
      <c r="AE87" s="16"/>
      <c r="AF87" s="16"/>
      <c r="AG87" s="16"/>
      <c r="AH87" s="16"/>
      <c r="AI87" s="16"/>
      <c r="AJ87" s="16"/>
      <c r="AK87" s="16"/>
      <c r="AL87" s="16"/>
      <c r="AM87" s="16"/>
      <c r="AN87" s="16"/>
      <c r="AO87" s="16"/>
      <c r="AP87" s="16"/>
      <c r="AQ87" s="16"/>
      <c r="AR87" s="16"/>
      <c r="AS87" s="16"/>
      <c r="AT87" s="16"/>
      <c r="AU87" s="16"/>
      <c r="AV87" s="16"/>
      <c r="AW87" s="16"/>
      <c r="AX87" s="16"/>
      <c r="AY87" s="16"/>
      <c r="AZ87" s="16"/>
      <c r="BA87" s="16"/>
      <c r="BB87" s="16"/>
      <c r="BC87" s="16"/>
      <c r="BD87" s="16"/>
      <c r="BE87" s="16"/>
      <c r="BF87" s="16"/>
      <c r="BG87" s="16"/>
      <c r="BH87" s="16"/>
      <c r="BI87" s="16"/>
      <c r="BJ87" s="16"/>
      <c r="BK87" s="16"/>
      <c r="BL87" s="16"/>
      <c r="BM87" s="16"/>
      <c r="BN87" s="16"/>
      <c r="BO87" s="16"/>
      <c r="BP87" s="16"/>
      <c r="BQ87" s="16"/>
      <c r="BR87" s="16"/>
      <c r="BS87" s="16"/>
      <c r="BT87" s="16"/>
      <c r="BU87" s="16"/>
      <c r="BV87" s="16"/>
      <c r="BW87" s="16"/>
      <c r="BX87" s="16"/>
      <c r="BY87" s="16"/>
      <c r="BZ87" s="16"/>
      <c r="CA87" s="16"/>
      <c r="CB87" s="16"/>
      <c r="CC87" s="16"/>
      <c r="CD87" s="16"/>
      <c r="CE87" s="16"/>
      <c r="CF87" s="16"/>
      <c r="CG87" s="16"/>
      <c r="CH87" s="16"/>
      <c r="CI87" s="16"/>
    </row>
    <row r="88" ht="14.25" customHeight="1" spans="1:87" x14ac:dyDescent="0.25">
      <c r="A88" s="16"/>
      <c r="B88" s="16"/>
      <c r="C88" s="16" t="s">
        <v>930</v>
      </c>
      <c r="D88" s="16"/>
      <c r="E88" s="724">
        <f ca="1">AVERAGE(BM24:BQ35)</f>
        <v>14.892234450874573</v>
      </c>
      <c r="F88" s="724">
        <f ca="1">AVERAGE(BS24:BW35)</f>
        <v>14.540423109972403</v>
      </c>
      <c r="G88" s="724">
        <f ca="1">AVERAGE(BY24:CC35)</f>
        <v>8.87013984911078</v>
      </c>
      <c r="H88" s="724">
        <f ca="1">AVERAGE(CE24:CI35)</f>
        <v>8.944867809388638</v>
      </c>
      <c r="I88" s="84"/>
      <c r="J88" s="16"/>
      <c r="K88" s="84"/>
      <c r="L88" s="850"/>
      <c r="M88" s="850"/>
      <c r="N88" s="850"/>
      <c r="O88" s="850"/>
      <c r="P88" s="850"/>
      <c r="Q88" s="850"/>
      <c r="R88" s="16"/>
      <c r="S88" s="16"/>
      <c r="T88" s="16"/>
      <c r="U88" s="16"/>
      <c r="V88" s="16"/>
      <c r="W88" s="16"/>
      <c r="X88" s="16"/>
      <c r="Y88" s="16"/>
      <c r="Z88" s="16"/>
      <c r="AA88" s="16"/>
      <c r="AB88" s="16"/>
      <c r="AC88" s="16"/>
      <c r="AD88" s="16"/>
      <c r="AE88" s="16"/>
      <c r="AF88" s="16"/>
      <c r="AG88" s="16"/>
      <c r="AH88" s="16"/>
      <c r="AI88" s="16"/>
      <c r="AJ88" s="16"/>
      <c r="AK88" s="16"/>
      <c r="AL88" s="16"/>
      <c r="AM88" s="16"/>
      <c r="AN88" s="16"/>
      <c r="AO88" s="16"/>
      <c r="AP88" s="16"/>
      <c r="AQ88" s="16"/>
      <c r="AR88" s="16"/>
      <c r="AS88" s="16"/>
      <c r="AT88" s="16"/>
      <c r="AU88" s="16"/>
      <c r="AV88" s="16"/>
      <c r="AW88" s="16"/>
      <c r="AX88" s="16"/>
      <c r="AY88" s="16"/>
      <c r="AZ88" s="16"/>
      <c r="BA88" s="16"/>
      <c r="BB88" s="16"/>
      <c r="BC88" s="16"/>
      <c r="BD88" s="16"/>
      <c r="BE88" s="16"/>
      <c r="BF88" s="16"/>
      <c r="BG88" s="16"/>
      <c r="BH88" s="16"/>
      <c r="BI88" s="16"/>
      <c r="BJ88" s="16"/>
      <c r="BK88" s="16"/>
      <c r="BL88" s="16"/>
      <c r="BM88" s="16"/>
      <c r="BN88" s="16"/>
      <c r="BO88" s="16"/>
      <c r="BP88" s="16"/>
      <c r="BQ88" s="16"/>
      <c r="BR88" s="16"/>
      <c r="BS88" s="16"/>
      <c r="BT88" s="16"/>
      <c r="BU88" s="16"/>
      <c r="BV88" s="16"/>
      <c r="BW88" s="16"/>
      <c r="BX88" s="16"/>
      <c r="BY88" s="16"/>
      <c r="BZ88" s="16"/>
      <c r="CA88" s="16"/>
      <c r="CB88" s="16"/>
      <c r="CC88" s="16"/>
      <c r="CD88" s="16"/>
      <c r="CE88" s="16"/>
      <c r="CF88" s="16"/>
      <c r="CG88" s="16"/>
      <c r="CH88" s="16"/>
      <c r="CI88" s="16"/>
    </row>
    <row r="89" ht="14.25" customHeight="1" spans="1:87" x14ac:dyDescent="0.25">
      <c r="A89" s="16"/>
      <c r="B89" s="16"/>
      <c r="C89" s="16" t="s">
        <v>931</v>
      </c>
      <c r="D89" s="16"/>
      <c r="E89" s="724">
        <f ca="1">AVERAGE(BM36:BQ75)</f>
        <v>27.20363279358067</v>
      </c>
      <c r="F89" s="724">
        <f ca="1">AVERAGE(BS36:BW75)</f>
        <v>15.825453469779573</v>
      </c>
      <c r="G89" s="724">
        <f ca="1">AVERAGE(BY36:CC75)</f>
        <v>10.073825521986931</v>
      </c>
      <c r="H89" s="724">
        <f ca="1">AVERAGE(CE36:CI75)</f>
        <v>9.199869185829074</v>
      </c>
      <c r="I89" s="724"/>
      <c r="J89" s="16"/>
      <c r="K89" s="84"/>
      <c r="L89" s="850"/>
      <c r="M89" s="850"/>
      <c r="N89" s="850"/>
      <c r="O89" s="850"/>
      <c r="P89" s="850"/>
      <c r="Q89" s="850"/>
      <c r="R89" s="16"/>
      <c r="S89" s="16"/>
      <c r="T89" s="16"/>
      <c r="U89" s="16"/>
      <c r="V89" s="16"/>
      <c r="W89" s="16"/>
      <c r="X89" s="16"/>
      <c r="Y89" s="16"/>
      <c r="Z89" s="16"/>
      <c r="AA89" s="16"/>
      <c r="AB89" s="16"/>
      <c r="AC89" s="16"/>
      <c r="AD89" s="16"/>
      <c r="AE89" s="16"/>
      <c r="AF89" s="16"/>
      <c r="AG89" s="16"/>
      <c r="AH89" s="16"/>
      <c r="AI89" s="16"/>
      <c r="AJ89" s="16"/>
      <c r="AK89" s="16"/>
      <c r="AL89" s="16"/>
      <c r="AM89" s="16"/>
      <c r="AN89" s="16"/>
      <c r="AO89" s="16"/>
      <c r="AP89" s="16"/>
      <c r="AQ89" s="16"/>
      <c r="AR89" s="16"/>
      <c r="AS89" s="16"/>
      <c r="AT89" s="16"/>
      <c r="AU89" s="16"/>
      <c r="AV89" s="16"/>
      <c r="AW89" s="16"/>
      <c r="AX89" s="16"/>
      <c r="AY89" s="16"/>
      <c r="AZ89" s="16"/>
      <c r="BA89" s="16"/>
      <c r="BB89" s="16"/>
      <c r="BC89" s="16"/>
      <c r="BD89" s="16"/>
      <c r="BE89" s="16"/>
      <c r="BF89" s="16"/>
      <c r="BG89" s="16"/>
      <c r="BH89" s="16"/>
      <c r="BI89" s="16"/>
      <c r="BJ89" s="16"/>
      <c r="BK89" s="16"/>
      <c r="BL89" s="16"/>
      <c r="BM89" s="16"/>
      <c r="BN89" s="16"/>
      <c r="BO89" s="16"/>
      <c r="BP89" s="16"/>
      <c r="BQ89" s="16"/>
      <c r="BR89" s="16"/>
      <c r="BS89" s="16"/>
      <c r="BT89" s="16"/>
      <c r="BU89" s="16"/>
      <c r="BV89" s="16"/>
      <c r="BW89" s="16"/>
      <c r="BX89" s="16"/>
      <c r="BY89" s="16"/>
      <c r="BZ89" s="16"/>
      <c r="CA89" s="16"/>
      <c r="CB89" s="16"/>
      <c r="CC89" s="16"/>
      <c r="CD89" s="16"/>
      <c r="CE89" s="16"/>
      <c r="CF89" s="16"/>
      <c r="CG89" s="16"/>
      <c r="CH89" s="16"/>
      <c r="CI89" s="16"/>
    </row>
    <row r="90" ht="14.25" customHeight="1" spans="1:87" x14ac:dyDescent="0.25">
      <c r="A90" s="16"/>
      <c r="B90" s="16"/>
      <c r="C90" s="16" t="s">
        <v>932</v>
      </c>
      <c r="D90" s="16"/>
      <c r="E90" s="724">
        <f ca="1">AVERAGE(BM36:BQ51)</f>
        <v>15.126464651316216</v>
      </c>
      <c r="F90" s="724">
        <f ca="1">AVERAGE(BS36:BW51)</f>
        <v>14.60348394048503</v>
      </c>
      <c r="G90" s="724">
        <f ca="1">AVERAGE(BY36:CC51)</f>
        <v>8.170565698635658</v>
      </c>
      <c r="H90" s="724">
        <f ca="1">AVERAGE(CE36:CI51)</f>
        <v>7.715030716735617</v>
      </c>
      <c r="I90" s="724"/>
      <c r="J90" s="16"/>
      <c r="K90" s="84"/>
      <c r="L90" s="850"/>
      <c r="M90" s="850"/>
      <c r="N90" s="850"/>
      <c r="O90" s="850"/>
      <c r="P90" s="850"/>
      <c r="Q90" s="850"/>
      <c r="R90" s="16"/>
      <c r="S90" s="16"/>
      <c r="T90" s="16"/>
      <c r="U90" s="16"/>
      <c r="V90" s="16"/>
      <c r="W90" s="16"/>
      <c r="X90" s="16"/>
      <c r="Y90" s="16"/>
      <c r="Z90" s="16"/>
      <c r="AA90" s="16"/>
      <c r="AB90" s="16"/>
      <c r="AC90" s="16"/>
      <c r="AD90" s="16"/>
      <c r="AE90" s="16"/>
      <c r="AF90" s="16"/>
      <c r="AG90" s="16"/>
      <c r="AH90" s="16"/>
      <c r="AI90" s="16"/>
      <c r="AJ90" s="16"/>
      <c r="AK90" s="16"/>
      <c r="AL90" s="16"/>
      <c r="AM90" s="16"/>
      <c r="AN90" s="16"/>
      <c r="AO90" s="16"/>
      <c r="AP90" s="16"/>
      <c r="AQ90" s="16"/>
      <c r="AR90" s="16"/>
      <c r="AS90" s="16"/>
      <c r="AT90" s="16"/>
      <c r="AU90" s="16"/>
      <c r="AV90" s="16"/>
      <c r="AW90" s="16"/>
      <c r="AX90" s="16"/>
      <c r="AY90" s="16"/>
      <c r="AZ90" s="16"/>
      <c r="BA90" s="16"/>
      <c r="BB90" s="16"/>
      <c r="BC90" s="16"/>
      <c r="BD90" s="16"/>
      <c r="BE90" s="16"/>
      <c r="BF90" s="16"/>
      <c r="BG90" s="16"/>
      <c r="BH90" s="16"/>
      <c r="BI90" s="16"/>
      <c r="BJ90" s="16"/>
      <c r="BK90" s="16"/>
      <c r="BL90" s="16"/>
      <c r="BM90" s="16"/>
      <c r="BN90" s="16"/>
      <c r="BO90" s="16"/>
      <c r="BP90" s="16"/>
      <c r="BQ90" s="16"/>
      <c r="BR90" s="16"/>
      <c r="BS90" s="16"/>
      <c r="BT90" s="16"/>
      <c r="BU90" s="16"/>
      <c r="BV90" s="16"/>
      <c r="BW90" s="16"/>
      <c r="BX90" s="16"/>
      <c r="BY90" s="16"/>
      <c r="BZ90" s="16"/>
      <c r="CA90" s="16"/>
      <c r="CB90" s="16"/>
      <c r="CC90" s="16"/>
      <c r="CD90" s="16"/>
      <c r="CE90" s="16"/>
      <c r="CF90" s="16"/>
      <c r="CG90" s="16"/>
      <c r="CH90" s="16"/>
      <c r="CI90" s="16"/>
    </row>
    <row r="91" ht="14.25" customHeight="1" spans="1:87" x14ac:dyDescent="0.25">
      <c r="A91" s="16"/>
      <c r="B91" s="16"/>
      <c r="C91" s="16" t="s">
        <v>933</v>
      </c>
      <c r="D91" s="16"/>
      <c r="E91" s="724">
        <f ca="1">AVERAGE(BM48:BQ63)</f>
        <v>15.360279171429923</v>
      </c>
      <c r="F91" s="724">
        <f ca="1">AVERAGE(BS48:BW63)</f>
        <v>14.410938400731766</v>
      </c>
      <c r="G91" s="724">
        <f ca="1">AVERAGE(BY48:CC63)</f>
        <v>9.464302022430516</v>
      </c>
      <c r="H91" s="724">
        <f ca="1">AVERAGE(CE48:CI63)</f>
        <v>8.473011498794126</v>
      </c>
      <c r="I91" s="724"/>
      <c r="J91" s="16"/>
      <c r="K91" s="84"/>
      <c r="L91" s="850"/>
      <c r="M91" s="850"/>
      <c r="N91" s="850"/>
      <c r="O91" s="850"/>
      <c r="P91" s="850"/>
      <c r="Q91" s="850"/>
      <c r="R91" s="16"/>
      <c r="S91" s="16"/>
      <c r="T91" s="16"/>
      <c r="U91" s="16"/>
      <c r="V91" s="16"/>
      <c r="W91" s="16"/>
      <c r="X91" s="16"/>
      <c r="Y91" s="16"/>
      <c r="Z91" s="16"/>
      <c r="AA91" s="16"/>
      <c r="AB91" s="16"/>
      <c r="AC91" s="16"/>
      <c r="AD91" s="16"/>
      <c r="AE91" s="16"/>
      <c r="AF91" s="16"/>
      <c r="AG91" s="16"/>
      <c r="AH91" s="16"/>
      <c r="AI91" s="16"/>
      <c r="AJ91" s="16"/>
      <c r="AK91" s="16"/>
      <c r="AL91" s="16"/>
      <c r="AM91" s="16"/>
      <c r="AN91" s="16"/>
      <c r="AO91" s="16"/>
      <c r="AP91" s="16"/>
      <c r="AQ91" s="16"/>
      <c r="AR91" s="16"/>
      <c r="AS91" s="16"/>
      <c r="AT91" s="16"/>
      <c r="AU91" s="16"/>
      <c r="AV91" s="16"/>
      <c r="AW91" s="16"/>
      <c r="AX91" s="16"/>
      <c r="AY91" s="16"/>
      <c r="AZ91" s="16"/>
      <c r="BA91" s="16"/>
      <c r="BB91" s="16"/>
      <c r="BC91" s="16"/>
      <c r="BD91" s="16"/>
      <c r="BE91" s="16"/>
      <c r="BF91" s="16"/>
      <c r="BG91" s="16"/>
      <c r="BH91" s="16"/>
      <c r="BI91" s="16"/>
      <c r="BJ91" s="16"/>
      <c r="BK91" s="16"/>
      <c r="BL91" s="16"/>
      <c r="BM91" s="16"/>
      <c r="BN91" s="16"/>
      <c r="BO91" s="16"/>
      <c r="BP91" s="16"/>
      <c r="BQ91" s="16"/>
      <c r="BR91" s="16"/>
      <c r="BS91" s="16"/>
      <c r="BT91" s="16"/>
      <c r="BU91" s="16"/>
      <c r="BV91" s="16"/>
      <c r="BW91" s="16"/>
      <c r="BX91" s="16"/>
      <c r="BY91" s="16"/>
      <c r="BZ91" s="16"/>
      <c r="CA91" s="16"/>
      <c r="CB91" s="16"/>
      <c r="CC91" s="16"/>
      <c r="CD91" s="16"/>
      <c r="CE91" s="16"/>
      <c r="CF91" s="16"/>
      <c r="CG91" s="16"/>
      <c r="CH91" s="16"/>
      <c r="CI91" s="16"/>
    </row>
    <row r="92" ht="14.25" customHeight="1" spans="1:87" x14ac:dyDescent="0.25">
      <c r="A92" s="16"/>
      <c r="B92" s="16"/>
      <c r="C92" s="16" t="s">
        <v>934</v>
      </c>
      <c r="D92" s="16"/>
      <c r="E92" s="724">
        <f ca="1">AVERAGE(BM60:BQ75)</f>
        <v>45.38155669503511</v>
      </c>
      <c r="F92" s="724">
        <f ca="1">AVERAGE(BS60:BW75)</f>
        <v>17.69359258907459</v>
      </c>
      <c r="G92" s="724">
        <f ca="1">AVERAGE(BY60:CC75)</f>
        <v>12.404240663294244</v>
      </c>
      <c r="H92" s="724">
        <f ca="1">AVERAGE(CE60:CI75)</f>
        <v>11.046036788960452</v>
      </c>
      <c r="I92" s="724"/>
      <c r="J92" s="16"/>
      <c r="K92" s="84"/>
      <c r="L92" s="850"/>
      <c r="M92" s="850"/>
      <c r="N92" s="850"/>
      <c r="O92" s="850"/>
      <c r="P92" s="850"/>
      <c r="Q92" s="850"/>
      <c r="R92" s="16"/>
      <c r="S92" s="16"/>
      <c r="T92" s="16"/>
      <c r="U92" s="16"/>
      <c r="V92" s="16"/>
      <c r="W92" s="16"/>
      <c r="X92" s="16"/>
      <c r="Y92" s="16"/>
      <c r="Z92" s="16"/>
      <c r="AA92" s="16"/>
      <c r="AB92" s="16"/>
      <c r="AC92" s="16"/>
      <c r="AD92" s="16"/>
      <c r="AE92" s="16"/>
      <c r="AF92" s="16"/>
      <c r="AG92" s="16"/>
      <c r="AH92" s="16"/>
      <c r="AI92" s="16"/>
      <c r="AJ92" s="16"/>
      <c r="AK92" s="16"/>
      <c r="AL92" s="16"/>
      <c r="AM92" s="16"/>
      <c r="AN92" s="16"/>
      <c r="AO92" s="16"/>
      <c r="AP92" s="16"/>
      <c r="AQ92" s="16"/>
      <c r="AR92" s="16"/>
      <c r="AS92" s="16"/>
      <c r="AT92" s="16"/>
      <c r="AU92" s="16"/>
      <c r="AV92" s="16"/>
      <c r="AW92" s="16"/>
      <c r="AX92" s="16"/>
      <c r="AY92" s="16"/>
      <c r="AZ92" s="16"/>
      <c r="BA92" s="16"/>
      <c r="BB92" s="16"/>
      <c r="BC92" s="16"/>
      <c r="BD92" s="16"/>
      <c r="BE92" s="16"/>
      <c r="BF92" s="16"/>
      <c r="BG92" s="16"/>
      <c r="BH92" s="16"/>
      <c r="BI92" s="16"/>
      <c r="BJ92" s="16"/>
      <c r="BK92" s="16"/>
      <c r="BL92" s="16"/>
      <c r="BM92" s="16"/>
      <c r="BN92" s="16"/>
      <c r="BO92" s="16"/>
      <c r="BP92" s="16"/>
      <c r="BQ92" s="16"/>
      <c r="BR92" s="16"/>
      <c r="BS92" s="16"/>
      <c r="BT92" s="16"/>
      <c r="BU92" s="16"/>
      <c r="BV92" s="16"/>
      <c r="BW92" s="16"/>
      <c r="BX92" s="16"/>
      <c r="BY92" s="16"/>
      <c r="BZ92" s="16"/>
      <c r="CA92" s="16"/>
      <c r="CB92" s="16"/>
      <c r="CC92" s="16"/>
      <c r="CD92" s="16"/>
      <c r="CE92" s="16"/>
      <c r="CF92" s="16"/>
      <c r="CG92" s="16"/>
      <c r="CH92" s="16"/>
      <c r="CI92" s="16"/>
    </row>
    <row r="93" ht="14.25" customHeight="1" spans="1:87" x14ac:dyDescent="0.25">
      <c r="A93" s="16"/>
      <c r="B93" s="16"/>
      <c r="C93" s="16"/>
      <c r="D93" s="16"/>
      <c r="E93" s="16"/>
      <c r="F93" s="16"/>
      <c r="G93" s="16"/>
      <c r="H93" s="16"/>
      <c r="I93" s="16"/>
      <c r="J93" s="16"/>
      <c r="K93" s="84"/>
      <c r="L93" s="850"/>
      <c r="M93" s="850"/>
      <c r="N93" s="850"/>
      <c r="O93" s="850"/>
      <c r="P93" s="850"/>
      <c r="Q93" s="850"/>
      <c r="R93" s="16"/>
      <c r="S93" s="16"/>
      <c r="T93" s="16"/>
      <c r="U93" s="16"/>
      <c r="V93" s="16"/>
      <c r="W93" s="16"/>
      <c r="X93" s="16"/>
      <c r="Y93" s="16"/>
      <c r="Z93" s="16"/>
      <c r="AA93" s="16"/>
      <c r="AB93" s="16"/>
      <c r="AC93" s="16"/>
      <c r="AD93" s="16"/>
      <c r="AE93" s="16"/>
      <c r="AF93" s="16"/>
      <c r="AG93" s="16"/>
      <c r="AH93" s="16"/>
      <c r="AI93" s="16"/>
      <c r="AJ93" s="16"/>
      <c r="AK93" s="16"/>
      <c r="AL93" s="16"/>
      <c r="AM93" s="16"/>
      <c r="AN93" s="16"/>
      <c r="AO93" s="16"/>
      <c r="AP93" s="16"/>
      <c r="AQ93" s="16"/>
      <c r="AR93" s="16"/>
      <c r="AS93" s="16"/>
      <c r="AT93" s="16"/>
      <c r="AU93" s="16"/>
      <c r="AV93" s="16"/>
      <c r="AW93" s="16"/>
      <c r="AX93" s="16"/>
      <c r="AY93" s="16"/>
      <c r="AZ93" s="16"/>
      <c r="BA93" s="16"/>
      <c r="BB93" s="16"/>
      <c r="BC93" s="16"/>
      <c r="BD93" s="16"/>
      <c r="BE93" s="16"/>
      <c r="BF93" s="16"/>
      <c r="BG93" s="16"/>
      <c r="BH93" s="16"/>
      <c r="BI93" s="16"/>
      <c r="BJ93" s="16"/>
      <c r="BK93" s="16"/>
      <c r="BL93" s="16"/>
      <c r="BM93" s="16"/>
      <c r="BN93" s="16"/>
      <c r="BO93" s="16"/>
      <c r="BP93" s="16"/>
      <c r="BQ93" s="16"/>
      <c r="BR93" s="16"/>
      <c r="BS93" s="16"/>
      <c r="BT93" s="16"/>
      <c r="BU93" s="16"/>
      <c r="BV93" s="16"/>
      <c r="BW93" s="16"/>
      <c r="BX93" s="16"/>
      <c r="BY93" s="16"/>
      <c r="BZ93" s="16"/>
      <c r="CA93" s="16"/>
      <c r="CB93" s="16"/>
      <c r="CC93" s="16"/>
      <c r="CD93" s="16"/>
      <c r="CE93" s="16"/>
      <c r="CF93" s="16"/>
      <c r="CG93" s="16"/>
      <c r="CH93" s="16"/>
      <c r="CI93" s="16"/>
    </row>
    <row r="94" ht="14.25" customHeight="1" spans="1:87" x14ac:dyDescent="0.25">
      <c r="A94" s="264" t="s">
        <v>1</v>
      </c>
      <c r="B94" s="16"/>
      <c r="C94" s="16"/>
      <c r="D94" s="16"/>
      <c r="E94" s="16"/>
      <c r="F94" s="16"/>
      <c r="G94" s="16"/>
      <c r="H94" s="16"/>
      <c r="I94" s="16"/>
      <c r="J94" s="16"/>
      <c r="K94" s="84"/>
      <c r="L94" s="850"/>
      <c r="M94" s="850"/>
      <c r="N94" s="850"/>
      <c r="O94" s="850"/>
      <c r="P94" s="850"/>
      <c r="Q94" s="850"/>
      <c r="R94" s="16"/>
      <c r="S94" s="16"/>
      <c r="T94" s="16"/>
      <c r="U94" s="16"/>
      <c r="V94" s="16"/>
      <c r="W94" s="16"/>
      <c r="X94" s="16"/>
      <c r="Y94" s="16"/>
      <c r="Z94" s="16"/>
      <c r="AA94" s="16"/>
      <c r="AB94" s="16"/>
      <c r="AC94" s="16"/>
      <c r="AD94" s="16"/>
      <c r="AE94" s="16"/>
      <c r="AF94" s="16"/>
      <c r="AG94" s="16"/>
      <c r="AH94" s="16"/>
      <c r="AI94" s="16"/>
      <c r="AJ94" s="16"/>
      <c r="AK94" s="16"/>
      <c r="AL94" s="16"/>
      <c r="AM94" s="16"/>
      <c r="AN94" s="16"/>
      <c r="AO94" s="16"/>
      <c r="AP94" s="16"/>
      <c r="AQ94" s="16"/>
      <c r="AR94" s="16"/>
      <c r="AS94" s="16"/>
      <c r="AT94" s="16"/>
      <c r="AU94" s="16"/>
      <c r="AV94" s="16"/>
      <c r="AW94" s="16"/>
      <c r="AX94" s="16"/>
      <c r="AY94" s="16"/>
      <c r="AZ94" s="16"/>
      <c r="BA94" s="16"/>
      <c r="BB94" s="16"/>
      <c r="BC94" s="16"/>
      <c r="BD94" s="16"/>
      <c r="BE94" s="16"/>
      <c r="BF94" s="16"/>
      <c r="BG94" s="16"/>
      <c r="BH94" s="16"/>
      <c r="BI94" s="16"/>
      <c r="BJ94" s="16"/>
      <c r="BK94" s="16"/>
      <c r="BL94" s="16"/>
      <c r="BM94" s="16"/>
      <c r="BN94" s="16"/>
      <c r="BO94" s="16"/>
      <c r="BP94" s="16"/>
      <c r="BQ94" s="16"/>
      <c r="BR94" s="16"/>
      <c r="BS94" s="16"/>
      <c r="BT94" s="16"/>
      <c r="BU94" s="16"/>
      <c r="BV94" s="16"/>
      <c r="BW94" s="16"/>
      <c r="BX94" s="16"/>
      <c r="BY94" s="16"/>
      <c r="BZ94" s="16"/>
      <c r="CA94" s="16"/>
      <c r="CB94" s="16"/>
      <c r="CC94" s="16"/>
      <c r="CD94" s="16"/>
      <c r="CE94" s="16"/>
      <c r="CF94" s="16"/>
      <c r="CG94" s="16"/>
      <c r="CH94" s="16"/>
      <c r="CI94" s="16"/>
    </row>
    <row r="95" ht="14.25" customHeight="1" spans="1:87" x14ac:dyDescent="0.25">
      <c r="A95" s="16"/>
      <c r="B95" s="16"/>
      <c r="C95" s="16"/>
      <c r="D95" s="16"/>
      <c r="E95" s="16"/>
      <c r="F95" s="16"/>
      <c r="G95" s="16"/>
      <c r="H95" s="16"/>
      <c r="I95" s="16"/>
      <c r="J95" s="16"/>
      <c r="K95" s="84"/>
      <c r="L95" s="850"/>
      <c r="M95" s="850"/>
      <c r="N95" s="850"/>
      <c r="O95" s="850"/>
      <c r="P95" s="850"/>
      <c r="Q95" s="850"/>
      <c r="R95" s="16"/>
      <c r="S95" s="16"/>
      <c r="T95" s="16"/>
      <c r="U95" s="16"/>
      <c r="V95" s="16"/>
      <c r="W95" s="16"/>
      <c r="X95" s="16"/>
      <c r="Y95" s="16"/>
      <c r="Z95" s="16"/>
      <c r="AA95" s="16"/>
      <c r="AB95" s="16"/>
      <c r="AC95" s="16"/>
      <c r="AD95" s="16"/>
      <c r="AE95" s="16"/>
      <c r="AF95" s="16"/>
      <c r="AG95" s="16"/>
      <c r="AH95" s="16"/>
      <c r="AI95" s="16"/>
      <c r="AJ95" s="16"/>
      <c r="AK95" s="16"/>
      <c r="AL95" s="16"/>
      <c r="AM95" s="16"/>
      <c r="AN95" s="16"/>
      <c r="AO95" s="16"/>
      <c r="AP95" s="16"/>
      <c r="AQ95" s="16"/>
      <c r="AR95" s="16"/>
      <c r="AS95" s="16"/>
      <c r="AT95" s="16"/>
      <c r="AU95" s="16"/>
      <c r="AV95" s="16"/>
      <c r="AW95" s="16"/>
      <c r="AX95" s="16"/>
      <c r="AY95" s="16"/>
      <c r="AZ95" s="16"/>
      <c r="BA95" s="16"/>
      <c r="BB95" s="16"/>
      <c r="BC95" s="16"/>
      <c r="BD95" s="16"/>
      <c r="BE95" s="16"/>
      <c r="BF95" s="16"/>
      <c r="BG95" s="16"/>
      <c r="BH95" s="16"/>
      <c r="BI95" s="16"/>
      <c r="BJ95" s="16"/>
      <c r="BK95" s="16"/>
      <c r="BL95" s="16"/>
      <c r="BM95" s="16"/>
      <c r="BN95" s="16"/>
      <c r="BO95" s="16"/>
      <c r="BP95" s="16"/>
      <c r="BQ95" s="16"/>
      <c r="BR95" s="16"/>
      <c r="BS95" s="16"/>
      <c r="BT95" s="16"/>
      <c r="BU95" s="16"/>
      <c r="BV95" s="16"/>
      <c r="BW95" s="16"/>
      <c r="BX95" s="16"/>
      <c r="BY95" s="16"/>
      <c r="BZ95" s="16"/>
      <c r="CA95" s="16"/>
      <c r="CB95" s="16"/>
      <c r="CC95" s="16"/>
      <c r="CD95" s="16"/>
      <c r="CE95" s="16"/>
      <c r="CF95" s="16"/>
      <c r="CG95" s="16"/>
      <c r="CH95" s="16"/>
      <c r="CI95" s="16"/>
    </row>
    <row r="96" ht="14.25" customHeight="1" spans="1:87" x14ac:dyDescent="0.25">
      <c r="A96" s="16"/>
      <c r="B96" s="16"/>
      <c r="C96" s="16"/>
      <c r="D96" s="16"/>
      <c r="E96" s="16"/>
      <c r="F96" s="16"/>
      <c r="G96" s="16"/>
      <c r="H96" s="16"/>
      <c r="I96" s="16"/>
      <c r="J96" s="16"/>
      <c r="K96" s="84"/>
      <c r="L96" s="850"/>
      <c r="M96" s="850"/>
      <c r="N96" s="850"/>
      <c r="O96" s="850"/>
      <c r="P96" s="850"/>
      <c r="Q96" s="850"/>
      <c r="R96" s="16"/>
      <c r="S96" s="16"/>
      <c r="T96" s="16"/>
      <c r="U96" s="16"/>
      <c r="V96" s="16"/>
      <c r="W96" s="16"/>
      <c r="X96" s="16"/>
      <c r="Y96" s="16"/>
      <c r="Z96" s="16"/>
      <c r="AA96" s="16"/>
      <c r="AB96" s="16"/>
      <c r="AC96" s="16"/>
      <c r="AD96" s="16"/>
      <c r="AE96" s="16"/>
      <c r="AF96" s="16"/>
      <c r="AG96" s="16"/>
      <c r="AH96" s="16"/>
      <c r="AI96" s="16"/>
      <c r="AJ96" s="16"/>
      <c r="AK96" s="16"/>
      <c r="AL96" s="16"/>
      <c r="AM96" s="16"/>
      <c r="AN96" s="16"/>
      <c r="AO96" s="16"/>
      <c r="AP96" s="16"/>
      <c r="AQ96" s="16"/>
      <c r="AR96" s="16"/>
      <c r="AS96" s="16"/>
      <c r="AT96" s="16"/>
      <c r="AU96" s="16"/>
      <c r="AV96" s="16"/>
      <c r="AW96" s="16"/>
      <c r="AX96" s="16"/>
      <c r="AY96" s="16"/>
      <c r="AZ96" s="16"/>
      <c r="BA96" s="16"/>
      <c r="BB96" s="16"/>
      <c r="BC96" s="16"/>
      <c r="BD96" s="16"/>
      <c r="BE96" s="16"/>
      <c r="BF96" s="16"/>
      <c r="BG96" s="16"/>
      <c r="BH96" s="16"/>
      <c r="BI96" s="16"/>
      <c r="BJ96" s="16"/>
      <c r="BK96" s="16"/>
      <c r="BL96" s="16"/>
      <c r="BM96" s="16"/>
      <c r="BN96" s="16"/>
      <c r="BO96" s="16"/>
      <c r="BP96" s="16"/>
      <c r="BQ96" s="16"/>
      <c r="BR96" s="16"/>
      <c r="BS96" s="16"/>
      <c r="BT96" s="16"/>
      <c r="BU96" s="16"/>
      <c r="BV96" s="16"/>
      <c r="BW96" s="16"/>
      <c r="BX96" s="16"/>
      <c r="BY96" s="16"/>
      <c r="BZ96" s="16"/>
      <c r="CA96" s="16"/>
      <c r="CB96" s="16"/>
      <c r="CC96" s="16"/>
      <c r="CD96" s="16"/>
      <c r="CE96" s="16"/>
      <c r="CF96" s="16"/>
      <c r="CG96" s="16"/>
      <c r="CH96" s="16"/>
      <c r="CI96" s="16"/>
    </row>
    <row r="97" ht="14.25" customHeight="1" spans="1:87" x14ac:dyDescent="0.25">
      <c r="A97" s="16"/>
      <c r="B97" s="16"/>
      <c r="C97" s="16"/>
      <c r="D97" s="16"/>
      <c r="E97" s="16"/>
      <c r="F97" s="16"/>
      <c r="G97" s="16"/>
      <c r="H97" s="16"/>
      <c r="I97" s="16"/>
      <c r="J97" s="16"/>
      <c r="K97" s="84"/>
      <c r="L97" s="850"/>
      <c r="M97" s="850"/>
      <c r="N97" s="850"/>
      <c r="O97" s="850"/>
      <c r="P97" s="850"/>
      <c r="Q97" s="850"/>
      <c r="R97" s="16"/>
      <c r="S97" s="16"/>
      <c r="T97" s="16"/>
      <c r="U97" s="16"/>
      <c r="V97" s="16"/>
      <c r="W97" s="16"/>
      <c r="X97" s="16"/>
      <c r="Y97" s="16"/>
      <c r="Z97" s="16"/>
      <c r="AA97" s="16"/>
      <c r="AB97" s="16"/>
      <c r="AC97" s="16"/>
      <c r="AD97" s="16"/>
      <c r="AE97" s="16"/>
      <c r="AF97" s="16"/>
      <c r="AG97" s="16"/>
      <c r="AH97" s="16"/>
      <c r="AI97" s="16"/>
      <c r="AJ97" s="16"/>
      <c r="AK97" s="16"/>
      <c r="AL97" s="16"/>
      <c r="AM97" s="16"/>
      <c r="AN97" s="16"/>
      <c r="AO97" s="16"/>
      <c r="AP97" s="16"/>
      <c r="AQ97" s="16"/>
      <c r="AR97" s="16"/>
      <c r="AS97" s="16"/>
      <c r="AT97" s="16"/>
      <c r="AU97" s="16"/>
      <c r="AV97" s="16"/>
      <c r="AW97" s="16"/>
      <c r="AX97" s="16"/>
      <c r="AY97" s="16"/>
      <c r="AZ97" s="16"/>
      <c r="BA97" s="16"/>
      <c r="BB97" s="16"/>
      <c r="BC97" s="16"/>
      <c r="BD97" s="16"/>
      <c r="BE97" s="16"/>
      <c r="BF97" s="16"/>
      <c r="BG97" s="16"/>
      <c r="BH97" s="16"/>
      <c r="BI97" s="16"/>
      <c r="BJ97" s="16"/>
      <c r="BK97" s="16"/>
      <c r="BL97" s="16"/>
      <c r="BM97" s="16"/>
      <c r="BN97" s="16"/>
      <c r="BO97" s="16"/>
      <c r="BP97" s="16"/>
      <c r="BQ97" s="16"/>
      <c r="BR97" s="16"/>
      <c r="BS97" s="16"/>
      <c r="BT97" s="16"/>
      <c r="BU97" s="16"/>
      <c r="BV97" s="16"/>
      <c r="BW97" s="16"/>
      <c r="BX97" s="16"/>
      <c r="BY97" s="16"/>
      <c r="BZ97" s="16"/>
      <c r="CA97" s="16"/>
      <c r="CB97" s="16"/>
      <c r="CC97" s="16"/>
      <c r="CD97" s="16"/>
      <c r="CE97" s="16"/>
      <c r="CF97" s="16"/>
      <c r="CG97" s="16"/>
      <c r="CH97" s="16"/>
      <c r="CI97" s="16"/>
    </row>
    <row r="98" ht="14.25" customHeight="1" spans="1:87" x14ac:dyDescent="0.25">
      <c r="A98" s="16"/>
      <c r="B98" s="16"/>
      <c r="C98" s="16"/>
      <c r="D98" s="16"/>
      <c r="E98" s="16"/>
      <c r="F98" s="16"/>
      <c r="G98" s="16"/>
      <c r="H98" s="16"/>
      <c r="I98" s="16"/>
      <c r="J98" s="16"/>
      <c r="K98" s="84"/>
      <c r="L98" s="850"/>
      <c r="M98" s="850"/>
      <c r="N98" s="850"/>
      <c r="O98" s="850"/>
      <c r="P98" s="850"/>
      <c r="Q98" s="850"/>
      <c r="R98" s="16"/>
      <c r="S98" s="16"/>
      <c r="T98" s="16"/>
      <c r="U98" s="16"/>
      <c r="V98" s="16"/>
      <c r="W98" s="16"/>
      <c r="X98" s="16"/>
      <c r="Y98" s="16"/>
      <c r="Z98" s="16"/>
      <c r="AA98" s="16"/>
      <c r="AB98" s="16"/>
      <c r="AC98" s="16"/>
      <c r="AD98" s="16"/>
      <c r="AE98" s="16"/>
      <c r="AF98" s="16"/>
      <c r="AG98" s="16"/>
      <c r="AH98" s="16"/>
      <c r="AI98" s="16"/>
      <c r="AJ98" s="16"/>
      <c r="AK98" s="16"/>
      <c r="AL98" s="16"/>
      <c r="AM98" s="16"/>
      <c r="AN98" s="16"/>
      <c r="AO98" s="16"/>
      <c r="AP98" s="16"/>
      <c r="AQ98" s="16"/>
      <c r="AR98" s="16"/>
      <c r="AS98" s="16"/>
      <c r="AT98" s="16"/>
      <c r="AU98" s="16"/>
      <c r="AV98" s="16"/>
      <c r="AW98" s="16"/>
      <c r="AX98" s="16"/>
      <c r="AY98" s="16"/>
      <c r="AZ98" s="16"/>
      <c r="BA98" s="16"/>
      <c r="BB98" s="16"/>
      <c r="BC98" s="16"/>
      <c r="BD98" s="16"/>
      <c r="BE98" s="16"/>
      <c r="BF98" s="16"/>
      <c r="BG98" s="16"/>
      <c r="BH98" s="16"/>
      <c r="BI98" s="16"/>
      <c r="BJ98" s="16"/>
      <c r="BK98" s="16"/>
      <c r="BL98" s="16"/>
      <c r="BM98" s="16"/>
      <c r="BN98" s="16"/>
      <c r="BO98" s="16"/>
      <c r="BP98" s="16"/>
      <c r="BQ98" s="16"/>
      <c r="BR98" s="16"/>
      <c r="BS98" s="16"/>
      <c r="BT98" s="16"/>
      <c r="BU98" s="16"/>
      <c r="BV98" s="16"/>
      <c r="BW98" s="16"/>
      <c r="BX98" s="16"/>
      <c r="BY98" s="16"/>
      <c r="BZ98" s="16"/>
      <c r="CA98" s="16"/>
      <c r="CB98" s="16"/>
      <c r="CC98" s="16"/>
      <c r="CD98" s="16"/>
      <c r="CE98" s="16"/>
      <c r="CF98" s="16"/>
      <c r="CG98" s="16"/>
      <c r="CH98" s="16"/>
      <c r="CI98" s="16"/>
    </row>
    <row r="99" ht="14.25" customHeight="1" spans="1:87" x14ac:dyDescent="0.25">
      <c r="A99" s="16"/>
      <c r="B99" s="16"/>
      <c r="C99" s="16"/>
      <c r="D99" s="16"/>
      <c r="E99" s="16"/>
      <c r="F99" s="16"/>
      <c r="G99" s="16"/>
      <c r="H99" s="16"/>
      <c r="I99" s="16"/>
      <c r="J99" s="16"/>
      <c r="K99" s="84"/>
      <c r="L99" s="850"/>
      <c r="M99" s="850"/>
      <c r="N99" s="850"/>
      <c r="O99" s="850"/>
      <c r="P99" s="850"/>
      <c r="Q99" s="850"/>
      <c r="R99" s="16"/>
      <c r="S99" s="16"/>
      <c r="T99" s="16"/>
      <c r="U99" s="16"/>
      <c r="V99" s="16"/>
      <c r="W99" s="16"/>
      <c r="X99" s="16"/>
      <c r="Y99" s="16"/>
      <c r="Z99" s="16"/>
      <c r="AA99" s="16"/>
      <c r="AB99" s="16"/>
      <c r="AC99" s="16"/>
      <c r="AD99" s="16"/>
      <c r="AE99" s="16"/>
      <c r="AF99" s="16"/>
      <c r="AG99" s="16"/>
      <c r="AH99" s="16"/>
      <c r="AI99" s="16"/>
      <c r="AJ99" s="16"/>
      <c r="AK99" s="16"/>
      <c r="AL99" s="16"/>
      <c r="AM99" s="16"/>
      <c r="AN99" s="16"/>
      <c r="AO99" s="16"/>
      <c r="AP99" s="16"/>
      <c r="AQ99" s="16"/>
      <c r="AR99" s="16"/>
      <c r="AS99" s="16"/>
      <c r="AT99" s="16"/>
      <c r="AU99" s="16"/>
      <c r="AV99" s="16"/>
      <c r="AW99" s="16"/>
      <c r="AX99" s="16"/>
      <c r="AY99" s="16"/>
      <c r="AZ99" s="16"/>
      <c r="BA99" s="16"/>
      <c r="BB99" s="16"/>
      <c r="BC99" s="16"/>
      <c r="BD99" s="16"/>
      <c r="BE99" s="16"/>
      <c r="BF99" s="16"/>
      <c r="BG99" s="16"/>
      <c r="BH99" s="16"/>
      <c r="BI99" s="16"/>
      <c r="BJ99" s="16"/>
      <c r="BK99" s="16"/>
      <c r="BL99" s="16"/>
      <c r="BM99" s="16"/>
      <c r="BN99" s="16"/>
      <c r="BO99" s="16"/>
      <c r="BP99" s="16"/>
      <c r="BQ99" s="16"/>
      <c r="BR99" s="16"/>
      <c r="BS99" s="16"/>
      <c r="BT99" s="16"/>
      <c r="BU99" s="16"/>
      <c r="BV99" s="16"/>
      <c r="BW99" s="16"/>
      <c r="BX99" s="16"/>
      <c r="BY99" s="16"/>
      <c r="BZ99" s="16"/>
      <c r="CA99" s="16"/>
      <c r="CB99" s="16"/>
      <c r="CC99" s="16"/>
      <c r="CD99" s="16"/>
      <c r="CE99" s="16"/>
      <c r="CF99" s="16"/>
      <c r="CG99" s="16"/>
      <c r="CH99" s="16"/>
      <c r="CI99" s="16"/>
    </row>
    <row r="100" ht="14.25" customHeight="1" spans="1:87" x14ac:dyDescent="0.25">
      <c r="A100" s="16"/>
      <c r="B100" s="16"/>
      <c r="C100" s="16"/>
      <c r="D100" s="16"/>
      <c r="E100" s="16"/>
      <c r="F100" s="16"/>
      <c r="G100" s="16"/>
      <c r="H100" s="16"/>
      <c r="I100" s="16"/>
      <c r="J100" s="16"/>
      <c r="K100" s="84"/>
      <c r="L100" s="850"/>
      <c r="M100" s="850"/>
      <c r="N100" s="850"/>
      <c r="O100" s="850"/>
      <c r="P100" s="850"/>
      <c r="Q100" s="850"/>
      <c r="R100" s="16"/>
      <c r="S100" s="16"/>
      <c r="T100" s="16"/>
      <c r="U100" s="16"/>
      <c r="V100" s="16"/>
      <c r="W100" s="16"/>
      <c r="X100" s="16"/>
      <c r="Y100" s="16"/>
      <c r="Z100" s="16"/>
      <c r="AA100" s="16"/>
      <c r="AB100" s="16"/>
      <c r="AC100" s="16"/>
      <c r="AD100" s="16"/>
      <c r="AE100" s="16"/>
      <c r="AF100" s="16"/>
      <c r="AG100" s="16"/>
      <c r="AH100" s="16"/>
      <c r="AI100" s="16"/>
      <c r="AJ100" s="16"/>
      <c r="AK100" s="16"/>
      <c r="AL100" s="16"/>
      <c r="AM100" s="16"/>
      <c r="AN100" s="16"/>
      <c r="AO100" s="16"/>
      <c r="AP100" s="16"/>
      <c r="AQ100" s="16"/>
      <c r="AR100" s="16"/>
      <c r="AS100" s="16"/>
      <c r="AT100" s="16"/>
      <c r="AU100" s="16"/>
      <c r="AV100" s="16"/>
      <c r="AW100" s="16"/>
      <c r="AX100" s="16"/>
      <c r="AY100" s="16"/>
      <c r="AZ100" s="16"/>
      <c r="BA100" s="16"/>
      <c r="BB100" s="16"/>
      <c r="BC100" s="16"/>
      <c r="BD100" s="16"/>
      <c r="BE100" s="16"/>
      <c r="BF100" s="16"/>
      <c r="BG100" s="16"/>
      <c r="BH100" s="16"/>
      <c r="BI100" s="16"/>
      <c r="BJ100" s="16"/>
      <c r="BK100" s="16"/>
      <c r="BL100" s="16"/>
      <c r="BM100" s="16"/>
      <c r="BN100" s="16"/>
      <c r="BO100" s="16"/>
      <c r="BP100" s="16"/>
      <c r="BQ100" s="16"/>
      <c r="BR100" s="16"/>
      <c r="BS100" s="16"/>
      <c r="BT100" s="16"/>
      <c r="BU100" s="16"/>
      <c r="BV100" s="16"/>
      <c r="BW100" s="16"/>
      <c r="BX100" s="16"/>
      <c r="BY100" s="16"/>
      <c r="BZ100" s="16"/>
      <c r="CA100" s="16"/>
      <c r="CB100" s="16"/>
      <c r="CC100" s="16"/>
      <c r="CD100" s="16"/>
      <c r="CE100" s="16"/>
      <c r="CF100" s="16"/>
      <c r="CG100" s="16"/>
      <c r="CH100" s="16"/>
      <c r="CI100" s="16"/>
    </row>
    <row r="101" ht="14.25" customHeight="1" spans="1:87" x14ac:dyDescent="0.25">
      <c r="A101" s="16"/>
      <c r="B101" s="16"/>
      <c r="C101" s="16"/>
      <c r="D101" s="16"/>
      <c r="E101" s="16"/>
      <c r="F101" s="16"/>
      <c r="G101" s="16"/>
      <c r="H101" s="16"/>
      <c r="I101" s="16"/>
      <c r="J101" s="16"/>
      <c r="K101" s="84"/>
      <c r="L101" s="850"/>
      <c r="M101" s="850"/>
      <c r="N101" s="850"/>
      <c r="O101" s="850"/>
      <c r="P101" s="850"/>
      <c r="Q101" s="850"/>
      <c r="R101" s="16"/>
      <c r="S101" s="16"/>
      <c r="T101" s="16"/>
      <c r="U101" s="16"/>
      <c r="V101" s="16"/>
      <c r="W101" s="16"/>
      <c r="X101" s="16"/>
      <c r="Y101" s="16"/>
      <c r="Z101" s="16"/>
      <c r="AA101" s="16"/>
      <c r="AB101" s="16"/>
      <c r="AC101" s="16"/>
      <c r="AD101" s="16"/>
      <c r="AE101" s="16"/>
      <c r="AF101" s="16"/>
      <c r="AG101" s="16"/>
      <c r="AH101" s="16"/>
      <c r="AI101" s="16"/>
      <c r="AJ101" s="16"/>
      <c r="AK101" s="16"/>
      <c r="AL101" s="16"/>
      <c r="AM101" s="16"/>
      <c r="AN101" s="16"/>
      <c r="AO101" s="16"/>
      <c r="AP101" s="16"/>
      <c r="AQ101" s="16"/>
      <c r="AR101" s="16"/>
      <c r="AS101" s="16"/>
      <c r="AT101" s="16"/>
      <c r="AU101" s="16"/>
      <c r="AV101" s="16"/>
      <c r="AW101" s="16"/>
      <c r="AX101" s="16"/>
      <c r="AY101" s="16"/>
      <c r="AZ101" s="16"/>
      <c r="BA101" s="16"/>
      <c r="BB101" s="16"/>
      <c r="BC101" s="16"/>
      <c r="BD101" s="16"/>
      <c r="BE101" s="16"/>
      <c r="BF101" s="16"/>
      <c r="BG101" s="16"/>
      <c r="BH101" s="16"/>
      <c r="BI101" s="16"/>
      <c r="BJ101" s="16"/>
      <c r="BK101" s="16"/>
      <c r="BL101" s="16"/>
      <c r="BM101" s="16"/>
      <c r="BN101" s="16"/>
      <c r="BO101" s="16"/>
      <c r="BP101" s="16"/>
      <c r="BQ101" s="16"/>
      <c r="BR101" s="16"/>
      <c r="BS101" s="16"/>
      <c r="BT101" s="16"/>
      <c r="BU101" s="16"/>
      <c r="BV101" s="16"/>
      <c r="BW101" s="16"/>
      <c r="BX101" s="16"/>
      <c r="BY101" s="16"/>
      <c r="BZ101" s="16"/>
      <c r="CA101" s="16"/>
      <c r="CB101" s="16"/>
      <c r="CC101" s="16"/>
      <c r="CD101" s="16"/>
      <c r="CE101" s="16"/>
      <c r="CF101" s="16"/>
      <c r="CG101" s="16"/>
      <c r="CH101" s="16"/>
      <c r="CI101" s="16"/>
    </row>
    <row r="102" ht="14.25" customHeight="1" spans="1:87" x14ac:dyDescent="0.25">
      <c r="A102" s="16"/>
      <c r="B102" s="16"/>
      <c r="C102" s="16"/>
      <c r="D102" s="16"/>
      <c r="E102" s="16"/>
      <c r="F102" s="16"/>
      <c r="G102" s="16"/>
      <c r="H102" s="16"/>
      <c r="I102" s="16"/>
      <c r="J102" s="16"/>
      <c r="K102" s="84"/>
      <c r="L102" s="850"/>
      <c r="M102" s="850"/>
      <c r="N102" s="850"/>
      <c r="O102" s="850"/>
      <c r="P102" s="850"/>
      <c r="Q102" s="850"/>
      <c r="R102" s="16"/>
      <c r="S102" s="16"/>
      <c r="T102" s="16"/>
      <c r="U102" s="16"/>
      <c r="V102" s="16"/>
      <c r="W102" s="16"/>
      <c r="X102" s="16"/>
      <c r="Y102" s="16"/>
      <c r="Z102" s="16"/>
      <c r="AA102" s="16"/>
      <c r="AB102" s="16"/>
      <c r="AC102" s="16"/>
      <c r="AD102" s="16"/>
      <c r="AE102" s="16"/>
      <c r="AF102" s="16"/>
      <c r="AG102" s="16"/>
      <c r="AH102" s="16"/>
      <c r="AI102" s="16"/>
      <c r="AJ102" s="16"/>
      <c r="AK102" s="16"/>
      <c r="AL102" s="16"/>
      <c r="AM102" s="16"/>
      <c r="AN102" s="16"/>
      <c r="AO102" s="16"/>
      <c r="AP102" s="16"/>
      <c r="AQ102" s="16"/>
      <c r="AR102" s="16"/>
      <c r="AS102" s="16"/>
      <c r="AT102" s="16"/>
      <c r="AU102" s="16"/>
      <c r="AV102" s="16"/>
      <c r="AW102" s="16"/>
      <c r="AX102" s="16"/>
      <c r="AY102" s="16"/>
      <c r="AZ102" s="16"/>
      <c r="BA102" s="16"/>
      <c r="BB102" s="16"/>
      <c r="BC102" s="16"/>
      <c r="BD102" s="16"/>
      <c r="BE102" s="16"/>
      <c r="BF102" s="16"/>
      <c r="BG102" s="16"/>
      <c r="BH102" s="16"/>
      <c r="BI102" s="16"/>
      <c r="BJ102" s="16"/>
      <c r="BK102" s="16"/>
      <c r="BL102" s="16"/>
      <c r="BM102" s="16"/>
      <c r="BN102" s="16"/>
      <c r="BO102" s="16"/>
      <c r="BP102" s="16"/>
      <c r="BQ102" s="16"/>
      <c r="BR102" s="16"/>
      <c r="BS102" s="16"/>
      <c r="BT102" s="16"/>
      <c r="BU102" s="16"/>
      <c r="BV102" s="16"/>
      <c r="BW102" s="16"/>
      <c r="BX102" s="16"/>
      <c r="BY102" s="16"/>
      <c r="BZ102" s="16"/>
      <c r="CA102" s="16"/>
      <c r="CB102" s="16"/>
      <c r="CC102" s="16"/>
      <c r="CD102" s="16"/>
      <c r="CE102" s="16"/>
      <c r="CF102" s="16"/>
      <c r="CG102" s="16"/>
      <c r="CH102" s="16"/>
      <c r="CI102" s="16"/>
    </row>
    <row r="103" ht="14.25" customHeight="1" spans="1:87" x14ac:dyDescent="0.25">
      <c r="A103" s="16"/>
      <c r="B103" s="16"/>
      <c r="C103" s="16"/>
      <c r="D103" s="16"/>
      <c r="E103" s="16"/>
      <c r="F103" s="16"/>
      <c r="G103" s="16"/>
      <c r="H103" s="16"/>
      <c r="I103" s="16"/>
      <c r="J103" s="16"/>
      <c r="K103" s="84"/>
      <c r="L103" s="850"/>
      <c r="M103" s="850"/>
      <c r="N103" s="850"/>
      <c r="O103" s="850"/>
      <c r="P103" s="850"/>
      <c r="Q103" s="850"/>
      <c r="R103" s="16"/>
      <c r="S103" s="16"/>
      <c r="T103" s="16"/>
      <c r="U103" s="16"/>
      <c r="V103" s="16"/>
      <c r="W103" s="16"/>
      <c r="X103" s="16"/>
      <c r="Y103" s="16"/>
      <c r="Z103" s="16"/>
      <c r="AA103" s="16"/>
      <c r="AB103" s="16"/>
      <c r="AC103" s="16"/>
      <c r="AD103" s="16"/>
      <c r="AE103" s="16"/>
      <c r="AF103" s="16"/>
      <c r="AG103" s="16"/>
      <c r="AH103" s="16"/>
      <c r="AI103" s="16"/>
      <c r="AJ103" s="16"/>
      <c r="AK103" s="16"/>
      <c r="AL103" s="16"/>
      <c r="AM103" s="16"/>
      <c r="AN103" s="16"/>
      <c r="AO103" s="16"/>
      <c r="AP103" s="16"/>
      <c r="AQ103" s="16"/>
      <c r="AR103" s="16"/>
      <c r="AS103" s="16"/>
      <c r="AT103" s="16"/>
      <c r="AU103" s="16"/>
      <c r="AV103" s="16"/>
      <c r="AW103" s="16"/>
      <c r="AX103" s="16"/>
      <c r="AY103" s="16"/>
      <c r="AZ103" s="16"/>
      <c r="BA103" s="16"/>
      <c r="BB103" s="16"/>
      <c r="BC103" s="16"/>
      <c r="BD103" s="16"/>
      <c r="BE103" s="16"/>
      <c r="BF103" s="16"/>
      <c r="BG103" s="16"/>
      <c r="BH103" s="16"/>
      <c r="BI103" s="16"/>
      <c r="BJ103" s="16"/>
      <c r="BK103" s="16"/>
      <c r="BL103" s="16"/>
      <c r="BM103" s="16"/>
      <c r="BN103" s="16"/>
      <c r="BO103" s="16"/>
      <c r="BP103" s="16"/>
      <c r="BQ103" s="16"/>
      <c r="BR103" s="16"/>
      <c r="BS103" s="16"/>
      <c r="BT103" s="16"/>
      <c r="BU103" s="16"/>
      <c r="BV103" s="16"/>
      <c r="BW103" s="16"/>
      <c r="BX103" s="16"/>
      <c r="BY103" s="16"/>
      <c r="BZ103" s="16"/>
      <c r="CA103" s="16"/>
      <c r="CB103" s="16"/>
      <c r="CC103" s="16"/>
      <c r="CD103" s="16"/>
      <c r="CE103" s="16"/>
      <c r="CF103" s="16"/>
      <c r="CG103" s="16"/>
      <c r="CH103" s="16"/>
      <c r="CI103" s="16"/>
    </row>
    <row r="104" ht="14.25" customHeight="1" spans="1:87" x14ac:dyDescent="0.25">
      <c r="A104" s="16"/>
      <c r="B104" s="16"/>
      <c r="C104" s="16"/>
      <c r="D104" s="16"/>
      <c r="E104" s="16"/>
      <c r="F104" s="16"/>
      <c r="G104" s="16"/>
      <c r="H104" s="16"/>
      <c r="I104" s="16"/>
      <c r="J104" s="16"/>
      <c r="K104" s="84"/>
      <c r="L104" s="850"/>
      <c r="M104" s="850"/>
      <c r="N104" s="850"/>
      <c r="O104" s="850"/>
      <c r="P104" s="850"/>
      <c r="Q104" s="850"/>
      <c r="R104" s="16"/>
      <c r="S104" s="16"/>
      <c r="T104" s="16"/>
      <c r="U104" s="16"/>
      <c r="V104" s="16"/>
      <c r="W104" s="16"/>
      <c r="X104" s="16"/>
      <c r="Y104" s="16"/>
      <c r="Z104" s="16"/>
      <c r="AA104" s="16"/>
      <c r="AB104" s="16"/>
      <c r="AC104" s="16"/>
      <c r="AD104" s="16"/>
      <c r="AE104" s="16"/>
      <c r="AF104" s="16"/>
      <c r="AG104" s="16"/>
      <c r="AH104" s="16"/>
      <c r="AI104" s="16"/>
      <c r="AJ104" s="16"/>
      <c r="AK104" s="16"/>
      <c r="AL104" s="16"/>
      <c r="AM104" s="16"/>
      <c r="AN104" s="16"/>
      <c r="AO104" s="16"/>
      <c r="AP104" s="16"/>
      <c r="AQ104" s="16"/>
      <c r="AR104" s="16"/>
      <c r="AS104" s="16"/>
      <c r="AT104" s="16"/>
      <c r="AU104" s="16"/>
      <c r="AV104" s="16"/>
      <c r="AW104" s="16"/>
      <c r="AX104" s="16"/>
      <c r="AY104" s="16"/>
      <c r="AZ104" s="16"/>
      <c r="BA104" s="16"/>
      <c r="BB104" s="16"/>
      <c r="BC104" s="16"/>
      <c r="BD104" s="16"/>
      <c r="BE104" s="16"/>
      <c r="BF104" s="16"/>
      <c r="BG104" s="16"/>
      <c r="BH104" s="16"/>
      <c r="BI104" s="16"/>
      <c r="BJ104" s="16"/>
      <c r="BK104" s="16"/>
      <c r="BL104" s="16"/>
      <c r="BM104" s="16"/>
      <c r="BN104" s="16"/>
      <c r="BO104" s="16"/>
      <c r="BP104" s="16"/>
      <c r="BQ104" s="16"/>
      <c r="BR104" s="16"/>
      <c r="BS104" s="16"/>
      <c r="BT104" s="16"/>
      <c r="BU104" s="16"/>
      <c r="BV104" s="16"/>
      <c r="BW104" s="16"/>
      <c r="BX104" s="16"/>
      <c r="BY104" s="16"/>
      <c r="BZ104" s="16"/>
      <c r="CA104" s="16"/>
      <c r="CB104" s="16"/>
      <c r="CC104" s="16"/>
      <c r="CD104" s="16"/>
      <c r="CE104" s="16"/>
      <c r="CF104" s="16"/>
      <c r="CG104" s="16"/>
      <c r="CH104" s="16"/>
      <c r="CI104" s="16"/>
    </row>
    <row r="105" ht="14.25" customHeight="1" spans="1:87" x14ac:dyDescent="0.25">
      <c r="A105" s="16"/>
      <c r="B105" s="16"/>
      <c r="C105" s="16"/>
      <c r="D105" s="16"/>
      <c r="E105" s="16"/>
      <c r="F105" s="16"/>
      <c r="G105" s="16"/>
      <c r="H105" s="16"/>
      <c r="I105" s="16"/>
      <c r="J105" s="16"/>
      <c r="K105" s="84"/>
      <c r="L105" s="850"/>
      <c r="M105" s="850"/>
      <c r="N105" s="850"/>
      <c r="O105" s="850"/>
      <c r="P105" s="850"/>
      <c r="Q105" s="850"/>
      <c r="R105" s="16"/>
      <c r="S105" s="16"/>
      <c r="T105" s="16"/>
      <c r="U105" s="16"/>
      <c r="V105" s="16"/>
      <c r="W105" s="16"/>
      <c r="X105" s="16"/>
      <c r="Y105" s="16"/>
      <c r="Z105" s="16"/>
      <c r="AA105" s="16"/>
      <c r="AB105" s="16"/>
      <c r="AC105" s="16"/>
      <c r="AD105" s="16"/>
      <c r="AE105" s="16"/>
      <c r="AF105" s="16"/>
      <c r="AG105" s="16"/>
      <c r="AH105" s="16"/>
      <c r="AI105" s="16"/>
      <c r="AJ105" s="16"/>
      <c r="AK105" s="16"/>
      <c r="AL105" s="16"/>
      <c r="AM105" s="16"/>
      <c r="AN105" s="16"/>
      <c r="AO105" s="16"/>
      <c r="AP105" s="16"/>
      <c r="AQ105" s="16"/>
      <c r="AR105" s="16"/>
      <c r="AS105" s="16"/>
      <c r="AT105" s="16"/>
      <c r="AU105" s="16"/>
      <c r="AV105" s="16"/>
      <c r="AW105" s="16"/>
      <c r="AX105" s="16"/>
      <c r="AY105" s="16"/>
      <c r="AZ105" s="16"/>
      <c r="BA105" s="16"/>
      <c r="BB105" s="16"/>
      <c r="BC105" s="16"/>
      <c r="BD105" s="16"/>
      <c r="BE105" s="16"/>
      <c r="BF105" s="16"/>
      <c r="BG105" s="16"/>
      <c r="BH105" s="16"/>
      <c r="BI105" s="16"/>
      <c r="BJ105" s="16"/>
      <c r="BK105" s="16"/>
      <c r="BL105" s="16"/>
      <c r="BM105" s="16"/>
      <c r="BN105" s="16"/>
      <c r="BO105" s="16"/>
      <c r="BP105" s="16"/>
      <c r="BQ105" s="16"/>
      <c r="BR105" s="16"/>
      <c r="BS105" s="16"/>
      <c r="BT105" s="16"/>
      <c r="BU105" s="16"/>
      <c r="BV105" s="16"/>
      <c r="BW105" s="16"/>
      <c r="BX105" s="16"/>
      <c r="BY105" s="16"/>
      <c r="BZ105" s="16"/>
      <c r="CA105" s="16"/>
      <c r="CB105" s="16"/>
      <c r="CC105" s="16"/>
      <c r="CD105" s="16"/>
      <c r="CE105" s="16"/>
      <c r="CF105" s="16"/>
      <c r="CG105" s="16"/>
      <c r="CH105" s="16"/>
      <c r="CI105" s="16"/>
    </row>
    <row r="106" ht="14.25" customHeight="1" spans="1:87" x14ac:dyDescent="0.25">
      <c r="A106" s="16"/>
      <c r="B106" s="16"/>
      <c r="C106" s="16"/>
      <c r="D106" s="16"/>
      <c r="E106" s="16"/>
      <c r="F106" s="16"/>
      <c r="G106" s="16"/>
      <c r="H106" s="16"/>
      <c r="I106" s="16"/>
      <c r="J106" s="16"/>
      <c r="K106" s="84"/>
      <c r="L106" s="850"/>
      <c r="M106" s="850"/>
      <c r="N106" s="850"/>
      <c r="O106" s="850"/>
      <c r="P106" s="850"/>
      <c r="Q106" s="850"/>
      <c r="R106" s="16"/>
      <c r="S106" s="16"/>
      <c r="T106" s="16"/>
      <c r="U106" s="16"/>
      <c r="V106" s="16"/>
      <c r="W106" s="16"/>
      <c r="X106" s="16"/>
      <c r="Y106" s="16"/>
      <c r="Z106" s="16"/>
      <c r="AA106" s="16"/>
      <c r="AB106" s="16"/>
      <c r="AC106" s="16"/>
      <c r="AD106" s="16"/>
      <c r="AE106" s="16"/>
      <c r="AF106" s="16"/>
      <c r="AG106" s="16"/>
      <c r="AH106" s="16"/>
      <c r="AI106" s="16"/>
      <c r="AJ106" s="16"/>
      <c r="AK106" s="16"/>
      <c r="AL106" s="16"/>
      <c r="AM106" s="16"/>
      <c r="AN106" s="16"/>
      <c r="AO106" s="16"/>
      <c r="AP106" s="16"/>
      <c r="AQ106" s="16"/>
      <c r="AR106" s="16"/>
      <c r="AS106" s="16"/>
      <c r="AT106" s="16"/>
      <c r="AU106" s="16"/>
      <c r="AV106" s="16"/>
      <c r="AW106" s="16"/>
      <c r="AX106" s="16"/>
      <c r="AY106" s="16"/>
      <c r="AZ106" s="16"/>
      <c r="BA106" s="16"/>
      <c r="BB106" s="16"/>
      <c r="BC106" s="16"/>
      <c r="BD106" s="16"/>
      <c r="BE106" s="16"/>
      <c r="BF106" s="16"/>
      <c r="BG106" s="16"/>
      <c r="BH106" s="16"/>
      <c r="BI106" s="16"/>
      <c r="BJ106" s="16"/>
      <c r="BK106" s="16"/>
      <c r="BL106" s="16"/>
      <c r="BM106" s="16"/>
      <c r="BN106" s="16"/>
      <c r="BO106" s="16"/>
      <c r="BP106" s="16"/>
      <c r="BQ106" s="16"/>
      <c r="BR106" s="16"/>
      <c r="BS106" s="16"/>
      <c r="BT106" s="16"/>
      <c r="BU106" s="16"/>
      <c r="BV106" s="16"/>
      <c r="BW106" s="16"/>
      <c r="BX106" s="16"/>
      <c r="BY106" s="16"/>
      <c r="BZ106" s="16"/>
      <c r="CA106" s="16"/>
      <c r="CB106" s="16"/>
      <c r="CC106" s="16"/>
      <c r="CD106" s="16"/>
      <c r="CE106" s="16"/>
      <c r="CF106" s="16"/>
      <c r="CG106" s="16"/>
      <c r="CH106" s="16"/>
      <c r="CI106" s="16"/>
    </row>
    <row r="107" ht="14.25" customHeight="1" spans="1:87" x14ac:dyDescent="0.25">
      <c r="A107" s="16"/>
      <c r="B107" s="16"/>
      <c r="C107" s="16"/>
      <c r="D107" s="16"/>
      <c r="E107" s="16"/>
      <c r="F107" s="16"/>
      <c r="G107" s="16"/>
      <c r="H107" s="16"/>
      <c r="I107" s="16"/>
      <c r="J107" s="16"/>
      <c r="K107" s="84"/>
      <c r="L107" s="850"/>
      <c r="M107" s="850"/>
      <c r="N107" s="850"/>
      <c r="O107" s="850"/>
      <c r="P107" s="850"/>
      <c r="Q107" s="850"/>
      <c r="R107" s="16"/>
      <c r="S107" s="16"/>
      <c r="T107" s="16"/>
      <c r="U107" s="16"/>
      <c r="V107" s="16"/>
      <c r="W107" s="16"/>
      <c r="X107" s="16"/>
      <c r="Y107" s="16"/>
      <c r="Z107" s="16"/>
      <c r="AA107" s="16"/>
      <c r="AB107" s="16"/>
      <c r="AC107" s="16"/>
      <c r="AD107" s="16"/>
      <c r="AE107" s="16"/>
      <c r="AF107" s="16"/>
      <c r="AG107" s="16"/>
      <c r="AH107" s="16"/>
      <c r="AI107" s="16"/>
      <c r="AJ107" s="16"/>
      <c r="AK107" s="16"/>
      <c r="AL107" s="16"/>
      <c r="AM107" s="16"/>
      <c r="AN107" s="16"/>
      <c r="AO107" s="16"/>
      <c r="AP107" s="16"/>
      <c r="AQ107" s="16"/>
      <c r="AR107" s="16"/>
      <c r="AS107" s="16"/>
      <c r="AT107" s="16"/>
      <c r="AU107" s="16"/>
      <c r="AV107" s="16"/>
      <c r="AW107" s="16"/>
      <c r="AX107" s="16"/>
      <c r="AY107" s="16"/>
      <c r="AZ107" s="16"/>
      <c r="BA107" s="16"/>
      <c r="BB107" s="16"/>
      <c r="BC107" s="16"/>
      <c r="BD107" s="16"/>
      <c r="BE107" s="16"/>
      <c r="BF107" s="16"/>
      <c r="BG107" s="16"/>
      <c r="BH107" s="16"/>
      <c r="BI107" s="16"/>
      <c r="BJ107" s="16"/>
      <c r="BK107" s="16"/>
      <c r="BL107" s="16"/>
      <c r="BM107" s="16"/>
      <c r="BN107" s="16"/>
      <c r="BO107" s="16"/>
      <c r="BP107" s="16"/>
      <c r="BQ107" s="16"/>
      <c r="BR107" s="16"/>
      <c r="BS107" s="16"/>
      <c r="BT107" s="16"/>
      <c r="BU107" s="16"/>
      <c r="BV107" s="16"/>
      <c r="BW107" s="16"/>
      <c r="BX107" s="16"/>
      <c r="BY107" s="16"/>
      <c r="BZ107" s="16"/>
      <c r="CA107" s="16"/>
      <c r="CB107" s="16"/>
      <c r="CC107" s="16"/>
      <c r="CD107" s="16"/>
      <c r="CE107" s="16"/>
      <c r="CF107" s="16"/>
      <c r="CG107" s="16"/>
      <c r="CH107" s="16"/>
      <c r="CI107" s="16"/>
    </row>
    <row r="108" ht="14.25" customHeight="1" spans="1:87" x14ac:dyDescent="0.25">
      <c r="A108" s="16"/>
      <c r="B108" s="16"/>
      <c r="C108" s="16"/>
      <c r="D108" s="16"/>
      <c r="E108" s="16"/>
      <c r="F108" s="16"/>
      <c r="G108" s="16"/>
      <c r="H108" s="16"/>
      <c r="I108" s="16"/>
      <c r="J108" s="16"/>
      <c r="K108" s="84"/>
      <c r="L108" s="850"/>
      <c r="M108" s="850"/>
      <c r="N108" s="850"/>
      <c r="O108" s="850"/>
      <c r="P108" s="850"/>
      <c r="Q108" s="850"/>
      <c r="R108" s="16"/>
      <c r="S108" s="16"/>
      <c r="T108" s="16"/>
      <c r="U108" s="16"/>
      <c r="V108" s="16"/>
      <c r="W108" s="16"/>
      <c r="X108" s="16"/>
      <c r="Y108" s="16"/>
      <c r="Z108" s="16"/>
      <c r="AA108" s="16"/>
      <c r="AB108" s="16"/>
      <c r="AC108" s="16"/>
      <c r="AD108" s="16"/>
      <c r="AE108" s="16"/>
      <c r="AF108" s="16"/>
      <c r="AG108" s="16"/>
      <c r="AH108" s="16"/>
      <c r="AI108" s="16"/>
      <c r="AJ108" s="16"/>
      <c r="AK108" s="16"/>
      <c r="AL108" s="16"/>
      <c r="AM108" s="16"/>
      <c r="AN108" s="16"/>
      <c r="AO108" s="16"/>
      <c r="AP108" s="16"/>
      <c r="AQ108" s="16"/>
      <c r="AR108" s="16"/>
      <c r="AS108" s="16"/>
      <c r="AT108" s="16"/>
      <c r="AU108" s="16"/>
      <c r="AV108" s="16"/>
      <c r="AW108" s="16"/>
      <c r="AX108" s="16"/>
      <c r="AY108" s="16"/>
      <c r="AZ108" s="16"/>
      <c r="BA108" s="16"/>
      <c r="BB108" s="16"/>
      <c r="BC108" s="16"/>
      <c r="BD108" s="16"/>
      <c r="BE108" s="16"/>
      <c r="BF108" s="16"/>
      <c r="BG108" s="16"/>
      <c r="BH108" s="16"/>
      <c r="BI108" s="16"/>
      <c r="BJ108" s="16"/>
      <c r="BK108" s="16"/>
      <c r="BL108" s="16"/>
      <c r="BM108" s="16"/>
      <c r="BN108" s="16"/>
      <c r="BO108" s="16"/>
      <c r="BP108" s="16"/>
      <c r="BQ108" s="16"/>
      <c r="BR108" s="16"/>
      <c r="BS108" s="16"/>
      <c r="BT108" s="16"/>
      <c r="BU108" s="16"/>
      <c r="BV108" s="16"/>
      <c r="BW108" s="16"/>
      <c r="BX108" s="16"/>
      <c r="BY108" s="16"/>
      <c r="BZ108" s="16"/>
      <c r="CA108" s="16"/>
      <c r="CB108" s="16"/>
      <c r="CC108" s="16"/>
      <c r="CD108" s="16"/>
      <c r="CE108" s="16"/>
      <c r="CF108" s="16"/>
      <c r="CG108" s="16"/>
      <c r="CH108" s="16"/>
      <c r="CI108" s="16"/>
    </row>
    <row r="109" ht="14.25" customHeight="1" spans="1:87" x14ac:dyDescent="0.25">
      <c r="A109" s="16"/>
      <c r="B109" s="16"/>
      <c r="C109" s="16"/>
      <c r="D109" s="16"/>
      <c r="E109" s="16"/>
      <c r="F109" s="16"/>
      <c r="G109" s="16"/>
      <c r="H109" s="16"/>
      <c r="I109" s="16"/>
      <c r="J109" s="16"/>
      <c r="K109" s="84"/>
      <c r="L109" s="850"/>
      <c r="M109" s="850"/>
      <c r="N109" s="850"/>
      <c r="O109" s="850"/>
      <c r="P109" s="850"/>
      <c r="Q109" s="850"/>
      <c r="R109" s="16"/>
      <c r="S109" s="16"/>
      <c r="T109" s="16"/>
      <c r="U109" s="16"/>
      <c r="V109" s="16"/>
      <c r="W109" s="16"/>
      <c r="X109" s="16"/>
      <c r="Y109" s="16"/>
      <c r="Z109" s="16"/>
      <c r="AA109" s="16"/>
      <c r="AB109" s="16"/>
      <c r="AC109" s="16"/>
      <c r="AD109" s="16"/>
      <c r="AE109" s="16"/>
      <c r="AF109" s="16"/>
      <c r="AG109" s="16"/>
      <c r="AH109" s="16"/>
      <c r="AI109" s="16"/>
      <c r="AJ109" s="16"/>
      <c r="AK109" s="16"/>
      <c r="AL109" s="16"/>
      <c r="AM109" s="16"/>
      <c r="AN109" s="16"/>
      <c r="AO109" s="16"/>
      <c r="AP109" s="16"/>
      <c r="AQ109" s="16"/>
      <c r="AR109" s="16"/>
      <c r="AS109" s="16"/>
      <c r="AT109" s="16"/>
      <c r="AU109" s="16"/>
      <c r="AV109" s="16"/>
      <c r="AW109" s="16"/>
      <c r="AX109" s="16"/>
      <c r="AY109" s="16"/>
      <c r="AZ109" s="16"/>
      <c r="BA109" s="16"/>
      <c r="BB109" s="16"/>
      <c r="BC109" s="16"/>
      <c r="BD109" s="16"/>
      <c r="BE109" s="16"/>
      <c r="BF109" s="16"/>
      <c r="BG109" s="16"/>
      <c r="BH109" s="16"/>
      <c r="BI109" s="16"/>
      <c r="BJ109" s="16"/>
      <c r="BK109" s="16"/>
      <c r="BL109" s="16"/>
      <c r="BM109" s="16"/>
      <c r="BN109" s="16"/>
      <c r="BO109" s="16"/>
      <c r="BP109" s="16"/>
      <c r="BQ109" s="16"/>
      <c r="BR109" s="16"/>
      <c r="BS109" s="16"/>
      <c r="BT109" s="16"/>
      <c r="BU109" s="16"/>
      <c r="BV109" s="16"/>
      <c r="BW109" s="16"/>
      <c r="BX109" s="16"/>
      <c r="BY109" s="16"/>
      <c r="BZ109" s="16"/>
      <c r="CA109" s="16"/>
      <c r="CB109" s="16"/>
      <c r="CC109" s="16"/>
      <c r="CD109" s="16"/>
      <c r="CE109" s="16"/>
      <c r="CF109" s="16"/>
      <c r="CG109" s="16"/>
      <c r="CH109" s="16"/>
      <c r="CI109" s="16"/>
    </row>
    <row r="110" ht="14.25" customHeight="1" spans="1:87" x14ac:dyDescent="0.25">
      <c r="A110" s="16"/>
      <c r="B110" s="16"/>
      <c r="C110" s="16"/>
      <c r="D110" s="16"/>
      <c r="E110" s="16"/>
      <c r="F110" s="16"/>
      <c r="G110" s="16"/>
      <c r="H110" s="16"/>
      <c r="I110" s="16"/>
      <c r="J110" s="16"/>
      <c r="K110" s="84"/>
      <c r="L110" s="850"/>
      <c r="M110" s="850"/>
      <c r="N110" s="850"/>
      <c r="O110" s="850"/>
      <c r="P110" s="850"/>
      <c r="Q110" s="850"/>
      <c r="R110" s="16"/>
      <c r="S110" s="16"/>
      <c r="T110" s="16"/>
      <c r="U110" s="16"/>
      <c r="V110" s="16"/>
      <c r="W110" s="16"/>
      <c r="X110" s="16"/>
      <c r="Y110" s="16"/>
      <c r="Z110" s="16"/>
      <c r="AA110" s="16"/>
      <c r="AB110" s="16"/>
      <c r="AC110" s="16"/>
      <c r="AD110" s="16"/>
      <c r="AE110" s="16"/>
      <c r="AF110" s="16"/>
      <c r="AG110" s="16"/>
      <c r="AH110" s="16"/>
      <c r="AI110" s="16"/>
      <c r="AJ110" s="16"/>
      <c r="AK110" s="16"/>
      <c r="AL110" s="16"/>
      <c r="AM110" s="16"/>
      <c r="AN110" s="16"/>
      <c r="AO110" s="16"/>
      <c r="AP110" s="16"/>
      <c r="AQ110" s="16"/>
      <c r="AR110" s="16"/>
      <c r="AS110" s="16"/>
      <c r="AT110" s="16"/>
      <c r="AU110" s="16"/>
      <c r="AV110" s="16"/>
      <c r="AW110" s="16"/>
      <c r="AX110" s="16"/>
      <c r="AY110" s="16"/>
      <c r="AZ110" s="16"/>
      <c r="BA110" s="16"/>
      <c r="BB110" s="16"/>
      <c r="BC110" s="16"/>
      <c r="BD110" s="16"/>
      <c r="BE110" s="16"/>
      <c r="BF110" s="16"/>
      <c r="BG110" s="16"/>
      <c r="BH110" s="16"/>
      <c r="BI110" s="16"/>
      <c r="BJ110" s="16"/>
      <c r="BK110" s="16"/>
      <c r="BL110" s="16"/>
      <c r="BM110" s="16"/>
      <c r="BN110" s="16"/>
      <c r="BO110" s="16"/>
      <c r="BP110" s="16"/>
      <c r="BQ110" s="16"/>
      <c r="BR110" s="16"/>
      <c r="BS110" s="16"/>
      <c r="BT110" s="16"/>
      <c r="BU110" s="16"/>
      <c r="BV110" s="16"/>
      <c r="BW110" s="16"/>
      <c r="BX110" s="16"/>
      <c r="BY110" s="16"/>
      <c r="BZ110" s="16"/>
      <c r="CA110" s="16"/>
      <c r="CB110" s="16"/>
      <c r="CC110" s="16"/>
      <c r="CD110" s="16"/>
      <c r="CE110" s="16"/>
      <c r="CF110" s="16"/>
      <c r="CG110" s="16"/>
      <c r="CH110" s="16"/>
      <c r="CI110" s="16"/>
    </row>
    <row r="111" ht="14.25" customHeight="1" spans="1:87" x14ac:dyDescent="0.25">
      <c r="A111" s="16"/>
      <c r="B111" s="16"/>
      <c r="C111" s="16"/>
      <c r="D111" s="16"/>
      <c r="E111" s="16"/>
      <c r="F111" s="16"/>
      <c r="G111" s="16"/>
      <c r="H111" s="16"/>
      <c r="I111" s="16"/>
      <c r="J111" s="16"/>
      <c r="K111" s="84"/>
      <c r="L111" s="850"/>
      <c r="M111" s="850"/>
      <c r="N111" s="850"/>
      <c r="O111" s="850"/>
      <c r="P111" s="850"/>
      <c r="Q111" s="850"/>
      <c r="R111" s="16"/>
      <c r="S111" s="16"/>
      <c r="T111" s="16"/>
      <c r="U111" s="16"/>
      <c r="V111" s="16"/>
      <c r="W111" s="16"/>
      <c r="X111" s="16"/>
      <c r="Y111" s="16"/>
      <c r="Z111" s="16"/>
      <c r="AA111" s="16"/>
      <c r="AB111" s="16"/>
      <c r="AC111" s="16"/>
      <c r="AD111" s="16"/>
      <c r="AE111" s="16"/>
      <c r="AF111" s="16"/>
      <c r="AG111" s="16"/>
      <c r="AH111" s="16"/>
      <c r="AI111" s="16"/>
      <c r="AJ111" s="16"/>
      <c r="AK111" s="16"/>
      <c r="AL111" s="16"/>
      <c r="AM111" s="16"/>
      <c r="AN111" s="16"/>
      <c r="AO111" s="16"/>
      <c r="AP111" s="16"/>
      <c r="AQ111" s="16"/>
      <c r="AR111" s="16"/>
      <c r="AS111" s="16"/>
      <c r="AT111" s="16"/>
      <c r="AU111" s="16"/>
      <c r="AV111" s="16"/>
      <c r="AW111" s="16"/>
      <c r="AX111" s="16"/>
      <c r="AY111" s="16"/>
      <c r="AZ111" s="16"/>
      <c r="BA111" s="16"/>
      <c r="BB111" s="16"/>
      <c r="BC111" s="16"/>
      <c r="BD111" s="16"/>
      <c r="BE111" s="16"/>
      <c r="BF111" s="16"/>
      <c r="BG111" s="16"/>
      <c r="BH111" s="16"/>
      <c r="BI111" s="16"/>
      <c r="BJ111" s="16"/>
      <c r="BK111" s="16"/>
      <c r="BL111" s="16"/>
      <c r="BM111" s="16"/>
      <c r="BN111" s="16"/>
      <c r="BO111" s="16"/>
      <c r="BP111" s="16"/>
      <c r="BQ111" s="16"/>
      <c r="BR111" s="16"/>
      <c r="BS111" s="16"/>
      <c r="BT111" s="16"/>
      <c r="BU111" s="16"/>
      <c r="BV111" s="16"/>
      <c r="BW111" s="16"/>
      <c r="BX111" s="16"/>
      <c r="BY111" s="16"/>
      <c r="BZ111" s="16"/>
      <c r="CA111" s="16"/>
      <c r="CB111" s="16"/>
      <c r="CC111" s="16"/>
      <c r="CD111" s="16"/>
      <c r="CE111" s="16"/>
      <c r="CF111" s="16"/>
      <c r="CG111" s="16"/>
      <c r="CH111" s="16"/>
      <c r="CI111" s="16"/>
    </row>
    <row r="112" ht="14.25" customHeight="1" spans="1:87" x14ac:dyDescent="0.25">
      <c r="A112" s="16"/>
      <c r="B112" s="16"/>
      <c r="C112" s="16"/>
      <c r="D112" s="16"/>
      <c r="E112" s="16"/>
      <c r="F112" s="16"/>
      <c r="G112" s="16"/>
      <c r="H112" s="16"/>
      <c r="I112" s="16"/>
      <c r="J112" s="16"/>
      <c r="K112" s="84"/>
      <c r="L112" s="850"/>
      <c r="M112" s="850"/>
      <c r="N112" s="850"/>
      <c r="O112" s="850"/>
      <c r="P112" s="850"/>
      <c r="Q112" s="850"/>
      <c r="R112" s="16"/>
      <c r="S112" s="16"/>
      <c r="T112" s="16"/>
      <c r="U112" s="16"/>
      <c r="V112" s="16"/>
      <c r="W112" s="16"/>
      <c r="X112" s="16"/>
      <c r="Y112" s="16"/>
      <c r="Z112" s="16"/>
      <c r="AA112" s="16"/>
      <c r="AB112" s="16"/>
      <c r="AC112" s="16"/>
      <c r="AD112" s="16"/>
      <c r="AE112" s="16"/>
      <c r="AF112" s="16"/>
      <c r="AG112" s="16"/>
      <c r="AH112" s="16"/>
      <c r="AI112" s="16"/>
      <c r="AJ112" s="16"/>
      <c r="AK112" s="16"/>
      <c r="AL112" s="16"/>
      <c r="AM112" s="16"/>
      <c r="AN112" s="16"/>
      <c r="AO112" s="16"/>
      <c r="AP112" s="16"/>
      <c r="AQ112" s="16"/>
      <c r="AR112" s="16"/>
      <c r="AS112" s="16"/>
      <c r="AT112" s="16"/>
      <c r="AU112" s="16"/>
      <c r="AV112" s="16"/>
      <c r="AW112" s="16"/>
      <c r="AX112" s="16"/>
      <c r="AY112" s="16"/>
      <c r="AZ112" s="16"/>
      <c r="BA112" s="16"/>
      <c r="BB112" s="16"/>
      <c r="BC112" s="16"/>
      <c r="BD112" s="16"/>
      <c r="BE112" s="16"/>
      <c r="BF112" s="16"/>
      <c r="BG112" s="16"/>
      <c r="BH112" s="16"/>
      <c r="BI112" s="16"/>
      <c r="BJ112" s="16"/>
      <c r="BK112" s="16"/>
      <c r="BL112" s="16"/>
      <c r="BM112" s="16"/>
      <c r="BN112" s="16"/>
      <c r="BO112" s="16"/>
      <c r="BP112" s="16"/>
      <c r="BQ112" s="16"/>
      <c r="BR112" s="16"/>
      <c r="BS112" s="16"/>
      <c r="BT112" s="16"/>
      <c r="BU112" s="16"/>
      <c r="BV112" s="16"/>
      <c r="BW112" s="16"/>
      <c r="BX112" s="16"/>
      <c r="BY112" s="16"/>
      <c r="BZ112" s="16"/>
      <c r="CA112" s="16"/>
      <c r="CB112" s="16"/>
      <c r="CC112" s="16"/>
      <c r="CD112" s="16"/>
      <c r="CE112" s="16"/>
      <c r="CF112" s="16"/>
      <c r="CG112" s="16"/>
      <c r="CH112" s="16"/>
      <c r="CI112" s="16"/>
    </row>
    <row r="113" ht="14.25" customHeight="1" spans="1:87" x14ac:dyDescent="0.25">
      <c r="A113" s="16"/>
      <c r="B113" s="16"/>
      <c r="C113" s="16"/>
      <c r="D113" s="16"/>
      <c r="E113" s="16"/>
      <c r="F113" s="16"/>
      <c r="G113" s="16"/>
      <c r="H113" s="16"/>
      <c r="I113" s="16"/>
      <c r="J113" s="16"/>
      <c r="K113" s="84"/>
      <c r="L113" s="850"/>
      <c r="M113" s="850"/>
      <c r="N113" s="850"/>
      <c r="O113" s="850"/>
      <c r="P113" s="850"/>
      <c r="Q113" s="850"/>
      <c r="R113" s="16"/>
      <c r="S113" s="16"/>
      <c r="T113" s="16"/>
      <c r="U113" s="16"/>
      <c r="V113" s="16"/>
      <c r="W113" s="16"/>
      <c r="X113" s="16"/>
      <c r="Y113" s="16"/>
      <c r="Z113" s="16"/>
      <c r="AA113" s="16"/>
      <c r="AB113" s="16"/>
      <c r="AC113" s="16"/>
      <c r="AD113" s="16"/>
      <c r="AE113" s="16"/>
      <c r="AF113" s="16"/>
      <c r="AG113" s="16"/>
      <c r="AH113" s="16"/>
      <c r="AI113" s="16"/>
      <c r="AJ113" s="16"/>
      <c r="AK113" s="16"/>
      <c r="AL113" s="16"/>
      <c r="AM113" s="16"/>
      <c r="AN113" s="16"/>
      <c r="AO113" s="16"/>
      <c r="AP113" s="16"/>
      <c r="AQ113" s="16"/>
      <c r="AR113" s="16"/>
      <c r="AS113" s="16"/>
      <c r="AT113" s="16"/>
      <c r="AU113" s="16"/>
      <c r="AV113" s="16"/>
      <c r="AW113" s="16"/>
      <c r="AX113" s="16"/>
      <c r="AY113" s="16"/>
      <c r="AZ113" s="16"/>
      <c r="BA113" s="16"/>
      <c r="BB113" s="16"/>
      <c r="BC113" s="16"/>
      <c r="BD113" s="16"/>
      <c r="BE113" s="16"/>
      <c r="BF113" s="16"/>
      <c r="BG113" s="16"/>
      <c r="BH113" s="16"/>
      <c r="BI113" s="16"/>
      <c r="BJ113" s="16"/>
      <c r="BK113" s="16"/>
      <c r="BL113" s="16"/>
      <c r="BM113" s="16"/>
      <c r="BN113" s="16"/>
      <c r="BO113" s="16"/>
      <c r="BP113" s="16"/>
      <c r="BQ113" s="16"/>
      <c r="BR113" s="16"/>
      <c r="BS113" s="16"/>
      <c r="BT113" s="16"/>
      <c r="BU113" s="16"/>
      <c r="BV113" s="16"/>
      <c r="BW113" s="16"/>
      <c r="BX113" s="16"/>
      <c r="BY113" s="16"/>
      <c r="BZ113" s="16"/>
      <c r="CA113" s="16"/>
      <c r="CB113" s="16"/>
      <c r="CC113" s="16"/>
      <c r="CD113" s="16"/>
      <c r="CE113" s="16"/>
      <c r="CF113" s="16"/>
      <c r="CG113" s="16"/>
      <c r="CH113" s="16"/>
      <c r="CI113" s="16"/>
    </row>
    <row r="114" ht="14.25" customHeight="1" spans="1:87" x14ac:dyDescent="0.25">
      <c r="A114" s="16"/>
      <c r="B114" s="16"/>
      <c r="C114" s="16"/>
      <c r="D114" s="16"/>
      <c r="E114" s="16"/>
      <c r="F114" s="16"/>
      <c r="G114" s="16"/>
      <c r="H114" s="16"/>
      <c r="I114" s="16"/>
      <c r="J114" s="16"/>
      <c r="K114" s="84"/>
      <c r="L114" s="850"/>
      <c r="M114" s="850"/>
      <c r="N114" s="850"/>
      <c r="O114" s="850"/>
      <c r="P114" s="850"/>
      <c r="Q114" s="850"/>
      <c r="R114" s="16"/>
      <c r="S114" s="16"/>
      <c r="T114" s="16"/>
      <c r="U114" s="16"/>
      <c r="V114" s="16"/>
      <c r="W114" s="16"/>
      <c r="X114" s="16"/>
      <c r="Y114" s="16"/>
      <c r="Z114" s="16"/>
      <c r="AA114" s="16"/>
      <c r="AB114" s="16"/>
      <c r="AC114" s="16"/>
      <c r="AD114" s="16"/>
      <c r="AE114" s="16"/>
      <c r="AF114" s="16"/>
      <c r="AG114" s="16"/>
      <c r="AH114" s="16"/>
      <c r="AI114" s="16"/>
      <c r="AJ114" s="16"/>
      <c r="AK114" s="16"/>
      <c r="AL114" s="16"/>
      <c r="AM114" s="16"/>
      <c r="AN114" s="16"/>
      <c r="AO114" s="16"/>
      <c r="AP114" s="16"/>
      <c r="AQ114" s="16"/>
      <c r="AR114" s="16"/>
      <c r="AS114" s="16"/>
      <c r="AT114" s="16"/>
      <c r="AU114" s="16"/>
      <c r="AV114" s="16"/>
      <c r="AW114" s="16"/>
      <c r="AX114" s="16"/>
      <c r="AY114" s="16"/>
      <c r="AZ114" s="16"/>
      <c r="BA114" s="16"/>
      <c r="BB114" s="16"/>
      <c r="BC114" s="16"/>
      <c r="BD114" s="16"/>
      <c r="BE114" s="16"/>
      <c r="BF114" s="16"/>
      <c r="BG114" s="16"/>
      <c r="BH114" s="16"/>
      <c r="BI114" s="16"/>
      <c r="BJ114" s="16"/>
      <c r="BK114" s="16"/>
      <c r="BL114" s="16"/>
      <c r="BM114" s="16"/>
      <c r="BN114" s="16"/>
      <c r="BO114" s="16"/>
      <c r="BP114" s="16"/>
      <c r="BQ114" s="16"/>
      <c r="BR114" s="16"/>
      <c r="BS114" s="16"/>
      <c r="BT114" s="16"/>
      <c r="BU114" s="16"/>
      <c r="BV114" s="16"/>
      <c r="BW114" s="16"/>
      <c r="BX114" s="16"/>
      <c r="BY114" s="16"/>
      <c r="BZ114" s="16"/>
      <c r="CA114" s="16"/>
      <c r="CB114" s="16"/>
      <c r="CC114" s="16"/>
      <c r="CD114" s="16"/>
      <c r="CE114" s="16"/>
      <c r="CF114" s="16"/>
      <c r="CG114" s="16"/>
      <c r="CH114" s="16"/>
      <c r="CI114" s="16"/>
    </row>
    <row r="115" ht="14.25" customHeight="1" spans="1:87" x14ac:dyDescent="0.25">
      <c r="A115" s="16"/>
      <c r="B115" s="16"/>
      <c r="C115" s="16"/>
      <c r="D115" s="16"/>
      <c r="E115" s="16"/>
      <c r="F115" s="16"/>
      <c r="G115" s="16"/>
      <c r="H115" s="16"/>
      <c r="I115" s="16"/>
      <c r="J115" s="16"/>
      <c r="K115" s="84"/>
      <c r="L115" s="850"/>
      <c r="M115" s="850"/>
      <c r="N115" s="850"/>
      <c r="O115" s="850"/>
      <c r="P115" s="850"/>
      <c r="Q115" s="850"/>
      <c r="R115" s="16"/>
      <c r="S115" s="16"/>
      <c r="T115" s="16"/>
      <c r="U115" s="16"/>
      <c r="V115" s="16"/>
      <c r="W115" s="16"/>
      <c r="X115" s="16"/>
      <c r="Y115" s="16"/>
      <c r="Z115" s="16"/>
      <c r="AA115" s="16"/>
      <c r="AB115" s="16"/>
      <c r="AC115" s="16"/>
      <c r="AD115" s="16"/>
      <c r="AE115" s="16"/>
      <c r="AF115" s="16"/>
      <c r="AG115" s="16"/>
      <c r="AH115" s="16"/>
      <c r="AI115" s="16"/>
      <c r="AJ115" s="16"/>
      <c r="AK115" s="16"/>
      <c r="AL115" s="16"/>
      <c r="AM115" s="16"/>
      <c r="AN115" s="16"/>
      <c r="AO115" s="16"/>
      <c r="AP115" s="16"/>
      <c r="AQ115" s="16"/>
      <c r="AR115" s="16"/>
      <c r="AS115" s="16"/>
      <c r="AT115" s="16"/>
      <c r="AU115" s="16"/>
      <c r="AV115" s="16"/>
      <c r="AW115" s="16"/>
      <c r="AX115" s="16"/>
      <c r="AY115" s="16"/>
      <c r="AZ115" s="16"/>
      <c r="BA115" s="16"/>
      <c r="BB115" s="16"/>
      <c r="BC115" s="16"/>
      <c r="BD115" s="16"/>
      <c r="BE115" s="16"/>
      <c r="BF115" s="16"/>
      <c r="BG115" s="16"/>
      <c r="BH115" s="16"/>
      <c r="BI115" s="16"/>
      <c r="BJ115" s="16"/>
      <c r="BK115" s="16"/>
      <c r="BL115" s="16"/>
      <c r="BM115" s="16"/>
      <c r="BN115" s="16"/>
      <c r="BO115" s="16"/>
      <c r="BP115" s="16"/>
      <c r="BQ115" s="16"/>
      <c r="BR115" s="16"/>
      <c r="BS115" s="16"/>
      <c r="BT115" s="16"/>
      <c r="BU115" s="16"/>
      <c r="BV115" s="16"/>
      <c r="BW115" s="16"/>
      <c r="BX115" s="16"/>
      <c r="BY115" s="16"/>
      <c r="BZ115" s="16"/>
      <c r="CA115" s="16"/>
      <c r="CB115" s="16"/>
      <c r="CC115" s="16"/>
      <c r="CD115" s="16"/>
      <c r="CE115" s="16"/>
      <c r="CF115" s="16"/>
      <c r="CG115" s="16"/>
      <c r="CH115" s="16"/>
      <c r="CI115" s="16"/>
    </row>
    <row r="116" ht="14.25" customHeight="1" spans="1:87" x14ac:dyDescent="0.25">
      <c r="A116" s="16"/>
      <c r="B116" s="16"/>
      <c r="C116" s="16"/>
      <c r="D116" s="16"/>
      <c r="E116" s="16"/>
      <c r="F116" s="16"/>
      <c r="G116" s="16"/>
      <c r="H116" s="16"/>
      <c r="I116" s="16"/>
      <c r="J116" s="16"/>
      <c r="K116" s="84"/>
      <c r="L116" s="850"/>
      <c r="M116" s="850"/>
      <c r="N116" s="850"/>
      <c r="O116" s="850"/>
      <c r="P116" s="850"/>
      <c r="Q116" s="850"/>
      <c r="R116" s="16"/>
      <c r="S116" s="16"/>
      <c r="T116" s="16"/>
      <c r="U116" s="16"/>
      <c r="V116" s="16"/>
      <c r="W116" s="16"/>
      <c r="X116" s="16"/>
      <c r="Y116" s="16"/>
      <c r="Z116" s="16"/>
      <c r="AA116" s="16"/>
      <c r="AB116" s="16"/>
      <c r="AC116" s="16"/>
      <c r="AD116" s="16"/>
      <c r="AE116" s="16"/>
      <c r="AF116" s="16"/>
      <c r="AG116" s="16"/>
      <c r="AH116" s="16"/>
      <c r="AI116" s="16"/>
      <c r="AJ116" s="16"/>
      <c r="AK116" s="16"/>
      <c r="AL116" s="16"/>
      <c r="AM116" s="16"/>
      <c r="AN116" s="16"/>
      <c r="AO116" s="16"/>
      <c r="AP116" s="16"/>
      <c r="AQ116" s="16"/>
      <c r="AR116" s="16"/>
      <c r="AS116" s="16"/>
      <c r="AT116" s="16"/>
      <c r="AU116" s="16"/>
      <c r="AV116" s="16"/>
      <c r="AW116" s="16"/>
      <c r="AX116" s="16"/>
      <c r="AY116" s="16"/>
      <c r="AZ116" s="16"/>
      <c r="BA116" s="16"/>
      <c r="BB116" s="16"/>
      <c r="BC116" s="16"/>
      <c r="BD116" s="16"/>
      <c r="BE116" s="16"/>
      <c r="BF116" s="16"/>
      <c r="BG116" s="16"/>
      <c r="BH116" s="16"/>
      <c r="BI116" s="16"/>
      <c r="BJ116" s="16"/>
      <c r="BK116" s="16"/>
      <c r="BL116" s="16"/>
      <c r="BM116" s="16"/>
      <c r="BN116" s="16"/>
      <c r="BO116" s="16"/>
      <c r="BP116" s="16"/>
      <c r="BQ116" s="16"/>
      <c r="BR116" s="16"/>
      <c r="BS116" s="16"/>
      <c r="BT116" s="16"/>
      <c r="BU116" s="16"/>
      <c r="BV116" s="16"/>
      <c r="BW116" s="16"/>
      <c r="BX116" s="16"/>
      <c r="BY116" s="16"/>
      <c r="BZ116" s="16"/>
      <c r="CA116" s="16"/>
      <c r="CB116" s="16"/>
      <c r="CC116" s="16"/>
      <c r="CD116" s="16"/>
      <c r="CE116" s="16"/>
      <c r="CF116" s="16"/>
      <c r="CG116" s="16"/>
      <c r="CH116" s="16"/>
      <c r="CI116" s="16"/>
    </row>
    <row r="117" ht="14.25" customHeight="1" spans="1:87" x14ac:dyDescent="0.25">
      <c r="A117" s="16"/>
      <c r="B117" s="16"/>
      <c r="C117" s="16"/>
      <c r="D117" s="16"/>
      <c r="E117" s="16"/>
      <c r="F117" s="16"/>
      <c r="G117" s="16"/>
      <c r="H117" s="16"/>
      <c r="I117" s="16"/>
      <c r="J117" s="16"/>
      <c r="K117" s="84"/>
      <c r="L117" s="850"/>
      <c r="M117" s="850"/>
      <c r="N117" s="850"/>
      <c r="O117" s="850"/>
      <c r="P117" s="850"/>
      <c r="Q117" s="850"/>
      <c r="R117" s="16"/>
      <c r="S117" s="16"/>
      <c r="T117" s="16"/>
      <c r="U117" s="16"/>
      <c r="V117" s="16"/>
      <c r="W117" s="16"/>
      <c r="X117" s="16"/>
      <c r="Y117" s="16"/>
      <c r="Z117" s="16"/>
      <c r="AA117" s="16"/>
      <c r="AB117" s="16"/>
      <c r="AC117" s="16"/>
      <c r="AD117" s="16"/>
      <c r="AE117" s="16"/>
      <c r="AF117" s="16"/>
      <c r="AG117" s="16"/>
      <c r="AH117" s="16"/>
      <c r="AI117" s="16"/>
      <c r="AJ117" s="16"/>
      <c r="AK117" s="16"/>
      <c r="AL117" s="16"/>
      <c r="AM117" s="16"/>
      <c r="AN117" s="16"/>
      <c r="AO117" s="16"/>
      <c r="AP117" s="16"/>
      <c r="AQ117" s="16"/>
      <c r="AR117" s="16"/>
      <c r="AS117" s="16"/>
      <c r="AT117" s="16"/>
      <c r="AU117" s="16"/>
      <c r="AV117" s="16"/>
      <c r="AW117" s="16"/>
      <c r="AX117" s="16"/>
      <c r="AY117" s="16"/>
      <c r="AZ117" s="16"/>
      <c r="BA117" s="16"/>
      <c r="BB117" s="16"/>
      <c r="BC117" s="16"/>
      <c r="BD117" s="16"/>
      <c r="BE117" s="16"/>
      <c r="BF117" s="16"/>
      <c r="BG117" s="16"/>
      <c r="BH117" s="16"/>
      <c r="BI117" s="16"/>
      <c r="BJ117" s="16"/>
      <c r="BK117" s="16"/>
      <c r="BL117" s="16"/>
      <c r="BM117" s="16"/>
      <c r="BN117" s="16"/>
      <c r="BO117" s="16"/>
      <c r="BP117" s="16"/>
      <c r="BQ117" s="16"/>
      <c r="BR117" s="16"/>
      <c r="BS117" s="16"/>
      <c r="BT117" s="16"/>
      <c r="BU117" s="16"/>
      <c r="BV117" s="16"/>
      <c r="BW117" s="16"/>
      <c r="BX117" s="16"/>
      <c r="BY117" s="16"/>
      <c r="BZ117" s="16"/>
      <c r="CA117" s="16"/>
      <c r="CB117" s="16"/>
      <c r="CC117" s="16"/>
      <c r="CD117" s="16"/>
      <c r="CE117" s="16"/>
      <c r="CF117" s="16"/>
      <c r="CG117" s="16"/>
      <c r="CH117" s="16"/>
      <c r="CI117" s="16"/>
    </row>
    <row r="118" ht="14.25" customHeight="1" spans="1:87" x14ac:dyDescent="0.25">
      <c r="A118" s="16"/>
      <c r="B118" s="16"/>
      <c r="C118" s="16"/>
      <c r="D118" s="16"/>
      <c r="E118" s="16"/>
      <c r="F118" s="16"/>
      <c r="G118" s="16"/>
      <c r="H118" s="16"/>
      <c r="I118" s="16"/>
      <c r="J118" s="16"/>
      <c r="K118" s="84"/>
      <c r="L118" s="850"/>
      <c r="M118" s="850"/>
      <c r="N118" s="850"/>
      <c r="O118" s="850"/>
      <c r="P118" s="850"/>
      <c r="Q118" s="850"/>
      <c r="R118" s="16"/>
      <c r="S118" s="16"/>
      <c r="T118" s="16"/>
      <c r="U118" s="16"/>
      <c r="V118" s="16"/>
      <c r="W118" s="16"/>
      <c r="X118" s="16"/>
      <c r="Y118" s="16"/>
      <c r="Z118" s="16"/>
      <c r="AA118" s="16"/>
      <c r="AB118" s="16"/>
      <c r="AC118" s="16"/>
      <c r="AD118" s="16"/>
      <c r="AE118" s="16"/>
      <c r="AF118" s="16"/>
      <c r="AG118" s="16"/>
      <c r="AH118" s="16"/>
      <c r="AI118" s="16"/>
      <c r="AJ118" s="16"/>
      <c r="AK118" s="16"/>
      <c r="AL118" s="16"/>
      <c r="AM118" s="16"/>
      <c r="AN118" s="16"/>
      <c r="AO118" s="16"/>
      <c r="AP118" s="16"/>
      <c r="AQ118" s="16"/>
      <c r="AR118" s="16"/>
      <c r="AS118" s="16"/>
      <c r="AT118" s="16"/>
      <c r="AU118" s="16"/>
      <c r="AV118" s="16"/>
      <c r="AW118" s="16"/>
      <c r="AX118" s="16"/>
      <c r="AY118" s="16"/>
      <c r="AZ118" s="16"/>
      <c r="BA118" s="16"/>
      <c r="BB118" s="16"/>
      <c r="BC118" s="16"/>
      <c r="BD118" s="16"/>
      <c r="BE118" s="16"/>
      <c r="BF118" s="16"/>
      <c r="BG118" s="16"/>
      <c r="BH118" s="16"/>
      <c r="BI118" s="16"/>
      <c r="BJ118" s="16"/>
      <c r="BK118" s="16"/>
      <c r="BL118" s="16"/>
      <c r="BM118" s="16"/>
      <c r="BN118" s="16"/>
      <c r="BO118" s="16"/>
      <c r="BP118" s="16"/>
      <c r="BQ118" s="16"/>
      <c r="BR118" s="16"/>
      <c r="BS118" s="16"/>
      <c r="BT118" s="16"/>
      <c r="BU118" s="16"/>
      <c r="BV118" s="16"/>
      <c r="BW118" s="16"/>
      <c r="BX118" s="16"/>
      <c r="BY118" s="16"/>
      <c r="BZ118" s="16"/>
      <c r="CA118" s="16"/>
      <c r="CB118" s="16"/>
      <c r="CC118" s="16"/>
      <c r="CD118" s="16"/>
      <c r="CE118" s="16"/>
      <c r="CF118" s="16"/>
      <c r="CG118" s="16"/>
      <c r="CH118" s="16"/>
      <c r="CI118" s="16"/>
    </row>
    <row r="119" ht="14.25" customHeight="1" spans="1:87" x14ac:dyDescent="0.25">
      <c r="A119" s="16"/>
      <c r="B119" s="16"/>
      <c r="C119" s="16"/>
      <c r="D119" s="16"/>
      <c r="E119" s="16"/>
      <c r="F119" s="16"/>
      <c r="G119" s="16"/>
      <c r="H119" s="16"/>
      <c r="I119" s="16"/>
      <c r="J119" s="16"/>
      <c r="K119" s="84"/>
      <c r="L119" s="850"/>
      <c r="M119" s="850"/>
      <c r="N119" s="850"/>
      <c r="O119" s="850"/>
      <c r="P119" s="850"/>
      <c r="Q119" s="850"/>
      <c r="R119" s="16"/>
      <c r="S119" s="16"/>
      <c r="T119" s="16"/>
      <c r="U119" s="16"/>
      <c r="V119" s="16"/>
      <c r="W119" s="16"/>
      <c r="X119" s="16"/>
      <c r="Y119" s="16"/>
      <c r="Z119" s="16"/>
      <c r="AA119" s="16"/>
      <c r="AB119" s="16"/>
      <c r="AC119" s="16"/>
      <c r="AD119" s="16"/>
      <c r="AE119" s="16"/>
      <c r="AF119" s="16"/>
      <c r="AG119" s="16"/>
      <c r="AH119" s="16"/>
      <c r="AI119" s="16"/>
      <c r="AJ119" s="16"/>
      <c r="AK119" s="16"/>
      <c r="AL119" s="16"/>
      <c r="AM119" s="16"/>
      <c r="AN119" s="16"/>
      <c r="AO119" s="16"/>
      <c r="AP119" s="16"/>
      <c r="AQ119" s="16"/>
      <c r="AR119" s="16"/>
      <c r="AS119" s="16"/>
      <c r="AT119" s="16"/>
      <c r="AU119" s="16"/>
      <c r="AV119" s="16"/>
      <c r="AW119" s="16"/>
      <c r="AX119" s="16"/>
      <c r="AY119" s="16"/>
      <c r="AZ119" s="16"/>
      <c r="BA119" s="16"/>
      <c r="BB119" s="16"/>
      <c r="BC119" s="16"/>
      <c r="BD119" s="16"/>
      <c r="BE119" s="16"/>
      <c r="BF119" s="16"/>
      <c r="BG119" s="16"/>
      <c r="BH119" s="16"/>
      <c r="BI119" s="16"/>
      <c r="BJ119" s="16"/>
      <c r="BK119" s="16"/>
      <c r="BL119" s="16"/>
      <c r="BM119" s="16"/>
      <c r="BN119" s="16"/>
      <c r="BO119" s="16"/>
      <c r="BP119" s="16"/>
      <c r="BQ119" s="16"/>
      <c r="BR119" s="16"/>
      <c r="BS119" s="16"/>
      <c r="BT119" s="16"/>
      <c r="BU119" s="16"/>
      <c r="BV119" s="16"/>
      <c r="BW119" s="16"/>
      <c r="BX119" s="16"/>
      <c r="BY119" s="16"/>
      <c r="BZ119" s="16"/>
      <c r="CA119" s="16"/>
      <c r="CB119" s="16"/>
      <c r="CC119" s="16"/>
      <c r="CD119" s="16"/>
      <c r="CE119" s="16"/>
      <c r="CF119" s="16"/>
      <c r="CG119" s="16"/>
      <c r="CH119" s="16"/>
      <c r="CI119" s="16"/>
    </row>
    <row r="120" ht="14.25" customHeight="1" spans="1:87" x14ac:dyDescent="0.25">
      <c r="A120" s="16"/>
      <c r="B120" s="16"/>
      <c r="C120" s="16"/>
      <c r="D120" s="16"/>
      <c r="E120" s="16"/>
      <c r="F120" s="16"/>
      <c r="G120" s="16"/>
      <c r="H120" s="16"/>
      <c r="I120" s="16"/>
      <c r="J120" s="16"/>
      <c r="K120" s="84"/>
      <c r="L120" s="850"/>
      <c r="M120" s="850"/>
      <c r="N120" s="850"/>
      <c r="O120" s="850"/>
      <c r="P120" s="850"/>
      <c r="Q120" s="850"/>
      <c r="R120" s="16"/>
      <c r="S120" s="16"/>
      <c r="T120" s="16"/>
      <c r="U120" s="16"/>
      <c r="V120" s="16"/>
      <c r="W120" s="16"/>
      <c r="X120" s="16"/>
      <c r="Y120" s="16"/>
      <c r="Z120" s="16"/>
      <c r="AA120" s="16"/>
      <c r="AB120" s="16"/>
      <c r="AC120" s="16"/>
      <c r="AD120" s="16"/>
      <c r="AE120" s="16"/>
      <c r="AF120" s="16"/>
      <c r="AG120" s="16"/>
      <c r="AH120" s="16"/>
      <c r="AI120" s="16"/>
      <c r="AJ120" s="16"/>
      <c r="AK120" s="16"/>
      <c r="AL120" s="16"/>
      <c r="AM120" s="16"/>
      <c r="AN120" s="16"/>
      <c r="AO120" s="16"/>
      <c r="AP120" s="16"/>
      <c r="AQ120" s="16"/>
      <c r="AR120" s="16"/>
      <c r="AS120" s="16"/>
      <c r="AT120" s="16"/>
      <c r="AU120" s="16"/>
      <c r="AV120" s="16"/>
      <c r="AW120" s="16"/>
      <c r="AX120" s="16"/>
      <c r="AY120" s="16"/>
      <c r="AZ120" s="16"/>
      <c r="BA120" s="16"/>
      <c r="BB120" s="16"/>
      <c r="BC120" s="16"/>
      <c r="BD120" s="16"/>
      <c r="BE120" s="16"/>
      <c r="BF120" s="16"/>
      <c r="BG120" s="16"/>
      <c r="BH120" s="16"/>
      <c r="BI120" s="16"/>
      <c r="BJ120" s="16"/>
      <c r="BK120" s="16"/>
      <c r="BL120" s="16"/>
      <c r="BM120" s="16"/>
      <c r="BN120" s="16"/>
      <c r="BO120" s="16"/>
      <c r="BP120" s="16"/>
      <c r="BQ120" s="16"/>
      <c r="BR120" s="16"/>
      <c r="BS120" s="16"/>
      <c r="BT120" s="16"/>
      <c r="BU120" s="16"/>
      <c r="BV120" s="16"/>
      <c r="BW120" s="16"/>
      <c r="BX120" s="16"/>
      <c r="BY120" s="16"/>
      <c r="BZ120" s="16"/>
      <c r="CA120" s="16"/>
      <c r="CB120" s="16"/>
      <c r="CC120" s="16"/>
      <c r="CD120" s="16"/>
      <c r="CE120" s="16"/>
      <c r="CF120" s="16"/>
      <c r="CG120" s="16"/>
      <c r="CH120" s="16"/>
      <c r="CI120" s="16"/>
    </row>
    <row r="121" ht="14.25" customHeight="1" spans="1:87" x14ac:dyDescent="0.25">
      <c r="A121" s="16"/>
      <c r="B121" s="16"/>
      <c r="C121" s="16"/>
      <c r="D121" s="16"/>
      <c r="E121" s="16"/>
      <c r="F121" s="16"/>
      <c r="G121" s="16"/>
      <c r="H121" s="16"/>
      <c r="I121" s="16"/>
      <c r="J121" s="16"/>
      <c r="K121" s="84"/>
      <c r="L121" s="850"/>
      <c r="M121" s="850"/>
      <c r="N121" s="850"/>
      <c r="O121" s="850"/>
      <c r="P121" s="850"/>
      <c r="Q121" s="850"/>
      <c r="R121" s="16"/>
      <c r="S121" s="16"/>
      <c r="T121" s="16"/>
      <c r="U121" s="16"/>
      <c r="V121" s="16"/>
      <c r="W121" s="16"/>
      <c r="X121" s="16"/>
      <c r="Y121" s="16"/>
      <c r="Z121" s="16"/>
      <c r="AA121" s="16"/>
      <c r="AB121" s="16"/>
      <c r="AC121" s="16"/>
      <c r="AD121" s="16"/>
      <c r="AE121" s="16"/>
      <c r="AF121" s="16"/>
      <c r="AG121" s="16"/>
      <c r="AH121" s="16"/>
      <c r="AI121" s="16"/>
      <c r="AJ121" s="16"/>
      <c r="AK121" s="16"/>
      <c r="AL121" s="16"/>
      <c r="AM121" s="16"/>
      <c r="AN121" s="16"/>
      <c r="AO121" s="16"/>
      <c r="AP121" s="16"/>
      <c r="AQ121" s="16"/>
      <c r="AR121" s="16"/>
      <c r="AS121" s="16"/>
      <c r="AT121" s="16"/>
      <c r="AU121" s="16"/>
      <c r="AV121" s="16"/>
      <c r="AW121" s="16"/>
      <c r="AX121" s="16"/>
      <c r="AY121" s="16"/>
      <c r="AZ121" s="16"/>
      <c r="BA121" s="16"/>
      <c r="BB121" s="16"/>
      <c r="BC121" s="16"/>
      <c r="BD121" s="16"/>
      <c r="BE121" s="16"/>
      <c r="BF121" s="16"/>
      <c r="BG121" s="16"/>
      <c r="BH121" s="16"/>
      <c r="BI121" s="16"/>
      <c r="BJ121" s="16"/>
      <c r="BK121" s="16"/>
      <c r="BL121" s="16"/>
      <c r="BM121" s="16"/>
      <c r="BN121" s="16"/>
      <c r="BO121" s="16"/>
      <c r="BP121" s="16"/>
      <c r="BQ121" s="16"/>
      <c r="BR121" s="16"/>
      <c r="BS121" s="16"/>
      <c r="BT121" s="16"/>
      <c r="BU121" s="16"/>
      <c r="BV121" s="16"/>
      <c r="BW121" s="16"/>
      <c r="BX121" s="16"/>
      <c r="BY121" s="16"/>
      <c r="BZ121" s="16"/>
      <c r="CA121" s="16"/>
      <c r="CB121" s="16"/>
      <c r="CC121" s="16"/>
      <c r="CD121" s="16"/>
      <c r="CE121" s="16"/>
      <c r="CF121" s="16"/>
      <c r="CG121" s="16"/>
      <c r="CH121" s="16"/>
      <c r="CI121" s="16"/>
    </row>
    <row r="122" ht="14.25" customHeight="1" spans="1:87" x14ac:dyDescent="0.25">
      <c r="A122" s="16"/>
      <c r="B122" s="16"/>
      <c r="C122" s="16"/>
      <c r="D122" s="16"/>
      <c r="E122" s="16"/>
      <c r="F122" s="16"/>
      <c r="G122" s="16"/>
      <c r="H122" s="16"/>
      <c r="I122" s="16"/>
      <c r="J122" s="16"/>
      <c r="K122" s="84"/>
      <c r="L122" s="850"/>
      <c r="M122" s="850"/>
      <c r="N122" s="850"/>
      <c r="O122" s="850"/>
      <c r="P122" s="850"/>
      <c r="Q122" s="850"/>
      <c r="R122" s="16"/>
      <c r="S122" s="16"/>
      <c r="T122" s="16"/>
      <c r="U122" s="16"/>
      <c r="V122" s="16"/>
      <c r="W122" s="16"/>
      <c r="X122" s="16"/>
      <c r="Y122" s="16"/>
      <c r="Z122" s="16"/>
      <c r="AA122" s="16"/>
      <c r="AB122" s="16"/>
      <c r="AC122" s="16"/>
      <c r="AD122" s="16"/>
      <c r="AE122" s="16"/>
      <c r="AF122" s="16"/>
      <c r="AG122" s="16"/>
      <c r="AH122" s="16"/>
      <c r="AI122" s="16"/>
      <c r="AJ122" s="16"/>
      <c r="AK122" s="16"/>
      <c r="AL122" s="16"/>
      <c r="AM122" s="16"/>
      <c r="AN122" s="16"/>
      <c r="AO122" s="16"/>
      <c r="AP122" s="16"/>
      <c r="AQ122" s="16"/>
      <c r="AR122" s="16"/>
      <c r="AS122" s="16"/>
      <c r="AT122" s="16"/>
      <c r="AU122" s="16"/>
      <c r="AV122" s="16"/>
      <c r="AW122" s="16"/>
      <c r="AX122" s="16"/>
      <c r="AY122" s="16"/>
      <c r="AZ122" s="16"/>
      <c r="BA122" s="16"/>
      <c r="BB122" s="16"/>
      <c r="BC122" s="16"/>
      <c r="BD122" s="16"/>
      <c r="BE122" s="16"/>
      <c r="BF122" s="16"/>
      <c r="BG122" s="16"/>
      <c r="BH122" s="16"/>
      <c r="BI122" s="16"/>
      <c r="BJ122" s="16"/>
      <c r="BK122" s="16"/>
      <c r="BL122" s="16"/>
      <c r="BM122" s="16"/>
      <c r="BN122" s="16"/>
      <c r="BO122" s="16"/>
      <c r="BP122" s="16"/>
      <c r="BQ122" s="16"/>
      <c r="BR122" s="16"/>
      <c r="BS122" s="16"/>
      <c r="BT122" s="16"/>
      <c r="BU122" s="16"/>
      <c r="BV122" s="16"/>
      <c r="BW122" s="16"/>
      <c r="BX122" s="16"/>
      <c r="BY122" s="16"/>
      <c r="BZ122" s="16"/>
      <c r="CA122" s="16"/>
      <c r="CB122" s="16"/>
      <c r="CC122" s="16"/>
      <c r="CD122" s="16"/>
      <c r="CE122" s="16"/>
      <c r="CF122" s="16"/>
      <c r="CG122" s="16"/>
      <c r="CH122" s="16"/>
      <c r="CI122" s="16"/>
    </row>
    <row r="123" ht="14.25" customHeight="1" spans="1:87" x14ac:dyDescent="0.25">
      <c r="A123" s="16"/>
      <c r="B123" s="16"/>
      <c r="C123" s="16"/>
      <c r="D123" s="16"/>
      <c r="E123" s="16"/>
      <c r="F123" s="16"/>
      <c r="G123" s="16"/>
      <c r="H123" s="16"/>
      <c r="I123" s="16"/>
      <c r="J123" s="16"/>
      <c r="K123" s="84"/>
      <c r="L123" s="850"/>
      <c r="M123" s="850"/>
      <c r="N123" s="850"/>
      <c r="O123" s="850"/>
      <c r="P123" s="850"/>
      <c r="Q123" s="850"/>
      <c r="R123" s="16"/>
      <c r="S123" s="16"/>
      <c r="T123" s="16"/>
      <c r="U123" s="16"/>
      <c r="V123" s="16"/>
      <c r="W123" s="16"/>
      <c r="X123" s="16"/>
      <c r="Y123" s="16"/>
      <c r="Z123" s="16"/>
      <c r="AA123" s="16"/>
      <c r="AB123" s="16"/>
      <c r="AC123" s="16"/>
      <c r="AD123" s="16"/>
      <c r="AE123" s="16"/>
      <c r="AF123" s="16"/>
      <c r="AG123" s="16"/>
      <c r="AH123" s="16"/>
      <c r="AI123" s="16"/>
      <c r="AJ123" s="16"/>
      <c r="AK123" s="16"/>
      <c r="AL123" s="16"/>
      <c r="AM123" s="16"/>
      <c r="AN123" s="16"/>
      <c r="AO123" s="16"/>
      <c r="AP123" s="16"/>
      <c r="AQ123" s="16"/>
      <c r="AR123" s="16"/>
      <c r="AS123" s="16"/>
      <c r="AT123" s="16"/>
      <c r="AU123" s="16"/>
      <c r="AV123" s="16"/>
      <c r="AW123" s="16"/>
      <c r="AX123" s="16"/>
      <c r="AY123" s="16"/>
      <c r="AZ123" s="16"/>
      <c r="BA123" s="16"/>
      <c r="BB123" s="16"/>
      <c r="BC123" s="16"/>
      <c r="BD123" s="16"/>
      <c r="BE123" s="16"/>
      <c r="BF123" s="16"/>
      <c r="BG123" s="16"/>
      <c r="BH123" s="16"/>
      <c r="BI123" s="16"/>
      <c r="BJ123" s="16"/>
      <c r="BK123" s="16"/>
      <c r="BL123" s="16"/>
      <c r="BM123" s="16"/>
      <c r="BN123" s="16"/>
      <c r="BO123" s="16"/>
      <c r="BP123" s="16"/>
      <c r="BQ123" s="16"/>
      <c r="BR123" s="16"/>
      <c r="BS123" s="16"/>
      <c r="BT123" s="16"/>
      <c r="BU123" s="16"/>
      <c r="BV123" s="16"/>
      <c r="BW123" s="16"/>
      <c r="BX123" s="16"/>
      <c r="BY123" s="16"/>
      <c r="BZ123" s="16"/>
      <c r="CA123" s="16"/>
      <c r="CB123" s="16"/>
      <c r="CC123" s="16"/>
      <c r="CD123" s="16"/>
      <c r="CE123" s="16"/>
      <c r="CF123" s="16"/>
      <c r="CG123" s="16"/>
      <c r="CH123" s="16"/>
      <c r="CI123" s="16"/>
    </row>
    <row r="124" ht="14.25" customHeight="1" spans="1:87" x14ac:dyDescent="0.25">
      <c r="A124" s="16"/>
      <c r="B124" s="16"/>
      <c r="C124" s="16"/>
      <c r="D124" s="16"/>
      <c r="E124" s="16"/>
      <c r="F124" s="16"/>
      <c r="G124" s="16"/>
      <c r="H124" s="16"/>
      <c r="I124" s="16"/>
      <c r="J124" s="16"/>
      <c r="K124" s="84"/>
      <c r="L124" s="850"/>
      <c r="M124" s="850"/>
      <c r="N124" s="850"/>
      <c r="O124" s="850"/>
      <c r="P124" s="850"/>
      <c r="Q124" s="850"/>
      <c r="R124" s="16"/>
      <c r="S124" s="16"/>
      <c r="T124" s="16"/>
      <c r="U124" s="16"/>
      <c r="V124" s="16"/>
      <c r="W124" s="16"/>
      <c r="X124" s="16"/>
      <c r="Y124" s="16"/>
      <c r="Z124" s="16"/>
      <c r="AA124" s="16"/>
      <c r="AB124" s="16"/>
      <c r="AC124" s="16"/>
      <c r="AD124" s="16"/>
      <c r="AE124" s="16"/>
      <c r="AF124" s="16"/>
      <c r="AG124" s="16"/>
      <c r="AH124" s="16"/>
      <c r="AI124" s="16"/>
      <c r="AJ124" s="16"/>
      <c r="AK124" s="16"/>
      <c r="AL124" s="16"/>
      <c r="AM124" s="16"/>
      <c r="AN124" s="16"/>
      <c r="AO124" s="16"/>
      <c r="AP124" s="16"/>
      <c r="AQ124" s="16"/>
      <c r="AR124" s="16"/>
      <c r="AS124" s="16"/>
      <c r="AT124" s="16"/>
      <c r="AU124" s="16"/>
      <c r="AV124" s="16"/>
      <c r="AW124" s="16"/>
      <c r="AX124" s="16"/>
      <c r="AY124" s="16"/>
      <c r="AZ124" s="16"/>
      <c r="BA124" s="16"/>
      <c r="BB124" s="16"/>
      <c r="BC124" s="16"/>
      <c r="BD124" s="16"/>
      <c r="BE124" s="16"/>
      <c r="BF124" s="16"/>
      <c r="BG124" s="16"/>
      <c r="BH124" s="16"/>
      <c r="BI124" s="16"/>
      <c r="BJ124" s="16"/>
      <c r="BK124" s="16"/>
      <c r="BL124" s="16"/>
      <c r="BM124" s="16"/>
      <c r="BN124" s="16"/>
      <c r="BO124" s="16"/>
      <c r="BP124" s="16"/>
      <c r="BQ124" s="16"/>
      <c r="BR124" s="16"/>
      <c r="BS124" s="16"/>
      <c r="BT124" s="16"/>
      <c r="BU124" s="16"/>
      <c r="BV124" s="16"/>
      <c r="BW124" s="16"/>
      <c r="BX124" s="16"/>
      <c r="BY124" s="16"/>
      <c r="BZ124" s="16"/>
      <c r="CA124" s="16"/>
      <c r="CB124" s="16"/>
      <c r="CC124" s="16"/>
      <c r="CD124" s="16"/>
      <c r="CE124" s="16"/>
      <c r="CF124" s="16"/>
      <c r="CG124" s="16"/>
      <c r="CH124" s="16"/>
      <c r="CI124" s="16"/>
    </row>
    <row r="125" ht="14.25" customHeight="1" spans="1:87" x14ac:dyDescent="0.25">
      <c r="A125" s="16"/>
      <c r="B125" s="16"/>
      <c r="C125" s="16"/>
      <c r="D125" s="16"/>
      <c r="E125" s="16"/>
      <c r="F125" s="16"/>
      <c r="G125" s="16"/>
      <c r="H125" s="16"/>
      <c r="I125" s="16"/>
      <c r="J125" s="16"/>
      <c r="K125" s="84"/>
      <c r="L125" s="850"/>
      <c r="M125" s="850"/>
      <c r="N125" s="850"/>
      <c r="O125" s="850"/>
      <c r="P125" s="850"/>
      <c r="Q125" s="850"/>
      <c r="R125" s="16"/>
      <c r="S125" s="16"/>
      <c r="T125" s="16"/>
      <c r="U125" s="16"/>
      <c r="V125" s="16"/>
      <c r="W125" s="16"/>
      <c r="X125" s="16"/>
      <c r="Y125" s="16"/>
      <c r="Z125" s="16"/>
      <c r="AA125" s="16"/>
      <c r="AB125" s="16"/>
      <c r="AC125" s="16"/>
      <c r="AD125" s="16"/>
      <c r="AE125" s="16"/>
      <c r="AF125" s="16"/>
      <c r="AG125" s="16"/>
      <c r="AH125" s="16"/>
      <c r="AI125" s="16"/>
      <c r="AJ125" s="16"/>
      <c r="AK125" s="16"/>
      <c r="AL125" s="16"/>
      <c r="AM125" s="16"/>
      <c r="AN125" s="16"/>
      <c r="AO125" s="16"/>
      <c r="AP125" s="16"/>
      <c r="AQ125" s="16"/>
      <c r="AR125" s="16"/>
      <c r="AS125" s="16"/>
      <c r="AT125" s="16"/>
      <c r="AU125" s="16"/>
      <c r="AV125" s="16"/>
      <c r="AW125" s="16"/>
      <c r="AX125" s="16"/>
      <c r="AY125" s="16"/>
      <c r="AZ125" s="16"/>
      <c r="BA125" s="16"/>
      <c r="BB125" s="16"/>
      <c r="BC125" s="16"/>
      <c r="BD125" s="16"/>
      <c r="BE125" s="16"/>
      <c r="BF125" s="16"/>
      <c r="BG125" s="16"/>
      <c r="BH125" s="16"/>
      <c r="BI125" s="16"/>
      <c r="BJ125" s="16"/>
      <c r="BK125" s="16"/>
      <c r="BL125" s="16"/>
      <c r="BM125" s="16"/>
      <c r="BN125" s="16"/>
      <c r="BO125" s="16"/>
      <c r="BP125" s="16"/>
      <c r="BQ125" s="16"/>
      <c r="BR125" s="16"/>
      <c r="BS125" s="16"/>
      <c r="BT125" s="16"/>
      <c r="BU125" s="16"/>
      <c r="BV125" s="16"/>
      <c r="BW125" s="16"/>
      <c r="BX125" s="16"/>
      <c r="BY125" s="16"/>
      <c r="BZ125" s="16"/>
      <c r="CA125" s="16"/>
      <c r="CB125" s="16"/>
      <c r="CC125" s="16"/>
      <c r="CD125" s="16"/>
      <c r="CE125" s="16"/>
      <c r="CF125" s="16"/>
      <c r="CG125" s="16"/>
      <c r="CH125" s="16"/>
      <c r="CI125" s="16"/>
    </row>
    <row r="126" ht="14.25" customHeight="1" spans="1:87" x14ac:dyDescent="0.25">
      <c r="A126" s="16"/>
      <c r="B126" s="16"/>
      <c r="C126" s="16"/>
      <c r="D126" s="16"/>
      <c r="E126" s="16"/>
      <c r="F126" s="16"/>
      <c r="G126" s="16"/>
      <c r="H126" s="16"/>
      <c r="I126" s="16"/>
      <c r="J126" s="16"/>
      <c r="K126" s="84"/>
      <c r="L126" s="850"/>
      <c r="M126" s="850"/>
      <c r="N126" s="850"/>
      <c r="O126" s="850"/>
      <c r="P126" s="850"/>
      <c r="Q126" s="850"/>
      <c r="R126" s="16"/>
      <c r="S126" s="16"/>
      <c r="T126" s="16"/>
      <c r="U126" s="16"/>
      <c r="V126" s="16"/>
      <c r="W126" s="16"/>
      <c r="X126" s="16"/>
      <c r="Y126" s="16"/>
      <c r="Z126" s="16"/>
      <c r="AA126" s="16"/>
      <c r="AB126" s="16"/>
      <c r="AC126" s="16"/>
      <c r="AD126" s="16"/>
      <c r="AE126" s="16"/>
      <c r="AF126" s="16"/>
      <c r="AG126" s="16"/>
      <c r="AH126" s="16"/>
      <c r="AI126" s="16"/>
      <c r="AJ126" s="16"/>
      <c r="AK126" s="16"/>
      <c r="AL126" s="16"/>
      <c r="AM126" s="16"/>
      <c r="AN126" s="16"/>
      <c r="AO126" s="16"/>
      <c r="AP126" s="16"/>
      <c r="AQ126" s="16"/>
      <c r="AR126" s="16"/>
      <c r="AS126" s="16"/>
      <c r="AT126" s="16"/>
      <c r="AU126" s="16"/>
      <c r="AV126" s="16"/>
      <c r="AW126" s="16"/>
      <c r="AX126" s="16"/>
      <c r="AY126" s="16"/>
      <c r="AZ126" s="16"/>
      <c r="BA126" s="16"/>
      <c r="BB126" s="16"/>
      <c r="BC126" s="16"/>
      <c r="BD126" s="16"/>
      <c r="BE126" s="16"/>
      <c r="BF126" s="16"/>
      <c r="BG126" s="16"/>
      <c r="BH126" s="16"/>
      <c r="BI126" s="16"/>
      <c r="BJ126" s="16"/>
      <c r="BK126" s="16"/>
      <c r="BL126" s="16"/>
      <c r="BM126" s="16"/>
      <c r="BN126" s="16"/>
      <c r="BO126" s="16"/>
      <c r="BP126" s="16"/>
      <c r="BQ126" s="16"/>
      <c r="BR126" s="16"/>
      <c r="BS126" s="16"/>
      <c r="BT126" s="16"/>
      <c r="BU126" s="16"/>
      <c r="BV126" s="16"/>
      <c r="BW126" s="16"/>
      <c r="BX126" s="16"/>
      <c r="BY126" s="16"/>
      <c r="BZ126" s="16"/>
      <c r="CA126" s="16"/>
      <c r="CB126" s="16"/>
      <c r="CC126" s="16"/>
      <c r="CD126" s="16"/>
      <c r="CE126" s="16"/>
      <c r="CF126" s="16"/>
      <c r="CG126" s="16"/>
      <c r="CH126" s="16"/>
      <c r="CI126" s="16"/>
    </row>
    <row r="127" ht="14.25" customHeight="1" spans="1:87" x14ac:dyDescent="0.25">
      <c r="A127" s="16"/>
      <c r="B127" s="16"/>
      <c r="C127" s="16"/>
      <c r="D127" s="16"/>
      <c r="E127" s="16"/>
      <c r="F127" s="16"/>
      <c r="G127" s="16"/>
      <c r="H127" s="16"/>
      <c r="I127" s="16"/>
      <c r="J127" s="16"/>
      <c r="K127" s="84"/>
      <c r="L127" s="850"/>
      <c r="M127" s="850"/>
      <c r="N127" s="850"/>
      <c r="O127" s="850"/>
      <c r="P127" s="850"/>
      <c r="Q127" s="850"/>
      <c r="R127" s="16"/>
      <c r="S127" s="16"/>
      <c r="T127" s="16"/>
      <c r="U127" s="16"/>
      <c r="V127" s="16"/>
      <c r="W127" s="16"/>
      <c r="X127" s="16"/>
      <c r="Y127" s="16"/>
      <c r="Z127" s="16"/>
      <c r="AA127" s="16"/>
      <c r="AB127" s="16"/>
      <c r="AC127" s="16"/>
      <c r="AD127" s="16"/>
      <c r="AE127" s="16"/>
      <c r="AF127" s="16"/>
      <c r="AG127" s="16"/>
      <c r="AH127" s="16"/>
      <c r="AI127" s="16"/>
      <c r="AJ127" s="16"/>
      <c r="AK127" s="16"/>
      <c r="AL127" s="16"/>
      <c r="AM127" s="16"/>
      <c r="AN127" s="16"/>
      <c r="AO127" s="16"/>
      <c r="AP127" s="16"/>
      <c r="AQ127" s="16"/>
      <c r="AR127" s="16"/>
      <c r="AS127" s="16"/>
      <c r="AT127" s="16"/>
      <c r="AU127" s="16"/>
      <c r="AV127" s="16"/>
      <c r="AW127" s="16"/>
      <c r="AX127" s="16"/>
      <c r="AY127" s="16"/>
      <c r="AZ127" s="16"/>
      <c r="BA127" s="16"/>
      <c r="BB127" s="16"/>
      <c r="BC127" s="16"/>
      <c r="BD127" s="16"/>
      <c r="BE127" s="16"/>
      <c r="BF127" s="16"/>
      <c r="BG127" s="16"/>
      <c r="BH127" s="16"/>
      <c r="BI127" s="16"/>
      <c r="BJ127" s="16"/>
      <c r="BK127" s="16"/>
      <c r="BL127" s="16"/>
      <c r="BM127" s="16"/>
      <c r="BN127" s="16"/>
      <c r="BO127" s="16"/>
      <c r="BP127" s="16"/>
      <c r="BQ127" s="16"/>
      <c r="BR127" s="16"/>
      <c r="BS127" s="16"/>
      <c r="BT127" s="16"/>
      <c r="BU127" s="16"/>
      <c r="BV127" s="16"/>
      <c r="BW127" s="16"/>
      <c r="BX127" s="16"/>
      <c r="BY127" s="16"/>
      <c r="BZ127" s="16"/>
      <c r="CA127" s="16"/>
      <c r="CB127" s="16"/>
      <c r="CC127" s="16"/>
      <c r="CD127" s="16"/>
      <c r="CE127" s="16"/>
      <c r="CF127" s="16"/>
      <c r="CG127" s="16"/>
      <c r="CH127" s="16"/>
      <c r="CI127" s="16"/>
    </row>
    <row r="128" ht="14.25" customHeight="1" spans="1:87" x14ac:dyDescent="0.25">
      <c r="A128" s="16"/>
      <c r="B128" s="16"/>
      <c r="C128" s="16"/>
      <c r="D128" s="16"/>
      <c r="E128" s="16"/>
      <c r="F128" s="16"/>
      <c r="G128" s="16"/>
      <c r="H128" s="16"/>
      <c r="I128" s="16"/>
      <c r="J128" s="16"/>
      <c r="K128" s="84"/>
      <c r="L128" s="850"/>
      <c r="M128" s="850"/>
      <c r="N128" s="850"/>
      <c r="O128" s="850"/>
      <c r="P128" s="850"/>
      <c r="Q128" s="850"/>
      <c r="R128" s="16"/>
      <c r="S128" s="16"/>
      <c r="T128" s="16"/>
      <c r="U128" s="16"/>
      <c r="V128" s="16"/>
      <c r="W128" s="16"/>
      <c r="X128" s="16"/>
      <c r="Y128" s="16"/>
      <c r="Z128" s="16"/>
      <c r="AA128" s="16"/>
      <c r="AB128" s="16"/>
      <c r="AC128" s="16"/>
      <c r="AD128" s="16"/>
      <c r="AE128" s="16"/>
      <c r="AF128" s="16"/>
      <c r="AG128" s="16"/>
      <c r="AH128" s="16"/>
      <c r="AI128" s="16"/>
      <c r="AJ128" s="16"/>
      <c r="AK128" s="16"/>
      <c r="AL128" s="16"/>
      <c r="AM128" s="16"/>
      <c r="AN128" s="16"/>
      <c r="AO128" s="16"/>
      <c r="AP128" s="16"/>
      <c r="AQ128" s="16"/>
      <c r="AR128" s="16"/>
      <c r="AS128" s="16"/>
      <c r="AT128" s="16"/>
      <c r="AU128" s="16"/>
      <c r="AV128" s="16"/>
      <c r="AW128" s="16"/>
      <c r="AX128" s="16"/>
      <c r="AY128" s="16"/>
      <c r="AZ128" s="16"/>
      <c r="BA128" s="16"/>
      <c r="BB128" s="16"/>
      <c r="BC128" s="16"/>
      <c r="BD128" s="16"/>
      <c r="BE128" s="16"/>
      <c r="BF128" s="16"/>
      <c r="BG128" s="16"/>
      <c r="BH128" s="16"/>
      <c r="BI128" s="16"/>
      <c r="BJ128" s="16"/>
      <c r="BK128" s="16"/>
      <c r="BL128" s="16"/>
      <c r="BM128" s="16"/>
      <c r="BN128" s="16"/>
      <c r="BO128" s="16"/>
      <c r="BP128" s="16"/>
      <c r="BQ128" s="16"/>
      <c r="BR128" s="16"/>
      <c r="BS128" s="16"/>
      <c r="BT128" s="16"/>
      <c r="BU128" s="16"/>
      <c r="BV128" s="16"/>
      <c r="BW128" s="16"/>
      <c r="BX128" s="16"/>
      <c r="BY128" s="16"/>
      <c r="BZ128" s="16"/>
      <c r="CA128" s="16"/>
      <c r="CB128" s="16"/>
      <c r="CC128" s="16"/>
      <c r="CD128" s="16"/>
      <c r="CE128" s="16"/>
      <c r="CF128" s="16"/>
      <c r="CG128" s="16"/>
      <c r="CH128" s="16"/>
      <c r="CI128" s="16"/>
    </row>
    <row r="129" ht="14.25" customHeight="1" spans="1:87" x14ac:dyDescent="0.25">
      <c r="A129" s="16"/>
      <c r="B129" s="16"/>
      <c r="C129" s="16"/>
      <c r="D129" s="16"/>
      <c r="E129" s="16"/>
      <c r="F129" s="16"/>
      <c r="G129" s="16"/>
      <c r="H129" s="16"/>
      <c r="I129" s="16"/>
      <c r="J129" s="16"/>
      <c r="K129" s="84"/>
      <c r="L129" s="850"/>
      <c r="M129" s="850"/>
      <c r="N129" s="850"/>
      <c r="O129" s="850"/>
      <c r="P129" s="850"/>
      <c r="Q129" s="850"/>
      <c r="R129" s="16"/>
      <c r="S129" s="16"/>
      <c r="T129" s="16"/>
      <c r="U129" s="16"/>
      <c r="V129" s="16"/>
      <c r="W129" s="16"/>
      <c r="X129" s="16"/>
      <c r="Y129" s="16"/>
      <c r="Z129" s="16"/>
      <c r="AA129" s="16"/>
      <c r="AB129" s="16"/>
      <c r="AC129" s="16"/>
      <c r="AD129" s="16"/>
      <c r="AE129" s="16"/>
      <c r="AF129" s="16"/>
      <c r="AG129" s="16"/>
      <c r="AH129" s="16"/>
      <c r="AI129" s="16"/>
      <c r="AJ129" s="16"/>
      <c r="AK129" s="16"/>
      <c r="AL129" s="16"/>
      <c r="AM129" s="16"/>
      <c r="AN129" s="16"/>
      <c r="AO129" s="16"/>
      <c r="AP129" s="16"/>
      <c r="AQ129" s="16"/>
      <c r="AR129" s="16"/>
      <c r="AS129" s="16"/>
      <c r="AT129" s="16"/>
      <c r="AU129" s="16"/>
      <c r="AV129" s="16"/>
      <c r="AW129" s="16"/>
      <c r="AX129" s="16"/>
      <c r="AY129" s="16"/>
      <c r="AZ129" s="16"/>
      <c r="BA129" s="16"/>
      <c r="BB129" s="16"/>
      <c r="BC129" s="16"/>
      <c r="BD129" s="16"/>
      <c r="BE129" s="16"/>
      <c r="BF129" s="16"/>
      <c r="BG129" s="16"/>
      <c r="BH129" s="16"/>
      <c r="BI129" s="16"/>
      <c r="BJ129" s="16"/>
      <c r="BK129" s="16"/>
      <c r="BL129" s="16"/>
      <c r="BM129" s="16"/>
      <c r="BN129" s="16"/>
      <c r="BO129" s="16"/>
      <c r="BP129" s="16"/>
      <c r="BQ129" s="16"/>
      <c r="BR129" s="16"/>
      <c r="BS129" s="16"/>
      <c r="BT129" s="16"/>
      <c r="BU129" s="16"/>
      <c r="BV129" s="16"/>
      <c r="BW129" s="16"/>
      <c r="BX129" s="16"/>
      <c r="BY129" s="16"/>
      <c r="BZ129" s="16"/>
      <c r="CA129" s="16"/>
      <c r="CB129" s="16"/>
      <c r="CC129" s="16"/>
      <c r="CD129" s="16"/>
      <c r="CE129" s="16"/>
      <c r="CF129" s="16"/>
      <c r="CG129" s="16"/>
      <c r="CH129" s="16"/>
      <c r="CI129" s="16"/>
    </row>
    <row r="130" ht="14.25" customHeight="1" spans="1:87" x14ac:dyDescent="0.25">
      <c r="A130" s="16"/>
      <c r="B130" s="16"/>
      <c r="C130" s="16"/>
      <c r="D130" s="16"/>
      <c r="E130" s="16"/>
      <c r="F130" s="16"/>
      <c r="G130" s="16"/>
      <c r="H130" s="16"/>
      <c r="I130" s="16"/>
      <c r="J130" s="16"/>
      <c r="K130" s="84"/>
      <c r="L130" s="850"/>
      <c r="M130" s="850"/>
      <c r="N130" s="850"/>
      <c r="O130" s="850"/>
      <c r="P130" s="850"/>
      <c r="Q130" s="850"/>
      <c r="R130" s="16"/>
      <c r="S130" s="16"/>
      <c r="T130" s="16"/>
      <c r="U130" s="16"/>
      <c r="V130" s="16"/>
      <c r="W130" s="16"/>
      <c r="X130" s="16"/>
      <c r="Y130" s="16"/>
      <c r="Z130" s="16"/>
      <c r="AA130" s="16"/>
      <c r="AB130" s="16"/>
      <c r="AC130" s="16"/>
      <c r="AD130" s="16"/>
      <c r="AE130" s="16"/>
      <c r="AF130" s="16"/>
      <c r="AG130" s="16"/>
      <c r="AH130" s="16"/>
      <c r="AI130" s="16"/>
      <c r="AJ130" s="16"/>
      <c r="AK130" s="16"/>
      <c r="AL130" s="16"/>
      <c r="AM130" s="16"/>
      <c r="AN130" s="16"/>
      <c r="AO130" s="16"/>
      <c r="AP130" s="16"/>
      <c r="AQ130" s="16"/>
      <c r="AR130" s="16"/>
      <c r="AS130" s="16"/>
      <c r="AT130" s="16"/>
      <c r="AU130" s="16"/>
      <c r="AV130" s="16"/>
      <c r="AW130" s="16"/>
      <c r="AX130" s="16"/>
      <c r="AY130" s="16"/>
      <c r="AZ130" s="16"/>
      <c r="BA130" s="16"/>
      <c r="BB130" s="16"/>
      <c r="BC130" s="16"/>
      <c r="BD130" s="16"/>
      <c r="BE130" s="16"/>
      <c r="BF130" s="16"/>
      <c r="BG130" s="16"/>
      <c r="BH130" s="16"/>
      <c r="BI130" s="16"/>
      <c r="BJ130" s="16"/>
      <c r="BK130" s="16"/>
      <c r="BL130" s="16"/>
      <c r="BM130" s="16"/>
      <c r="BN130" s="16"/>
      <c r="BO130" s="16"/>
      <c r="BP130" s="16"/>
      <c r="BQ130" s="16"/>
      <c r="BR130" s="16"/>
      <c r="BS130" s="16"/>
      <c r="BT130" s="16"/>
      <c r="BU130" s="16"/>
      <c r="BV130" s="16"/>
      <c r="BW130" s="16"/>
      <c r="BX130" s="16"/>
      <c r="BY130" s="16"/>
      <c r="BZ130" s="16"/>
      <c r="CA130" s="16"/>
      <c r="CB130" s="16"/>
      <c r="CC130" s="16"/>
      <c r="CD130" s="16"/>
      <c r="CE130" s="16"/>
      <c r="CF130" s="16"/>
      <c r="CG130" s="16"/>
      <c r="CH130" s="16"/>
      <c r="CI130" s="16"/>
    </row>
    <row r="131" ht="14.25" customHeight="1" spans="1:87" x14ac:dyDescent="0.25">
      <c r="A131" s="16"/>
      <c r="B131" s="16"/>
      <c r="C131" s="16"/>
      <c r="D131" s="16"/>
      <c r="E131" s="16"/>
      <c r="F131" s="16"/>
      <c r="G131" s="16"/>
      <c r="H131" s="16"/>
      <c r="I131" s="16"/>
      <c r="J131" s="16"/>
      <c r="K131" s="84"/>
      <c r="L131" s="850"/>
      <c r="M131" s="850"/>
      <c r="N131" s="850"/>
      <c r="O131" s="850"/>
      <c r="P131" s="850"/>
      <c r="Q131" s="850"/>
      <c r="R131" s="16"/>
      <c r="S131" s="16"/>
      <c r="T131" s="16"/>
      <c r="U131" s="16"/>
      <c r="V131" s="16"/>
      <c r="W131" s="16"/>
      <c r="X131" s="16"/>
      <c r="Y131" s="16"/>
      <c r="Z131" s="16"/>
      <c r="AA131" s="16"/>
      <c r="AB131" s="16"/>
      <c r="AC131" s="16"/>
      <c r="AD131" s="16"/>
      <c r="AE131" s="16"/>
      <c r="AF131" s="16"/>
      <c r="AG131" s="16"/>
      <c r="AH131" s="16"/>
      <c r="AI131" s="16"/>
      <c r="AJ131" s="16"/>
      <c r="AK131" s="16"/>
      <c r="AL131" s="16"/>
      <c r="AM131" s="16"/>
      <c r="AN131" s="16"/>
      <c r="AO131" s="16"/>
      <c r="AP131" s="16"/>
      <c r="AQ131" s="16"/>
      <c r="AR131" s="16"/>
      <c r="AS131" s="16"/>
      <c r="AT131" s="16"/>
      <c r="AU131" s="16"/>
      <c r="AV131" s="16"/>
      <c r="AW131" s="16"/>
      <c r="AX131" s="16"/>
      <c r="AY131" s="16"/>
      <c r="AZ131" s="16"/>
      <c r="BA131" s="16"/>
      <c r="BB131" s="16"/>
      <c r="BC131" s="16"/>
      <c r="BD131" s="16"/>
      <c r="BE131" s="16"/>
      <c r="BF131" s="16"/>
      <c r="BG131" s="16"/>
      <c r="BH131" s="16"/>
      <c r="BI131" s="16"/>
      <c r="BJ131" s="16"/>
      <c r="BK131" s="16"/>
      <c r="BL131" s="16"/>
      <c r="BM131" s="16"/>
      <c r="BN131" s="16"/>
      <c r="BO131" s="16"/>
      <c r="BP131" s="16"/>
      <c r="BQ131" s="16"/>
      <c r="BR131" s="16"/>
      <c r="BS131" s="16"/>
      <c r="BT131" s="16"/>
      <c r="BU131" s="16"/>
      <c r="BV131" s="16"/>
      <c r="BW131" s="16"/>
      <c r="BX131" s="16"/>
      <c r="BY131" s="16"/>
      <c r="BZ131" s="16"/>
      <c r="CA131" s="16"/>
      <c r="CB131" s="16"/>
      <c r="CC131" s="16"/>
      <c r="CD131" s="16"/>
      <c r="CE131" s="16"/>
      <c r="CF131" s="16"/>
      <c r="CG131" s="16"/>
      <c r="CH131" s="16"/>
      <c r="CI131" s="16"/>
    </row>
    <row r="132" ht="14.25" customHeight="1" spans="1:87" x14ac:dyDescent="0.25">
      <c r="A132" s="16"/>
      <c r="B132" s="16"/>
      <c r="C132" s="16"/>
      <c r="D132" s="16"/>
      <c r="E132" s="16"/>
      <c r="F132" s="16"/>
      <c r="G132" s="16"/>
      <c r="H132" s="16"/>
      <c r="I132" s="16"/>
      <c r="J132" s="16"/>
      <c r="K132" s="84"/>
      <c r="L132" s="850"/>
      <c r="M132" s="850"/>
      <c r="N132" s="850"/>
      <c r="O132" s="850"/>
      <c r="P132" s="850"/>
      <c r="Q132" s="850"/>
      <c r="R132" s="16"/>
      <c r="S132" s="16"/>
      <c r="T132" s="16"/>
      <c r="U132" s="16"/>
      <c r="V132" s="16"/>
      <c r="W132" s="16"/>
      <c r="X132" s="16"/>
      <c r="Y132" s="16"/>
      <c r="Z132" s="16"/>
      <c r="AA132" s="16"/>
      <c r="AB132" s="16"/>
      <c r="AC132" s="16"/>
      <c r="AD132" s="16"/>
      <c r="AE132" s="16"/>
      <c r="AF132" s="16"/>
      <c r="AG132" s="16"/>
      <c r="AH132" s="16"/>
      <c r="AI132" s="16"/>
      <c r="AJ132" s="16"/>
      <c r="AK132" s="16"/>
      <c r="AL132" s="16"/>
      <c r="AM132" s="16"/>
      <c r="AN132" s="16"/>
      <c r="AO132" s="16"/>
      <c r="AP132" s="16"/>
      <c r="AQ132" s="16"/>
      <c r="AR132" s="16"/>
      <c r="AS132" s="16"/>
      <c r="AT132" s="16"/>
      <c r="AU132" s="16"/>
      <c r="AV132" s="16"/>
      <c r="AW132" s="16"/>
      <c r="AX132" s="16"/>
      <c r="AY132" s="16"/>
      <c r="AZ132" s="16"/>
      <c r="BA132" s="16"/>
      <c r="BB132" s="16"/>
      <c r="BC132" s="16"/>
      <c r="BD132" s="16"/>
      <c r="BE132" s="16"/>
      <c r="BF132" s="16"/>
      <c r="BG132" s="16"/>
      <c r="BH132" s="16"/>
      <c r="BI132" s="16"/>
      <c r="BJ132" s="16"/>
      <c r="BK132" s="16"/>
      <c r="BL132" s="16"/>
      <c r="BM132" s="16"/>
      <c r="BN132" s="16"/>
      <c r="BO132" s="16"/>
      <c r="BP132" s="16"/>
      <c r="BQ132" s="16"/>
      <c r="BR132" s="16"/>
      <c r="BS132" s="16"/>
      <c r="BT132" s="16"/>
      <c r="BU132" s="16"/>
      <c r="BV132" s="16"/>
      <c r="BW132" s="16"/>
      <c r="BX132" s="16"/>
      <c r="BY132" s="16"/>
      <c r="BZ132" s="16"/>
      <c r="CA132" s="16"/>
      <c r="CB132" s="16"/>
      <c r="CC132" s="16"/>
      <c r="CD132" s="16"/>
      <c r="CE132" s="16"/>
      <c r="CF132" s="16"/>
      <c r="CG132" s="16"/>
      <c r="CH132" s="16"/>
      <c r="CI132" s="16"/>
    </row>
    <row r="133" ht="14.25" customHeight="1" spans="1:87" x14ac:dyDescent="0.25">
      <c r="A133" s="16"/>
      <c r="B133" s="16"/>
      <c r="C133" s="16"/>
      <c r="D133" s="16"/>
      <c r="E133" s="16"/>
      <c r="F133" s="16"/>
      <c r="G133" s="16"/>
      <c r="H133" s="16"/>
      <c r="I133" s="16"/>
      <c r="J133" s="16"/>
      <c r="K133" s="84"/>
      <c r="L133" s="850"/>
      <c r="M133" s="850"/>
      <c r="N133" s="850"/>
      <c r="O133" s="850"/>
      <c r="P133" s="850"/>
      <c r="Q133" s="850"/>
      <c r="R133" s="16"/>
      <c r="S133" s="16"/>
      <c r="T133" s="16"/>
      <c r="U133" s="16"/>
      <c r="V133" s="16"/>
      <c r="W133" s="16"/>
      <c r="X133" s="16"/>
      <c r="Y133" s="16"/>
      <c r="Z133" s="16"/>
      <c r="AA133" s="16"/>
      <c r="AB133" s="16"/>
      <c r="AC133" s="16"/>
      <c r="AD133" s="16"/>
      <c r="AE133" s="16"/>
      <c r="AF133" s="16"/>
      <c r="AG133" s="16"/>
      <c r="AH133" s="16"/>
      <c r="AI133" s="16"/>
      <c r="AJ133" s="16"/>
      <c r="AK133" s="16"/>
      <c r="AL133" s="16"/>
      <c r="AM133" s="16"/>
      <c r="AN133" s="16"/>
      <c r="AO133" s="16"/>
      <c r="AP133" s="16"/>
      <c r="AQ133" s="16"/>
      <c r="AR133" s="16"/>
      <c r="AS133" s="16"/>
      <c r="AT133" s="16"/>
      <c r="AU133" s="16"/>
      <c r="AV133" s="16"/>
      <c r="AW133" s="16"/>
      <c r="AX133" s="16"/>
      <c r="AY133" s="16"/>
      <c r="AZ133" s="16"/>
      <c r="BA133" s="16"/>
      <c r="BB133" s="16"/>
      <c r="BC133" s="16"/>
      <c r="BD133" s="16"/>
      <c r="BE133" s="16"/>
      <c r="BF133" s="16"/>
      <c r="BG133" s="16"/>
      <c r="BH133" s="16"/>
      <c r="BI133" s="16"/>
      <c r="BJ133" s="16"/>
      <c r="BK133" s="16"/>
      <c r="BL133" s="16"/>
      <c r="BM133" s="16"/>
      <c r="BN133" s="16"/>
      <c r="BO133" s="16"/>
      <c r="BP133" s="16"/>
      <c r="BQ133" s="16"/>
      <c r="BR133" s="16"/>
      <c r="BS133" s="16"/>
      <c r="BT133" s="16"/>
      <c r="BU133" s="16"/>
      <c r="BV133" s="16"/>
      <c r="BW133" s="16"/>
      <c r="BX133" s="16"/>
      <c r="BY133" s="16"/>
      <c r="BZ133" s="16"/>
      <c r="CA133" s="16"/>
      <c r="CB133" s="16"/>
      <c r="CC133" s="16"/>
      <c r="CD133" s="16"/>
      <c r="CE133" s="16"/>
      <c r="CF133" s="16"/>
      <c r="CG133" s="16"/>
      <c r="CH133" s="16"/>
      <c r="CI133" s="16"/>
    </row>
    <row r="134" ht="14.25" customHeight="1" spans="1:87" x14ac:dyDescent="0.25">
      <c r="A134" s="16"/>
      <c r="B134" s="16"/>
      <c r="C134" s="16"/>
      <c r="D134" s="16"/>
      <c r="E134" s="16"/>
      <c r="F134" s="16"/>
      <c r="G134" s="16"/>
      <c r="H134" s="16"/>
      <c r="I134" s="16"/>
      <c r="J134" s="16"/>
      <c r="K134" s="84"/>
      <c r="L134" s="850"/>
      <c r="M134" s="850"/>
      <c r="N134" s="850"/>
      <c r="O134" s="850"/>
      <c r="P134" s="850"/>
      <c r="Q134" s="850"/>
      <c r="R134" s="16"/>
      <c r="S134" s="16"/>
      <c r="T134" s="16"/>
      <c r="U134" s="16"/>
      <c r="V134" s="16"/>
      <c r="W134" s="16"/>
      <c r="X134" s="16"/>
      <c r="Y134" s="16"/>
      <c r="Z134" s="16"/>
      <c r="AA134" s="16"/>
      <c r="AB134" s="16"/>
      <c r="AC134" s="16"/>
      <c r="AD134" s="16"/>
      <c r="AE134" s="16"/>
      <c r="AF134" s="16"/>
      <c r="AG134" s="16"/>
      <c r="AH134" s="16"/>
      <c r="AI134" s="16"/>
      <c r="AJ134" s="16"/>
      <c r="AK134" s="16"/>
      <c r="AL134" s="16"/>
      <c r="AM134" s="16"/>
      <c r="AN134" s="16"/>
      <c r="AO134" s="16"/>
      <c r="AP134" s="16"/>
      <c r="AQ134" s="16"/>
      <c r="AR134" s="16"/>
      <c r="AS134" s="16"/>
      <c r="AT134" s="16"/>
      <c r="AU134" s="16"/>
      <c r="AV134" s="16"/>
      <c r="AW134" s="16"/>
      <c r="AX134" s="16"/>
      <c r="AY134" s="16"/>
      <c r="AZ134" s="16"/>
      <c r="BA134" s="16"/>
      <c r="BB134" s="16"/>
      <c r="BC134" s="16"/>
      <c r="BD134" s="16"/>
      <c r="BE134" s="16"/>
      <c r="BF134" s="16"/>
      <c r="BG134" s="16"/>
      <c r="BH134" s="16"/>
      <c r="BI134" s="16"/>
      <c r="BJ134" s="16"/>
      <c r="BK134" s="16"/>
      <c r="BL134" s="16"/>
      <c r="BM134" s="16"/>
      <c r="BN134" s="16"/>
      <c r="BO134" s="16"/>
      <c r="BP134" s="16"/>
      <c r="BQ134" s="16"/>
      <c r="BR134" s="16"/>
      <c r="BS134" s="16"/>
      <c r="BT134" s="16"/>
      <c r="BU134" s="16"/>
      <c r="BV134" s="16"/>
      <c r="BW134" s="16"/>
      <c r="BX134" s="16"/>
      <c r="BY134" s="16"/>
      <c r="BZ134" s="16"/>
      <c r="CA134" s="16"/>
      <c r="CB134" s="16"/>
      <c r="CC134" s="16"/>
      <c r="CD134" s="16"/>
      <c r="CE134" s="16"/>
      <c r="CF134" s="16"/>
      <c r="CG134" s="16"/>
      <c r="CH134" s="16"/>
      <c r="CI134" s="16"/>
    </row>
    <row r="135" ht="14.25" customHeight="1" spans="1:87" x14ac:dyDescent="0.25">
      <c r="A135" s="16"/>
      <c r="B135" s="16"/>
      <c r="C135" s="16"/>
      <c r="D135" s="16"/>
      <c r="E135" s="16"/>
      <c r="F135" s="16"/>
      <c r="G135" s="16"/>
      <c r="H135" s="16"/>
      <c r="I135" s="16"/>
      <c r="J135" s="16"/>
      <c r="K135" s="84"/>
      <c r="L135" s="850"/>
      <c r="M135" s="850"/>
      <c r="N135" s="850"/>
      <c r="O135" s="850"/>
      <c r="P135" s="850"/>
      <c r="Q135" s="850"/>
      <c r="R135" s="16"/>
      <c r="S135" s="16"/>
      <c r="T135" s="16"/>
      <c r="U135" s="16"/>
      <c r="V135" s="16"/>
      <c r="W135" s="16"/>
      <c r="X135" s="16"/>
      <c r="Y135" s="16"/>
      <c r="Z135" s="16"/>
      <c r="AA135" s="16"/>
      <c r="AB135" s="16"/>
      <c r="AC135" s="16"/>
      <c r="AD135" s="16"/>
      <c r="AE135" s="16"/>
      <c r="AF135" s="16"/>
      <c r="AG135" s="16"/>
      <c r="AH135" s="16"/>
      <c r="AI135" s="16"/>
      <c r="AJ135" s="16"/>
      <c r="AK135" s="16"/>
      <c r="AL135" s="16"/>
      <c r="AM135" s="16"/>
      <c r="AN135" s="16"/>
      <c r="AO135" s="16"/>
      <c r="AP135" s="16"/>
      <c r="AQ135" s="16"/>
      <c r="AR135" s="16"/>
      <c r="AS135" s="16"/>
      <c r="AT135" s="16"/>
      <c r="AU135" s="16"/>
      <c r="AV135" s="16"/>
      <c r="AW135" s="16"/>
      <c r="AX135" s="16"/>
      <c r="AY135" s="16"/>
      <c r="AZ135" s="16"/>
      <c r="BA135" s="16"/>
      <c r="BB135" s="16"/>
      <c r="BC135" s="16"/>
      <c r="BD135" s="16"/>
      <c r="BE135" s="16"/>
      <c r="BF135" s="16"/>
      <c r="BG135" s="16"/>
      <c r="BH135" s="16"/>
      <c r="BI135" s="16"/>
      <c r="BJ135" s="16"/>
      <c r="BK135" s="16"/>
      <c r="BL135" s="16"/>
      <c r="BM135" s="16"/>
      <c r="BN135" s="16"/>
      <c r="BO135" s="16"/>
      <c r="BP135" s="16"/>
      <c r="BQ135" s="16"/>
      <c r="BR135" s="16"/>
      <c r="BS135" s="16"/>
      <c r="BT135" s="16"/>
      <c r="BU135" s="16"/>
      <c r="BV135" s="16"/>
      <c r="BW135" s="16"/>
      <c r="BX135" s="16"/>
      <c r="BY135" s="16"/>
      <c r="BZ135" s="16"/>
      <c r="CA135" s="16"/>
      <c r="CB135" s="16"/>
      <c r="CC135" s="16"/>
      <c r="CD135" s="16"/>
      <c r="CE135" s="16"/>
      <c r="CF135" s="16"/>
      <c r="CG135" s="16"/>
      <c r="CH135" s="16"/>
      <c r="CI135" s="16"/>
    </row>
    <row r="136" ht="14.25" customHeight="1" spans="1:87" x14ac:dyDescent="0.25">
      <c r="A136" s="16"/>
      <c r="B136" s="16"/>
      <c r="C136" s="16"/>
      <c r="D136" s="16"/>
      <c r="E136" s="16"/>
      <c r="F136" s="16"/>
      <c r="G136" s="16"/>
      <c r="H136" s="16"/>
      <c r="I136" s="16"/>
      <c r="J136" s="16"/>
      <c r="K136" s="84"/>
      <c r="L136" s="850"/>
      <c r="M136" s="850"/>
      <c r="N136" s="16"/>
      <c r="O136" s="850"/>
      <c r="P136" s="850"/>
      <c r="Q136" s="850"/>
      <c r="R136" s="16"/>
      <c r="S136" s="16"/>
      <c r="T136" s="16"/>
      <c r="U136" s="16"/>
      <c r="V136" s="16"/>
      <c r="W136" s="16"/>
      <c r="X136" s="16"/>
      <c r="Y136" s="16"/>
      <c r="Z136" s="16"/>
      <c r="AA136" s="16"/>
      <c r="AB136" s="16"/>
      <c r="AC136" s="16"/>
      <c r="AD136" s="16"/>
      <c r="AE136" s="16"/>
      <c r="AF136" s="16"/>
      <c r="AG136" s="16"/>
      <c r="AH136" s="16"/>
      <c r="AI136" s="16"/>
      <c r="AJ136" s="16"/>
      <c r="AK136" s="16"/>
      <c r="AL136" s="16"/>
      <c r="AM136" s="16"/>
      <c r="AN136" s="16"/>
      <c r="AO136" s="16"/>
      <c r="AP136" s="16"/>
      <c r="AQ136" s="16"/>
      <c r="AR136" s="16"/>
      <c r="AS136" s="16"/>
      <c r="AT136" s="16"/>
      <c r="AU136" s="16"/>
      <c r="AV136" s="16"/>
      <c r="AW136" s="16"/>
      <c r="AX136" s="16"/>
      <c r="AY136" s="16"/>
      <c r="AZ136" s="16"/>
      <c r="BA136" s="16"/>
      <c r="BB136" s="16"/>
      <c r="BC136" s="16"/>
      <c r="BD136" s="16"/>
      <c r="BE136" s="16"/>
      <c r="BF136" s="16"/>
      <c r="BG136" s="16"/>
      <c r="BH136" s="16"/>
      <c r="BI136" s="16"/>
      <c r="BJ136" s="16"/>
      <c r="BK136" s="16"/>
      <c r="BL136" s="16"/>
      <c r="BM136" s="16"/>
      <c r="BN136" s="16"/>
      <c r="BO136" s="16"/>
      <c r="BP136" s="16"/>
      <c r="BQ136" s="16"/>
      <c r="BR136" s="16"/>
      <c r="BS136" s="16"/>
      <c r="BT136" s="16"/>
      <c r="BU136" s="16"/>
      <c r="BV136" s="16"/>
      <c r="BW136" s="16"/>
      <c r="BX136" s="16"/>
      <c r="BY136" s="16"/>
      <c r="BZ136" s="16"/>
      <c r="CA136" s="16"/>
      <c r="CB136" s="16"/>
      <c r="CC136" s="16"/>
      <c r="CD136" s="16"/>
      <c r="CE136" s="16"/>
      <c r="CF136" s="16"/>
      <c r="CG136" s="16"/>
      <c r="CH136" s="16"/>
      <c r="CI136" s="16"/>
    </row>
    <row r="137" ht="14.25" customHeight="1" spans="1:87" x14ac:dyDescent="0.25">
      <c r="A137" s="16"/>
      <c r="B137" s="16"/>
      <c r="C137" s="16"/>
      <c r="D137" s="16"/>
      <c r="E137" s="16"/>
      <c r="F137" s="16"/>
      <c r="G137" s="16"/>
      <c r="H137" s="16"/>
      <c r="I137" s="16"/>
      <c r="J137" s="16"/>
      <c r="K137" s="84"/>
      <c r="L137" s="850"/>
      <c r="M137" s="850"/>
      <c r="N137" s="16"/>
      <c r="O137" s="850"/>
      <c r="P137" s="850"/>
      <c r="Q137" s="850"/>
      <c r="R137" s="16"/>
      <c r="S137" s="16"/>
      <c r="T137" s="16"/>
      <c r="U137" s="16"/>
      <c r="V137" s="16"/>
      <c r="W137" s="16"/>
      <c r="X137" s="16"/>
      <c r="Y137" s="16"/>
      <c r="Z137" s="16"/>
      <c r="AA137" s="16"/>
      <c r="AB137" s="16"/>
      <c r="AC137" s="16"/>
      <c r="AD137" s="16"/>
      <c r="AE137" s="16"/>
      <c r="AF137" s="16"/>
      <c r="AG137" s="16"/>
      <c r="AH137" s="16"/>
      <c r="AI137" s="16"/>
      <c r="AJ137" s="16"/>
      <c r="AK137" s="16"/>
      <c r="AL137" s="16"/>
      <c r="AM137" s="16"/>
      <c r="AN137" s="16"/>
      <c r="AO137" s="16"/>
      <c r="AP137" s="16"/>
      <c r="AQ137" s="16"/>
      <c r="AR137" s="16"/>
      <c r="AS137" s="16"/>
      <c r="AT137" s="16"/>
      <c r="AU137" s="16"/>
      <c r="AV137" s="16"/>
      <c r="AW137" s="16"/>
      <c r="AX137" s="16"/>
      <c r="AY137" s="16"/>
      <c r="AZ137" s="16"/>
      <c r="BA137" s="16"/>
      <c r="BB137" s="16"/>
      <c r="BC137" s="16"/>
      <c r="BD137" s="16"/>
      <c r="BE137" s="16"/>
      <c r="BF137" s="16"/>
      <c r="BG137" s="16"/>
      <c r="BH137" s="16"/>
      <c r="BI137" s="16"/>
      <c r="BJ137" s="16"/>
      <c r="BK137" s="16"/>
      <c r="BL137" s="16"/>
      <c r="BM137" s="16"/>
      <c r="BN137" s="16"/>
      <c r="BO137" s="16"/>
      <c r="BP137" s="16"/>
      <c r="BQ137" s="16"/>
      <c r="BR137" s="16"/>
      <c r="BS137" s="16"/>
      <c r="BT137" s="16"/>
      <c r="BU137" s="16"/>
      <c r="BV137" s="16"/>
      <c r="BW137" s="16"/>
      <c r="BX137" s="16"/>
      <c r="BY137" s="16"/>
      <c r="BZ137" s="16"/>
      <c r="CA137" s="16"/>
      <c r="CB137" s="16"/>
      <c r="CC137" s="16"/>
      <c r="CD137" s="16"/>
      <c r="CE137" s="16"/>
      <c r="CF137" s="16"/>
      <c r="CG137" s="16"/>
      <c r="CH137" s="16"/>
      <c r="CI137" s="16"/>
    </row>
    <row r="138" ht="14.25" customHeight="1" spans="1:87" x14ac:dyDescent="0.25">
      <c r="A138" s="16"/>
      <c r="B138" s="16"/>
      <c r="C138" s="16"/>
      <c r="D138" s="16"/>
      <c r="E138" s="16"/>
      <c r="F138" s="16"/>
      <c r="G138" s="16"/>
      <c r="H138" s="16"/>
      <c r="I138" s="16"/>
      <c r="J138" s="16"/>
      <c r="K138" s="84"/>
      <c r="L138" s="850"/>
      <c r="M138" s="850"/>
      <c r="N138" s="16"/>
      <c r="O138" s="850"/>
      <c r="P138" s="850"/>
      <c r="Q138" s="850"/>
      <c r="R138" s="16"/>
      <c r="S138" s="16"/>
      <c r="T138" s="16"/>
      <c r="U138" s="16"/>
      <c r="V138" s="16"/>
      <c r="W138" s="16"/>
      <c r="X138" s="16"/>
      <c r="Y138" s="16"/>
      <c r="Z138" s="16"/>
      <c r="AA138" s="16"/>
      <c r="AB138" s="16"/>
      <c r="AC138" s="16"/>
      <c r="AD138" s="16"/>
      <c r="AE138" s="16"/>
      <c r="AF138" s="16"/>
      <c r="AG138" s="16"/>
      <c r="AH138" s="16"/>
      <c r="AI138" s="16"/>
      <c r="AJ138" s="16"/>
      <c r="AK138" s="16"/>
      <c r="AL138" s="16"/>
      <c r="AM138" s="16"/>
      <c r="AN138" s="16"/>
      <c r="AO138" s="16"/>
      <c r="AP138" s="16"/>
      <c r="AQ138" s="16"/>
      <c r="AR138" s="16"/>
      <c r="AS138" s="16"/>
      <c r="AT138" s="16"/>
      <c r="AU138" s="16"/>
      <c r="AV138" s="16"/>
      <c r="AW138" s="16"/>
      <c r="AX138" s="16"/>
      <c r="AY138" s="16"/>
      <c r="AZ138" s="16"/>
      <c r="BA138" s="16"/>
      <c r="BB138" s="16"/>
      <c r="BC138" s="16"/>
      <c r="BD138" s="16"/>
      <c r="BE138" s="16"/>
      <c r="BF138" s="16"/>
      <c r="BG138" s="16"/>
      <c r="BH138" s="16"/>
      <c r="BI138" s="16"/>
      <c r="BJ138" s="16"/>
      <c r="BK138" s="16"/>
      <c r="BL138" s="16"/>
      <c r="BM138" s="16"/>
      <c r="BN138" s="16"/>
      <c r="BO138" s="16"/>
      <c r="BP138" s="16"/>
      <c r="BQ138" s="16"/>
      <c r="BR138" s="16"/>
      <c r="BS138" s="16"/>
      <c r="BT138" s="16"/>
      <c r="BU138" s="16"/>
      <c r="BV138" s="16"/>
      <c r="BW138" s="16"/>
      <c r="BX138" s="16"/>
      <c r="BY138" s="16"/>
      <c r="BZ138" s="16"/>
      <c r="CA138" s="16"/>
      <c r="CB138" s="16"/>
      <c r="CC138" s="16"/>
      <c r="CD138" s="16"/>
      <c r="CE138" s="16"/>
      <c r="CF138" s="16"/>
      <c r="CG138" s="16"/>
      <c r="CH138" s="16"/>
      <c r="CI138" s="16"/>
    </row>
    <row r="139" ht="14.25" customHeight="1" spans="1:87" x14ac:dyDescent="0.25">
      <c r="A139" s="16"/>
      <c r="B139" s="16"/>
      <c r="C139" s="16"/>
      <c r="D139" s="16"/>
      <c r="E139" s="16"/>
      <c r="F139" s="16"/>
      <c r="G139" s="16"/>
      <c r="H139" s="16"/>
      <c r="I139" s="16"/>
      <c r="J139" s="16"/>
      <c r="K139" s="84"/>
      <c r="L139" s="850"/>
      <c r="M139" s="850"/>
      <c r="N139" s="16"/>
      <c r="O139" s="850"/>
      <c r="P139" s="850"/>
      <c r="Q139" s="850"/>
      <c r="R139" s="16"/>
      <c r="S139" s="16"/>
      <c r="T139" s="16"/>
      <c r="U139" s="16"/>
      <c r="V139" s="16"/>
      <c r="W139" s="16"/>
      <c r="X139" s="16"/>
      <c r="Y139" s="16"/>
      <c r="Z139" s="16"/>
      <c r="AA139" s="16"/>
      <c r="AB139" s="16"/>
      <c r="AC139" s="16"/>
      <c r="AD139" s="16"/>
      <c r="AE139" s="16"/>
      <c r="AF139" s="16"/>
      <c r="AG139" s="16"/>
      <c r="AH139" s="16"/>
      <c r="AI139" s="16"/>
      <c r="AJ139" s="16"/>
      <c r="AK139" s="16"/>
      <c r="AL139" s="16"/>
      <c r="AM139" s="16"/>
      <c r="AN139" s="16"/>
      <c r="AO139" s="16"/>
      <c r="AP139" s="16"/>
      <c r="AQ139" s="16"/>
      <c r="AR139" s="16"/>
      <c r="AS139" s="16"/>
      <c r="AT139" s="16"/>
      <c r="AU139" s="16"/>
      <c r="AV139" s="16"/>
      <c r="AW139" s="16"/>
      <c r="AX139" s="16"/>
      <c r="AY139" s="16"/>
      <c r="AZ139" s="16"/>
      <c r="BA139" s="16"/>
      <c r="BB139" s="16"/>
      <c r="BC139" s="16"/>
      <c r="BD139" s="16"/>
      <c r="BE139" s="16"/>
      <c r="BF139" s="16"/>
      <c r="BG139" s="16"/>
      <c r="BH139" s="16"/>
      <c r="BI139" s="16"/>
      <c r="BJ139" s="16"/>
      <c r="BK139" s="16"/>
      <c r="BL139" s="16"/>
      <c r="BM139" s="16"/>
      <c r="BN139" s="16"/>
      <c r="BO139" s="16"/>
      <c r="BP139" s="16"/>
      <c r="BQ139" s="16"/>
      <c r="BR139" s="16"/>
      <c r="BS139" s="16"/>
      <c r="BT139" s="16"/>
      <c r="BU139" s="16"/>
      <c r="BV139" s="16"/>
      <c r="BW139" s="16"/>
      <c r="BX139" s="16"/>
      <c r="BY139" s="16"/>
      <c r="BZ139" s="16"/>
      <c r="CA139" s="16"/>
      <c r="CB139" s="16"/>
      <c r="CC139" s="16"/>
      <c r="CD139" s="16"/>
      <c r="CE139" s="16"/>
      <c r="CF139" s="16"/>
      <c r="CG139" s="16"/>
      <c r="CH139" s="16"/>
      <c r="CI139" s="16"/>
    </row>
    <row r="140" ht="14.25" customHeight="1" spans="1:87" x14ac:dyDescent="0.25">
      <c r="A140" s="4"/>
      <c r="B140" s="4"/>
      <c r="C140" s="4"/>
      <c r="D140" s="4"/>
      <c r="E140" s="4"/>
      <c r="F140" s="4"/>
      <c r="G140" s="4"/>
      <c r="H140" s="4"/>
      <c r="I140" s="4"/>
      <c r="J140" s="16"/>
      <c r="K140" s="84"/>
      <c r="L140" s="850"/>
      <c r="M140" s="16"/>
      <c r="N140" s="16"/>
      <c r="O140" s="16"/>
      <c r="P140" s="16"/>
      <c r="Q140" s="16"/>
      <c r="R140" s="16"/>
      <c r="S140" s="16"/>
      <c r="T140" s="16"/>
      <c r="U140" s="16"/>
      <c r="V140" s="16"/>
      <c r="W140" s="16"/>
      <c r="X140" s="16"/>
      <c r="Y140" s="16"/>
      <c r="Z140" s="16"/>
      <c r="AA140" s="16"/>
      <c r="AB140" s="16"/>
      <c r="AC140" s="16"/>
      <c r="AD140" s="16"/>
      <c r="AE140" s="16"/>
      <c r="AF140" s="16"/>
      <c r="AG140" s="16"/>
      <c r="AH140" s="16"/>
      <c r="AI140" s="16"/>
      <c r="AJ140" s="16"/>
      <c r="AK140" s="16"/>
      <c r="AL140" s="16"/>
      <c r="AM140" s="16"/>
      <c r="AN140" s="16"/>
      <c r="AO140" s="16"/>
      <c r="AP140" s="16"/>
      <c r="AQ140" s="16"/>
      <c r="AR140" s="16"/>
      <c r="AS140" s="16"/>
      <c r="AT140" s="16"/>
      <c r="AU140" s="16"/>
      <c r="AV140" s="16"/>
      <c r="AW140" s="16"/>
      <c r="AX140" s="16"/>
      <c r="AY140" s="16"/>
      <c r="AZ140" s="16"/>
      <c r="BA140" s="16"/>
      <c r="BB140" s="16"/>
      <c r="BC140" s="16"/>
      <c r="BD140" s="16"/>
      <c r="BE140" s="16"/>
      <c r="BF140" s="16"/>
      <c r="BG140" s="16"/>
      <c r="BH140" s="16"/>
      <c r="BI140" s="16"/>
      <c r="BJ140" s="16"/>
      <c r="BK140" s="16"/>
      <c r="BL140" s="16"/>
      <c r="BM140" s="16"/>
      <c r="BN140" s="16"/>
      <c r="BO140" s="16"/>
      <c r="BP140" s="16"/>
      <c r="BQ140" s="16"/>
      <c r="BR140" s="16"/>
      <c r="BS140" s="16"/>
      <c r="BT140" s="16"/>
      <c r="BU140" s="16"/>
      <c r="BV140" s="16"/>
      <c r="BW140" s="16"/>
      <c r="BX140" s="16"/>
      <c r="BY140" s="16"/>
      <c r="BZ140" s="16"/>
      <c r="CA140" s="16"/>
      <c r="CB140" s="16"/>
      <c r="CC140" s="16"/>
      <c r="CD140" s="16"/>
      <c r="CE140" s="16"/>
      <c r="CF140" s="16"/>
      <c r="CG140" s="16"/>
      <c r="CH140" s="16"/>
      <c r="CI140" s="16"/>
    </row>
    <row r="141" ht="14.25" customHeight="1" spans="1:87" x14ac:dyDescent="0.25">
      <c r="A141" s="4"/>
      <c r="B141" s="4"/>
      <c r="C141" s="4"/>
      <c r="D141" s="4"/>
      <c r="E141" s="4"/>
      <c r="F141" s="4"/>
      <c r="G141" s="4"/>
      <c r="H141" s="4"/>
      <c r="I141" s="4"/>
      <c r="J141" s="4"/>
      <c r="K141" s="242"/>
      <c r="L141" s="4"/>
      <c r="M141" s="4"/>
      <c r="N141" s="4"/>
      <c r="O141" s="4"/>
      <c r="P141" s="4"/>
      <c r="Q141" s="4"/>
      <c r="R141" s="4"/>
      <c r="S141" s="4"/>
      <c r="T141" s="4"/>
      <c r="U141" s="4"/>
      <c r="V141" s="4"/>
      <c r="W141" s="4"/>
      <c r="X141" s="4"/>
      <c r="Y141" s="4"/>
      <c r="Z141" s="4"/>
      <c r="AA141" s="4"/>
      <c r="AB141" s="4"/>
      <c r="AC141" s="4"/>
      <c r="AD141" s="4"/>
      <c r="AE141" s="4"/>
      <c r="AF141" s="4"/>
      <c r="AG141" s="4"/>
      <c r="AH141" s="4"/>
      <c r="AI141" s="4"/>
      <c r="AJ141" s="4"/>
      <c r="AK141" s="4"/>
      <c r="AL141" s="4"/>
      <c r="AM141" s="4"/>
      <c r="AN141" s="4"/>
      <c r="AO141" s="4"/>
      <c r="AP141" s="4"/>
      <c r="AQ141" s="4"/>
      <c r="AR141" s="4"/>
      <c r="AS141" s="4"/>
      <c r="AT141" s="4"/>
      <c r="AU141" s="4"/>
      <c r="AV141" s="4"/>
      <c r="AW141" s="4"/>
      <c r="AX141" s="4"/>
      <c r="AY141" s="4"/>
      <c r="AZ141" s="4"/>
      <c r="BA141" s="4"/>
      <c r="BB141" s="4"/>
      <c r="BC141" s="4"/>
      <c r="BD141" s="4"/>
      <c r="BE141" s="4"/>
      <c r="BF141" s="4"/>
      <c r="BG141" s="4"/>
      <c r="BH141" s="4"/>
      <c r="BI141" s="4"/>
      <c r="BJ141" s="4"/>
      <c r="BK141" s="4"/>
      <c r="BL141" s="4"/>
      <c r="BM141" s="4"/>
      <c r="BN141" s="4"/>
      <c r="BO141" s="4"/>
      <c r="BP141" s="4"/>
      <c r="BQ141" s="4"/>
      <c r="BR141" s="4"/>
      <c r="BS141" s="4"/>
      <c r="BT141" s="4"/>
      <c r="BU141" s="4"/>
      <c r="BV141" s="4"/>
      <c r="BW141" s="4"/>
      <c r="BX141" s="4"/>
      <c r="BY141" s="4"/>
      <c r="BZ141" s="4"/>
      <c r="CA141" s="4"/>
      <c r="CB141" s="4"/>
      <c r="CC141" s="4"/>
      <c r="CD141" s="4"/>
      <c r="CE141" s="4"/>
      <c r="CF141" s="4"/>
      <c r="CG141" s="4"/>
      <c r="CH141" s="4"/>
      <c r="CI141" s="4"/>
    </row>
    <row r="142" ht="14.25" customHeight="1" spans="1:87" x14ac:dyDescent="0.25">
      <c r="A142" s="4"/>
      <c r="B142" s="4"/>
      <c r="C142" s="4"/>
      <c r="D142" s="4"/>
      <c r="E142" s="4"/>
      <c r="F142" s="4"/>
      <c r="G142" s="4"/>
      <c r="H142" s="4"/>
      <c r="I142" s="4"/>
      <c r="J142" s="4"/>
      <c r="K142" s="242"/>
      <c r="L142" s="4"/>
      <c r="M142" s="4"/>
      <c r="N142" s="4"/>
      <c r="O142" s="4"/>
      <c r="P142" s="4"/>
      <c r="Q142" s="4"/>
      <c r="R142" s="4"/>
      <c r="S142" s="4"/>
      <c r="T142" s="4"/>
      <c r="U142" s="4"/>
      <c r="V142" s="4"/>
      <c r="W142" s="4"/>
      <c r="X142" s="4"/>
      <c r="Y142" s="4"/>
      <c r="Z142" s="4"/>
      <c r="AA142" s="4"/>
      <c r="AB142" s="4"/>
      <c r="AC142" s="4"/>
      <c r="AD142" s="4"/>
      <c r="AE142" s="4"/>
      <c r="AF142" s="4"/>
      <c r="AG142" s="4"/>
      <c r="AH142" s="4"/>
      <c r="AI142" s="4"/>
      <c r="AJ142" s="4"/>
      <c r="AK142" s="4"/>
      <c r="AL142" s="4"/>
      <c r="AM142" s="4"/>
      <c r="AN142" s="4"/>
      <c r="AO142" s="4"/>
      <c r="AP142" s="4"/>
      <c r="AQ142" s="4"/>
      <c r="AR142" s="4"/>
      <c r="AS142" s="4"/>
      <c r="AT142" s="4"/>
      <c r="AU142" s="4"/>
      <c r="AV142" s="4"/>
      <c r="AW142" s="4"/>
      <c r="AX142" s="4"/>
      <c r="AY142" s="4"/>
      <c r="AZ142" s="4"/>
      <c r="BA142" s="4"/>
      <c r="BB142" s="4"/>
      <c r="BC142" s="4"/>
      <c r="BD142" s="4"/>
      <c r="BE142" s="4"/>
      <c r="BF142" s="4"/>
      <c r="BG142" s="4"/>
      <c r="BH142" s="4"/>
      <c r="BI142" s="4"/>
      <c r="BJ142" s="4"/>
      <c r="BK142" s="4"/>
      <c r="BL142" s="4"/>
      <c r="BM142" s="4"/>
      <c r="BN142" s="4"/>
      <c r="BO142" s="4"/>
      <c r="BP142" s="4"/>
      <c r="BQ142" s="4"/>
      <c r="BR142" s="4"/>
      <c r="BS142" s="4"/>
      <c r="BT142" s="4"/>
      <c r="BU142" s="4"/>
      <c r="BV142" s="4"/>
      <c r="BW142" s="4"/>
      <c r="BX142" s="4"/>
      <c r="BY142" s="4"/>
      <c r="BZ142" s="4"/>
      <c r="CA142" s="4"/>
      <c r="CB142" s="4"/>
      <c r="CC142" s="4"/>
      <c r="CD142" s="4"/>
      <c r="CE142" s="4"/>
      <c r="CF142" s="4"/>
      <c r="CG142" s="4"/>
      <c r="CH142" s="4"/>
      <c r="CI142" s="4"/>
    </row>
    <row r="143" ht="14.25" customHeight="1" spans="1:87" x14ac:dyDescent="0.25">
      <c r="A143" s="4"/>
      <c r="B143" s="4"/>
      <c r="C143" s="4"/>
      <c r="D143" s="4"/>
      <c r="E143" s="4"/>
      <c r="F143" s="4"/>
      <c r="G143" s="4"/>
      <c r="H143" s="4"/>
      <c r="I143" s="4"/>
      <c r="J143" s="4"/>
      <c r="K143" s="242"/>
      <c r="L143" s="4"/>
      <c r="M143" s="4"/>
      <c r="N143" s="4"/>
      <c r="O143" s="4"/>
      <c r="P143" s="4"/>
      <c r="Q143" s="4"/>
      <c r="R143" s="4"/>
      <c r="S143" s="4"/>
      <c r="T143" s="4"/>
      <c r="U143" s="4"/>
      <c r="V143" s="4"/>
      <c r="W143" s="4"/>
      <c r="X143" s="4"/>
      <c r="Y143" s="4"/>
      <c r="Z143" s="4"/>
      <c r="AA143" s="4"/>
      <c r="AB143" s="4"/>
      <c r="AC143" s="4"/>
      <c r="AD143" s="4"/>
      <c r="AE143" s="4"/>
      <c r="AF143" s="4"/>
      <c r="AG143" s="4"/>
      <c r="AH143" s="4"/>
      <c r="AI143" s="4"/>
      <c r="AJ143" s="4"/>
      <c r="AK143" s="4"/>
      <c r="AL143" s="4"/>
      <c r="AM143" s="4"/>
      <c r="AN143" s="4"/>
      <c r="AO143" s="4"/>
      <c r="AP143" s="4"/>
      <c r="AQ143" s="4"/>
      <c r="AR143" s="4"/>
      <c r="AS143" s="4"/>
      <c r="AT143" s="4"/>
      <c r="AU143" s="4"/>
      <c r="AV143" s="4"/>
      <c r="AW143" s="4"/>
      <c r="AX143" s="4"/>
      <c r="AY143" s="4"/>
      <c r="AZ143" s="4"/>
      <c r="BA143" s="4"/>
      <c r="BB143" s="4"/>
      <c r="BC143" s="4"/>
      <c r="BD143" s="4"/>
      <c r="BE143" s="4"/>
      <c r="BF143" s="4"/>
      <c r="BG143" s="4"/>
      <c r="BH143" s="4"/>
      <c r="BI143" s="4"/>
      <c r="BJ143" s="4"/>
      <c r="BK143" s="4"/>
      <c r="BL143" s="4"/>
      <c r="BM143" s="4"/>
      <c r="BN143" s="4"/>
      <c r="BO143" s="4"/>
      <c r="BP143" s="4"/>
      <c r="BQ143" s="4"/>
      <c r="BR143" s="4"/>
      <c r="BS143" s="4"/>
      <c r="BT143" s="4"/>
      <c r="BU143" s="4"/>
      <c r="BV143" s="4"/>
      <c r="BW143" s="4"/>
      <c r="BX143" s="4"/>
      <c r="BY143" s="4"/>
      <c r="BZ143" s="4"/>
      <c r="CA143" s="4"/>
      <c r="CB143" s="4"/>
      <c r="CC143" s="4"/>
      <c r="CD143" s="4"/>
      <c r="CE143" s="4"/>
      <c r="CF143" s="4"/>
      <c r="CG143" s="4"/>
      <c r="CH143" s="4"/>
      <c r="CI143" s="4"/>
    </row>
    <row r="144" ht="14.25" customHeight="1" spans="1:87" x14ac:dyDescent="0.25">
      <c r="A144" s="4"/>
      <c r="B144" s="4"/>
      <c r="C144" s="4"/>
      <c r="D144" s="4"/>
      <c r="E144" s="4"/>
      <c r="F144" s="4"/>
      <c r="G144" s="4"/>
      <c r="H144" s="4"/>
      <c r="I144" s="4"/>
      <c r="J144" s="4"/>
      <c r="K144" s="242"/>
      <c r="L144" s="4"/>
      <c r="M144" s="4"/>
      <c r="N144" s="4"/>
      <c r="O144" s="4"/>
      <c r="P144" s="4"/>
      <c r="Q144" s="4"/>
      <c r="R144" s="4"/>
      <c r="S144" s="4"/>
      <c r="T144" s="4"/>
      <c r="U144" s="4"/>
      <c r="V144" s="4"/>
      <c r="W144" s="4"/>
      <c r="X144" s="4"/>
      <c r="Y144" s="4"/>
      <c r="Z144" s="4"/>
      <c r="AA144" s="4"/>
      <c r="AB144" s="4"/>
      <c r="AC144" s="4"/>
      <c r="AD144" s="4"/>
      <c r="AE144" s="4"/>
      <c r="AF144" s="4"/>
      <c r="AG144" s="4"/>
      <c r="AH144" s="4"/>
      <c r="AI144" s="4"/>
      <c r="AJ144" s="4"/>
      <c r="AK144" s="4"/>
      <c r="AL144" s="4"/>
      <c r="AM144" s="4"/>
      <c r="AN144" s="4"/>
      <c r="AO144" s="4"/>
      <c r="AP144" s="4"/>
      <c r="AQ144" s="4"/>
      <c r="AR144" s="4"/>
      <c r="AS144" s="4"/>
      <c r="AT144" s="4"/>
      <c r="AU144" s="4"/>
      <c r="AV144" s="4"/>
      <c r="AW144" s="4"/>
      <c r="AX144" s="4"/>
      <c r="AY144" s="4"/>
      <c r="AZ144" s="4"/>
      <c r="BA144" s="4"/>
      <c r="BB144" s="4"/>
      <c r="BC144" s="4"/>
      <c r="BD144" s="4"/>
      <c r="BE144" s="4"/>
      <c r="BF144" s="4"/>
      <c r="BG144" s="4"/>
      <c r="BH144" s="4"/>
      <c r="BI144" s="4"/>
      <c r="BJ144" s="4"/>
      <c r="BK144" s="4"/>
      <c r="BL144" s="4"/>
      <c r="BM144" s="4"/>
      <c r="BN144" s="4"/>
      <c r="BO144" s="4"/>
      <c r="BP144" s="4"/>
      <c r="BQ144" s="4"/>
      <c r="BR144" s="4"/>
      <c r="BS144" s="4"/>
      <c r="BT144" s="4"/>
      <c r="BU144" s="4"/>
      <c r="BV144" s="4"/>
      <c r="BW144" s="4"/>
      <c r="BX144" s="4"/>
      <c r="BY144" s="4"/>
      <c r="BZ144" s="4"/>
      <c r="CA144" s="4"/>
      <c r="CB144" s="4"/>
      <c r="CC144" s="4"/>
      <c r="CD144" s="4"/>
      <c r="CE144" s="4"/>
      <c r="CF144" s="4"/>
      <c r="CG144" s="4"/>
      <c r="CH144" s="4"/>
      <c r="CI144" s="4"/>
    </row>
    <row r="145" ht="14.25" customHeight="1" spans="1:87" x14ac:dyDescent="0.25">
      <c r="A145" s="4"/>
      <c r="B145" s="4"/>
      <c r="C145" s="4"/>
      <c r="D145" s="4"/>
      <c r="E145" s="4"/>
      <c r="F145" s="4"/>
      <c r="G145" s="4"/>
      <c r="H145" s="4"/>
      <c r="I145" s="4"/>
      <c r="J145" s="4"/>
      <c r="K145" s="242"/>
      <c r="L145" s="4"/>
      <c r="M145" s="4"/>
      <c r="N145" s="4"/>
      <c r="O145" s="4"/>
      <c r="P145" s="4"/>
      <c r="Q145" s="4"/>
      <c r="R145" s="4"/>
      <c r="S145" s="4"/>
      <c r="T145" s="4"/>
      <c r="U145" s="4"/>
      <c r="V145" s="4"/>
      <c r="W145" s="4"/>
      <c r="X145" s="4"/>
      <c r="Y145" s="4"/>
      <c r="Z145" s="4"/>
      <c r="AA145" s="4"/>
      <c r="AB145" s="4"/>
      <c r="AC145" s="4"/>
      <c r="AD145" s="4"/>
      <c r="AE145" s="4"/>
      <c r="AF145" s="4"/>
      <c r="AG145" s="4"/>
      <c r="AH145" s="4"/>
      <c r="AI145" s="4"/>
      <c r="AJ145" s="4"/>
      <c r="AK145" s="4"/>
      <c r="AL145" s="4"/>
      <c r="AM145" s="4"/>
      <c r="AN145" s="4"/>
      <c r="AO145" s="4"/>
      <c r="AP145" s="4"/>
      <c r="AQ145" s="4"/>
      <c r="AR145" s="4"/>
      <c r="AS145" s="4"/>
      <c r="AT145" s="4"/>
      <c r="AU145" s="4"/>
      <c r="AV145" s="4"/>
      <c r="AW145" s="4"/>
      <c r="AX145" s="4"/>
      <c r="AY145" s="4"/>
      <c r="AZ145" s="4"/>
      <c r="BA145" s="4"/>
      <c r="BB145" s="4"/>
      <c r="BC145" s="4"/>
      <c r="BD145" s="4"/>
      <c r="BE145" s="4"/>
      <c r="BF145" s="4"/>
      <c r="BG145" s="4"/>
      <c r="BH145" s="4"/>
      <c r="BI145" s="4"/>
      <c r="BJ145" s="4"/>
      <c r="BK145" s="4"/>
      <c r="BL145" s="4"/>
      <c r="BM145" s="4"/>
      <c r="BN145" s="4"/>
      <c r="BO145" s="4"/>
      <c r="BP145" s="4"/>
      <c r="BQ145" s="4"/>
      <c r="BR145" s="4"/>
      <c r="BS145" s="4"/>
      <c r="BT145" s="4"/>
      <c r="BU145" s="4"/>
      <c r="BV145" s="4"/>
      <c r="BW145" s="4"/>
      <c r="BX145" s="4"/>
      <c r="BY145" s="4"/>
      <c r="BZ145" s="4"/>
      <c r="CA145" s="4"/>
      <c r="CB145" s="4"/>
      <c r="CC145" s="4"/>
      <c r="CD145" s="4"/>
      <c r="CE145" s="4"/>
      <c r="CF145" s="4"/>
      <c r="CG145" s="4"/>
      <c r="CH145" s="4"/>
      <c r="CI145" s="4"/>
    </row>
    <row r="146" ht="14.25" customHeight="1" spans="1:87" x14ac:dyDescent="0.25">
      <c r="A146" s="4"/>
      <c r="B146" s="4"/>
      <c r="C146" s="4"/>
      <c r="D146" s="4"/>
      <c r="E146" s="4"/>
      <c r="F146" s="4"/>
      <c r="G146" s="4"/>
      <c r="H146" s="4"/>
      <c r="I146" s="4"/>
      <c r="J146" s="4"/>
      <c r="K146" s="242"/>
      <c r="L146" s="4"/>
      <c r="M146" s="4"/>
      <c r="N146" s="4"/>
      <c r="O146" s="4"/>
      <c r="P146" s="4"/>
      <c r="Q146" s="4"/>
      <c r="R146" s="4"/>
      <c r="S146" s="4"/>
      <c r="T146" s="4"/>
      <c r="U146" s="4"/>
      <c r="V146" s="4"/>
      <c r="W146" s="4"/>
      <c r="X146" s="4"/>
      <c r="Y146" s="4"/>
      <c r="Z146" s="4"/>
      <c r="AA146" s="4"/>
      <c r="AB146" s="4"/>
      <c r="AC146" s="4"/>
      <c r="AD146" s="4"/>
      <c r="AE146" s="4"/>
      <c r="AF146" s="4"/>
      <c r="AG146" s="4"/>
      <c r="AH146" s="4"/>
      <c r="AI146" s="4"/>
      <c r="AJ146" s="4"/>
      <c r="AK146" s="4"/>
      <c r="AL146" s="4"/>
      <c r="AM146" s="4"/>
      <c r="AN146" s="4"/>
      <c r="AO146" s="4"/>
      <c r="AP146" s="4"/>
      <c r="AQ146" s="4"/>
      <c r="AR146" s="4"/>
      <c r="AS146" s="4"/>
      <c r="AT146" s="4"/>
      <c r="AU146" s="4"/>
      <c r="AV146" s="4"/>
      <c r="AW146" s="4"/>
      <c r="AX146" s="4"/>
      <c r="AY146" s="4"/>
      <c r="AZ146" s="4"/>
      <c r="BA146" s="4"/>
      <c r="BB146" s="4"/>
      <c r="BC146" s="4"/>
      <c r="BD146" s="4"/>
      <c r="BE146" s="4"/>
      <c r="BF146" s="4"/>
      <c r="BG146" s="4"/>
      <c r="BH146" s="4"/>
      <c r="BI146" s="4"/>
      <c r="BJ146" s="4"/>
      <c r="BK146" s="4"/>
      <c r="BL146" s="4"/>
      <c r="BM146" s="4"/>
      <c r="BN146" s="4"/>
      <c r="BO146" s="4"/>
      <c r="BP146" s="4"/>
      <c r="BQ146" s="4"/>
      <c r="BR146" s="4"/>
      <c r="BS146" s="4"/>
      <c r="BT146" s="4"/>
      <c r="BU146" s="4"/>
      <c r="BV146" s="4"/>
      <c r="BW146" s="4"/>
      <c r="BX146" s="4"/>
      <c r="BY146" s="4"/>
      <c r="BZ146" s="4"/>
      <c r="CA146" s="4"/>
      <c r="CB146" s="4"/>
      <c r="CC146" s="4"/>
      <c r="CD146" s="4"/>
      <c r="CE146" s="4"/>
      <c r="CF146" s="4"/>
      <c r="CG146" s="4"/>
      <c r="CH146" s="4"/>
      <c r="CI146" s="4"/>
    </row>
    <row r="147" ht="14.25" customHeight="1" spans="1:87" x14ac:dyDescent="0.25">
      <c r="A147" s="4"/>
      <c r="B147" s="4"/>
      <c r="C147" s="4"/>
      <c r="D147" s="4"/>
      <c r="E147" s="4"/>
      <c r="F147" s="4"/>
      <c r="G147" s="4"/>
      <c r="H147" s="4"/>
      <c r="I147" s="4"/>
      <c r="J147" s="4"/>
      <c r="K147" s="242"/>
      <c r="L147" s="4"/>
      <c r="M147" s="4"/>
      <c r="N147" s="4"/>
      <c r="O147" s="4"/>
      <c r="P147" s="4"/>
      <c r="Q147" s="4"/>
      <c r="R147" s="4"/>
      <c r="S147" s="4"/>
      <c r="T147" s="4"/>
      <c r="U147" s="4"/>
      <c r="V147" s="4"/>
      <c r="W147" s="4"/>
      <c r="X147" s="4"/>
      <c r="Y147" s="4"/>
      <c r="Z147" s="4"/>
      <c r="AA147" s="4"/>
      <c r="AB147" s="4"/>
      <c r="AC147" s="4"/>
      <c r="AD147" s="4"/>
      <c r="AE147" s="4"/>
      <c r="AF147" s="4"/>
      <c r="AG147" s="4"/>
      <c r="AH147" s="4"/>
      <c r="AI147" s="4"/>
      <c r="AJ147" s="4"/>
      <c r="AK147" s="4"/>
      <c r="AL147" s="4"/>
      <c r="AM147" s="4"/>
      <c r="AN147" s="4"/>
      <c r="AO147" s="4"/>
      <c r="AP147" s="4"/>
      <c r="AQ147" s="4"/>
      <c r="AR147" s="4"/>
      <c r="AS147" s="4"/>
      <c r="AT147" s="4"/>
      <c r="AU147" s="4"/>
      <c r="AV147" s="4"/>
      <c r="AW147" s="4"/>
      <c r="AX147" s="4"/>
      <c r="AY147" s="4"/>
      <c r="AZ147" s="4"/>
      <c r="BA147" s="4"/>
      <c r="BB147" s="4"/>
      <c r="BC147" s="4"/>
      <c r="BD147" s="4"/>
      <c r="BE147" s="4"/>
      <c r="BF147" s="4"/>
      <c r="BG147" s="4"/>
      <c r="BH147" s="4"/>
      <c r="BI147" s="4"/>
      <c r="BJ147" s="4"/>
      <c r="BK147" s="4"/>
      <c r="BL147" s="4"/>
      <c r="BM147" s="4"/>
      <c r="BN147" s="4"/>
      <c r="BO147" s="4"/>
      <c r="BP147" s="4"/>
      <c r="BQ147" s="4"/>
      <c r="BR147" s="4"/>
      <c r="BS147" s="4"/>
      <c r="BT147" s="4"/>
      <c r="BU147" s="4"/>
      <c r="BV147" s="4"/>
      <c r="BW147" s="4"/>
      <c r="BX147" s="4"/>
      <c r="BY147" s="4"/>
      <c r="BZ147" s="4"/>
      <c r="CA147" s="4"/>
      <c r="CB147" s="4"/>
      <c r="CC147" s="4"/>
      <c r="CD147" s="4"/>
      <c r="CE147" s="4"/>
      <c r="CF147" s="4"/>
      <c r="CG147" s="4"/>
      <c r="CH147" s="4"/>
      <c r="CI147" s="4"/>
    </row>
    <row r="148" ht="14.25" customHeight="1" spans="1:87" x14ac:dyDescent="0.25">
      <c r="A148" s="4"/>
      <c r="B148" s="4"/>
      <c r="C148" s="4"/>
      <c r="D148" s="4"/>
      <c r="E148" s="4"/>
      <c r="F148" s="4"/>
      <c r="G148" s="4"/>
      <c r="H148" s="4"/>
      <c r="I148" s="4"/>
      <c r="J148" s="4"/>
      <c r="K148" s="242"/>
      <c r="L148" s="4"/>
      <c r="M148" s="4"/>
      <c r="N148" s="4"/>
      <c r="O148" s="4"/>
      <c r="P148" s="4"/>
      <c r="Q148" s="4"/>
      <c r="R148" s="4"/>
      <c r="S148" s="4"/>
      <c r="T148" s="4"/>
      <c r="U148" s="4"/>
      <c r="V148" s="4"/>
      <c r="W148" s="4"/>
      <c r="X148" s="4"/>
      <c r="Y148" s="4"/>
      <c r="Z148" s="4"/>
      <c r="AA148" s="4"/>
      <c r="AB148" s="4"/>
      <c r="AC148" s="4"/>
      <c r="AD148" s="4"/>
      <c r="AE148" s="4"/>
      <c r="AF148" s="4"/>
      <c r="AG148" s="4"/>
      <c r="AH148" s="4"/>
      <c r="AI148" s="4"/>
      <c r="AJ148" s="4"/>
      <c r="AK148" s="4"/>
      <c r="AL148" s="4"/>
      <c r="AM148" s="4"/>
      <c r="AN148" s="4"/>
      <c r="AO148" s="4"/>
      <c r="AP148" s="4"/>
      <c r="AQ148" s="4"/>
      <c r="AR148" s="4"/>
      <c r="AS148" s="4"/>
      <c r="AT148" s="4"/>
      <c r="AU148" s="4"/>
      <c r="AV148" s="4"/>
      <c r="AW148" s="4"/>
      <c r="AX148" s="4"/>
      <c r="AY148" s="4"/>
      <c r="AZ148" s="4"/>
      <c r="BA148" s="4"/>
      <c r="BB148" s="4"/>
      <c r="BC148" s="4"/>
      <c r="BD148" s="4"/>
      <c r="BE148" s="4"/>
      <c r="BF148" s="4"/>
      <c r="BG148" s="4"/>
      <c r="BH148" s="4"/>
      <c r="BI148" s="4"/>
      <c r="BJ148" s="4"/>
      <c r="BK148" s="4"/>
      <c r="BL148" s="4"/>
      <c r="BM148" s="4"/>
      <c r="BN148" s="4"/>
      <c r="BO148" s="4"/>
      <c r="BP148" s="4"/>
      <c r="BQ148" s="4"/>
      <c r="BR148" s="4"/>
      <c r="BS148" s="4"/>
      <c r="BT148" s="4"/>
      <c r="BU148" s="4"/>
      <c r="BV148" s="4"/>
      <c r="BW148" s="4"/>
      <c r="BX148" s="4"/>
      <c r="BY148" s="4"/>
      <c r="BZ148" s="4"/>
      <c r="CA148" s="4"/>
      <c r="CB148" s="4"/>
      <c r="CC148" s="4"/>
      <c r="CD148" s="4"/>
      <c r="CE148" s="4"/>
      <c r="CF148" s="4"/>
      <c r="CG148" s="4"/>
      <c r="CH148" s="4"/>
      <c r="CI148" s="4"/>
    </row>
    <row r="149" ht="14.25" customHeight="1" spans="1:87" x14ac:dyDescent="0.25">
      <c r="A149" s="4"/>
      <c r="B149" s="4"/>
      <c r="C149" s="4"/>
      <c r="D149" s="4"/>
      <c r="E149" s="4"/>
      <c r="F149" s="4"/>
      <c r="G149" s="4"/>
      <c r="H149" s="4"/>
      <c r="I149" s="4"/>
      <c r="J149" s="4"/>
      <c r="K149" s="242"/>
      <c r="L149" s="4"/>
      <c r="M149" s="4"/>
      <c r="N149" s="4"/>
      <c r="O149" s="4"/>
      <c r="P149" s="4"/>
      <c r="Q149" s="4"/>
      <c r="R149" s="4"/>
      <c r="S149" s="4"/>
      <c r="T149" s="4"/>
      <c r="U149" s="4"/>
      <c r="V149" s="4"/>
      <c r="W149" s="4"/>
      <c r="X149" s="4"/>
      <c r="Y149" s="4"/>
      <c r="Z149" s="4"/>
      <c r="AA149" s="4"/>
      <c r="AB149" s="4"/>
      <c r="AC149" s="4"/>
      <c r="AD149" s="4"/>
      <c r="AE149" s="4"/>
      <c r="AF149" s="4"/>
      <c r="AG149" s="4"/>
      <c r="AH149" s="4"/>
      <c r="AI149" s="4"/>
      <c r="AJ149" s="4"/>
      <c r="AK149" s="4"/>
      <c r="AL149" s="4"/>
      <c r="AM149" s="4"/>
      <c r="AN149" s="4"/>
      <c r="AO149" s="4"/>
      <c r="AP149" s="4"/>
      <c r="AQ149" s="4"/>
      <c r="AR149" s="4"/>
      <c r="AS149" s="4"/>
      <c r="AT149" s="4"/>
      <c r="AU149" s="4"/>
      <c r="AV149" s="4"/>
      <c r="AW149" s="4"/>
      <c r="AX149" s="4"/>
      <c r="AY149" s="4"/>
      <c r="AZ149" s="4"/>
      <c r="BA149" s="4"/>
      <c r="BB149" s="4"/>
      <c r="BC149" s="4"/>
      <c r="BD149" s="4"/>
      <c r="BE149" s="4"/>
      <c r="BF149" s="4"/>
      <c r="BG149" s="4"/>
      <c r="BH149" s="4"/>
      <c r="BI149" s="4"/>
      <c r="BJ149" s="4"/>
      <c r="BK149" s="4"/>
      <c r="BL149" s="4"/>
      <c r="BM149" s="4"/>
      <c r="BN149" s="4"/>
      <c r="BO149" s="4"/>
      <c r="BP149" s="4"/>
      <c r="BQ149" s="4"/>
      <c r="BR149" s="4"/>
      <c r="BS149" s="4"/>
      <c r="BT149" s="4"/>
      <c r="BU149" s="4"/>
      <c r="BV149" s="4"/>
      <c r="BW149" s="4"/>
      <c r="BX149" s="4"/>
      <c r="BY149" s="4"/>
      <c r="BZ149" s="4"/>
      <c r="CA149" s="4"/>
      <c r="CB149" s="4"/>
      <c r="CC149" s="4"/>
      <c r="CD149" s="4"/>
      <c r="CE149" s="4"/>
      <c r="CF149" s="4"/>
      <c r="CG149" s="4"/>
      <c r="CH149" s="4"/>
      <c r="CI149" s="4"/>
    </row>
    <row r="150" ht="14.25" customHeight="1" spans="1:87" x14ac:dyDescent="0.25">
      <c r="A150" s="4"/>
      <c r="B150" s="4"/>
      <c r="C150" s="4"/>
      <c r="D150" s="4"/>
      <c r="E150" s="4"/>
      <c r="F150" s="4"/>
      <c r="G150" s="4"/>
      <c r="H150" s="4"/>
      <c r="I150" s="4"/>
      <c r="J150" s="4"/>
      <c r="K150" s="242"/>
      <c r="L150" s="4"/>
      <c r="M150" s="4"/>
      <c r="N150" s="4"/>
      <c r="O150" s="4"/>
      <c r="P150" s="4"/>
      <c r="Q150" s="4"/>
      <c r="R150" s="4"/>
      <c r="S150" s="4"/>
      <c r="T150" s="4"/>
      <c r="U150" s="4"/>
      <c r="V150" s="4"/>
      <c r="W150" s="4"/>
      <c r="X150" s="4"/>
      <c r="Y150" s="4"/>
      <c r="Z150" s="4"/>
      <c r="AA150" s="4"/>
      <c r="AB150" s="4"/>
      <c r="AC150" s="4"/>
      <c r="AD150" s="4"/>
      <c r="AE150" s="4"/>
      <c r="AF150" s="4"/>
      <c r="AG150" s="4"/>
      <c r="AH150" s="4"/>
      <c r="AI150" s="4"/>
      <c r="AJ150" s="4"/>
      <c r="AK150" s="4"/>
      <c r="AL150" s="4"/>
      <c r="AM150" s="4"/>
      <c r="AN150" s="4"/>
      <c r="AO150" s="4"/>
      <c r="AP150" s="4"/>
      <c r="AQ150" s="4"/>
      <c r="AR150" s="4"/>
      <c r="AS150" s="4"/>
      <c r="AT150" s="4"/>
      <c r="AU150" s="4"/>
      <c r="AV150" s="4"/>
      <c r="AW150" s="4"/>
      <c r="AX150" s="4"/>
      <c r="AY150" s="4"/>
      <c r="AZ150" s="4"/>
      <c r="BA150" s="4"/>
      <c r="BB150" s="4"/>
      <c r="BC150" s="4"/>
      <c r="BD150" s="4"/>
      <c r="BE150" s="4"/>
      <c r="BF150" s="4"/>
      <c r="BG150" s="4"/>
      <c r="BH150" s="4"/>
      <c r="BI150" s="4"/>
      <c r="BJ150" s="4"/>
      <c r="BK150" s="4"/>
      <c r="BL150" s="4"/>
      <c r="BM150" s="4"/>
      <c r="BN150" s="4"/>
      <c r="BO150" s="4"/>
      <c r="BP150" s="4"/>
      <c r="BQ150" s="4"/>
      <c r="BR150" s="4"/>
      <c r="BS150" s="4"/>
      <c r="BT150" s="4"/>
      <c r="BU150" s="4"/>
      <c r="BV150" s="4"/>
      <c r="BW150" s="4"/>
      <c r="BX150" s="4"/>
      <c r="BY150" s="4"/>
      <c r="BZ150" s="4"/>
      <c r="CA150" s="4"/>
      <c r="CB150" s="4"/>
      <c r="CC150" s="4"/>
      <c r="CD150" s="4"/>
      <c r="CE150" s="4"/>
      <c r="CF150" s="4"/>
      <c r="CG150" s="4"/>
      <c r="CH150" s="4"/>
      <c r="CI150" s="4"/>
    </row>
    <row r="151" ht="14.25" customHeight="1" spans="1:87" x14ac:dyDescent="0.25">
      <c r="A151" s="4"/>
      <c r="B151" s="4"/>
      <c r="C151" s="4"/>
      <c r="D151" s="4"/>
      <c r="E151" s="4"/>
      <c r="F151" s="4"/>
      <c r="G151" s="4"/>
      <c r="H151" s="4"/>
      <c r="I151" s="4"/>
      <c r="J151" s="4"/>
      <c r="K151" s="242"/>
      <c r="L151" s="4"/>
      <c r="M151" s="4"/>
      <c r="N151" s="4"/>
      <c r="O151" s="4"/>
      <c r="P151" s="4"/>
      <c r="Q151" s="4"/>
      <c r="R151" s="4"/>
      <c r="S151" s="4"/>
      <c r="T151" s="4"/>
      <c r="U151" s="4"/>
      <c r="V151" s="4"/>
      <c r="W151" s="4"/>
      <c r="X151" s="4"/>
      <c r="Y151" s="4"/>
      <c r="Z151" s="4"/>
      <c r="AA151" s="4"/>
      <c r="AB151" s="4"/>
      <c r="AC151" s="4"/>
      <c r="AD151" s="4"/>
      <c r="AE151" s="4"/>
      <c r="AF151" s="4"/>
      <c r="AG151" s="4"/>
      <c r="AH151" s="4"/>
      <c r="AI151" s="4"/>
      <c r="AJ151" s="4"/>
      <c r="AK151" s="4"/>
      <c r="AL151" s="4"/>
      <c r="AM151" s="4"/>
      <c r="AN151" s="4"/>
      <c r="AO151" s="4"/>
      <c r="AP151" s="4"/>
      <c r="AQ151" s="4"/>
      <c r="AR151" s="4"/>
      <c r="AS151" s="4"/>
      <c r="AT151" s="4"/>
      <c r="AU151" s="4"/>
      <c r="AV151" s="4"/>
      <c r="AW151" s="4"/>
      <c r="AX151" s="4"/>
      <c r="AY151" s="4"/>
      <c r="AZ151" s="4"/>
      <c r="BA151" s="4"/>
      <c r="BB151" s="4"/>
      <c r="BC151" s="4"/>
      <c r="BD151" s="4"/>
      <c r="BE151" s="4"/>
      <c r="BF151" s="4"/>
      <c r="BG151" s="4"/>
      <c r="BH151" s="4"/>
      <c r="BI151" s="4"/>
      <c r="BJ151" s="4"/>
      <c r="BK151" s="4"/>
      <c r="BL151" s="4"/>
      <c r="BM151" s="4"/>
      <c r="BN151" s="4"/>
      <c r="BO151" s="4"/>
      <c r="BP151" s="4"/>
      <c r="BQ151" s="4"/>
      <c r="BR151" s="4"/>
      <c r="BS151" s="4"/>
      <c r="BT151" s="4"/>
      <c r="BU151" s="4"/>
      <c r="BV151" s="4"/>
      <c r="BW151" s="4"/>
      <c r="BX151" s="4"/>
      <c r="BY151" s="4"/>
      <c r="BZ151" s="4"/>
      <c r="CA151" s="4"/>
      <c r="CB151" s="4"/>
      <c r="CC151" s="4"/>
      <c r="CD151" s="4"/>
      <c r="CE151" s="4"/>
      <c r="CF151" s="4"/>
      <c r="CG151" s="4"/>
      <c r="CH151" s="4"/>
      <c r="CI151" s="4"/>
    </row>
    <row r="152" ht="14.25" customHeight="1" spans="1:87" x14ac:dyDescent="0.25">
      <c r="A152" s="4"/>
      <c r="B152" s="4"/>
      <c r="C152" s="4"/>
      <c r="D152" s="4"/>
      <c r="E152" s="4"/>
      <c r="F152" s="4"/>
      <c r="G152" s="4"/>
      <c r="H152" s="4"/>
      <c r="I152" s="4"/>
      <c r="J152" s="4"/>
      <c r="K152" s="242"/>
      <c r="L152" s="4"/>
      <c r="M152" s="4"/>
      <c r="N152" s="4"/>
      <c r="O152" s="4"/>
      <c r="P152" s="4"/>
      <c r="Q152" s="4"/>
      <c r="R152" s="4"/>
      <c r="S152" s="4"/>
      <c r="T152" s="4"/>
      <c r="U152" s="4"/>
      <c r="V152" s="4"/>
      <c r="W152" s="4"/>
      <c r="X152" s="4"/>
      <c r="Y152" s="4"/>
      <c r="Z152" s="4"/>
      <c r="AA152" s="4"/>
      <c r="AB152" s="4"/>
      <c r="AC152" s="4"/>
      <c r="AD152" s="4"/>
      <c r="AE152" s="4"/>
      <c r="AF152" s="4"/>
      <c r="AG152" s="4"/>
      <c r="AH152" s="4"/>
      <c r="AI152" s="4"/>
      <c r="AJ152" s="4"/>
      <c r="AK152" s="4"/>
      <c r="AL152" s="4"/>
      <c r="AM152" s="4"/>
      <c r="AN152" s="4"/>
      <c r="AO152" s="4"/>
      <c r="AP152" s="4"/>
      <c r="AQ152" s="4"/>
      <c r="AR152" s="4"/>
      <c r="AS152" s="4"/>
      <c r="AT152" s="4"/>
      <c r="AU152" s="4"/>
      <c r="AV152" s="4"/>
      <c r="AW152" s="4"/>
      <c r="AX152" s="4"/>
      <c r="AY152" s="4"/>
      <c r="AZ152" s="4"/>
      <c r="BA152" s="4"/>
      <c r="BB152" s="4"/>
      <c r="BC152" s="4"/>
      <c r="BD152" s="4"/>
      <c r="BE152" s="4"/>
      <c r="BF152" s="4"/>
      <c r="BG152" s="4"/>
      <c r="BH152" s="4"/>
      <c r="BI152" s="4"/>
      <c r="BJ152" s="4"/>
      <c r="BK152" s="4"/>
      <c r="BL152" s="4"/>
      <c r="BM152" s="4"/>
      <c r="BN152" s="4"/>
      <c r="BO152" s="4"/>
      <c r="BP152" s="4"/>
      <c r="BQ152" s="4"/>
      <c r="BR152" s="4"/>
      <c r="BS152" s="4"/>
      <c r="BT152" s="4"/>
      <c r="BU152" s="4"/>
      <c r="BV152" s="4"/>
      <c r="BW152" s="4"/>
      <c r="BX152" s="4"/>
      <c r="BY152" s="4"/>
      <c r="BZ152" s="4"/>
      <c r="CA152" s="4"/>
      <c r="CB152" s="4"/>
      <c r="CC152" s="4"/>
      <c r="CD152" s="4"/>
      <c r="CE152" s="4"/>
      <c r="CF152" s="4"/>
      <c r="CG152" s="4"/>
      <c r="CH152" s="4"/>
      <c r="CI152" s="4"/>
    </row>
    <row r="153" ht="14.25" customHeight="1" spans="1:87" x14ac:dyDescent="0.25">
      <c r="A153" s="4"/>
      <c r="B153" s="4"/>
      <c r="C153" s="4"/>
      <c r="D153" s="4"/>
      <c r="E153" s="4"/>
      <c r="F153" s="4"/>
      <c r="G153" s="4"/>
      <c r="H153" s="4"/>
      <c r="I153" s="4"/>
      <c r="J153" s="4"/>
      <c r="K153" s="242"/>
      <c r="L153" s="4"/>
      <c r="M153" s="4"/>
      <c r="N153" s="4"/>
      <c r="O153" s="4"/>
      <c r="P153" s="4"/>
      <c r="Q153" s="4"/>
      <c r="R153" s="4"/>
      <c r="S153" s="4"/>
      <c r="T153" s="4"/>
      <c r="U153" s="4"/>
      <c r="V153" s="4"/>
      <c r="W153" s="4"/>
      <c r="X153" s="4"/>
      <c r="Y153" s="4"/>
      <c r="Z153" s="4"/>
      <c r="AA153" s="4"/>
      <c r="AB153" s="4"/>
      <c r="AC153" s="4"/>
      <c r="AD153" s="4"/>
      <c r="AE153" s="4"/>
      <c r="AF153" s="4"/>
      <c r="AG153" s="4"/>
      <c r="AH153" s="4"/>
      <c r="AI153" s="4"/>
      <c r="AJ153" s="4"/>
      <c r="AK153" s="4"/>
      <c r="AL153" s="4"/>
      <c r="AM153" s="4"/>
      <c r="AN153" s="4"/>
      <c r="AO153" s="4"/>
      <c r="AP153" s="4"/>
      <c r="AQ153" s="4"/>
      <c r="AR153" s="4"/>
      <c r="AS153" s="4"/>
      <c r="AT153" s="4"/>
      <c r="AU153" s="4"/>
      <c r="AV153" s="4"/>
      <c r="AW153" s="4"/>
      <c r="AX153" s="4"/>
      <c r="AY153" s="4"/>
      <c r="AZ153" s="4"/>
      <c r="BA153" s="4"/>
      <c r="BB153" s="4"/>
      <c r="BC153" s="4"/>
      <c r="BD153" s="4"/>
      <c r="BE153" s="4"/>
      <c r="BF153" s="4"/>
      <c r="BG153" s="4"/>
      <c r="BH153" s="4"/>
      <c r="BI153" s="4"/>
      <c r="BJ153" s="4"/>
      <c r="BK153" s="4"/>
      <c r="BL153" s="4"/>
      <c r="BM153" s="4"/>
      <c r="BN153" s="4"/>
      <c r="BO153" s="4"/>
      <c r="BP153" s="4"/>
      <c r="BQ153" s="4"/>
      <c r="BR153" s="4"/>
      <c r="BS153" s="4"/>
      <c r="BT153" s="4"/>
      <c r="BU153" s="4"/>
      <c r="BV153" s="4"/>
      <c r="BW153" s="4"/>
      <c r="BX153" s="4"/>
      <c r="BY153" s="4"/>
      <c r="BZ153" s="4"/>
      <c r="CA153" s="4"/>
      <c r="CB153" s="4"/>
      <c r="CC153" s="4"/>
      <c r="CD153" s="4"/>
      <c r="CE153" s="4"/>
      <c r="CF153" s="4"/>
      <c r="CG153" s="4"/>
      <c r="CH153" s="4"/>
      <c r="CI153" s="4"/>
    </row>
    <row r="154" ht="14.25" customHeight="1" spans="1:87" x14ac:dyDescent="0.25">
      <c r="A154" s="4"/>
      <c r="B154" s="4"/>
      <c r="C154" s="4"/>
      <c r="D154" s="4"/>
      <c r="E154" s="4"/>
      <c r="F154" s="4"/>
      <c r="G154" s="4"/>
      <c r="H154" s="4"/>
      <c r="I154" s="4"/>
      <c r="J154" s="4"/>
      <c r="K154" s="242"/>
      <c r="L154" s="4"/>
      <c r="M154" s="4"/>
      <c r="N154" s="4"/>
      <c r="O154" s="4"/>
      <c r="P154" s="4"/>
      <c r="Q154" s="4"/>
      <c r="R154" s="4"/>
      <c r="S154" s="4"/>
      <c r="T154" s="4"/>
      <c r="U154" s="4"/>
      <c r="V154" s="4"/>
      <c r="W154" s="4"/>
      <c r="X154" s="4"/>
      <c r="Y154" s="4"/>
      <c r="Z154" s="4"/>
      <c r="AA154" s="4"/>
      <c r="AB154" s="4"/>
      <c r="AC154" s="4"/>
      <c r="AD154" s="4"/>
      <c r="AE154" s="4"/>
      <c r="AF154" s="4"/>
      <c r="AG154" s="4"/>
      <c r="AH154" s="4"/>
      <c r="AI154" s="4"/>
      <c r="AJ154" s="4"/>
      <c r="AK154" s="4"/>
      <c r="AL154" s="4"/>
      <c r="AM154" s="4"/>
      <c r="AN154" s="4"/>
      <c r="AO154" s="4"/>
      <c r="AP154" s="4"/>
      <c r="AQ154" s="4"/>
      <c r="AR154" s="4"/>
      <c r="AS154" s="4"/>
      <c r="AT154" s="4"/>
      <c r="AU154" s="4"/>
      <c r="AV154" s="4"/>
      <c r="AW154" s="4"/>
      <c r="AX154" s="4"/>
      <c r="AY154" s="4"/>
      <c r="AZ154" s="4"/>
      <c r="BA154" s="4"/>
      <c r="BB154" s="4"/>
      <c r="BC154" s="4"/>
      <c r="BD154" s="4"/>
      <c r="BE154" s="4"/>
      <c r="BF154" s="4"/>
      <c r="BG154" s="4"/>
      <c r="BH154" s="4"/>
      <c r="BI154" s="4"/>
      <c r="BJ154" s="4"/>
      <c r="BK154" s="4"/>
      <c r="BL154" s="4"/>
      <c r="BM154" s="4"/>
      <c r="BN154" s="4"/>
      <c r="BO154" s="4"/>
      <c r="BP154" s="4"/>
      <c r="BQ154" s="4"/>
      <c r="BR154" s="4"/>
      <c r="BS154" s="4"/>
      <c r="BT154" s="4"/>
      <c r="BU154" s="4"/>
      <c r="BV154" s="4"/>
      <c r="BW154" s="4"/>
      <c r="BX154" s="4"/>
      <c r="BY154" s="4"/>
      <c r="BZ154" s="4"/>
      <c r="CA154" s="4"/>
      <c r="CB154" s="4"/>
      <c r="CC154" s="4"/>
      <c r="CD154" s="4"/>
      <c r="CE154" s="4"/>
      <c r="CF154" s="4"/>
      <c r="CG154" s="4"/>
      <c r="CH154" s="4"/>
      <c r="CI154" s="4"/>
    </row>
    <row r="155" ht="14.25" customHeight="1" spans="1:87" x14ac:dyDescent="0.25">
      <c r="A155" s="4"/>
      <c r="B155" s="4"/>
      <c r="C155" s="4"/>
      <c r="D155" s="4"/>
      <c r="E155" s="4"/>
      <c r="F155" s="4"/>
      <c r="G155" s="4"/>
      <c r="H155" s="4"/>
      <c r="I155" s="4"/>
      <c r="J155" s="4"/>
      <c r="K155" s="242"/>
      <c r="L155" s="4"/>
      <c r="M155" s="4"/>
      <c r="N155" s="4"/>
      <c r="O155" s="4"/>
      <c r="P155" s="4"/>
      <c r="Q155" s="4"/>
      <c r="R155" s="4"/>
      <c r="S155" s="4"/>
      <c r="T155" s="4"/>
      <c r="U155" s="4"/>
      <c r="V155" s="4"/>
      <c r="W155" s="4"/>
      <c r="X155" s="4"/>
      <c r="Y155" s="4"/>
      <c r="Z155" s="4"/>
      <c r="AA155" s="4"/>
      <c r="AB155" s="4"/>
      <c r="AC155" s="4"/>
      <c r="AD155" s="4"/>
      <c r="AE155" s="4"/>
      <c r="AF155" s="4"/>
      <c r="AG155" s="4"/>
      <c r="AH155" s="4"/>
      <c r="AI155" s="4"/>
      <c r="AJ155" s="4"/>
      <c r="AK155" s="4"/>
      <c r="AL155" s="4"/>
      <c r="AM155" s="4"/>
      <c r="AN155" s="4"/>
      <c r="AO155" s="4"/>
      <c r="AP155" s="4"/>
      <c r="AQ155" s="4"/>
      <c r="AR155" s="4"/>
      <c r="AS155" s="4"/>
      <c r="AT155" s="4"/>
      <c r="AU155" s="4"/>
      <c r="AV155" s="4"/>
      <c r="AW155" s="4"/>
      <c r="AX155" s="4"/>
      <c r="AY155" s="4"/>
      <c r="AZ155" s="4"/>
      <c r="BA155" s="4"/>
      <c r="BB155" s="4"/>
      <c r="BC155" s="4"/>
      <c r="BD155" s="4"/>
      <c r="BE155" s="4"/>
      <c r="BF155" s="4"/>
      <c r="BG155" s="4"/>
      <c r="BH155" s="4"/>
      <c r="BI155" s="4"/>
      <c r="BJ155" s="4"/>
      <c r="BK155" s="4"/>
      <c r="BL155" s="4"/>
      <c r="BM155" s="4"/>
      <c r="BN155" s="4"/>
      <c r="BO155" s="4"/>
      <c r="BP155" s="4"/>
      <c r="BQ155" s="4"/>
      <c r="BR155" s="4"/>
      <c r="BS155" s="4"/>
      <c r="BT155" s="4"/>
      <c r="BU155" s="4"/>
      <c r="BV155" s="4"/>
      <c r="BW155" s="4"/>
      <c r="BX155" s="4"/>
      <c r="BY155" s="4"/>
      <c r="BZ155" s="4"/>
      <c r="CA155" s="4"/>
      <c r="CB155" s="4"/>
      <c r="CC155" s="4"/>
      <c r="CD155" s="4"/>
      <c r="CE155" s="4"/>
      <c r="CF155" s="4"/>
      <c r="CG155" s="4"/>
      <c r="CH155" s="4"/>
      <c r="CI155" s="4"/>
    </row>
    <row r="156" ht="14.25" customHeight="1" spans="1:87" x14ac:dyDescent="0.25">
      <c r="A156" s="4"/>
      <c r="B156" s="4"/>
      <c r="C156" s="4"/>
      <c r="D156" s="4"/>
      <c r="E156" s="4"/>
      <c r="F156" s="4"/>
      <c r="G156" s="4"/>
      <c r="H156" s="4"/>
      <c r="I156" s="4"/>
      <c r="J156" s="4"/>
      <c r="K156" s="242"/>
      <c r="L156" s="4"/>
      <c r="M156" s="4"/>
      <c r="N156" s="4"/>
      <c r="O156" s="4"/>
      <c r="P156" s="4"/>
      <c r="Q156" s="4"/>
      <c r="R156" s="4"/>
      <c r="S156" s="4"/>
      <c r="T156" s="4"/>
      <c r="U156" s="4"/>
      <c r="V156" s="4"/>
      <c r="W156" s="4"/>
      <c r="X156" s="4"/>
      <c r="Y156" s="4"/>
      <c r="Z156" s="4"/>
      <c r="AA156" s="4"/>
      <c r="AB156" s="4"/>
      <c r="AC156" s="4"/>
      <c r="AD156" s="4"/>
      <c r="AE156" s="4"/>
      <c r="AF156" s="4"/>
      <c r="AG156" s="4"/>
      <c r="AH156" s="4"/>
      <c r="AI156" s="4"/>
      <c r="AJ156" s="4"/>
      <c r="AK156" s="4"/>
      <c r="AL156" s="4"/>
      <c r="AM156" s="4"/>
      <c r="AN156" s="4"/>
      <c r="AO156" s="4"/>
      <c r="AP156" s="4"/>
      <c r="AQ156" s="4"/>
      <c r="AR156" s="4"/>
      <c r="AS156" s="4"/>
      <c r="AT156" s="4"/>
      <c r="AU156" s="4"/>
      <c r="AV156" s="4"/>
      <c r="AW156" s="4"/>
      <c r="AX156" s="4"/>
      <c r="AY156" s="4"/>
      <c r="AZ156" s="4"/>
      <c r="BA156" s="4"/>
      <c r="BB156" s="4"/>
      <c r="BC156" s="4"/>
      <c r="BD156" s="4"/>
      <c r="BE156" s="4"/>
      <c r="BF156" s="4"/>
      <c r="BG156" s="4"/>
      <c r="BH156" s="4"/>
      <c r="BI156" s="4"/>
      <c r="BJ156" s="4"/>
      <c r="BK156" s="4"/>
      <c r="BL156" s="4"/>
      <c r="BM156" s="4"/>
      <c r="BN156" s="4"/>
      <c r="BO156" s="4"/>
      <c r="BP156" s="4"/>
      <c r="BQ156" s="4"/>
      <c r="BR156" s="4"/>
      <c r="BS156" s="4"/>
      <c r="BT156" s="4"/>
      <c r="BU156" s="4"/>
      <c r="BV156" s="4"/>
      <c r="BW156" s="4"/>
      <c r="BX156" s="4"/>
      <c r="BY156" s="4"/>
      <c r="BZ156" s="4"/>
      <c r="CA156" s="4"/>
      <c r="CB156" s="4"/>
      <c r="CC156" s="4"/>
      <c r="CD156" s="4"/>
      <c r="CE156" s="4"/>
      <c r="CF156" s="4"/>
      <c r="CG156" s="4"/>
      <c r="CH156" s="4"/>
      <c r="CI156" s="4"/>
    </row>
    <row r="157" ht="14.25" customHeight="1" spans="1:87" x14ac:dyDescent="0.25">
      <c r="A157" s="4"/>
      <c r="B157" s="4"/>
      <c r="C157" s="4"/>
      <c r="D157" s="4"/>
      <c r="E157" s="4"/>
      <c r="F157" s="4"/>
      <c r="G157" s="4"/>
      <c r="H157" s="4"/>
      <c r="I157" s="4"/>
      <c r="J157" s="4"/>
      <c r="K157" s="242"/>
      <c r="L157" s="4"/>
      <c r="M157" s="4"/>
      <c r="N157" s="4"/>
      <c r="O157" s="4"/>
      <c r="P157" s="4"/>
      <c r="Q157" s="4"/>
      <c r="R157" s="4"/>
      <c r="S157" s="4"/>
      <c r="T157" s="4"/>
      <c r="U157" s="4"/>
      <c r="V157" s="4"/>
      <c r="W157" s="4"/>
      <c r="X157" s="4"/>
      <c r="Y157" s="4"/>
      <c r="Z157" s="4"/>
      <c r="AA157" s="4"/>
      <c r="AB157" s="4"/>
      <c r="AC157" s="4"/>
      <c r="AD157" s="4"/>
      <c r="AE157" s="4"/>
      <c r="AF157" s="4"/>
      <c r="AG157" s="4"/>
      <c r="AH157" s="4"/>
      <c r="AI157" s="4"/>
      <c r="AJ157" s="4"/>
      <c r="AK157" s="4"/>
      <c r="AL157" s="4"/>
      <c r="AM157" s="4"/>
      <c r="AN157" s="4"/>
      <c r="AO157" s="4"/>
      <c r="AP157" s="4"/>
      <c r="AQ157" s="4"/>
      <c r="AR157" s="4"/>
      <c r="AS157" s="4"/>
      <c r="AT157" s="4"/>
      <c r="AU157" s="4"/>
      <c r="AV157" s="4"/>
      <c r="AW157" s="4"/>
      <c r="AX157" s="4"/>
      <c r="AY157" s="4"/>
      <c r="AZ157" s="4"/>
      <c r="BA157" s="4"/>
      <c r="BB157" s="4"/>
      <c r="BC157" s="4"/>
      <c r="BD157" s="4"/>
      <c r="BE157" s="4"/>
      <c r="BF157" s="4"/>
      <c r="BG157" s="4"/>
      <c r="BH157" s="4"/>
      <c r="BI157" s="4"/>
      <c r="BJ157" s="4"/>
      <c r="BK157" s="4"/>
      <c r="BL157" s="4"/>
      <c r="BM157" s="4"/>
      <c r="BN157" s="4"/>
      <c r="BO157" s="4"/>
      <c r="BP157" s="4"/>
      <c r="BQ157" s="4"/>
      <c r="BR157" s="4"/>
      <c r="BS157" s="4"/>
      <c r="BT157" s="4"/>
      <c r="BU157" s="4"/>
      <c r="BV157" s="4"/>
      <c r="BW157" s="4"/>
      <c r="BX157" s="4"/>
      <c r="BY157" s="4"/>
      <c r="BZ157" s="4"/>
      <c r="CA157" s="4"/>
      <c r="CB157" s="4"/>
      <c r="CC157" s="4"/>
      <c r="CD157" s="4"/>
      <c r="CE157" s="4"/>
      <c r="CF157" s="4"/>
      <c r="CG157" s="4"/>
      <c r="CH157" s="4"/>
      <c r="CI157" s="4"/>
    </row>
    <row r="158" ht="14.25" customHeight="1" spans="1:87" x14ac:dyDescent="0.25">
      <c r="A158" s="4"/>
      <c r="B158" s="4"/>
      <c r="C158" s="4"/>
      <c r="D158" s="4"/>
      <c r="E158" s="4"/>
      <c r="F158" s="4"/>
      <c r="G158" s="4"/>
      <c r="H158" s="4"/>
      <c r="I158" s="4"/>
      <c r="J158" s="4"/>
      <c r="K158" s="242"/>
      <c r="L158" s="4"/>
      <c r="M158" s="4"/>
      <c r="N158" s="4"/>
      <c r="O158" s="4"/>
      <c r="P158" s="4"/>
      <c r="Q158" s="4"/>
      <c r="R158" s="4"/>
      <c r="S158" s="4"/>
      <c r="T158" s="4"/>
      <c r="U158" s="4"/>
      <c r="V158" s="4"/>
      <c r="W158" s="4"/>
      <c r="X158" s="4"/>
      <c r="Y158" s="4"/>
      <c r="Z158" s="4"/>
      <c r="AA158" s="4"/>
      <c r="AB158" s="4"/>
      <c r="AC158" s="4"/>
      <c r="AD158" s="4"/>
      <c r="AE158" s="4"/>
      <c r="AF158" s="4"/>
      <c r="AG158" s="4"/>
      <c r="AH158" s="4"/>
      <c r="AI158" s="4"/>
      <c r="AJ158" s="4"/>
      <c r="AK158" s="4"/>
      <c r="AL158" s="4"/>
      <c r="AM158" s="4"/>
      <c r="AN158" s="4"/>
      <c r="AO158" s="4"/>
      <c r="AP158" s="4"/>
      <c r="AQ158" s="4"/>
      <c r="AR158" s="4"/>
      <c r="AS158" s="4"/>
      <c r="AT158" s="4"/>
      <c r="AU158" s="4"/>
      <c r="AV158" s="4"/>
      <c r="AW158" s="4"/>
      <c r="AX158" s="4"/>
      <c r="AY158" s="4"/>
      <c r="AZ158" s="4"/>
      <c r="BA158" s="4"/>
      <c r="BB158" s="4"/>
      <c r="BC158" s="4"/>
      <c r="BD158" s="4"/>
      <c r="BE158" s="4"/>
      <c r="BF158" s="4"/>
      <c r="BG158" s="4"/>
      <c r="BH158" s="4"/>
      <c r="BI158" s="4"/>
      <c r="BJ158" s="4"/>
      <c r="BK158" s="4"/>
      <c r="BL158" s="4"/>
      <c r="BM158" s="4"/>
      <c r="BN158" s="4"/>
      <c r="BO158" s="4"/>
      <c r="BP158" s="4"/>
      <c r="BQ158" s="4"/>
      <c r="BR158" s="4"/>
      <c r="BS158" s="4"/>
      <c r="BT158" s="4"/>
      <c r="BU158" s="4"/>
      <c r="BV158" s="4"/>
      <c r="BW158" s="4"/>
      <c r="BX158" s="4"/>
      <c r="BY158" s="4"/>
      <c r="BZ158" s="4"/>
      <c r="CA158" s="4"/>
      <c r="CB158" s="4"/>
      <c r="CC158" s="4"/>
      <c r="CD158" s="4"/>
      <c r="CE158" s="4"/>
      <c r="CF158" s="4"/>
      <c r="CG158" s="4"/>
      <c r="CH158" s="4"/>
      <c r="CI158" s="4"/>
    </row>
    <row r="159" ht="14.25" customHeight="1" spans="1:87" x14ac:dyDescent="0.25">
      <c r="A159" s="4"/>
      <c r="B159" s="4"/>
      <c r="C159" s="4"/>
      <c r="D159" s="4"/>
      <c r="E159" s="4"/>
      <c r="F159" s="4"/>
      <c r="G159" s="4"/>
      <c r="H159" s="4"/>
      <c r="I159" s="4"/>
      <c r="J159" s="4"/>
      <c r="K159" s="242"/>
      <c r="L159" s="4"/>
      <c r="M159" s="4"/>
      <c r="N159" s="4"/>
      <c r="O159" s="4"/>
      <c r="P159" s="4"/>
      <c r="Q159" s="4"/>
      <c r="R159" s="4"/>
      <c r="S159" s="4"/>
      <c r="T159" s="4"/>
      <c r="U159" s="4"/>
      <c r="V159" s="4"/>
      <c r="W159" s="4"/>
      <c r="X159" s="4"/>
      <c r="Y159" s="4"/>
      <c r="Z159" s="4"/>
      <c r="AA159" s="4"/>
      <c r="AB159" s="4"/>
      <c r="AC159" s="4"/>
      <c r="AD159" s="4"/>
      <c r="AE159" s="4"/>
      <c r="AF159" s="4"/>
      <c r="AG159" s="4"/>
      <c r="AH159" s="4"/>
      <c r="AI159" s="4"/>
      <c r="AJ159" s="4"/>
      <c r="AK159" s="4"/>
      <c r="AL159" s="4"/>
      <c r="AM159" s="4"/>
      <c r="AN159" s="4"/>
      <c r="AO159" s="4"/>
      <c r="AP159" s="4"/>
      <c r="AQ159" s="4"/>
      <c r="AR159" s="4"/>
      <c r="AS159" s="4"/>
      <c r="AT159" s="4"/>
      <c r="AU159" s="4"/>
      <c r="AV159" s="4"/>
      <c r="AW159" s="4"/>
      <c r="AX159" s="4"/>
      <c r="AY159" s="4"/>
      <c r="AZ159" s="4"/>
      <c r="BA159" s="4"/>
      <c r="BB159" s="4"/>
      <c r="BC159" s="4"/>
      <c r="BD159" s="4"/>
      <c r="BE159" s="4"/>
      <c r="BF159" s="4"/>
      <c r="BG159" s="4"/>
      <c r="BH159" s="4"/>
      <c r="BI159" s="4"/>
      <c r="BJ159" s="4"/>
      <c r="BK159" s="4"/>
      <c r="BL159" s="4"/>
      <c r="BM159" s="4"/>
      <c r="BN159" s="4"/>
      <c r="BO159" s="4"/>
      <c r="BP159" s="4"/>
      <c r="BQ159" s="4"/>
      <c r="BR159" s="4"/>
      <c r="BS159" s="4"/>
      <c r="BT159" s="4"/>
      <c r="BU159" s="4"/>
      <c r="BV159" s="4"/>
      <c r="BW159" s="4"/>
      <c r="BX159" s="4"/>
      <c r="BY159" s="4"/>
      <c r="BZ159" s="4"/>
      <c r="CA159" s="4"/>
      <c r="CB159" s="4"/>
      <c r="CC159" s="4"/>
      <c r="CD159" s="4"/>
      <c r="CE159" s="4"/>
      <c r="CF159" s="4"/>
      <c r="CG159" s="4"/>
      <c r="CH159" s="4"/>
      <c r="CI159" s="4"/>
    </row>
    <row r="160" ht="14.25" customHeight="1" spans="1:87" x14ac:dyDescent="0.25">
      <c r="A160" s="4"/>
      <c r="B160" s="4"/>
      <c r="C160" s="4"/>
      <c r="D160" s="4"/>
      <c r="E160" s="4"/>
      <c r="F160" s="4"/>
      <c r="G160" s="4"/>
      <c r="H160" s="4"/>
      <c r="I160" s="4"/>
      <c r="J160" s="4"/>
      <c r="K160" s="242"/>
      <c r="L160" s="4"/>
      <c r="M160" s="4"/>
      <c r="N160" s="4"/>
      <c r="O160" s="4"/>
      <c r="P160" s="4"/>
      <c r="Q160" s="4"/>
      <c r="R160" s="4"/>
      <c r="S160" s="4"/>
      <c r="T160" s="4"/>
      <c r="U160" s="4"/>
      <c r="V160" s="4"/>
      <c r="W160" s="4"/>
      <c r="X160" s="4"/>
      <c r="Y160" s="4"/>
      <c r="Z160" s="4"/>
      <c r="AA160" s="4"/>
      <c r="AB160" s="4"/>
      <c r="AC160" s="4"/>
      <c r="AD160" s="4"/>
      <c r="AE160" s="4"/>
      <c r="AF160" s="4"/>
      <c r="AG160" s="4"/>
      <c r="AH160" s="4"/>
      <c r="AI160" s="4"/>
      <c r="AJ160" s="4"/>
      <c r="AK160" s="4"/>
      <c r="AL160" s="4"/>
      <c r="AM160" s="4"/>
      <c r="AN160" s="4"/>
      <c r="AO160" s="4"/>
      <c r="AP160" s="4"/>
      <c r="AQ160" s="4"/>
      <c r="AR160" s="4"/>
      <c r="AS160" s="4"/>
      <c r="AT160" s="4"/>
      <c r="AU160" s="4"/>
      <c r="AV160" s="4"/>
      <c r="AW160" s="4"/>
      <c r="AX160" s="4"/>
      <c r="AY160" s="4"/>
      <c r="AZ160" s="4"/>
      <c r="BA160" s="4"/>
      <c r="BB160" s="4"/>
      <c r="BC160" s="4"/>
      <c r="BD160" s="4"/>
      <c r="BE160" s="4"/>
      <c r="BF160" s="4"/>
      <c r="BG160" s="4"/>
      <c r="BH160" s="4"/>
      <c r="BI160" s="4"/>
      <c r="BJ160" s="4"/>
      <c r="BK160" s="4"/>
      <c r="BL160" s="4"/>
      <c r="BM160" s="4"/>
      <c r="BN160" s="4"/>
      <c r="BO160" s="4"/>
      <c r="BP160" s="4"/>
      <c r="BQ160" s="4"/>
      <c r="BR160" s="4"/>
      <c r="BS160" s="4"/>
      <c r="BT160" s="4"/>
      <c r="BU160" s="4"/>
      <c r="BV160" s="4"/>
      <c r="BW160" s="4"/>
      <c r="BX160" s="4"/>
      <c r="BY160" s="4"/>
      <c r="BZ160" s="4"/>
      <c r="CA160" s="4"/>
      <c r="CB160" s="4"/>
      <c r="CC160" s="4"/>
      <c r="CD160" s="4"/>
      <c r="CE160" s="4"/>
      <c r="CF160" s="4"/>
      <c r="CG160" s="4"/>
      <c r="CH160" s="4"/>
      <c r="CI160" s="4"/>
    </row>
    <row r="161" ht="14.25" customHeight="1" spans="1:87" x14ac:dyDescent="0.25">
      <c r="A161" s="4"/>
      <c r="B161" s="4"/>
      <c r="C161" s="4"/>
      <c r="D161" s="4"/>
      <c r="E161" s="4"/>
      <c r="F161" s="4"/>
      <c r="G161" s="4"/>
      <c r="H161" s="4"/>
      <c r="I161" s="4"/>
      <c r="J161" s="4"/>
      <c r="K161" s="242"/>
      <c r="L161" s="4"/>
      <c r="M161" s="4"/>
      <c r="N161" s="4"/>
      <c r="O161" s="4"/>
      <c r="P161" s="4"/>
      <c r="Q161" s="4"/>
      <c r="R161" s="4"/>
      <c r="S161" s="4"/>
      <c r="T161" s="4"/>
      <c r="U161" s="4"/>
      <c r="V161" s="4"/>
      <c r="W161" s="4"/>
      <c r="X161" s="4"/>
      <c r="Y161" s="4"/>
      <c r="Z161" s="4"/>
      <c r="AA161" s="4"/>
      <c r="AB161" s="4"/>
      <c r="AC161" s="4"/>
      <c r="AD161" s="4"/>
      <c r="AE161" s="4"/>
      <c r="AF161" s="4"/>
      <c r="AG161" s="4"/>
      <c r="AH161" s="4"/>
      <c r="AI161" s="4"/>
      <c r="AJ161" s="4"/>
      <c r="AK161" s="4"/>
      <c r="AL161" s="4"/>
      <c r="AM161" s="4"/>
      <c r="AN161" s="4"/>
      <c r="AO161" s="4"/>
      <c r="AP161" s="4"/>
      <c r="AQ161" s="4"/>
      <c r="AR161" s="4"/>
      <c r="AS161" s="4"/>
      <c r="AT161" s="4"/>
      <c r="AU161" s="4"/>
      <c r="AV161" s="4"/>
      <c r="AW161" s="4"/>
      <c r="AX161" s="4"/>
      <c r="AY161" s="4"/>
      <c r="AZ161" s="4"/>
      <c r="BA161" s="4"/>
      <c r="BB161" s="4"/>
      <c r="BC161" s="4"/>
      <c r="BD161" s="4"/>
      <c r="BE161" s="4"/>
      <c r="BF161" s="4"/>
      <c r="BG161" s="4"/>
      <c r="BH161" s="4"/>
      <c r="BI161" s="4"/>
      <c r="BJ161" s="4"/>
      <c r="BK161" s="4"/>
      <c r="BL161" s="4"/>
      <c r="BM161" s="4"/>
      <c r="BN161" s="4"/>
      <c r="BO161" s="4"/>
      <c r="BP161" s="4"/>
      <c r="BQ161" s="4"/>
      <c r="BR161" s="4"/>
      <c r="BS161" s="4"/>
      <c r="BT161" s="4"/>
      <c r="BU161" s="4"/>
      <c r="BV161" s="4"/>
      <c r="BW161" s="4"/>
      <c r="BX161" s="4"/>
      <c r="BY161" s="4"/>
      <c r="BZ161" s="4"/>
      <c r="CA161" s="4"/>
      <c r="CB161" s="4"/>
      <c r="CC161" s="4"/>
      <c r="CD161" s="4"/>
      <c r="CE161" s="4"/>
      <c r="CF161" s="4"/>
      <c r="CG161" s="4"/>
      <c r="CH161" s="4"/>
      <c r="CI161" s="4"/>
    </row>
    <row r="162" ht="14.25" customHeight="1" spans="1:87" x14ac:dyDescent="0.25">
      <c r="A162" s="4"/>
      <c r="B162" s="4"/>
      <c r="C162" s="4"/>
      <c r="D162" s="4"/>
      <c r="E162" s="4"/>
      <c r="F162" s="4"/>
      <c r="G162" s="4"/>
      <c r="H162" s="4"/>
      <c r="I162" s="4"/>
      <c r="J162" s="4"/>
      <c r="K162" s="242"/>
      <c r="L162" s="4"/>
      <c r="M162" s="4"/>
      <c r="N162" s="4"/>
      <c r="O162" s="4"/>
      <c r="P162" s="4"/>
      <c r="Q162" s="4"/>
      <c r="R162" s="4"/>
      <c r="S162" s="4"/>
      <c r="T162" s="4"/>
      <c r="U162" s="4"/>
      <c r="V162" s="4"/>
      <c r="W162" s="4"/>
      <c r="X162" s="4"/>
      <c r="Y162" s="4"/>
      <c r="Z162" s="4"/>
      <c r="AA162" s="4"/>
      <c r="AB162" s="4"/>
      <c r="AC162" s="4"/>
      <c r="AD162" s="4"/>
      <c r="AE162" s="4"/>
      <c r="AF162" s="4"/>
      <c r="AG162" s="4"/>
      <c r="AH162" s="4"/>
      <c r="AI162" s="4"/>
      <c r="AJ162" s="4"/>
      <c r="AK162" s="4"/>
      <c r="AL162" s="4"/>
      <c r="AM162" s="4"/>
      <c r="AN162" s="4"/>
      <c r="AO162" s="4"/>
      <c r="AP162" s="4"/>
      <c r="AQ162" s="4"/>
      <c r="AR162" s="4"/>
      <c r="AS162" s="4"/>
      <c r="AT162" s="4"/>
      <c r="AU162" s="4"/>
      <c r="AV162" s="4"/>
      <c r="AW162" s="4"/>
      <c r="AX162" s="4"/>
      <c r="AY162" s="4"/>
      <c r="AZ162" s="4"/>
      <c r="BA162" s="4"/>
      <c r="BB162" s="4"/>
      <c r="BC162" s="4"/>
      <c r="BD162" s="4"/>
      <c r="BE162" s="4"/>
      <c r="BF162" s="4"/>
      <c r="BG162" s="4"/>
      <c r="BH162" s="4"/>
      <c r="BI162" s="4"/>
      <c r="BJ162" s="4"/>
      <c r="BK162" s="4"/>
      <c r="BL162" s="4"/>
      <c r="BM162" s="4"/>
      <c r="BN162" s="4"/>
      <c r="BO162" s="4"/>
      <c r="BP162" s="4"/>
      <c r="BQ162" s="4"/>
      <c r="BR162" s="4"/>
      <c r="BS162" s="4"/>
      <c r="BT162" s="4"/>
      <c r="BU162" s="4"/>
      <c r="BV162" s="4"/>
      <c r="BW162" s="4"/>
      <c r="BX162" s="4"/>
      <c r="BY162" s="4"/>
      <c r="BZ162" s="4"/>
      <c r="CA162" s="4"/>
      <c r="CB162" s="4"/>
      <c r="CC162" s="4"/>
      <c r="CD162" s="4"/>
      <c r="CE162" s="4"/>
      <c r="CF162" s="4"/>
      <c r="CG162" s="4"/>
      <c r="CH162" s="4"/>
      <c r="CI162" s="4"/>
    </row>
    <row r="163" ht="14.25" customHeight="1" spans="1:87" x14ac:dyDescent="0.25">
      <c r="A163" s="4"/>
      <c r="B163" s="4"/>
      <c r="C163" s="4"/>
      <c r="D163" s="4"/>
      <c r="E163" s="4"/>
      <c r="F163" s="4"/>
      <c r="G163" s="4"/>
      <c r="H163" s="4"/>
      <c r="I163" s="4"/>
      <c r="J163" s="4"/>
      <c r="K163" s="242"/>
      <c r="L163" s="4"/>
      <c r="M163" s="4"/>
      <c r="N163" s="4"/>
      <c r="O163" s="4"/>
      <c r="P163" s="4"/>
      <c r="Q163" s="4"/>
      <c r="R163" s="4"/>
      <c r="S163" s="4"/>
      <c r="T163" s="4"/>
      <c r="U163" s="4"/>
      <c r="V163" s="4"/>
      <c r="W163" s="4"/>
      <c r="X163" s="4"/>
      <c r="Y163" s="4"/>
      <c r="Z163" s="4"/>
      <c r="AA163" s="4"/>
      <c r="AB163" s="4"/>
      <c r="AC163" s="4"/>
      <c r="AD163" s="4"/>
      <c r="AE163" s="4"/>
      <c r="AF163" s="4"/>
      <c r="AG163" s="4"/>
      <c r="AH163" s="4"/>
      <c r="AI163" s="4"/>
      <c r="AJ163" s="4"/>
      <c r="AK163" s="4"/>
      <c r="AL163" s="4"/>
      <c r="AM163" s="4"/>
      <c r="AN163" s="4"/>
      <c r="AO163" s="4"/>
      <c r="AP163" s="4"/>
      <c r="AQ163" s="4"/>
      <c r="AR163" s="4"/>
      <c r="AS163" s="4"/>
      <c r="AT163" s="4"/>
      <c r="AU163" s="4"/>
      <c r="AV163" s="4"/>
      <c r="AW163" s="4"/>
      <c r="AX163" s="4"/>
      <c r="AY163" s="4"/>
      <c r="AZ163" s="4"/>
      <c r="BA163" s="4"/>
      <c r="BB163" s="4"/>
      <c r="BC163" s="4"/>
      <c r="BD163" s="4"/>
      <c r="BE163" s="4"/>
      <c r="BF163" s="4"/>
      <c r="BG163" s="4"/>
      <c r="BH163" s="4"/>
      <c r="BI163" s="4"/>
      <c r="BJ163" s="4"/>
      <c r="BK163" s="4"/>
      <c r="BL163" s="4"/>
      <c r="BM163" s="4"/>
      <c r="BN163" s="4"/>
      <c r="BO163" s="4"/>
      <c r="BP163" s="4"/>
      <c r="BQ163" s="4"/>
      <c r="BR163" s="4"/>
      <c r="BS163" s="4"/>
      <c r="BT163" s="4"/>
      <c r="BU163" s="4"/>
      <c r="BV163" s="4"/>
      <c r="BW163" s="4"/>
      <c r="BX163" s="4"/>
      <c r="BY163" s="4"/>
      <c r="BZ163" s="4"/>
      <c r="CA163" s="4"/>
      <c r="CB163" s="4"/>
      <c r="CC163" s="4"/>
      <c r="CD163" s="4"/>
      <c r="CE163" s="4"/>
      <c r="CF163" s="4"/>
      <c r="CG163" s="4"/>
      <c r="CH163" s="4"/>
      <c r="CI163" s="4"/>
    </row>
    <row r="164" ht="14.25" customHeight="1" spans="1:87" x14ac:dyDescent="0.25">
      <c r="A164" s="4"/>
      <c r="B164" s="4"/>
      <c r="C164" s="4"/>
      <c r="D164" s="4"/>
      <c r="E164" s="4"/>
      <c r="F164" s="4"/>
      <c r="G164" s="4"/>
      <c r="H164" s="4"/>
      <c r="I164" s="4"/>
      <c r="J164" s="4"/>
      <c r="K164" s="242"/>
      <c r="L164" s="4"/>
      <c r="M164" s="4"/>
      <c r="N164" s="4"/>
      <c r="O164" s="4"/>
      <c r="P164" s="4"/>
      <c r="Q164" s="4"/>
      <c r="R164" s="4"/>
      <c r="S164" s="4"/>
      <c r="T164" s="4"/>
      <c r="U164" s="4"/>
      <c r="V164" s="4"/>
      <c r="W164" s="4"/>
      <c r="X164" s="4"/>
      <c r="Y164" s="4"/>
      <c r="Z164" s="4"/>
      <c r="AA164" s="4"/>
      <c r="AB164" s="4"/>
      <c r="AC164" s="4"/>
      <c r="AD164" s="4"/>
      <c r="AE164" s="4"/>
      <c r="AF164" s="4"/>
      <c r="AG164" s="4"/>
      <c r="AH164" s="4"/>
      <c r="AI164" s="4"/>
      <c r="AJ164" s="4"/>
      <c r="AK164" s="4"/>
      <c r="AL164" s="4"/>
      <c r="AM164" s="4"/>
      <c r="AN164" s="4"/>
      <c r="AO164" s="4"/>
      <c r="AP164" s="4"/>
      <c r="AQ164" s="4"/>
      <c r="AR164" s="4"/>
      <c r="AS164" s="4"/>
      <c r="AT164" s="4"/>
      <c r="AU164" s="4"/>
      <c r="AV164" s="4"/>
      <c r="AW164" s="4"/>
      <c r="AX164" s="4"/>
      <c r="AY164" s="4"/>
      <c r="AZ164" s="4"/>
      <c r="BA164" s="4"/>
      <c r="BB164" s="4"/>
      <c r="BC164" s="4"/>
      <c r="BD164" s="4"/>
      <c r="BE164" s="4"/>
      <c r="BF164" s="4"/>
      <c r="BG164" s="4"/>
      <c r="BH164" s="4"/>
      <c r="BI164" s="4"/>
      <c r="BJ164" s="4"/>
      <c r="BK164" s="4"/>
      <c r="BL164" s="4"/>
      <c r="BM164" s="4"/>
      <c r="BN164" s="4"/>
      <c r="BO164" s="4"/>
      <c r="BP164" s="4"/>
      <c r="BQ164" s="4"/>
      <c r="BR164" s="4"/>
      <c r="BS164" s="4"/>
      <c r="BT164" s="4"/>
      <c r="BU164" s="4"/>
      <c r="BV164" s="4"/>
      <c r="BW164" s="4"/>
      <c r="BX164" s="4"/>
      <c r="BY164" s="4"/>
      <c r="BZ164" s="4"/>
      <c r="CA164" s="4"/>
      <c r="CB164" s="4"/>
      <c r="CC164" s="4"/>
      <c r="CD164" s="4"/>
      <c r="CE164" s="4"/>
      <c r="CF164" s="4"/>
      <c r="CG164" s="4"/>
      <c r="CH164" s="4"/>
      <c r="CI164" s="4"/>
    </row>
    <row r="165" ht="14.25" customHeight="1" spans="1:87" x14ac:dyDescent="0.25">
      <c r="A165" s="4"/>
      <c r="B165" s="4"/>
      <c r="C165" s="4"/>
      <c r="D165" s="4"/>
      <c r="E165" s="4"/>
      <c r="F165" s="4"/>
      <c r="G165" s="4"/>
      <c r="H165" s="4"/>
      <c r="I165" s="4"/>
      <c r="J165" s="4"/>
      <c r="K165" s="242"/>
      <c r="L165" s="4"/>
      <c r="M165" s="4"/>
      <c r="N165" s="4"/>
      <c r="O165" s="4"/>
      <c r="P165" s="4"/>
      <c r="Q165" s="4"/>
      <c r="R165" s="4"/>
      <c r="S165" s="4"/>
      <c r="T165" s="4"/>
      <c r="U165" s="4"/>
      <c r="V165" s="4"/>
      <c r="W165" s="4"/>
      <c r="X165" s="4"/>
      <c r="Y165" s="4"/>
      <c r="Z165" s="4"/>
      <c r="AA165" s="4"/>
      <c r="AB165" s="4"/>
      <c r="AC165" s="4"/>
      <c r="AD165" s="4"/>
      <c r="AE165" s="4"/>
      <c r="AF165" s="4"/>
      <c r="AG165" s="4"/>
      <c r="AH165" s="4"/>
      <c r="AI165" s="4"/>
      <c r="AJ165" s="4"/>
      <c r="AK165" s="4"/>
      <c r="AL165" s="4"/>
      <c r="AM165" s="4"/>
      <c r="AN165" s="4"/>
      <c r="AO165" s="4"/>
      <c r="AP165" s="4"/>
      <c r="AQ165" s="4"/>
      <c r="AR165" s="4"/>
      <c r="AS165" s="4"/>
      <c r="AT165" s="4"/>
      <c r="AU165" s="4"/>
      <c r="AV165" s="4"/>
      <c r="AW165" s="4"/>
      <c r="AX165" s="4"/>
      <c r="AY165" s="4"/>
      <c r="AZ165" s="4"/>
      <c r="BA165" s="4"/>
      <c r="BB165" s="4"/>
      <c r="BC165" s="4"/>
      <c r="BD165" s="4"/>
      <c r="BE165" s="4"/>
      <c r="BF165" s="4"/>
      <c r="BG165" s="4"/>
      <c r="BH165" s="4"/>
      <c r="BI165" s="4"/>
      <c r="BJ165" s="4"/>
      <c r="BK165" s="4"/>
      <c r="BL165" s="4"/>
      <c r="BM165" s="4"/>
      <c r="BN165" s="4"/>
      <c r="BO165" s="4"/>
      <c r="BP165" s="4"/>
      <c r="BQ165" s="4"/>
      <c r="BR165" s="4"/>
      <c r="BS165" s="4"/>
      <c r="BT165" s="4"/>
      <c r="BU165" s="4"/>
      <c r="BV165" s="4"/>
      <c r="BW165" s="4"/>
      <c r="BX165" s="4"/>
      <c r="BY165" s="4"/>
      <c r="BZ165" s="4"/>
      <c r="CA165" s="4"/>
      <c r="CB165" s="4"/>
      <c r="CC165" s="4"/>
      <c r="CD165" s="4"/>
      <c r="CE165" s="4"/>
      <c r="CF165" s="4"/>
      <c r="CG165" s="4"/>
      <c r="CH165" s="4"/>
      <c r="CI165" s="4"/>
    </row>
    <row r="166" ht="14.25" customHeight="1" spans="1:87" x14ac:dyDescent="0.25">
      <c r="A166" s="4"/>
      <c r="B166" s="4"/>
      <c r="C166" s="4"/>
      <c r="D166" s="4"/>
      <c r="E166" s="4"/>
      <c r="F166" s="4"/>
      <c r="G166" s="4"/>
      <c r="H166" s="4"/>
      <c r="I166" s="4"/>
      <c r="J166" s="4"/>
      <c r="K166" s="242"/>
      <c r="L166" s="4"/>
      <c r="M166" s="4"/>
      <c r="N166" s="4"/>
      <c r="O166" s="4"/>
      <c r="P166" s="4"/>
      <c r="Q166" s="4"/>
      <c r="R166" s="4"/>
      <c r="S166" s="4"/>
      <c r="T166" s="4"/>
      <c r="U166" s="4"/>
      <c r="V166" s="4"/>
      <c r="W166" s="4"/>
      <c r="X166" s="4"/>
      <c r="Y166" s="4"/>
      <c r="Z166" s="4"/>
      <c r="AA166" s="4"/>
      <c r="AB166" s="4"/>
      <c r="AC166" s="4"/>
      <c r="AD166" s="4"/>
      <c r="AE166" s="4"/>
      <c r="AF166" s="4"/>
      <c r="AG166" s="4"/>
      <c r="AH166" s="4"/>
      <c r="AI166" s="4"/>
      <c r="AJ166" s="4"/>
      <c r="AK166" s="4"/>
      <c r="AL166" s="4"/>
      <c r="AM166" s="4"/>
      <c r="AN166" s="4"/>
      <c r="AO166" s="4"/>
      <c r="AP166" s="4"/>
      <c r="AQ166" s="4"/>
      <c r="AR166" s="4"/>
      <c r="AS166" s="4"/>
      <c r="AT166" s="4"/>
      <c r="AU166" s="4"/>
      <c r="AV166" s="4"/>
      <c r="AW166" s="4"/>
      <c r="AX166" s="4"/>
      <c r="AY166" s="4"/>
      <c r="AZ166" s="4"/>
      <c r="BA166" s="4"/>
      <c r="BB166" s="4"/>
      <c r="BC166" s="4"/>
      <c r="BD166" s="4"/>
      <c r="BE166" s="4"/>
      <c r="BF166" s="4"/>
      <c r="BG166" s="4"/>
      <c r="BH166" s="4"/>
      <c r="BI166" s="4"/>
      <c r="BJ166" s="4"/>
      <c r="BK166" s="4"/>
      <c r="BL166" s="4"/>
      <c r="BM166" s="4"/>
      <c r="BN166" s="4"/>
      <c r="BO166" s="4"/>
      <c r="BP166" s="4"/>
      <c r="BQ166" s="4"/>
      <c r="BR166" s="4"/>
      <c r="BS166" s="4"/>
      <c r="BT166" s="4"/>
      <c r="BU166" s="4"/>
      <c r="BV166" s="4"/>
      <c r="BW166" s="4"/>
      <c r="BX166" s="4"/>
      <c r="BY166" s="4"/>
      <c r="BZ166" s="4"/>
      <c r="CA166" s="4"/>
      <c r="CB166" s="4"/>
      <c r="CC166" s="4"/>
      <c r="CD166" s="4"/>
      <c r="CE166" s="4"/>
      <c r="CF166" s="4"/>
      <c r="CG166" s="4"/>
      <c r="CH166" s="4"/>
      <c r="CI166" s="4"/>
    </row>
    <row r="167" ht="14.25" customHeight="1" spans="1:87" x14ac:dyDescent="0.25">
      <c r="A167" s="4"/>
      <c r="B167" s="4"/>
      <c r="C167" s="4"/>
      <c r="D167" s="4"/>
      <c r="E167" s="4"/>
      <c r="F167" s="4"/>
      <c r="G167" s="4"/>
      <c r="H167" s="4"/>
      <c r="I167" s="4"/>
      <c r="J167" s="4"/>
      <c r="K167" s="242"/>
      <c r="L167" s="4"/>
      <c r="M167" s="4"/>
      <c r="N167" s="4"/>
      <c r="O167" s="4"/>
      <c r="P167" s="4"/>
      <c r="Q167" s="4"/>
      <c r="R167" s="4"/>
      <c r="S167" s="4"/>
      <c r="T167" s="4"/>
      <c r="U167" s="4"/>
      <c r="V167" s="4"/>
      <c r="W167" s="4"/>
      <c r="X167" s="4"/>
      <c r="Y167" s="4"/>
      <c r="Z167" s="4"/>
      <c r="AA167" s="4"/>
      <c r="AB167" s="4"/>
      <c r="AC167" s="4"/>
      <c r="AD167" s="4"/>
      <c r="AE167" s="4"/>
      <c r="AF167" s="4"/>
      <c r="AG167" s="4"/>
      <c r="AH167" s="4"/>
      <c r="AI167" s="4"/>
      <c r="AJ167" s="4"/>
      <c r="AK167" s="4"/>
      <c r="AL167" s="4"/>
      <c r="AM167" s="4"/>
      <c r="AN167" s="4"/>
      <c r="AO167" s="4"/>
      <c r="AP167" s="4"/>
      <c r="AQ167" s="4"/>
      <c r="AR167" s="4"/>
      <c r="AS167" s="4"/>
      <c r="AT167" s="4"/>
      <c r="AU167" s="4"/>
      <c r="AV167" s="4"/>
      <c r="AW167" s="4"/>
      <c r="AX167" s="4"/>
      <c r="AY167" s="4"/>
      <c r="AZ167" s="4"/>
      <c r="BA167" s="4"/>
      <c r="BB167" s="4"/>
      <c r="BC167" s="4"/>
      <c r="BD167" s="4"/>
      <c r="BE167" s="4"/>
      <c r="BF167" s="4"/>
      <c r="BG167" s="4"/>
      <c r="BH167" s="4"/>
      <c r="BI167" s="4"/>
      <c r="BJ167" s="4"/>
      <c r="BK167" s="4"/>
      <c r="BL167" s="4"/>
      <c r="BM167" s="4"/>
      <c r="BN167" s="4"/>
      <c r="BO167" s="4"/>
      <c r="BP167" s="4"/>
      <c r="BQ167" s="4"/>
      <c r="BR167" s="4"/>
      <c r="BS167" s="4"/>
      <c r="BT167" s="4"/>
      <c r="BU167" s="4"/>
      <c r="BV167" s="4"/>
      <c r="BW167" s="4"/>
      <c r="BX167" s="4"/>
      <c r="BY167" s="4"/>
      <c r="BZ167" s="4"/>
      <c r="CA167" s="4"/>
      <c r="CB167" s="4"/>
      <c r="CC167" s="4"/>
      <c r="CD167" s="4"/>
      <c r="CE167" s="4"/>
      <c r="CF167" s="4"/>
      <c r="CG167" s="4"/>
      <c r="CH167" s="4"/>
      <c r="CI167" s="4"/>
    </row>
    <row r="168" ht="14.25" customHeight="1" spans="1:87" x14ac:dyDescent="0.25">
      <c r="A168" s="4"/>
      <c r="B168" s="4"/>
      <c r="C168" s="4"/>
      <c r="D168" s="4"/>
      <c r="E168" s="4"/>
      <c r="F168" s="4"/>
      <c r="G168" s="4"/>
      <c r="H168" s="4"/>
      <c r="I168" s="4"/>
      <c r="J168" s="4"/>
      <c r="K168" s="242"/>
      <c r="L168" s="4"/>
      <c r="M168" s="4"/>
      <c r="N168" s="4"/>
      <c r="O168" s="4"/>
      <c r="P168" s="4"/>
      <c r="Q168" s="4"/>
      <c r="R168" s="4"/>
      <c r="S168" s="4"/>
      <c r="T168" s="4"/>
      <c r="U168" s="4"/>
      <c r="V168" s="4"/>
      <c r="W168" s="4"/>
      <c r="X168" s="4"/>
      <c r="Y168" s="4"/>
      <c r="Z168" s="4"/>
      <c r="AA168" s="4"/>
      <c r="AB168" s="4"/>
      <c r="AC168" s="4"/>
      <c r="AD168" s="4"/>
      <c r="AE168" s="4"/>
      <c r="AF168" s="4"/>
      <c r="AG168" s="4"/>
      <c r="AH168" s="4"/>
      <c r="AI168" s="4"/>
      <c r="AJ168" s="4"/>
      <c r="AK168" s="4"/>
      <c r="AL168" s="4"/>
      <c r="AM168" s="4"/>
      <c r="AN168" s="4"/>
      <c r="AO168" s="4"/>
      <c r="AP168" s="4"/>
      <c r="AQ168" s="4"/>
      <c r="AR168" s="4"/>
      <c r="AS168" s="4"/>
      <c r="AT168" s="4"/>
      <c r="AU168" s="4"/>
      <c r="AV168" s="4"/>
      <c r="AW168" s="4"/>
      <c r="AX168" s="4"/>
      <c r="AY168" s="4"/>
      <c r="AZ168" s="4"/>
      <c r="BA168" s="4"/>
      <c r="BB168" s="4"/>
      <c r="BC168" s="4"/>
      <c r="BD168" s="4"/>
      <c r="BE168" s="4"/>
      <c r="BF168" s="4"/>
      <c r="BG168" s="4"/>
      <c r="BH168" s="4"/>
      <c r="BI168" s="4"/>
      <c r="BJ168" s="4"/>
      <c r="BK168" s="4"/>
      <c r="BL168" s="4"/>
      <c r="BM168" s="4"/>
      <c r="BN168" s="4"/>
      <c r="BO168" s="4"/>
      <c r="BP168" s="4"/>
      <c r="BQ168" s="4"/>
      <c r="BR168" s="4"/>
      <c r="BS168" s="4"/>
      <c r="BT168" s="4"/>
      <c r="BU168" s="4"/>
      <c r="BV168" s="4"/>
      <c r="BW168" s="4"/>
      <c r="BX168" s="4"/>
      <c r="BY168" s="4"/>
      <c r="BZ168" s="4"/>
      <c r="CA168" s="4"/>
      <c r="CB168" s="4"/>
      <c r="CC168" s="4"/>
      <c r="CD168" s="4"/>
      <c r="CE168" s="4"/>
      <c r="CF168" s="4"/>
      <c r="CG168" s="4"/>
      <c r="CH168" s="4"/>
      <c r="CI168" s="4"/>
    </row>
    <row r="169" ht="14.25" customHeight="1" spans="1:87" x14ac:dyDescent="0.25">
      <c r="A169" s="4"/>
      <c r="B169" s="4"/>
      <c r="C169" s="4"/>
      <c r="D169" s="4"/>
      <c r="E169" s="4"/>
      <c r="F169" s="4"/>
      <c r="G169" s="4"/>
      <c r="H169" s="4"/>
      <c r="I169" s="4"/>
      <c r="J169" s="4"/>
      <c r="K169" s="242"/>
      <c r="L169" s="4"/>
      <c r="M169" s="4"/>
      <c r="N169" s="4"/>
      <c r="O169" s="4"/>
      <c r="P169" s="4"/>
      <c r="Q169" s="4"/>
      <c r="R169" s="4"/>
      <c r="S169" s="4"/>
      <c r="T169" s="4"/>
      <c r="U169" s="4"/>
      <c r="V169" s="4"/>
      <c r="W169" s="4"/>
      <c r="X169" s="4"/>
      <c r="Y169" s="4"/>
      <c r="Z169" s="4"/>
      <c r="AA169" s="4"/>
      <c r="AB169" s="4"/>
      <c r="AC169" s="4"/>
      <c r="AD169" s="4"/>
      <c r="AE169" s="4"/>
      <c r="AF169" s="4"/>
      <c r="AG169" s="4"/>
      <c r="AH169" s="4"/>
      <c r="AI169" s="4"/>
      <c r="AJ169" s="4"/>
      <c r="AK169" s="4"/>
      <c r="AL169" s="4"/>
      <c r="AM169" s="4"/>
      <c r="AN169" s="4"/>
      <c r="AO169" s="4"/>
      <c r="AP169" s="4"/>
      <c r="AQ169" s="4"/>
      <c r="AR169" s="4"/>
      <c r="AS169" s="4"/>
      <c r="AT169" s="4"/>
      <c r="AU169" s="4"/>
      <c r="AV169" s="4"/>
      <c r="AW169" s="4"/>
      <c r="AX169" s="4"/>
      <c r="AY169" s="4"/>
      <c r="AZ169" s="4"/>
      <c r="BA169" s="4"/>
      <c r="BB169" s="4"/>
      <c r="BC169" s="4"/>
      <c r="BD169" s="4"/>
      <c r="BE169" s="4"/>
      <c r="BF169" s="4"/>
      <c r="BG169" s="4"/>
      <c r="BH169" s="4"/>
      <c r="BI169" s="4"/>
      <c r="BJ169" s="4"/>
      <c r="BK169" s="4"/>
      <c r="BL169" s="4"/>
      <c r="BM169" s="4"/>
      <c r="BN169" s="4"/>
      <c r="BO169" s="4"/>
      <c r="BP169" s="4"/>
      <c r="BQ169" s="4"/>
      <c r="BR169" s="4"/>
      <c r="BS169" s="4"/>
      <c r="BT169" s="4"/>
      <c r="BU169" s="4"/>
      <c r="BV169" s="4"/>
      <c r="BW169" s="4"/>
      <c r="BX169" s="4"/>
      <c r="BY169" s="4"/>
      <c r="BZ169" s="4"/>
      <c r="CA169" s="4"/>
      <c r="CB169" s="4"/>
      <c r="CC169" s="4"/>
      <c r="CD169" s="4"/>
      <c r="CE169" s="4"/>
      <c r="CF169" s="4"/>
      <c r="CG169" s="4"/>
      <c r="CH169" s="4"/>
      <c r="CI169" s="4"/>
    </row>
    <row r="170" ht="14.25" customHeight="1" spans="1:87" x14ac:dyDescent="0.25">
      <c r="A170" s="4"/>
      <c r="B170" s="4"/>
      <c r="C170" s="4"/>
      <c r="D170" s="4"/>
      <c r="E170" s="4"/>
      <c r="F170" s="4"/>
      <c r="G170" s="4"/>
      <c r="H170" s="4"/>
      <c r="I170" s="4"/>
      <c r="J170" s="4"/>
      <c r="K170" s="242"/>
      <c r="L170" s="4"/>
      <c r="M170" s="4"/>
      <c r="N170" s="4"/>
      <c r="O170" s="4"/>
      <c r="P170" s="4"/>
      <c r="Q170" s="4"/>
      <c r="R170" s="4"/>
      <c r="S170" s="4"/>
      <c r="T170" s="4"/>
      <c r="U170" s="4"/>
      <c r="V170" s="4"/>
      <c r="W170" s="4"/>
      <c r="X170" s="4"/>
      <c r="Y170" s="4"/>
      <c r="Z170" s="4"/>
      <c r="AA170" s="4"/>
      <c r="AB170" s="4"/>
      <c r="AC170" s="4"/>
      <c r="AD170" s="4"/>
      <c r="AE170" s="4"/>
      <c r="AF170" s="4"/>
      <c r="AG170" s="4"/>
      <c r="AH170" s="4"/>
      <c r="AI170" s="4"/>
      <c r="AJ170" s="4"/>
      <c r="AK170" s="4"/>
      <c r="AL170" s="4"/>
      <c r="AM170" s="4"/>
      <c r="AN170" s="4"/>
      <c r="AO170" s="4"/>
      <c r="AP170" s="4"/>
      <c r="AQ170" s="4"/>
      <c r="AR170" s="4"/>
      <c r="AS170" s="4"/>
      <c r="AT170" s="4"/>
      <c r="AU170" s="4"/>
      <c r="AV170" s="4"/>
      <c r="AW170" s="4"/>
      <c r="AX170" s="4"/>
      <c r="AY170" s="4"/>
      <c r="AZ170" s="4"/>
      <c r="BA170" s="4"/>
      <c r="BB170" s="4"/>
      <c r="BC170" s="4"/>
      <c r="BD170" s="4"/>
      <c r="BE170" s="4"/>
      <c r="BF170" s="4"/>
      <c r="BG170" s="4"/>
      <c r="BH170" s="4"/>
      <c r="BI170" s="4"/>
      <c r="BJ170" s="4"/>
      <c r="BK170" s="4"/>
      <c r="BL170" s="4"/>
      <c r="BM170" s="4"/>
      <c r="BN170" s="4"/>
      <c r="BO170" s="4"/>
      <c r="BP170" s="4"/>
      <c r="BQ170" s="4"/>
      <c r="BR170" s="4"/>
      <c r="BS170" s="4"/>
      <c r="BT170" s="4"/>
      <c r="BU170" s="4"/>
      <c r="BV170" s="4"/>
      <c r="BW170" s="4"/>
      <c r="BX170" s="4"/>
      <c r="BY170" s="4"/>
      <c r="BZ170" s="4"/>
      <c r="CA170" s="4"/>
      <c r="CB170" s="4"/>
      <c r="CC170" s="4"/>
      <c r="CD170" s="4"/>
      <c r="CE170" s="4"/>
      <c r="CF170" s="4"/>
      <c r="CG170" s="4"/>
      <c r="CH170" s="4"/>
      <c r="CI170" s="4"/>
    </row>
    <row r="171" ht="14.25" customHeight="1" spans="1:87" x14ac:dyDescent="0.25">
      <c r="A171" s="4"/>
      <c r="B171" s="4"/>
      <c r="C171" s="4"/>
      <c r="D171" s="4"/>
      <c r="E171" s="4"/>
      <c r="F171" s="4"/>
      <c r="G171" s="4"/>
      <c r="H171" s="4"/>
      <c r="I171" s="4"/>
      <c r="J171" s="4"/>
      <c r="K171" s="242"/>
      <c r="L171" s="4"/>
      <c r="M171" s="4"/>
      <c r="N171" s="4"/>
      <c r="O171" s="4"/>
      <c r="P171" s="4"/>
      <c r="Q171" s="4"/>
      <c r="R171" s="4"/>
      <c r="S171" s="4"/>
      <c r="T171" s="4"/>
      <c r="U171" s="4"/>
      <c r="V171" s="4"/>
      <c r="W171" s="4"/>
      <c r="X171" s="4"/>
      <c r="Y171" s="4"/>
      <c r="Z171" s="4"/>
      <c r="AA171" s="4"/>
      <c r="AB171" s="4"/>
      <c r="AC171" s="4"/>
      <c r="AD171" s="4"/>
      <c r="AE171" s="4"/>
      <c r="AF171" s="4"/>
      <c r="AG171" s="4"/>
      <c r="AH171" s="4"/>
      <c r="AI171" s="4"/>
      <c r="AJ171" s="4"/>
      <c r="AK171" s="4"/>
      <c r="AL171" s="4"/>
      <c r="AM171" s="4"/>
      <c r="AN171" s="4"/>
      <c r="AO171" s="4"/>
      <c r="AP171" s="4"/>
      <c r="AQ171" s="4"/>
      <c r="AR171" s="4"/>
      <c r="AS171" s="4"/>
      <c r="AT171" s="4"/>
      <c r="AU171" s="4"/>
      <c r="AV171" s="4"/>
      <c r="AW171" s="4"/>
      <c r="AX171" s="4"/>
      <c r="AY171" s="4"/>
      <c r="AZ171" s="4"/>
      <c r="BA171" s="4"/>
      <c r="BB171" s="4"/>
      <c r="BC171" s="4"/>
      <c r="BD171" s="4"/>
      <c r="BE171" s="4"/>
      <c r="BF171" s="4"/>
      <c r="BG171" s="4"/>
      <c r="BH171" s="4"/>
      <c r="BI171" s="4"/>
      <c r="BJ171" s="4"/>
      <c r="BK171" s="4"/>
      <c r="BL171" s="4"/>
      <c r="BM171" s="4"/>
      <c r="BN171" s="4"/>
      <c r="BO171" s="4"/>
      <c r="BP171" s="4"/>
      <c r="BQ171" s="4"/>
      <c r="BR171" s="4"/>
      <c r="BS171" s="4"/>
      <c r="BT171" s="4"/>
      <c r="BU171" s="4"/>
      <c r="BV171" s="4"/>
      <c r="BW171" s="4"/>
      <c r="BX171" s="4"/>
      <c r="BY171" s="4"/>
      <c r="BZ171" s="4"/>
      <c r="CA171" s="4"/>
      <c r="CB171" s="4"/>
      <c r="CC171" s="4"/>
      <c r="CD171" s="4"/>
      <c r="CE171" s="4"/>
      <c r="CF171" s="4"/>
      <c r="CG171" s="4"/>
      <c r="CH171" s="4"/>
      <c r="CI171" s="4"/>
    </row>
    <row r="172" ht="14.25" customHeight="1" spans="1:87" x14ac:dyDescent="0.25">
      <c r="A172" s="4"/>
      <c r="B172" s="4"/>
      <c r="C172" s="4"/>
      <c r="D172" s="4"/>
      <c r="E172" s="4"/>
      <c r="F172" s="4"/>
      <c r="G172" s="4"/>
      <c r="H172" s="4"/>
      <c r="I172" s="4"/>
      <c r="J172" s="4"/>
      <c r="K172" s="242"/>
      <c r="L172" s="4"/>
      <c r="M172" s="4"/>
      <c r="N172" s="4"/>
      <c r="O172" s="4"/>
      <c r="P172" s="4"/>
      <c r="Q172" s="4"/>
      <c r="R172" s="4"/>
      <c r="S172" s="4"/>
      <c r="T172" s="4"/>
      <c r="U172" s="4"/>
      <c r="V172" s="4"/>
      <c r="W172" s="4"/>
      <c r="X172" s="4"/>
      <c r="Y172" s="4"/>
      <c r="Z172" s="4"/>
      <c r="AA172" s="4"/>
      <c r="AB172" s="4"/>
      <c r="AC172" s="4"/>
      <c r="AD172" s="4"/>
      <c r="AE172" s="4"/>
      <c r="AF172" s="4"/>
      <c r="AG172" s="4"/>
      <c r="AH172" s="4"/>
      <c r="AI172" s="4"/>
      <c r="AJ172" s="4"/>
      <c r="AK172" s="4"/>
      <c r="AL172" s="4"/>
      <c r="AM172" s="4"/>
      <c r="AN172" s="4"/>
      <c r="AO172" s="4"/>
      <c r="AP172" s="4"/>
      <c r="AQ172" s="4"/>
      <c r="AR172" s="4"/>
      <c r="AS172" s="4"/>
      <c r="AT172" s="4"/>
      <c r="AU172" s="4"/>
      <c r="AV172" s="4"/>
      <c r="AW172" s="4"/>
      <c r="AX172" s="4"/>
      <c r="AY172" s="4"/>
      <c r="AZ172" s="4"/>
      <c r="BA172" s="4"/>
      <c r="BB172" s="4"/>
      <c r="BC172" s="4"/>
      <c r="BD172" s="4"/>
      <c r="BE172" s="4"/>
      <c r="BF172" s="4"/>
      <c r="BG172" s="4"/>
      <c r="BH172" s="4"/>
      <c r="BI172" s="4"/>
      <c r="BJ172" s="4"/>
      <c r="BK172" s="4"/>
      <c r="BL172" s="4"/>
      <c r="BM172" s="4"/>
      <c r="BN172" s="4"/>
      <c r="BO172" s="4"/>
      <c r="BP172" s="4"/>
      <c r="BQ172" s="4"/>
      <c r="BR172" s="4"/>
      <c r="BS172" s="4"/>
      <c r="BT172" s="4"/>
      <c r="BU172" s="4"/>
      <c r="BV172" s="4"/>
      <c r="BW172" s="4"/>
      <c r="BX172" s="4"/>
      <c r="BY172" s="4"/>
      <c r="BZ172" s="4"/>
      <c r="CA172" s="4"/>
      <c r="CB172" s="4"/>
      <c r="CC172" s="4"/>
      <c r="CD172" s="4"/>
      <c r="CE172" s="4"/>
      <c r="CF172" s="4"/>
      <c r="CG172" s="4"/>
      <c r="CH172" s="4"/>
      <c r="CI172" s="4"/>
    </row>
    <row r="173" ht="14.25" customHeight="1" spans="1:87" x14ac:dyDescent="0.25">
      <c r="A173" s="4"/>
      <c r="B173" s="4"/>
      <c r="C173" s="4"/>
      <c r="D173" s="4"/>
      <c r="E173" s="4"/>
      <c r="F173" s="4"/>
      <c r="G173" s="4"/>
      <c r="H173" s="4"/>
      <c r="I173" s="4"/>
      <c r="J173" s="4"/>
      <c r="K173" s="242"/>
      <c r="L173" s="4"/>
      <c r="M173" s="4"/>
      <c r="N173" s="4"/>
      <c r="O173" s="4"/>
      <c r="P173" s="4"/>
      <c r="Q173" s="4"/>
      <c r="R173" s="4"/>
      <c r="S173" s="4"/>
      <c r="T173" s="4"/>
      <c r="U173" s="4"/>
      <c r="V173" s="4"/>
      <c r="W173" s="4"/>
      <c r="X173" s="4"/>
      <c r="Y173" s="4"/>
      <c r="Z173" s="4"/>
      <c r="AA173" s="4"/>
      <c r="AB173" s="4"/>
      <c r="AC173" s="4"/>
      <c r="AD173" s="4"/>
      <c r="AE173" s="4"/>
      <c r="AF173" s="4"/>
      <c r="AG173" s="4"/>
      <c r="AH173" s="4"/>
      <c r="AI173" s="4"/>
      <c r="AJ173" s="4"/>
      <c r="AK173" s="4"/>
      <c r="AL173" s="4"/>
      <c r="AM173" s="4"/>
      <c r="AN173" s="4"/>
      <c r="AO173" s="4"/>
      <c r="AP173" s="4"/>
      <c r="AQ173" s="4"/>
      <c r="AR173" s="4"/>
      <c r="AS173" s="4"/>
      <c r="AT173" s="4"/>
      <c r="AU173" s="4"/>
      <c r="AV173" s="4"/>
      <c r="AW173" s="4"/>
      <c r="AX173" s="4"/>
      <c r="AY173" s="4"/>
      <c r="AZ173" s="4"/>
      <c r="BA173" s="4"/>
      <c r="BB173" s="4"/>
      <c r="BC173" s="4"/>
      <c r="BD173" s="4"/>
      <c r="BE173" s="4"/>
      <c r="BF173" s="4"/>
      <c r="BG173" s="4"/>
      <c r="BH173" s="4"/>
      <c r="BI173" s="4"/>
      <c r="BJ173" s="4"/>
      <c r="BK173" s="4"/>
      <c r="BL173" s="4"/>
      <c r="BM173" s="4"/>
      <c r="BN173" s="4"/>
      <c r="BO173" s="4"/>
      <c r="BP173" s="4"/>
      <c r="BQ173" s="4"/>
      <c r="BR173" s="4"/>
      <c r="BS173" s="4"/>
      <c r="BT173" s="4"/>
      <c r="BU173" s="4"/>
      <c r="BV173" s="4"/>
      <c r="BW173" s="4"/>
      <c r="BX173" s="4"/>
      <c r="BY173" s="4"/>
      <c r="BZ173" s="4"/>
      <c r="CA173" s="4"/>
      <c r="CB173" s="4"/>
      <c r="CC173" s="4"/>
      <c r="CD173" s="4"/>
      <c r="CE173" s="4"/>
      <c r="CF173" s="4"/>
      <c r="CG173" s="4"/>
      <c r="CH173" s="4"/>
      <c r="CI173" s="4"/>
    </row>
    <row r="174" ht="14.25" customHeight="1" spans="1:87" x14ac:dyDescent="0.25">
      <c r="A174" s="4"/>
      <c r="B174" s="4"/>
      <c r="C174" s="4"/>
      <c r="D174" s="4"/>
      <c r="E174" s="4"/>
      <c r="F174" s="4"/>
      <c r="G174" s="4"/>
      <c r="H174" s="4"/>
      <c r="I174" s="4"/>
      <c r="J174" s="4"/>
      <c r="K174" s="242"/>
      <c r="L174" s="4"/>
      <c r="M174" s="4"/>
      <c r="N174" s="4"/>
      <c r="O174" s="4"/>
      <c r="P174" s="4"/>
      <c r="Q174" s="4"/>
      <c r="R174" s="4"/>
      <c r="S174" s="4"/>
      <c r="T174" s="4"/>
      <c r="U174" s="4"/>
      <c r="V174" s="4"/>
      <c r="W174" s="4"/>
      <c r="X174" s="4"/>
      <c r="Y174" s="4"/>
      <c r="Z174" s="4"/>
      <c r="AA174" s="4"/>
      <c r="AB174" s="4"/>
      <c r="AC174" s="4"/>
      <c r="AD174" s="4"/>
      <c r="AE174" s="4"/>
      <c r="AF174" s="4"/>
      <c r="AG174" s="4"/>
      <c r="AH174" s="4"/>
      <c r="AI174" s="4"/>
      <c r="AJ174" s="4"/>
      <c r="AK174" s="4"/>
      <c r="AL174" s="4"/>
      <c r="AM174" s="4"/>
      <c r="AN174" s="4"/>
      <c r="AO174" s="4"/>
      <c r="AP174" s="4"/>
      <c r="AQ174" s="4"/>
      <c r="AR174" s="4"/>
      <c r="AS174" s="4"/>
      <c r="AT174" s="4"/>
      <c r="AU174" s="4"/>
      <c r="AV174" s="4"/>
      <c r="AW174" s="4"/>
      <c r="AX174" s="4"/>
      <c r="AY174" s="4"/>
      <c r="AZ174" s="4"/>
      <c r="BA174" s="4"/>
      <c r="BB174" s="4"/>
      <c r="BC174" s="4"/>
      <c r="BD174" s="4"/>
      <c r="BE174" s="4"/>
      <c r="BF174" s="4"/>
      <c r="BG174" s="4"/>
      <c r="BH174" s="4"/>
      <c r="BI174" s="4"/>
      <c r="BJ174" s="4"/>
      <c r="BK174" s="4"/>
      <c r="BL174" s="4"/>
      <c r="BM174" s="4"/>
      <c r="BN174" s="4"/>
      <c r="BO174" s="4"/>
      <c r="BP174" s="4"/>
      <c r="BQ174" s="4"/>
      <c r="BR174" s="4"/>
      <c r="BS174" s="4"/>
      <c r="BT174" s="4"/>
      <c r="BU174" s="4"/>
      <c r="BV174" s="4"/>
      <c r="BW174" s="4"/>
      <c r="BX174" s="4"/>
      <c r="BY174" s="4"/>
      <c r="BZ174" s="4"/>
      <c r="CA174" s="4"/>
      <c r="CB174" s="4"/>
      <c r="CC174" s="4"/>
      <c r="CD174" s="4"/>
      <c r="CE174" s="4"/>
      <c r="CF174" s="4"/>
      <c r="CG174" s="4"/>
      <c r="CH174" s="4"/>
      <c r="CI174" s="4"/>
    </row>
    <row r="175" ht="14.25" customHeight="1" spans="1:87" x14ac:dyDescent="0.25">
      <c r="A175" s="4"/>
      <c r="B175" s="4"/>
      <c r="C175" s="4"/>
      <c r="D175" s="4"/>
      <c r="E175" s="4"/>
      <c r="F175" s="4"/>
      <c r="G175" s="4"/>
      <c r="H175" s="4"/>
      <c r="I175" s="4"/>
      <c r="J175" s="4"/>
      <c r="K175" s="242"/>
      <c r="L175" s="4"/>
      <c r="M175" s="4"/>
      <c r="N175" s="4"/>
      <c r="O175" s="4"/>
      <c r="P175" s="4"/>
      <c r="Q175" s="4"/>
      <c r="R175" s="4"/>
      <c r="S175" s="4"/>
      <c r="T175" s="4"/>
      <c r="U175" s="4"/>
      <c r="V175" s="4"/>
      <c r="W175" s="4"/>
      <c r="X175" s="4"/>
      <c r="Y175" s="4"/>
      <c r="Z175" s="4"/>
      <c r="AA175" s="4"/>
      <c r="AB175" s="4"/>
      <c r="AC175" s="4"/>
      <c r="AD175" s="4"/>
      <c r="AE175" s="4"/>
      <c r="AF175" s="4"/>
      <c r="AG175" s="4"/>
      <c r="AH175" s="4"/>
      <c r="AI175" s="4"/>
      <c r="AJ175" s="4"/>
      <c r="AK175" s="4"/>
      <c r="AL175" s="4"/>
      <c r="AM175" s="4"/>
      <c r="AN175" s="4"/>
      <c r="AO175" s="4"/>
      <c r="AP175" s="4"/>
      <c r="AQ175" s="4"/>
      <c r="AR175" s="4"/>
      <c r="AS175" s="4"/>
      <c r="AT175" s="4"/>
      <c r="AU175" s="4"/>
      <c r="AV175" s="4"/>
      <c r="AW175" s="4"/>
      <c r="AX175" s="4"/>
      <c r="AY175" s="4"/>
      <c r="AZ175" s="4"/>
      <c r="BA175" s="4"/>
      <c r="BB175" s="4"/>
      <c r="BC175" s="4"/>
      <c r="BD175" s="4"/>
      <c r="BE175" s="4"/>
      <c r="BF175" s="4"/>
      <c r="BG175" s="4"/>
      <c r="BH175" s="4"/>
      <c r="BI175" s="4"/>
      <c r="BJ175" s="4"/>
      <c r="BK175" s="4"/>
      <c r="BL175" s="4"/>
      <c r="BM175" s="4"/>
      <c r="BN175" s="4"/>
      <c r="BO175" s="4"/>
      <c r="BP175" s="4"/>
      <c r="BQ175" s="4"/>
      <c r="BR175" s="4"/>
      <c r="BS175" s="4"/>
      <c r="BT175" s="4"/>
      <c r="BU175" s="4"/>
      <c r="BV175" s="4"/>
      <c r="BW175" s="4"/>
      <c r="BX175" s="4"/>
      <c r="BY175" s="4"/>
      <c r="BZ175" s="4"/>
      <c r="CA175" s="4"/>
      <c r="CB175" s="4"/>
      <c r="CC175" s="4"/>
      <c r="CD175" s="4"/>
      <c r="CE175" s="4"/>
      <c r="CF175" s="4"/>
      <c r="CG175" s="4"/>
      <c r="CH175" s="4"/>
      <c r="CI175" s="4"/>
    </row>
    <row r="176" ht="14.25" customHeight="1" spans="1:87" x14ac:dyDescent="0.25">
      <c r="A176" s="4"/>
      <c r="B176" s="4"/>
      <c r="C176" s="4"/>
      <c r="D176" s="4"/>
      <c r="E176" s="4"/>
      <c r="F176" s="4"/>
      <c r="G176" s="4"/>
      <c r="H176" s="4"/>
      <c r="I176" s="4"/>
      <c r="J176" s="4"/>
      <c r="K176" s="242"/>
      <c r="L176" s="4"/>
      <c r="M176" s="4"/>
      <c r="N176" s="4"/>
      <c r="O176" s="4"/>
      <c r="P176" s="4"/>
      <c r="Q176" s="4"/>
      <c r="R176" s="4"/>
      <c r="S176" s="4"/>
      <c r="T176" s="4"/>
      <c r="U176" s="4"/>
      <c r="V176" s="4"/>
      <c r="W176" s="4"/>
      <c r="X176" s="4"/>
      <c r="Y176" s="4"/>
      <c r="Z176" s="4"/>
      <c r="AA176" s="4"/>
      <c r="AB176" s="4"/>
      <c r="AC176" s="4"/>
      <c r="AD176" s="4"/>
      <c r="AE176" s="4"/>
      <c r="AF176" s="4"/>
      <c r="AG176" s="4"/>
      <c r="AH176" s="4"/>
      <c r="AI176" s="4"/>
      <c r="AJ176" s="4"/>
      <c r="AK176" s="4"/>
      <c r="AL176" s="4"/>
      <c r="AM176" s="4"/>
      <c r="AN176" s="4"/>
      <c r="AO176" s="4"/>
      <c r="AP176" s="4"/>
      <c r="AQ176" s="4"/>
      <c r="AR176" s="4"/>
      <c r="AS176" s="4"/>
      <c r="AT176" s="4"/>
      <c r="AU176" s="4"/>
      <c r="AV176" s="4"/>
      <c r="AW176" s="4"/>
      <c r="AX176" s="4"/>
      <c r="AY176" s="4"/>
      <c r="AZ176" s="4"/>
      <c r="BA176" s="4"/>
      <c r="BB176" s="4"/>
      <c r="BC176" s="4"/>
      <c r="BD176" s="4"/>
      <c r="BE176" s="4"/>
      <c r="BF176" s="4"/>
      <c r="BG176" s="4"/>
      <c r="BH176" s="4"/>
      <c r="BI176" s="4"/>
      <c r="BJ176" s="4"/>
      <c r="BK176" s="4"/>
      <c r="BL176" s="4"/>
      <c r="BM176" s="4"/>
      <c r="BN176" s="4"/>
      <c r="BO176" s="4"/>
      <c r="BP176" s="4"/>
      <c r="BQ176" s="4"/>
      <c r="BR176" s="4"/>
      <c r="BS176" s="4"/>
      <c r="BT176" s="4"/>
      <c r="BU176" s="4"/>
      <c r="BV176" s="4"/>
      <c r="BW176" s="4"/>
      <c r="BX176" s="4"/>
      <c r="BY176" s="4"/>
      <c r="BZ176" s="4"/>
      <c r="CA176" s="4"/>
      <c r="CB176" s="4"/>
      <c r="CC176" s="4"/>
      <c r="CD176" s="4"/>
      <c r="CE176" s="4"/>
      <c r="CF176" s="4"/>
      <c r="CG176" s="4"/>
      <c r="CH176" s="4"/>
      <c r="CI176" s="4"/>
    </row>
    <row r="177" ht="14.25" customHeight="1" spans="1:87" x14ac:dyDescent="0.25">
      <c r="A177" s="4"/>
      <c r="B177" s="4"/>
      <c r="C177" s="4"/>
      <c r="D177" s="4"/>
      <c r="E177" s="4"/>
      <c r="F177" s="4"/>
      <c r="G177" s="4"/>
      <c r="H177" s="4"/>
      <c r="I177" s="4"/>
      <c r="J177" s="4"/>
      <c r="K177" s="242"/>
      <c r="L177" s="4"/>
      <c r="M177" s="4"/>
      <c r="N177" s="4"/>
      <c r="O177" s="4"/>
      <c r="P177" s="4"/>
      <c r="Q177" s="4"/>
      <c r="R177" s="4"/>
      <c r="S177" s="4"/>
      <c r="T177" s="4"/>
      <c r="U177" s="4"/>
      <c r="V177" s="4"/>
      <c r="W177" s="4"/>
      <c r="X177" s="4"/>
      <c r="Y177" s="4"/>
      <c r="Z177" s="4"/>
      <c r="AA177" s="4"/>
      <c r="AB177" s="4"/>
      <c r="AC177" s="4"/>
      <c r="AD177" s="4"/>
      <c r="AE177" s="4"/>
      <c r="AF177" s="4"/>
      <c r="AG177" s="4"/>
      <c r="AH177" s="4"/>
      <c r="AI177" s="4"/>
      <c r="AJ177" s="4"/>
      <c r="AK177" s="4"/>
      <c r="AL177" s="4"/>
      <c r="AM177" s="4"/>
      <c r="AN177" s="4"/>
      <c r="AO177" s="4"/>
      <c r="AP177" s="4"/>
      <c r="AQ177" s="4"/>
      <c r="AR177" s="4"/>
      <c r="AS177" s="4"/>
      <c r="AT177" s="4"/>
      <c r="AU177" s="4"/>
      <c r="AV177" s="4"/>
      <c r="AW177" s="4"/>
      <c r="AX177" s="4"/>
      <c r="AY177" s="4"/>
      <c r="AZ177" s="4"/>
      <c r="BA177" s="4"/>
      <c r="BB177" s="4"/>
      <c r="BC177" s="4"/>
      <c r="BD177" s="4"/>
      <c r="BE177" s="4"/>
      <c r="BF177" s="4"/>
      <c r="BG177" s="4"/>
      <c r="BH177" s="4"/>
      <c r="BI177" s="4"/>
      <c r="BJ177" s="4"/>
      <c r="BK177" s="4"/>
      <c r="BL177" s="4"/>
      <c r="BM177" s="4"/>
      <c r="BN177" s="4"/>
      <c r="BO177" s="4"/>
      <c r="BP177" s="4"/>
      <c r="BQ177" s="4"/>
      <c r="BR177" s="4"/>
      <c r="BS177" s="4"/>
      <c r="BT177" s="4"/>
      <c r="BU177" s="4"/>
      <c r="BV177" s="4"/>
      <c r="BW177" s="4"/>
      <c r="BX177" s="4"/>
      <c r="BY177" s="4"/>
      <c r="BZ177" s="4"/>
      <c r="CA177" s="4"/>
      <c r="CB177" s="4"/>
      <c r="CC177" s="4"/>
      <c r="CD177" s="4"/>
      <c r="CE177" s="4"/>
      <c r="CF177" s="4"/>
      <c r="CG177" s="4"/>
      <c r="CH177" s="4"/>
      <c r="CI177" s="4"/>
    </row>
    <row r="178" ht="14.25" customHeight="1" spans="1:87" x14ac:dyDescent="0.25">
      <c r="A178" s="4"/>
      <c r="B178" s="4"/>
      <c r="C178" s="4"/>
      <c r="D178" s="4"/>
      <c r="E178" s="4"/>
      <c r="F178" s="4"/>
      <c r="G178" s="4"/>
      <c r="H178" s="4"/>
      <c r="I178" s="4"/>
      <c r="J178" s="4"/>
      <c r="K178" s="242"/>
      <c r="L178" s="4"/>
      <c r="M178" s="4"/>
      <c r="N178" s="4"/>
      <c r="O178" s="4"/>
      <c r="P178" s="4"/>
      <c r="Q178" s="4"/>
      <c r="R178" s="4"/>
      <c r="S178" s="4"/>
      <c r="T178" s="4"/>
      <c r="U178" s="4"/>
      <c r="V178" s="4"/>
      <c r="W178" s="4"/>
      <c r="X178" s="4"/>
      <c r="Y178" s="4"/>
      <c r="Z178" s="4"/>
      <c r="AA178" s="4"/>
      <c r="AB178" s="4"/>
      <c r="AC178" s="4"/>
      <c r="AD178" s="4"/>
      <c r="AE178" s="4"/>
      <c r="AF178" s="4"/>
      <c r="AG178" s="4"/>
      <c r="AH178" s="4"/>
      <c r="AI178" s="4"/>
      <c r="AJ178" s="4"/>
      <c r="AK178" s="4"/>
      <c r="AL178" s="4"/>
      <c r="AM178" s="4"/>
      <c r="AN178" s="4"/>
      <c r="AO178" s="4"/>
      <c r="AP178" s="4"/>
      <c r="AQ178" s="4"/>
      <c r="AR178" s="4"/>
      <c r="AS178" s="4"/>
      <c r="AT178" s="4"/>
      <c r="AU178" s="4"/>
      <c r="AV178" s="4"/>
      <c r="AW178" s="4"/>
      <c r="AX178" s="4"/>
      <c r="AY178" s="4"/>
      <c r="AZ178" s="4"/>
      <c r="BA178" s="4"/>
      <c r="BB178" s="4"/>
      <c r="BC178" s="4"/>
      <c r="BD178" s="4"/>
      <c r="BE178" s="4"/>
      <c r="BF178" s="4"/>
      <c r="BG178" s="4"/>
      <c r="BH178" s="4"/>
      <c r="BI178" s="4"/>
      <c r="BJ178" s="4"/>
      <c r="BK178" s="4"/>
      <c r="BL178" s="4"/>
      <c r="BM178" s="4"/>
      <c r="BN178" s="4"/>
      <c r="BO178" s="4"/>
      <c r="BP178" s="4"/>
      <c r="BQ178" s="4"/>
      <c r="BR178" s="4"/>
      <c r="BS178" s="4"/>
      <c r="BT178" s="4"/>
      <c r="BU178" s="4"/>
      <c r="BV178" s="4"/>
      <c r="BW178" s="4"/>
      <c r="BX178" s="4"/>
      <c r="BY178" s="4"/>
      <c r="BZ178" s="4"/>
      <c r="CA178" s="4"/>
      <c r="CB178" s="4"/>
      <c r="CC178" s="4"/>
      <c r="CD178" s="4"/>
      <c r="CE178" s="4"/>
      <c r="CF178" s="4"/>
      <c r="CG178" s="4"/>
      <c r="CH178" s="4"/>
      <c r="CI178" s="4"/>
    </row>
    <row r="179" ht="14.25" customHeight="1" spans="1:87" x14ac:dyDescent="0.25">
      <c r="A179" s="4"/>
      <c r="B179" s="4"/>
      <c r="C179" s="4"/>
      <c r="D179" s="4"/>
      <c r="E179" s="4"/>
      <c r="F179" s="4"/>
      <c r="G179" s="4"/>
      <c r="H179" s="4"/>
      <c r="I179" s="4"/>
      <c r="J179" s="4"/>
      <c r="K179" s="242"/>
      <c r="L179" s="4"/>
      <c r="M179" s="4"/>
      <c r="N179" s="4"/>
      <c r="O179" s="4"/>
      <c r="P179" s="4"/>
      <c r="Q179" s="4"/>
      <c r="R179" s="4"/>
      <c r="S179" s="4"/>
      <c r="T179" s="4"/>
      <c r="U179" s="4"/>
      <c r="V179" s="4"/>
      <c r="W179" s="4"/>
      <c r="X179" s="4"/>
      <c r="Y179" s="4"/>
      <c r="Z179" s="4"/>
      <c r="AA179" s="4"/>
      <c r="AB179" s="4"/>
      <c r="AC179" s="4"/>
      <c r="AD179" s="4"/>
      <c r="AE179" s="4"/>
      <c r="AF179" s="4"/>
      <c r="AG179" s="4"/>
      <c r="AH179" s="4"/>
      <c r="AI179" s="4"/>
      <c r="AJ179" s="4"/>
      <c r="AK179" s="4"/>
      <c r="AL179" s="4"/>
      <c r="AM179" s="4"/>
      <c r="AN179" s="4"/>
      <c r="AO179" s="4"/>
      <c r="AP179" s="4"/>
      <c r="AQ179" s="4"/>
      <c r="AR179" s="4"/>
      <c r="AS179" s="4"/>
      <c r="AT179" s="4"/>
      <c r="AU179" s="4"/>
      <c r="AV179" s="4"/>
      <c r="AW179" s="4"/>
      <c r="AX179" s="4"/>
      <c r="AY179" s="4"/>
      <c r="AZ179" s="4"/>
      <c r="BA179" s="4"/>
      <c r="BB179" s="4"/>
      <c r="BC179" s="4"/>
      <c r="BD179" s="4"/>
      <c r="BE179" s="4"/>
      <c r="BF179" s="4"/>
      <c r="BG179" s="4"/>
      <c r="BH179" s="4"/>
      <c r="BI179" s="4"/>
      <c r="BJ179" s="4"/>
      <c r="BK179" s="4"/>
      <c r="BL179" s="4"/>
      <c r="BM179" s="4"/>
      <c r="BN179" s="4"/>
      <c r="BO179" s="4"/>
      <c r="BP179" s="4"/>
      <c r="BQ179" s="4"/>
      <c r="BR179" s="4"/>
      <c r="BS179" s="4"/>
      <c r="BT179" s="4"/>
      <c r="BU179" s="4"/>
      <c r="BV179" s="4"/>
      <c r="BW179" s="4"/>
      <c r="BX179" s="4"/>
      <c r="BY179" s="4"/>
      <c r="BZ179" s="4"/>
      <c r="CA179" s="4"/>
      <c r="CB179" s="4"/>
      <c r="CC179" s="4"/>
      <c r="CD179" s="4"/>
      <c r="CE179" s="4"/>
      <c r="CF179" s="4"/>
      <c r="CG179" s="4"/>
      <c r="CH179" s="4"/>
      <c r="CI179" s="4"/>
    </row>
    <row r="180" ht="14.25" customHeight="1" spans="1:87" x14ac:dyDescent="0.25">
      <c r="A180" s="4"/>
      <c r="B180" s="4"/>
      <c r="C180" s="4"/>
      <c r="D180" s="4"/>
      <c r="E180" s="4"/>
      <c r="F180" s="4"/>
      <c r="G180" s="4"/>
      <c r="H180" s="4"/>
      <c r="I180" s="4"/>
      <c r="J180" s="4"/>
      <c r="K180" s="242"/>
      <c r="L180" s="4"/>
      <c r="M180" s="4"/>
      <c r="N180" s="4"/>
      <c r="O180" s="4"/>
      <c r="P180" s="4"/>
      <c r="Q180" s="4"/>
      <c r="R180" s="4"/>
      <c r="S180" s="4"/>
      <c r="T180" s="4"/>
      <c r="U180" s="4"/>
      <c r="V180" s="4"/>
      <c r="W180" s="4"/>
      <c r="X180" s="4"/>
      <c r="Y180" s="4"/>
      <c r="Z180" s="4"/>
      <c r="AA180" s="4"/>
      <c r="AB180" s="4"/>
      <c r="AC180" s="4"/>
      <c r="AD180" s="4"/>
      <c r="AE180" s="4"/>
      <c r="AF180" s="4"/>
      <c r="AG180" s="4"/>
      <c r="AH180" s="4"/>
      <c r="AI180" s="4"/>
      <c r="AJ180" s="4"/>
      <c r="AK180" s="4"/>
      <c r="AL180" s="4"/>
      <c r="AM180" s="4"/>
      <c r="AN180" s="4"/>
      <c r="AO180" s="4"/>
      <c r="AP180" s="4"/>
      <c r="AQ180" s="4"/>
      <c r="AR180" s="4"/>
      <c r="AS180" s="4"/>
      <c r="AT180" s="4"/>
      <c r="AU180" s="4"/>
      <c r="AV180" s="4"/>
      <c r="AW180" s="4"/>
      <c r="AX180" s="4"/>
      <c r="AY180" s="4"/>
      <c r="AZ180" s="4"/>
      <c r="BA180" s="4"/>
      <c r="BB180" s="4"/>
      <c r="BC180" s="4"/>
      <c r="BD180" s="4"/>
      <c r="BE180" s="4"/>
      <c r="BF180" s="4"/>
      <c r="BG180" s="4"/>
      <c r="BH180" s="4"/>
      <c r="BI180" s="4"/>
      <c r="BJ180" s="4"/>
      <c r="BK180" s="4"/>
      <c r="BL180" s="4"/>
      <c r="BM180" s="4"/>
      <c r="BN180" s="4"/>
      <c r="BO180" s="4"/>
      <c r="BP180" s="4"/>
      <c r="BQ180" s="4"/>
      <c r="BR180" s="4"/>
      <c r="BS180" s="4"/>
      <c r="BT180" s="4"/>
      <c r="BU180" s="4"/>
      <c r="BV180" s="4"/>
      <c r="BW180" s="4"/>
      <c r="BX180" s="4"/>
      <c r="BY180" s="4"/>
      <c r="BZ180" s="4"/>
      <c r="CA180" s="4"/>
      <c r="CB180" s="4"/>
      <c r="CC180" s="4"/>
      <c r="CD180" s="4"/>
      <c r="CE180" s="4"/>
      <c r="CF180" s="4"/>
      <c r="CG180" s="4"/>
      <c r="CH180" s="4"/>
      <c r="CI180" s="4"/>
    </row>
    <row r="181" ht="14.25" customHeight="1" spans="1:87" x14ac:dyDescent="0.25">
      <c r="A181" s="4"/>
      <c r="B181" s="4"/>
      <c r="C181" s="4"/>
      <c r="D181" s="4"/>
      <c r="E181" s="4"/>
      <c r="F181" s="4"/>
      <c r="G181" s="4"/>
      <c r="H181" s="4"/>
      <c r="I181" s="4"/>
      <c r="J181" s="4"/>
      <c r="K181" s="242"/>
      <c r="L181" s="4"/>
      <c r="M181" s="4"/>
      <c r="N181" s="4"/>
      <c r="O181" s="4"/>
      <c r="P181" s="4"/>
      <c r="Q181" s="4"/>
      <c r="R181" s="4"/>
      <c r="S181" s="4"/>
      <c r="T181" s="4"/>
      <c r="U181" s="4"/>
      <c r="V181" s="4"/>
      <c r="W181" s="4"/>
      <c r="X181" s="4"/>
      <c r="Y181" s="4"/>
      <c r="Z181" s="4"/>
      <c r="AA181" s="4"/>
      <c r="AB181" s="4"/>
      <c r="AC181" s="4"/>
      <c r="AD181" s="4"/>
      <c r="AE181" s="4"/>
      <c r="AF181" s="4"/>
      <c r="AG181" s="4"/>
      <c r="AH181" s="4"/>
      <c r="AI181" s="4"/>
      <c r="AJ181" s="4"/>
      <c r="AK181" s="4"/>
      <c r="AL181" s="4"/>
      <c r="AM181" s="4"/>
      <c r="AN181" s="4"/>
      <c r="AO181" s="4"/>
      <c r="AP181" s="4"/>
      <c r="AQ181" s="4"/>
      <c r="AR181" s="4"/>
      <c r="AS181" s="4"/>
      <c r="AT181" s="4"/>
      <c r="AU181" s="4"/>
      <c r="AV181" s="4"/>
      <c r="AW181" s="4"/>
      <c r="AX181" s="4"/>
      <c r="AY181" s="4"/>
      <c r="AZ181" s="4"/>
      <c r="BA181" s="4"/>
      <c r="BB181" s="4"/>
      <c r="BC181" s="4"/>
      <c r="BD181" s="4"/>
      <c r="BE181" s="4"/>
      <c r="BF181" s="4"/>
      <c r="BG181" s="4"/>
      <c r="BH181" s="4"/>
      <c r="BI181" s="4"/>
      <c r="BJ181" s="4"/>
      <c r="BK181" s="4"/>
      <c r="BL181" s="4"/>
      <c r="BM181" s="4"/>
      <c r="BN181" s="4"/>
      <c r="BO181" s="4"/>
      <c r="BP181" s="4"/>
      <c r="BQ181" s="4"/>
      <c r="BR181" s="4"/>
      <c r="BS181" s="4"/>
      <c r="BT181" s="4"/>
      <c r="BU181" s="4"/>
      <c r="BV181" s="4"/>
      <c r="BW181" s="4"/>
      <c r="BX181" s="4"/>
      <c r="BY181" s="4"/>
      <c r="BZ181" s="4"/>
      <c r="CA181" s="4"/>
      <c r="CB181" s="4"/>
      <c r="CC181" s="4"/>
      <c r="CD181" s="4"/>
      <c r="CE181" s="4"/>
      <c r="CF181" s="4"/>
      <c r="CG181" s="4"/>
      <c r="CH181" s="4"/>
      <c r="CI181" s="4"/>
    </row>
    <row r="182" ht="14.25" customHeight="1" spans="1:87" x14ac:dyDescent="0.25">
      <c r="A182" s="4"/>
      <c r="B182" s="4"/>
      <c r="C182" s="4"/>
      <c r="D182" s="4"/>
      <c r="E182" s="4"/>
      <c r="F182" s="4"/>
      <c r="G182" s="4"/>
      <c r="H182" s="4"/>
      <c r="I182" s="4"/>
      <c r="J182" s="4"/>
      <c r="K182" s="242"/>
      <c r="L182" s="4"/>
      <c r="M182" s="4"/>
      <c r="N182" s="4"/>
      <c r="O182" s="4"/>
      <c r="P182" s="4"/>
      <c r="Q182" s="4"/>
      <c r="R182" s="4"/>
      <c r="S182" s="4"/>
      <c r="T182" s="4"/>
      <c r="U182" s="4"/>
      <c r="V182" s="4"/>
      <c r="W182" s="4"/>
      <c r="X182" s="4"/>
      <c r="Y182" s="4"/>
      <c r="Z182" s="4"/>
      <c r="AA182" s="4"/>
      <c r="AB182" s="4"/>
      <c r="AC182" s="4"/>
      <c r="AD182" s="4"/>
      <c r="AE182" s="4"/>
      <c r="AF182" s="4"/>
      <c r="AG182" s="4"/>
      <c r="AH182" s="4"/>
      <c r="AI182" s="4"/>
      <c r="AJ182" s="4"/>
      <c r="AK182" s="4"/>
      <c r="AL182" s="4"/>
      <c r="AM182" s="4"/>
      <c r="AN182" s="4"/>
      <c r="AO182" s="4"/>
      <c r="AP182" s="4"/>
      <c r="AQ182" s="4"/>
      <c r="AR182" s="4"/>
      <c r="AS182" s="4"/>
      <c r="AT182" s="4"/>
      <c r="AU182" s="4"/>
      <c r="AV182" s="4"/>
      <c r="AW182" s="4"/>
      <c r="AX182" s="4"/>
      <c r="AY182" s="4"/>
      <c r="AZ182" s="4"/>
      <c r="BA182" s="4"/>
      <c r="BB182" s="4"/>
      <c r="BC182" s="4"/>
      <c r="BD182" s="4"/>
      <c r="BE182" s="4"/>
      <c r="BF182" s="4"/>
      <c r="BG182" s="4"/>
      <c r="BH182" s="4"/>
      <c r="BI182" s="4"/>
      <c r="BJ182" s="4"/>
      <c r="BK182" s="4"/>
      <c r="BL182" s="4"/>
      <c r="BM182" s="4"/>
      <c r="BN182" s="4"/>
      <c r="BO182" s="4"/>
      <c r="BP182" s="4"/>
      <c r="BQ182" s="4"/>
      <c r="BR182" s="4"/>
      <c r="BS182" s="4"/>
      <c r="BT182" s="4"/>
      <c r="BU182" s="4"/>
      <c r="BV182" s="4"/>
      <c r="BW182" s="4"/>
      <c r="BX182" s="4"/>
      <c r="BY182" s="4"/>
      <c r="BZ182" s="4"/>
      <c r="CA182" s="4"/>
      <c r="CB182" s="4"/>
      <c r="CC182" s="4"/>
      <c r="CD182" s="4"/>
      <c r="CE182" s="4"/>
      <c r="CF182" s="4"/>
      <c r="CG182" s="4"/>
      <c r="CH182" s="4"/>
      <c r="CI182" s="4"/>
    </row>
    <row r="183" ht="14.25" customHeight="1" spans="1:87" x14ac:dyDescent="0.25">
      <c r="A183" s="4"/>
      <c r="B183" s="4"/>
      <c r="C183" s="4"/>
      <c r="D183" s="4"/>
      <c r="E183" s="4"/>
      <c r="F183" s="4"/>
      <c r="G183" s="4"/>
      <c r="H183" s="4"/>
      <c r="I183" s="4"/>
      <c r="J183" s="4"/>
      <c r="K183" s="242"/>
      <c r="L183" s="4"/>
      <c r="M183" s="4"/>
      <c r="N183" s="4"/>
      <c r="O183" s="4"/>
      <c r="P183" s="4"/>
      <c r="Q183" s="4"/>
      <c r="R183" s="4"/>
      <c r="S183" s="4"/>
      <c r="T183" s="4"/>
      <c r="U183" s="4"/>
      <c r="V183" s="4"/>
      <c r="W183" s="4"/>
      <c r="X183" s="4"/>
      <c r="Y183" s="4"/>
      <c r="Z183" s="4"/>
      <c r="AA183" s="4"/>
      <c r="AB183" s="4"/>
      <c r="AC183" s="4"/>
      <c r="AD183" s="4"/>
      <c r="AE183" s="4"/>
      <c r="AF183" s="4"/>
      <c r="AG183" s="4"/>
      <c r="AH183" s="4"/>
      <c r="AI183" s="4"/>
      <c r="AJ183" s="4"/>
      <c r="AK183" s="4"/>
      <c r="AL183" s="4"/>
      <c r="AM183" s="4"/>
      <c r="AN183" s="4"/>
      <c r="AO183" s="4"/>
      <c r="AP183" s="4"/>
      <c r="AQ183" s="4"/>
      <c r="AR183" s="4"/>
      <c r="AS183" s="4"/>
      <c r="AT183" s="4"/>
      <c r="AU183" s="4"/>
      <c r="AV183" s="4"/>
      <c r="AW183" s="4"/>
      <c r="AX183" s="4"/>
      <c r="AY183" s="4"/>
      <c r="AZ183" s="4"/>
      <c r="BA183" s="4"/>
      <c r="BB183" s="4"/>
      <c r="BC183" s="4"/>
      <c r="BD183" s="4"/>
      <c r="BE183" s="4"/>
      <c r="BF183" s="4"/>
      <c r="BG183" s="4"/>
      <c r="BH183" s="4"/>
      <c r="BI183" s="4"/>
      <c r="BJ183" s="4"/>
      <c r="BK183" s="4"/>
      <c r="BL183" s="4"/>
      <c r="BM183" s="4"/>
      <c r="BN183" s="4"/>
      <c r="BO183" s="4"/>
      <c r="BP183" s="4"/>
      <c r="BQ183" s="4"/>
      <c r="BR183" s="4"/>
      <c r="BS183" s="4"/>
      <c r="BT183" s="4"/>
      <c r="BU183" s="4"/>
      <c r="BV183" s="4"/>
      <c r="BW183" s="4"/>
      <c r="BX183" s="4"/>
      <c r="BY183" s="4"/>
      <c r="BZ183" s="4"/>
      <c r="CA183" s="4"/>
      <c r="CB183" s="4"/>
      <c r="CC183" s="4"/>
      <c r="CD183" s="4"/>
      <c r="CE183" s="4"/>
      <c r="CF183" s="4"/>
      <c r="CG183" s="4"/>
      <c r="CH183" s="4"/>
      <c r="CI183" s="4"/>
    </row>
    <row r="184" ht="14.25" customHeight="1" spans="1:87" x14ac:dyDescent="0.25">
      <c r="A184" s="4"/>
      <c r="B184" s="4"/>
      <c r="C184" s="4"/>
      <c r="D184" s="4"/>
      <c r="E184" s="4"/>
      <c r="F184" s="4"/>
      <c r="G184" s="4"/>
      <c r="H184" s="4"/>
      <c r="I184" s="4"/>
      <c r="J184" s="4"/>
      <c r="K184" s="242"/>
      <c r="L184" s="4"/>
      <c r="M184" s="4"/>
      <c r="N184" s="4"/>
      <c r="O184" s="4"/>
      <c r="P184" s="4"/>
      <c r="Q184" s="4"/>
      <c r="R184" s="4"/>
      <c r="S184" s="4"/>
      <c r="T184" s="4"/>
      <c r="U184" s="4"/>
      <c r="V184" s="4"/>
      <c r="W184" s="4"/>
      <c r="X184" s="4"/>
      <c r="Y184" s="4"/>
      <c r="Z184" s="4"/>
      <c r="AA184" s="4"/>
      <c r="AB184" s="4"/>
      <c r="AC184" s="4"/>
      <c r="AD184" s="4"/>
      <c r="AE184" s="4"/>
      <c r="AF184" s="4"/>
      <c r="AG184" s="4"/>
      <c r="AH184" s="4"/>
      <c r="AI184" s="4"/>
      <c r="AJ184" s="4"/>
      <c r="AK184" s="4"/>
      <c r="AL184" s="4"/>
      <c r="AM184" s="4"/>
      <c r="AN184" s="4"/>
      <c r="AO184" s="4"/>
      <c r="AP184" s="4"/>
      <c r="AQ184" s="4"/>
      <c r="AR184" s="4"/>
      <c r="AS184" s="4"/>
      <c r="AT184" s="4"/>
      <c r="AU184" s="4"/>
      <c r="AV184" s="4"/>
      <c r="AW184" s="4"/>
      <c r="AX184" s="4"/>
      <c r="AY184" s="4"/>
      <c r="AZ184" s="4"/>
      <c r="BA184" s="4"/>
      <c r="BB184" s="4"/>
      <c r="BC184" s="4"/>
      <c r="BD184" s="4"/>
      <c r="BE184" s="4"/>
      <c r="BF184" s="4"/>
      <c r="BG184" s="4"/>
      <c r="BH184" s="4"/>
      <c r="BI184" s="4"/>
      <c r="BJ184" s="4"/>
      <c r="BK184" s="4"/>
      <c r="BL184" s="4"/>
      <c r="BM184" s="4"/>
      <c r="BN184" s="4"/>
      <c r="BO184" s="4"/>
      <c r="BP184" s="4"/>
      <c r="BQ184" s="4"/>
      <c r="BR184" s="4"/>
      <c r="BS184" s="4"/>
      <c r="BT184" s="4"/>
      <c r="BU184" s="4"/>
      <c r="BV184" s="4"/>
      <c r="BW184" s="4"/>
      <c r="BX184" s="4"/>
      <c r="BY184" s="4"/>
      <c r="BZ184" s="4"/>
      <c r="CA184" s="4"/>
      <c r="CB184" s="4"/>
      <c r="CC184" s="4"/>
      <c r="CD184" s="4"/>
      <c r="CE184" s="4"/>
      <c r="CF184" s="4"/>
      <c r="CG184" s="4"/>
      <c r="CH184" s="4"/>
      <c r="CI184" s="4"/>
    </row>
    <row r="185" ht="14.25" customHeight="1" spans="1:87" x14ac:dyDescent="0.25">
      <c r="A185" s="4"/>
      <c r="B185" s="4"/>
      <c r="C185" s="4"/>
      <c r="D185" s="4"/>
      <c r="E185" s="4"/>
      <c r="F185" s="4"/>
      <c r="G185" s="4"/>
      <c r="H185" s="4"/>
      <c r="I185" s="4"/>
      <c r="J185" s="4"/>
      <c r="K185" s="242"/>
      <c r="L185" s="4"/>
      <c r="M185" s="4"/>
      <c r="N185" s="4"/>
      <c r="O185" s="4"/>
      <c r="P185" s="4"/>
      <c r="Q185" s="4"/>
      <c r="R185" s="4"/>
      <c r="S185" s="4"/>
      <c r="T185" s="4"/>
      <c r="U185" s="4"/>
      <c r="V185" s="4"/>
      <c r="W185" s="4"/>
      <c r="X185" s="4"/>
      <c r="Y185" s="4"/>
      <c r="Z185" s="4"/>
      <c r="AA185" s="4"/>
      <c r="AB185" s="4"/>
      <c r="AC185" s="4"/>
      <c r="AD185" s="4"/>
      <c r="AE185" s="4"/>
      <c r="AF185" s="4"/>
      <c r="AG185" s="4"/>
      <c r="AH185" s="4"/>
      <c r="AI185" s="4"/>
      <c r="AJ185" s="4"/>
      <c r="AK185" s="4"/>
      <c r="AL185" s="4"/>
      <c r="AM185" s="4"/>
      <c r="AN185" s="4"/>
      <c r="AO185" s="4"/>
      <c r="AP185" s="4"/>
      <c r="AQ185" s="4"/>
      <c r="AR185" s="4"/>
      <c r="AS185" s="4"/>
      <c r="AT185" s="4"/>
      <c r="AU185" s="4"/>
      <c r="AV185" s="4"/>
      <c r="AW185" s="4"/>
      <c r="AX185" s="4"/>
      <c r="AY185" s="4"/>
      <c r="AZ185" s="4"/>
      <c r="BA185" s="4"/>
      <c r="BB185" s="4"/>
      <c r="BC185" s="4"/>
      <c r="BD185" s="4"/>
      <c r="BE185" s="4"/>
      <c r="BF185" s="4"/>
      <c r="BG185" s="4"/>
      <c r="BH185" s="4"/>
      <c r="BI185" s="4"/>
      <c r="BJ185" s="4"/>
      <c r="BK185" s="4"/>
      <c r="BL185" s="4"/>
      <c r="BM185" s="4"/>
      <c r="BN185" s="4"/>
      <c r="BO185" s="4"/>
      <c r="BP185" s="4"/>
      <c r="BQ185" s="4"/>
      <c r="BR185" s="4"/>
      <c r="BS185" s="4"/>
      <c r="BT185" s="4"/>
      <c r="BU185" s="4"/>
      <c r="BV185" s="4"/>
      <c r="BW185" s="4"/>
      <c r="BX185" s="4"/>
      <c r="BY185" s="4"/>
      <c r="BZ185" s="4"/>
      <c r="CA185" s="4"/>
      <c r="CB185" s="4"/>
      <c r="CC185" s="4"/>
      <c r="CD185" s="4"/>
      <c r="CE185" s="4"/>
      <c r="CF185" s="4"/>
      <c r="CG185" s="4"/>
      <c r="CH185" s="4"/>
      <c r="CI185" s="4"/>
    </row>
    <row r="186" ht="14.25" customHeight="1" spans="1:87" x14ac:dyDescent="0.25">
      <c r="A186" s="4"/>
      <c r="B186" s="4"/>
      <c r="C186" s="4"/>
      <c r="D186" s="4"/>
      <c r="E186" s="4"/>
      <c r="F186" s="4"/>
      <c r="G186" s="4"/>
      <c r="H186" s="4"/>
      <c r="I186" s="4"/>
      <c r="J186" s="4"/>
      <c r="K186" s="242"/>
      <c r="L186" s="4"/>
      <c r="M186" s="4"/>
      <c r="N186" s="4"/>
      <c r="O186" s="4"/>
      <c r="P186" s="4"/>
      <c r="Q186" s="4"/>
      <c r="R186" s="4"/>
      <c r="S186" s="4"/>
      <c r="T186" s="4"/>
      <c r="U186" s="4"/>
      <c r="V186" s="4"/>
      <c r="W186" s="4"/>
      <c r="X186" s="4"/>
      <c r="Y186" s="4"/>
      <c r="Z186" s="4"/>
      <c r="AA186" s="4"/>
      <c r="AB186" s="4"/>
      <c r="AC186" s="4"/>
      <c r="AD186" s="4"/>
      <c r="AE186" s="4"/>
      <c r="AF186" s="4"/>
      <c r="AG186" s="4"/>
      <c r="AH186" s="4"/>
      <c r="AI186" s="4"/>
      <c r="AJ186" s="4"/>
      <c r="AK186" s="4"/>
      <c r="AL186" s="4"/>
      <c r="AM186" s="4"/>
      <c r="AN186" s="4"/>
      <c r="AO186" s="4"/>
      <c r="AP186" s="4"/>
      <c r="AQ186" s="4"/>
      <c r="AR186" s="4"/>
      <c r="AS186" s="4"/>
      <c r="AT186" s="4"/>
      <c r="AU186" s="4"/>
      <c r="AV186" s="4"/>
      <c r="AW186" s="4"/>
      <c r="AX186" s="4"/>
      <c r="AY186" s="4"/>
      <c r="AZ186" s="4"/>
      <c r="BA186" s="4"/>
      <c r="BB186" s="4"/>
      <c r="BC186" s="4"/>
      <c r="BD186" s="4"/>
      <c r="BE186" s="4"/>
      <c r="BF186" s="4"/>
      <c r="BG186" s="4"/>
      <c r="BH186" s="4"/>
      <c r="BI186" s="4"/>
      <c r="BJ186" s="4"/>
      <c r="BK186" s="4"/>
      <c r="BL186" s="4"/>
      <c r="BM186" s="4"/>
      <c r="BN186" s="4"/>
      <c r="BO186" s="4"/>
      <c r="BP186" s="4"/>
      <c r="BQ186" s="4"/>
      <c r="BR186" s="4"/>
      <c r="BS186" s="4"/>
      <c r="BT186" s="4"/>
      <c r="BU186" s="4"/>
      <c r="BV186" s="4"/>
      <c r="BW186" s="4"/>
      <c r="BX186" s="4"/>
      <c r="BY186" s="4"/>
      <c r="BZ186" s="4"/>
      <c r="CA186" s="4"/>
      <c r="CB186" s="4"/>
      <c r="CC186" s="4"/>
      <c r="CD186" s="4"/>
      <c r="CE186" s="4"/>
      <c r="CF186" s="4"/>
      <c r="CG186" s="4"/>
      <c r="CH186" s="4"/>
      <c r="CI186" s="4"/>
    </row>
    <row r="187" ht="14.25" customHeight="1" spans="1:87" x14ac:dyDescent="0.25">
      <c r="A187" s="4"/>
      <c r="B187" s="4"/>
      <c r="C187" s="4"/>
      <c r="D187" s="4"/>
      <c r="E187" s="4"/>
      <c r="F187" s="4"/>
      <c r="G187" s="4"/>
      <c r="H187" s="4"/>
      <c r="I187" s="4"/>
      <c r="J187" s="4"/>
      <c r="K187" s="242"/>
      <c r="L187" s="4"/>
      <c r="M187" s="4"/>
      <c r="N187" s="4"/>
      <c r="O187" s="4"/>
      <c r="P187" s="4"/>
      <c r="Q187" s="4"/>
      <c r="R187" s="4"/>
      <c r="S187" s="4"/>
      <c r="T187" s="4"/>
      <c r="U187" s="4"/>
      <c r="V187" s="4"/>
      <c r="W187" s="4"/>
      <c r="X187" s="4"/>
      <c r="Y187" s="4"/>
      <c r="Z187" s="4"/>
      <c r="AA187" s="4"/>
      <c r="AB187" s="4"/>
      <c r="AC187" s="4"/>
      <c r="AD187" s="4"/>
      <c r="AE187" s="4"/>
      <c r="AF187" s="4"/>
      <c r="AG187" s="4"/>
      <c r="AH187" s="4"/>
      <c r="AI187" s="4"/>
      <c r="AJ187" s="4"/>
      <c r="AK187" s="4"/>
      <c r="AL187" s="4"/>
      <c r="AM187" s="4"/>
      <c r="AN187" s="4"/>
      <c r="AO187" s="4"/>
      <c r="AP187" s="4"/>
      <c r="AQ187" s="4"/>
      <c r="AR187" s="4"/>
      <c r="AS187" s="4"/>
      <c r="AT187" s="4"/>
      <c r="AU187" s="4"/>
      <c r="AV187" s="4"/>
      <c r="AW187" s="4"/>
      <c r="AX187" s="4"/>
      <c r="AY187" s="4"/>
      <c r="AZ187" s="4"/>
      <c r="BA187" s="4"/>
      <c r="BB187" s="4"/>
      <c r="BC187" s="4"/>
      <c r="BD187" s="4"/>
      <c r="BE187" s="4"/>
      <c r="BF187" s="4"/>
      <c r="BG187" s="4"/>
      <c r="BH187" s="4"/>
      <c r="BI187" s="4"/>
      <c r="BJ187" s="4"/>
      <c r="BK187" s="4"/>
      <c r="BL187" s="4"/>
      <c r="BM187" s="4"/>
      <c r="BN187" s="4"/>
      <c r="BO187" s="4"/>
      <c r="BP187" s="4"/>
      <c r="BQ187" s="4"/>
      <c r="BR187" s="4"/>
      <c r="BS187" s="4"/>
      <c r="BT187" s="4"/>
      <c r="BU187" s="4"/>
      <c r="BV187" s="4"/>
      <c r="BW187" s="4"/>
      <c r="BX187" s="4"/>
      <c r="BY187" s="4"/>
      <c r="BZ187" s="4"/>
      <c r="CA187" s="4"/>
      <c r="CB187" s="4"/>
      <c r="CC187" s="4"/>
      <c r="CD187" s="4"/>
      <c r="CE187" s="4"/>
      <c r="CF187" s="4"/>
      <c r="CG187" s="4"/>
      <c r="CH187" s="4"/>
      <c r="CI187" s="4"/>
    </row>
    <row r="188" ht="14.25" customHeight="1" spans="1:87" x14ac:dyDescent="0.25">
      <c r="A188" s="4"/>
      <c r="B188" s="4"/>
      <c r="C188" s="4"/>
      <c r="D188" s="4"/>
      <c r="E188" s="4"/>
      <c r="F188" s="4"/>
      <c r="G188" s="4"/>
      <c r="H188" s="4"/>
      <c r="I188" s="4"/>
      <c r="J188" s="4"/>
      <c r="K188" s="242"/>
      <c r="L188" s="4"/>
      <c r="M188" s="4"/>
      <c r="N188" s="4"/>
      <c r="O188" s="4"/>
      <c r="P188" s="4"/>
      <c r="Q188" s="4"/>
      <c r="R188" s="4"/>
      <c r="S188" s="4"/>
      <c r="T188" s="4"/>
      <c r="U188" s="4"/>
      <c r="V188" s="4"/>
      <c r="W188" s="4"/>
      <c r="X188" s="4"/>
      <c r="Y188" s="4"/>
      <c r="Z188" s="4"/>
      <c r="AA188" s="4"/>
      <c r="AB188" s="4"/>
      <c r="AC188" s="4"/>
      <c r="AD188" s="4"/>
      <c r="AE188" s="4"/>
      <c r="AF188" s="4"/>
      <c r="AG188" s="4"/>
      <c r="AH188" s="4"/>
      <c r="AI188" s="4"/>
      <c r="AJ188" s="4"/>
      <c r="AK188" s="4"/>
      <c r="AL188" s="4"/>
      <c r="AM188" s="4"/>
      <c r="AN188" s="4"/>
      <c r="AO188" s="4"/>
      <c r="AP188" s="4"/>
      <c r="AQ188" s="4"/>
      <c r="AR188" s="4"/>
      <c r="AS188" s="4"/>
      <c r="AT188" s="4"/>
      <c r="AU188" s="4"/>
      <c r="AV188" s="4"/>
      <c r="AW188" s="4"/>
      <c r="AX188" s="4"/>
      <c r="AY188" s="4"/>
      <c r="AZ188" s="4"/>
      <c r="BA188" s="4"/>
      <c r="BB188" s="4"/>
      <c r="BC188" s="4"/>
      <c r="BD188" s="4"/>
      <c r="BE188" s="4"/>
      <c r="BF188" s="4"/>
      <c r="BG188" s="4"/>
      <c r="BH188" s="4"/>
      <c r="BI188" s="4"/>
      <c r="BJ188" s="4"/>
      <c r="BK188" s="4"/>
      <c r="BL188" s="4"/>
      <c r="BM188" s="4"/>
      <c r="BN188" s="4"/>
      <c r="BO188" s="4"/>
      <c r="BP188" s="4"/>
      <c r="BQ188" s="4"/>
      <c r="BR188" s="4"/>
      <c r="BS188" s="4"/>
      <c r="BT188" s="4"/>
      <c r="BU188" s="4"/>
      <c r="BV188" s="4"/>
      <c r="BW188" s="4"/>
      <c r="BX188" s="4"/>
      <c r="BY188" s="4"/>
      <c r="BZ188" s="4"/>
      <c r="CA188" s="4"/>
      <c r="CB188" s="4"/>
      <c r="CC188" s="4"/>
      <c r="CD188" s="4"/>
      <c r="CE188" s="4"/>
      <c r="CF188" s="4"/>
      <c r="CG188" s="4"/>
      <c r="CH188" s="4"/>
      <c r="CI188" s="4"/>
    </row>
    <row r="189" ht="14.25" customHeight="1" spans="1:87" x14ac:dyDescent="0.25">
      <c r="A189" s="4"/>
      <c r="B189" s="4"/>
      <c r="C189" s="4"/>
      <c r="D189" s="4"/>
      <c r="E189" s="4"/>
      <c r="F189" s="4"/>
      <c r="G189" s="4"/>
      <c r="H189" s="4"/>
      <c r="I189" s="4"/>
      <c r="J189" s="4"/>
      <c r="K189" s="242"/>
      <c r="L189" s="4"/>
      <c r="M189" s="4"/>
      <c r="N189" s="4"/>
      <c r="O189" s="4"/>
      <c r="P189" s="4"/>
      <c r="Q189" s="4"/>
      <c r="R189" s="4"/>
      <c r="S189" s="4"/>
      <c r="T189" s="4"/>
      <c r="U189" s="4"/>
      <c r="V189" s="4"/>
      <c r="W189" s="4"/>
      <c r="X189" s="4"/>
      <c r="Y189" s="4"/>
      <c r="Z189" s="4"/>
      <c r="AA189" s="4"/>
      <c r="AB189" s="4"/>
      <c r="AC189" s="4"/>
      <c r="AD189" s="4"/>
      <c r="AE189" s="4"/>
      <c r="AF189" s="4"/>
      <c r="AG189" s="4"/>
      <c r="AH189" s="4"/>
      <c r="AI189" s="4"/>
      <c r="AJ189" s="4"/>
      <c r="AK189" s="4"/>
      <c r="AL189" s="4"/>
      <c r="AM189" s="4"/>
      <c r="AN189" s="4"/>
      <c r="AO189" s="4"/>
      <c r="AP189" s="4"/>
      <c r="AQ189" s="4"/>
      <c r="AR189" s="4"/>
      <c r="AS189" s="4"/>
      <c r="AT189" s="4"/>
      <c r="AU189" s="4"/>
      <c r="AV189" s="4"/>
      <c r="AW189" s="4"/>
      <c r="AX189" s="4"/>
      <c r="AY189" s="4"/>
      <c r="AZ189" s="4"/>
      <c r="BA189" s="4"/>
      <c r="BB189" s="4"/>
      <c r="BC189" s="4"/>
      <c r="BD189" s="4"/>
      <c r="BE189" s="4"/>
      <c r="BF189" s="4"/>
      <c r="BG189" s="4"/>
      <c r="BH189" s="4"/>
      <c r="BI189" s="4"/>
      <c r="BJ189" s="4"/>
      <c r="BK189" s="4"/>
      <c r="BL189" s="4"/>
      <c r="BM189" s="4"/>
      <c r="BN189" s="4"/>
      <c r="BO189" s="4"/>
      <c r="BP189" s="4"/>
      <c r="BQ189" s="4"/>
      <c r="BR189" s="4"/>
      <c r="BS189" s="4"/>
      <c r="BT189" s="4"/>
      <c r="BU189" s="4"/>
      <c r="BV189" s="4"/>
      <c r="BW189" s="4"/>
      <c r="BX189" s="4"/>
      <c r="BY189" s="4"/>
      <c r="BZ189" s="4"/>
      <c r="CA189" s="4"/>
      <c r="CB189" s="4"/>
      <c r="CC189" s="4"/>
      <c r="CD189" s="4"/>
      <c r="CE189" s="4"/>
      <c r="CF189" s="4"/>
      <c r="CG189" s="4"/>
      <c r="CH189" s="4"/>
      <c r="CI189" s="4"/>
    </row>
    <row r="190" ht="14.25" customHeight="1" spans="1:87" x14ac:dyDescent="0.25">
      <c r="A190" s="4"/>
      <c r="B190" s="4"/>
      <c r="C190" s="4"/>
      <c r="D190" s="4"/>
      <c r="E190" s="4"/>
      <c r="F190" s="4"/>
      <c r="G190" s="4"/>
      <c r="H190" s="4"/>
      <c r="I190" s="4"/>
      <c r="J190" s="4"/>
      <c r="K190" s="242"/>
      <c r="L190" s="4"/>
      <c r="M190" s="4"/>
      <c r="N190" s="4"/>
      <c r="O190" s="4"/>
      <c r="P190" s="4"/>
      <c r="Q190" s="4"/>
      <c r="R190" s="4"/>
      <c r="S190" s="4"/>
      <c r="T190" s="4"/>
      <c r="U190" s="4"/>
      <c r="V190" s="4"/>
      <c r="W190" s="4"/>
      <c r="X190" s="4"/>
      <c r="Y190" s="4"/>
      <c r="Z190" s="4"/>
      <c r="AA190" s="4"/>
      <c r="AB190" s="4"/>
      <c r="AC190" s="4"/>
      <c r="AD190" s="4"/>
      <c r="AE190" s="4"/>
      <c r="AF190" s="4"/>
      <c r="AG190" s="4"/>
      <c r="AH190" s="4"/>
      <c r="AI190" s="4"/>
      <c r="AJ190" s="4"/>
      <c r="AK190" s="4"/>
      <c r="AL190" s="4"/>
      <c r="AM190" s="4"/>
      <c r="AN190" s="4"/>
      <c r="AO190" s="4"/>
      <c r="AP190" s="4"/>
      <c r="AQ190" s="4"/>
      <c r="AR190" s="4"/>
      <c r="AS190" s="4"/>
      <c r="AT190" s="4"/>
      <c r="AU190" s="4"/>
      <c r="AV190" s="4"/>
      <c r="AW190" s="4"/>
      <c r="AX190" s="4"/>
      <c r="AY190" s="4"/>
      <c r="AZ190" s="4"/>
      <c r="BA190" s="4"/>
      <c r="BB190" s="4"/>
      <c r="BC190" s="4"/>
      <c r="BD190" s="4"/>
      <c r="BE190" s="4"/>
      <c r="BF190" s="4"/>
      <c r="BG190" s="4"/>
      <c r="BH190" s="4"/>
      <c r="BI190" s="4"/>
      <c r="BJ190" s="4"/>
      <c r="BK190" s="4"/>
      <c r="BL190" s="4"/>
      <c r="BM190" s="4"/>
      <c r="BN190" s="4"/>
      <c r="BO190" s="4"/>
      <c r="BP190" s="4"/>
      <c r="BQ190" s="4"/>
      <c r="BR190" s="4"/>
      <c r="BS190" s="4"/>
      <c r="BT190" s="4"/>
      <c r="BU190" s="4"/>
      <c r="BV190" s="4"/>
      <c r="BW190" s="4"/>
      <c r="BX190" s="4"/>
      <c r="BY190" s="4"/>
      <c r="BZ190" s="4"/>
      <c r="CA190" s="4"/>
      <c r="CB190" s="4"/>
      <c r="CC190" s="4"/>
      <c r="CD190" s="4"/>
      <c r="CE190" s="4"/>
      <c r="CF190" s="4"/>
      <c r="CG190" s="4"/>
      <c r="CH190" s="4"/>
      <c r="CI190" s="4"/>
    </row>
    <row r="191" ht="14.25" customHeight="1" spans="1:87" x14ac:dyDescent="0.25">
      <c r="A191" s="4"/>
      <c r="B191" s="4"/>
      <c r="C191" s="4"/>
      <c r="D191" s="4"/>
      <c r="E191" s="4"/>
      <c r="F191" s="4"/>
      <c r="G191" s="4"/>
      <c r="H191" s="4"/>
      <c r="I191" s="4"/>
      <c r="J191" s="4"/>
      <c r="K191" s="242"/>
      <c r="L191" s="4"/>
      <c r="M191" s="4"/>
      <c r="N191" s="4"/>
      <c r="O191" s="4"/>
      <c r="P191" s="4"/>
      <c r="Q191" s="4"/>
      <c r="R191" s="4"/>
      <c r="S191" s="4"/>
      <c r="T191" s="4"/>
      <c r="U191" s="4"/>
      <c r="V191" s="4"/>
      <c r="W191" s="4"/>
      <c r="X191" s="4"/>
      <c r="Y191" s="4"/>
      <c r="Z191" s="4"/>
      <c r="AA191" s="4"/>
      <c r="AB191" s="4"/>
      <c r="AC191" s="4"/>
      <c r="AD191" s="4"/>
      <c r="AE191" s="4"/>
      <c r="AF191" s="4"/>
      <c r="AG191" s="4"/>
      <c r="AH191" s="4"/>
      <c r="AI191" s="4"/>
      <c r="AJ191" s="4"/>
      <c r="AK191" s="4"/>
      <c r="AL191" s="4"/>
      <c r="AM191" s="4"/>
      <c r="AN191" s="4"/>
      <c r="AO191" s="4"/>
      <c r="AP191" s="4"/>
      <c r="AQ191" s="4"/>
      <c r="AR191" s="4"/>
      <c r="AS191" s="4"/>
      <c r="AT191" s="4"/>
      <c r="AU191" s="4"/>
      <c r="AV191" s="4"/>
      <c r="AW191" s="4"/>
      <c r="AX191" s="4"/>
      <c r="AY191" s="4"/>
      <c r="AZ191" s="4"/>
      <c r="BA191" s="4"/>
      <c r="BB191" s="4"/>
      <c r="BC191" s="4"/>
      <c r="BD191" s="4"/>
      <c r="BE191" s="4"/>
      <c r="BF191" s="4"/>
      <c r="BG191" s="4"/>
      <c r="BH191" s="4"/>
      <c r="BI191" s="4"/>
      <c r="BJ191" s="4"/>
      <c r="BK191" s="4"/>
      <c r="BL191" s="4"/>
      <c r="BM191" s="4"/>
      <c r="BN191" s="4"/>
      <c r="BO191" s="4"/>
      <c r="BP191" s="4"/>
      <c r="BQ191" s="4"/>
      <c r="BR191" s="4"/>
      <c r="BS191" s="4"/>
      <c r="BT191" s="4"/>
      <c r="BU191" s="4"/>
      <c r="BV191" s="4"/>
      <c r="BW191" s="4"/>
      <c r="BX191" s="4"/>
      <c r="BY191" s="4"/>
      <c r="BZ191" s="4"/>
      <c r="CA191" s="4"/>
      <c r="CB191" s="4"/>
      <c r="CC191" s="4"/>
      <c r="CD191" s="4"/>
      <c r="CE191" s="4"/>
      <c r="CF191" s="4"/>
      <c r="CG191" s="4"/>
      <c r="CH191" s="4"/>
      <c r="CI191" s="4"/>
    </row>
    <row r="192" ht="14.25" customHeight="1" spans="1:87" x14ac:dyDescent="0.25">
      <c r="A192" s="4"/>
      <c r="B192" s="4"/>
      <c r="C192" s="4"/>
      <c r="D192" s="4"/>
      <c r="E192" s="4"/>
      <c r="F192" s="4"/>
      <c r="G192" s="4"/>
      <c r="H192" s="4"/>
      <c r="I192" s="4"/>
      <c r="J192" s="4"/>
      <c r="K192" s="242"/>
      <c r="L192" s="4"/>
      <c r="M192" s="4"/>
      <c r="N192" s="4"/>
      <c r="O192" s="4"/>
      <c r="P192" s="4"/>
      <c r="Q192" s="4"/>
      <c r="R192" s="4"/>
      <c r="S192" s="4"/>
      <c r="T192" s="4"/>
      <c r="U192" s="4"/>
      <c r="V192" s="4"/>
      <c r="W192" s="4"/>
      <c r="X192" s="4"/>
      <c r="Y192" s="4"/>
      <c r="Z192" s="4"/>
      <c r="AA192" s="4"/>
      <c r="AB192" s="4"/>
      <c r="AC192" s="4"/>
      <c r="AD192" s="4"/>
      <c r="AE192" s="4"/>
      <c r="AF192" s="4"/>
      <c r="AG192" s="4"/>
      <c r="AH192" s="4"/>
      <c r="AI192" s="4"/>
      <c r="AJ192" s="4"/>
      <c r="AK192" s="4"/>
      <c r="AL192" s="4"/>
      <c r="AM192" s="4"/>
      <c r="AN192" s="4"/>
      <c r="AO192" s="4"/>
      <c r="AP192" s="4"/>
      <c r="AQ192" s="4"/>
      <c r="AR192" s="4"/>
      <c r="AS192" s="4"/>
      <c r="AT192" s="4"/>
      <c r="AU192" s="4"/>
      <c r="AV192" s="4"/>
      <c r="AW192" s="4"/>
      <c r="AX192" s="4"/>
      <c r="AY192" s="4"/>
      <c r="AZ192" s="4"/>
      <c r="BA192" s="4"/>
      <c r="BB192" s="4"/>
      <c r="BC192" s="4"/>
      <c r="BD192" s="4"/>
      <c r="BE192" s="4"/>
      <c r="BF192" s="4"/>
      <c r="BG192" s="4"/>
      <c r="BH192" s="4"/>
      <c r="BI192" s="4"/>
      <c r="BJ192" s="4"/>
      <c r="BK192" s="4"/>
      <c r="BL192" s="4"/>
      <c r="BM192" s="4"/>
      <c r="BN192" s="4"/>
      <c r="BO192" s="4"/>
      <c r="BP192" s="4"/>
      <c r="BQ192" s="4"/>
      <c r="BR192" s="4"/>
      <c r="BS192" s="4"/>
      <c r="BT192" s="4"/>
      <c r="BU192" s="4"/>
      <c r="BV192" s="4"/>
      <c r="BW192" s="4"/>
      <c r="BX192" s="4"/>
      <c r="BY192" s="4"/>
      <c r="BZ192" s="4"/>
      <c r="CA192" s="4"/>
      <c r="CB192" s="4"/>
      <c r="CC192" s="4"/>
      <c r="CD192" s="4"/>
      <c r="CE192" s="4"/>
      <c r="CF192" s="4"/>
      <c r="CG192" s="4"/>
      <c r="CH192" s="4"/>
      <c r="CI192" s="4"/>
    </row>
    <row r="193" ht="14.25" customHeight="1" spans="1:87" x14ac:dyDescent="0.25">
      <c r="A193" s="4"/>
      <c r="B193" s="4"/>
      <c r="C193" s="4"/>
      <c r="D193" s="4"/>
      <c r="E193" s="4"/>
      <c r="F193" s="4"/>
      <c r="G193" s="4"/>
      <c r="H193" s="4"/>
      <c r="I193" s="4"/>
      <c r="J193" s="4"/>
      <c r="K193" s="242"/>
      <c r="L193" s="4"/>
      <c r="M193" s="4"/>
      <c r="N193" s="4"/>
      <c r="O193" s="4"/>
      <c r="P193" s="4"/>
      <c r="Q193" s="4"/>
      <c r="R193" s="4"/>
      <c r="S193" s="4"/>
      <c r="T193" s="4"/>
      <c r="U193" s="4"/>
      <c r="V193" s="4"/>
      <c r="W193" s="4"/>
      <c r="X193" s="4"/>
      <c r="Y193" s="4"/>
      <c r="Z193" s="4"/>
      <c r="AA193" s="4"/>
      <c r="AB193" s="4"/>
      <c r="AC193" s="4"/>
      <c r="AD193" s="4"/>
      <c r="AE193" s="4"/>
      <c r="AF193" s="4"/>
      <c r="AG193" s="4"/>
      <c r="AH193" s="4"/>
      <c r="AI193" s="4"/>
      <c r="AJ193" s="4"/>
      <c r="AK193" s="4"/>
      <c r="AL193" s="4"/>
      <c r="AM193" s="4"/>
      <c r="AN193" s="4"/>
      <c r="AO193" s="4"/>
      <c r="AP193" s="4"/>
      <c r="AQ193" s="4"/>
      <c r="AR193" s="4"/>
      <c r="AS193" s="4"/>
      <c r="AT193" s="4"/>
      <c r="AU193" s="4"/>
      <c r="AV193" s="4"/>
      <c r="AW193" s="4"/>
      <c r="AX193" s="4"/>
      <c r="AY193" s="4"/>
      <c r="AZ193" s="4"/>
      <c r="BA193" s="4"/>
      <c r="BB193" s="4"/>
      <c r="BC193" s="4"/>
      <c r="BD193" s="4"/>
      <c r="BE193" s="4"/>
      <c r="BF193" s="4"/>
      <c r="BG193" s="4"/>
      <c r="BH193" s="4"/>
      <c r="BI193" s="4"/>
      <c r="BJ193" s="4"/>
      <c r="BK193" s="4"/>
      <c r="BL193" s="4"/>
      <c r="BM193" s="4"/>
      <c r="BN193" s="4"/>
      <c r="BO193" s="4"/>
      <c r="BP193" s="4"/>
      <c r="BQ193" s="4"/>
      <c r="BR193" s="4"/>
      <c r="BS193" s="4"/>
      <c r="BT193" s="4"/>
      <c r="BU193" s="4"/>
      <c r="BV193" s="4"/>
      <c r="BW193" s="4"/>
      <c r="BX193" s="4"/>
      <c r="BY193" s="4"/>
      <c r="BZ193" s="4"/>
      <c r="CA193" s="4"/>
      <c r="CB193" s="4"/>
      <c r="CC193" s="4"/>
      <c r="CD193" s="4"/>
      <c r="CE193" s="4"/>
      <c r="CF193" s="4"/>
      <c r="CG193" s="4"/>
      <c r="CH193" s="4"/>
      <c r="CI193" s="4"/>
    </row>
    <row r="194" ht="14.25" customHeight="1" spans="1:87" x14ac:dyDescent="0.25">
      <c r="A194" s="4"/>
      <c r="B194" s="4"/>
      <c r="C194" s="4"/>
      <c r="D194" s="4"/>
      <c r="E194" s="4"/>
      <c r="F194" s="4"/>
      <c r="G194" s="4"/>
      <c r="H194" s="4"/>
      <c r="I194" s="4"/>
      <c r="J194" s="4"/>
      <c r="K194" s="242"/>
      <c r="L194" s="4"/>
      <c r="M194" s="4"/>
      <c r="N194" s="4"/>
      <c r="O194" s="4"/>
      <c r="P194" s="4"/>
      <c r="Q194" s="4"/>
      <c r="R194" s="4"/>
      <c r="S194" s="4"/>
      <c r="T194" s="4"/>
      <c r="U194" s="4"/>
      <c r="V194" s="4"/>
      <c r="W194" s="4"/>
      <c r="X194" s="4"/>
      <c r="Y194" s="4"/>
      <c r="Z194" s="4"/>
      <c r="AA194" s="4"/>
      <c r="AB194" s="4"/>
      <c r="AC194" s="4"/>
      <c r="AD194" s="4"/>
      <c r="AE194" s="4"/>
      <c r="AF194" s="4"/>
      <c r="AG194" s="4"/>
      <c r="AH194" s="4"/>
      <c r="AI194" s="4"/>
      <c r="AJ194" s="4"/>
      <c r="AK194" s="4"/>
      <c r="AL194" s="4"/>
      <c r="AM194" s="4"/>
      <c r="AN194" s="4"/>
      <c r="AO194" s="4"/>
      <c r="AP194" s="4"/>
      <c r="AQ194" s="4"/>
      <c r="AR194" s="4"/>
      <c r="AS194" s="4"/>
      <c r="AT194" s="4"/>
      <c r="AU194" s="4"/>
      <c r="AV194" s="4"/>
      <c r="AW194" s="4"/>
      <c r="AX194" s="4"/>
      <c r="AY194" s="4"/>
      <c r="AZ194" s="4"/>
      <c r="BA194" s="4"/>
      <c r="BB194" s="4"/>
      <c r="BC194" s="4"/>
      <c r="BD194" s="4"/>
      <c r="BE194" s="4"/>
      <c r="BF194" s="4"/>
      <c r="BG194" s="4"/>
      <c r="BH194" s="4"/>
      <c r="BI194" s="4"/>
      <c r="BJ194" s="4"/>
      <c r="BK194" s="4"/>
      <c r="BL194" s="4"/>
      <c r="BM194" s="4"/>
      <c r="BN194" s="4"/>
      <c r="BO194" s="4"/>
      <c r="BP194" s="4"/>
      <c r="BQ194" s="4"/>
      <c r="BR194" s="4"/>
      <c r="BS194" s="4"/>
      <c r="BT194" s="4"/>
      <c r="BU194" s="4"/>
      <c r="BV194" s="4"/>
      <c r="BW194" s="4"/>
      <c r="BX194" s="4"/>
      <c r="BY194" s="4"/>
      <c r="BZ194" s="4"/>
      <c r="CA194" s="4"/>
      <c r="CB194" s="4"/>
      <c r="CC194" s="4"/>
      <c r="CD194" s="4"/>
      <c r="CE194" s="4"/>
      <c r="CF194" s="4"/>
      <c r="CG194" s="4"/>
      <c r="CH194" s="4"/>
      <c r="CI194" s="4"/>
    </row>
    <row r="195" ht="14.25" customHeight="1" spans="1:87" x14ac:dyDescent="0.25">
      <c r="A195" s="4"/>
      <c r="B195" s="4"/>
      <c r="C195" s="4"/>
      <c r="D195" s="4"/>
      <c r="E195" s="4"/>
      <c r="F195" s="4"/>
      <c r="G195" s="4"/>
      <c r="H195" s="4"/>
      <c r="I195" s="4"/>
      <c r="J195" s="4"/>
      <c r="K195" s="242"/>
      <c r="L195" s="4"/>
      <c r="M195" s="4"/>
      <c r="N195" s="4"/>
      <c r="O195" s="4"/>
      <c r="P195" s="4"/>
      <c r="Q195" s="4"/>
      <c r="R195" s="4"/>
      <c r="S195" s="4"/>
      <c r="T195" s="4"/>
      <c r="U195" s="4"/>
      <c r="V195" s="4"/>
      <c r="W195" s="4"/>
      <c r="X195" s="4"/>
      <c r="Y195" s="4"/>
      <c r="Z195" s="4"/>
      <c r="AA195" s="4"/>
      <c r="AB195" s="4"/>
      <c r="AC195" s="4"/>
      <c r="AD195" s="4"/>
      <c r="AE195" s="4"/>
      <c r="AF195" s="4"/>
      <c r="AG195" s="4"/>
      <c r="AH195" s="4"/>
      <c r="AI195" s="4"/>
      <c r="AJ195" s="4"/>
      <c r="AK195" s="4"/>
      <c r="AL195" s="4"/>
      <c r="AM195" s="4"/>
      <c r="AN195" s="4"/>
      <c r="AO195" s="4"/>
      <c r="AP195" s="4"/>
      <c r="AQ195" s="4"/>
      <c r="AR195" s="4"/>
      <c r="AS195" s="4"/>
      <c r="AT195" s="4"/>
      <c r="AU195" s="4"/>
      <c r="AV195" s="4"/>
      <c r="AW195" s="4"/>
      <c r="AX195" s="4"/>
      <c r="AY195" s="4"/>
      <c r="AZ195" s="4"/>
      <c r="BA195" s="4"/>
      <c r="BB195" s="4"/>
      <c r="BC195" s="4"/>
      <c r="BD195" s="4"/>
      <c r="BE195" s="4"/>
      <c r="BF195" s="4"/>
      <c r="BG195" s="4"/>
      <c r="BH195" s="4"/>
      <c r="BI195" s="4"/>
      <c r="BJ195" s="4"/>
      <c r="BK195" s="4"/>
      <c r="BL195" s="4"/>
      <c r="BM195" s="4"/>
      <c r="BN195" s="4"/>
      <c r="BO195" s="4"/>
      <c r="BP195" s="4"/>
      <c r="BQ195" s="4"/>
      <c r="BR195" s="4"/>
      <c r="BS195" s="4"/>
      <c r="BT195" s="4"/>
      <c r="BU195" s="4"/>
      <c r="BV195" s="4"/>
      <c r="BW195" s="4"/>
      <c r="BX195" s="4"/>
      <c r="BY195" s="4"/>
      <c r="BZ195" s="4"/>
      <c r="CA195" s="4"/>
      <c r="CB195" s="4"/>
      <c r="CC195" s="4"/>
      <c r="CD195" s="4"/>
      <c r="CE195" s="4"/>
      <c r="CF195" s="4"/>
      <c r="CG195" s="4"/>
      <c r="CH195" s="4"/>
      <c r="CI195" s="4"/>
    </row>
    <row r="196" ht="14.25" customHeight="1" spans="1:87" x14ac:dyDescent="0.25">
      <c r="A196" s="4"/>
      <c r="B196" s="4"/>
      <c r="C196" s="4"/>
      <c r="D196" s="4"/>
      <c r="E196" s="4"/>
      <c r="F196" s="4"/>
      <c r="G196" s="4"/>
      <c r="H196" s="4"/>
      <c r="I196" s="4"/>
      <c r="J196" s="4"/>
      <c r="K196" s="242"/>
      <c r="L196" s="4"/>
      <c r="M196" s="4"/>
      <c r="N196" s="4"/>
      <c r="O196" s="4"/>
      <c r="P196" s="4"/>
      <c r="Q196" s="4"/>
      <c r="R196" s="4"/>
      <c r="S196" s="4"/>
      <c r="T196" s="4"/>
      <c r="U196" s="4"/>
      <c r="V196" s="4"/>
      <c r="W196" s="4"/>
      <c r="X196" s="4"/>
      <c r="Y196" s="4"/>
      <c r="Z196" s="4"/>
      <c r="AA196" s="4"/>
      <c r="AB196" s="4"/>
      <c r="AC196" s="4"/>
      <c r="AD196" s="4"/>
      <c r="AE196" s="4"/>
      <c r="AF196" s="4"/>
      <c r="AG196" s="4"/>
      <c r="AH196" s="4"/>
      <c r="AI196" s="4"/>
      <c r="AJ196" s="4"/>
      <c r="AK196" s="4"/>
      <c r="AL196" s="4"/>
      <c r="AM196" s="4"/>
      <c r="AN196" s="4"/>
      <c r="AO196" s="4"/>
      <c r="AP196" s="4"/>
      <c r="AQ196" s="4"/>
      <c r="AR196" s="4"/>
      <c r="AS196" s="4"/>
      <c r="AT196" s="4"/>
      <c r="AU196" s="4"/>
      <c r="AV196" s="4"/>
      <c r="AW196" s="4"/>
      <c r="AX196" s="4"/>
      <c r="AY196" s="4"/>
      <c r="AZ196" s="4"/>
      <c r="BA196" s="4"/>
      <c r="BB196" s="4"/>
      <c r="BC196" s="4"/>
      <c r="BD196" s="4"/>
      <c r="BE196" s="4"/>
      <c r="BF196" s="4"/>
      <c r="BG196" s="4"/>
      <c r="BH196" s="4"/>
      <c r="BI196" s="4"/>
      <c r="BJ196" s="4"/>
      <c r="BK196" s="4"/>
      <c r="BL196" s="4"/>
      <c r="BM196" s="4"/>
      <c r="BN196" s="4"/>
      <c r="BO196" s="4"/>
      <c r="BP196" s="4"/>
      <c r="BQ196" s="4"/>
      <c r="BR196" s="4"/>
      <c r="BS196" s="4"/>
      <c r="BT196" s="4"/>
      <c r="BU196" s="4"/>
      <c r="BV196" s="4"/>
      <c r="BW196" s="4"/>
      <c r="BX196" s="4"/>
      <c r="BY196" s="4"/>
      <c r="BZ196" s="4"/>
      <c r="CA196" s="4"/>
      <c r="CB196" s="4"/>
      <c r="CC196" s="4"/>
      <c r="CD196" s="4"/>
      <c r="CE196" s="4"/>
      <c r="CF196" s="4"/>
      <c r="CG196" s="4"/>
      <c r="CH196" s="4"/>
      <c r="CI196" s="4"/>
    </row>
    <row r="197" ht="14.25" customHeight="1" spans="1:87" x14ac:dyDescent="0.25">
      <c r="A197" s="4"/>
      <c r="B197" s="4"/>
      <c r="C197" s="4"/>
      <c r="D197" s="4"/>
      <c r="E197" s="4"/>
      <c r="F197" s="4"/>
      <c r="G197" s="4"/>
      <c r="H197" s="4"/>
      <c r="I197" s="4"/>
      <c r="J197" s="4"/>
      <c r="K197" s="242"/>
      <c r="L197" s="4"/>
      <c r="M197" s="4"/>
      <c r="N197" s="4"/>
      <c r="O197" s="4"/>
      <c r="P197" s="4"/>
      <c r="Q197" s="4"/>
      <c r="R197" s="4"/>
      <c r="S197" s="4"/>
      <c r="T197" s="4"/>
      <c r="U197" s="4"/>
      <c r="V197" s="4"/>
      <c r="W197" s="4"/>
      <c r="X197" s="4"/>
      <c r="Y197" s="4"/>
      <c r="Z197" s="4"/>
      <c r="AA197" s="4"/>
      <c r="AB197" s="4"/>
      <c r="AC197" s="4"/>
      <c r="AD197" s="4"/>
      <c r="AE197" s="4"/>
      <c r="AF197" s="4"/>
      <c r="AG197" s="4"/>
      <c r="AH197" s="4"/>
      <c r="AI197" s="4"/>
      <c r="AJ197" s="4"/>
      <c r="AK197" s="4"/>
      <c r="AL197" s="4"/>
      <c r="AM197" s="4"/>
      <c r="AN197" s="4"/>
      <c r="AO197" s="4"/>
      <c r="AP197" s="4"/>
      <c r="AQ197" s="4"/>
      <c r="AR197" s="4"/>
      <c r="AS197" s="4"/>
      <c r="AT197" s="4"/>
      <c r="AU197" s="4"/>
      <c r="AV197" s="4"/>
      <c r="AW197" s="4"/>
      <c r="AX197" s="4"/>
      <c r="AY197" s="4"/>
      <c r="AZ197" s="4"/>
      <c r="BA197" s="4"/>
      <c r="BB197" s="4"/>
      <c r="BC197" s="4"/>
      <c r="BD197" s="4"/>
      <c r="BE197" s="4"/>
      <c r="BF197" s="4"/>
      <c r="BG197" s="4"/>
      <c r="BH197" s="4"/>
      <c r="BI197" s="4"/>
      <c r="BJ197" s="4"/>
      <c r="BK197" s="4"/>
      <c r="BL197" s="4"/>
      <c r="BM197" s="4"/>
      <c r="BN197" s="4"/>
      <c r="BO197" s="4"/>
      <c r="BP197" s="4"/>
      <c r="BQ197" s="4"/>
      <c r="BR197" s="4"/>
      <c r="BS197" s="4"/>
      <c r="BT197" s="4"/>
      <c r="BU197" s="4"/>
      <c r="BV197" s="4"/>
      <c r="BW197" s="4"/>
      <c r="BX197" s="4"/>
      <c r="BY197" s="4"/>
      <c r="BZ197" s="4"/>
      <c r="CA197" s="4"/>
      <c r="CB197" s="4"/>
      <c r="CC197" s="4"/>
      <c r="CD197" s="4"/>
      <c r="CE197" s="4"/>
      <c r="CF197" s="4"/>
      <c r="CG197" s="4"/>
      <c r="CH197" s="4"/>
      <c r="CI197" s="4"/>
    </row>
    <row r="198" ht="14.25" customHeight="1" spans="1:87" x14ac:dyDescent="0.25">
      <c r="A198" s="4"/>
      <c r="B198" s="4"/>
      <c r="C198" s="4"/>
      <c r="D198" s="4"/>
      <c r="E198" s="4"/>
      <c r="F198" s="4"/>
      <c r="G198" s="4"/>
      <c r="H198" s="4"/>
      <c r="I198" s="4"/>
      <c r="J198" s="4"/>
      <c r="K198" s="242"/>
      <c r="L198" s="4"/>
      <c r="M198" s="4"/>
      <c r="N198" s="4"/>
      <c r="O198" s="4"/>
      <c r="P198" s="4"/>
      <c r="Q198" s="4"/>
      <c r="R198" s="4"/>
      <c r="S198" s="4"/>
      <c r="T198" s="4"/>
      <c r="U198" s="4"/>
      <c r="V198" s="4"/>
      <c r="W198" s="4"/>
      <c r="X198" s="4"/>
      <c r="Y198" s="4"/>
      <c r="Z198" s="4"/>
      <c r="AA198" s="4"/>
      <c r="AB198" s="4"/>
      <c r="AC198" s="4"/>
      <c r="AD198" s="4"/>
      <c r="AE198" s="4"/>
      <c r="AF198" s="4"/>
      <c r="AG198" s="4"/>
      <c r="AH198" s="4"/>
      <c r="AI198" s="4"/>
      <c r="AJ198" s="4"/>
      <c r="AK198" s="4"/>
      <c r="AL198" s="4"/>
      <c r="AM198" s="4"/>
      <c r="AN198" s="4"/>
      <c r="AO198" s="4"/>
      <c r="AP198" s="4"/>
      <c r="AQ198" s="4"/>
      <c r="AR198" s="4"/>
      <c r="AS198" s="4"/>
      <c r="AT198" s="4"/>
      <c r="AU198" s="4"/>
      <c r="AV198" s="4"/>
      <c r="AW198" s="4"/>
      <c r="AX198" s="4"/>
      <c r="AY198" s="4"/>
      <c r="AZ198" s="4"/>
      <c r="BA198" s="4"/>
      <c r="BB198" s="4"/>
      <c r="BC198" s="4"/>
      <c r="BD198" s="4"/>
      <c r="BE198" s="4"/>
      <c r="BF198" s="4"/>
      <c r="BG198" s="4"/>
      <c r="BH198" s="4"/>
      <c r="BI198" s="4"/>
      <c r="BJ198" s="4"/>
      <c r="BK198" s="4"/>
      <c r="BL198" s="4"/>
      <c r="BM198" s="4"/>
      <c r="BN198" s="4"/>
      <c r="BO198" s="4"/>
      <c r="BP198" s="4"/>
      <c r="BQ198" s="4"/>
      <c r="BR198" s="4"/>
      <c r="BS198" s="4"/>
      <c r="BT198" s="4"/>
      <c r="BU198" s="4"/>
      <c r="BV198" s="4"/>
      <c r="BW198" s="4"/>
      <c r="BX198" s="4"/>
      <c r="BY198" s="4"/>
      <c r="BZ198" s="4"/>
      <c r="CA198" s="4"/>
      <c r="CB198" s="4"/>
      <c r="CC198" s="4"/>
      <c r="CD198" s="4"/>
      <c r="CE198" s="4"/>
      <c r="CF198" s="4"/>
      <c r="CG198" s="4"/>
      <c r="CH198" s="4"/>
      <c r="CI198" s="4"/>
    </row>
    <row r="199" ht="14.25" customHeight="1" spans="1:87" x14ac:dyDescent="0.25">
      <c r="A199" s="4"/>
      <c r="B199" s="4"/>
      <c r="C199" s="4"/>
      <c r="D199" s="4"/>
      <c r="E199" s="4"/>
      <c r="F199" s="4"/>
      <c r="G199" s="4"/>
      <c r="H199" s="4"/>
      <c r="I199" s="4"/>
      <c r="J199" s="4"/>
      <c r="K199" s="242"/>
      <c r="L199" s="4"/>
      <c r="M199" s="4"/>
      <c r="N199" s="4"/>
      <c r="O199" s="4"/>
      <c r="P199" s="4"/>
      <c r="Q199" s="4"/>
      <c r="R199" s="4"/>
      <c r="S199" s="4"/>
      <c r="T199" s="4"/>
      <c r="U199" s="4"/>
      <c r="V199" s="4"/>
      <c r="W199" s="4"/>
      <c r="X199" s="4"/>
      <c r="Y199" s="4"/>
      <c r="Z199" s="4"/>
      <c r="AA199" s="4"/>
      <c r="AB199" s="4"/>
      <c r="AC199" s="4"/>
      <c r="AD199" s="4"/>
      <c r="AE199" s="4"/>
      <c r="AF199" s="4"/>
      <c r="AG199" s="4"/>
      <c r="AH199" s="4"/>
      <c r="AI199" s="4"/>
      <c r="AJ199" s="4"/>
      <c r="AK199" s="4"/>
      <c r="AL199" s="4"/>
      <c r="AM199" s="4"/>
      <c r="AN199" s="4"/>
      <c r="AO199" s="4"/>
      <c r="AP199" s="4"/>
      <c r="AQ199" s="4"/>
      <c r="AR199" s="4"/>
      <c r="AS199" s="4"/>
      <c r="AT199" s="4"/>
      <c r="AU199" s="4"/>
      <c r="AV199" s="4"/>
      <c r="AW199" s="4"/>
      <c r="AX199" s="4"/>
      <c r="AY199" s="4"/>
      <c r="AZ199" s="4"/>
      <c r="BA199" s="4"/>
      <c r="BB199" s="4"/>
      <c r="BC199" s="4"/>
      <c r="BD199" s="4"/>
      <c r="BE199" s="4"/>
      <c r="BF199" s="4"/>
      <c r="BG199" s="4"/>
      <c r="BH199" s="4"/>
      <c r="BI199" s="4"/>
      <c r="BJ199" s="4"/>
      <c r="BK199" s="4"/>
      <c r="BL199" s="4"/>
      <c r="BM199" s="4"/>
      <c r="BN199" s="4"/>
      <c r="BO199" s="4"/>
      <c r="BP199" s="4"/>
      <c r="BQ199" s="4"/>
      <c r="BR199" s="4"/>
      <c r="BS199" s="4"/>
      <c r="BT199" s="4"/>
      <c r="BU199" s="4"/>
      <c r="BV199" s="4"/>
      <c r="BW199" s="4"/>
      <c r="BX199" s="4"/>
      <c r="BY199" s="4"/>
      <c r="BZ199" s="4"/>
      <c r="CA199" s="4"/>
      <c r="CB199" s="4"/>
      <c r="CC199" s="4"/>
      <c r="CD199" s="4"/>
      <c r="CE199" s="4"/>
      <c r="CF199" s="4"/>
      <c r="CG199" s="4"/>
      <c r="CH199" s="4"/>
      <c r="CI199" s="4"/>
    </row>
    <row r="200" ht="14.25" customHeight="1" spans="1:87" x14ac:dyDescent="0.25">
      <c r="A200" s="4"/>
      <c r="B200" s="4"/>
      <c r="C200" s="4"/>
      <c r="D200" s="4"/>
      <c r="E200" s="4"/>
      <c r="F200" s="4"/>
      <c r="G200" s="4"/>
      <c r="H200" s="4"/>
      <c r="I200" s="4"/>
      <c r="J200" s="4"/>
      <c r="K200" s="242"/>
      <c r="L200" s="4"/>
      <c r="M200" s="4"/>
      <c r="N200" s="4"/>
      <c r="O200" s="4"/>
      <c r="P200" s="4"/>
      <c r="Q200" s="4"/>
      <c r="R200" s="4"/>
      <c r="S200" s="4"/>
      <c r="T200" s="4"/>
      <c r="U200" s="4"/>
      <c r="V200" s="4"/>
      <c r="W200" s="4"/>
      <c r="X200" s="4"/>
      <c r="Y200" s="4"/>
      <c r="Z200" s="4"/>
      <c r="AA200" s="4"/>
      <c r="AB200" s="4"/>
      <c r="AC200" s="4"/>
      <c r="AD200" s="4"/>
      <c r="AE200" s="4"/>
      <c r="AF200" s="4"/>
      <c r="AG200" s="4"/>
      <c r="AH200" s="4"/>
      <c r="AI200" s="4"/>
      <c r="AJ200" s="4"/>
      <c r="AK200" s="4"/>
      <c r="AL200" s="4"/>
      <c r="AM200" s="4"/>
      <c r="AN200" s="4"/>
      <c r="AO200" s="4"/>
      <c r="AP200" s="4"/>
      <c r="AQ200" s="4"/>
      <c r="AR200" s="4"/>
      <c r="AS200" s="4"/>
      <c r="AT200" s="4"/>
      <c r="AU200" s="4"/>
      <c r="AV200" s="4"/>
      <c r="AW200" s="4"/>
      <c r="AX200" s="4"/>
      <c r="AY200" s="4"/>
      <c r="AZ200" s="4"/>
      <c r="BA200" s="4"/>
      <c r="BB200" s="4"/>
      <c r="BC200" s="4"/>
      <c r="BD200" s="4"/>
      <c r="BE200" s="4"/>
      <c r="BF200" s="4"/>
      <c r="BG200" s="4"/>
      <c r="BH200" s="4"/>
      <c r="BI200" s="4"/>
      <c r="BJ200" s="4"/>
      <c r="BK200" s="4"/>
      <c r="BL200" s="4"/>
      <c r="BM200" s="4"/>
      <c r="BN200" s="4"/>
      <c r="BO200" s="4"/>
      <c r="BP200" s="4"/>
      <c r="BQ200" s="4"/>
      <c r="BR200" s="4"/>
      <c r="BS200" s="4"/>
      <c r="BT200" s="4"/>
      <c r="BU200" s="4"/>
      <c r="BV200" s="4"/>
      <c r="BW200" s="4"/>
      <c r="BX200" s="4"/>
      <c r="BY200" s="4"/>
      <c r="BZ200" s="4"/>
      <c r="CA200" s="4"/>
      <c r="CB200" s="4"/>
      <c r="CC200" s="4"/>
      <c r="CD200" s="4"/>
      <c r="CE200" s="4"/>
      <c r="CF200" s="4"/>
      <c r="CG200" s="4"/>
      <c r="CH200" s="4"/>
      <c r="CI200" s="4"/>
    </row>
    <row r="201" ht="14.25" customHeight="1" spans="1:87" x14ac:dyDescent="0.25">
      <c r="A201" s="4"/>
      <c r="B201" s="4"/>
      <c r="C201" s="4"/>
      <c r="D201" s="4"/>
      <c r="E201" s="4"/>
      <c r="F201" s="4"/>
      <c r="G201" s="4"/>
      <c r="H201" s="4"/>
      <c r="I201" s="4"/>
      <c r="J201" s="4"/>
      <c r="K201" s="242"/>
      <c r="L201" s="4"/>
      <c r="M201" s="4"/>
      <c r="N201" s="4"/>
      <c r="O201" s="4"/>
      <c r="P201" s="4"/>
      <c r="Q201" s="4"/>
      <c r="R201" s="4"/>
      <c r="S201" s="4"/>
      <c r="T201" s="4"/>
      <c r="U201" s="4"/>
      <c r="V201" s="4"/>
      <c r="W201" s="4"/>
      <c r="X201" s="4"/>
      <c r="Y201" s="4"/>
      <c r="Z201" s="4"/>
      <c r="AA201" s="4"/>
      <c r="AB201" s="4"/>
      <c r="AC201" s="4"/>
      <c r="AD201" s="4"/>
      <c r="AE201" s="4"/>
      <c r="AF201" s="4"/>
      <c r="AG201" s="4"/>
      <c r="AH201" s="4"/>
      <c r="AI201" s="4"/>
      <c r="AJ201" s="4"/>
      <c r="AK201" s="4"/>
      <c r="AL201" s="4"/>
      <c r="AM201" s="4"/>
      <c r="AN201" s="4"/>
      <c r="AO201" s="4"/>
      <c r="AP201" s="4"/>
      <c r="AQ201" s="4"/>
      <c r="AR201" s="4"/>
      <c r="AS201" s="4"/>
      <c r="AT201" s="4"/>
      <c r="AU201" s="4"/>
      <c r="AV201" s="4"/>
      <c r="AW201" s="4"/>
      <c r="AX201" s="4"/>
      <c r="AY201" s="4"/>
      <c r="AZ201" s="4"/>
      <c r="BA201" s="4"/>
      <c r="BB201" s="4"/>
      <c r="BC201" s="4"/>
      <c r="BD201" s="4"/>
      <c r="BE201" s="4"/>
      <c r="BF201" s="4"/>
      <c r="BG201" s="4"/>
      <c r="BH201" s="4"/>
      <c r="BI201" s="4"/>
      <c r="BJ201" s="4"/>
      <c r="BK201" s="4"/>
      <c r="BL201" s="4"/>
      <c r="BM201" s="4"/>
      <c r="BN201" s="4"/>
      <c r="BO201" s="4"/>
      <c r="BP201" s="4"/>
      <c r="BQ201" s="4"/>
      <c r="BR201" s="4"/>
      <c r="BS201" s="4"/>
      <c r="BT201" s="4"/>
      <c r="BU201" s="4"/>
      <c r="BV201" s="4"/>
      <c r="BW201" s="4"/>
      <c r="BX201" s="4"/>
      <c r="BY201" s="4"/>
      <c r="BZ201" s="4"/>
      <c r="CA201" s="4"/>
      <c r="CB201" s="4"/>
      <c r="CC201" s="4"/>
      <c r="CD201" s="4"/>
      <c r="CE201" s="4"/>
      <c r="CF201" s="4"/>
      <c r="CG201" s="4"/>
      <c r="CH201" s="4"/>
      <c r="CI201" s="4"/>
    </row>
    <row r="202" ht="14.25" customHeight="1" spans="1:87" x14ac:dyDescent="0.25">
      <c r="A202" s="4"/>
      <c r="B202" s="4"/>
      <c r="C202" s="4"/>
      <c r="D202" s="4"/>
      <c r="E202" s="4"/>
      <c r="F202" s="4"/>
      <c r="G202" s="4"/>
      <c r="H202" s="4"/>
      <c r="I202" s="4"/>
      <c r="J202" s="4"/>
      <c r="K202" s="242"/>
      <c r="L202" s="4"/>
      <c r="M202" s="4"/>
      <c r="N202" s="4"/>
      <c r="O202" s="4"/>
      <c r="P202" s="4"/>
      <c r="Q202" s="4"/>
      <c r="R202" s="4"/>
      <c r="S202" s="4"/>
      <c r="T202" s="4"/>
      <c r="U202" s="4"/>
      <c r="V202" s="4"/>
      <c r="W202" s="4"/>
      <c r="X202" s="4"/>
      <c r="Y202" s="4"/>
      <c r="Z202" s="4"/>
      <c r="AA202" s="4"/>
      <c r="AB202" s="4"/>
      <c r="AC202" s="4"/>
      <c r="AD202" s="4"/>
      <c r="AE202" s="4"/>
      <c r="AF202" s="4"/>
      <c r="AG202" s="4"/>
      <c r="AH202" s="4"/>
      <c r="AI202" s="4"/>
      <c r="AJ202" s="4"/>
      <c r="AK202" s="4"/>
      <c r="AL202" s="4"/>
      <c r="AM202" s="4"/>
      <c r="AN202" s="4"/>
      <c r="AO202" s="4"/>
      <c r="AP202" s="4"/>
      <c r="AQ202" s="4"/>
      <c r="AR202" s="4"/>
      <c r="AS202" s="4"/>
      <c r="AT202" s="4"/>
      <c r="AU202" s="4"/>
      <c r="AV202" s="4"/>
      <c r="AW202" s="4"/>
      <c r="AX202" s="4"/>
      <c r="AY202" s="4"/>
      <c r="AZ202" s="4"/>
      <c r="BA202" s="4"/>
      <c r="BB202" s="4"/>
      <c r="BC202" s="4"/>
      <c r="BD202" s="4"/>
      <c r="BE202" s="4"/>
      <c r="BF202" s="4"/>
      <c r="BG202" s="4"/>
      <c r="BH202" s="4"/>
      <c r="BI202" s="4"/>
      <c r="BJ202" s="4"/>
      <c r="BK202" s="4"/>
      <c r="BL202" s="4"/>
      <c r="BM202" s="4"/>
      <c r="BN202" s="4"/>
      <c r="BO202" s="4"/>
      <c r="BP202" s="4"/>
      <c r="BQ202" s="4"/>
      <c r="BR202" s="4"/>
      <c r="BS202" s="4"/>
      <c r="BT202" s="4"/>
      <c r="BU202" s="4"/>
      <c r="BV202" s="4"/>
      <c r="BW202" s="4"/>
      <c r="BX202" s="4"/>
      <c r="BY202" s="4"/>
      <c r="BZ202" s="4"/>
      <c r="CA202" s="4"/>
      <c r="CB202" s="4"/>
      <c r="CC202" s="4"/>
      <c r="CD202" s="4"/>
      <c r="CE202" s="4"/>
      <c r="CF202" s="4"/>
      <c r="CG202" s="4"/>
      <c r="CH202" s="4"/>
      <c r="CI202" s="4"/>
    </row>
    <row r="203" ht="14.25" customHeight="1" spans="1:87" x14ac:dyDescent="0.25">
      <c r="A203" s="4"/>
      <c r="B203" s="4"/>
      <c r="C203" s="4"/>
      <c r="D203" s="4"/>
      <c r="E203" s="4"/>
      <c r="F203" s="4"/>
      <c r="G203" s="4"/>
      <c r="H203" s="4"/>
      <c r="I203" s="4"/>
      <c r="J203" s="4"/>
      <c r="K203" s="242"/>
      <c r="L203" s="4"/>
      <c r="M203" s="4"/>
      <c r="N203" s="4"/>
      <c r="O203" s="4"/>
      <c r="P203" s="4"/>
      <c r="Q203" s="4"/>
      <c r="R203" s="4"/>
      <c r="S203" s="4"/>
      <c r="T203" s="4"/>
      <c r="U203" s="4"/>
      <c r="V203" s="4"/>
      <c r="W203" s="4"/>
      <c r="X203" s="4"/>
      <c r="Y203" s="4"/>
      <c r="Z203" s="4"/>
      <c r="AA203" s="4"/>
      <c r="AB203" s="4"/>
      <c r="AC203" s="4"/>
      <c r="AD203" s="4"/>
      <c r="AE203" s="4"/>
      <c r="AF203" s="4"/>
      <c r="AG203" s="4"/>
      <c r="AH203" s="4"/>
      <c r="AI203" s="4"/>
      <c r="AJ203" s="4"/>
      <c r="AK203" s="4"/>
      <c r="AL203" s="4"/>
      <c r="AM203" s="4"/>
      <c r="AN203" s="4"/>
      <c r="AO203" s="4"/>
      <c r="AP203" s="4"/>
      <c r="AQ203" s="4"/>
      <c r="AR203" s="4"/>
      <c r="AS203" s="4"/>
      <c r="AT203" s="4"/>
      <c r="AU203" s="4"/>
      <c r="AV203" s="4"/>
      <c r="AW203" s="4"/>
      <c r="AX203" s="4"/>
      <c r="AY203" s="4"/>
      <c r="AZ203" s="4"/>
      <c r="BA203" s="4"/>
      <c r="BB203" s="4"/>
      <c r="BC203" s="4"/>
      <c r="BD203" s="4"/>
      <c r="BE203" s="4"/>
      <c r="BF203" s="4"/>
      <c r="BG203" s="4"/>
      <c r="BH203" s="4"/>
      <c r="BI203" s="4"/>
      <c r="BJ203" s="4"/>
      <c r="BK203" s="4"/>
      <c r="BL203" s="4"/>
      <c r="BM203" s="4"/>
      <c r="BN203" s="4"/>
      <c r="BO203" s="4"/>
      <c r="BP203" s="4"/>
      <c r="BQ203" s="4"/>
      <c r="BR203" s="4"/>
      <c r="BS203" s="4"/>
      <c r="BT203" s="4"/>
      <c r="BU203" s="4"/>
      <c r="BV203" s="4"/>
      <c r="BW203" s="4"/>
      <c r="BX203" s="4"/>
      <c r="BY203" s="4"/>
      <c r="BZ203" s="4"/>
      <c r="CA203" s="4"/>
      <c r="CB203" s="4"/>
      <c r="CC203" s="4"/>
      <c r="CD203" s="4"/>
      <c r="CE203" s="4"/>
      <c r="CF203" s="4"/>
      <c r="CG203" s="4"/>
      <c r="CH203" s="4"/>
      <c r="CI203" s="4"/>
    </row>
    <row r="204" ht="14.25" customHeight="1" spans="1:87" x14ac:dyDescent="0.25">
      <c r="A204" s="4"/>
      <c r="B204" s="4"/>
      <c r="C204" s="4"/>
      <c r="D204" s="4"/>
      <c r="E204" s="4"/>
      <c r="F204" s="4"/>
      <c r="G204" s="4"/>
      <c r="H204" s="4"/>
      <c r="I204" s="4"/>
      <c r="J204" s="4"/>
      <c r="K204" s="242"/>
      <c r="L204" s="4"/>
      <c r="M204" s="4"/>
      <c r="N204" s="4"/>
      <c r="O204" s="4"/>
      <c r="P204" s="4"/>
      <c r="Q204" s="4"/>
      <c r="R204" s="4"/>
      <c r="S204" s="4"/>
      <c r="T204" s="4"/>
      <c r="U204" s="4"/>
      <c r="V204" s="4"/>
      <c r="W204" s="4"/>
      <c r="X204" s="4"/>
      <c r="Y204" s="4"/>
      <c r="Z204" s="4"/>
      <c r="AA204" s="4"/>
      <c r="AB204" s="4"/>
      <c r="AC204" s="4"/>
      <c r="AD204" s="4"/>
      <c r="AE204" s="4"/>
      <c r="AF204" s="4"/>
      <c r="AG204" s="4"/>
      <c r="AH204" s="4"/>
      <c r="AI204" s="4"/>
      <c r="AJ204" s="4"/>
      <c r="AK204" s="4"/>
      <c r="AL204" s="4"/>
      <c r="AM204" s="4"/>
      <c r="AN204" s="4"/>
      <c r="AO204" s="4"/>
      <c r="AP204" s="4"/>
      <c r="AQ204" s="4"/>
      <c r="AR204" s="4"/>
      <c r="AS204" s="4"/>
      <c r="AT204" s="4"/>
      <c r="AU204" s="4"/>
      <c r="AV204" s="4"/>
      <c r="AW204" s="4"/>
      <c r="AX204" s="4"/>
      <c r="AY204" s="4"/>
      <c r="AZ204" s="4"/>
      <c r="BA204" s="4"/>
      <c r="BB204" s="4"/>
      <c r="BC204" s="4"/>
      <c r="BD204" s="4"/>
      <c r="BE204" s="4"/>
      <c r="BF204" s="4"/>
      <c r="BG204" s="4"/>
      <c r="BH204" s="4"/>
      <c r="BI204" s="4"/>
      <c r="BJ204" s="4"/>
      <c r="BK204" s="4"/>
      <c r="BL204" s="4"/>
      <c r="BM204" s="4"/>
      <c r="BN204" s="4"/>
      <c r="BO204" s="4"/>
      <c r="BP204" s="4"/>
      <c r="BQ204" s="4"/>
      <c r="BR204" s="4"/>
      <c r="BS204" s="4"/>
      <c r="BT204" s="4"/>
      <c r="BU204" s="4"/>
      <c r="BV204" s="4"/>
      <c r="BW204" s="4"/>
      <c r="BX204" s="4"/>
      <c r="BY204" s="4"/>
      <c r="BZ204" s="4"/>
      <c r="CA204" s="4"/>
      <c r="CB204" s="4"/>
      <c r="CC204" s="4"/>
      <c r="CD204" s="4"/>
      <c r="CE204" s="4"/>
      <c r="CF204" s="4"/>
      <c r="CG204" s="4"/>
      <c r="CH204" s="4"/>
      <c r="CI204" s="4"/>
    </row>
    <row r="205" ht="14.25" customHeight="1" spans="1:87" x14ac:dyDescent="0.25">
      <c r="A205" s="4"/>
      <c r="B205" s="4"/>
      <c r="C205" s="4"/>
      <c r="D205" s="4"/>
      <c r="E205" s="4"/>
      <c r="F205" s="4"/>
      <c r="G205" s="4"/>
      <c r="H205" s="4"/>
      <c r="I205" s="4"/>
      <c r="J205" s="4"/>
      <c r="K205" s="242"/>
      <c r="L205" s="4"/>
      <c r="M205" s="4"/>
      <c r="N205" s="4"/>
      <c r="O205" s="4"/>
      <c r="P205" s="4"/>
      <c r="Q205" s="4"/>
      <c r="R205" s="4"/>
      <c r="S205" s="4"/>
      <c r="T205" s="4"/>
      <c r="U205" s="4"/>
      <c r="V205" s="4"/>
      <c r="W205" s="4"/>
      <c r="X205" s="4"/>
      <c r="Y205" s="4"/>
      <c r="Z205" s="4"/>
      <c r="AA205" s="4"/>
      <c r="AB205" s="4"/>
      <c r="AC205" s="4"/>
      <c r="AD205" s="4"/>
      <c r="AE205" s="4"/>
      <c r="AF205" s="4"/>
      <c r="AG205" s="4"/>
      <c r="AH205" s="4"/>
      <c r="AI205" s="4"/>
      <c r="AJ205" s="4"/>
      <c r="AK205" s="4"/>
      <c r="AL205" s="4"/>
      <c r="AM205" s="4"/>
      <c r="AN205" s="4"/>
      <c r="AO205" s="4"/>
      <c r="AP205" s="4"/>
      <c r="AQ205" s="4"/>
      <c r="AR205" s="4"/>
      <c r="AS205" s="4"/>
      <c r="AT205" s="4"/>
      <c r="AU205" s="4"/>
      <c r="AV205" s="4"/>
      <c r="AW205" s="4"/>
      <c r="AX205" s="4"/>
      <c r="AY205" s="4"/>
      <c r="AZ205" s="4"/>
      <c r="BA205" s="4"/>
      <c r="BB205" s="4"/>
      <c r="BC205" s="4"/>
      <c r="BD205" s="4"/>
      <c r="BE205" s="4"/>
      <c r="BF205" s="4"/>
      <c r="BG205" s="4"/>
      <c r="BH205" s="4"/>
      <c r="BI205" s="4"/>
      <c r="BJ205" s="4"/>
      <c r="BK205" s="4"/>
      <c r="BL205" s="4"/>
      <c r="BM205" s="4"/>
      <c r="BN205" s="4"/>
      <c r="BO205" s="4"/>
      <c r="BP205" s="4"/>
      <c r="BQ205" s="4"/>
      <c r="BR205" s="4"/>
      <c r="BS205" s="4"/>
      <c r="BT205" s="4"/>
      <c r="BU205" s="4"/>
      <c r="BV205" s="4"/>
      <c r="BW205" s="4"/>
      <c r="BX205" s="4"/>
      <c r="BY205" s="4"/>
      <c r="BZ205" s="4"/>
      <c r="CA205" s="4"/>
      <c r="CB205" s="4"/>
      <c r="CC205" s="4"/>
      <c r="CD205" s="4"/>
      <c r="CE205" s="4"/>
      <c r="CF205" s="4"/>
      <c r="CG205" s="4"/>
      <c r="CH205" s="4"/>
      <c r="CI205" s="4"/>
    </row>
    <row r="206" ht="14.25" customHeight="1" spans="1:87" x14ac:dyDescent="0.25">
      <c r="A206" s="4"/>
      <c r="B206" s="4"/>
      <c r="C206" s="4"/>
      <c r="D206" s="4"/>
      <c r="E206" s="4"/>
      <c r="F206" s="4"/>
      <c r="G206" s="4"/>
      <c r="H206" s="4"/>
      <c r="I206" s="4"/>
      <c r="J206" s="4"/>
      <c r="K206" s="242"/>
      <c r="L206" s="4"/>
      <c r="M206" s="4"/>
      <c r="N206" s="4"/>
      <c r="O206" s="4"/>
      <c r="P206" s="4"/>
      <c r="Q206" s="4"/>
      <c r="R206" s="4"/>
      <c r="S206" s="4"/>
      <c r="T206" s="4"/>
      <c r="U206" s="4"/>
      <c r="V206" s="4"/>
      <c r="W206" s="4"/>
      <c r="X206" s="4"/>
      <c r="Y206" s="4"/>
      <c r="Z206" s="4"/>
      <c r="AA206" s="4"/>
      <c r="AB206" s="4"/>
      <c r="AC206" s="4"/>
      <c r="AD206" s="4"/>
      <c r="AE206" s="4"/>
      <c r="AF206" s="4"/>
      <c r="AG206" s="4"/>
      <c r="AH206" s="4"/>
      <c r="AI206" s="4"/>
      <c r="AJ206" s="4"/>
      <c r="AK206" s="4"/>
      <c r="AL206" s="4"/>
      <c r="AM206" s="4"/>
      <c r="AN206" s="4"/>
      <c r="AO206" s="4"/>
      <c r="AP206" s="4"/>
      <c r="AQ206" s="4"/>
      <c r="AR206" s="4"/>
      <c r="AS206" s="4"/>
      <c r="AT206" s="4"/>
      <c r="AU206" s="4"/>
      <c r="AV206" s="4"/>
      <c r="AW206" s="4"/>
      <c r="AX206" s="4"/>
      <c r="AY206" s="4"/>
      <c r="AZ206" s="4"/>
      <c r="BA206" s="4"/>
      <c r="BB206" s="4"/>
      <c r="BC206" s="4"/>
      <c r="BD206" s="4"/>
      <c r="BE206" s="4"/>
      <c r="BF206" s="4"/>
      <c r="BG206" s="4"/>
      <c r="BH206" s="4"/>
      <c r="BI206" s="4"/>
      <c r="BJ206" s="4"/>
      <c r="BK206" s="4"/>
      <c r="BL206" s="4"/>
      <c r="BM206" s="4"/>
      <c r="BN206" s="4"/>
      <c r="BO206" s="4"/>
      <c r="BP206" s="4"/>
      <c r="BQ206" s="4"/>
      <c r="BR206" s="4"/>
      <c r="BS206" s="4"/>
      <c r="BT206" s="4"/>
      <c r="BU206" s="4"/>
      <c r="BV206" s="4"/>
      <c r="BW206" s="4"/>
      <c r="BX206" s="4"/>
      <c r="BY206" s="4"/>
      <c r="BZ206" s="4"/>
      <c r="CA206" s="4"/>
      <c r="CB206" s="4"/>
      <c r="CC206" s="4"/>
      <c r="CD206" s="4"/>
      <c r="CE206" s="4"/>
      <c r="CF206" s="4"/>
      <c r="CG206" s="4"/>
      <c r="CH206" s="4"/>
      <c r="CI206" s="4"/>
    </row>
    <row r="207" ht="14.25" customHeight="1" spans="1:87" x14ac:dyDescent="0.25">
      <c r="A207" s="4"/>
      <c r="B207" s="4"/>
      <c r="C207" s="4"/>
      <c r="D207" s="4"/>
      <c r="E207" s="4"/>
      <c r="F207" s="4"/>
      <c r="G207" s="4"/>
      <c r="H207" s="4"/>
      <c r="I207" s="4"/>
      <c r="J207" s="4"/>
      <c r="K207" s="242"/>
      <c r="L207" s="4"/>
      <c r="M207" s="4"/>
      <c r="N207" s="4"/>
      <c r="O207" s="4"/>
      <c r="P207" s="4"/>
      <c r="Q207" s="4"/>
      <c r="R207" s="4"/>
      <c r="S207" s="4"/>
      <c r="T207" s="4"/>
      <c r="U207" s="4"/>
      <c r="V207" s="4"/>
      <c r="W207" s="4"/>
      <c r="X207" s="4"/>
      <c r="Y207" s="4"/>
      <c r="Z207" s="4"/>
      <c r="AA207" s="4"/>
      <c r="AB207" s="4"/>
      <c r="AC207" s="4"/>
      <c r="AD207" s="4"/>
      <c r="AE207" s="4"/>
      <c r="AF207" s="4"/>
      <c r="AG207" s="4"/>
      <c r="AH207" s="4"/>
      <c r="AI207" s="4"/>
      <c r="AJ207" s="4"/>
      <c r="AK207" s="4"/>
      <c r="AL207" s="4"/>
      <c r="AM207" s="4"/>
      <c r="AN207" s="4"/>
      <c r="AO207" s="4"/>
      <c r="AP207" s="4"/>
      <c r="AQ207" s="4"/>
      <c r="AR207" s="4"/>
      <c r="AS207" s="4"/>
      <c r="AT207" s="4"/>
      <c r="AU207" s="4"/>
      <c r="AV207" s="4"/>
      <c r="AW207" s="4"/>
      <c r="AX207" s="4"/>
      <c r="AY207" s="4"/>
      <c r="AZ207" s="4"/>
      <c r="BA207" s="4"/>
      <c r="BB207" s="4"/>
      <c r="BC207" s="4"/>
      <c r="BD207" s="4"/>
      <c r="BE207" s="4"/>
      <c r="BF207" s="4"/>
      <c r="BG207" s="4"/>
      <c r="BH207" s="4"/>
      <c r="BI207" s="4"/>
      <c r="BJ207" s="4"/>
      <c r="BK207" s="4"/>
      <c r="BL207" s="4"/>
      <c r="BM207" s="4"/>
      <c r="BN207" s="4"/>
      <c r="BO207" s="4"/>
      <c r="BP207" s="4"/>
      <c r="BQ207" s="4"/>
      <c r="BR207" s="4"/>
      <c r="BS207" s="4"/>
      <c r="BT207" s="4"/>
      <c r="BU207" s="4"/>
      <c r="BV207" s="4"/>
      <c r="BW207" s="4"/>
      <c r="BX207" s="4"/>
      <c r="BY207" s="4"/>
      <c r="BZ207" s="4"/>
      <c r="CA207" s="4"/>
      <c r="CB207" s="4"/>
      <c r="CC207" s="4"/>
      <c r="CD207" s="4"/>
      <c r="CE207" s="4"/>
      <c r="CF207" s="4"/>
      <c r="CG207" s="4"/>
      <c r="CH207" s="4"/>
      <c r="CI207" s="4"/>
    </row>
    <row r="208" ht="14.25" customHeight="1" spans="1:87" x14ac:dyDescent="0.25">
      <c r="A208" s="4"/>
      <c r="B208" s="4"/>
      <c r="C208" s="4"/>
      <c r="D208" s="4"/>
      <c r="E208" s="4"/>
      <c r="F208" s="4"/>
      <c r="G208" s="4"/>
      <c r="H208" s="4"/>
      <c r="I208" s="4"/>
      <c r="J208" s="4"/>
      <c r="K208" s="242"/>
      <c r="L208" s="4"/>
      <c r="M208" s="4"/>
      <c r="N208" s="4"/>
      <c r="O208" s="4"/>
      <c r="P208" s="4"/>
      <c r="Q208" s="4"/>
      <c r="R208" s="4"/>
      <c r="S208" s="4"/>
      <c r="T208" s="4"/>
      <c r="U208" s="4"/>
      <c r="V208" s="4"/>
      <c r="W208" s="4"/>
      <c r="X208" s="4"/>
      <c r="Y208" s="4"/>
      <c r="Z208" s="4"/>
      <c r="AA208" s="4"/>
      <c r="AB208" s="4"/>
      <c r="AC208" s="4"/>
      <c r="AD208" s="4"/>
      <c r="AE208" s="4"/>
      <c r="AF208" s="4"/>
      <c r="AG208" s="4"/>
      <c r="AH208" s="4"/>
      <c r="AI208" s="4"/>
      <c r="AJ208" s="4"/>
      <c r="AK208" s="4"/>
      <c r="AL208" s="4"/>
      <c r="AM208" s="4"/>
      <c r="AN208" s="4"/>
      <c r="AO208" s="4"/>
      <c r="AP208" s="4"/>
      <c r="AQ208" s="4"/>
      <c r="AR208" s="4"/>
      <c r="AS208" s="4"/>
      <c r="AT208" s="4"/>
      <c r="AU208" s="4"/>
      <c r="AV208" s="4"/>
      <c r="AW208" s="4"/>
      <c r="AX208" s="4"/>
      <c r="AY208" s="4"/>
      <c r="AZ208" s="4"/>
      <c r="BA208" s="4"/>
      <c r="BB208" s="4"/>
      <c r="BC208" s="4"/>
      <c r="BD208" s="4"/>
      <c r="BE208" s="4"/>
      <c r="BF208" s="4"/>
      <c r="BG208" s="4"/>
      <c r="BH208" s="4"/>
      <c r="BI208" s="4"/>
      <c r="BJ208" s="4"/>
      <c r="BK208" s="4"/>
      <c r="BL208" s="4"/>
      <c r="BM208" s="4"/>
      <c r="BN208" s="4"/>
      <c r="BO208" s="4"/>
      <c r="BP208" s="4"/>
      <c r="BQ208" s="4"/>
      <c r="BR208" s="4"/>
      <c r="BS208" s="4"/>
      <c r="BT208" s="4"/>
      <c r="BU208" s="4"/>
      <c r="BV208" s="4"/>
      <c r="BW208" s="4"/>
      <c r="BX208" s="4"/>
      <c r="BY208" s="4"/>
      <c r="BZ208" s="4"/>
      <c r="CA208" s="4"/>
      <c r="CB208" s="4"/>
      <c r="CC208" s="4"/>
      <c r="CD208" s="4"/>
      <c r="CE208" s="4"/>
      <c r="CF208" s="4"/>
      <c r="CG208" s="4"/>
      <c r="CH208" s="4"/>
      <c r="CI208" s="4"/>
    </row>
    <row r="209" ht="14.25" customHeight="1" spans="1:87" x14ac:dyDescent="0.25">
      <c r="A209" s="4"/>
      <c r="B209" s="4"/>
      <c r="C209" s="4"/>
      <c r="D209" s="4"/>
      <c r="E209" s="4"/>
      <c r="F209" s="4"/>
      <c r="G209" s="4"/>
      <c r="H209" s="4"/>
      <c r="I209" s="4"/>
      <c r="J209" s="4"/>
      <c r="K209" s="242"/>
      <c r="L209" s="4"/>
      <c r="M209" s="4"/>
      <c r="N209" s="4"/>
      <c r="O209" s="4"/>
      <c r="P209" s="4"/>
      <c r="Q209" s="4"/>
      <c r="R209" s="4"/>
      <c r="S209" s="4"/>
      <c r="T209" s="4"/>
      <c r="U209" s="4"/>
      <c r="V209" s="4"/>
      <c r="W209" s="4"/>
      <c r="X209" s="4"/>
      <c r="Y209" s="4"/>
      <c r="Z209" s="4"/>
      <c r="AA209" s="4"/>
      <c r="AB209" s="4"/>
      <c r="AC209" s="4"/>
      <c r="AD209" s="4"/>
      <c r="AE209" s="4"/>
      <c r="AF209" s="4"/>
      <c r="AG209" s="4"/>
      <c r="AH209" s="4"/>
      <c r="AI209" s="4"/>
      <c r="AJ209" s="4"/>
      <c r="AK209" s="4"/>
      <c r="AL209" s="4"/>
      <c r="AM209" s="4"/>
      <c r="AN209" s="4"/>
      <c r="AO209" s="4"/>
      <c r="AP209" s="4"/>
      <c r="AQ209" s="4"/>
      <c r="AR209" s="4"/>
      <c r="AS209" s="4"/>
      <c r="AT209" s="4"/>
      <c r="AU209" s="4"/>
      <c r="AV209" s="4"/>
      <c r="AW209" s="4"/>
      <c r="AX209" s="4"/>
      <c r="AY209" s="4"/>
      <c r="AZ209" s="4"/>
      <c r="BA209" s="4"/>
      <c r="BB209" s="4"/>
      <c r="BC209" s="4"/>
      <c r="BD209" s="4"/>
      <c r="BE209" s="4"/>
      <c r="BF209" s="4"/>
      <c r="BG209" s="4"/>
      <c r="BH209" s="4"/>
      <c r="BI209" s="4"/>
      <c r="BJ209" s="4"/>
      <c r="BK209" s="4"/>
      <c r="BL209" s="4"/>
      <c r="BM209" s="4"/>
      <c r="BN209" s="4"/>
      <c r="BO209" s="4"/>
      <c r="BP209" s="4"/>
      <c r="BQ209" s="4"/>
      <c r="BR209" s="4"/>
      <c r="BS209" s="4"/>
      <c r="BT209" s="4"/>
      <c r="BU209" s="4"/>
      <c r="BV209" s="4"/>
      <c r="BW209" s="4"/>
      <c r="BX209" s="4"/>
      <c r="BY209" s="4"/>
      <c r="BZ209" s="4"/>
      <c r="CA209" s="4"/>
      <c r="CB209" s="4"/>
      <c r="CC209" s="4"/>
      <c r="CD209" s="4"/>
      <c r="CE209" s="4"/>
      <c r="CF209" s="4"/>
      <c r="CG209" s="4"/>
      <c r="CH209" s="4"/>
      <c r="CI209" s="4"/>
    </row>
    <row r="210" ht="14.25" customHeight="1" spans="1:87" x14ac:dyDescent="0.25">
      <c r="A210" s="4"/>
      <c r="B210" s="4"/>
      <c r="C210" s="4"/>
      <c r="D210" s="4"/>
      <c r="E210" s="4"/>
      <c r="F210" s="4"/>
      <c r="G210" s="4"/>
      <c r="H210" s="4"/>
      <c r="I210" s="4"/>
      <c r="J210" s="4"/>
      <c r="K210" s="242"/>
      <c r="L210" s="4"/>
      <c r="M210" s="4"/>
      <c r="N210" s="4"/>
      <c r="O210" s="4"/>
      <c r="P210" s="4"/>
      <c r="Q210" s="4"/>
      <c r="R210" s="4"/>
      <c r="S210" s="4"/>
      <c r="T210" s="4"/>
      <c r="U210" s="4"/>
      <c r="V210" s="4"/>
      <c r="W210" s="4"/>
      <c r="X210" s="4"/>
      <c r="Y210" s="4"/>
      <c r="Z210" s="4"/>
      <c r="AA210" s="4"/>
      <c r="AB210" s="4"/>
      <c r="AC210" s="4"/>
      <c r="AD210" s="4"/>
      <c r="AE210" s="4"/>
      <c r="AF210" s="4"/>
      <c r="AG210" s="4"/>
      <c r="AH210" s="4"/>
      <c r="AI210" s="4"/>
      <c r="AJ210" s="4"/>
      <c r="AK210" s="4"/>
      <c r="AL210" s="4"/>
      <c r="AM210" s="4"/>
      <c r="AN210" s="4"/>
      <c r="AO210" s="4"/>
      <c r="AP210" s="4"/>
      <c r="AQ210" s="4"/>
      <c r="AR210" s="4"/>
      <c r="AS210" s="4"/>
      <c r="AT210" s="4"/>
      <c r="AU210" s="4"/>
      <c r="AV210" s="4"/>
      <c r="AW210" s="4"/>
      <c r="AX210" s="4"/>
      <c r="AY210" s="4"/>
      <c r="AZ210" s="4"/>
      <c r="BA210" s="4"/>
      <c r="BB210" s="4"/>
      <c r="BC210" s="4"/>
      <c r="BD210" s="4"/>
      <c r="BE210" s="4"/>
      <c r="BF210" s="4"/>
      <c r="BG210" s="4"/>
      <c r="BH210" s="4"/>
      <c r="BI210" s="4"/>
      <c r="BJ210" s="4"/>
      <c r="BK210" s="4"/>
      <c r="BL210" s="4"/>
      <c r="BM210" s="4"/>
      <c r="BN210" s="4"/>
      <c r="BO210" s="4"/>
      <c r="BP210" s="4"/>
      <c r="BQ210" s="4"/>
      <c r="BR210" s="4"/>
      <c r="BS210" s="4"/>
      <c r="BT210" s="4"/>
      <c r="BU210" s="4"/>
      <c r="BV210" s="4"/>
      <c r="BW210" s="4"/>
      <c r="BX210" s="4"/>
      <c r="BY210" s="4"/>
      <c r="BZ210" s="4"/>
      <c r="CA210" s="4"/>
      <c r="CB210" s="4"/>
      <c r="CC210" s="4"/>
      <c r="CD210" s="4"/>
      <c r="CE210" s="4"/>
      <c r="CF210" s="4"/>
      <c r="CG210" s="4"/>
      <c r="CH210" s="4"/>
      <c r="CI210" s="4"/>
    </row>
    <row r="211" ht="14.25" customHeight="1" spans="1:87" x14ac:dyDescent="0.25">
      <c r="A211" s="4"/>
      <c r="B211" s="4"/>
      <c r="C211" s="4"/>
      <c r="D211" s="4"/>
      <c r="E211" s="4"/>
      <c r="F211" s="4"/>
      <c r="G211" s="4"/>
      <c r="H211" s="4"/>
      <c r="I211" s="4"/>
      <c r="J211" s="4"/>
      <c r="K211" s="242"/>
      <c r="L211" s="4"/>
      <c r="M211" s="4"/>
      <c r="N211" s="4"/>
      <c r="O211" s="4"/>
      <c r="P211" s="4"/>
      <c r="Q211" s="4"/>
      <c r="R211" s="4"/>
      <c r="S211" s="4"/>
      <c r="T211" s="4"/>
      <c r="U211" s="4"/>
      <c r="V211" s="4"/>
      <c r="W211" s="4"/>
      <c r="X211" s="4"/>
      <c r="Y211" s="4"/>
      <c r="Z211" s="4"/>
      <c r="AA211" s="4"/>
      <c r="AB211" s="4"/>
      <c r="AC211" s="4"/>
      <c r="AD211" s="4"/>
      <c r="AE211" s="4"/>
      <c r="AF211" s="4"/>
      <c r="AG211" s="4"/>
      <c r="AH211" s="4"/>
      <c r="AI211" s="4"/>
      <c r="AJ211" s="4"/>
      <c r="AK211" s="4"/>
      <c r="AL211" s="4"/>
      <c r="AM211" s="4"/>
      <c r="AN211" s="4"/>
      <c r="AO211" s="4"/>
      <c r="AP211" s="4"/>
      <c r="AQ211" s="4"/>
      <c r="AR211" s="4"/>
      <c r="AS211" s="4"/>
      <c r="AT211" s="4"/>
      <c r="AU211" s="4"/>
      <c r="AV211" s="4"/>
      <c r="AW211" s="4"/>
      <c r="AX211" s="4"/>
      <c r="AY211" s="4"/>
      <c r="AZ211" s="4"/>
      <c r="BA211" s="4"/>
      <c r="BB211" s="4"/>
      <c r="BC211" s="4"/>
      <c r="BD211" s="4"/>
      <c r="BE211" s="4"/>
      <c r="BF211" s="4"/>
      <c r="BG211" s="4"/>
      <c r="BH211" s="4"/>
      <c r="BI211" s="4"/>
      <c r="BJ211" s="4"/>
      <c r="BK211" s="4"/>
      <c r="BL211" s="4"/>
      <c r="BM211" s="4"/>
      <c r="BN211" s="4"/>
      <c r="BO211" s="4"/>
      <c r="BP211" s="4"/>
      <c r="BQ211" s="4"/>
      <c r="BR211" s="4"/>
      <c r="BS211" s="4"/>
      <c r="BT211" s="4"/>
      <c r="BU211" s="4"/>
      <c r="BV211" s="4"/>
      <c r="BW211" s="4"/>
      <c r="BX211" s="4"/>
      <c r="BY211" s="4"/>
      <c r="BZ211" s="4"/>
      <c r="CA211" s="4"/>
      <c r="CB211" s="4"/>
      <c r="CC211" s="4"/>
      <c r="CD211" s="4"/>
      <c r="CE211" s="4"/>
      <c r="CF211" s="4"/>
      <c r="CG211" s="4"/>
      <c r="CH211" s="4"/>
      <c r="CI211" s="4"/>
    </row>
    <row r="212" ht="14.25" customHeight="1" spans="1:87" x14ac:dyDescent="0.25">
      <c r="A212" s="4"/>
      <c r="B212" s="4"/>
      <c r="C212" s="4"/>
      <c r="D212" s="4"/>
      <c r="E212" s="4"/>
      <c r="F212" s="4"/>
      <c r="G212" s="4"/>
      <c r="H212" s="4"/>
      <c r="I212" s="4"/>
      <c r="J212" s="4"/>
      <c r="K212" s="242"/>
      <c r="L212" s="4"/>
      <c r="M212" s="4"/>
      <c r="N212" s="4"/>
      <c r="O212" s="4"/>
      <c r="P212" s="4"/>
      <c r="Q212" s="4"/>
      <c r="R212" s="4"/>
      <c r="S212" s="4"/>
      <c r="T212" s="4"/>
      <c r="U212" s="4"/>
      <c r="V212" s="4"/>
      <c r="W212" s="4"/>
      <c r="X212" s="4"/>
      <c r="Y212" s="4"/>
      <c r="Z212" s="4"/>
      <c r="AA212" s="4"/>
      <c r="AB212" s="4"/>
      <c r="AC212" s="4"/>
      <c r="AD212" s="4"/>
      <c r="AE212" s="4"/>
      <c r="AF212" s="4"/>
      <c r="AG212" s="4"/>
      <c r="AH212" s="4"/>
      <c r="AI212" s="4"/>
      <c r="AJ212" s="4"/>
      <c r="AK212" s="4"/>
      <c r="AL212" s="4"/>
      <c r="AM212" s="4"/>
      <c r="AN212" s="4"/>
      <c r="AO212" s="4"/>
      <c r="AP212" s="4"/>
      <c r="AQ212" s="4"/>
      <c r="AR212" s="4"/>
      <c r="AS212" s="4"/>
      <c r="AT212" s="4"/>
      <c r="AU212" s="4"/>
      <c r="AV212" s="4"/>
      <c r="AW212" s="4"/>
      <c r="AX212" s="4"/>
      <c r="AY212" s="4"/>
      <c r="AZ212" s="4"/>
      <c r="BA212" s="4"/>
      <c r="BB212" s="4"/>
      <c r="BC212" s="4"/>
      <c r="BD212" s="4"/>
      <c r="BE212" s="4"/>
      <c r="BF212" s="4"/>
      <c r="BG212" s="4"/>
      <c r="BH212" s="4"/>
      <c r="BI212" s="4"/>
      <c r="BJ212" s="4"/>
      <c r="BK212" s="4"/>
      <c r="BL212" s="4"/>
      <c r="BM212" s="4"/>
      <c r="BN212" s="4"/>
      <c r="BO212" s="4"/>
      <c r="BP212" s="4"/>
      <c r="BQ212" s="4"/>
      <c r="BR212" s="4"/>
      <c r="BS212" s="4"/>
      <c r="BT212" s="4"/>
      <c r="BU212" s="4"/>
      <c r="BV212" s="4"/>
      <c r="BW212" s="4"/>
      <c r="BX212" s="4"/>
      <c r="BY212" s="4"/>
      <c r="BZ212" s="4"/>
      <c r="CA212" s="4"/>
      <c r="CB212" s="4"/>
      <c r="CC212" s="4"/>
      <c r="CD212" s="4"/>
      <c r="CE212" s="4"/>
      <c r="CF212" s="4"/>
      <c r="CG212" s="4"/>
      <c r="CH212" s="4"/>
      <c r="CI212" s="4"/>
    </row>
    <row r="213" ht="14.25" customHeight="1" spans="1:87" x14ac:dyDescent="0.25">
      <c r="A213" s="4"/>
      <c r="B213" s="4"/>
      <c r="C213" s="4"/>
      <c r="D213" s="4"/>
      <c r="E213" s="4"/>
      <c r="F213" s="4"/>
      <c r="G213" s="4"/>
      <c r="H213" s="4"/>
      <c r="I213" s="4"/>
      <c r="J213" s="4"/>
      <c r="K213" s="242"/>
      <c r="L213" s="4"/>
      <c r="M213" s="4"/>
      <c r="N213" s="4"/>
      <c r="O213" s="4"/>
      <c r="P213" s="4"/>
      <c r="Q213" s="4"/>
      <c r="R213" s="4"/>
      <c r="S213" s="4"/>
      <c r="T213" s="4"/>
      <c r="U213" s="4"/>
      <c r="V213" s="4"/>
      <c r="W213" s="4"/>
      <c r="X213" s="4"/>
      <c r="Y213" s="4"/>
      <c r="Z213" s="4"/>
      <c r="AA213" s="4"/>
      <c r="AB213" s="4"/>
      <c r="AC213" s="4"/>
      <c r="AD213" s="4"/>
      <c r="AE213" s="4"/>
      <c r="AF213" s="4"/>
      <c r="AG213" s="4"/>
      <c r="AH213" s="4"/>
      <c r="AI213" s="4"/>
      <c r="AJ213" s="4"/>
      <c r="AK213" s="4"/>
      <c r="AL213" s="4"/>
      <c r="AM213" s="4"/>
      <c r="AN213" s="4"/>
      <c r="AO213" s="4"/>
      <c r="AP213" s="4"/>
      <c r="AQ213" s="4"/>
      <c r="AR213" s="4"/>
      <c r="AS213" s="4"/>
      <c r="AT213" s="4"/>
      <c r="AU213" s="4"/>
      <c r="AV213" s="4"/>
      <c r="AW213" s="4"/>
      <c r="AX213" s="4"/>
      <c r="AY213" s="4"/>
      <c r="AZ213" s="4"/>
      <c r="BA213" s="4"/>
      <c r="BB213" s="4"/>
      <c r="BC213" s="4"/>
      <c r="BD213" s="4"/>
      <c r="BE213" s="4"/>
      <c r="BF213" s="4"/>
      <c r="BG213" s="4"/>
      <c r="BH213" s="4"/>
      <c r="BI213" s="4"/>
      <c r="BJ213" s="4"/>
      <c r="BK213" s="4"/>
      <c r="BL213" s="4"/>
      <c r="BM213" s="4"/>
      <c r="BN213" s="4"/>
      <c r="BO213" s="4"/>
      <c r="BP213" s="4"/>
      <c r="BQ213" s="4"/>
      <c r="BR213" s="4"/>
      <c r="BS213" s="4"/>
      <c r="BT213" s="4"/>
      <c r="BU213" s="4"/>
      <c r="BV213" s="4"/>
      <c r="BW213" s="4"/>
      <c r="BX213" s="4"/>
      <c r="BY213" s="4"/>
      <c r="BZ213" s="4"/>
      <c r="CA213" s="4"/>
      <c r="CB213" s="4"/>
      <c r="CC213" s="4"/>
      <c r="CD213" s="4"/>
      <c r="CE213" s="4"/>
      <c r="CF213" s="4"/>
      <c r="CG213" s="4"/>
      <c r="CH213" s="4"/>
      <c r="CI213" s="4"/>
    </row>
    <row r="214" ht="14.25" customHeight="1" spans="1:87" x14ac:dyDescent="0.25">
      <c r="A214" s="4"/>
      <c r="B214" s="4"/>
      <c r="C214" s="4"/>
      <c r="D214" s="4"/>
      <c r="E214" s="4"/>
      <c r="F214" s="4"/>
      <c r="G214" s="4"/>
      <c r="H214" s="4"/>
      <c r="I214" s="4"/>
      <c r="J214" s="4"/>
      <c r="K214" s="242"/>
      <c r="L214" s="4"/>
      <c r="M214" s="4"/>
      <c r="N214" s="4"/>
      <c r="O214" s="4"/>
      <c r="P214" s="4"/>
      <c r="Q214" s="4"/>
      <c r="R214" s="4"/>
      <c r="S214" s="4"/>
      <c r="T214" s="4"/>
      <c r="U214" s="4"/>
      <c r="V214" s="4"/>
      <c r="W214" s="4"/>
      <c r="X214" s="4"/>
      <c r="Y214" s="4"/>
      <c r="Z214" s="4"/>
      <c r="AA214" s="4"/>
      <c r="AB214" s="4"/>
      <c r="AC214" s="4"/>
      <c r="AD214" s="4"/>
      <c r="AE214" s="4"/>
      <c r="AF214" s="4"/>
      <c r="AG214" s="4"/>
      <c r="AH214" s="4"/>
      <c r="AI214" s="4"/>
      <c r="AJ214" s="4"/>
      <c r="AK214" s="4"/>
      <c r="AL214" s="4"/>
      <c r="AM214" s="4"/>
      <c r="AN214" s="4"/>
      <c r="AO214" s="4"/>
      <c r="AP214" s="4"/>
      <c r="AQ214" s="4"/>
      <c r="AR214" s="4"/>
      <c r="AS214" s="4"/>
      <c r="AT214" s="4"/>
      <c r="AU214" s="4"/>
      <c r="AV214" s="4"/>
      <c r="AW214" s="4"/>
      <c r="AX214" s="4"/>
      <c r="AY214" s="4"/>
      <c r="AZ214" s="4"/>
      <c r="BA214" s="4"/>
      <c r="BB214" s="4"/>
      <c r="BC214" s="4"/>
      <c r="BD214" s="4"/>
      <c r="BE214" s="4"/>
      <c r="BF214" s="4"/>
      <c r="BG214" s="4"/>
      <c r="BH214" s="4"/>
      <c r="BI214" s="4"/>
      <c r="BJ214" s="4"/>
      <c r="BK214" s="4"/>
      <c r="BL214" s="4"/>
      <c r="BM214" s="4"/>
      <c r="BN214" s="4"/>
      <c r="BO214" s="4"/>
      <c r="BP214" s="4"/>
      <c r="BQ214" s="4"/>
      <c r="BR214" s="4"/>
      <c r="BS214" s="4"/>
      <c r="BT214" s="4"/>
      <c r="BU214" s="4"/>
      <c r="BV214" s="4"/>
      <c r="BW214" s="4"/>
      <c r="BX214" s="4"/>
      <c r="BY214" s="4"/>
      <c r="BZ214" s="4"/>
      <c r="CA214" s="4"/>
      <c r="CB214" s="4"/>
      <c r="CC214" s="4"/>
      <c r="CD214" s="4"/>
      <c r="CE214" s="4"/>
      <c r="CF214" s="4"/>
      <c r="CG214" s="4"/>
      <c r="CH214" s="4"/>
      <c r="CI214" s="4"/>
    </row>
    <row r="215" ht="14.25" customHeight="1" spans="1:87" x14ac:dyDescent="0.25">
      <c r="A215" s="4"/>
      <c r="B215" s="4"/>
      <c r="C215" s="4"/>
      <c r="D215" s="4"/>
      <c r="E215" s="4"/>
      <c r="F215" s="4"/>
      <c r="G215" s="4"/>
      <c r="H215" s="4"/>
      <c r="I215" s="4"/>
      <c r="J215" s="4"/>
      <c r="K215" s="242"/>
      <c r="L215" s="4"/>
      <c r="M215" s="4"/>
      <c r="N215" s="4"/>
      <c r="O215" s="4"/>
      <c r="P215" s="4"/>
      <c r="Q215" s="4"/>
      <c r="R215" s="4"/>
      <c r="S215" s="4"/>
      <c r="T215" s="4"/>
      <c r="U215" s="4"/>
      <c r="V215" s="4"/>
      <c r="W215" s="4"/>
      <c r="X215" s="4"/>
      <c r="Y215" s="4"/>
      <c r="Z215" s="4"/>
      <c r="AA215" s="4"/>
      <c r="AB215" s="4"/>
      <c r="AC215" s="4"/>
      <c r="AD215" s="4"/>
      <c r="AE215" s="4"/>
      <c r="AF215" s="4"/>
      <c r="AG215" s="4"/>
      <c r="AH215" s="4"/>
      <c r="AI215" s="4"/>
      <c r="AJ215" s="4"/>
      <c r="AK215" s="4"/>
      <c r="AL215" s="4"/>
      <c r="AM215" s="4"/>
      <c r="AN215" s="4"/>
      <c r="AO215" s="4"/>
      <c r="AP215" s="4"/>
      <c r="AQ215" s="4"/>
      <c r="AR215" s="4"/>
      <c r="AS215" s="4"/>
      <c r="AT215" s="4"/>
      <c r="AU215" s="4"/>
      <c r="AV215" s="4"/>
      <c r="AW215" s="4"/>
      <c r="AX215" s="4"/>
      <c r="AY215" s="4"/>
      <c r="AZ215" s="4"/>
      <c r="BA215" s="4"/>
      <c r="BB215" s="4"/>
      <c r="BC215" s="4"/>
      <c r="BD215" s="4"/>
      <c r="BE215" s="4"/>
      <c r="BF215" s="4"/>
      <c r="BG215" s="4"/>
      <c r="BH215" s="4"/>
      <c r="BI215" s="4"/>
      <c r="BJ215" s="4"/>
      <c r="BK215" s="4"/>
      <c r="BL215" s="4"/>
      <c r="BM215" s="4"/>
      <c r="BN215" s="4"/>
      <c r="BO215" s="4"/>
      <c r="BP215" s="4"/>
      <c r="BQ215" s="4"/>
      <c r="BR215" s="4"/>
      <c r="BS215" s="4"/>
      <c r="BT215" s="4"/>
      <c r="BU215" s="4"/>
      <c r="BV215" s="4"/>
      <c r="BW215" s="4"/>
      <c r="BX215" s="4"/>
      <c r="BY215" s="4"/>
      <c r="BZ215" s="4"/>
      <c r="CA215" s="4"/>
      <c r="CB215" s="4"/>
      <c r="CC215" s="4"/>
      <c r="CD215" s="4"/>
      <c r="CE215" s="4"/>
      <c r="CF215" s="4"/>
      <c r="CG215" s="4"/>
      <c r="CH215" s="4"/>
      <c r="CI215" s="4"/>
    </row>
    <row r="216" ht="14.25" customHeight="1" spans="1:87" x14ac:dyDescent="0.25">
      <c r="A216" s="4"/>
      <c r="B216" s="4"/>
      <c r="C216" s="4"/>
      <c r="D216" s="4"/>
      <c r="E216" s="4"/>
      <c r="F216" s="4"/>
      <c r="G216" s="4"/>
      <c r="H216" s="4"/>
      <c r="I216" s="4"/>
      <c r="J216" s="4"/>
      <c r="K216" s="242"/>
      <c r="L216" s="4"/>
      <c r="M216" s="4"/>
      <c r="N216" s="4"/>
      <c r="O216" s="4"/>
      <c r="P216" s="4"/>
      <c r="Q216" s="4"/>
      <c r="R216" s="4"/>
      <c r="S216" s="4"/>
      <c r="T216" s="4"/>
      <c r="U216" s="4"/>
      <c r="V216" s="4"/>
      <c r="W216" s="4"/>
      <c r="X216" s="4"/>
      <c r="Y216" s="4"/>
      <c r="Z216" s="4"/>
      <c r="AA216" s="4"/>
      <c r="AB216" s="4"/>
      <c r="AC216" s="4"/>
      <c r="AD216" s="4"/>
      <c r="AE216" s="4"/>
      <c r="AF216" s="4"/>
      <c r="AG216" s="4"/>
      <c r="AH216" s="4"/>
      <c r="AI216" s="4"/>
      <c r="AJ216" s="4"/>
      <c r="AK216" s="4"/>
      <c r="AL216" s="4"/>
      <c r="AM216" s="4"/>
      <c r="AN216" s="4"/>
      <c r="AO216" s="4"/>
      <c r="AP216" s="4"/>
      <c r="AQ216" s="4"/>
      <c r="AR216" s="4"/>
      <c r="AS216" s="4"/>
      <c r="AT216" s="4"/>
      <c r="AU216" s="4"/>
      <c r="AV216" s="4"/>
      <c r="AW216" s="4"/>
      <c r="AX216" s="4"/>
      <c r="AY216" s="4"/>
      <c r="AZ216" s="4"/>
      <c r="BA216" s="4"/>
      <c r="BB216" s="4"/>
      <c r="BC216" s="4"/>
      <c r="BD216" s="4"/>
      <c r="BE216" s="4"/>
      <c r="BF216" s="4"/>
      <c r="BG216" s="4"/>
      <c r="BH216" s="4"/>
      <c r="BI216" s="4"/>
      <c r="BJ216" s="4"/>
      <c r="BK216" s="4"/>
      <c r="BL216" s="4"/>
      <c r="BM216" s="4"/>
      <c r="BN216" s="4"/>
      <c r="BO216" s="4"/>
      <c r="BP216" s="4"/>
      <c r="BQ216" s="4"/>
      <c r="BR216" s="4"/>
      <c r="BS216" s="4"/>
      <c r="BT216" s="4"/>
      <c r="BU216" s="4"/>
      <c r="BV216" s="4"/>
      <c r="BW216" s="4"/>
      <c r="BX216" s="4"/>
      <c r="BY216" s="4"/>
      <c r="BZ216" s="4"/>
      <c r="CA216" s="4"/>
      <c r="CB216" s="4"/>
      <c r="CC216" s="4"/>
      <c r="CD216" s="4"/>
      <c r="CE216" s="4"/>
      <c r="CF216" s="4"/>
      <c r="CG216" s="4"/>
      <c r="CH216" s="4"/>
      <c r="CI216" s="4"/>
    </row>
    <row r="217" ht="14.25" customHeight="1" spans="1:87" x14ac:dyDescent="0.25">
      <c r="A217" s="4"/>
      <c r="B217" s="4"/>
      <c r="C217" s="4"/>
      <c r="D217" s="4"/>
      <c r="E217" s="4"/>
      <c r="F217" s="4"/>
      <c r="G217" s="4"/>
      <c r="H217" s="4"/>
      <c r="I217" s="4"/>
      <c r="J217" s="4"/>
      <c r="K217" s="242"/>
      <c r="L217" s="4"/>
      <c r="M217" s="4"/>
      <c r="N217" s="4"/>
      <c r="O217" s="4"/>
      <c r="P217" s="4"/>
      <c r="Q217" s="4"/>
      <c r="R217" s="4"/>
      <c r="S217" s="4"/>
      <c r="T217" s="4"/>
      <c r="U217" s="4"/>
      <c r="V217" s="4"/>
      <c r="W217" s="4"/>
      <c r="X217" s="4"/>
      <c r="Y217" s="4"/>
      <c r="Z217" s="4"/>
      <c r="AA217" s="4"/>
      <c r="AB217" s="4"/>
      <c r="AC217" s="4"/>
      <c r="AD217" s="4"/>
      <c r="AE217" s="4"/>
      <c r="AF217" s="4"/>
      <c r="AG217" s="4"/>
      <c r="AH217" s="4"/>
      <c r="AI217" s="4"/>
      <c r="AJ217" s="4"/>
      <c r="AK217" s="4"/>
      <c r="AL217" s="4"/>
      <c r="AM217" s="4"/>
      <c r="AN217" s="4"/>
      <c r="AO217" s="4"/>
      <c r="AP217" s="4"/>
      <c r="AQ217" s="4"/>
      <c r="AR217" s="4"/>
      <c r="AS217" s="4"/>
      <c r="AT217" s="4"/>
      <c r="AU217" s="4"/>
      <c r="AV217" s="4"/>
      <c r="AW217" s="4"/>
      <c r="AX217" s="4"/>
      <c r="AY217" s="4"/>
      <c r="AZ217" s="4"/>
      <c r="BA217" s="4"/>
      <c r="BB217" s="4"/>
      <c r="BC217" s="4"/>
      <c r="BD217" s="4"/>
      <c r="BE217" s="4"/>
      <c r="BF217" s="4"/>
      <c r="BG217" s="4"/>
      <c r="BH217" s="4"/>
      <c r="BI217" s="4"/>
      <c r="BJ217" s="4"/>
      <c r="BK217" s="4"/>
      <c r="BL217" s="4"/>
      <c r="BM217" s="4"/>
      <c r="BN217" s="4"/>
      <c r="BO217" s="4"/>
      <c r="BP217" s="4"/>
      <c r="BQ217" s="4"/>
      <c r="BR217" s="4"/>
      <c r="BS217" s="4"/>
      <c r="BT217" s="4"/>
      <c r="BU217" s="4"/>
      <c r="BV217" s="4"/>
      <c r="BW217" s="4"/>
      <c r="BX217" s="4"/>
      <c r="BY217" s="4"/>
      <c r="BZ217" s="4"/>
      <c r="CA217" s="4"/>
      <c r="CB217" s="4"/>
      <c r="CC217" s="4"/>
      <c r="CD217" s="4"/>
      <c r="CE217" s="4"/>
      <c r="CF217" s="4"/>
      <c r="CG217" s="4"/>
      <c r="CH217" s="4"/>
      <c r="CI217" s="4"/>
    </row>
    <row r="218" ht="14.25" customHeight="1" spans="1:87" x14ac:dyDescent="0.25">
      <c r="A218" s="4"/>
      <c r="B218" s="4"/>
      <c r="C218" s="4"/>
      <c r="D218" s="4"/>
      <c r="E218" s="4"/>
      <c r="F218" s="4"/>
      <c r="G218" s="4"/>
      <c r="H218" s="4"/>
      <c r="I218" s="4"/>
      <c r="J218" s="4"/>
      <c r="K218" s="242"/>
      <c r="L218" s="4"/>
      <c r="M218" s="4"/>
      <c r="N218" s="4"/>
      <c r="O218" s="4"/>
      <c r="P218" s="4"/>
      <c r="Q218" s="4"/>
      <c r="R218" s="4"/>
      <c r="S218" s="4"/>
      <c r="T218" s="4"/>
      <c r="U218" s="4"/>
      <c r="V218" s="4"/>
      <c r="W218" s="4"/>
      <c r="X218" s="4"/>
      <c r="Y218" s="4"/>
      <c r="Z218" s="4"/>
      <c r="AA218" s="4"/>
      <c r="AB218" s="4"/>
      <c r="AC218" s="4"/>
      <c r="AD218" s="4"/>
      <c r="AE218" s="4"/>
      <c r="AF218" s="4"/>
      <c r="AG218" s="4"/>
      <c r="AH218" s="4"/>
      <c r="AI218" s="4"/>
      <c r="AJ218" s="4"/>
      <c r="AK218" s="4"/>
      <c r="AL218" s="4"/>
      <c r="AM218" s="4"/>
      <c r="AN218" s="4"/>
      <c r="AO218" s="4"/>
      <c r="AP218" s="4"/>
      <c r="AQ218" s="4"/>
      <c r="AR218" s="4"/>
      <c r="AS218" s="4"/>
      <c r="AT218" s="4"/>
      <c r="AU218" s="4"/>
      <c r="AV218" s="4"/>
      <c r="AW218" s="4"/>
      <c r="AX218" s="4"/>
      <c r="AY218" s="4"/>
      <c r="AZ218" s="4"/>
      <c r="BA218" s="4"/>
      <c r="BB218" s="4"/>
      <c r="BC218" s="4"/>
      <c r="BD218" s="4"/>
      <c r="BE218" s="4"/>
      <c r="BF218" s="4"/>
      <c r="BG218" s="4"/>
      <c r="BH218" s="4"/>
      <c r="BI218" s="4"/>
      <c r="BJ218" s="4"/>
      <c r="BK218" s="4"/>
      <c r="BL218" s="4"/>
      <c r="BM218" s="4"/>
      <c r="BN218" s="4"/>
      <c r="BO218" s="4"/>
      <c r="BP218" s="4"/>
      <c r="BQ218" s="4"/>
      <c r="BR218" s="4"/>
      <c r="BS218" s="4"/>
      <c r="BT218" s="4"/>
      <c r="BU218" s="4"/>
      <c r="BV218" s="4"/>
      <c r="BW218" s="4"/>
      <c r="BX218" s="4"/>
      <c r="BY218" s="4"/>
      <c r="BZ218" s="4"/>
      <c r="CA218" s="4"/>
      <c r="CB218" s="4"/>
      <c r="CC218" s="4"/>
      <c r="CD218" s="4"/>
      <c r="CE218" s="4"/>
      <c r="CF218" s="4"/>
      <c r="CG218" s="4"/>
      <c r="CH218" s="4"/>
      <c r="CI218" s="4"/>
    </row>
    <row r="219" ht="14.25" customHeight="1" spans="1:87" x14ac:dyDescent="0.25">
      <c r="A219" s="4"/>
      <c r="B219" s="4"/>
      <c r="C219" s="4"/>
      <c r="D219" s="4"/>
      <c r="E219" s="4"/>
      <c r="F219" s="4"/>
      <c r="G219" s="4"/>
      <c r="H219" s="4"/>
      <c r="I219" s="4"/>
      <c r="J219" s="4"/>
      <c r="K219" s="242"/>
      <c r="L219" s="4"/>
      <c r="M219" s="4"/>
      <c r="N219" s="4"/>
      <c r="O219" s="4"/>
      <c r="P219" s="4"/>
      <c r="Q219" s="4"/>
      <c r="R219" s="4"/>
      <c r="S219" s="4"/>
      <c r="T219" s="4"/>
      <c r="U219" s="4"/>
      <c r="V219" s="4"/>
      <c r="W219" s="4"/>
      <c r="X219" s="4"/>
      <c r="Y219" s="4"/>
      <c r="Z219" s="4"/>
      <c r="AA219" s="4"/>
      <c r="AB219" s="4"/>
      <c r="AC219" s="4"/>
      <c r="AD219" s="4"/>
      <c r="AE219" s="4"/>
      <c r="AF219" s="4"/>
      <c r="AG219" s="4"/>
      <c r="AH219" s="4"/>
      <c r="AI219" s="4"/>
      <c r="AJ219" s="4"/>
      <c r="AK219" s="4"/>
      <c r="AL219" s="4"/>
      <c r="AM219" s="4"/>
      <c r="AN219" s="4"/>
      <c r="AO219" s="4"/>
      <c r="AP219" s="4"/>
      <c r="AQ219" s="4"/>
      <c r="AR219" s="4"/>
      <c r="AS219" s="4"/>
      <c r="AT219" s="4"/>
      <c r="AU219" s="4"/>
      <c r="AV219" s="4"/>
      <c r="AW219" s="4"/>
      <c r="AX219" s="4"/>
      <c r="AY219" s="4"/>
      <c r="AZ219" s="4"/>
      <c r="BA219" s="4"/>
      <c r="BB219" s="4"/>
      <c r="BC219" s="4"/>
      <c r="BD219" s="4"/>
      <c r="BE219" s="4"/>
      <c r="BF219" s="4"/>
      <c r="BG219" s="4"/>
      <c r="BH219" s="4"/>
      <c r="BI219" s="4"/>
      <c r="BJ219" s="4"/>
      <c r="BK219" s="4"/>
      <c r="BL219" s="4"/>
      <c r="BM219" s="4"/>
      <c r="BN219" s="4"/>
      <c r="BO219" s="4"/>
      <c r="BP219" s="4"/>
      <c r="BQ219" s="4"/>
      <c r="BR219" s="4"/>
      <c r="BS219" s="4"/>
      <c r="BT219" s="4"/>
      <c r="BU219" s="4"/>
      <c r="BV219" s="4"/>
      <c r="BW219" s="4"/>
      <c r="BX219" s="4"/>
      <c r="BY219" s="4"/>
      <c r="BZ219" s="4"/>
      <c r="CA219" s="4"/>
      <c r="CB219" s="4"/>
      <c r="CC219" s="4"/>
      <c r="CD219" s="4"/>
      <c r="CE219" s="4"/>
      <c r="CF219" s="4"/>
      <c r="CG219" s="4"/>
      <c r="CH219" s="4"/>
      <c r="CI219" s="4"/>
    </row>
    <row r="220" ht="14.25" customHeight="1" spans="1:87" x14ac:dyDescent="0.25">
      <c r="A220" s="4"/>
      <c r="B220" s="4"/>
      <c r="C220" s="4"/>
      <c r="D220" s="4"/>
      <c r="E220" s="4"/>
      <c r="F220" s="4"/>
      <c r="G220" s="4"/>
      <c r="H220" s="4"/>
      <c r="I220" s="4"/>
      <c r="J220" s="4"/>
      <c r="K220" s="242"/>
      <c r="L220" s="4"/>
      <c r="M220" s="4"/>
      <c r="N220" s="4"/>
      <c r="O220" s="4"/>
      <c r="P220" s="4"/>
      <c r="Q220" s="4"/>
      <c r="R220" s="4"/>
      <c r="S220" s="4"/>
      <c r="T220" s="4"/>
      <c r="U220" s="4"/>
      <c r="V220" s="4"/>
      <c r="W220" s="4"/>
      <c r="X220" s="4"/>
      <c r="Y220" s="4"/>
      <c r="Z220" s="4"/>
      <c r="AA220" s="4"/>
      <c r="AB220" s="4"/>
      <c r="AC220" s="4"/>
      <c r="AD220" s="4"/>
      <c r="AE220" s="4"/>
      <c r="AF220" s="4"/>
      <c r="AG220" s="4"/>
      <c r="AH220" s="4"/>
      <c r="AI220" s="4"/>
      <c r="AJ220" s="4"/>
      <c r="AK220" s="4"/>
      <c r="AL220" s="4"/>
      <c r="AM220" s="4"/>
      <c r="AN220" s="4"/>
      <c r="AO220" s="4"/>
      <c r="AP220" s="4"/>
      <c r="AQ220" s="4"/>
      <c r="AR220" s="4"/>
      <c r="AS220" s="4"/>
      <c r="AT220" s="4"/>
      <c r="AU220" s="4"/>
      <c r="AV220" s="4"/>
      <c r="AW220" s="4"/>
      <c r="AX220" s="4"/>
      <c r="AY220" s="4"/>
      <c r="AZ220" s="4"/>
      <c r="BA220" s="4"/>
      <c r="BB220" s="4"/>
      <c r="BC220" s="4"/>
      <c r="BD220" s="4"/>
      <c r="BE220" s="4"/>
      <c r="BF220" s="4"/>
      <c r="BG220" s="4"/>
      <c r="BH220" s="4"/>
      <c r="BI220" s="4"/>
      <c r="BJ220" s="4"/>
      <c r="BK220" s="4"/>
      <c r="BL220" s="4"/>
      <c r="BM220" s="4"/>
      <c r="BN220" s="4"/>
      <c r="BO220" s="4"/>
      <c r="BP220" s="4"/>
      <c r="BQ220" s="4"/>
      <c r="BR220" s="4"/>
      <c r="BS220" s="4"/>
      <c r="BT220" s="4"/>
      <c r="BU220" s="4"/>
      <c r="BV220" s="4"/>
      <c r="BW220" s="4"/>
      <c r="BX220" s="4"/>
      <c r="BY220" s="4"/>
      <c r="BZ220" s="4"/>
      <c r="CA220" s="4"/>
      <c r="CB220" s="4"/>
      <c r="CC220" s="4"/>
      <c r="CD220" s="4"/>
      <c r="CE220" s="4"/>
      <c r="CF220" s="4"/>
      <c r="CG220" s="4"/>
      <c r="CH220" s="4"/>
      <c r="CI220" s="4"/>
    </row>
    <row r="221" ht="14.25" customHeight="1" spans="1:87" x14ac:dyDescent="0.25">
      <c r="A221" s="4"/>
      <c r="B221" s="4"/>
      <c r="C221" s="4"/>
      <c r="D221" s="4"/>
      <c r="E221" s="4"/>
      <c r="F221" s="4"/>
      <c r="G221" s="4"/>
      <c r="H221" s="4"/>
      <c r="I221" s="4"/>
      <c r="J221" s="4"/>
      <c r="K221" s="242"/>
      <c r="L221" s="4"/>
      <c r="M221" s="4"/>
      <c r="N221" s="4"/>
      <c r="O221" s="4"/>
      <c r="P221" s="4"/>
      <c r="Q221" s="4"/>
      <c r="R221" s="4"/>
      <c r="S221" s="4"/>
      <c r="T221" s="4"/>
      <c r="U221" s="4"/>
      <c r="V221" s="4"/>
      <c r="W221" s="4"/>
      <c r="X221" s="4"/>
      <c r="Y221" s="4"/>
      <c r="Z221" s="4"/>
      <c r="AA221" s="4"/>
      <c r="AB221" s="4"/>
      <c r="AC221" s="4"/>
      <c r="AD221" s="4"/>
      <c r="AE221" s="4"/>
      <c r="AF221" s="4"/>
      <c r="AG221" s="4"/>
      <c r="AH221" s="4"/>
      <c r="AI221" s="4"/>
      <c r="AJ221" s="4"/>
      <c r="AK221" s="4"/>
      <c r="AL221" s="4"/>
      <c r="AM221" s="4"/>
      <c r="AN221" s="4"/>
      <c r="AO221" s="4"/>
      <c r="AP221" s="4"/>
      <c r="AQ221" s="4"/>
      <c r="AR221" s="4"/>
      <c r="AS221" s="4"/>
      <c r="AT221" s="4"/>
      <c r="AU221" s="4"/>
      <c r="AV221" s="4"/>
      <c r="AW221" s="4"/>
      <c r="AX221" s="4"/>
      <c r="AY221" s="4"/>
      <c r="AZ221" s="4"/>
      <c r="BA221" s="4"/>
      <c r="BB221" s="4"/>
      <c r="BC221" s="4"/>
      <c r="BD221" s="4"/>
      <c r="BE221" s="4"/>
      <c r="BF221" s="4"/>
      <c r="BG221" s="4"/>
      <c r="BH221" s="4"/>
      <c r="BI221" s="4"/>
      <c r="BJ221" s="4"/>
      <c r="BK221" s="4"/>
      <c r="BL221" s="4"/>
      <c r="BM221" s="4"/>
      <c r="BN221" s="4"/>
      <c r="BO221" s="4"/>
      <c r="BP221" s="4"/>
      <c r="BQ221" s="4"/>
      <c r="BR221" s="4"/>
      <c r="BS221" s="4"/>
      <c r="BT221" s="4"/>
      <c r="BU221" s="4"/>
      <c r="BV221" s="4"/>
      <c r="BW221" s="4"/>
      <c r="BX221" s="4"/>
      <c r="BY221" s="4"/>
      <c r="BZ221" s="4"/>
      <c r="CA221" s="4"/>
      <c r="CB221" s="4"/>
      <c r="CC221" s="4"/>
      <c r="CD221" s="4"/>
      <c r="CE221" s="4"/>
      <c r="CF221" s="4"/>
      <c r="CG221" s="4"/>
      <c r="CH221" s="4"/>
      <c r="CI221" s="4"/>
    </row>
    <row r="222" ht="14.25" customHeight="1" spans="1:87" x14ac:dyDescent="0.25">
      <c r="A222" s="4"/>
      <c r="B222" s="4"/>
      <c r="C222" s="4"/>
      <c r="D222" s="4"/>
      <c r="E222" s="4"/>
      <c r="F222" s="4"/>
      <c r="G222" s="4"/>
      <c r="H222" s="4"/>
      <c r="I222" s="4"/>
      <c r="J222" s="4"/>
      <c r="K222" s="242"/>
      <c r="L222" s="4"/>
      <c r="M222" s="4"/>
      <c r="N222" s="4"/>
      <c r="O222" s="4"/>
      <c r="P222" s="4"/>
      <c r="Q222" s="4"/>
      <c r="R222" s="4"/>
      <c r="S222" s="4"/>
      <c r="T222" s="4"/>
      <c r="U222" s="4"/>
      <c r="V222" s="4"/>
      <c r="W222" s="4"/>
      <c r="X222" s="4"/>
      <c r="Y222" s="4"/>
      <c r="Z222" s="4"/>
      <c r="AA222" s="4"/>
      <c r="AB222" s="4"/>
      <c r="AC222" s="4"/>
      <c r="AD222" s="4"/>
      <c r="AE222" s="4"/>
      <c r="AF222" s="4"/>
      <c r="AG222" s="4"/>
      <c r="AH222" s="4"/>
      <c r="AI222" s="4"/>
      <c r="AJ222" s="4"/>
      <c r="AK222" s="4"/>
      <c r="AL222" s="4"/>
      <c r="AM222" s="4"/>
      <c r="AN222" s="4"/>
      <c r="AO222" s="4"/>
      <c r="AP222" s="4"/>
      <c r="AQ222" s="4"/>
      <c r="AR222" s="4"/>
      <c r="AS222" s="4"/>
      <c r="AT222" s="4"/>
      <c r="AU222" s="4"/>
      <c r="AV222" s="4"/>
      <c r="AW222" s="4"/>
      <c r="AX222" s="4"/>
      <c r="AY222" s="4"/>
      <c r="AZ222" s="4"/>
      <c r="BA222" s="4"/>
      <c r="BB222" s="4"/>
      <c r="BC222" s="4"/>
      <c r="BD222" s="4"/>
      <c r="BE222" s="4"/>
      <c r="BF222" s="4"/>
      <c r="BG222" s="4"/>
      <c r="BH222" s="4"/>
      <c r="BI222" s="4"/>
      <c r="BJ222" s="4"/>
      <c r="BK222" s="4"/>
      <c r="BL222" s="4"/>
      <c r="BM222" s="4"/>
      <c r="BN222" s="4"/>
      <c r="BO222" s="4"/>
      <c r="BP222" s="4"/>
      <c r="BQ222" s="4"/>
      <c r="BR222" s="4"/>
      <c r="BS222" s="4"/>
      <c r="BT222" s="4"/>
      <c r="BU222" s="4"/>
      <c r="BV222" s="4"/>
      <c r="BW222" s="4"/>
      <c r="BX222" s="4"/>
      <c r="BY222" s="4"/>
      <c r="BZ222" s="4"/>
      <c r="CA222" s="4"/>
      <c r="CB222" s="4"/>
      <c r="CC222" s="4"/>
      <c r="CD222" s="4"/>
      <c r="CE222" s="4"/>
      <c r="CF222" s="4"/>
      <c r="CG222" s="4"/>
      <c r="CH222" s="4"/>
      <c r="CI222" s="4"/>
    </row>
    <row r="223" ht="14.25" customHeight="1" spans="1:87" x14ac:dyDescent="0.25">
      <c r="A223" s="4"/>
      <c r="B223" s="4"/>
      <c r="C223" s="4"/>
      <c r="D223" s="4"/>
      <c r="E223" s="4"/>
      <c r="F223" s="4"/>
      <c r="G223" s="4"/>
      <c r="H223" s="4"/>
      <c r="I223" s="4"/>
      <c r="J223" s="4"/>
      <c r="K223" s="242"/>
      <c r="L223" s="4"/>
      <c r="M223" s="4"/>
      <c r="N223" s="4"/>
      <c r="O223" s="4"/>
      <c r="P223" s="4"/>
      <c r="Q223" s="4"/>
      <c r="R223" s="4"/>
      <c r="S223" s="4"/>
      <c r="T223" s="4"/>
      <c r="U223" s="4"/>
      <c r="V223" s="4"/>
      <c r="W223" s="4"/>
      <c r="X223" s="4"/>
      <c r="Y223" s="4"/>
      <c r="Z223" s="4"/>
      <c r="AA223" s="4"/>
      <c r="AB223" s="4"/>
      <c r="AC223" s="4"/>
      <c r="AD223" s="4"/>
      <c r="AE223" s="4"/>
      <c r="AF223" s="4"/>
      <c r="AG223" s="4"/>
      <c r="AH223" s="4"/>
      <c r="AI223" s="4"/>
      <c r="AJ223" s="4"/>
      <c r="AK223" s="4"/>
      <c r="AL223" s="4"/>
      <c r="AM223" s="4"/>
      <c r="AN223" s="4"/>
      <c r="AO223" s="4"/>
      <c r="AP223" s="4"/>
      <c r="AQ223" s="4"/>
      <c r="AR223" s="4"/>
      <c r="AS223" s="4"/>
      <c r="AT223" s="4"/>
      <c r="AU223" s="4"/>
      <c r="AV223" s="4"/>
      <c r="AW223" s="4"/>
      <c r="AX223" s="4"/>
      <c r="AY223" s="4"/>
      <c r="AZ223" s="4"/>
      <c r="BA223" s="4"/>
      <c r="BB223" s="4"/>
      <c r="BC223" s="4"/>
      <c r="BD223" s="4"/>
      <c r="BE223" s="4"/>
      <c r="BF223" s="4"/>
      <c r="BG223" s="4"/>
      <c r="BH223" s="4"/>
      <c r="BI223" s="4"/>
      <c r="BJ223" s="4"/>
      <c r="BK223" s="4"/>
      <c r="BL223" s="4"/>
      <c r="BM223" s="4"/>
      <c r="BN223" s="4"/>
      <c r="BO223" s="4"/>
      <c r="BP223" s="4"/>
      <c r="BQ223" s="4"/>
      <c r="BR223" s="4"/>
      <c r="BS223" s="4"/>
      <c r="BT223" s="4"/>
      <c r="BU223" s="4"/>
      <c r="BV223" s="4"/>
      <c r="BW223" s="4"/>
      <c r="BX223" s="4"/>
      <c r="BY223" s="4"/>
      <c r="BZ223" s="4"/>
      <c r="CA223" s="4"/>
      <c r="CB223" s="4"/>
      <c r="CC223" s="4"/>
      <c r="CD223" s="4"/>
      <c r="CE223" s="4"/>
      <c r="CF223" s="4"/>
      <c r="CG223" s="4"/>
      <c r="CH223" s="4"/>
      <c r="CI223" s="4"/>
    </row>
    <row r="224" ht="14.25" customHeight="1" spans="1:87" x14ac:dyDescent="0.25">
      <c r="A224" s="4"/>
      <c r="B224" s="4"/>
      <c r="C224" s="4"/>
      <c r="D224" s="4"/>
      <c r="E224" s="4"/>
      <c r="F224" s="4"/>
      <c r="G224" s="4"/>
      <c r="H224" s="4"/>
      <c r="I224" s="4"/>
      <c r="J224" s="4"/>
      <c r="K224" s="242"/>
      <c r="L224" s="4"/>
      <c r="M224" s="4"/>
      <c r="N224" s="4"/>
      <c r="O224" s="4"/>
      <c r="P224" s="4"/>
      <c r="Q224" s="4"/>
      <c r="R224" s="4"/>
      <c r="S224" s="4"/>
      <c r="T224" s="4"/>
      <c r="U224" s="4"/>
      <c r="V224" s="4"/>
      <c r="W224" s="4"/>
      <c r="X224" s="4"/>
      <c r="Y224" s="4"/>
      <c r="Z224" s="4"/>
      <c r="AA224" s="4"/>
      <c r="AB224" s="4"/>
      <c r="AC224" s="4"/>
      <c r="AD224" s="4"/>
      <c r="AE224" s="4"/>
      <c r="AF224" s="4"/>
      <c r="AG224" s="4"/>
      <c r="AH224" s="4"/>
      <c r="AI224" s="4"/>
      <c r="AJ224" s="4"/>
      <c r="AK224" s="4"/>
      <c r="AL224" s="4"/>
      <c r="AM224" s="4"/>
      <c r="AN224" s="4"/>
      <c r="AO224" s="4"/>
      <c r="AP224" s="4"/>
      <c r="AQ224" s="4"/>
      <c r="AR224" s="4"/>
      <c r="AS224" s="4"/>
      <c r="AT224" s="4"/>
      <c r="AU224" s="4"/>
      <c r="AV224" s="4"/>
      <c r="AW224" s="4"/>
      <c r="AX224" s="4"/>
      <c r="AY224" s="4"/>
      <c r="AZ224" s="4"/>
      <c r="BA224" s="4"/>
      <c r="BB224" s="4"/>
      <c r="BC224" s="4"/>
      <c r="BD224" s="4"/>
      <c r="BE224" s="4"/>
      <c r="BF224" s="4"/>
      <c r="BG224" s="4"/>
      <c r="BH224" s="4"/>
      <c r="BI224" s="4"/>
      <c r="BJ224" s="4"/>
      <c r="BK224" s="4"/>
      <c r="BL224" s="4"/>
      <c r="BM224" s="4"/>
      <c r="BN224" s="4"/>
      <c r="BO224" s="4"/>
      <c r="BP224" s="4"/>
      <c r="BQ224" s="4"/>
      <c r="BR224" s="4"/>
      <c r="BS224" s="4"/>
      <c r="BT224" s="4"/>
      <c r="BU224" s="4"/>
      <c r="BV224" s="4"/>
      <c r="BW224" s="4"/>
      <c r="BX224" s="4"/>
      <c r="BY224" s="4"/>
      <c r="BZ224" s="4"/>
      <c r="CA224" s="4"/>
      <c r="CB224" s="4"/>
      <c r="CC224" s="4"/>
      <c r="CD224" s="4"/>
      <c r="CE224" s="4"/>
      <c r="CF224" s="4"/>
      <c r="CG224" s="4"/>
      <c r="CH224" s="4"/>
      <c r="CI224" s="4"/>
    </row>
    <row r="225" ht="14.25" customHeight="1" spans="1:87" x14ac:dyDescent="0.25">
      <c r="A225" s="4"/>
      <c r="B225" s="4"/>
      <c r="C225" s="4"/>
      <c r="D225" s="4"/>
      <c r="E225" s="4"/>
      <c r="F225" s="4"/>
      <c r="G225" s="4"/>
      <c r="H225" s="4"/>
      <c r="I225" s="4"/>
      <c r="J225" s="4"/>
      <c r="K225" s="242"/>
      <c r="L225" s="4"/>
      <c r="M225" s="4"/>
      <c r="N225" s="4"/>
      <c r="O225" s="4"/>
      <c r="P225" s="4"/>
      <c r="Q225" s="4"/>
      <c r="R225" s="4"/>
      <c r="S225" s="4"/>
      <c r="T225" s="4"/>
      <c r="U225" s="4"/>
      <c r="V225" s="4"/>
      <c r="W225" s="4"/>
      <c r="X225" s="4"/>
      <c r="Y225" s="4"/>
      <c r="Z225" s="4"/>
      <c r="AA225" s="4"/>
      <c r="AB225" s="4"/>
      <c r="AC225" s="4"/>
      <c r="AD225" s="4"/>
      <c r="AE225" s="4"/>
      <c r="AF225" s="4"/>
      <c r="AG225" s="4"/>
      <c r="AH225" s="4"/>
      <c r="AI225" s="4"/>
      <c r="AJ225" s="4"/>
      <c r="AK225" s="4"/>
      <c r="AL225" s="4"/>
      <c r="AM225" s="4"/>
      <c r="AN225" s="4"/>
      <c r="AO225" s="4"/>
      <c r="AP225" s="4"/>
      <c r="AQ225" s="4"/>
      <c r="AR225" s="4"/>
      <c r="AS225" s="4"/>
      <c r="AT225" s="4"/>
      <c r="AU225" s="4"/>
      <c r="AV225" s="4"/>
      <c r="AW225" s="4"/>
      <c r="AX225" s="4"/>
      <c r="AY225" s="4"/>
      <c r="AZ225" s="4"/>
      <c r="BA225" s="4"/>
      <c r="BB225" s="4"/>
      <c r="BC225" s="4"/>
      <c r="BD225" s="4"/>
      <c r="BE225" s="4"/>
      <c r="BF225" s="4"/>
      <c r="BG225" s="4"/>
      <c r="BH225" s="4"/>
      <c r="BI225" s="4"/>
      <c r="BJ225" s="4"/>
      <c r="BK225" s="4"/>
      <c r="BL225" s="4"/>
      <c r="BM225" s="4"/>
      <c r="BN225" s="4"/>
      <c r="BO225" s="4"/>
      <c r="BP225" s="4"/>
      <c r="BQ225" s="4"/>
      <c r="BR225" s="4"/>
      <c r="BS225" s="4"/>
      <c r="BT225" s="4"/>
      <c r="BU225" s="4"/>
      <c r="BV225" s="4"/>
      <c r="BW225" s="4"/>
      <c r="BX225" s="4"/>
      <c r="BY225" s="4"/>
      <c r="BZ225" s="4"/>
      <c r="CA225" s="4"/>
      <c r="CB225" s="4"/>
      <c r="CC225" s="4"/>
      <c r="CD225" s="4"/>
      <c r="CE225" s="4"/>
      <c r="CF225" s="4"/>
      <c r="CG225" s="4"/>
      <c r="CH225" s="4"/>
      <c r="CI225" s="4"/>
    </row>
    <row r="226" ht="14.25" customHeight="1" spans="1:87" x14ac:dyDescent="0.25">
      <c r="A226" s="4"/>
      <c r="B226" s="4"/>
      <c r="C226" s="4"/>
      <c r="D226" s="4"/>
      <c r="E226" s="4"/>
      <c r="F226" s="4"/>
      <c r="G226" s="4"/>
      <c r="H226" s="4"/>
      <c r="I226" s="4"/>
      <c r="J226" s="4"/>
      <c r="K226" s="242"/>
      <c r="L226" s="4"/>
      <c r="M226" s="4"/>
      <c r="N226" s="4"/>
      <c r="O226" s="4"/>
      <c r="P226" s="4"/>
      <c r="Q226" s="4"/>
      <c r="R226" s="4"/>
      <c r="S226" s="4"/>
      <c r="T226" s="4"/>
      <c r="U226" s="4"/>
      <c r="V226" s="4"/>
      <c r="W226" s="4"/>
      <c r="X226" s="4"/>
      <c r="Y226" s="4"/>
      <c r="Z226" s="4"/>
      <c r="AA226" s="4"/>
      <c r="AB226" s="4"/>
      <c r="AC226" s="4"/>
      <c r="AD226" s="4"/>
      <c r="AE226" s="4"/>
      <c r="AF226" s="4"/>
      <c r="AG226" s="4"/>
      <c r="AH226" s="4"/>
      <c r="AI226" s="4"/>
      <c r="AJ226" s="4"/>
      <c r="AK226" s="4"/>
      <c r="AL226" s="4"/>
      <c r="AM226" s="4"/>
      <c r="AN226" s="4"/>
      <c r="AO226" s="4"/>
      <c r="AP226" s="4"/>
      <c r="AQ226" s="4"/>
      <c r="AR226" s="4"/>
      <c r="AS226" s="4"/>
      <c r="AT226" s="4"/>
      <c r="AU226" s="4"/>
      <c r="AV226" s="4"/>
      <c r="AW226" s="4"/>
      <c r="AX226" s="4"/>
      <c r="AY226" s="4"/>
      <c r="AZ226" s="4"/>
      <c r="BA226" s="4"/>
      <c r="BB226" s="4"/>
      <c r="BC226" s="4"/>
      <c r="BD226" s="4"/>
      <c r="BE226" s="4"/>
      <c r="BF226" s="4"/>
      <c r="BG226" s="4"/>
      <c r="BH226" s="4"/>
      <c r="BI226" s="4"/>
      <c r="BJ226" s="4"/>
      <c r="BK226" s="4"/>
      <c r="BL226" s="4"/>
      <c r="BM226" s="4"/>
      <c r="BN226" s="4"/>
      <c r="BO226" s="4"/>
      <c r="BP226" s="4"/>
      <c r="BQ226" s="4"/>
      <c r="BR226" s="4"/>
      <c r="BS226" s="4"/>
      <c r="BT226" s="4"/>
      <c r="BU226" s="4"/>
      <c r="BV226" s="4"/>
      <c r="BW226" s="4"/>
      <c r="BX226" s="4"/>
      <c r="BY226" s="4"/>
      <c r="BZ226" s="4"/>
      <c r="CA226" s="4"/>
      <c r="CB226" s="4"/>
      <c r="CC226" s="4"/>
      <c r="CD226" s="4"/>
      <c r="CE226" s="4"/>
      <c r="CF226" s="4"/>
      <c r="CG226" s="4"/>
      <c r="CH226" s="4"/>
      <c r="CI226" s="4"/>
    </row>
    <row r="227" ht="14.25" customHeight="1" spans="1:87" x14ac:dyDescent="0.25">
      <c r="A227" s="4"/>
      <c r="B227" s="4"/>
      <c r="C227" s="4"/>
      <c r="D227" s="4"/>
      <c r="E227" s="4"/>
      <c r="F227" s="4"/>
      <c r="G227" s="4"/>
      <c r="H227" s="4"/>
      <c r="I227" s="4"/>
      <c r="J227" s="4"/>
      <c r="K227" s="242"/>
      <c r="L227" s="4"/>
      <c r="M227" s="4"/>
      <c r="N227" s="4"/>
      <c r="O227" s="4"/>
      <c r="P227" s="4"/>
      <c r="Q227" s="4"/>
      <c r="R227" s="4"/>
      <c r="S227" s="4"/>
      <c r="T227" s="4"/>
      <c r="U227" s="4"/>
      <c r="V227" s="4"/>
      <c r="W227" s="4"/>
      <c r="X227" s="4"/>
      <c r="Y227" s="4"/>
      <c r="Z227" s="4"/>
      <c r="AA227" s="4"/>
      <c r="AB227" s="4"/>
      <c r="AC227" s="4"/>
      <c r="AD227" s="4"/>
      <c r="AE227" s="4"/>
      <c r="AF227" s="4"/>
      <c r="AG227" s="4"/>
      <c r="AH227" s="4"/>
      <c r="AI227" s="4"/>
      <c r="AJ227" s="4"/>
      <c r="AK227" s="4"/>
      <c r="AL227" s="4"/>
      <c r="AM227" s="4"/>
      <c r="AN227" s="4"/>
      <c r="AO227" s="4"/>
      <c r="AP227" s="4"/>
      <c r="AQ227" s="4"/>
      <c r="AR227" s="4"/>
      <c r="AS227" s="4"/>
      <c r="AT227" s="4"/>
      <c r="AU227" s="4"/>
      <c r="AV227" s="4"/>
      <c r="AW227" s="4"/>
      <c r="AX227" s="4"/>
      <c r="AY227" s="4"/>
      <c r="AZ227" s="4"/>
      <c r="BA227" s="4"/>
      <c r="BB227" s="4"/>
      <c r="BC227" s="4"/>
      <c r="BD227" s="4"/>
      <c r="BE227" s="4"/>
      <c r="BF227" s="4"/>
      <c r="BG227" s="4"/>
      <c r="BH227" s="4"/>
      <c r="BI227" s="4"/>
      <c r="BJ227" s="4"/>
      <c r="BK227" s="4"/>
      <c r="BL227" s="4"/>
      <c r="BM227" s="4"/>
      <c r="BN227" s="4"/>
      <c r="BO227" s="4"/>
      <c r="BP227" s="4"/>
      <c r="BQ227" s="4"/>
      <c r="BR227" s="4"/>
      <c r="BS227" s="4"/>
      <c r="BT227" s="4"/>
      <c r="BU227" s="4"/>
      <c r="BV227" s="4"/>
      <c r="BW227" s="4"/>
      <c r="BX227" s="4"/>
      <c r="BY227" s="4"/>
      <c r="BZ227" s="4"/>
      <c r="CA227" s="4"/>
      <c r="CB227" s="4"/>
      <c r="CC227" s="4"/>
      <c r="CD227" s="4"/>
      <c r="CE227" s="4"/>
      <c r="CF227" s="4"/>
      <c r="CG227" s="4"/>
      <c r="CH227" s="4"/>
      <c r="CI227" s="4"/>
    </row>
    <row r="228" ht="14.25" customHeight="1" spans="1:87" x14ac:dyDescent="0.25">
      <c r="A228" s="4"/>
      <c r="B228" s="4"/>
      <c r="C228" s="4"/>
      <c r="D228" s="4"/>
      <c r="E228" s="4"/>
      <c r="F228" s="4"/>
      <c r="G228" s="4"/>
      <c r="H228" s="4"/>
      <c r="I228" s="4"/>
      <c r="J228" s="4"/>
      <c r="K228" s="242"/>
      <c r="L228" s="4"/>
      <c r="M228" s="4"/>
      <c r="N228" s="4"/>
      <c r="O228" s="4"/>
      <c r="P228" s="4"/>
      <c r="Q228" s="4"/>
      <c r="R228" s="4"/>
      <c r="S228" s="4"/>
      <c r="T228" s="4"/>
      <c r="U228" s="4"/>
      <c r="V228" s="4"/>
      <c r="W228" s="4"/>
      <c r="X228" s="4"/>
      <c r="Y228" s="4"/>
      <c r="Z228" s="4"/>
      <c r="AA228" s="4"/>
      <c r="AB228" s="4"/>
      <c r="AC228" s="4"/>
      <c r="AD228" s="4"/>
      <c r="AE228" s="4"/>
      <c r="AF228" s="4"/>
      <c r="AG228" s="4"/>
      <c r="AH228" s="4"/>
      <c r="AI228" s="4"/>
      <c r="AJ228" s="4"/>
      <c r="AK228" s="4"/>
      <c r="AL228" s="4"/>
      <c r="AM228" s="4"/>
      <c r="AN228" s="4"/>
      <c r="AO228" s="4"/>
      <c r="AP228" s="4"/>
      <c r="AQ228" s="4"/>
      <c r="AR228" s="4"/>
      <c r="AS228" s="4"/>
      <c r="AT228" s="4"/>
      <c r="AU228" s="4"/>
      <c r="AV228" s="4"/>
      <c r="AW228" s="4"/>
      <c r="AX228" s="4"/>
      <c r="AY228" s="4"/>
      <c r="AZ228" s="4"/>
      <c r="BA228" s="4"/>
      <c r="BB228" s="4"/>
      <c r="BC228" s="4"/>
      <c r="BD228" s="4"/>
      <c r="BE228" s="4"/>
      <c r="BF228" s="4"/>
      <c r="BG228" s="4"/>
      <c r="BH228" s="4"/>
      <c r="BI228" s="4"/>
      <c r="BJ228" s="4"/>
      <c r="BK228" s="4"/>
      <c r="BL228" s="4"/>
      <c r="BM228" s="4"/>
      <c r="BN228" s="4"/>
      <c r="BO228" s="4"/>
      <c r="BP228" s="4"/>
      <c r="BQ228" s="4"/>
      <c r="BR228" s="4"/>
      <c r="BS228" s="4"/>
      <c r="BT228" s="4"/>
      <c r="BU228" s="4"/>
      <c r="BV228" s="4"/>
      <c r="BW228" s="4"/>
      <c r="BX228" s="4"/>
      <c r="BY228" s="4"/>
      <c r="BZ228" s="4"/>
      <c r="CA228" s="4"/>
      <c r="CB228" s="4"/>
      <c r="CC228" s="4"/>
      <c r="CD228" s="4"/>
      <c r="CE228" s="4"/>
      <c r="CF228" s="4"/>
      <c r="CG228" s="4"/>
      <c r="CH228" s="4"/>
      <c r="CI228" s="4"/>
    </row>
    <row r="229" ht="14.25" customHeight="1" spans="1:87" x14ac:dyDescent="0.25">
      <c r="A229" s="4"/>
      <c r="B229" s="4"/>
      <c r="C229" s="4"/>
      <c r="D229" s="4"/>
      <c r="E229" s="4"/>
      <c r="F229" s="4"/>
      <c r="G229" s="4"/>
      <c r="H229" s="4"/>
      <c r="I229" s="4"/>
      <c r="J229" s="4"/>
      <c r="K229" s="242"/>
      <c r="L229" s="4"/>
      <c r="M229" s="4"/>
      <c r="N229" s="4"/>
      <c r="O229" s="4"/>
      <c r="P229" s="4"/>
      <c r="Q229" s="4"/>
      <c r="R229" s="4"/>
      <c r="S229" s="4"/>
      <c r="T229" s="4"/>
      <c r="U229" s="4"/>
      <c r="V229" s="4"/>
      <c r="W229" s="4"/>
      <c r="X229" s="4"/>
      <c r="Y229" s="4"/>
      <c r="Z229" s="4"/>
      <c r="AA229" s="4"/>
      <c r="AB229" s="4"/>
      <c r="AC229" s="4"/>
      <c r="AD229" s="4"/>
      <c r="AE229" s="4"/>
      <c r="AF229" s="4"/>
      <c r="AG229" s="4"/>
      <c r="AH229" s="4"/>
      <c r="AI229" s="4"/>
      <c r="AJ229" s="4"/>
      <c r="AK229" s="4"/>
      <c r="AL229" s="4"/>
      <c r="AM229" s="4"/>
      <c r="AN229" s="4"/>
      <c r="AO229" s="4"/>
      <c r="AP229" s="4"/>
      <c r="AQ229" s="4"/>
      <c r="AR229" s="4"/>
      <c r="AS229" s="4"/>
      <c r="AT229" s="4"/>
      <c r="AU229" s="4"/>
      <c r="AV229" s="4"/>
      <c r="AW229" s="4"/>
      <c r="AX229" s="4"/>
      <c r="AY229" s="4"/>
      <c r="AZ229" s="4"/>
      <c r="BA229" s="4"/>
      <c r="BB229" s="4"/>
      <c r="BC229" s="4"/>
      <c r="BD229" s="4"/>
      <c r="BE229" s="4"/>
      <c r="BF229" s="4"/>
      <c r="BG229" s="4"/>
      <c r="BH229" s="4"/>
      <c r="BI229" s="4"/>
      <c r="BJ229" s="4"/>
      <c r="BK229" s="4"/>
      <c r="BL229" s="4"/>
      <c r="BM229" s="4"/>
      <c r="BN229" s="4"/>
      <c r="BO229" s="4"/>
      <c r="BP229" s="4"/>
      <c r="BQ229" s="4"/>
      <c r="BR229" s="4"/>
      <c r="BS229" s="4"/>
      <c r="BT229" s="4"/>
      <c r="BU229" s="4"/>
      <c r="BV229" s="4"/>
      <c r="BW229" s="4"/>
      <c r="BX229" s="4"/>
      <c r="BY229" s="4"/>
      <c r="BZ229" s="4"/>
      <c r="CA229" s="4"/>
      <c r="CB229" s="4"/>
      <c r="CC229" s="4"/>
      <c r="CD229" s="4"/>
      <c r="CE229" s="4"/>
      <c r="CF229" s="4"/>
      <c r="CG229" s="4"/>
      <c r="CH229" s="4"/>
      <c r="CI229" s="4"/>
    </row>
    <row r="230" ht="14.25" customHeight="1" spans="1:87" x14ac:dyDescent="0.25">
      <c r="A230" s="4"/>
      <c r="B230" s="4"/>
      <c r="C230" s="4"/>
      <c r="D230" s="4"/>
      <c r="E230" s="4"/>
      <c r="F230" s="4"/>
      <c r="G230" s="4"/>
      <c r="H230" s="4"/>
      <c r="I230" s="4"/>
      <c r="J230" s="4"/>
      <c r="K230" s="242"/>
      <c r="L230" s="4"/>
      <c r="M230" s="4"/>
      <c r="N230" s="4"/>
      <c r="O230" s="4"/>
      <c r="P230" s="4"/>
      <c r="Q230" s="4"/>
      <c r="R230" s="4"/>
      <c r="S230" s="4"/>
      <c r="T230" s="4"/>
      <c r="U230" s="4"/>
      <c r="V230" s="4"/>
      <c r="W230" s="4"/>
      <c r="X230" s="4"/>
      <c r="Y230" s="4"/>
      <c r="Z230" s="4"/>
      <c r="AA230" s="4"/>
      <c r="AB230" s="4"/>
      <c r="AC230" s="4"/>
      <c r="AD230" s="4"/>
      <c r="AE230" s="4"/>
      <c r="AF230" s="4"/>
      <c r="AG230" s="4"/>
      <c r="AH230" s="4"/>
      <c r="AI230" s="4"/>
      <c r="AJ230" s="4"/>
      <c r="AK230" s="4"/>
      <c r="AL230" s="4"/>
      <c r="AM230" s="4"/>
      <c r="AN230" s="4"/>
      <c r="AO230" s="4"/>
      <c r="AP230" s="4"/>
      <c r="AQ230" s="4"/>
      <c r="AR230" s="4"/>
      <c r="AS230" s="4"/>
      <c r="AT230" s="4"/>
      <c r="AU230" s="4"/>
      <c r="AV230" s="4"/>
      <c r="AW230" s="4"/>
      <c r="AX230" s="4"/>
      <c r="AY230" s="4"/>
      <c r="AZ230" s="4"/>
      <c r="BA230" s="4"/>
      <c r="BB230" s="4"/>
      <c r="BC230" s="4"/>
      <c r="BD230" s="4"/>
      <c r="BE230" s="4"/>
      <c r="BF230" s="4"/>
      <c r="BG230" s="4"/>
      <c r="BH230" s="4"/>
      <c r="BI230" s="4"/>
      <c r="BJ230" s="4"/>
      <c r="BK230" s="4"/>
      <c r="BL230" s="4"/>
      <c r="BM230" s="4"/>
      <c r="BN230" s="4"/>
      <c r="BO230" s="4"/>
      <c r="BP230" s="4"/>
      <c r="BQ230" s="4"/>
      <c r="BR230" s="4"/>
      <c r="BS230" s="4"/>
      <c r="BT230" s="4"/>
      <c r="BU230" s="4"/>
      <c r="BV230" s="4"/>
      <c r="BW230" s="4"/>
      <c r="BX230" s="4"/>
      <c r="BY230" s="4"/>
      <c r="BZ230" s="4"/>
      <c r="CA230" s="4"/>
      <c r="CB230" s="4"/>
      <c r="CC230" s="4"/>
      <c r="CD230" s="4"/>
      <c r="CE230" s="4"/>
      <c r="CF230" s="4"/>
      <c r="CG230" s="4"/>
      <c r="CH230" s="4"/>
      <c r="CI230" s="4"/>
    </row>
    <row r="231" ht="14.25" customHeight="1" spans="1:87" x14ac:dyDescent="0.25">
      <c r="A231" s="4"/>
      <c r="B231" s="4"/>
      <c r="C231" s="4"/>
      <c r="D231" s="4"/>
      <c r="E231" s="4"/>
      <c r="F231" s="4"/>
      <c r="G231" s="4"/>
      <c r="H231" s="4"/>
      <c r="I231" s="4"/>
      <c r="J231" s="4"/>
      <c r="K231" s="242"/>
      <c r="L231" s="4"/>
      <c r="M231" s="4"/>
      <c r="N231" s="4"/>
      <c r="O231" s="4"/>
      <c r="P231" s="4"/>
      <c r="Q231" s="4"/>
      <c r="R231" s="4"/>
      <c r="S231" s="4"/>
      <c r="T231" s="4"/>
      <c r="U231" s="4"/>
      <c r="V231" s="4"/>
      <c r="W231" s="4"/>
      <c r="X231" s="4"/>
      <c r="Y231" s="4"/>
      <c r="Z231" s="4"/>
      <c r="AA231" s="4"/>
      <c r="AB231" s="4"/>
      <c r="AC231" s="4"/>
      <c r="AD231" s="4"/>
      <c r="AE231" s="4"/>
      <c r="AF231" s="4"/>
      <c r="AG231" s="4"/>
      <c r="AH231" s="4"/>
      <c r="AI231" s="4"/>
      <c r="AJ231" s="4"/>
      <c r="AK231" s="4"/>
      <c r="AL231" s="4"/>
      <c r="AM231" s="4"/>
      <c r="AN231" s="4"/>
      <c r="AO231" s="4"/>
      <c r="AP231" s="4"/>
      <c r="AQ231" s="4"/>
      <c r="AR231" s="4"/>
      <c r="AS231" s="4"/>
      <c r="AT231" s="4"/>
      <c r="AU231" s="4"/>
      <c r="AV231" s="4"/>
      <c r="AW231" s="4"/>
      <c r="AX231" s="4"/>
      <c r="AY231" s="4"/>
      <c r="AZ231" s="4"/>
      <c r="BA231" s="4"/>
      <c r="BB231" s="4"/>
      <c r="BC231" s="4"/>
      <c r="BD231" s="4"/>
      <c r="BE231" s="4"/>
      <c r="BF231" s="4"/>
      <c r="BG231" s="4"/>
      <c r="BH231" s="4"/>
      <c r="BI231" s="4"/>
      <c r="BJ231" s="4"/>
      <c r="BK231" s="4"/>
      <c r="BL231" s="4"/>
      <c r="BM231" s="4"/>
      <c r="BN231" s="4"/>
      <c r="BO231" s="4"/>
      <c r="BP231" s="4"/>
      <c r="BQ231" s="4"/>
      <c r="BR231" s="4"/>
      <c r="BS231" s="4"/>
      <c r="BT231" s="4"/>
      <c r="BU231" s="4"/>
      <c r="BV231" s="4"/>
      <c r="BW231" s="4"/>
      <c r="BX231" s="4"/>
      <c r="BY231" s="4"/>
      <c r="BZ231" s="4"/>
      <c r="CA231" s="4"/>
      <c r="CB231" s="4"/>
      <c r="CC231" s="4"/>
      <c r="CD231" s="4"/>
      <c r="CE231" s="4"/>
      <c r="CF231" s="4"/>
      <c r="CG231" s="4"/>
      <c r="CH231" s="4"/>
      <c r="CI231" s="4"/>
    </row>
    <row r="232" ht="14.25" customHeight="1" spans="1:87" x14ac:dyDescent="0.25">
      <c r="A232" s="4"/>
      <c r="B232" s="4"/>
      <c r="C232" s="4"/>
      <c r="D232" s="4"/>
      <c r="E232" s="4"/>
      <c r="F232" s="4"/>
      <c r="G232" s="4"/>
      <c r="H232" s="4"/>
      <c r="I232" s="4"/>
      <c r="J232" s="4"/>
      <c r="K232" s="242"/>
      <c r="L232" s="4"/>
      <c r="M232" s="4"/>
      <c r="N232" s="4"/>
      <c r="O232" s="4"/>
      <c r="P232" s="4"/>
      <c r="Q232" s="4"/>
      <c r="R232" s="4"/>
      <c r="S232" s="4"/>
      <c r="T232" s="4"/>
      <c r="U232" s="4"/>
      <c r="V232" s="4"/>
      <c r="W232" s="4"/>
      <c r="X232" s="4"/>
      <c r="Y232" s="4"/>
      <c r="Z232" s="4"/>
      <c r="AA232" s="4"/>
      <c r="AB232" s="4"/>
      <c r="AC232" s="4"/>
      <c r="AD232" s="4"/>
      <c r="AE232" s="4"/>
      <c r="AF232" s="4"/>
      <c r="AG232" s="4"/>
      <c r="AH232" s="4"/>
      <c r="AI232" s="4"/>
      <c r="AJ232" s="4"/>
      <c r="AK232" s="4"/>
      <c r="AL232" s="4"/>
      <c r="AM232" s="4"/>
      <c r="AN232" s="4"/>
      <c r="AO232" s="4"/>
      <c r="AP232" s="4"/>
      <c r="AQ232" s="4"/>
      <c r="AR232" s="4"/>
      <c r="AS232" s="4"/>
      <c r="AT232" s="4"/>
      <c r="AU232" s="4"/>
      <c r="AV232" s="4"/>
      <c r="AW232" s="4"/>
      <c r="AX232" s="4"/>
      <c r="AY232" s="4"/>
      <c r="AZ232" s="4"/>
      <c r="BA232" s="4"/>
      <c r="BB232" s="4"/>
      <c r="BC232" s="4"/>
      <c r="BD232" s="4"/>
      <c r="BE232" s="4"/>
      <c r="BF232" s="4"/>
      <c r="BG232" s="4"/>
      <c r="BH232" s="4"/>
      <c r="BI232" s="4"/>
      <c r="BJ232" s="4"/>
      <c r="BK232" s="4"/>
      <c r="BL232" s="4"/>
      <c r="BM232" s="4"/>
      <c r="BN232" s="4"/>
      <c r="BO232" s="4"/>
      <c r="BP232" s="4"/>
      <c r="BQ232" s="4"/>
      <c r="BR232" s="4"/>
      <c r="BS232" s="4"/>
      <c r="BT232" s="4"/>
      <c r="BU232" s="4"/>
      <c r="BV232" s="4"/>
      <c r="BW232" s="4"/>
      <c r="BX232" s="4"/>
      <c r="BY232" s="4"/>
      <c r="BZ232" s="4"/>
      <c r="CA232" s="4"/>
      <c r="CB232" s="4"/>
      <c r="CC232" s="4"/>
      <c r="CD232" s="4"/>
      <c r="CE232" s="4"/>
      <c r="CF232" s="4"/>
      <c r="CG232" s="4"/>
      <c r="CH232" s="4"/>
      <c r="CI232" s="4"/>
    </row>
    <row r="233" ht="14.25" customHeight="1" spans="1:87" x14ac:dyDescent="0.25">
      <c r="A233" s="4"/>
      <c r="B233" s="4"/>
      <c r="C233" s="4"/>
      <c r="D233" s="4"/>
      <c r="E233" s="4"/>
      <c r="F233" s="4"/>
      <c r="G233" s="4"/>
      <c r="H233" s="4"/>
      <c r="I233" s="4"/>
      <c r="J233" s="4"/>
      <c r="K233" s="242"/>
      <c r="L233" s="4"/>
      <c r="M233" s="4"/>
      <c r="N233" s="4"/>
      <c r="O233" s="4"/>
      <c r="P233" s="4"/>
      <c r="Q233" s="4"/>
      <c r="R233" s="4"/>
      <c r="S233" s="4"/>
      <c r="T233" s="4"/>
      <c r="U233" s="4"/>
      <c r="V233" s="4"/>
      <c r="W233" s="4"/>
      <c r="X233" s="4"/>
      <c r="Y233" s="4"/>
      <c r="Z233" s="4"/>
      <c r="AA233" s="4"/>
      <c r="AB233" s="4"/>
      <c r="AC233" s="4"/>
      <c r="AD233" s="4"/>
      <c r="AE233" s="4"/>
      <c r="AF233" s="4"/>
      <c r="AG233" s="4"/>
      <c r="AH233" s="4"/>
      <c r="AI233" s="4"/>
      <c r="AJ233" s="4"/>
      <c r="AK233" s="4"/>
      <c r="AL233" s="4"/>
      <c r="AM233" s="4"/>
      <c r="AN233" s="4"/>
      <c r="AO233" s="4"/>
      <c r="AP233" s="4"/>
      <c r="AQ233" s="4"/>
      <c r="AR233" s="4"/>
      <c r="AS233" s="4"/>
      <c r="AT233" s="4"/>
      <c r="AU233" s="4"/>
      <c r="AV233" s="4"/>
      <c r="AW233" s="4"/>
      <c r="AX233" s="4"/>
      <c r="AY233" s="4"/>
      <c r="AZ233" s="4"/>
      <c r="BA233" s="4"/>
      <c r="BB233" s="4"/>
      <c r="BC233" s="4"/>
      <c r="BD233" s="4"/>
      <c r="BE233" s="4"/>
      <c r="BF233" s="4"/>
      <c r="BG233" s="4"/>
      <c r="BH233" s="4"/>
      <c r="BI233" s="4"/>
      <c r="BJ233" s="4"/>
      <c r="BK233" s="4"/>
      <c r="BL233" s="4"/>
      <c r="BM233" s="4"/>
      <c r="BN233" s="4"/>
      <c r="BO233" s="4"/>
      <c r="BP233" s="4"/>
      <c r="BQ233" s="4"/>
      <c r="BR233" s="4"/>
      <c r="BS233" s="4"/>
      <c r="BT233" s="4"/>
      <c r="BU233" s="4"/>
      <c r="BV233" s="4"/>
      <c r="BW233" s="4"/>
      <c r="BX233" s="4"/>
      <c r="BY233" s="4"/>
      <c r="BZ233" s="4"/>
      <c r="CA233" s="4"/>
      <c r="CB233" s="4"/>
      <c r="CC233" s="4"/>
      <c r="CD233" s="4"/>
      <c r="CE233" s="4"/>
      <c r="CF233" s="4"/>
      <c r="CG233" s="4"/>
      <c r="CH233" s="4"/>
      <c r="CI233" s="4"/>
    </row>
    <row r="234" ht="14.25" customHeight="1" spans="1:87" x14ac:dyDescent="0.25">
      <c r="A234" s="4"/>
      <c r="B234" s="4"/>
      <c r="C234" s="4"/>
      <c r="D234" s="4"/>
      <c r="E234" s="4"/>
      <c r="F234" s="4"/>
      <c r="G234" s="4"/>
      <c r="H234" s="4"/>
      <c r="I234" s="4"/>
      <c r="J234" s="4"/>
      <c r="K234" s="242"/>
      <c r="L234" s="4"/>
      <c r="M234" s="4"/>
      <c r="N234" s="4"/>
      <c r="O234" s="4"/>
      <c r="P234" s="4"/>
      <c r="Q234" s="4"/>
      <c r="R234" s="4"/>
      <c r="S234" s="4"/>
      <c r="T234" s="4"/>
      <c r="U234" s="4"/>
      <c r="V234" s="4"/>
      <c r="W234" s="4"/>
      <c r="X234" s="4"/>
      <c r="Y234" s="4"/>
      <c r="Z234" s="4"/>
      <c r="AA234" s="4"/>
      <c r="AB234" s="4"/>
      <c r="AC234" s="4"/>
      <c r="AD234" s="4"/>
      <c r="AE234" s="4"/>
      <c r="AF234" s="4"/>
      <c r="AG234" s="4"/>
      <c r="AH234" s="4"/>
      <c r="AI234" s="4"/>
      <c r="AJ234" s="4"/>
      <c r="AK234" s="4"/>
      <c r="AL234" s="4"/>
      <c r="AM234" s="4"/>
      <c r="AN234" s="4"/>
      <c r="AO234" s="4"/>
      <c r="AP234" s="4"/>
      <c r="AQ234" s="4"/>
      <c r="AR234" s="4"/>
      <c r="AS234" s="4"/>
      <c r="AT234" s="4"/>
      <c r="AU234" s="4"/>
      <c r="AV234" s="4"/>
      <c r="AW234" s="4"/>
      <c r="AX234" s="4"/>
      <c r="AY234" s="4"/>
      <c r="AZ234" s="4"/>
      <c r="BA234" s="4"/>
      <c r="BB234" s="4"/>
      <c r="BC234" s="4"/>
      <c r="BD234" s="4"/>
      <c r="BE234" s="4"/>
      <c r="BF234" s="4"/>
      <c r="BG234" s="4"/>
      <c r="BH234" s="4"/>
      <c r="BI234" s="4"/>
      <c r="BJ234" s="4"/>
      <c r="BK234" s="4"/>
      <c r="BL234" s="4"/>
      <c r="BM234" s="4"/>
      <c r="BN234" s="4"/>
      <c r="BO234" s="4"/>
      <c r="BP234" s="4"/>
      <c r="BQ234" s="4"/>
      <c r="BR234" s="4"/>
      <c r="BS234" s="4"/>
      <c r="BT234" s="4"/>
      <c r="BU234" s="4"/>
      <c r="BV234" s="4"/>
      <c r="BW234" s="4"/>
      <c r="BX234" s="4"/>
      <c r="BY234" s="4"/>
      <c r="BZ234" s="4"/>
      <c r="CA234" s="4"/>
      <c r="CB234" s="4"/>
      <c r="CC234" s="4"/>
      <c r="CD234" s="4"/>
      <c r="CE234" s="4"/>
      <c r="CF234" s="4"/>
      <c r="CG234" s="4"/>
      <c r="CH234" s="4"/>
      <c r="CI234" s="4"/>
    </row>
    <row r="235" ht="14.25" customHeight="1" spans="1:87" x14ac:dyDescent="0.25">
      <c r="A235" s="4"/>
      <c r="B235" s="4"/>
      <c r="C235" s="4"/>
      <c r="D235" s="4"/>
      <c r="E235" s="4"/>
      <c r="F235" s="4"/>
      <c r="G235" s="4"/>
      <c r="H235" s="4"/>
      <c r="I235" s="4"/>
      <c r="J235" s="4"/>
      <c r="K235" s="242"/>
      <c r="L235" s="4"/>
      <c r="M235" s="4"/>
      <c r="N235" s="4"/>
      <c r="O235" s="4"/>
      <c r="P235" s="4"/>
      <c r="Q235" s="4"/>
      <c r="R235" s="4"/>
      <c r="S235" s="4"/>
      <c r="T235" s="4"/>
      <c r="U235" s="4"/>
      <c r="V235" s="4"/>
      <c r="W235" s="4"/>
      <c r="X235" s="4"/>
      <c r="Y235" s="4"/>
      <c r="Z235" s="4"/>
      <c r="AA235" s="4"/>
      <c r="AB235" s="4"/>
      <c r="AC235" s="4"/>
      <c r="AD235" s="4"/>
      <c r="AE235" s="4"/>
      <c r="AF235" s="4"/>
      <c r="AG235" s="4"/>
      <c r="AH235" s="4"/>
      <c r="AI235" s="4"/>
      <c r="AJ235" s="4"/>
      <c r="AK235" s="4"/>
      <c r="AL235" s="4"/>
      <c r="AM235" s="4"/>
      <c r="AN235" s="4"/>
      <c r="AO235" s="4"/>
      <c r="AP235" s="4"/>
      <c r="AQ235" s="4"/>
      <c r="AR235" s="4"/>
      <c r="AS235" s="4"/>
      <c r="AT235" s="4"/>
      <c r="AU235" s="4"/>
      <c r="AV235" s="4"/>
      <c r="AW235" s="4"/>
      <c r="AX235" s="4"/>
      <c r="AY235" s="4"/>
      <c r="AZ235" s="4"/>
      <c r="BA235" s="4"/>
      <c r="BB235" s="4"/>
      <c r="BC235" s="4"/>
      <c r="BD235" s="4"/>
      <c r="BE235" s="4"/>
      <c r="BF235" s="4"/>
      <c r="BG235" s="4"/>
      <c r="BH235" s="4"/>
      <c r="BI235" s="4"/>
      <c r="BJ235" s="4"/>
      <c r="BK235" s="4"/>
      <c r="BL235" s="4"/>
      <c r="BM235" s="4"/>
      <c r="BN235" s="4"/>
      <c r="BO235" s="4"/>
      <c r="BP235" s="4"/>
      <c r="BQ235" s="4"/>
      <c r="BR235" s="4"/>
      <c r="BS235" s="4"/>
      <c r="BT235" s="4"/>
      <c r="BU235" s="4"/>
      <c r="BV235" s="4"/>
      <c r="BW235" s="4"/>
      <c r="BX235" s="4"/>
      <c r="BY235" s="4"/>
      <c r="BZ235" s="4"/>
      <c r="CA235" s="4"/>
      <c r="CB235" s="4"/>
      <c r="CC235" s="4"/>
      <c r="CD235" s="4"/>
      <c r="CE235" s="4"/>
      <c r="CF235" s="4"/>
      <c r="CG235" s="4"/>
      <c r="CH235" s="4"/>
      <c r="CI235" s="4"/>
    </row>
    <row r="236" ht="14.25" customHeight="1" spans="1:87" x14ac:dyDescent="0.25">
      <c r="A236" s="4"/>
      <c r="B236" s="4"/>
      <c r="C236" s="4"/>
      <c r="D236" s="4"/>
      <c r="E236" s="4"/>
      <c r="F236" s="4"/>
      <c r="G236" s="4"/>
      <c r="H236" s="4"/>
      <c r="I236" s="4"/>
      <c r="J236" s="4"/>
      <c r="K236" s="242"/>
      <c r="L236" s="4"/>
      <c r="M236" s="4"/>
      <c r="N236" s="4"/>
      <c r="O236" s="4"/>
      <c r="P236" s="4"/>
      <c r="Q236" s="4"/>
      <c r="R236" s="4"/>
      <c r="S236" s="4"/>
      <c r="T236" s="4"/>
      <c r="U236" s="4"/>
      <c r="V236" s="4"/>
      <c r="W236" s="4"/>
      <c r="X236" s="4"/>
      <c r="Y236" s="4"/>
      <c r="Z236" s="4"/>
      <c r="AA236" s="4"/>
      <c r="AB236" s="4"/>
      <c r="AC236" s="4"/>
      <c r="AD236" s="4"/>
      <c r="AE236" s="4"/>
      <c r="AF236" s="4"/>
      <c r="AG236" s="4"/>
      <c r="AH236" s="4"/>
      <c r="AI236" s="4"/>
      <c r="AJ236" s="4"/>
      <c r="AK236" s="4"/>
      <c r="AL236" s="4"/>
      <c r="AM236" s="4"/>
      <c r="AN236" s="4"/>
      <c r="AO236" s="4"/>
      <c r="AP236" s="4"/>
      <c r="AQ236" s="4"/>
      <c r="AR236" s="4"/>
      <c r="AS236" s="4"/>
      <c r="AT236" s="4"/>
      <c r="AU236" s="4"/>
      <c r="AV236" s="4"/>
      <c r="AW236" s="4"/>
      <c r="AX236" s="4"/>
      <c r="AY236" s="4"/>
      <c r="AZ236" s="4"/>
      <c r="BA236" s="4"/>
      <c r="BB236" s="4"/>
      <c r="BC236" s="4"/>
      <c r="BD236" s="4"/>
      <c r="BE236" s="4"/>
      <c r="BF236" s="4"/>
      <c r="BG236" s="4"/>
      <c r="BH236" s="4"/>
      <c r="BI236" s="4"/>
      <c r="BJ236" s="4"/>
      <c r="BK236" s="4"/>
      <c r="BL236" s="4"/>
      <c r="BM236" s="4"/>
      <c r="BN236" s="4"/>
      <c r="BO236" s="4"/>
      <c r="BP236" s="4"/>
      <c r="BQ236" s="4"/>
      <c r="BR236" s="4"/>
      <c r="BS236" s="4"/>
      <c r="BT236" s="4"/>
      <c r="BU236" s="4"/>
      <c r="BV236" s="4"/>
      <c r="BW236" s="4"/>
      <c r="BX236" s="4"/>
      <c r="BY236" s="4"/>
      <c r="BZ236" s="4"/>
      <c r="CA236" s="4"/>
      <c r="CB236" s="4"/>
      <c r="CC236" s="4"/>
      <c r="CD236" s="4"/>
      <c r="CE236" s="4"/>
      <c r="CF236" s="4"/>
      <c r="CG236" s="4"/>
      <c r="CH236" s="4"/>
      <c r="CI236" s="4"/>
    </row>
    <row r="237" ht="14.25" customHeight="1" spans="1:87" x14ac:dyDescent="0.25">
      <c r="A237" s="4"/>
      <c r="B237" s="4"/>
      <c r="C237" s="4"/>
      <c r="D237" s="4"/>
      <c r="E237" s="4"/>
      <c r="F237" s="4"/>
      <c r="G237" s="4"/>
      <c r="H237" s="4"/>
      <c r="I237" s="4"/>
      <c r="J237" s="4"/>
      <c r="K237" s="242"/>
      <c r="L237" s="4"/>
      <c r="M237" s="4"/>
      <c r="N237" s="4"/>
      <c r="O237" s="4"/>
      <c r="P237" s="4"/>
      <c r="Q237" s="4"/>
      <c r="R237" s="4"/>
      <c r="S237" s="4"/>
      <c r="T237" s="4"/>
      <c r="U237" s="4"/>
      <c r="V237" s="4"/>
      <c r="W237" s="4"/>
      <c r="X237" s="4"/>
      <c r="Y237" s="4"/>
      <c r="Z237" s="4"/>
      <c r="AA237" s="4"/>
      <c r="AB237" s="4"/>
      <c r="AC237" s="4"/>
      <c r="AD237" s="4"/>
      <c r="AE237" s="4"/>
      <c r="AF237" s="4"/>
      <c r="AG237" s="4"/>
      <c r="AH237" s="4"/>
      <c r="AI237" s="4"/>
      <c r="AJ237" s="4"/>
      <c r="AK237" s="4"/>
      <c r="AL237" s="4"/>
      <c r="AM237" s="4"/>
      <c r="AN237" s="4"/>
      <c r="AO237" s="4"/>
      <c r="AP237" s="4"/>
      <c r="AQ237" s="4"/>
      <c r="AR237" s="4"/>
      <c r="AS237" s="4"/>
      <c r="AT237" s="4"/>
      <c r="AU237" s="4"/>
      <c r="AV237" s="4"/>
      <c r="AW237" s="4"/>
      <c r="AX237" s="4"/>
      <c r="AY237" s="4"/>
      <c r="AZ237" s="4"/>
      <c r="BA237" s="4"/>
      <c r="BB237" s="4"/>
      <c r="BC237" s="4"/>
      <c r="BD237" s="4"/>
      <c r="BE237" s="4"/>
      <c r="BF237" s="4"/>
      <c r="BG237" s="4"/>
      <c r="BH237" s="4"/>
      <c r="BI237" s="4"/>
      <c r="BJ237" s="4"/>
      <c r="BK237" s="4"/>
      <c r="BL237" s="4"/>
      <c r="BM237" s="4"/>
      <c r="BN237" s="4"/>
      <c r="BO237" s="4"/>
      <c r="BP237" s="4"/>
      <c r="BQ237" s="4"/>
      <c r="BR237" s="4"/>
      <c r="BS237" s="4"/>
      <c r="BT237" s="4"/>
      <c r="BU237" s="4"/>
      <c r="BV237" s="4"/>
      <c r="BW237" s="4"/>
      <c r="BX237" s="4"/>
      <c r="BY237" s="4"/>
      <c r="BZ237" s="4"/>
      <c r="CA237" s="4"/>
      <c r="CB237" s="4"/>
      <c r="CC237" s="4"/>
      <c r="CD237" s="4"/>
      <c r="CE237" s="4"/>
      <c r="CF237" s="4"/>
      <c r="CG237" s="4"/>
      <c r="CH237" s="4"/>
      <c r="CI237" s="4"/>
    </row>
    <row r="238" ht="14.25" customHeight="1" spans="1:87" x14ac:dyDescent="0.25">
      <c r="A238" s="4"/>
      <c r="B238" s="4"/>
      <c r="C238" s="4"/>
      <c r="D238" s="4"/>
      <c r="E238" s="4"/>
      <c r="F238" s="4"/>
      <c r="G238" s="4"/>
      <c r="H238" s="4"/>
      <c r="I238" s="4"/>
      <c r="J238" s="4"/>
      <c r="K238" s="242"/>
      <c r="L238" s="4"/>
      <c r="M238" s="4"/>
      <c r="N238" s="4"/>
      <c r="O238" s="4"/>
      <c r="P238" s="4"/>
      <c r="Q238" s="4"/>
      <c r="R238" s="4"/>
      <c r="S238" s="4"/>
      <c r="T238" s="4"/>
      <c r="U238" s="4"/>
      <c r="V238" s="4"/>
      <c r="W238" s="4"/>
      <c r="X238" s="4"/>
      <c r="Y238" s="4"/>
      <c r="Z238" s="4"/>
      <c r="AA238" s="4"/>
      <c r="AB238" s="4"/>
      <c r="AC238" s="4"/>
      <c r="AD238" s="4"/>
      <c r="AE238" s="4"/>
      <c r="AF238" s="4"/>
      <c r="AG238" s="4"/>
      <c r="AH238" s="4"/>
      <c r="AI238" s="4"/>
      <c r="AJ238" s="4"/>
      <c r="AK238" s="4"/>
      <c r="AL238" s="4"/>
      <c r="AM238" s="4"/>
      <c r="AN238" s="4"/>
      <c r="AO238" s="4"/>
      <c r="AP238" s="4"/>
      <c r="AQ238" s="4"/>
      <c r="AR238" s="4"/>
      <c r="AS238" s="4"/>
      <c r="AT238" s="4"/>
      <c r="AU238" s="4"/>
      <c r="AV238" s="4"/>
      <c r="AW238" s="4"/>
      <c r="AX238" s="4"/>
      <c r="AY238" s="4"/>
      <c r="AZ238" s="4"/>
      <c r="BA238" s="4"/>
      <c r="BB238" s="4"/>
      <c r="BC238" s="4"/>
      <c r="BD238" s="4"/>
      <c r="BE238" s="4"/>
      <c r="BF238" s="4"/>
      <c r="BG238" s="4"/>
      <c r="BH238" s="4"/>
      <c r="BI238" s="4"/>
      <c r="BJ238" s="4"/>
      <c r="BK238" s="4"/>
      <c r="BL238" s="4"/>
      <c r="BM238" s="4"/>
      <c r="BN238" s="4"/>
      <c r="BO238" s="4"/>
      <c r="BP238" s="4"/>
      <c r="BQ238" s="4"/>
      <c r="BR238" s="4"/>
      <c r="BS238" s="4"/>
      <c r="BT238" s="4"/>
      <c r="BU238" s="4"/>
      <c r="BV238" s="4"/>
      <c r="BW238" s="4"/>
      <c r="BX238" s="4"/>
      <c r="BY238" s="4"/>
      <c r="BZ238" s="4"/>
      <c r="CA238" s="4"/>
      <c r="CB238" s="4"/>
      <c r="CC238" s="4"/>
      <c r="CD238" s="4"/>
      <c r="CE238" s="4"/>
      <c r="CF238" s="4"/>
      <c r="CG238" s="4"/>
      <c r="CH238" s="4"/>
      <c r="CI238" s="4"/>
    </row>
    <row r="239" ht="14.25" customHeight="1" spans="1:87" x14ac:dyDescent="0.25">
      <c r="A239" s="4"/>
      <c r="B239" s="4"/>
      <c r="C239" s="4"/>
      <c r="D239" s="4"/>
      <c r="E239" s="4"/>
      <c r="F239" s="4"/>
      <c r="G239" s="4"/>
      <c r="H239" s="4"/>
      <c r="I239" s="4"/>
      <c r="J239" s="4"/>
      <c r="K239" s="242"/>
      <c r="L239" s="4"/>
      <c r="M239" s="4"/>
      <c r="N239" s="4"/>
      <c r="O239" s="4"/>
      <c r="P239" s="4"/>
      <c r="Q239" s="4"/>
      <c r="R239" s="4"/>
      <c r="S239" s="4"/>
      <c r="T239" s="4"/>
      <c r="U239" s="4"/>
      <c r="V239" s="4"/>
      <c r="W239" s="4"/>
      <c r="X239" s="4"/>
      <c r="Y239" s="4"/>
      <c r="Z239" s="4"/>
      <c r="AA239" s="4"/>
      <c r="AB239" s="4"/>
      <c r="AC239" s="4"/>
      <c r="AD239" s="4"/>
      <c r="AE239" s="4"/>
      <c r="AF239" s="4"/>
      <c r="AG239" s="4"/>
      <c r="AH239" s="4"/>
      <c r="AI239" s="4"/>
      <c r="AJ239" s="4"/>
      <c r="AK239" s="4"/>
      <c r="AL239" s="4"/>
      <c r="AM239" s="4"/>
      <c r="AN239" s="4"/>
      <c r="AO239" s="4"/>
      <c r="AP239" s="4"/>
      <c r="AQ239" s="4"/>
      <c r="AR239" s="4"/>
      <c r="AS239" s="4"/>
      <c r="AT239" s="4"/>
      <c r="AU239" s="4"/>
      <c r="AV239" s="4"/>
      <c r="AW239" s="4"/>
      <c r="AX239" s="4"/>
      <c r="AY239" s="4"/>
      <c r="AZ239" s="4"/>
      <c r="BA239" s="4"/>
      <c r="BB239" s="4"/>
      <c r="BC239" s="4"/>
      <c r="BD239" s="4"/>
      <c r="BE239" s="4"/>
      <c r="BF239" s="4"/>
      <c r="BG239" s="4"/>
      <c r="BH239" s="4"/>
      <c r="BI239" s="4"/>
      <c r="BJ239" s="4"/>
      <c r="BK239" s="4"/>
      <c r="BL239" s="4"/>
      <c r="BM239" s="4"/>
      <c r="BN239" s="4"/>
      <c r="BO239" s="4"/>
      <c r="BP239" s="4"/>
      <c r="BQ239" s="4"/>
      <c r="BR239" s="4"/>
      <c r="BS239" s="4"/>
      <c r="BT239" s="4"/>
      <c r="BU239" s="4"/>
      <c r="BV239" s="4"/>
      <c r="BW239" s="4"/>
      <c r="BX239" s="4"/>
      <c r="BY239" s="4"/>
      <c r="BZ239" s="4"/>
      <c r="CA239" s="4"/>
      <c r="CB239" s="4"/>
      <c r="CC239" s="4"/>
      <c r="CD239" s="4"/>
      <c r="CE239" s="4"/>
      <c r="CF239" s="4"/>
      <c r="CG239" s="4"/>
      <c r="CH239" s="4"/>
      <c r="CI239" s="4"/>
    </row>
    <row r="240" ht="14.25" customHeight="1" spans="1:87" x14ac:dyDescent="0.25">
      <c r="A240" s="4"/>
      <c r="B240" s="4"/>
      <c r="C240" s="4"/>
      <c r="D240" s="4"/>
      <c r="E240" s="4"/>
      <c r="F240" s="4"/>
      <c r="G240" s="4"/>
      <c r="H240" s="4"/>
      <c r="I240" s="4"/>
      <c r="J240" s="4"/>
      <c r="K240" s="242"/>
      <c r="L240" s="4"/>
      <c r="M240" s="4"/>
      <c r="N240" s="4"/>
      <c r="O240" s="4"/>
      <c r="P240" s="4"/>
      <c r="Q240" s="4"/>
      <c r="R240" s="4"/>
      <c r="S240" s="4"/>
      <c r="T240" s="4"/>
      <c r="U240" s="4"/>
      <c r="V240" s="4"/>
      <c r="W240" s="4"/>
      <c r="X240" s="4"/>
      <c r="Y240" s="4"/>
      <c r="Z240" s="4"/>
      <c r="AA240" s="4"/>
      <c r="AB240" s="4"/>
      <c r="AC240" s="4"/>
      <c r="AD240" s="4"/>
      <c r="AE240" s="4"/>
      <c r="AF240" s="4"/>
      <c r="AG240" s="4"/>
      <c r="AH240" s="4"/>
      <c r="AI240" s="4"/>
      <c r="AJ240" s="4"/>
      <c r="AK240" s="4"/>
      <c r="AL240" s="4"/>
      <c r="AM240" s="4"/>
      <c r="AN240" s="4"/>
      <c r="AO240" s="4"/>
      <c r="AP240" s="4"/>
      <c r="AQ240" s="4"/>
      <c r="AR240" s="4"/>
      <c r="AS240" s="4"/>
      <c r="AT240" s="4"/>
      <c r="AU240" s="4"/>
      <c r="AV240" s="4"/>
      <c r="AW240" s="4"/>
      <c r="AX240" s="4"/>
      <c r="AY240" s="4"/>
      <c r="AZ240" s="4"/>
      <c r="BA240" s="4"/>
      <c r="BB240" s="4"/>
      <c r="BC240" s="4"/>
      <c r="BD240" s="4"/>
      <c r="BE240" s="4"/>
      <c r="BF240" s="4"/>
      <c r="BG240" s="4"/>
      <c r="BH240" s="4"/>
      <c r="BI240" s="4"/>
      <c r="BJ240" s="4"/>
      <c r="BK240" s="4"/>
      <c r="BL240" s="4"/>
      <c r="BM240" s="4"/>
      <c r="BN240" s="4"/>
      <c r="BO240" s="4"/>
      <c r="BP240" s="4"/>
      <c r="BQ240" s="4"/>
      <c r="BR240" s="4"/>
      <c r="BS240" s="4"/>
      <c r="BT240" s="4"/>
      <c r="BU240" s="4"/>
      <c r="BV240" s="4"/>
      <c r="BW240" s="4"/>
      <c r="BX240" s="4"/>
      <c r="BY240" s="4"/>
      <c r="BZ240" s="4"/>
      <c r="CA240" s="4"/>
      <c r="CB240" s="4"/>
      <c r="CC240" s="4"/>
      <c r="CD240" s="4"/>
      <c r="CE240" s="4"/>
      <c r="CF240" s="4"/>
      <c r="CG240" s="4"/>
      <c r="CH240" s="4"/>
      <c r="CI240" s="4"/>
    </row>
    <row r="241" ht="14.25" customHeight="1" spans="1:87" x14ac:dyDescent="0.25">
      <c r="A241" s="4"/>
      <c r="B241" s="4"/>
      <c r="C241" s="4"/>
      <c r="D241" s="4"/>
      <c r="E241" s="4"/>
      <c r="F241" s="4"/>
      <c r="G241" s="4"/>
      <c r="H241" s="4"/>
      <c r="I241" s="4"/>
      <c r="J241" s="4"/>
      <c r="K241" s="242"/>
      <c r="L241" s="4"/>
      <c r="M241" s="4"/>
      <c r="N241" s="4"/>
      <c r="O241" s="4"/>
      <c r="P241" s="4"/>
      <c r="Q241" s="4"/>
      <c r="R241" s="4"/>
      <c r="S241" s="4"/>
      <c r="T241" s="4"/>
      <c r="U241" s="4"/>
      <c r="V241" s="4"/>
      <c r="W241" s="4"/>
      <c r="X241" s="4"/>
      <c r="Y241" s="4"/>
      <c r="Z241" s="4"/>
      <c r="AA241" s="4"/>
      <c r="AB241" s="4"/>
      <c r="AC241" s="4"/>
      <c r="AD241" s="4"/>
      <c r="AE241" s="4"/>
      <c r="AF241" s="4"/>
      <c r="AG241" s="4"/>
      <c r="AH241" s="4"/>
      <c r="AI241" s="4"/>
      <c r="AJ241" s="4"/>
      <c r="AK241" s="4"/>
      <c r="AL241" s="4"/>
      <c r="AM241" s="4"/>
      <c r="AN241" s="4"/>
      <c r="AO241" s="4"/>
      <c r="AP241" s="4"/>
      <c r="AQ241" s="4"/>
      <c r="AR241" s="4"/>
      <c r="AS241" s="4"/>
      <c r="AT241" s="4"/>
      <c r="AU241" s="4"/>
      <c r="AV241" s="4"/>
      <c r="AW241" s="4"/>
      <c r="AX241" s="4"/>
      <c r="AY241" s="4"/>
      <c r="AZ241" s="4"/>
      <c r="BA241" s="4"/>
      <c r="BB241" s="4"/>
      <c r="BC241" s="4"/>
      <c r="BD241" s="4"/>
      <c r="BE241" s="4"/>
      <c r="BF241" s="4"/>
      <c r="BG241" s="4"/>
      <c r="BH241" s="4"/>
      <c r="BI241" s="4"/>
      <c r="BJ241" s="4"/>
      <c r="BK241" s="4"/>
      <c r="BL241" s="4"/>
      <c r="BM241" s="4"/>
      <c r="BN241" s="4"/>
      <c r="BO241" s="4"/>
      <c r="BP241" s="4"/>
      <c r="BQ241" s="4"/>
      <c r="BR241" s="4"/>
      <c r="BS241" s="4"/>
      <c r="BT241" s="4"/>
      <c r="BU241" s="4"/>
      <c r="BV241" s="4"/>
      <c r="BW241" s="4"/>
      <c r="BX241" s="4"/>
      <c r="BY241" s="4"/>
      <c r="BZ241" s="4"/>
      <c r="CA241" s="4"/>
      <c r="CB241" s="4"/>
      <c r="CC241" s="4"/>
      <c r="CD241" s="4"/>
      <c r="CE241" s="4"/>
      <c r="CF241" s="4"/>
      <c r="CG241" s="4"/>
      <c r="CH241" s="4"/>
      <c r="CI241" s="4"/>
    </row>
    <row r="242" ht="14.25" customHeight="1" spans="1:87" x14ac:dyDescent="0.25">
      <c r="A242" s="4"/>
      <c r="B242" s="4"/>
      <c r="C242" s="4"/>
      <c r="D242" s="4"/>
      <c r="E242" s="4"/>
      <c r="F242" s="4"/>
      <c r="G242" s="4"/>
      <c r="H242" s="4"/>
      <c r="I242" s="4"/>
      <c r="J242" s="4"/>
      <c r="K242" s="242"/>
      <c r="L242" s="4"/>
      <c r="M242" s="4"/>
      <c r="N242" s="4"/>
      <c r="O242" s="4"/>
      <c r="P242" s="4"/>
      <c r="Q242" s="4"/>
      <c r="R242" s="4"/>
      <c r="S242" s="4"/>
      <c r="T242" s="4"/>
      <c r="U242" s="4"/>
      <c r="V242" s="4"/>
      <c r="W242" s="4"/>
      <c r="X242" s="4"/>
      <c r="Y242" s="4"/>
      <c r="Z242" s="4"/>
      <c r="AA242" s="4"/>
      <c r="AB242" s="4"/>
      <c r="AC242" s="4"/>
      <c r="AD242" s="4"/>
      <c r="AE242" s="4"/>
      <c r="AF242" s="4"/>
      <c r="AG242" s="4"/>
      <c r="AH242" s="4"/>
      <c r="AI242" s="4"/>
      <c r="AJ242" s="4"/>
      <c r="AK242" s="4"/>
      <c r="AL242" s="4"/>
      <c r="AM242" s="4"/>
      <c r="AN242" s="4"/>
      <c r="AO242" s="4"/>
      <c r="AP242" s="4"/>
      <c r="AQ242" s="4"/>
      <c r="AR242" s="4"/>
      <c r="AS242" s="4"/>
      <c r="AT242" s="4"/>
      <c r="AU242" s="4"/>
      <c r="AV242" s="4"/>
      <c r="AW242" s="4"/>
      <c r="AX242" s="4"/>
      <c r="AY242" s="4"/>
      <c r="AZ242" s="4"/>
      <c r="BA242" s="4"/>
      <c r="BB242" s="4"/>
      <c r="BC242" s="4"/>
      <c r="BD242" s="4"/>
      <c r="BE242" s="4"/>
      <c r="BF242" s="4"/>
      <c r="BG242" s="4"/>
      <c r="BH242" s="4"/>
      <c r="BI242" s="4"/>
      <c r="BJ242" s="4"/>
      <c r="BK242" s="4"/>
      <c r="BL242" s="4"/>
      <c r="BM242" s="4"/>
      <c r="BN242" s="4"/>
      <c r="BO242" s="4"/>
      <c r="BP242" s="4"/>
      <c r="BQ242" s="4"/>
      <c r="BR242" s="4"/>
      <c r="BS242" s="4"/>
      <c r="BT242" s="4"/>
      <c r="BU242" s="4"/>
      <c r="BV242" s="4"/>
      <c r="BW242" s="4"/>
      <c r="BX242" s="4"/>
      <c r="BY242" s="4"/>
      <c r="BZ242" s="4"/>
      <c r="CA242" s="4"/>
      <c r="CB242" s="4"/>
      <c r="CC242" s="4"/>
      <c r="CD242" s="4"/>
      <c r="CE242" s="4"/>
      <c r="CF242" s="4"/>
      <c r="CG242" s="4"/>
      <c r="CH242" s="4"/>
      <c r="CI242" s="4"/>
    </row>
    <row r="243" ht="14.25" customHeight="1" spans="1:87" x14ac:dyDescent="0.25">
      <c r="A243" s="4"/>
      <c r="B243" s="4"/>
      <c r="C243" s="4"/>
      <c r="D243" s="4"/>
      <c r="E243" s="4"/>
      <c r="F243" s="4"/>
      <c r="G243" s="4"/>
      <c r="H243" s="4"/>
      <c r="I243" s="4"/>
      <c r="J243" s="4"/>
      <c r="K243" s="242"/>
      <c r="L243" s="4"/>
      <c r="M243" s="4"/>
      <c r="N243" s="4"/>
      <c r="O243" s="4"/>
      <c r="P243" s="4"/>
      <c r="Q243" s="4"/>
      <c r="R243" s="4"/>
      <c r="S243" s="4"/>
      <c r="T243" s="4"/>
      <c r="U243" s="4"/>
      <c r="V243" s="4"/>
      <c r="W243" s="4"/>
      <c r="X243" s="4"/>
      <c r="Y243" s="4"/>
      <c r="Z243" s="4"/>
      <c r="AA243" s="4"/>
      <c r="AB243" s="4"/>
      <c r="AC243" s="4"/>
      <c r="AD243" s="4"/>
      <c r="AE243" s="4"/>
      <c r="AF243" s="4"/>
      <c r="AG243" s="4"/>
      <c r="AH243" s="4"/>
      <c r="AI243" s="4"/>
      <c r="AJ243" s="4"/>
      <c r="AK243" s="4"/>
      <c r="AL243" s="4"/>
      <c r="AM243" s="4"/>
      <c r="AN243" s="4"/>
      <c r="AO243" s="4"/>
      <c r="AP243" s="4"/>
      <c r="AQ243" s="4"/>
      <c r="AR243" s="4"/>
      <c r="AS243" s="4"/>
      <c r="AT243" s="4"/>
      <c r="AU243" s="4"/>
      <c r="AV243" s="4"/>
      <c r="AW243" s="4"/>
      <c r="AX243" s="4"/>
      <c r="AY243" s="4"/>
      <c r="AZ243" s="4"/>
      <c r="BA243" s="4"/>
      <c r="BB243" s="4"/>
      <c r="BC243" s="4"/>
      <c r="BD243" s="4"/>
      <c r="BE243" s="4"/>
      <c r="BF243" s="4"/>
      <c r="BG243" s="4"/>
      <c r="BH243" s="4"/>
      <c r="BI243" s="4"/>
      <c r="BJ243" s="4"/>
      <c r="BK243" s="4"/>
      <c r="BL243" s="4"/>
      <c r="BM243" s="4"/>
      <c r="BN243" s="4"/>
      <c r="BO243" s="4"/>
      <c r="BP243" s="4"/>
      <c r="BQ243" s="4"/>
      <c r="BR243" s="4"/>
      <c r="BS243" s="4"/>
      <c r="BT243" s="4"/>
      <c r="BU243" s="4"/>
      <c r="BV243" s="4"/>
      <c r="BW243" s="4"/>
      <c r="BX243" s="4"/>
      <c r="BY243" s="4"/>
      <c r="BZ243" s="4"/>
      <c r="CA243" s="4"/>
      <c r="CB243" s="4"/>
      <c r="CC243" s="4"/>
      <c r="CD243" s="4"/>
      <c r="CE243" s="4"/>
      <c r="CF243" s="4"/>
      <c r="CG243" s="4"/>
      <c r="CH243" s="4"/>
      <c r="CI243" s="4"/>
    </row>
    <row r="244" ht="14.25" customHeight="1" spans="1:87" x14ac:dyDescent="0.25">
      <c r="A244" s="4"/>
      <c r="B244" s="4"/>
      <c r="C244" s="4"/>
      <c r="D244" s="4"/>
      <c r="E244" s="4"/>
      <c r="F244" s="4"/>
      <c r="G244" s="4"/>
      <c r="H244" s="4"/>
      <c r="I244" s="4"/>
      <c r="J244" s="4"/>
      <c r="K244" s="242"/>
      <c r="L244" s="4"/>
      <c r="M244" s="4"/>
      <c r="N244" s="4"/>
      <c r="O244" s="4"/>
      <c r="P244" s="4"/>
      <c r="Q244" s="4"/>
      <c r="R244" s="4"/>
      <c r="S244" s="4"/>
      <c r="T244" s="4"/>
      <c r="U244" s="4"/>
      <c r="V244" s="4"/>
      <c r="W244" s="4"/>
      <c r="X244" s="4"/>
      <c r="Y244" s="4"/>
      <c r="Z244" s="4"/>
      <c r="AA244" s="4"/>
      <c r="AB244" s="4"/>
      <c r="AC244" s="4"/>
      <c r="AD244" s="4"/>
      <c r="AE244" s="4"/>
      <c r="AF244" s="4"/>
      <c r="AG244" s="4"/>
      <c r="AH244" s="4"/>
      <c r="AI244" s="4"/>
      <c r="AJ244" s="4"/>
      <c r="AK244" s="4"/>
      <c r="AL244" s="4"/>
      <c r="AM244" s="4"/>
      <c r="AN244" s="4"/>
      <c r="AO244" s="4"/>
      <c r="AP244" s="4"/>
      <c r="AQ244" s="4"/>
      <c r="AR244" s="4"/>
      <c r="AS244" s="4"/>
      <c r="AT244" s="4"/>
      <c r="AU244" s="4"/>
      <c r="AV244" s="4"/>
      <c r="AW244" s="4"/>
      <c r="AX244" s="4"/>
      <c r="AY244" s="4"/>
      <c r="AZ244" s="4"/>
      <c r="BA244" s="4"/>
      <c r="BB244" s="4"/>
      <c r="BC244" s="4"/>
      <c r="BD244" s="4"/>
      <c r="BE244" s="4"/>
      <c r="BF244" s="4"/>
      <c r="BG244" s="4"/>
      <c r="BH244" s="4"/>
      <c r="BI244" s="4"/>
      <c r="BJ244" s="4"/>
      <c r="BK244" s="4"/>
      <c r="BL244" s="4"/>
      <c r="BM244" s="4"/>
      <c r="BN244" s="4"/>
      <c r="BO244" s="4"/>
      <c r="BP244" s="4"/>
      <c r="BQ244" s="4"/>
      <c r="BR244" s="4"/>
      <c r="BS244" s="4"/>
      <c r="BT244" s="4"/>
      <c r="BU244" s="4"/>
      <c r="BV244" s="4"/>
      <c r="BW244" s="4"/>
      <c r="BX244" s="4"/>
      <c r="BY244" s="4"/>
      <c r="BZ244" s="4"/>
      <c r="CA244" s="4"/>
      <c r="CB244" s="4"/>
      <c r="CC244" s="4"/>
      <c r="CD244" s="4"/>
      <c r="CE244" s="4"/>
      <c r="CF244" s="4"/>
      <c r="CG244" s="4"/>
      <c r="CH244" s="4"/>
      <c r="CI244" s="4"/>
    </row>
    <row r="245" ht="14.25" customHeight="1" spans="1:87" x14ac:dyDescent="0.25">
      <c r="A245" s="4"/>
      <c r="B245" s="4"/>
      <c r="C245" s="4"/>
      <c r="D245" s="4"/>
      <c r="E245" s="4"/>
      <c r="F245" s="4"/>
      <c r="G245" s="4"/>
      <c r="H245" s="4"/>
      <c r="I245" s="4"/>
      <c r="J245" s="4"/>
      <c r="K245" s="242"/>
      <c r="L245" s="4"/>
      <c r="M245" s="4"/>
      <c r="N245" s="4"/>
      <c r="O245" s="4"/>
      <c r="P245" s="4"/>
      <c r="Q245" s="4"/>
      <c r="R245" s="4"/>
      <c r="S245" s="4"/>
      <c r="T245" s="4"/>
      <c r="U245" s="4"/>
      <c r="V245" s="4"/>
      <c r="W245" s="4"/>
      <c r="X245" s="4"/>
      <c r="Y245" s="4"/>
      <c r="Z245" s="4"/>
      <c r="AA245" s="4"/>
      <c r="AB245" s="4"/>
      <c r="AC245" s="4"/>
      <c r="AD245" s="4"/>
      <c r="AE245" s="4"/>
      <c r="AF245" s="4"/>
      <c r="AG245" s="4"/>
      <c r="AH245" s="4"/>
      <c r="AI245" s="4"/>
      <c r="AJ245" s="4"/>
      <c r="AK245" s="4"/>
      <c r="AL245" s="4"/>
      <c r="AM245" s="4"/>
      <c r="AN245" s="4"/>
      <c r="AO245" s="4"/>
      <c r="AP245" s="4"/>
      <c r="AQ245" s="4"/>
      <c r="AR245" s="4"/>
      <c r="AS245" s="4"/>
      <c r="AT245" s="4"/>
      <c r="AU245" s="4"/>
      <c r="AV245" s="4"/>
      <c r="AW245" s="4"/>
      <c r="AX245" s="4"/>
      <c r="AY245" s="4"/>
      <c r="AZ245" s="4"/>
      <c r="BA245" s="4"/>
      <c r="BB245" s="4"/>
      <c r="BC245" s="4"/>
      <c r="BD245" s="4"/>
      <c r="BE245" s="4"/>
      <c r="BF245" s="4"/>
      <c r="BG245" s="4"/>
      <c r="BH245" s="4"/>
      <c r="BI245" s="4"/>
      <c r="BJ245" s="4"/>
      <c r="BK245" s="4"/>
      <c r="BL245" s="4"/>
      <c r="BM245" s="4"/>
      <c r="BN245" s="4"/>
      <c r="BO245" s="4"/>
      <c r="BP245" s="4"/>
      <c r="BQ245" s="4"/>
      <c r="BR245" s="4"/>
      <c r="BS245" s="4"/>
      <c r="BT245" s="4"/>
      <c r="BU245" s="4"/>
      <c r="BV245" s="4"/>
      <c r="BW245" s="4"/>
      <c r="BX245" s="4"/>
      <c r="BY245" s="4"/>
      <c r="BZ245" s="4"/>
      <c r="CA245" s="4"/>
      <c r="CB245" s="4"/>
      <c r="CC245" s="4"/>
      <c r="CD245" s="4"/>
      <c r="CE245" s="4"/>
      <c r="CF245" s="4"/>
      <c r="CG245" s="4"/>
      <c r="CH245" s="4"/>
      <c r="CI245" s="4"/>
    </row>
    <row r="246" ht="14.25" customHeight="1" spans="1:87" x14ac:dyDescent="0.25">
      <c r="A246" s="4"/>
      <c r="B246" s="4"/>
      <c r="C246" s="4"/>
      <c r="D246" s="4"/>
      <c r="E246" s="4"/>
      <c r="F246" s="4"/>
      <c r="G246" s="4"/>
      <c r="H246" s="4"/>
      <c r="I246" s="4"/>
      <c r="J246" s="4"/>
      <c r="K246" s="242"/>
      <c r="L246" s="4"/>
      <c r="M246" s="4"/>
      <c r="N246" s="4"/>
      <c r="O246" s="4"/>
      <c r="P246" s="4"/>
      <c r="Q246" s="4"/>
      <c r="R246" s="4"/>
      <c r="S246" s="4"/>
      <c r="T246" s="4"/>
      <c r="U246" s="4"/>
      <c r="V246" s="4"/>
      <c r="W246" s="4"/>
      <c r="X246" s="4"/>
      <c r="Y246" s="4"/>
      <c r="Z246" s="4"/>
      <c r="AA246" s="4"/>
      <c r="AB246" s="4"/>
      <c r="AC246" s="4"/>
      <c r="AD246" s="4"/>
      <c r="AE246" s="4"/>
      <c r="AF246" s="4"/>
      <c r="AG246" s="4"/>
      <c r="AH246" s="4"/>
      <c r="AI246" s="4"/>
      <c r="AJ246" s="4"/>
      <c r="AK246" s="4"/>
      <c r="AL246" s="4"/>
      <c r="AM246" s="4"/>
      <c r="AN246" s="4"/>
      <c r="AO246" s="4"/>
      <c r="AP246" s="4"/>
      <c r="AQ246" s="4"/>
      <c r="AR246" s="4"/>
      <c r="AS246" s="4"/>
      <c r="AT246" s="4"/>
      <c r="AU246" s="4"/>
      <c r="AV246" s="4"/>
      <c r="AW246" s="4"/>
      <c r="AX246" s="4"/>
      <c r="AY246" s="4"/>
      <c r="AZ246" s="4"/>
      <c r="BA246" s="4"/>
      <c r="BB246" s="4"/>
      <c r="BC246" s="4"/>
      <c r="BD246" s="4"/>
      <c r="BE246" s="4"/>
      <c r="BF246" s="4"/>
      <c r="BG246" s="4"/>
      <c r="BH246" s="4"/>
      <c r="BI246" s="4"/>
      <c r="BJ246" s="4"/>
      <c r="BK246" s="4"/>
      <c r="BL246" s="4"/>
      <c r="BM246" s="4"/>
      <c r="BN246" s="4"/>
      <c r="BO246" s="4"/>
      <c r="BP246" s="4"/>
      <c r="BQ246" s="4"/>
      <c r="BR246" s="4"/>
      <c r="BS246" s="4"/>
      <c r="BT246" s="4"/>
      <c r="BU246" s="4"/>
      <c r="BV246" s="4"/>
      <c r="BW246" s="4"/>
      <c r="BX246" s="4"/>
      <c r="BY246" s="4"/>
      <c r="BZ246" s="4"/>
      <c r="CA246" s="4"/>
      <c r="CB246" s="4"/>
      <c r="CC246" s="4"/>
      <c r="CD246" s="4"/>
      <c r="CE246" s="4"/>
      <c r="CF246" s="4"/>
      <c r="CG246" s="4"/>
      <c r="CH246" s="4"/>
      <c r="CI246" s="4"/>
    </row>
    <row r="247" ht="14.25" customHeight="1" spans="1:87" x14ac:dyDescent="0.25">
      <c r="A247" s="4"/>
      <c r="B247" s="4"/>
      <c r="C247" s="4"/>
      <c r="D247" s="4"/>
      <c r="E247" s="4"/>
      <c r="F247" s="4"/>
      <c r="G247" s="4"/>
      <c r="H247" s="4"/>
      <c r="I247" s="4"/>
      <c r="J247" s="4"/>
      <c r="K247" s="242"/>
      <c r="L247" s="4"/>
      <c r="M247" s="4"/>
      <c r="N247" s="4"/>
      <c r="O247" s="4"/>
      <c r="P247" s="4"/>
      <c r="Q247" s="4"/>
      <c r="R247" s="4"/>
      <c r="S247" s="4"/>
      <c r="T247" s="4"/>
      <c r="U247" s="4"/>
      <c r="V247" s="4"/>
      <c r="W247" s="4"/>
      <c r="X247" s="4"/>
      <c r="Y247" s="4"/>
      <c r="Z247" s="4"/>
      <c r="AA247" s="4"/>
      <c r="AB247" s="4"/>
      <c r="AC247" s="4"/>
      <c r="AD247" s="4"/>
      <c r="AE247" s="4"/>
      <c r="AF247" s="4"/>
      <c r="AG247" s="4"/>
      <c r="AH247" s="4"/>
      <c r="AI247" s="4"/>
      <c r="AJ247" s="4"/>
      <c r="AK247" s="4"/>
      <c r="AL247" s="4"/>
      <c r="AM247" s="4"/>
      <c r="AN247" s="4"/>
      <c r="AO247" s="4"/>
      <c r="AP247" s="4"/>
      <c r="AQ247" s="4"/>
      <c r="AR247" s="4"/>
      <c r="AS247" s="4"/>
      <c r="AT247" s="4"/>
      <c r="AU247" s="4"/>
      <c r="AV247" s="4"/>
      <c r="AW247" s="4"/>
      <c r="AX247" s="4"/>
      <c r="AY247" s="4"/>
      <c r="AZ247" s="4"/>
      <c r="BA247" s="4"/>
      <c r="BB247" s="4"/>
      <c r="BC247" s="4"/>
      <c r="BD247" s="4"/>
      <c r="BE247" s="4"/>
      <c r="BF247" s="4"/>
      <c r="BG247" s="4"/>
      <c r="BH247" s="4"/>
      <c r="BI247" s="4"/>
      <c r="BJ247" s="4"/>
      <c r="BK247" s="4"/>
      <c r="BL247" s="4"/>
      <c r="BM247" s="4"/>
      <c r="BN247" s="4"/>
      <c r="BO247" s="4"/>
      <c r="BP247" s="4"/>
      <c r="BQ247" s="4"/>
      <c r="BR247" s="4"/>
      <c r="BS247" s="4"/>
      <c r="BT247" s="4"/>
      <c r="BU247" s="4"/>
      <c r="BV247" s="4"/>
      <c r="BW247" s="4"/>
      <c r="BX247" s="4"/>
      <c r="BY247" s="4"/>
      <c r="BZ247" s="4"/>
      <c r="CA247" s="4"/>
      <c r="CB247" s="4"/>
      <c r="CC247" s="4"/>
      <c r="CD247" s="4"/>
      <c r="CE247" s="4"/>
      <c r="CF247" s="4"/>
      <c r="CG247" s="4"/>
      <c r="CH247" s="4"/>
      <c r="CI247" s="4"/>
    </row>
    <row r="248" ht="14.25" customHeight="1" spans="1:87" x14ac:dyDescent="0.25">
      <c r="A248" s="4"/>
      <c r="B248" s="4"/>
      <c r="C248" s="4"/>
      <c r="D248" s="4"/>
      <c r="E248" s="4"/>
      <c r="F248" s="4"/>
      <c r="G248" s="4"/>
      <c r="H248" s="4"/>
      <c r="I248" s="4"/>
      <c r="J248" s="4"/>
      <c r="K248" s="242"/>
      <c r="L248" s="4"/>
      <c r="M248" s="4"/>
      <c r="N248" s="4"/>
      <c r="O248" s="4"/>
      <c r="P248" s="4"/>
      <c r="Q248" s="4"/>
      <c r="R248" s="4"/>
      <c r="S248" s="4"/>
      <c r="T248" s="4"/>
      <c r="U248" s="4"/>
      <c r="V248" s="4"/>
      <c r="W248" s="4"/>
      <c r="X248" s="4"/>
      <c r="Y248" s="4"/>
      <c r="Z248" s="4"/>
      <c r="AA248" s="4"/>
      <c r="AB248" s="4"/>
      <c r="AC248" s="4"/>
      <c r="AD248" s="4"/>
      <c r="AE248" s="4"/>
      <c r="AF248" s="4"/>
      <c r="AG248" s="4"/>
      <c r="AH248" s="4"/>
      <c r="AI248" s="4"/>
      <c r="AJ248" s="4"/>
      <c r="AK248" s="4"/>
      <c r="AL248" s="4"/>
      <c r="AM248" s="4"/>
      <c r="AN248" s="4"/>
      <c r="AO248" s="4"/>
      <c r="AP248" s="4"/>
      <c r="AQ248" s="4"/>
      <c r="AR248" s="4"/>
      <c r="AS248" s="4"/>
      <c r="AT248" s="4"/>
      <c r="AU248" s="4"/>
      <c r="AV248" s="4"/>
      <c r="AW248" s="4"/>
      <c r="AX248" s="4"/>
      <c r="AY248" s="4"/>
      <c r="AZ248" s="4"/>
      <c r="BA248" s="4"/>
      <c r="BB248" s="4"/>
      <c r="BC248" s="4"/>
      <c r="BD248" s="4"/>
      <c r="BE248" s="4"/>
      <c r="BF248" s="4"/>
      <c r="BG248" s="4"/>
      <c r="BH248" s="4"/>
      <c r="BI248" s="4"/>
      <c r="BJ248" s="4"/>
      <c r="BK248" s="4"/>
      <c r="BL248" s="4"/>
      <c r="BM248" s="4"/>
      <c r="BN248" s="4"/>
      <c r="BO248" s="4"/>
      <c r="BP248" s="4"/>
      <c r="BQ248" s="4"/>
      <c r="BR248" s="4"/>
      <c r="BS248" s="4"/>
      <c r="BT248" s="4"/>
      <c r="BU248" s="4"/>
      <c r="BV248" s="4"/>
      <c r="BW248" s="4"/>
      <c r="BX248" s="4"/>
      <c r="BY248" s="4"/>
      <c r="BZ248" s="4"/>
      <c r="CA248" s="4"/>
      <c r="CB248" s="4"/>
      <c r="CC248" s="4"/>
      <c r="CD248" s="4"/>
      <c r="CE248" s="4"/>
      <c r="CF248" s="4"/>
      <c r="CG248" s="4"/>
      <c r="CH248" s="4"/>
      <c r="CI248" s="4"/>
    </row>
    <row r="249" ht="14.25" customHeight="1" spans="1:87" x14ac:dyDescent="0.25">
      <c r="A249" s="4"/>
      <c r="B249" s="4"/>
      <c r="C249" s="4"/>
      <c r="D249" s="4"/>
      <c r="E249" s="4"/>
      <c r="F249" s="4"/>
      <c r="G249" s="4"/>
      <c r="H249" s="4"/>
      <c r="I249" s="4"/>
      <c r="J249" s="4"/>
      <c r="K249" s="242"/>
      <c r="L249" s="4"/>
      <c r="M249" s="4"/>
      <c r="N249" s="4"/>
      <c r="O249" s="4"/>
      <c r="P249" s="4"/>
      <c r="Q249" s="4"/>
      <c r="R249" s="4"/>
      <c r="S249" s="4"/>
      <c r="T249" s="4"/>
      <c r="U249" s="4"/>
      <c r="V249" s="4"/>
      <c r="W249" s="4"/>
      <c r="X249" s="4"/>
      <c r="Y249" s="4"/>
      <c r="Z249" s="4"/>
      <c r="AA249" s="4"/>
      <c r="AB249" s="4"/>
      <c r="AC249" s="4"/>
      <c r="AD249" s="4"/>
      <c r="AE249" s="4"/>
      <c r="AF249" s="4"/>
      <c r="AG249" s="4"/>
      <c r="AH249" s="4"/>
      <c r="AI249" s="4"/>
      <c r="AJ249" s="4"/>
      <c r="AK249" s="4"/>
      <c r="AL249" s="4"/>
      <c r="AM249" s="4"/>
      <c r="AN249" s="4"/>
      <c r="AO249" s="4"/>
      <c r="AP249" s="4"/>
      <c r="AQ249" s="4"/>
      <c r="AR249" s="4"/>
      <c r="AS249" s="4"/>
      <c r="AT249" s="4"/>
      <c r="AU249" s="4"/>
      <c r="AV249" s="4"/>
      <c r="AW249" s="4"/>
      <c r="AX249" s="4"/>
      <c r="AY249" s="4"/>
      <c r="AZ249" s="4"/>
      <c r="BA249" s="4"/>
      <c r="BB249" s="4"/>
      <c r="BC249" s="4"/>
      <c r="BD249" s="4"/>
      <c r="BE249" s="4"/>
      <c r="BF249" s="4"/>
      <c r="BG249" s="4"/>
      <c r="BH249" s="4"/>
      <c r="BI249" s="4"/>
      <c r="BJ249" s="4"/>
      <c r="BK249" s="4"/>
      <c r="BL249" s="4"/>
      <c r="BM249" s="4"/>
      <c r="BN249" s="4"/>
      <c r="BO249" s="4"/>
      <c r="BP249" s="4"/>
      <c r="BQ249" s="4"/>
      <c r="BR249" s="4"/>
      <c r="BS249" s="4"/>
      <c r="BT249" s="4"/>
      <c r="BU249" s="4"/>
      <c r="BV249" s="4"/>
      <c r="BW249" s="4"/>
      <c r="BX249" s="4"/>
      <c r="BY249" s="4"/>
      <c r="BZ249" s="4"/>
      <c r="CA249" s="4"/>
      <c r="CB249" s="4"/>
      <c r="CC249" s="4"/>
      <c r="CD249" s="4"/>
      <c r="CE249" s="4"/>
      <c r="CF249" s="4"/>
      <c r="CG249" s="4"/>
      <c r="CH249" s="4"/>
      <c r="CI249" s="4"/>
    </row>
    <row r="250" ht="14.25" customHeight="1" spans="1:87" x14ac:dyDescent="0.25">
      <c r="A250" s="4"/>
      <c r="B250" s="4"/>
      <c r="C250" s="4"/>
      <c r="D250" s="4"/>
      <c r="E250" s="4"/>
      <c r="F250" s="4"/>
      <c r="G250" s="4"/>
      <c r="H250" s="4"/>
      <c r="I250" s="4"/>
      <c r="J250" s="4"/>
      <c r="K250" s="242"/>
      <c r="L250" s="4"/>
      <c r="M250" s="4"/>
      <c r="N250" s="4"/>
      <c r="O250" s="4"/>
      <c r="P250" s="4"/>
      <c r="Q250" s="4"/>
      <c r="R250" s="4"/>
      <c r="S250" s="4"/>
      <c r="T250" s="4"/>
      <c r="U250" s="4"/>
      <c r="V250" s="4"/>
      <c r="W250" s="4"/>
      <c r="X250" s="4"/>
      <c r="Y250" s="4"/>
      <c r="Z250" s="4"/>
      <c r="AA250" s="4"/>
      <c r="AB250" s="4"/>
      <c r="AC250" s="4"/>
      <c r="AD250" s="4"/>
      <c r="AE250" s="4"/>
      <c r="AF250" s="4"/>
      <c r="AG250" s="4"/>
      <c r="AH250" s="4"/>
      <c r="AI250" s="4"/>
      <c r="AJ250" s="4"/>
      <c r="AK250" s="4"/>
      <c r="AL250" s="4"/>
      <c r="AM250" s="4"/>
      <c r="AN250" s="4"/>
      <c r="AO250" s="4"/>
      <c r="AP250" s="4"/>
      <c r="AQ250" s="4"/>
      <c r="AR250" s="4"/>
      <c r="AS250" s="4"/>
      <c r="AT250" s="4"/>
      <c r="AU250" s="4"/>
      <c r="AV250" s="4"/>
      <c r="AW250" s="4"/>
      <c r="AX250" s="4"/>
      <c r="AY250" s="4"/>
      <c r="AZ250" s="4"/>
      <c r="BA250" s="4"/>
      <c r="BB250" s="4"/>
      <c r="BC250" s="4"/>
      <c r="BD250" s="4"/>
      <c r="BE250" s="4"/>
      <c r="BF250" s="4"/>
      <c r="BG250" s="4"/>
      <c r="BH250" s="4"/>
      <c r="BI250" s="4"/>
      <c r="BJ250" s="4"/>
      <c r="BK250" s="4"/>
      <c r="BL250" s="4"/>
      <c r="BM250" s="4"/>
      <c r="BN250" s="4"/>
      <c r="BO250" s="4"/>
      <c r="BP250" s="4"/>
      <c r="BQ250" s="4"/>
      <c r="BR250" s="4"/>
      <c r="BS250" s="4"/>
      <c r="BT250" s="4"/>
      <c r="BU250" s="4"/>
      <c r="BV250" s="4"/>
      <c r="BW250" s="4"/>
      <c r="BX250" s="4"/>
      <c r="BY250" s="4"/>
      <c r="BZ250" s="4"/>
      <c r="CA250" s="4"/>
      <c r="CB250" s="4"/>
      <c r="CC250" s="4"/>
      <c r="CD250" s="4"/>
      <c r="CE250" s="4"/>
      <c r="CF250" s="4"/>
      <c r="CG250" s="4"/>
      <c r="CH250" s="4"/>
      <c r="CI250" s="4"/>
    </row>
    <row r="251" ht="14.25" customHeight="1" spans="1:87" x14ac:dyDescent="0.25">
      <c r="A251" s="4"/>
      <c r="B251" s="4"/>
      <c r="C251" s="4"/>
      <c r="D251" s="4"/>
      <c r="E251" s="4"/>
      <c r="F251" s="4"/>
      <c r="G251" s="4"/>
      <c r="H251" s="4"/>
      <c r="I251" s="4"/>
      <c r="J251" s="4"/>
      <c r="K251" s="242"/>
      <c r="L251" s="4"/>
      <c r="M251" s="4"/>
      <c r="N251" s="4"/>
      <c r="O251" s="4"/>
      <c r="P251" s="4"/>
      <c r="Q251" s="4"/>
      <c r="R251" s="4"/>
      <c r="S251" s="4"/>
      <c r="T251" s="4"/>
      <c r="U251" s="4"/>
      <c r="V251" s="4"/>
      <c r="W251" s="4"/>
      <c r="X251" s="4"/>
      <c r="Y251" s="4"/>
      <c r="Z251" s="4"/>
      <c r="AA251" s="4"/>
      <c r="AB251" s="4"/>
      <c r="AC251" s="4"/>
      <c r="AD251" s="4"/>
      <c r="AE251" s="4"/>
      <c r="AF251" s="4"/>
      <c r="AG251" s="4"/>
      <c r="AH251" s="4"/>
      <c r="AI251" s="4"/>
      <c r="AJ251" s="4"/>
      <c r="AK251" s="4"/>
      <c r="AL251" s="4"/>
      <c r="AM251" s="4"/>
      <c r="AN251" s="4"/>
      <c r="AO251" s="4"/>
      <c r="AP251" s="4"/>
      <c r="AQ251" s="4"/>
      <c r="AR251" s="4"/>
      <c r="AS251" s="4"/>
      <c r="AT251" s="4"/>
      <c r="AU251" s="4"/>
      <c r="AV251" s="4"/>
      <c r="AW251" s="4"/>
      <c r="AX251" s="4"/>
      <c r="AY251" s="4"/>
      <c r="AZ251" s="4"/>
      <c r="BA251" s="4"/>
      <c r="BB251" s="4"/>
      <c r="BC251" s="4"/>
      <c r="BD251" s="4"/>
      <c r="BE251" s="4"/>
      <c r="BF251" s="4"/>
      <c r="BG251" s="4"/>
      <c r="BH251" s="4"/>
      <c r="BI251" s="4"/>
      <c r="BJ251" s="4"/>
      <c r="BK251" s="4"/>
      <c r="BL251" s="4"/>
      <c r="BM251" s="4"/>
      <c r="BN251" s="4"/>
      <c r="BO251" s="4"/>
      <c r="BP251" s="4"/>
      <c r="BQ251" s="4"/>
      <c r="BR251" s="4"/>
      <c r="BS251" s="4"/>
      <c r="BT251" s="4"/>
      <c r="BU251" s="4"/>
      <c r="BV251" s="4"/>
      <c r="BW251" s="4"/>
      <c r="BX251" s="4"/>
      <c r="BY251" s="4"/>
      <c r="BZ251" s="4"/>
      <c r="CA251" s="4"/>
      <c r="CB251" s="4"/>
      <c r="CC251" s="4"/>
      <c r="CD251" s="4"/>
      <c r="CE251" s="4"/>
      <c r="CF251" s="4"/>
      <c r="CG251" s="4"/>
      <c r="CH251" s="4"/>
      <c r="CI251" s="4"/>
    </row>
    <row r="252" ht="14.25" customHeight="1" spans="1:87" x14ac:dyDescent="0.25">
      <c r="A252" s="4"/>
      <c r="B252" s="4"/>
      <c r="C252" s="4"/>
      <c r="D252" s="4"/>
      <c r="E252" s="4"/>
      <c r="F252" s="4"/>
      <c r="G252" s="4"/>
      <c r="H252" s="4"/>
      <c r="I252" s="4"/>
      <c r="J252" s="4"/>
      <c r="K252" s="242"/>
      <c r="L252" s="4"/>
      <c r="M252" s="4"/>
      <c r="N252" s="4"/>
      <c r="O252" s="4"/>
      <c r="P252" s="4"/>
      <c r="Q252" s="4"/>
      <c r="R252" s="4"/>
      <c r="S252" s="4"/>
      <c r="T252" s="4"/>
      <c r="U252" s="4"/>
      <c r="V252" s="4"/>
      <c r="W252" s="4"/>
      <c r="X252" s="4"/>
      <c r="Y252" s="4"/>
      <c r="Z252" s="4"/>
      <c r="AA252" s="4"/>
      <c r="AB252" s="4"/>
      <c r="AC252" s="4"/>
      <c r="AD252" s="4"/>
      <c r="AE252" s="4"/>
      <c r="AF252" s="4"/>
      <c r="AG252" s="4"/>
      <c r="AH252" s="4"/>
      <c r="AI252" s="4"/>
      <c r="AJ252" s="4"/>
      <c r="AK252" s="4"/>
      <c r="AL252" s="4"/>
      <c r="AM252" s="4"/>
      <c r="AN252" s="4"/>
      <c r="AO252" s="4"/>
      <c r="AP252" s="4"/>
      <c r="AQ252" s="4"/>
      <c r="AR252" s="4"/>
      <c r="AS252" s="4"/>
      <c r="AT252" s="4"/>
      <c r="AU252" s="4"/>
      <c r="AV252" s="4"/>
      <c r="AW252" s="4"/>
      <c r="AX252" s="4"/>
      <c r="AY252" s="4"/>
      <c r="AZ252" s="4"/>
      <c r="BA252" s="4"/>
      <c r="BB252" s="4"/>
      <c r="BC252" s="4"/>
      <c r="BD252" s="4"/>
      <c r="BE252" s="4"/>
      <c r="BF252" s="4"/>
      <c r="BG252" s="4"/>
      <c r="BH252" s="4"/>
      <c r="BI252" s="4"/>
      <c r="BJ252" s="4"/>
      <c r="BK252" s="4"/>
      <c r="BL252" s="4"/>
      <c r="BM252" s="4"/>
      <c r="BN252" s="4"/>
      <c r="BO252" s="4"/>
      <c r="BP252" s="4"/>
      <c r="BQ252" s="4"/>
      <c r="BR252" s="4"/>
      <c r="BS252" s="4"/>
      <c r="BT252" s="4"/>
      <c r="BU252" s="4"/>
      <c r="BV252" s="4"/>
      <c r="BW252" s="4"/>
      <c r="BX252" s="4"/>
      <c r="BY252" s="4"/>
      <c r="BZ252" s="4"/>
      <c r="CA252" s="4"/>
      <c r="CB252" s="4"/>
      <c r="CC252" s="4"/>
      <c r="CD252" s="4"/>
      <c r="CE252" s="4"/>
      <c r="CF252" s="4"/>
      <c r="CG252" s="4"/>
      <c r="CH252" s="4"/>
      <c r="CI252" s="4"/>
    </row>
    <row r="253" ht="14.25" customHeight="1" spans="1:87" x14ac:dyDescent="0.25">
      <c r="A253" s="4"/>
      <c r="B253" s="4"/>
      <c r="C253" s="4"/>
      <c r="D253" s="4"/>
      <c r="E253" s="4"/>
      <c r="F253" s="4"/>
      <c r="G253" s="4"/>
      <c r="H253" s="4"/>
      <c r="I253" s="4"/>
      <c r="J253" s="4"/>
      <c r="K253" s="242"/>
      <c r="L253" s="4"/>
      <c r="M253" s="4"/>
      <c r="N253" s="4"/>
      <c r="O253" s="4"/>
      <c r="P253" s="4"/>
      <c r="Q253" s="4"/>
      <c r="R253" s="4"/>
      <c r="S253" s="4"/>
      <c r="T253" s="4"/>
      <c r="U253" s="4"/>
      <c r="V253" s="4"/>
      <c r="W253" s="4"/>
      <c r="X253" s="4"/>
      <c r="Y253" s="4"/>
      <c r="Z253" s="4"/>
      <c r="AA253" s="4"/>
      <c r="AB253" s="4"/>
      <c r="AC253" s="4"/>
      <c r="AD253" s="4"/>
      <c r="AE253" s="4"/>
      <c r="AF253" s="4"/>
      <c r="AG253" s="4"/>
      <c r="AH253" s="4"/>
      <c r="AI253" s="4"/>
      <c r="AJ253" s="4"/>
      <c r="AK253" s="4"/>
      <c r="AL253" s="4"/>
      <c r="AM253" s="4"/>
      <c r="AN253" s="4"/>
      <c r="AO253" s="4"/>
      <c r="AP253" s="4"/>
      <c r="AQ253" s="4"/>
      <c r="AR253" s="4"/>
      <c r="AS253" s="4"/>
      <c r="AT253" s="4"/>
      <c r="AU253" s="4"/>
      <c r="AV253" s="4"/>
      <c r="AW253" s="4"/>
      <c r="AX253" s="4"/>
      <c r="AY253" s="4"/>
      <c r="AZ253" s="4"/>
      <c r="BA253" s="4"/>
      <c r="BB253" s="4"/>
      <c r="BC253" s="4"/>
      <c r="BD253" s="4"/>
      <c r="BE253" s="4"/>
      <c r="BF253" s="4"/>
      <c r="BG253" s="4"/>
      <c r="BH253" s="4"/>
      <c r="BI253" s="4"/>
      <c r="BJ253" s="4"/>
      <c r="BK253" s="4"/>
      <c r="BL253" s="4"/>
      <c r="BM253" s="4"/>
      <c r="BN253" s="4"/>
      <c r="BO253" s="4"/>
      <c r="BP253" s="4"/>
      <c r="BQ253" s="4"/>
      <c r="BR253" s="4"/>
      <c r="BS253" s="4"/>
      <c r="BT253" s="4"/>
      <c r="BU253" s="4"/>
      <c r="BV253" s="4"/>
      <c r="BW253" s="4"/>
      <c r="BX253" s="4"/>
      <c r="BY253" s="4"/>
      <c r="BZ253" s="4"/>
      <c r="CA253" s="4"/>
      <c r="CB253" s="4"/>
      <c r="CC253" s="4"/>
      <c r="CD253" s="4"/>
      <c r="CE253" s="4"/>
      <c r="CF253" s="4"/>
      <c r="CG253" s="4"/>
      <c r="CH253" s="4"/>
      <c r="CI253" s="4"/>
    </row>
    <row r="254" ht="14.25" customHeight="1" spans="1:87" x14ac:dyDescent="0.25">
      <c r="A254" s="4"/>
      <c r="B254" s="4"/>
      <c r="C254" s="4"/>
      <c r="D254" s="4"/>
      <c r="E254" s="4"/>
      <c r="F254" s="4"/>
      <c r="G254" s="4"/>
      <c r="H254" s="4"/>
      <c r="I254" s="4"/>
      <c r="J254" s="4"/>
      <c r="K254" s="242"/>
      <c r="L254" s="4"/>
      <c r="M254" s="4"/>
      <c r="N254" s="4"/>
      <c r="O254" s="4"/>
      <c r="P254" s="4"/>
      <c r="Q254" s="4"/>
      <c r="R254" s="4"/>
      <c r="S254" s="4"/>
      <c r="T254" s="4"/>
      <c r="U254" s="4"/>
      <c r="V254" s="4"/>
      <c r="W254" s="4"/>
      <c r="X254" s="4"/>
      <c r="Y254" s="4"/>
      <c r="Z254" s="4"/>
      <c r="AA254" s="4"/>
      <c r="AB254" s="4"/>
      <c r="AC254" s="4"/>
      <c r="AD254" s="4"/>
      <c r="AE254" s="4"/>
      <c r="AF254" s="4"/>
      <c r="AG254" s="4"/>
      <c r="AH254" s="4"/>
      <c r="AI254" s="4"/>
      <c r="AJ254" s="4"/>
      <c r="AK254" s="4"/>
      <c r="AL254" s="4"/>
      <c r="AM254" s="4"/>
      <c r="AN254" s="4"/>
      <c r="AO254" s="4"/>
      <c r="AP254" s="4"/>
      <c r="AQ254" s="4"/>
      <c r="AR254" s="4"/>
      <c r="AS254" s="4"/>
      <c r="AT254" s="4"/>
      <c r="AU254" s="4"/>
      <c r="AV254" s="4"/>
      <c r="AW254" s="4"/>
      <c r="AX254" s="4"/>
      <c r="AY254" s="4"/>
      <c r="AZ254" s="4"/>
      <c r="BA254" s="4"/>
      <c r="BB254" s="4"/>
      <c r="BC254" s="4"/>
      <c r="BD254" s="4"/>
      <c r="BE254" s="4"/>
      <c r="BF254" s="4"/>
      <c r="BG254" s="4"/>
      <c r="BH254" s="4"/>
      <c r="BI254" s="4"/>
      <c r="BJ254" s="4"/>
      <c r="BK254" s="4"/>
      <c r="BL254" s="4"/>
      <c r="BM254" s="4"/>
      <c r="BN254" s="4"/>
      <c r="BO254" s="4"/>
      <c r="BP254" s="4"/>
      <c r="BQ254" s="4"/>
      <c r="BR254" s="4"/>
      <c r="BS254" s="4"/>
      <c r="BT254" s="4"/>
      <c r="BU254" s="4"/>
      <c r="BV254" s="4"/>
      <c r="BW254" s="4"/>
      <c r="BX254" s="4"/>
      <c r="BY254" s="4"/>
      <c r="BZ254" s="4"/>
      <c r="CA254" s="4"/>
      <c r="CB254" s="4"/>
      <c r="CC254" s="4"/>
      <c r="CD254" s="4"/>
      <c r="CE254" s="4"/>
      <c r="CF254" s="4"/>
      <c r="CG254" s="4"/>
      <c r="CH254" s="4"/>
      <c r="CI254" s="4"/>
    </row>
    <row r="255" ht="14.25" customHeight="1" spans="1:87" x14ac:dyDescent="0.25">
      <c r="A255" s="4"/>
      <c r="B255" s="4"/>
      <c r="C255" s="4"/>
      <c r="D255" s="4"/>
      <c r="E255" s="4"/>
      <c r="F255" s="4"/>
      <c r="G255" s="4"/>
      <c r="H255" s="4"/>
      <c r="I255" s="4"/>
      <c r="J255" s="4"/>
      <c r="K255" s="242"/>
      <c r="L255" s="4"/>
      <c r="M255" s="4"/>
      <c r="N255" s="4"/>
      <c r="O255" s="4"/>
      <c r="P255" s="4"/>
      <c r="Q255" s="4"/>
      <c r="R255" s="4"/>
      <c r="S255" s="4"/>
      <c r="T255" s="4"/>
      <c r="U255" s="4"/>
      <c r="V255" s="4"/>
      <c r="W255" s="4"/>
      <c r="X255" s="4"/>
      <c r="Y255" s="4"/>
      <c r="Z255" s="4"/>
      <c r="AA255" s="4"/>
      <c r="AB255" s="4"/>
      <c r="AC255" s="4"/>
      <c r="AD255" s="4"/>
      <c r="AE255" s="4"/>
      <c r="AF255" s="4"/>
      <c r="AG255" s="4"/>
      <c r="AH255" s="4"/>
      <c r="AI255" s="4"/>
      <c r="AJ255" s="4"/>
      <c r="AK255" s="4"/>
      <c r="AL255" s="4"/>
      <c r="AM255" s="4"/>
      <c r="AN255" s="4"/>
      <c r="AO255" s="4"/>
      <c r="AP255" s="4"/>
      <c r="AQ255" s="4"/>
      <c r="AR255" s="4"/>
      <c r="AS255" s="4"/>
      <c r="AT255" s="4"/>
      <c r="AU255" s="4"/>
      <c r="AV255" s="4"/>
      <c r="AW255" s="4"/>
      <c r="AX255" s="4"/>
      <c r="AY255" s="4"/>
      <c r="AZ255" s="4"/>
      <c r="BA255" s="4"/>
      <c r="BB255" s="4"/>
      <c r="BC255" s="4"/>
      <c r="BD255" s="4"/>
      <c r="BE255" s="4"/>
      <c r="BF255" s="4"/>
      <c r="BG255" s="4"/>
      <c r="BH255" s="4"/>
      <c r="BI255" s="4"/>
      <c r="BJ255" s="4"/>
      <c r="BK255" s="4"/>
      <c r="BL255" s="4"/>
      <c r="BM255" s="4"/>
      <c r="BN255" s="4"/>
      <c r="BO255" s="4"/>
      <c r="BP255" s="4"/>
      <c r="BQ255" s="4"/>
      <c r="BR255" s="4"/>
      <c r="BS255" s="4"/>
      <c r="BT255" s="4"/>
      <c r="BU255" s="4"/>
      <c r="BV255" s="4"/>
      <c r="BW255" s="4"/>
      <c r="BX255" s="4"/>
      <c r="BY255" s="4"/>
      <c r="BZ255" s="4"/>
      <c r="CA255" s="4"/>
      <c r="CB255" s="4"/>
      <c r="CC255" s="4"/>
      <c r="CD255" s="4"/>
      <c r="CE255" s="4"/>
      <c r="CF255" s="4"/>
      <c r="CG255" s="4"/>
      <c r="CH255" s="4"/>
      <c r="CI255" s="4"/>
    </row>
    <row r="256" ht="14.25" customHeight="1" spans="1:87" x14ac:dyDescent="0.25">
      <c r="A256" s="4"/>
      <c r="B256" s="4"/>
      <c r="C256" s="4"/>
      <c r="D256" s="4"/>
      <c r="E256" s="4"/>
      <c r="F256" s="4"/>
      <c r="G256" s="4"/>
      <c r="H256" s="4"/>
      <c r="I256" s="4"/>
      <c r="J256" s="4"/>
      <c r="K256" s="242"/>
      <c r="L256" s="4"/>
      <c r="M256" s="4"/>
      <c r="N256" s="4"/>
      <c r="O256" s="4"/>
      <c r="P256" s="4"/>
      <c r="Q256" s="4"/>
      <c r="R256" s="4"/>
      <c r="S256" s="4"/>
      <c r="T256" s="4"/>
      <c r="U256" s="4"/>
      <c r="V256" s="4"/>
      <c r="W256" s="4"/>
      <c r="X256" s="4"/>
      <c r="Y256" s="4"/>
      <c r="Z256" s="4"/>
      <c r="AA256" s="4"/>
      <c r="AB256" s="4"/>
      <c r="AC256" s="4"/>
      <c r="AD256" s="4"/>
      <c r="AE256" s="4"/>
      <c r="AF256" s="4"/>
      <c r="AG256" s="4"/>
      <c r="AH256" s="4"/>
      <c r="AI256" s="4"/>
      <c r="AJ256" s="4"/>
      <c r="AK256" s="4"/>
      <c r="AL256" s="4"/>
      <c r="AM256" s="4"/>
      <c r="AN256" s="4"/>
      <c r="AO256" s="4"/>
      <c r="AP256" s="4"/>
      <c r="AQ256" s="4"/>
      <c r="AR256" s="4"/>
      <c r="AS256" s="4"/>
      <c r="AT256" s="4"/>
      <c r="AU256" s="4"/>
      <c r="AV256" s="4"/>
      <c r="AW256" s="4"/>
      <c r="AX256" s="4"/>
      <c r="AY256" s="4"/>
      <c r="AZ256" s="4"/>
      <c r="BA256" s="4"/>
      <c r="BB256" s="4"/>
      <c r="BC256" s="4"/>
      <c r="BD256" s="4"/>
      <c r="BE256" s="4"/>
      <c r="BF256" s="4"/>
      <c r="BG256" s="4"/>
      <c r="BH256" s="4"/>
      <c r="BI256" s="4"/>
      <c r="BJ256" s="4"/>
      <c r="BK256" s="4"/>
      <c r="BL256" s="4"/>
      <c r="BM256" s="4"/>
      <c r="BN256" s="4"/>
      <c r="BO256" s="4"/>
      <c r="BP256" s="4"/>
      <c r="BQ256" s="4"/>
      <c r="BR256" s="4"/>
      <c r="BS256" s="4"/>
      <c r="BT256" s="4"/>
      <c r="BU256" s="4"/>
      <c r="BV256" s="4"/>
      <c r="BW256" s="4"/>
      <c r="BX256" s="4"/>
      <c r="BY256" s="4"/>
      <c r="BZ256" s="4"/>
      <c r="CA256" s="4"/>
      <c r="CB256" s="4"/>
      <c r="CC256" s="4"/>
      <c r="CD256" s="4"/>
      <c r="CE256" s="4"/>
      <c r="CF256" s="4"/>
      <c r="CG256" s="4"/>
      <c r="CH256" s="4"/>
      <c r="CI256" s="4"/>
    </row>
    <row r="257" ht="14.25" customHeight="1" spans="1:87" x14ac:dyDescent="0.25">
      <c r="A257" s="4"/>
      <c r="B257" s="4"/>
      <c r="C257" s="4"/>
      <c r="D257" s="4"/>
      <c r="E257" s="4"/>
      <c r="F257" s="4"/>
      <c r="G257" s="4"/>
      <c r="H257" s="4"/>
      <c r="I257" s="4"/>
      <c r="J257" s="4"/>
      <c r="K257" s="242"/>
      <c r="L257" s="4"/>
      <c r="M257" s="4"/>
      <c r="N257" s="4"/>
      <c r="O257" s="4"/>
      <c r="P257" s="4"/>
      <c r="Q257" s="4"/>
      <c r="R257" s="4"/>
      <c r="S257" s="4"/>
      <c r="T257" s="4"/>
      <c r="U257" s="4"/>
      <c r="V257" s="4"/>
      <c r="W257" s="4"/>
      <c r="X257" s="4"/>
      <c r="Y257" s="4"/>
      <c r="Z257" s="4"/>
      <c r="AA257" s="4"/>
      <c r="AB257" s="4"/>
      <c r="AC257" s="4"/>
      <c r="AD257" s="4"/>
      <c r="AE257" s="4"/>
      <c r="AF257" s="4"/>
      <c r="AG257" s="4"/>
      <c r="AH257" s="4"/>
      <c r="AI257" s="4"/>
      <c r="AJ257" s="4"/>
      <c r="AK257" s="4"/>
      <c r="AL257" s="4"/>
      <c r="AM257" s="4"/>
      <c r="AN257" s="4"/>
      <c r="AO257" s="4"/>
      <c r="AP257" s="4"/>
      <c r="AQ257" s="4"/>
      <c r="AR257" s="4"/>
      <c r="AS257" s="4"/>
      <c r="AT257" s="4"/>
      <c r="AU257" s="4"/>
      <c r="AV257" s="4"/>
      <c r="AW257" s="4"/>
      <c r="AX257" s="4"/>
      <c r="AY257" s="4"/>
      <c r="AZ257" s="4"/>
      <c r="BA257" s="4"/>
      <c r="BB257" s="4"/>
      <c r="BC257" s="4"/>
      <c r="BD257" s="4"/>
      <c r="BE257" s="4"/>
      <c r="BF257" s="4"/>
      <c r="BG257" s="4"/>
      <c r="BH257" s="4"/>
      <c r="BI257" s="4"/>
      <c r="BJ257" s="4"/>
      <c r="BK257" s="4"/>
      <c r="BL257" s="4"/>
      <c r="BM257" s="4"/>
      <c r="BN257" s="4"/>
      <c r="BO257" s="4"/>
      <c r="BP257" s="4"/>
      <c r="BQ257" s="4"/>
      <c r="BR257" s="4"/>
      <c r="BS257" s="4"/>
      <c r="BT257" s="4"/>
      <c r="BU257" s="4"/>
      <c r="BV257" s="4"/>
      <c r="BW257" s="4"/>
      <c r="BX257" s="4"/>
      <c r="BY257" s="4"/>
      <c r="BZ257" s="4"/>
      <c r="CA257" s="4"/>
      <c r="CB257" s="4"/>
      <c r="CC257" s="4"/>
      <c r="CD257" s="4"/>
      <c r="CE257" s="4"/>
      <c r="CF257" s="4"/>
      <c r="CG257" s="4"/>
      <c r="CH257" s="4"/>
      <c r="CI257" s="4"/>
    </row>
    <row r="258" ht="14.25" customHeight="1" spans="1:87" x14ac:dyDescent="0.25">
      <c r="A258" s="4"/>
      <c r="B258" s="4"/>
      <c r="C258" s="4"/>
      <c r="D258" s="4"/>
      <c r="E258" s="4"/>
      <c r="F258" s="4"/>
      <c r="G258" s="4"/>
      <c r="H258" s="4"/>
      <c r="I258" s="4"/>
      <c r="J258" s="4"/>
      <c r="K258" s="242"/>
      <c r="L258" s="4"/>
      <c r="M258" s="4"/>
      <c r="N258" s="4"/>
      <c r="O258" s="4"/>
      <c r="P258" s="4"/>
      <c r="Q258" s="4"/>
      <c r="R258" s="4"/>
      <c r="S258" s="4"/>
      <c r="T258" s="4"/>
      <c r="U258" s="4"/>
      <c r="V258" s="4"/>
      <c r="W258" s="4"/>
      <c r="X258" s="4"/>
      <c r="Y258" s="4"/>
      <c r="Z258" s="4"/>
      <c r="AA258" s="4"/>
      <c r="AB258" s="4"/>
      <c r="AC258" s="4"/>
      <c r="AD258" s="4"/>
      <c r="AE258" s="4"/>
      <c r="AF258" s="4"/>
      <c r="AG258" s="4"/>
      <c r="AH258" s="4"/>
      <c r="AI258" s="4"/>
      <c r="AJ258" s="4"/>
      <c r="AK258" s="4"/>
      <c r="AL258" s="4"/>
      <c r="AM258" s="4"/>
      <c r="AN258" s="4"/>
      <c r="AO258" s="4"/>
      <c r="AP258" s="4"/>
      <c r="AQ258" s="4"/>
      <c r="AR258" s="4"/>
      <c r="AS258" s="4"/>
      <c r="AT258" s="4"/>
      <c r="AU258" s="4"/>
      <c r="AV258" s="4"/>
      <c r="AW258" s="4"/>
      <c r="AX258" s="4"/>
      <c r="AY258" s="4"/>
      <c r="AZ258" s="4"/>
      <c r="BA258" s="4"/>
      <c r="BB258" s="4"/>
      <c r="BC258" s="4"/>
      <c r="BD258" s="4"/>
      <c r="BE258" s="4"/>
      <c r="BF258" s="4"/>
      <c r="BG258" s="4"/>
      <c r="BH258" s="4"/>
      <c r="BI258" s="4"/>
      <c r="BJ258" s="4"/>
      <c r="BK258" s="4"/>
      <c r="BL258" s="4"/>
      <c r="BM258" s="4"/>
      <c r="BN258" s="4"/>
      <c r="BO258" s="4"/>
      <c r="BP258" s="4"/>
      <c r="BQ258" s="4"/>
      <c r="BR258" s="4"/>
      <c r="BS258" s="4"/>
      <c r="BT258" s="4"/>
      <c r="BU258" s="4"/>
      <c r="BV258" s="4"/>
      <c r="BW258" s="4"/>
      <c r="BX258" s="4"/>
      <c r="BY258" s="4"/>
      <c r="BZ258" s="4"/>
      <c r="CA258" s="4"/>
      <c r="CB258" s="4"/>
      <c r="CC258" s="4"/>
      <c r="CD258" s="4"/>
      <c r="CE258" s="4"/>
      <c r="CF258" s="4"/>
      <c r="CG258" s="4"/>
      <c r="CH258" s="4"/>
      <c r="CI258" s="4"/>
    </row>
    <row r="259" ht="14.25" customHeight="1" spans="1:87" x14ac:dyDescent="0.25">
      <c r="A259" s="4"/>
      <c r="B259" s="4"/>
      <c r="C259" s="4"/>
      <c r="D259" s="4"/>
      <c r="E259" s="4"/>
      <c r="F259" s="4"/>
      <c r="G259" s="4"/>
      <c r="H259" s="4"/>
      <c r="I259" s="4"/>
      <c r="J259" s="4"/>
      <c r="K259" s="242"/>
      <c r="L259" s="4"/>
      <c r="M259" s="4"/>
      <c r="N259" s="4"/>
      <c r="O259" s="4"/>
      <c r="P259" s="4"/>
      <c r="Q259" s="4"/>
      <c r="R259" s="4"/>
      <c r="S259" s="4"/>
      <c r="T259" s="4"/>
      <c r="U259" s="4"/>
      <c r="V259" s="4"/>
      <c r="W259" s="4"/>
      <c r="X259" s="4"/>
      <c r="Y259" s="4"/>
      <c r="Z259" s="4"/>
      <c r="AA259" s="4"/>
      <c r="AB259" s="4"/>
      <c r="AC259" s="4"/>
      <c r="AD259" s="4"/>
      <c r="AE259" s="4"/>
      <c r="AF259" s="4"/>
      <c r="AG259" s="4"/>
      <c r="AH259" s="4"/>
      <c r="AI259" s="4"/>
      <c r="AJ259" s="4"/>
      <c r="AK259" s="4"/>
      <c r="AL259" s="4"/>
      <c r="AM259" s="4"/>
      <c r="AN259" s="4"/>
      <c r="AO259" s="4"/>
      <c r="AP259" s="4"/>
      <c r="AQ259" s="4"/>
      <c r="AR259" s="4"/>
      <c r="AS259" s="4"/>
      <c r="AT259" s="4"/>
      <c r="AU259" s="4"/>
      <c r="AV259" s="4"/>
      <c r="AW259" s="4"/>
      <c r="AX259" s="4"/>
      <c r="AY259" s="4"/>
      <c r="AZ259" s="4"/>
      <c r="BA259" s="4"/>
      <c r="BB259" s="4"/>
      <c r="BC259" s="4"/>
      <c r="BD259" s="4"/>
      <c r="BE259" s="4"/>
      <c r="BF259" s="4"/>
      <c r="BG259" s="4"/>
      <c r="BH259" s="4"/>
      <c r="BI259" s="4"/>
      <c r="BJ259" s="4"/>
      <c r="BK259" s="4"/>
      <c r="BL259" s="4"/>
      <c r="BM259" s="4"/>
      <c r="BN259" s="4"/>
      <c r="BO259" s="4"/>
      <c r="BP259" s="4"/>
      <c r="BQ259" s="4"/>
      <c r="BR259" s="4"/>
      <c r="BS259" s="4"/>
      <c r="BT259" s="4"/>
      <c r="BU259" s="4"/>
      <c r="BV259" s="4"/>
      <c r="BW259" s="4"/>
      <c r="BX259" s="4"/>
      <c r="BY259" s="4"/>
      <c r="BZ259" s="4"/>
      <c r="CA259" s="4"/>
      <c r="CB259" s="4"/>
      <c r="CC259" s="4"/>
      <c r="CD259" s="4"/>
      <c r="CE259" s="4"/>
      <c r="CF259" s="4"/>
      <c r="CG259" s="4"/>
      <c r="CH259" s="4"/>
      <c r="CI259" s="4"/>
    </row>
    <row r="260" ht="14.25" customHeight="1" spans="1:87" x14ac:dyDescent="0.25">
      <c r="A260" s="4"/>
      <c r="B260" s="4"/>
      <c r="C260" s="4"/>
      <c r="D260" s="4"/>
      <c r="E260" s="4"/>
      <c r="F260" s="4"/>
      <c r="G260" s="4"/>
      <c r="H260" s="4"/>
      <c r="I260" s="4"/>
      <c r="J260" s="4"/>
      <c r="K260" s="242"/>
      <c r="L260" s="4"/>
      <c r="M260" s="4"/>
      <c r="N260" s="4"/>
      <c r="O260" s="4"/>
      <c r="P260" s="4"/>
      <c r="Q260" s="4"/>
      <c r="R260" s="4"/>
      <c r="S260" s="4"/>
      <c r="T260" s="4"/>
      <c r="U260" s="4"/>
      <c r="V260" s="4"/>
      <c r="W260" s="4"/>
      <c r="X260" s="4"/>
      <c r="Y260" s="4"/>
      <c r="Z260" s="4"/>
      <c r="AA260" s="4"/>
      <c r="AB260" s="4"/>
      <c r="AC260" s="4"/>
      <c r="AD260" s="4"/>
      <c r="AE260" s="4"/>
      <c r="AF260" s="4"/>
      <c r="AG260" s="4"/>
      <c r="AH260" s="4"/>
      <c r="AI260" s="4"/>
      <c r="AJ260" s="4"/>
      <c r="AK260" s="4"/>
      <c r="AL260" s="4"/>
      <c r="AM260" s="4"/>
      <c r="AN260" s="4"/>
      <c r="AO260" s="4"/>
      <c r="AP260" s="4"/>
      <c r="AQ260" s="4"/>
      <c r="AR260" s="4"/>
      <c r="AS260" s="4"/>
      <c r="AT260" s="4"/>
      <c r="AU260" s="4"/>
      <c r="AV260" s="4"/>
      <c r="AW260" s="4"/>
      <c r="AX260" s="4"/>
      <c r="AY260" s="4"/>
      <c r="AZ260" s="4"/>
      <c r="BA260" s="4"/>
      <c r="BB260" s="4"/>
      <c r="BC260" s="4"/>
      <c r="BD260" s="4"/>
      <c r="BE260" s="4"/>
      <c r="BF260" s="4"/>
      <c r="BG260" s="4"/>
      <c r="BH260" s="4"/>
      <c r="BI260" s="4"/>
      <c r="BJ260" s="4"/>
      <c r="BK260" s="4"/>
      <c r="BL260" s="4"/>
      <c r="BM260" s="4"/>
      <c r="BN260" s="4"/>
      <c r="BO260" s="4"/>
      <c r="BP260" s="4"/>
      <c r="BQ260" s="4"/>
      <c r="BR260" s="4"/>
      <c r="BS260" s="4"/>
      <c r="BT260" s="4"/>
      <c r="BU260" s="4"/>
      <c r="BV260" s="4"/>
      <c r="BW260" s="4"/>
      <c r="BX260" s="4"/>
      <c r="BY260" s="4"/>
      <c r="BZ260" s="4"/>
      <c r="CA260" s="4"/>
      <c r="CB260" s="4"/>
      <c r="CC260" s="4"/>
      <c r="CD260" s="4"/>
      <c r="CE260" s="4"/>
      <c r="CF260" s="4"/>
      <c r="CG260" s="4"/>
      <c r="CH260" s="4"/>
      <c r="CI260" s="4"/>
    </row>
    <row r="261" ht="14.25" customHeight="1" spans="1:87" x14ac:dyDescent="0.25">
      <c r="A261" s="4"/>
      <c r="B261" s="4"/>
      <c r="C261" s="4"/>
      <c r="D261" s="4"/>
      <c r="E261" s="4"/>
      <c r="F261" s="4"/>
      <c r="G261" s="4"/>
      <c r="H261" s="4"/>
      <c r="I261" s="4"/>
      <c r="J261" s="4"/>
      <c r="K261" s="242"/>
      <c r="L261" s="4"/>
      <c r="M261" s="4"/>
      <c r="N261" s="4"/>
      <c r="O261" s="4"/>
      <c r="P261" s="4"/>
      <c r="Q261" s="4"/>
      <c r="R261" s="4"/>
      <c r="S261" s="4"/>
      <c r="T261" s="4"/>
      <c r="U261" s="4"/>
      <c r="V261" s="4"/>
      <c r="W261" s="4"/>
      <c r="X261" s="4"/>
      <c r="Y261" s="4"/>
      <c r="Z261" s="4"/>
      <c r="AA261" s="4"/>
      <c r="AB261" s="4"/>
      <c r="AC261" s="4"/>
      <c r="AD261" s="4"/>
      <c r="AE261" s="4"/>
      <c r="AF261" s="4"/>
      <c r="AG261" s="4"/>
      <c r="AH261" s="4"/>
      <c r="AI261" s="4"/>
      <c r="AJ261" s="4"/>
      <c r="AK261" s="4"/>
      <c r="AL261" s="4"/>
      <c r="AM261" s="4"/>
      <c r="AN261" s="4"/>
      <c r="AO261" s="4"/>
      <c r="AP261" s="4"/>
      <c r="AQ261" s="4"/>
      <c r="AR261" s="4"/>
      <c r="AS261" s="4"/>
      <c r="AT261" s="4"/>
      <c r="AU261" s="4"/>
      <c r="AV261" s="4"/>
      <c r="AW261" s="4"/>
      <c r="AX261" s="4"/>
      <c r="AY261" s="4"/>
      <c r="AZ261" s="4"/>
      <c r="BA261" s="4"/>
      <c r="BB261" s="4"/>
      <c r="BC261" s="4"/>
      <c r="BD261" s="4"/>
      <c r="BE261" s="4"/>
      <c r="BF261" s="4"/>
      <c r="BG261" s="4"/>
      <c r="BH261" s="4"/>
      <c r="BI261" s="4"/>
      <c r="BJ261" s="4"/>
      <c r="BK261" s="4"/>
      <c r="BL261" s="4"/>
      <c r="BM261" s="4"/>
      <c r="BN261" s="4"/>
      <c r="BO261" s="4"/>
      <c r="BP261" s="4"/>
      <c r="BQ261" s="4"/>
      <c r="BR261" s="4"/>
      <c r="BS261" s="4"/>
      <c r="BT261" s="4"/>
      <c r="BU261" s="4"/>
      <c r="BV261" s="4"/>
      <c r="BW261" s="4"/>
      <c r="BX261" s="4"/>
      <c r="BY261" s="4"/>
      <c r="BZ261" s="4"/>
      <c r="CA261" s="4"/>
      <c r="CB261" s="4"/>
      <c r="CC261" s="4"/>
      <c r="CD261" s="4"/>
      <c r="CE261" s="4"/>
      <c r="CF261" s="4"/>
      <c r="CG261" s="4"/>
      <c r="CH261" s="4"/>
      <c r="CI261" s="4"/>
    </row>
    <row r="262" ht="14.25" customHeight="1" spans="1:87" x14ac:dyDescent="0.25">
      <c r="A262" s="4"/>
      <c r="B262" s="4"/>
      <c r="C262" s="4"/>
      <c r="D262" s="4"/>
      <c r="E262" s="4"/>
      <c r="F262" s="4"/>
      <c r="G262" s="4"/>
      <c r="H262" s="4"/>
      <c r="I262" s="4"/>
      <c r="J262" s="4"/>
      <c r="K262" s="242"/>
      <c r="L262" s="4"/>
      <c r="M262" s="4"/>
      <c r="N262" s="4"/>
      <c r="O262" s="4"/>
      <c r="P262" s="4"/>
      <c r="Q262" s="4"/>
      <c r="R262" s="4"/>
      <c r="S262" s="4"/>
      <c r="T262" s="4"/>
      <c r="U262" s="4"/>
      <c r="V262" s="4"/>
      <c r="W262" s="4"/>
      <c r="X262" s="4"/>
      <c r="Y262" s="4"/>
      <c r="Z262" s="4"/>
      <c r="AA262" s="4"/>
      <c r="AB262" s="4"/>
      <c r="AC262" s="4"/>
      <c r="AD262" s="4"/>
      <c r="AE262" s="4"/>
      <c r="AF262" s="4"/>
      <c r="AG262" s="4"/>
      <c r="AH262" s="4"/>
      <c r="AI262" s="4"/>
      <c r="AJ262" s="4"/>
      <c r="AK262" s="4"/>
      <c r="AL262" s="4"/>
      <c r="AM262" s="4"/>
      <c r="AN262" s="4"/>
      <c r="AO262" s="4"/>
      <c r="AP262" s="4"/>
      <c r="AQ262" s="4"/>
      <c r="AR262" s="4"/>
      <c r="AS262" s="4"/>
      <c r="AT262" s="4"/>
      <c r="AU262" s="4"/>
      <c r="AV262" s="4"/>
      <c r="AW262" s="4"/>
      <c r="AX262" s="4"/>
      <c r="AY262" s="4"/>
      <c r="AZ262" s="4"/>
      <c r="BA262" s="4"/>
      <c r="BB262" s="4"/>
      <c r="BC262" s="4"/>
      <c r="BD262" s="4"/>
      <c r="BE262" s="4"/>
      <c r="BF262" s="4"/>
      <c r="BG262" s="4"/>
      <c r="BH262" s="4"/>
      <c r="BI262" s="4"/>
      <c r="BJ262" s="4"/>
      <c r="BK262" s="4"/>
      <c r="BL262" s="4"/>
      <c r="BM262" s="4"/>
      <c r="BN262" s="4"/>
      <c r="BO262" s="4"/>
      <c r="BP262" s="4"/>
      <c r="BQ262" s="4"/>
      <c r="BR262" s="4"/>
      <c r="BS262" s="4"/>
      <c r="BT262" s="4"/>
      <c r="BU262" s="4"/>
      <c r="BV262" s="4"/>
      <c r="BW262" s="4"/>
      <c r="BX262" s="4"/>
      <c r="BY262" s="4"/>
      <c r="BZ262" s="4"/>
      <c r="CA262" s="4"/>
      <c r="CB262" s="4"/>
      <c r="CC262" s="4"/>
      <c r="CD262" s="4"/>
      <c r="CE262" s="4"/>
      <c r="CF262" s="4"/>
      <c r="CG262" s="4"/>
      <c r="CH262" s="4"/>
      <c r="CI262" s="4"/>
    </row>
    <row r="263" ht="14.25" customHeight="1" spans="1:87" x14ac:dyDescent="0.25">
      <c r="A263" s="4"/>
      <c r="B263" s="4"/>
      <c r="C263" s="4"/>
      <c r="D263" s="4"/>
      <c r="E263" s="4"/>
      <c r="F263" s="4"/>
      <c r="G263" s="4"/>
      <c r="H263" s="4"/>
      <c r="I263" s="4"/>
      <c r="J263" s="4"/>
      <c r="K263" s="242"/>
      <c r="L263" s="4"/>
      <c r="M263" s="4"/>
      <c r="N263" s="4"/>
      <c r="O263" s="4"/>
      <c r="P263" s="4"/>
      <c r="Q263" s="4"/>
      <c r="R263" s="4"/>
      <c r="S263" s="4"/>
      <c r="T263" s="4"/>
      <c r="U263" s="4"/>
      <c r="V263" s="4"/>
      <c r="W263" s="4"/>
      <c r="X263" s="4"/>
      <c r="Y263" s="4"/>
      <c r="Z263" s="4"/>
      <c r="AA263" s="4"/>
      <c r="AB263" s="4"/>
      <c r="AC263" s="4"/>
      <c r="AD263" s="4"/>
      <c r="AE263" s="4"/>
      <c r="AF263" s="4"/>
      <c r="AG263" s="4"/>
      <c r="AH263" s="4"/>
      <c r="AI263" s="4"/>
      <c r="AJ263" s="4"/>
      <c r="AK263" s="4"/>
      <c r="AL263" s="4"/>
      <c r="AM263" s="4"/>
      <c r="AN263" s="4"/>
      <c r="AO263" s="4"/>
      <c r="AP263" s="4"/>
      <c r="AQ263" s="4"/>
      <c r="AR263" s="4"/>
      <c r="AS263" s="4"/>
      <c r="AT263" s="4"/>
      <c r="AU263" s="4"/>
      <c r="AV263" s="4"/>
      <c r="AW263" s="4"/>
      <c r="AX263" s="4"/>
      <c r="AY263" s="4"/>
      <c r="AZ263" s="4"/>
      <c r="BA263" s="4"/>
      <c r="BB263" s="4"/>
      <c r="BC263" s="4"/>
      <c r="BD263" s="4"/>
      <c r="BE263" s="4"/>
      <c r="BF263" s="4"/>
      <c r="BG263" s="4"/>
      <c r="BH263" s="4"/>
      <c r="BI263" s="4"/>
      <c r="BJ263" s="4"/>
      <c r="BK263" s="4"/>
      <c r="BL263" s="4"/>
      <c r="BM263" s="4"/>
      <c r="BN263" s="4"/>
      <c r="BO263" s="4"/>
      <c r="BP263" s="4"/>
      <c r="BQ263" s="4"/>
      <c r="BR263" s="4"/>
      <c r="BS263" s="4"/>
      <c r="BT263" s="4"/>
      <c r="BU263" s="4"/>
      <c r="BV263" s="4"/>
      <c r="BW263" s="4"/>
      <c r="BX263" s="4"/>
      <c r="BY263" s="4"/>
      <c r="BZ263" s="4"/>
      <c r="CA263" s="4"/>
      <c r="CB263" s="4"/>
      <c r="CC263" s="4"/>
      <c r="CD263" s="4"/>
      <c r="CE263" s="4"/>
      <c r="CF263" s="4"/>
      <c r="CG263" s="4"/>
      <c r="CH263" s="4"/>
      <c r="CI263" s="4"/>
    </row>
    <row r="264" ht="14.25" customHeight="1" spans="1:87" x14ac:dyDescent="0.25">
      <c r="A264" s="4"/>
      <c r="B264" s="4"/>
      <c r="C264" s="4"/>
      <c r="D264" s="4"/>
      <c r="E264" s="4"/>
      <c r="F264" s="4"/>
      <c r="G264" s="4"/>
      <c r="H264" s="4"/>
      <c r="I264" s="4"/>
      <c r="J264" s="4"/>
      <c r="K264" s="242"/>
      <c r="L264" s="4"/>
      <c r="M264" s="4"/>
      <c r="N264" s="4"/>
      <c r="O264" s="4"/>
      <c r="P264" s="4"/>
      <c r="Q264" s="4"/>
      <c r="R264" s="4"/>
      <c r="S264" s="4"/>
      <c r="T264" s="4"/>
      <c r="U264" s="4"/>
      <c r="V264" s="4"/>
      <c r="W264" s="4"/>
      <c r="X264" s="4"/>
      <c r="Y264" s="4"/>
      <c r="Z264" s="4"/>
      <c r="AA264" s="4"/>
      <c r="AB264" s="4"/>
      <c r="AC264" s="4"/>
      <c r="AD264" s="4"/>
      <c r="AE264" s="4"/>
      <c r="AF264" s="4"/>
      <c r="AG264" s="4"/>
      <c r="AH264" s="4"/>
      <c r="AI264" s="4"/>
      <c r="AJ264" s="4"/>
      <c r="AK264" s="4"/>
      <c r="AL264" s="4"/>
      <c r="AM264" s="4"/>
      <c r="AN264" s="4"/>
      <c r="AO264" s="4"/>
      <c r="AP264" s="4"/>
      <c r="AQ264" s="4"/>
      <c r="AR264" s="4"/>
      <c r="AS264" s="4"/>
      <c r="AT264" s="4"/>
      <c r="AU264" s="4"/>
      <c r="AV264" s="4"/>
      <c r="AW264" s="4"/>
      <c r="AX264" s="4"/>
      <c r="AY264" s="4"/>
      <c r="AZ264" s="4"/>
      <c r="BA264" s="4"/>
      <c r="BB264" s="4"/>
      <c r="BC264" s="4"/>
      <c r="BD264" s="4"/>
      <c r="BE264" s="4"/>
      <c r="BF264" s="4"/>
      <c r="BG264" s="4"/>
      <c r="BH264" s="4"/>
      <c r="BI264" s="4"/>
      <c r="BJ264" s="4"/>
      <c r="BK264" s="4"/>
      <c r="BL264" s="4"/>
      <c r="BM264" s="4"/>
      <c r="BN264" s="4"/>
      <c r="BO264" s="4"/>
      <c r="BP264" s="4"/>
      <c r="BQ264" s="4"/>
      <c r="BR264" s="4"/>
      <c r="BS264" s="4"/>
      <c r="BT264" s="4"/>
      <c r="BU264" s="4"/>
      <c r="BV264" s="4"/>
      <c r="BW264" s="4"/>
      <c r="BX264" s="4"/>
      <c r="BY264" s="4"/>
      <c r="BZ264" s="4"/>
      <c r="CA264" s="4"/>
      <c r="CB264" s="4"/>
      <c r="CC264" s="4"/>
      <c r="CD264" s="4"/>
      <c r="CE264" s="4"/>
      <c r="CF264" s="4"/>
      <c r="CG264" s="4"/>
      <c r="CH264" s="4"/>
      <c r="CI264" s="4"/>
    </row>
    <row r="265" ht="14.25" customHeight="1" spans="1:87" x14ac:dyDescent="0.25">
      <c r="A265" s="4"/>
      <c r="B265" s="4"/>
      <c r="C265" s="4"/>
      <c r="D265" s="4"/>
      <c r="E265" s="4"/>
      <c r="F265" s="4"/>
      <c r="G265" s="4"/>
      <c r="H265" s="4"/>
      <c r="I265" s="4"/>
      <c r="J265" s="4"/>
      <c r="K265" s="242"/>
      <c r="L265" s="4"/>
      <c r="M265" s="4"/>
      <c r="N265" s="4"/>
      <c r="O265" s="4"/>
      <c r="P265" s="4"/>
      <c r="Q265" s="4"/>
      <c r="R265" s="4"/>
      <c r="S265" s="4"/>
      <c r="T265" s="4"/>
      <c r="U265" s="4"/>
      <c r="V265" s="4"/>
      <c r="W265" s="4"/>
      <c r="X265" s="4"/>
      <c r="Y265" s="4"/>
      <c r="Z265" s="4"/>
      <c r="AA265" s="4"/>
      <c r="AB265" s="4"/>
      <c r="AC265" s="4"/>
      <c r="AD265" s="4"/>
      <c r="AE265" s="4"/>
      <c r="AF265" s="4"/>
      <c r="AG265" s="4"/>
      <c r="AH265" s="4"/>
      <c r="AI265" s="4"/>
      <c r="AJ265" s="4"/>
      <c r="AK265" s="4"/>
      <c r="AL265" s="4"/>
      <c r="AM265" s="4"/>
      <c r="AN265" s="4"/>
      <c r="AO265" s="4"/>
      <c r="AP265" s="4"/>
      <c r="AQ265" s="4"/>
      <c r="AR265" s="4"/>
      <c r="AS265" s="4"/>
      <c r="AT265" s="4"/>
      <c r="AU265" s="4"/>
      <c r="AV265" s="4"/>
      <c r="AW265" s="4"/>
      <c r="AX265" s="4"/>
      <c r="AY265" s="4"/>
      <c r="AZ265" s="4"/>
      <c r="BA265" s="4"/>
      <c r="BB265" s="4"/>
      <c r="BC265" s="4"/>
      <c r="BD265" s="4"/>
      <c r="BE265" s="4"/>
      <c r="BF265" s="4"/>
      <c r="BG265" s="4"/>
      <c r="BH265" s="4"/>
      <c r="BI265" s="4"/>
      <c r="BJ265" s="4"/>
      <c r="BK265" s="4"/>
      <c r="BL265" s="4"/>
      <c r="BM265" s="4"/>
      <c r="BN265" s="4"/>
      <c r="BO265" s="4"/>
      <c r="BP265" s="4"/>
      <c r="BQ265" s="4"/>
      <c r="BR265" s="4"/>
      <c r="BS265" s="4"/>
      <c r="BT265" s="4"/>
      <c r="BU265" s="4"/>
      <c r="BV265" s="4"/>
      <c r="BW265" s="4"/>
      <c r="BX265" s="4"/>
      <c r="BY265" s="4"/>
      <c r="BZ265" s="4"/>
      <c r="CA265" s="4"/>
      <c r="CB265" s="4"/>
      <c r="CC265" s="4"/>
      <c r="CD265" s="4"/>
      <c r="CE265" s="4"/>
      <c r="CF265" s="4"/>
      <c r="CG265" s="4"/>
      <c r="CH265" s="4"/>
      <c r="CI265" s="4"/>
    </row>
    <row r="266" ht="14.25" customHeight="1" spans="1:87" x14ac:dyDescent="0.25">
      <c r="A266" s="4"/>
      <c r="B266" s="4"/>
      <c r="C266" s="4"/>
      <c r="D266" s="4"/>
      <c r="E266" s="4"/>
      <c r="F266" s="4"/>
      <c r="G266" s="4"/>
      <c r="H266" s="4"/>
      <c r="I266" s="4"/>
      <c r="J266" s="4"/>
      <c r="K266" s="242"/>
      <c r="L266" s="4"/>
      <c r="M266" s="4"/>
      <c r="N266" s="4"/>
      <c r="O266" s="4"/>
      <c r="P266" s="4"/>
      <c r="Q266" s="4"/>
      <c r="R266" s="4"/>
      <c r="S266" s="4"/>
      <c r="T266" s="4"/>
      <c r="U266" s="4"/>
      <c r="V266" s="4"/>
      <c r="W266" s="4"/>
      <c r="X266" s="4"/>
      <c r="Y266" s="4"/>
      <c r="Z266" s="4"/>
      <c r="AA266" s="4"/>
      <c r="AB266" s="4"/>
      <c r="AC266" s="4"/>
      <c r="AD266" s="4"/>
      <c r="AE266" s="4"/>
      <c r="AF266" s="4"/>
      <c r="AG266" s="4"/>
      <c r="AH266" s="4"/>
      <c r="AI266" s="4"/>
      <c r="AJ266" s="4"/>
      <c r="AK266" s="4"/>
      <c r="AL266" s="4"/>
      <c r="AM266" s="4"/>
      <c r="AN266" s="4"/>
      <c r="AO266" s="4"/>
      <c r="AP266" s="4"/>
      <c r="AQ266" s="4"/>
      <c r="AR266" s="4"/>
      <c r="AS266" s="4"/>
      <c r="AT266" s="4"/>
      <c r="AU266" s="4"/>
      <c r="AV266" s="4"/>
      <c r="AW266" s="4"/>
      <c r="AX266" s="4"/>
      <c r="AY266" s="4"/>
      <c r="AZ266" s="4"/>
      <c r="BA266" s="4"/>
      <c r="BB266" s="4"/>
      <c r="BC266" s="4"/>
      <c r="BD266" s="4"/>
      <c r="BE266" s="4"/>
      <c r="BF266" s="4"/>
      <c r="BG266" s="4"/>
      <c r="BH266" s="4"/>
      <c r="BI266" s="4"/>
      <c r="BJ266" s="4"/>
      <c r="BK266" s="4"/>
      <c r="BL266" s="4"/>
      <c r="BM266" s="4"/>
      <c r="BN266" s="4"/>
      <c r="BO266" s="4"/>
      <c r="BP266" s="4"/>
      <c r="BQ266" s="4"/>
      <c r="BR266" s="4"/>
      <c r="BS266" s="4"/>
      <c r="BT266" s="4"/>
      <c r="BU266" s="4"/>
      <c r="BV266" s="4"/>
      <c r="BW266" s="4"/>
      <c r="BX266" s="4"/>
      <c r="BY266" s="4"/>
      <c r="BZ266" s="4"/>
      <c r="CA266" s="4"/>
      <c r="CB266" s="4"/>
      <c r="CC266" s="4"/>
      <c r="CD266" s="4"/>
      <c r="CE266" s="4"/>
      <c r="CF266" s="4"/>
      <c r="CG266" s="4"/>
      <c r="CH266" s="4"/>
      <c r="CI266" s="4"/>
    </row>
    <row r="267" ht="14.25" customHeight="1" spans="1:87" x14ac:dyDescent="0.25">
      <c r="A267" s="4"/>
      <c r="B267" s="4"/>
      <c r="C267" s="4"/>
      <c r="D267" s="4"/>
      <c r="E267" s="4"/>
      <c r="F267" s="4"/>
      <c r="G267" s="4"/>
      <c r="H267" s="4"/>
      <c r="I267" s="4"/>
      <c r="J267" s="4"/>
      <c r="K267" s="242"/>
      <c r="L267" s="4"/>
      <c r="M267" s="4"/>
      <c r="N267" s="4"/>
      <c r="O267" s="4"/>
      <c r="P267" s="4"/>
      <c r="Q267" s="4"/>
      <c r="R267" s="4"/>
      <c r="S267" s="4"/>
      <c r="T267" s="4"/>
      <c r="U267" s="4"/>
      <c r="V267" s="4"/>
      <c r="W267" s="4"/>
      <c r="X267" s="4"/>
      <c r="Y267" s="4"/>
      <c r="Z267" s="4"/>
      <c r="AA267" s="4"/>
      <c r="AB267" s="4"/>
      <c r="AC267" s="4"/>
      <c r="AD267" s="4"/>
      <c r="AE267" s="4"/>
      <c r="AF267" s="4"/>
      <c r="AG267" s="4"/>
      <c r="AH267" s="4"/>
      <c r="AI267" s="4"/>
      <c r="AJ267" s="4"/>
      <c r="AK267" s="4"/>
      <c r="AL267" s="4"/>
      <c r="AM267" s="4"/>
      <c r="AN267" s="4"/>
      <c r="AO267" s="4"/>
      <c r="AP267" s="4"/>
      <c r="AQ267" s="4"/>
      <c r="AR267" s="4"/>
      <c r="AS267" s="4"/>
      <c r="AT267" s="4"/>
      <c r="AU267" s="4"/>
      <c r="AV267" s="4"/>
      <c r="AW267" s="4"/>
      <c r="AX267" s="4"/>
      <c r="AY267" s="4"/>
      <c r="AZ267" s="4"/>
      <c r="BA267" s="4"/>
      <c r="BB267" s="4"/>
      <c r="BC267" s="4"/>
      <c r="BD267" s="4"/>
      <c r="BE267" s="4"/>
      <c r="BF267" s="4"/>
      <c r="BG267" s="4"/>
      <c r="BH267" s="4"/>
      <c r="BI267" s="4"/>
      <c r="BJ267" s="4"/>
      <c r="BK267" s="4"/>
      <c r="BL267" s="4"/>
      <c r="BM267" s="4"/>
      <c r="BN267" s="4"/>
      <c r="BO267" s="4"/>
      <c r="BP267" s="4"/>
      <c r="BQ267" s="4"/>
      <c r="BR267" s="4"/>
      <c r="BS267" s="4"/>
      <c r="BT267" s="4"/>
      <c r="BU267" s="4"/>
      <c r="BV267" s="4"/>
      <c r="BW267" s="4"/>
      <c r="BX267" s="4"/>
      <c r="BY267" s="4"/>
      <c r="BZ267" s="4"/>
      <c r="CA267" s="4"/>
      <c r="CB267" s="4"/>
      <c r="CC267" s="4"/>
      <c r="CD267" s="4"/>
      <c r="CE267" s="4"/>
      <c r="CF267" s="4"/>
      <c r="CG267" s="4"/>
      <c r="CH267" s="4"/>
      <c r="CI267" s="4"/>
    </row>
    <row r="268" ht="14.25" customHeight="1" spans="1:87" x14ac:dyDescent="0.25">
      <c r="A268" s="4"/>
      <c r="B268" s="4"/>
      <c r="C268" s="4"/>
      <c r="D268" s="4"/>
      <c r="E268" s="4"/>
      <c r="F268" s="4"/>
      <c r="G268" s="4"/>
      <c r="H268" s="4"/>
      <c r="I268" s="4"/>
      <c r="J268" s="4"/>
      <c r="K268" s="242"/>
      <c r="L268" s="4"/>
      <c r="M268" s="4"/>
      <c r="N268" s="4"/>
      <c r="O268" s="4"/>
      <c r="P268" s="4"/>
      <c r="Q268" s="4"/>
      <c r="R268" s="4"/>
      <c r="S268" s="4"/>
      <c r="T268" s="4"/>
      <c r="U268" s="4"/>
      <c r="V268" s="4"/>
      <c r="W268" s="4"/>
      <c r="X268" s="4"/>
      <c r="Y268" s="4"/>
      <c r="Z268" s="4"/>
      <c r="AA268" s="4"/>
      <c r="AB268" s="4"/>
      <c r="AC268" s="4"/>
      <c r="AD268" s="4"/>
      <c r="AE268" s="4"/>
      <c r="AF268" s="4"/>
      <c r="AG268" s="4"/>
      <c r="AH268" s="4"/>
      <c r="AI268" s="4"/>
      <c r="AJ268" s="4"/>
      <c r="AK268" s="4"/>
      <c r="AL268" s="4"/>
      <c r="AM268" s="4"/>
      <c r="AN268" s="4"/>
      <c r="AO268" s="4"/>
      <c r="AP268" s="4"/>
      <c r="AQ268" s="4"/>
      <c r="AR268" s="4"/>
      <c r="AS268" s="4"/>
      <c r="AT268" s="4"/>
      <c r="AU268" s="4"/>
      <c r="AV268" s="4"/>
      <c r="AW268" s="4"/>
      <c r="AX268" s="4"/>
      <c r="AY268" s="4"/>
      <c r="AZ268" s="4"/>
      <c r="BA268" s="4"/>
      <c r="BB268" s="4"/>
      <c r="BC268" s="4"/>
      <c r="BD268" s="4"/>
      <c r="BE268" s="4"/>
      <c r="BF268" s="4"/>
      <c r="BG268" s="4"/>
      <c r="BH268" s="4"/>
      <c r="BI268" s="4"/>
      <c r="BJ268" s="4"/>
      <c r="BK268" s="4"/>
      <c r="BL268" s="4"/>
      <c r="BM268" s="4"/>
      <c r="BN268" s="4"/>
      <c r="BO268" s="4"/>
      <c r="BP268" s="4"/>
      <c r="BQ268" s="4"/>
      <c r="BR268" s="4"/>
      <c r="BS268" s="4"/>
      <c r="BT268" s="4"/>
      <c r="BU268" s="4"/>
      <c r="BV268" s="4"/>
      <c r="BW268" s="4"/>
      <c r="BX268" s="4"/>
      <c r="BY268" s="4"/>
      <c r="BZ268" s="4"/>
      <c r="CA268" s="4"/>
      <c r="CB268" s="4"/>
      <c r="CC268" s="4"/>
      <c r="CD268" s="4"/>
      <c r="CE268" s="4"/>
      <c r="CF268" s="4"/>
      <c r="CG268" s="4"/>
      <c r="CH268" s="4"/>
      <c r="CI268" s="4"/>
    </row>
    <row r="269" ht="14.25" customHeight="1" spans="1:87" x14ac:dyDescent="0.25">
      <c r="A269" s="4"/>
      <c r="B269" s="4"/>
      <c r="C269" s="4"/>
      <c r="D269" s="4"/>
      <c r="E269" s="4"/>
      <c r="F269" s="4"/>
      <c r="G269" s="4"/>
      <c r="H269" s="4"/>
      <c r="I269" s="4"/>
      <c r="J269" s="4"/>
      <c r="K269" s="242"/>
      <c r="L269" s="4"/>
      <c r="M269" s="4"/>
      <c r="N269" s="4"/>
      <c r="O269" s="4"/>
      <c r="P269" s="4"/>
      <c r="Q269" s="4"/>
      <c r="R269" s="4"/>
      <c r="S269" s="4"/>
      <c r="T269" s="4"/>
      <c r="U269" s="4"/>
      <c r="V269" s="4"/>
      <c r="W269" s="4"/>
      <c r="X269" s="4"/>
      <c r="Y269" s="4"/>
      <c r="Z269" s="4"/>
      <c r="AA269" s="4"/>
      <c r="AB269" s="4"/>
      <c r="AC269" s="4"/>
      <c r="AD269" s="4"/>
      <c r="AE269" s="4"/>
      <c r="AF269" s="4"/>
      <c r="AG269" s="4"/>
      <c r="AH269" s="4"/>
      <c r="AI269" s="4"/>
      <c r="AJ269" s="4"/>
      <c r="AK269" s="4"/>
      <c r="AL269" s="4"/>
      <c r="AM269" s="4"/>
      <c r="AN269" s="4"/>
      <c r="AO269" s="4"/>
      <c r="AP269" s="4"/>
      <c r="AQ269" s="4"/>
      <c r="AR269" s="4"/>
      <c r="AS269" s="4"/>
      <c r="AT269" s="4"/>
      <c r="AU269" s="4"/>
      <c r="AV269" s="4"/>
      <c r="AW269" s="4"/>
      <c r="AX269" s="4"/>
      <c r="AY269" s="4"/>
      <c r="AZ269" s="4"/>
      <c r="BA269" s="4"/>
      <c r="BB269" s="4"/>
      <c r="BC269" s="4"/>
      <c r="BD269" s="4"/>
      <c r="BE269" s="4"/>
      <c r="BF269" s="4"/>
      <c r="BG269" s="4"/>
      <c r="BH269" s="4"/>
      <c r="BI269" s="4"/>
      <c r="BJ269" s="4"/>
      <c r="BK269" s="4"/>
      <c r="BL269" s="4"/>
      <c r="BM269" s="4"/>
      <c r="BN269" s="4"/>
      <c r="BO269" s="4"/>
      <c r="BP269" s="4"/>
      <c r="BQ269" s="4"/>
      <c r="BR269" s="4"/>
      <c r="BS269" s="4"/>
      <c r="BT269" s="4"/>
      <c r="BU269" s="4"/>
      <c r="BV269" s="4"/>
      <c r="BW269" s="4"/>
      <c r="BX269" s="4"/>
      <c r="BY269" s="4"/>
      <c r="BZ269" s="4"/>
      <c r="CA269" s="4"/>
      <c r="CB269" s="4"/>
      <c r="CC269" s="4"/>
      <c r="CD269" s="4"/>
      <c r="CE269" s="4"/>
      <c r="CF269" s="4"/>
      <c r="CG269" s="4"/>
      <c r="CH269" s="4"/>
      <c r="CI269" s="4"/>
    </row>
    <row r="270" ht="14.25" customHeight="1" spans="1:87" x14ac:dyDescent="0.25">
      <c r="A270" s="4"/>
      <c r="B270" s="4"/>
      <c r="C270" s="4"/>
      <c r="D270" s="4"/>
      <c r="E270" s="4"/>
      <c r="F270" s="4"/>
      <c r="G270" s="4"/>
      <c r="H270" s="4"/>
      <c r="I270" s="4"/>
      <c r="J270" s="4"/>
      <c r="K270" s="242"/>
      <c r="L270" s="4"/>
      <c r="M270" s="4"/>
      <c r="N270" s="4"/>
      <c r="O270" s="4"/>
      <c r="P270" s="4"/>
      <c r="Q270" s="4"/>
      <c r="R270" s="4"/>
      <c r="S270" s="4"/>
      <c r="T270" s="4"/>
      <c r="U270" s="4"/>
      <c r="V270" s="4"/>
      <c r="W270" s="4"/>
      <c r="X270" s="4"/>
      <c r="Y270" s="4"/>
      <c r="Z270" s="4"/>
      <c r="AA270" s="4"/>
      <c r="AB270" s="4"/>
      <c r="AC270" s="4"/>
      <c r="AD270" s="4"/>
      <c r="AE270" s="4"/>
      <c r="AF270" s="4"/>
      <c r="AG270" s="4"/>
      <c r="AH270" s="4"/>
      <c r="AI270" s="4"/>
      <c r="AJ270" s="4"/>
      <c r="AK270" s="4"/>
      <c r="AL270" s="4"/>
      <c r="AM270" s="4"/>
      <c r="AN270" s="4"/>
      <c r="AO270" s="4"/>
      <c r="AP270" s="4"/>
      <c r="AQ270" s="4"/>
      <c r="AR270" s="4"/>
      <c r="AS270" s="4"/>
      <c r="AT270" s="4"/>
      <c r="AU270" s="4"/>
      <c r="AV270" s="4"/>
      <c r="AW270" s="4"/>
      <c r="AX270" s="4"/>
      <c r="AY270" s="4"/>
      <c r="AZ270" s="4"/>
      <c r="BA270" s="4"/>
      <c r="BB270" s="4"/>
      <c r="BC270" s="4"/>
      <c r="BD270" s="4"/>
      <c r="BE270" s="4"/>
      <c r="BF270" s="4"/>
      <c r="BG270" s="4"/>
      <c r="BH270" s="4"/>
      <c r="BI270" s="4"/>
      <c r="BJ270" s="4"/>
      <c r="BK270" s="4"/>
      <c r="BL270" s="4"/>
      <c r="BM270" s="4"/>
      <c r="BN270" s="4"/>
      <c r="BO270" s="4"/>
      <c r="BP270" s="4"/>
      <c r="BQ270" s="4"/>
      <c r="BR270" s="4"/>
      <c r="BS270" s="4"/>
      <c r="BT270" s="4"/>
      <c r="BU270" s="4"/>
      <c r="BV270" s="4"/>
      <c r="BW270" s="4"/>
      <c r="BX270" s="4"/>
      <c r="BY270" s="4"/>
      <c r="BZ270" s="4"/>
      <c r="CA270" s="4"/>
      <c r="CB270" s="4"/>
      <c r="CC270" s="4"/>
      <c r="CD270" s="4"/>
      <c r="CE270" s="4"/>
      <c r="CF270" s="4"/>
      <c r="CG270" s="4"/>
      <c r="CH270" s="4"/>
      <c r="CI270" s="4"/>
    </row>
    <row r="271" ht="14.25" customHeight="1" spans="1:87" x14ac:dyDescent="0.25">
      <c r="A271" s="4"/>
      <c r="B271" s="4"/>
      <c r="C271" s="4"/>
      <c r="D271" s="4"/>
      <c r="E271" s="4"/>
      <c r="F271" s="4"/>
      <c r="G271" s="4"/>
      <c r="H271" s="4"/>
      <c r="I271" s="4"/>
      <c r="J271" s="4"/>
      <c r="K271" s="242"/>
      <c r="L271" s="4"/>
      <c r="M271" s="4"/>
      <c r="N271" s="4"/>
      <c r="O271" s="4"/>
      <c r="P271" s="4"/>
      <c r="Q271" s="4"/>
      <c r="R271" s="4"/>
      <c r="S271" s="4"/>
      <c r="T271" s="4"/>
      <c r="U271" s="4"/>
      <c r="V271" s="4"/>
      <c r="W271" s="4"/>
      <c r="X271" s="4"/>
      <c r="Y271" s="4"/>
      <c r="Z271" s="4"/>
      <c r="AA271" s="4"/>
      <c r="AB271" s="4"/>
      <c r="AC271" s="4"/>
      <c r="AD271" s="4"/>
      <c r="AE271" s="4"/>
      <c r="AF271" s="4"/>
      <c r="AG271" s="4"/>
      <c r="AH271" s="4"/>
      <c r="AI271" s="4"/>
      <c r="AJ271" s="4"/>
      <c r="AK271" s="4"/>
      <c r="AL271" s="4"/>
      <c r="AM271" s="4"/>
      <c r="AN271" s="4"/>
      <c r="AO271" s="4"/>
      <c r="AP271" s="4"/>
      <c r="AQ271" s="4"/>
      <c r="AR271" s="4"/>
      <c r="AS271" s="4"/>
      <c r="AT271" s="4"/>
      <c r="AU271" s="4"/>
      <c r="AV271" s="4"/>
      <c r="AW271" s="4"/>
      <c r="AX271" s="4"/>
      <c r="AY271" s="4"/>
      <c r="AZ271" s="4"/>
      <c r="BA271" s="4"/>
      <c r="BB271" s="4"/>
      <c r="BC271" s="4"/>
      <c r="BD271" s="4"/>
      <c r="BE271" s="4"/>
      <c r="BF271" s="4"/>
      <c r="BG271" s="4"/>
      <c r="BH271" s="4"/>
      <c r="BI271" s="4"/>
      <c r="BJ271" s="4"/>
      <c r="BK271" s="4"/>
      <c r="BL271" s="4"/>
      <c r="BM271" s="4"/>
      <c r="BN271" s="4"/>
      <c r="BO271" s="4"/>
      <c r="BP271" s="4"/>
      <c r="BQ271" s="4"/>
      <c r="BR271" s="4"/>
      <c r="BS271" s="4"/>
      <c r="BT271" s="4"/>
      <c r="BU271" s="4"/>
      <c r="BV271" s="4"/>
      <c r="BW271" s="4"/>
      <c r="BX271" s="4"/>
      <c r="BY271" s="4"/>
      <c r="BZ271" s="4"/>
      <c r="CA271" s="4"/>
      <c r="CB271" s="4"/>
      <c r="CC271" s="4"/>
      <c r="CD271" s="4"/>
      <c r="CE271" s="4"/>
      <c r="CF271" s="4"/>
      <c r="CG271" s="4"/>
      <c r="CH271" s="4"/>
      <c r="CI271" s="4"/>
    </row>
    <row r="272" ht="14.25" customHeight="1" spans="1:87" x14ac:dyDescent="0.25">
      <c r="A272" s="4"/>
      <c r="B272" s="4"/>
      <c r="C272" s="4"/>
      <c r="D272" s="4"/>
      <c r="E272" s="4"/>
      <c r="F272" s="4"/>
      <c r="G272" s="4"/>
      <c r="H272" s="4"/>
      <c r="I272" s="4"/>
      <c r="J272" s="4"/>
      <c r="K272" s="242"/>
      <c r="L272" s="4"/>
      <c r="M272" s="4"/>
      <c r="N272" s="4"/>
      <c r="O272" s="4"/>
      <c r="P272" s="4"/>
      <c r="Q272" s="4"/>
      <c r="R272" s="4"/>
      <c r="S272" s="4"/>
      <c r="T272" s="4"/>
      <c r="U272" s="4"/>
      <c r="V272" s="4"/>
      <c r="W272" s="4"/>
      <c r="X272" s="4"/>
      <c r="Y272" s="4"/>
      <c r="Z272" s="4"/>
      <c r="AA272" s="4"/>
      <c r="AB272" s="4"/>
      <c r="AC272" s="4"/>
      <c r="AD272" s="4"/>
      <c r="AE272" s="4"/>
      <c r="AF272" s="4"/>
      <c r="AG272" s="4"/>
      <c r="AH272" s="4"/>
      <c r="AI272" s="4"/>
      <c r="AJ272" s="4"/>
      <c r="AK272" s="4"/>
      <c r="AL272" s="4"/>
      <c r="AM272" s="4"/>
      <c r="AN272" s="4"/>
      <c r="AO272" s="4"/>
      <c r="AP272" s="4"/>
      <c r="AQ272" s="4"/>
      <c r="AR272" s="4"/>
      <c r="AS272" s="4"/>
      <c r="AT272" s="4"/>
      <c r="AU272" s="4"/>
      <c r="AV272" s="4"/>
      <c r="AW272" s="4"/>
      <c r="AX272" s="4"/>
      <c r="AY272" s="4"/>
      <c r="AZ272" s="4"/>
      <c r="BA272" s="4"/>
      <c r="BB272" s="4"/>
      <c r="BC272" s="4"/>
      <c r="BD272" s="4"/>
      <c r="BE272" s="4"/>
      <c r="BF272" s="4"/>
      <c r="BG272" s="4"/>
      <c r="BH272" s="4"/>
      <c r="BI272" s="4"/>
      <c r="BJ272" s="4"/>
      <c r="BK272" s="4"/>
      <c r="BL272" s="4"/>
      <c r="BM272" s="4"/>
      <c r="BN272" s="4"/>
      <c r="BO272" s="4"/>
      <c r="BP272" s="4"/>
      <c r="BQ272" s="4"/>
      <c r="BR272" s="4"/>
      <c r="BS272" s="4"/>
      <c r="BT272" s="4"/>
      <c r="BU272" s="4"/>
      <c r="BV272" s="4"/>
      <c r="BW272" s="4"/>
      <c r="BX272" s="4"/>
      <c r="BY272" s="4"/>
      <c r="BZ272" s="4"/>
      <c r="CA272" s="4"/>
      <c r="CB272" s="4"/>
      <c r="CC272" s="4"/>
      <c r="CD272" s="4"/>
      <c r="CE272" s="4"/>
      <c r="CF272" s="4"/>
      <c r="CG272" s="4"/>
      <c r="CH272" s="4"/>
      <c r="CI272" s="4"/>
    </row>
    <row r="273" ht="14.25" customHeight="1" spans="1:87" x14ac:dyDescent="0.25">
      <c r="A273" s="4"/>
      <c r="B273" s="4"/>
      <c r="C273" s="4"/>
      <c r="D273" s="4"/>
      <c r="E273" s="4"/>
      <c r="F273" s="4"/>
      <c r="G273" s="4"/>
      <c r="H273" s="4"/>
      <c r="I273" s="4"/>
      <c r="J273" s="4"/>
      <c r="K273" s="242"/>
      <c r="L273" s="4"/>
      <c r="M273" s="4"/>
      <c r="N273" s="4"/>
      <c r="O273" s="4"/>
      <c r="P273" s="4"/>
      <c r="Q273" s="4"/>
      <c r="R273" s="4"/>
      <c r="S273" s="4"/>
      <c r="T273" s="4"/>
      <c r="U273" s="4"/>
      <c r="V273" s="4"/>
      <c r="W273" s="4"/>
      <c r="X273" s="4"/>
      <c r="Y273" s="4"/>
      <c r="Z273" s="4"/>
      <c r="AA273" s="4"/>
      <c r="AB273" s="4"/>
      <c r="AC273" s="4"/>
      <c r="AD273" s="4"/>
      <c r="AE273" s="4"/>
      <c r="AF273" s="4"/>
      <c r="AG273" s="4"/>
      <c r="AH273" s="4"/>
      <c r="AI273" s="4"/>
      <c r="AJ273" s="4"/>
      <c r="AK273" s="4"/>
      <c r="AL273" s="4"/>
      <c r="AM273" s="4"/>
      <c r="AN273" s="4"/>
      <c r="AO273" s="4"/>
      <c r="AP273" s="4"/>
      <c r="AQ273" s="4"/>
      <c r="AR273" s="4"/>
      <c r="AS273" s="4"/>
      <c r="AT273" s="4"/>
      <c r="AU273" s="4"/>
      <c r="AV273" s="4"/>
      <c r="AW273" s="4"/>
      <c r="AX273" s="4"/>
      <c r="AY273" s="4"/>
      <c r="AZ273" s="4"/>
      <c r="BA273" s="4"/>
      <c r="BB273" s="4"/>
      <c r="BC273" s="4"/>
      <c r="BD273" s="4"/>
      <c r="BE273" s="4"/>
      <c r="BF273" s="4"/>
      <c r="BG273" s="4"/>
      <c r="BH273" s="4"/>
      <c r="BI273" s="4"/>
      <c r="BJ273" s="4"/>
      <c r="BK273" s="4"/>
      <c r="BL273" s="4"/>
      <c r="BM273" s="4"/>
      <c r="BN273" s="4"/>
      <c r="BO273" s="4"/>
      <c r="BP273" s="4"/>
      <c r="BQ273" s="4"/>
      <c r="BR273" s="4"/>
      <c r="BS273" s="4"/>
      <c r="BT273" s="4"/>
      <c r="BU273" s="4"/>
      <c r="BV273" s="4"/>
      <c r="BW273" s="4"/>
      <c r="BX273" s="4"/>
      <c r="BY273" s="4"/>
      <c r="BZ273" s="4"/>
      <c r="CA273" s="4"/>
      <c r="CB273" s="4"/>
      <c r="CC273" s="4"/>
      <c r="CD273" s="4"/>
      <c r="CE273" s="4"/>
      <c r="CF273" s="4"/>
      <c r="CG273" s="4"/>
      <c r="CH273" s="4"/>
      <c r="CI273" s="4"/>
    </row>
    <row r="274" ht="14.25" customHeight="1" spans="1:87" x14ac:dyDescent="0.25">
      <c r="A274" s="4"/>
      <c r="B274" s="4"/>
      <c r="C274" s="4"/>
      <c r="D274" s="4"/>
      <c r="E274" s="4"/>
      <c r="F274" s="4"/>
      <c r="G274" s="4"/>
      <c r="H274" s="4"/>
      <c r="I274" s="4"/>
      <c r="J274" s="4"/>
      <c r="K274" s="242"/>
      <c r="L274" s="4"/>
      <c r="M274" s="4"/>
      <c r="N274" s="4"/>
      <c r="O274" s="4"/>
      <c r="P274" s="4"/>
      <c r="Q274" s="4"/>
      <c r="R274" s="4"/>
      <c r="S274" s="4"/>
      <c r="T274" s="4"/>
      <c r="U274" s="4"/>
      <c r="V274" s="4"/>
      <c r="W274" s="4"/>
      <c r="X274" s="4"/>
      <c r="Y274" s="4"/>
      <c r="Z274" s="4"/>
      <c r="AA274" s="4"/>
      <c r="AB274" s="4"/>
      <c r="AC274" s="4"/>
      <c r="AD274" s="4"/>
      <c r="AE274" s="4"/>
      <c r="AF274" s="4"/>
      <c r="AG274" s="4"/>
      <c r="AH274" s="4"/>
      <c r="AI274" s="4"/>
      <c r="AJ274" s="4"/>
      <c r="AK274" s="4"/>
      <c r="AL274" s="4"/>
      <c r="AM274" s="4"/>
      <c r="AN274" s="4"/>
      <c r="AO274" s="4"/>
      <c r="AP274" s="4"/>
      <c r="AQ274" s="4"/>
      <c r="AR274" s="4"/>
      <c r="AS274" s="4"/>
      <c r="AT274" s="4"/>
      <c r="AU274" s="4"/>
      <c r="AV274" s="4"/>
      <c r="AW274" s="4"/>
      <c r="AX274" s="4"/>
      <c r="AY274" s="4"/>
      <c r="AZ274" s="4"/>
      <c r="BA274" s="4"/>
      <c r="BB274" s="4"/>
      <c r="BC274" s="4"/>
      <c r="BD274" s="4"/>
      <c r="BE274" s="4"/>
      <c r="BF274" s="4"/>
      <c r="BG274" s="4"/>
      <c r="BH274" s="4"/>
      <c r="BI274" s="4"/>
      <c r="BJ274" s="4"/>
      <c r="BK274" s="4"/>
      <c r="BL274" s="4"/>
      <c r="BM274" s="4"/>
      <c r="BN274" s="4"/>
      <c r="BO274" s="4"/>
      <c r="BP274" s="4"/>
      <c r="BQ274" s="4"/>
      <c r="BR274" s="4"/>
      <c r="BS274" s="4"/>
      <c r="BT274" s="4"/>
      <c r="BU274" s="4"/>
      <c r="BV274" s="4"/>
      <c r="BW274" s="4"/>
      <c r="BX274" s="4"/>
      <c r="BY274" s="4"/>
      <c r="BZ274" s="4"/>
      <c r="CA274" s="4"/>
      <c r="CB274" s="4"/>
      <c r="CC274" s="4"/>
      <c r="CD274" s="4"/>
      <c r="CE274" s="4"/>
      <c r="CF274" s="4"/>
      <c r="CG274" s="4"/>
      <c r="CH274" s="4"/>
      <c r="CI274" s="4"/>
    </row>
    <row r="275" ht="14.25" customHeight="1" spans="1:87" x14ac:dyDescent="0.25">
      <c r="A275" s="4"/>
      <c r="B275" s="4"/>
      <c r="C275" s="4"/>
      <c r="D275" s="4"/>
      <c r="E275" s="4"/>
      <c r="F275" s="4"/>
      <c r="G275" s="4"/>
      <c r="H275" s="4"/>
      <c r="I275" s="4"/>
      <c r="J275" s="4"/>
      <c r="K275" s="242"/>
      <c r="L275" s="4"/>
      <c r="M275" s="4"/>
      <c r="N275" s="4"/>
      <c r="O275" s="4"/>
      <c r="P275" s="4"/>
      <c r="Q275" s="4"/>
      <c r="R275" s="4"/>
      <c r="S275" s="4"/>
      <c r="T275" s="4"/>
      <c r="U275" s="4"/>
      <c r="V275" s="4"/>
      <c r="W275" s="4"/>
      <c r="X275" s="4"/>
      <c r="Y275" s="4"/>
      <c r="Z275" s="4"/>
      <c r="AA275" s="4"/>
      <c r="AB275" s="4"/>
      <c r="AC275" s="4"/>
      <c r="AD275" s="4"/>
      <c r="AE275" s="4"/>
      <c r="AF275" s="4"/>
      <c r="AG275" s="4"/>
      <c r="AH275" s="4"/>
      <c r="AI275" s="4"/>
      <c r="AJ275" s="4"/>
      <c r="AK275" s="4"/>
      <c r="AL275" s="4"/>
      <c r="AM275" s="4"/>
      <c r="AN275" s="4"/>
      <c r="AO275" s="4"/>
      <c r="AP275" s="4"/>
      <c r="AQ275" s="4"/>
      <c r="AR275" s="4"/>
      <c r="AS275" s="4"/>
      <c r="AT275" s="4"/>
      <c r="AU275" s="4"/>
      <c r="AV275" s="4"/>
      <c r="AW275" s="4"/>
      <c r="AX275" s="4"/>
      <c r="AY275" s="4"/>
      <c r="AZ275" s="4"/>
      <c r="BA275" s="4"/>
      <c r="BB275" s="4"/>
      <c r="BC275" s="4"/>
      <c r="BD275" s="4"/>
      <c r="BE275" s="4"/>
      <c r="BF275" s="4"/>
      <c r="BG275" s="4"/>
      <c r="BH275" s="4"/>
      <c r="BI275" s="4"/>
      <c r="BJ275" s="4"/>
      <c r="BK275" s="4"/>
      <c r="BL275" s="4"/>
      <c r="BM275" s="4"/>
      <c r="BN275" s="4"/>
      <c r="BO275" s="4"/>
      <c r="BP275" s="4"/>
      <c r="BQ275" s="4"/>
      <c r="BR275" s="4"/>
      <c r="BS275" s="4"/>
      <c r="BT275" s="4"/>
      <c r="BU275" s="4"/>
      <c r="BV275" s="4"/>
      <c r="BW275" s="4"/>
      <c r="BX275" s="4"/>
      <c r="BY275" s="4"/>
      <c r="BZ275" s="4"/>
      <c r="CA275" s="4"/>
      <c r="CB275" s="4"/>
      <c r="CC275" s="4"/>
      <c r="CD275" s="4"/>
      <c r="CE275" s="4"/>
      <c r="CF275" s="4"/>
      <c r="CG275" s="4"/>
      <c r="CH275" s="4"/>
      <c r="CI275" s="4"/>
    </row>
    <row r="276" ht="14.25" customHeight="1" spans="1:87" x14ac:dyDescent="0.25">
      <c r="A276" s="4"/>
      <c r="B276" s="4"/>
      <c r="C276" s="4"/>
      <c r="D276" s="4"/>
      <c r="E276" s="4"/>
      <c r="F276" s="4"/>
      <c r="G276" s="4"/>
      <c r="H276" s="4"/>
      <c r="I276" s="4"/>
      <c r="J276" s="4"/>
      <c r="K276" s="242"/>
      <c r="L276" s="4"/>
      <c r="M276" s="4"/>
      <c r="N276" s="4"/>
      <c r="O276" s="4"/>
      <c r="P276" s="4"/>
      <c r="Q276" s="4"/>
      <c r="R276" s="4"/>
      <c r="S276" s="4"/>
      <c r="T276" s="4"/>
      <c r="U276" s="4"/>
      <c r="V276" s="4"/>
      <c r="W276" s="4"/>
      <c r="X276" s="4"/>
      <c r="Y276" s="4"/>
      <c r="Z276" s="4"/>
      <c r="AA276" s="4"/>
      <c r="AB276" s="4"/>
      <c r="AC276" s="4"/>
      <c r="AD276" s="4"/>
      <c r="AE276" s="4"/>
      <c r="AF276" s="4"/>
      <c r="AG276" s="4"/>
      <c r="AH276" s="4"/>
      <c r="AI276" s="4"/>
      <c r="AJ276" s="4"/>
      <c r="AK276" s="4"/>
      <c r="AL276" s="4"/>
      <c r="AM276" s="4"/>
      <c r="AN276" s="4"/>
      <c r="AO276" s="4"/>
      <c r="AP276" s="4"/>
      <c r="AQ276" s="4"/>
      <c r="AR276" s="4"/>
      <c r="AS276" s="4"/>
      <c r="AT276" s="4"/>
      <c r="AU276" s="4"/>
      <c r="AV276" s="4"/>
      <c r="AW276" s="4"/>
      <c r="AX276" s="4"/>
      <c r="AY276" s="4"/>
      <c r="AZ276" s="4"/>
      <c r="BA276" s="4"/>
      <c r="BB276" s="4"/>
      <c r="BC276" s="4"/>
      <c r="BD276" s="4"/>
      <c r="BE276" s="4"/>
      <c r="BF276" s="4"/>
      <c r="BG276" s="4"/>
      <c r="BH276" s="4"/>
      <c r="BI276" s="4"/>
      <c r="BJ276" s="4"/>
      <c r="BK276" s="4"/>
      <c r="BL276" s="4"/>
      <c r="BM276" s="4"/>
      <c r="BN276" s="4"/>
      <c r="BO276" s="4"/>
      <c r="BP276" s="4"/>
      <c r="BQ276" s="4"/>
      <c r="BR276" s="4"/>
      <c r="BS276" s="4"/>
      <c r="BT276" s="4"/>
      <c r="BU276" s="4"/>
      <c r="BV276" s="4"/>
      <c r="BW276" s="4"/>
      <c r="BX276" s="4"/>
      <c r="BY276" s="4"/>
      <c r="BZ276" s="4"/>
      <c r="CA276" s="4"/>
      <c r="CB276" s="4"/>
      <c r="CC276" s="4"/>
      <c r="CD276" s="4"/>
      <c r="CE276" s="4"/>
      <c r="CF276" s="4"/>
      <c r="CG276" s="4"/>
      <c r="CH276" s="4"/>
      <c r="CI276" s="4"/>
    </row>
    <row r="277" ht="14.25" customHeight="1" spans="1:87" x14ac:dyDescent="0.25">
      <c r="A277" s="4"/>
      <c r="B277" s="4"/>
      <c r="C277" s="4"/>
      <c r="D277" s="4"/>
      <c r="E277" s="4"/>
      <c r="F277" s="4"/>
      <c r="G277" s="4"/>
      <c r="H277" s="4"/>
      <c r="I277" s="4"/>
      <c r="J277" s="4"/>
      <c r="K277" s="242"/>
      <c r="L277" s="4"/>
      <c r="M277" s="4"/>
      <c r="N277" s="4"/>
      <c r="O277" s="4"/>
      <c r="P277" s="4"/>
      <c r="Q277" s="4"/>
      <c r="R277" s="4"/>
      <c r="S277" s="4"/>
      <c r="T277" s="4"/>
      <c r="U277" s="4"/>
      <c r="V277" s="4"/>
      <c r="W277" s="4"/>
      <c r="X277" s="4"/>
      <c r="Y277" s="4"/>
      <c r="Z277" s="4"/>
      <c r="AA277" s="4"/>
      <c r="AB277" s="4"/>
      <c r="AC277" s="4"/>
      <c r="AD277" s="4"/>
      <c r="AE277" s="4"/>
      <c r="AF277" s="4"/>
      <c r="AG277" s="4"/>
      <c r="AH277" s="4"/>
      <c r="AI277" s="4"/>
      <c r="AJ277" s="4"/>
      <c r="AK277" s="4"/>
      <c r="AL277" s="4"/>
      <c r="AM277" s="4"/>
      <c r="AN277" s="4"/>
      <c r="AO277" s="4"/>
      <c r="AP277" s="4"/>
      <c r="AQ277" s="4"/>
      <c r="AR277" s="4"/>
      <c r="AS277" s="4"/>
      <c r="AT277" s="4"/>
      <c r="AU277" s="4"/>
      <c r="AV277" s="4"/>
      <c r="AW277" s="4"/>
      <c r="AX277" s="4"/>
      <c r="AY277" s="4"/>
      <c r="AZ277" s="4"/>
      <c r="BA277" s="4"/>
      <c r="BB277" s="4"/>
      <c r="BC277" s="4"/>
      <c r="BD277" s="4"/>
      <c r="BE277" s="4"/>
      <c r="BF277" s="4"/>
      <c r="BG277" s="4"/>
      <c r="BH277" s="4"/>
      <c r="BI277" s="4"/>
      <c r="BJ277" s="4"/>
      <c r="BK277" s="4"/>
      <c r="BL277" s="4"/>
      <c r="BM277" s="4"/>
      <c r="BN277" s="4"/>
      <c r="BO277" s="4"/>
      <c r="BP277" s="4"/>
      <c r="BQ277" s="4"/>
      <c r="BR277" s="4"/>
      <c r="BS277" s="4"/>
      <c r="BT277" s="4"/>
      <c r="BU277" s="4"/>
      <c r="BV277" s="4"/>
      <c r="BW277" s="4"/>
      <c r="BX277" s="4"/>
      <c r="BY277" s="4"/>
      <c r="BZ277" s="4"/>
      <c r="CA277" s="4"/>
      <c r="CB277" s="4"/>
      <c r="CC277" s="4"/>
      <c r="CD277" s="4"/>
      <c r="CE277" s="4"/>
      <c r="CF277" s="4"/>
      <c r="CG277" s="4"/>
      <c r="CH277" s="4"/>
      <c r="CI277" s="4"/>
    </row>
    <row r="278" ht="14.25" customHeight="1" spans="1:87" x14ac:dyDescent="0.25">
      <c r="A278" s="4"/>
      <c r="B278" s="4"/>
      <c r="C278" s="4"/>
      <c r="D278" s="4"/>
      <c r="E278" s="4"/>
      <c r="F278" s="4"/>
      <c r="G278" s="4"/>
      <c r="H278" s="4"/>
      <c r="I278" s="4"/>
      <c r="J278" s="4"/>
      <c r="K278" s="242"/>
      <c r="L278" s="4"/>
      <c r="M278" s="4"/>
      <c r="N278" s="4"/>
      <c r="O278" s="4"/>
      <c r="P278" s="4"/>
      <c r="Q278" s="4"/>
      <c r="R278" s="4"/>
      <c r="S278" s="4"/>
      <c r="T278" s="4"/>
      <c r="U278" s="4"/>
      <c r="V278" s="4"/>
      <c r="W278" s="4"/>
      <c r="X278" s="4"/>
      <c r="Y278" s="4"/>
      <c r="Z278" s="4"/>
      <c r="AA278" s="4"/>
      <c r="AB278" s="4"/>
      <c r="AC278" s="4"/>
      <c r="AD278" s="4"/>
      <c r="AE278" s="4"/>
      <c r="AF278" s="4"/>
      <c r="AG278" s="4"/>
      <c r="AH278" s="4"/>
      <c r="AI278" s="4"/>
      <c r="AJ278" s="4"/>
      <c r="AK278" s="4"/>
      <c r="AL278" s="4"/>
      <c r="AM278" s="4"/>
      <c r="AN278" s="4"/>
      <c r="AO278" s="4"/>
      <c r="AP278" s="4"/>
      <c r="AQ278" s="4"/>
      <c r="AR278" s="4"/>
      <c r="AS278" s="4"/>
      <c r="AT278" s="4"/>
      <c r="AU278" s="4"/>
      <c r="AV278" s="4"/>
      <c r="AW278" s="4"/>
      <c r="AX278" s="4"/>
      <c r="AY278" s="4"/>
      <c r="AZ278" s="4"/>
      <c r="BA278" s="4"/>
      <c r="BB278" s="4"/>
      <c r="BC278" s="4"/>
      <c r="BD278" s="4"/>
      <c r="BE278" s="4"/>
      <c r="BF278" s="4"/>
      <c r="BG278" s="4"/>
      <c r="BH278" s="4"/>
      <c r="BI278" s="4"/>
      <c r="BJ278" s="4"/>
      <c r="BK278" s="4"/>
      <c r="BL278" s="4"/>
      <c r="BM278" s="4"/>
      <c r="BN278" s="4"/>
      <c r="BO278" s="4"/>
      <c r="BP278" s="4"/>
      <c r="BQ278" s="4"/>
      <c r="BR278" s="4"/>
      <c r="BS278" s="4"/>
      <c r="BT278" s="4"/>
      <c r="BU278" s="4"/>
      <c r="BV278" s="4"/>
      <c r="BW278" s="4"/>
      <c r="BX278" s="4"/>
      <c r="BY278" s="4"/>
      <c r="BZ278" s="4"/>
      <c r="CA278" s="4"/>
      <c r="CB278" s="4"/>
      <c r="CC278" s="4"/>
      <c r="CD278" s="4"/>
      <c r="CE278" s="4"/>
      <c r="CF278" s="4"/>
      <c r="CG278" s="4"/>
      <c r="CH278" s="4"/>
      <c r="CI278" s="4"/>
    </row>
    <row r="279" ht="14.25" customHeight="1" spans="1:87" x14ac:dyDescent="0.25">
      <c r="A279" s="4"/>
      <c r="B279" s="4"/>
      <c r="C279" s="4"/>
      <c r="D279" s="4"/>
      <c r="E279" s="4"/>
      <c r="F279" s="4"/>
      <c r="G279" s="4"/>
      <c r="H279" s="4"/>
      <c r="I279" s="4"/>
      <c r="J279" s="4"/>
      <c r="K279" s="242"/>
      <c r="L279" s="4"/>
      <c r="M279" s="4"/>
      <c r="N279" s="4"/>
      <c r="O279" s="4"/>
      <c r="P279" s="4"/>
      <c r="Q279" s="4"/>
      <c r="R279" s="4"/>
      <c r="S279" s="4"/>
      <c r="T279" s="4"/>
      <c r="U279" s="4"/>
      <c r="V279" s="4"/>
      <c r="W279" s="4"/>
      <c r="X279" s="4"/>
      <c r="Y279" s="4"/>
      <c r="Z279" s="4"/>
      <c r="AA279" s="4"/>
      <c r="AB279" s="4"/>
      <c r="AC279" s="4"/>
      <c r="AD279" s="4"/>
      <c r="AE279" s="4"/>
      <c r="AF279" s="4"/>
      <c r="AG279" s="4"/>
      <c r="AH279" s="4"/>
      <c r="AI279" s="4"/>
      <c r="AJ279" s="4"/>
      <c r="AK279" s="4"/>
      <c r="AL279" s="4"/>
      <c r="AM279" s="4"/>
      <c r="AN279" s="4"/>
      <c r="AO279" s="4"/>
      <c r="AP279" s="4"/>
      <c r="AQ279" s="4"/>
      <c r="AR279" s="4"/>
      <c r="AS279" s="4"/>
      <c r="AT279" s="4"/>
      <c r="AU279" s="4"/>
      <c r="AV279" s="4"/>
      <c r="AW279" s="4"/>
      <c r="AX279" s="4"/>
      <c r="AY279" s="4"/>
      <c r="AZ279" s="4"/>
      <c r="BA279" s="4"/>
      <c r="BB279" s="4"/>
      <c r="BC279" s="4"/>
      <c r="BD279" s="4"/>
      <c r="BE279" s="4"/>
      <c r="BF279" s="4"/>
      <c r="BG279" s="4"/>
      <c r="BH279" s="4"/>
      <c r="BI279" s="4"/>
      <c r="BJ279" s="4"/>
      <c r="BK279" s="4"/>
      <c r="BL279" s="4"/>
      <c r="BM279" s="4"/>
      <c r="BN279" s="4"/>
      <c r="BO279" s="4"/>
      <c r="BP279" s="4"/>
      <c r="BQ279" s="4"/>
      <c r="BR279" s="4"/>
      <c r="BS279" s="4"/>
      <c r="BT279" s="4"/>
      <c r="BU279" s="4"/>
      <c r="BV279" s="4"/>
      <c r="BW279" s="4"/>
      <c r="BX279" s="4"/>
      <c r="BY279" s="4"/>
      <c r="BZ279" s="4"/>
      <c r="CA279" s="4"/>
      <c r="CB279" s="4"/>
      <c r="CC279" s="4"/>
      <c r="CD279" s="4"/>
      <c r="CE279" s="4"/>
      <c r="CF279" s="4"/>
      <c r="CG279" s="4"/>
      <c r="CH279" s="4"/>
      <c r="CI279" s="4"/>
    </row>
    <row r="280" ht="14.25" customHeight="1" spans="1:87" x14ac:dyDescent="0.25">
      <c r="A280" s="4"/>
      <c r="B280" s="4"/>
      <c r="C280" s="4"/>
      <c r="D280" s="4"/>
      <c r="E280" s="4"/>
      <c r="F280" s="4"/>
      <c r="G280" s="4"/>
      <c r="H280" s="4"/>
      <c r="I280" s="4"/>
      <c r="J280" s="4"/>
      <c r="K280" s="242"/>
      <c r="L280" s="4"/>
      <c r="M280" s="4"/>
      <c r="N280" s="4"/>
      <c r="O280" s="4"/>
      <c r="P280" s="4"/>
      <c r="Q280" s="4"/>
      <c r="R280" s="4"/>
      <c r="S280" s="4"/>
      <c r="T280" s="4"/>
      <c r="U280" s="4"/>
      <c r="V280" s="4"/>
      <c r="W280" s="4"/>
      <c r="X280" s="4"/>
      <c r="Y280" s="4"/>
      <c r="Z280" s="4"/>
      <c r="AA280" s="4"/>
      <c r="AB280" s="4"/>
      <c r="AC280" s="4"/>
      <c r="AD280" s="4"/>
      <c r="AE280" s="4"/>
      <c r="AF280" s="4"/>
      <c r="AG280" s="4"/>
      <c r="AH280" s="4"/>
      <c r="AI280" s="4"/>
      <c r="AJ280" s="4"/>
      <c r="AK280" s="4"/>
      <c r="AL280" s="4"/>
      <c r="AM280" s="4"/>
      <c r="AN280" s="4"/>
      <c r="AO280" s="4"/>
      <c r="AP280" s="4"/>
      <c r="AQ280" s="4"/>
      <c r="AR280" s="4"/>
      <c r="AS280" s="4"/>
      <c r="AT280" s="4"/>
      <c r="AU280" s="4"/>
      <c r="AV280" s="4"/>
      <c r="AW280" s="4"/>
      <c r="AX280" s="4"/>
      <c r="AY280" s="4"/>
      <c r="AZ280" s="4"/>
      <c r="BA280" s="4"/>
      <c r="BB280" s="4"/>
      <c r="BC280" s="4"/>
      <c r="BD280" s="4"/>
      <c r="BE280" s="4"/>
      <c r="BF280" s="4"/>
      <c r="BG280" s="4"/>
      <c r="BH280" s="4"/>
      <c r="BI280" s="4"/>
      <c r="BJ280" s="4"/>
      <c r="BK280" s="4"/>
      <c r="BL280" s="4"/>
      <c r="BM280" s="4"/>
      <c r="BN280" s="4"/>
      <c r="BO280" s="4"/>
      <c r="BP280" s="4"/>
      <c r="BQ280" s="4"/>
      <c r="BR280" s="4"/>
      <c r="BS280" s="4"/>
      <c r="BT280" s="4"/>
      <c r="BU280" s="4"/>
      <c r="BV280" s="4"/>
      <c r="BW280" s="4"/>
      <c r="BX280" s="4"/>
      <c r="BY280" s="4"/>
      <c r="BZ280" s="4"/>
      <c r="CA280" s="4"/>
      <c r="CB280" s="4"/>
      <c r="CC280" s="4"/>
      <c r="CD280" s="4"/>
      <c r="CE280" s="4"/>
      <c r="CF280" s="4"/>
      <c r="CG280" s="4"/>
      <c r="CH280" s="4"/>
      <c r="CI280" s="4"/>
    </row>
    <row r="281" ht="14.25" customHeight="1" spans="1:87" x14ac:dyDescent="0.25">
      <c r="A281" s="4"/>
      <c r="B281" s="4"/>
      <c r="C281" s="4"/>
      <c r="D281" s="4"/>
      <c r="E281" s="4"/>
      <c r="F281" s="4"/>
      <c r="G281" s="4"/>
      <c r="H281" s="4"/>
      <c r="I281" s="4"/>
      <c r="J281" s="4"/>
      <c r="K281" s="242"/>
      <c r="L281" s="4"/>
      <c r="M281" s="4"/>
      <c r="N281" s="4"/>
      <c r="O281" s="4"/>
      <c r="P281" s="4"/>
      <c r="Q281" s="4"/>
      <c r="R281" s="4"/>
      <c r="S281" s="4"/>
      <c r="T281" s="4"/>
      <c r="U281" s="4"/>
      <c r="V281" s="4"/>
      <c r="W281" s="4"/>
      <c r="X281" s="4"/>
      <c r="Y281" s="4"/>
      <c r="Z281" s="4"/>
      <c r="AA281" s="4"/>
      <c r="AB281" s="4"/>
      <c r="AC281" s="4"/>
      <c r="AD281" s="4"/>
      <c r="AE281" s="4"/>
      <c r="AF281" s="4"/>
      <c r="AG281" s="4"/>
      <c r="AH281" s="4"/>
      <c r="AI281" s="4"/>
      <c r="AJ281" s="4"/>
      <c r="AK281" s="4"/>
      <c r="AL281" s="4"/>
      <c r="AM281" s="4"/>
      <c r="AN281" s="4"/>
      <c r="AO281" s="4"/>
      <c r="AP281" s="4"/>
      <c r="AQ281" s="4"/>
      <c r="AR281" s="4"/>
      <c r="AS281" s="4"/>
      <c r="AT281" s="4"/>
      <c r="AU281" s="4"/>
      <c r="AV281" s="4"/>
      <c r="AW281" s="4"/>
      <c r="AX281" s="4"/>
      <c r="AY281" s="4"/>
      <c r="AZ281" s="4"/>
      <c r="BA281" s="4"/>
      <c r="BB281" s="4"/>
      <c r="BC281" s="4"/>
      <c r="BD281" s="4"/>
      <c r="BE281" s="4"/>
      <c r="BF281" s="4"/>
      <c r="BG281" s="4"/>
      <c r="BH281" s="4"/>
      <c r="BI281" s="4"/>
      <c r="BJ281" s="4"/>
      <c r="BK281" s="4"/>
      <c r="BL281" s="4"/>
      <c r="BM281" s="4"/>
      <c r="BN281" s="4"/>
      <c r="BO281" s="4"/>
      <c r="BP281" s="4"/>
      <c r="BQ281" s="4"/>
      <c r="BR281" s="4"/>
      <c r="BS281" s="4"/>
      <c r="BT281" s="4"/>
      <c r="BU281" s="4"/>
      <c r="BV281" s="4"/>
      <c r="BW281" s="4"/>
      <c r="BX281" s="4"/>
      <c r="BY281" s="4"/>
      <c r="BZ281" s="4"/>
      <c r="CA281" s="4"/>
      <c r="CB281" s="4"/>
      <c r="CC281" s="4"/>
      <c r="CD281" s="4"/>
      <c r="CE281" s="4"/>
      <c r="CF281" s="4"/>
      <c r="CG281" s="4"/>
      <c r="CH281" s="4"/>
      <c r="CI281" s="4"/>
    </row>
    <row r="282" ht="14.25" customHeight="1" spans="1:87" x14ac:dyDescent="0.25">
      <c r="A282" s="4"/>
      <c r="B282" s="4"/>
      <c r="C282" s="4"/>
      <c r="D282" s="4"/>
      <c r="E282" s="4"/>
      <c r="F282" s="4"/>
      <c r="G282" s="4"/>
      <c r="H282" s="4"/>
      <c r="I282" s="4"/>
      <c r="J282" s="4"/>
      <c r="K282" s="242"/>
      <c r="L282" s="4"/>
      <c r="M282" s="4"/>
      <c r="N282" s="4"/>
      <c r="O282" s="4"/>
      <c r="P282" s="4"/>
      <c r="Q282" s="4"/>
      <c r="R282" s="4"/>
      <c r="S282" s="4"/>
      <c r="T282" s="4"/>
      <c r="U282" s="4"/>
      <c r="V282" s="4"/>
      <c r="W282" s="4"/>
      <c r="X282" s="4"/>
      <c r="Y282" s="4"/>
      <c r="Z282" s="4"/>
      <c r="AA282" s="4"/>
      <c r="AB282" s="4"/>
      <c r="AC282" s="4"/>
      <c r="AD282" s="4"/>
      <c r="AE282" s="4"/>
      <c r="AF282" s="4"/>
      <c r="AG282" s="4"/>
      <c r="AH282" s="4"/>
      <c r="AI282" s="4"/>
      <c r="AJ282" s="4"/>
      <c r="AK282" s="4"/>
      <c r="AL282" s="4"/>
      <c r="AM282" s="4"/>
      <c r="AN282" s="4"/>
      <c r="AO282" s="4"/>
      <c r="AP282" s="4"/>
      <c r="AQ282" s="4"/>
      <c r="AR282" s="4"/>
      <c r="AS282" s="4"/>
      <c r="AT282" s="4"/>
      <c r="AU282" s="4"/>
      <c r="AV282" s="4"/>
      <c r="AW282" s="4"/>
      <c r="AX282" s="4"/>
      <c r="AY282" s="4"/>
      <c r="AZ282" s="4"/>
      <c r="BA282" s="4"/>
      <c r="BB282" s="4"/>
      <c r="BC282" s="4"/>
      <c r="BD282" s="4"/>
      <c r="BE282" s="4"/>
      <c r="BF282" s="4"/>
      <c r="BG282" s="4"/>
      <c r="BH282" s="4"/>
      <c r="BI282" s="4"/>
      <c r="BJ282" s="4"/>
      <c r="BK282" s="4"/>
      <c r="BL282" s="4"/>
      <c r="BM282" s="4"/>
      <c r="BN282" s="4"/>
      <c r="BO282" s="4"/>
      <c r="BP282" s="4"/>
      <c r="BQ282" s="4"/>
      <c r="BR282" s="4"/>
      <c r="BS282" s="4"/>
      <c r="BT282" s="4"/>
      <c r="BU282" s="4"/>
      <c r="BV282" s="4"/>
      <c r="BW282" s="4"/>
      <c r="BX282" s="4"/>
      <c r="BY282" s="4"/>
      <c r="BZ282" s="4"/>
      <c r="CA282" s="4"/>
      <c r="CB282" s="4"/>
      <c r="CC282" s="4"/>
      <c r="CD282" s="4"/>
      <c r="CE282" s="4"/>
      <c r="CF282" s="4"/>
      <c r="CG282" s="4"/>
      <c r="CH282" s="4"/>
      <c r="CI282" s="4"/>
    </row>
    <row r="283" ht="14.25" customHeight="1" spans="1:87" x14ac:dyDescent="0.25">
      <c r="A283" s="4"/>
      <c r="B283" s="4"/>
      <c r="C283" s="4"/>
      <c r="D283" s="4"/>
      <c r="E283" s="4"/>
      <c r="F283" s="4"/>
      <c r="G283" s="4"/>
      <c r="H283" s="4"/>
      <c r="I283" s="4"/>
      <c r="J283" s="4"/>
      <c r="K283" s="242"/>
      <c r="L283" s="4"/>
      <c r="M283" s="4"/>
      <c r="N283" s="4"/>
      <c r="O283" s="4"/>
      <c r="P283" s="4"/>
      <c r="Q283" s="4"/>
      <c r="R283" s="4"/>
      <c r="S283" s="4"/>
      <c r="T283" s="4"/>
      <c r="U283" s="4"/>
      <c r="V283" s="4"/>
      <c r="W283" s="4"/>
      <c r="X283" s="4"/>
      <c r="Y283" s="4"/>
      <c r="Z283" s="4"/>
      <c r="AA283" s="4"/>
      <c r="AB283" s="4"/>
      <c r="AC283" s="4"/>
      <c r="AD283" s="4"/>
      <c r="AE283" s="4"/>
      <c r="AF283" s="4"/>
      <c r="AG283" s="4"/>
      <c r="AH283" s="4"/>
      <c r="AI283" s="4"/>
      <c r="AJ283" s="4"/>
      <c r="AK283" s="4"/>
      <c r="AL283" s="4"/>
      <c r="AM283" s="4"/>
      <c r="AN283" s="4"/>
      <c r="AO283" s="4"/>
      <c r="AP283" s="4"/>
      <c r="AQ283" s="4"/>
      <c r="AR283" s="4"/>
      <c r="AS283" s="4"/>
      <c r="AT283" s="4"/>
      <c r="AU283" s="4"/>
      <c r="AV283" s="4"/>
      <c r="AW283" s="4"/>
      <c r="AX283" s="4"/>
      <c r="AY283" s="4"/>
      <c r="AZ283" s="4"/>
      <c r="BA283" s="4"/>
      <c r="BB283" s="4"/>
      <c r="BC283" s="4"/>
      <c r="BD283" s="4"/>
      <c r="BE283" s="4"/>
      <c r="BF283" s="4"/>
      <c r="BG283" s="4"/>
      <c r="BH283" s="4"/>
      <c r="BI283" s="4"/>
      <c r="BJ283" s="4"/>
      <c r="BK283" s="4"/>
      <c r="BL283" s="4"/>
      <c r="BM283" s="4"/>
      <c r="BN283" s="4"/>
      <c r="BO283" s="4"/>
      <c r="BP283" s="4"/>
      <c r="BQ283" s="4"/>
      <c r="BR283" s="4"/>
      <c r="BS283" s="4"/>
      <c r="BT283" s="4"/>
      <c r="BU283" s="4"/>
      <c r="BV283" s="4"/>
      <c r="BW283" s="4"/>
      <c r="BX283" s="4"/>
      <c r="BY283" s="4"/>
      <c r="BZ283" s="4"/>
      <c r="CA283" s="4"/>
      <c r="CB283" s="4"/>
      <c r="CC283" s="4"/>
      <c r="CD283" s="4"/>
      <c r="CE283" s="4"/>
      <c r="CF283" s="4"/>
      <c r="CG283" s="4"/>
      <c r="CH283" s="4"/>
      <c r="CI283" s="4"/>
    </row>
    <row r="284" ht="14.25" customHeight="1" spans="1:87" x14ac:dyDescent="0.25">
      <c r="A284" s="4"/>
      <c r="B284" s="4"/>
      <c r="C284" s="4"/>
      <c r="D284" s="4"/>
      <c r="E284" s="4"/>
      <c r="F284" s="4"/>
      <c r="G284" s="4"/>
      <c r="H284" s="4"/>
      <c r="I284" s="4"/>
      <c r="J284" s="4"/>
      <c r="K284" s="242"/>
      <c r="L284" s="4"/>
      <c r="M284" s="4"/>
      <c r="N284" s="4"/>
      <c r="O284" s="4"/>
      <c r="P284" s="4"/>
      <c r="Q284" s="4"/>
      <c r="R284" s="4"/>
      <c r="S284" s="4"/>
      <c r="T284" s="4"/>
      <c r="U284" s="4"/>
      <c r="V284" s="4"/>
      <c r="W284" s="4"/>
      <c r="X284" s="4"/>
      <c r="Y284" s="4"/>
      <c r="Z284" s="4"/>
      <c r="AA284" s="4"/>
      <c r="AB284" s="4"/>
      <c r="AC284" s="4"/>
      <c r="AD284" s="4"/>
      <c r="AE284" s="4"/>
      <c r="AF284" s="4"/>
      <c r="AG284" s="4"/>
      <c r="AH284" s="4"/>
      <c r="AI284" s="4"/>
      <c r="AJ284" s="4"/>
      <c r="AK284" s="4"/>
      <c r="AL284" s="4"/>
      <c r="AM284" s="4"/>
      <c r="AN284" s="4"/>
      <c r="AO284" s="4"/>
      <c r="AP284" s="4"/>
      <c r="AQ284" s="4"/>
      <c r="AR284" s="4"/>
      <c r="AS284" s="4"/>
      <c r="AT284" s="4"/>
      <c r="AU284" s="4"/>
      <c r="AV284" s="4"/>
      <c r="AW284" s="4"/>
      <c r="AX284" s="4"/>
      <c r="AY284" s="4"/>
      <c r="AZ284" s="4"/>
      <c r="BA284" s="4"/>
      <c r="BB284" s="4"/>
      <c r="BC284" s="4"/>
      <c r="BD284" s="4"/>
      <c r="BE284" s="4"/>
      <c r="BF284" s="4"/>
      <c r="BG284" s="4"/>
      <c r="BH284" s="4"/>
      <c r="BI284" s="4"/>
      <c r="BJ284" s="4"/>
      <c r="BK284" s="4"/>
      <c r="BL284" s="4"/>
      <c r="BM284" s="4"/>
      <c r="BN284" s="4"/>
      <c r="BO284" s="4"/>
      <c r="BP284" s="4"/>
      <c r="BQ284" s="4"/>
      <c r="BR284" s="4"/>
      <c r="BS284" s="4"/>
      <c r="BT284" s="4"/>
      <c r="BU284" s="4"/>
      <c r="BV284" s="4"/>
      <c r="BW284" s="4"/>
      <c r="BX284" s="4"/>
      <c r="BY284" s="4"/>
      <c r="BZ284" s="4"/>
      <c r="CA284" s="4"/>
      <c r="CB284" s="4"/>
      <c r="CC284" s="4"/>
      <c r="CD284" s="4"/>
      <c r="CE284" s="4"/>
      <c r="CF284" s="4"/>
      <c r="CG284" s="4"/>
      <c r="CH284" s="4"/>
      <c r="CI284" s="4"/>
    </row>
    <row r="285" ht="14.25" customHeight="1" spans="1:87" x14ac:dyDescent="0.25">
      <c r="A285" s="4"/>
      <c r="B285" s="4"/>
      <c r="C285" s="4"/>
      <c r="D285" s="4"/>
      <c r="E285" s="4"/>
      <c r="F285" s="4"/>
      <c r="G285" s="4"/>
      <c r="H285" s="4"/>
      <c r="I285" s="4"/>
      <c r="J285" s="4"/>
      <c r="K285" s="242"/>
      <c r="L285" s="4"/>
      <c r="M285" s="4"/>
      <c r="N285" s="4"/>
      <c r="O285" s="4"/>
      <c r="P285" s="4"/>
      <c r="Q285" s="4"/>
      <c r="R285" s="4"/>
      <c r="S285" s="4"/>
      <c r="T285" s="4"/>
      <c r="U285" s="4"/>
      <c r="V285" s="4"/>
      <c r="W285" s="4"/>
      <c r="X285" s="4"/>
      <c r="Y285" s="4"/>
      <c r="Z285" s="4"/>
      <c r="AA285" s="4"/>
      <c r="AB285" s="4"/>
      <c r="AC285" s="4"/>
      <c r="AD285" s="4"/>
      <c r="AE285" s="4"/>
      <c r="AF285" s="4"/>
      <c r="AG285" s="4"/>
      <c r="AH285" s="4"/>
      <c r="AI285" s="4"/>
      <c r="AJ285" s="4"/>
      <c r="AK285" s="4"/>
      <c r="AL285" s="4"/>
      <c r="AM285" s="4"/>
      <c r="AN285" s="4"/>
      <c r="AO285" s="4"/>
      <c r="AP285" s="4"/>
      <c r="AQ285" s="4"/>
      <c r="AR285" s="4"/>
      <c r="AS285" s="4"/>
      <c r="AT285" s="4"/>
      <c r="AU285" s="4"/>
      <c r="AV285" s="4"/>
      <c r="AW285" s="4"/>
      <c r="AX285" s="4"/>
      <c r="AY285" s="4"/>
      <c r="AZ285" s="4"/>
      <c r="BA285" s="4"/>
      <c r="BB285" s="4"/>
      <c r="BC285" s="4"/>
      <c r="BD285" s="4"/>
      <c r="BE285" s="4"/>
      <c r="BF285" s="4"/>
      <c r="BG285" s="4"/>
      <c r="BH285" s="4"/>
      <c r="BI285" s="4"/>
      <c r="BJ285" s="4"/>
      <c r="BK285" s="4"/>
      <c r="BL285" s="4"/>
      <c r="BM285" s="4"/>
      <c r="BN285" s="4"/>
      <c r="BO285" s="4"/>
      <c r="BP285" s="4"/>
      <c r="BQ285" s="4"/>
      <c r="BR285" s="4"/>
      <c r="BS285" s="4"/>
      <c r="BT285" s="4"/>
      <c r="BU285" s="4"/>
      <c r="BV285" s="4"/>
      <c r="BW285" s="4"/>
      <c r="BX285" s="4"/>
      <c r="BY285" s="4"/>
      <c r="BZ285" s="4"/>
      <c r="CA285" s="4"/>
      <c r="CB285" s="4"/>
      <c r="CC285" s="4"/>
      <c r="CD285" s="4"/>
      <c r="CE285" s="4"/>
      <c r="CF285" s="4"/>
      <c r="CG285" s="4"/>
      <c r="CH285" s="4"/>
      <c r="CI285" s="4"/>
    </row>
    <row r="286" ht="14.25" customHeight="1" spans="1:87" x14ac:dyDescent="0.25">
      <c r="A286" s="4"/>
      <c r="B286" s="4"/>
      <c r="C286" s="4"/>
      <c r="D286" s="4"/>
      <c r="E286" s="4"/>
      <c r="F286" s="4"/>
      <c r="G286" s="4"/>
      <c r="H286" s="4"/>
      <c r="I286" s="4"/>
      <c r="J286" s="4"/>
      <c r="K286" s="242"/>
      <c r="L286" s="4"/>
      <c r="M286" s="4"/>
      <c r="N286" s="4"/>
      <c r="O286" s="4"/>
      <c r="P286" s="4"/>
      <c r="Q286" s="4"/>
      <c r="R286" s="4"/>
      <c r="S286" s="4"/>
      <c r="T286" s="4"/>
      <c r="U286" s="4"/>
      <c r="V286" s="4"/>
      <c r="W286" s="4"/>
      <c r="X286" s="4"/>
      <c r="Y286" s="4"/>
      <c r="Z286" s="4"/>
      <c r="AA286" s="4"/>
      <c r="AB286" s="4"/>
      <c r="AC286" s="4"/>
      <c r="AD286" s="4"/>
      <c r="AE286" s="4"/>
      <c r="AF286" s="4"/>
      <c r="AG286" s="4"/>
      <c r="AH286" s="4"/>
      <c r="AI286" s="4"/>
      <c r="AJ286" s="4"/>
      <c r="AK286" s="4"/>
      <c r="AL286" s="4"/>
      <c r="AM286" s="4"/>
      <c r="AN286" s="4"/>
      <c r="AO286" s="4"/>
      <c r="AP286" s="4"/>
      <c r="AQ286" s="4"/>
      <c r="AR286" s="4"/>
      <c r="AS286" s="4"/>
      <c r="AT286" s="4"/>
      <c r="AU286" s="4"/>
      <c r="AV286" s="4"/>
      <c r="AW286" s="4"/>
      <c r="AX286" s="4"/>
      <c r="AY286" s="4"/>
      <c r="AZ286" s="4"/>
      <c r="BA286" s="4"/>
      <c r="BB286" s="4"/>
      <c r="BC286" s="4"/>
      <c r="BD286" s="4"/>
      <c r="BE286" s="4"/>
      <c r="BF286" s="4"/>
      <c r="BG286" s="4"/>
      <c r="BH286" s="4"/>
      <c r="BI286" s="4"/>
      <c r="BJ286" s="4"/>
      <c r="BK286" s="4"/>
      <c r="BL286" s="4"/>
      <c r="BM286" s="4"/>
      <c r="BN286" s="4"/>
      <c r="BO286" s="4"/>
      <c r="BP286" s="4"/>
      <c r="BQ286" s="4"/>
      <c r="BR286" s="4"/>
      <c r="BS286" s="4"/>
      <c r="BT286" s="4"/>
      <c r="BU286" s="4"/>
      <c r="BV286" s="4"/>
      <c r="BW286" s="4"/>
      <c r="BX286" s="4"/>
      <c r="BY286" s="4"/>
      <c r="BZ286" s="4"/>
      <c r="CA286" s="4"/>
      <c r="CB286" s="4"/>
      <c r="CC286" s="4"/>
      <c r="CD286" s="4"/>
      <c r="CE286" s="4"/>
      <c r="CF286" s="4"/>
      <c r="CG286" s="4"/>
      <c r="CH286" s="4"/>
      <c r="CI286" s="4"/>
    </row>
    <row r="287" ht="14.25" customHeight="1" spans="1:87" x14ac:dyDescent="0.25">
      <c r="A287" s="4"/>
      <c r="B287" s="4"/>
      <c r="C287" s="4"/>
      <c r="D287" s="4"/>
      <c r="E287" s="4"/>
      <c r="F287" s="4"/>
      <c r="G287" s="4"/>
      <c r="H287" s="4"/>
      <c r="I287" s="4"/>
      <c r="J287" s="4"/>
      <c r="K287" s="242"/>
      <c r="L287" s="4"/>
      <c r="M287" s="4"/>
      <c r="N287" s="4"/>
      <c r="O287" s="4"/>
      <c r="P287" s="4"/>
      <c r="Q287" s="4"/>
      <c r="R287" s="4"/>
      <c r="S287" s="4"/>
      <c r="T287" s="4"/>
      <c r="U287" s="4"/>
      <c r="V287" s="4"/>
      <c r="W287" s="4"/>
      <c r="X287" s="4"/>
      <c r="Y287" s="4"/>
      <c r="Z287" s="4"/>
      <c r="AA287" s="4"/>
      <c r="AB287" s="4"/>
      <c r="AC287" s="4"/>
      <c r="AD287" s="4"/>
      <c r="AE287" s="4"/>
      <c r="AF287" s="4"/>
      <c r="AG287" s="4"/>
      <c r="AH287" s="4"/>
      <c r="AI287" s="4"/>
      <c r="AJ287" s="4"/>
      <c r="AK287" s="4"/>
      <c r="AL287" s="4"/>
      <c r="AM287" s="4"/>
      <c r="AN287" s="4"/>
      <c r="AO287" s="4"/>
      <c r="AP287" s="4"/>
      <c r="AQ287" s="4"/>
      <c r="AR287" s="4"/>
      <c r="AS287" s="4"/>
      <c r="AT287" s="4"/>
      <c r="AU287" s="4"/>
      <c r="AV287" s="4"/>
      <c r="AW287" s="4"/>
      <c r="AX287" s="4"/>
      <c r="AY287" s="4"/>
      <c r="AZ287" s="4"/>
      <c r="BA287" s="4"/>
      <c r="BB287" s="4"/>
      <c r="BC287" s="4"/>
      <c r="BD287" s="4"/>
      <c r="BE287" s="4"/>
      <c r="BF287" s="4"/>
      <c r="BG287" s="4"/>
      <c r="BH287" s="4"/>
      <c r="BI287" s="4"/>
      <c r="BJ287" s="4"/>
      <c r="BK287" s="4"/>
      <c r="BL287" s="4"/>
      <c r="BM287" s="4"/>
      <c r="BN287" s="4"/>
      <c r="BO287" s="4"/>
      <c r="BP287" s="4"/>
      <c r="BQ287" s="4"/>
      <c r="BR287" s="4"/>
      <c r="BS287" s="4"/>
      <c r="BT287" s="4"/>
      <c r="BU287" s="4"/>
      <c r="BV287" s="4"/>
      <c r="BW287" s="4"/>
      <c r="BX287" s="4"/>
      <c r="BY287" s="4"/>
      <c r="BZ287" s="4"/>
      <c r="CA287" s="4"/>
      <c r="CB287" s="4"/>
      <c r="CC287" s="4"/>
      <c r="CD287" s="4"/>
      <c r="CE287" s="4"/>
      <c r="CF287" s="4"/>
      <c r="CG287" s="4"/>
      <c r="CH287" s="4"/>
      <c r="CI287" s="4"/>
    </row>
    <row r="288" ht="14.25" customHeight="1" spans="1:87" x14ac:dyDescent="0.25">
      <c r="A288" s="4"/>
      <c r="B288" s="4"/>
      <c r="C288" s="4"/>
      <c r="D288" s="4"/>
      <c r="E288" s="4"/>
      <c r="F288" s="4"/>
      <c r="G288" s="4"/>
      <c r="H288" s="4"/>
      <c r="I288" s="4"/>
      <c r="J288" s="4"/>
      <c r="K288" s="242"/>
      <c r="L288" s="4"/>
      <c r="M288" s="4"/>
      <c r="N288" s="4"/>
      <c r="O288" s="4"/>
      <c r="P288" s="4"/>
      <c r="Q288" s="4"/>
      <c r="R288" s="4"/>
      <c r="S288" s="4"/>
      <c r="T288" s="4"/>
      <c r="U288" s="4"/>
      <c r="V288" s="4"/>
      <c r="W288" s="4"/>
      <c r="X288" s="4"/>
      <c r="Y288" s="4"/>
      <c r="Z288" s="4"/>
      <c r="AA288" s="4"/>
      <c r="AB288" s="4"/>
      <c r="AC288" s="4"/>
      <c r="AD288" s="4"/>
      <c r="AE288" s="4"/>
      <c r="AF288" s="4"/>
      <c r="AG288" s="4"/>
      <c r="AH288" s="4"/>
      <c r="AI288" s="4"/>
      <c r="AJ288" s="4"/>
      <c r="AK288" s="4"/>
      <c r="AL288" s="4"/>
      <c r="AM288" s="4"/>
      <c r="AN288" s="4"/>
      <c r="AO288" s="4"/>
      <c r="AP288" s="4"/>
      <c r="AQ288" s="4"/>
      <c r="AR288" s="4"/>
      <c r="AS288" s="4"/>
      <c r="AT288" s="4"/>
      <c r="AU288" s="4"/>
      <c r="AV288" s="4"/>
      <c r="AW288" s="4"/>
      <c r="AX288" s="4"/>
      <c r="AY288" s="4"/>
      <c r="AZ288" s="4"/>
      <c r="BA288" s="4"/>
      <c r="BB288" s="4"/>
      <c r="BC288" s="4"/>
      <c r="BD288" s="4"/>
      <c r="BE288" s="4"/>
      <c r="BF288" s="4"/>
      <c r="BG288" s="4"/>
      <c r="BH288" s="4"/>
      <c r="BI288" s="4"/>
      <c r="BJ288" s="4"/>
      <c r="BK288" s="4"/>
      <c r="BL288" s="4"/>
      <c r="BM288" s="4"/>
      <c r="BN288" s="4"/>
      <c r="BO288" s="4"/>
      <c r="BP288" s="4"/>
      <c r="BQ288" s="4"/>
      <c r="BR288" s="4"/>
      <c r="BS288" s="4"/>
      <c r="BT288" s="4"/>
      <c r="BU288" s="4"/>
      <c r="BV288" s="4"/>
      <c r="BW288" s="4"/>
      <c r="BX288" s="4"/>
      <c r="BY288" s="4"/>
      <c r="BZ288" s="4"/>
      <c r="CA288" s="4"/>
      <c r="CB288" s="4"/>
      <c r="CC288" s="4"/>
      <c r="CD288" s="4"/>
      <c r="CE288" s="4"/>
      <c r="CF288" s="4"/>
      <c r="CG288" s="4"/>
      <c r="CH288" s="4"/>
      <c r="CI288" s="4"/>
    </row>
    <row r="289" ht="14.25" customHeight="1" spans="1:87" x14ac:dyDescent="0.25">
      <c r="A289" s="4"/>
      <c r="B289" s="4"/>
      <c r="C289" s="4"/>
      <c r="D289" s="4"/>
      <c r="E289" s="4"/>
      <c r="F289" s="4"/>
      <c r="G289" s="4"/>
      <c r="H289" s="4"/>
      <c r="I289" s="4"/>
      <c r="J289" s="4"/>
      <c r="K289" s="242"/>
      <c r="L289" s="4"/>
      <c r="M289" s="4"/>
      <c r="N289" s="4"/>
      <c r="O289" s="4"/>
      <c r="P289" s="4"/>
      <c r="Q289" s="4"/>
      <c r="R289" s="4"/>
      <c r="S289" s="4"/>
      <c r="T289" s="4"/>
      <c r="U289" s="4"/>
      <c r="V289" s="4"/>
      <c r="W289" s="4"/>
      <c r="X289" s="4"/>
      <c r="Y289" s="4"/>
      <c r="Z289" s="4"/>
      <c r="AA289" s="4"/>
      <c r="AB289" s="4"/>
      <c r="AC289" s="4"/>
      <c r="AD289" s="4"/>
      <c r="AE289" s="4"/>
      <c r="AF289" s="4"/>
      <c r="AG289" s="4"/>
      <c r="AH289" s="4"/>
      <c r="AI289" s="4"/>
      <c r="AJ289" s="4"/>
      <c r="AK289" s="4"/>
      <c r="AL289" s="4"/>
      <c r="AM289" s="4"/>
      <c r="AN289" s="4"/>
      <c r="AO289" s="4"/>
      <c r="AP289" s="4"/>
      <c r="AQ289" s="4"/>
      <c r="AR289" s="4"/>
      <c r="AS289" s="4"/>
      <c r="AT289" s="4"/>
      <c r="AU289" s="4"/>
      <c r="AV289" s="4"/>
      <c r="AW289" s="4"/>
      <c r="AX289" s="4"/>
      <c r="AY289" s="4"/>
      <c r="AZ289" s="4"/>
      <c r="BA289" s="4"/>
      <c r="BB289" s="4"/>
      <c r="BC289" s="4"/>
      <c r="BD289" s="4"/>
      <c r="BE289" s="4"/>
      <c r="BF289" s="4"/>
      <c r="BG289" s="4"/>
      <c r="BH289" s="4"/>
      <c r="BI289" s="4"/>
      <c r="BJ289" s="4"/>
      <c r="BK289" s="4"/>
      <c r="BL289" s="4"/>
      <c r="BM289" s="4"/>
      <c r="BN289" s="4"/>
      <c r="BO289" s="4"/>
      <c r="BP289" s="4"/>
      <c r="BQ289" s="4"/>
      <c r="BR289" s="4"/>
      <c r="BS289" s="4"/>
      <c r="BT289" s="4"/>
      <c r="BU289" s="4"/>
      <c r="BV289" s="4"/>
      <c r="BW289" s="4"/>
      <c r="BX289" s="4"/>
      <c r="BY289" s="4"/>
      <c r="BZ289" s="4"/>
      <c r="CA289" s="4"/>
      <c r="CB289" s="4"/>
      <c r="CC289" s="4"/>
      <c r="CD289" s="4"/>
      <c r="CE289" s="4"/>
      <c r="CF289" s="4"/>
      <c r="CG289" s="4"/>
      <c r="CH289" s="4"/>
      <c r="CI289" s="4"/>
    </row>
    <row r="290" ht="14.25" customHeight="1" spans="1:87" x14ac:dyDescent="0.25">
      <c r="A290" s="4"/>
      <c r="B290" s="4"/>
      <c r="C290" s="4"/>
      <c r="D290" s="4"/>
      <c r="E290" s="4"/>
      <c r="F290" s="4"/>
      <c r="G290" s="4"/>
      <c r="H290" s="4"/>
      <c r="I290" s="4"/>
      <c r="J290" s="4"/>
      <c r="K290" s="242"/>
      <c r="L290" s="4"/>
      <c r="M290" s="4"/>
      <c r="N290" s="4"/>
      <c r="O290" s="4"/>
      <c r="P290" s="4"/>
      <c r="Q290" s="4"/>
      <c r="R290" s="4"/>
      <c r="S290" s="4"/>
      <c r="T290" s="4"/>
      <c r="U290" s="4"/>
      <c r="V290" s="4"/>
      <c r="W290" s="4"/>
      <c r="X290" s="4"/>
      <c r="Y290" s="4"/>
      <c r="Z290" s="4"/>
      <c r="AA290" s="4"/>
      <c r="AB290" s="4"/>
      <c r="AC290" s="4"/>
      <c r="AD290" s="4"/>
      <c r="AE290" s="4"/>
      <c r="AF290" s="4"/>
      <c r="AG290" s="4"/>
      <c r="AH290" s="4"/>
      <c r="AI290" s="4"/>
      <c r="AJ290" s="4"/>
      <c r="AK290" s="4"/>
      <c r="AL290" s="4"/>
      <c r="AM290" s="4"/>
      <c r="AN290" s="4"/>
      <c r="AO290" s="4"/>
      <c r="AP290" s="4"/>
      <c r="AQ290" s="4"/>
      <c r="AR290" s="4"/>
      <c r="AS290" s="4"/>
      <c r="AT290" s="4"/>
      <c r="AU290" s="4"/>
      <c r="AV290" s="4"/>
      <c r="AW290" s="4"/>
      <c r="AX290" s="4"/>
      <c r="AY290" s="4"/>
      <c r="AZ290" s="4"/>
      <c r="BA290" s="4"/>
      <c r="BB290" s="4"/>
      <c r="BC290" s="4"/>
      <c r="BD290" s="4"/>
      <c r="BE290" s="4"/>
      <c r="BF290" s="4"/>
      <c r="BG290" s="4"/>
      <c r="BH290" s="4"/>
      <c r="BI290" s="4"/>
      <c r="BJ290" s="4"/>
      <c r="BK290" s="4"/>
      <c r="BL290" s="4"/>
      <c r="BM290" s="4"/>
      <c r="BN290" s="4"/>
      <c r="BO290" s="4"/>
      <c r="BP290" s="4"/>
      <c r="BQ290" s="4"/>
      <c r="BR290" s="4"/>
      <c r="BS290" s="4"/>
      <c r="BT290" s="4"/>
      <c r="BU290" s="4"/>
      <c r="BV290" s="4"/>
      <c r="BW290" s="4"/>
      <c r="BX290" s="4"/>
      <c r="BY290" s="4"/>
      <c r="BZ290" s="4"/>
      <c r="CA290" s="4"/>
      <c r="CB290" s="4"/>
      <c r="CC290" s="4"/>
      <c r="CD290" s="4"/>
      <c r="CE290" s="4"/>
      <c r="CF290" s="4"/>
      <c r="CG290" s="4"/>
      <c r="CH290" s="4"/>
      <c r="CI290" s="4"/>
    </row>
    <row r="291" ht="14.25" customHeight="1" spans="1:87" x14ac:dyDescent="0.25">
      <c r="A291" s="4"/>
      <c r="B291" s="4"/>
      <c r="C291" s="4"/>
      <c r="D291" s="4"/>
      <c r="E291" s="4"/>
      <c r="F291" s="4"/>
      <c r="G291" s="4"/>
      <c r="H291" s="4"/>
      <c r="I291" s="4"/>
      <c r="J291" s="4"/>
      <c r="K291" s="242"/>
      <c r="L291" s="4"/>
      <c r="M291" s="4"/>
      <c r="N291" s="4"/>
      <c r="O291" s="4"/>
      <c r="P291" s="4"/>
      <c r="Q291" s="4"/>
      <c r="R291" s="4"/>
      <c r="S291" s="4"/>
      <c r="T291" s="4"/>
      <c r="U291" s="4"/>
      <c r="V291" s="4"/>
      <c r="W291" s="4"/>
      <c r="X291" s="4"/>
      <c r="Y291" s="4"/>
      <c r="Z291" s="4"/>
      <c r="AA291" s="4"/>
      <c r="AB291" s="4"/>
      <c r="AC291" s="4"/>
      <c r="AD291" s="4"/>
      <c r="AE291" s="4"/>
      <c r="AF291" s="4"/>
      <c r="AG291" s="4"/>
      <c r="AH291" s="4"/>
      <c r="AI291" s="4"/>
      <c r="AJ291" s="4"/>
      <c r="AK291" s="4"/>
      <c r="AL291" s="4"/>
      <c r="AM291" s="4"/>
      <c r="AN291" s="4"/>
      <c r="AO291" s="4"/>
      <c r="AP291" s="4"/>
      <c r="AQ291" s="4"/>
      <c r="AR291" s="4"/>
      <c r="AS291" s="4"/>
      <c r="AT291" s="4"/>
      <c r="AU291" s="4"/>
      <c r="AV291" s="4"/>
      <c r="AW291" s="4"/>
      <c r="AX291" s="4"/>
      <c r="AY291" s="4"/>
      <c r="AZ291" s="4"/>
      <c r="BA291" s="4"/>
      <c r="BB291" s="4"/>
      <c r="BC291" s="4"/>
      <c r="BD291" s="4"/>
      <c r="BE291" s="4"/>
      <c r="BF291" s="4"/>
      <c r="BG291" s="4"/>
      <c r="BH291" s="4"/>
      <c r="BI291" s="4"/>
      <c r="BJ291" s="4"/>
      <c r="BK291" s="4"/>
      <c r="BL291" s="4"/>
      <c r="BM291" s="4"/>
      <c r="BN291" s="4"/>
      <c r="BO291" s="4"/>
      <c r="BP291" s="4"/>
      <c r="BQ291" s="4"/>
      <c r="BR291" s="4"/>
      <c r="BS291" s="4"/>
      <c r="BT291" s="4"/>
      <c r="BU291" s="4"/>
      <c r="BV291" s="4"/>
      <c r="BW291" s="4"/>
      <c r="BX291" s="4"/>
      <c r="BY291" s="4"/>
      <c r="BZ291" s="4"/>
      <c r="CA291" s="4"/>
      <c r="CB291" s="4"/>
      <c r="CC291" s="4"/>
      <c r="CD291" s="4"/>
      <c r="CE291" s="4"/>
      <c r="CF291" s="4"/>
      <c r="CG291" s="4"/>
      <c r="CH291" s="4"/>
      <c r="CI291" s="4"/>
    </row>
    <row r="292" ht="14.25" customHeight="1" spans="1:87" x14ac:dyDescent="0.25">
      <c r="A292" s="4"/>
      <c r="B292" s="4"/>
      <c r="C292" s="4"/>
      <c r="D292" s="4"/>
      <c r="E292" s="4"/>
      <c r="F292" s="4"/>
      <c r="G292" s="4"/>
      <c r="H292" s="4"/>
      <c r="I292" s="4"/>
      <c r="J292" s="4"/>
      <c r="K292" s="242"/>
      <c r="L292" s="4"/>
      <c r="M292" s="4"/>
      <c r="N292" s="4"/>
      <c r="O292" s="4"/>
      <c r="P292" s="4"/>
      <c r="Q292" s="4"/>
      <c r="R292" s="4"/>
      <c r="S292" s="4"/>
      <c r="T292" s="4"/>
      <c r="U292" s="4"/>
      <c r="V292" s="4"/>
      <c r="W292" s="4"/>
      <c r="X292" s="4"/>
      <c r="Y292" s="4"/>
      <c r="Z292" s="4"/>
      <c r="AA292" s="4"/>
      <c r="AB292" s="4"/>
      <c r="AC292" s="4"/>
      <c r="AD292" s="4"/>
      <c r="AE292" s="4"/>
      <c r="AF292" s="4"/>
      <c r="AG292" s="4"/>
      <c r="AH292" s="4"/>
      <c r="AI292" s="4"/>
      <c r="AJ292" s="4"/>
      <c r="AK292" s="4"/>
      <c r="AL292" s="4"/>
      <c r="AM292" s="4"/>
      <c r="AN292" s="4"/>
      <c r="AO292" s="4"/>
      <c r="AP292" s="4"/>
      <c r="AQ292" s="4"/>
      <c r="AR292" s="4"/>
      <c r="AS292" s="4"/>
      <c r="AT292" s="4"/>
      <c r="AU292" s="4"/>
      <c r="AV292" s="4"/>
      <c r="AW292" s="4"/>
      <c r="AX292" s="4"/>
      <c r="AY292" s="4"/>
      <c r="AZ292" s="4"/>
      <c r="BA292" s="4"/>
      <c r="BB292" s="4"/>
      <c r="BC292" s="4"/>
      <c r="BD292" s="4"/>
      <c r="BE292" s="4"/>
      <c r="BF292" s="4"/>
      <c r="BG292" s="4"/>
      <c r="BH292" s="4"/>
      <c r="BI292" s="4"/>
      <c r="BJ292" s="4"/>
      <c r="BK292" s="4"/>
      <c r="BL292" s="4"/>
      <c r="BM292" s="4"/>
      <c r="BN292" s="4"/>
      <c r="BO292" s="4"/>
      <c r="BP292" s="4"/>
      <c r="BQ292" s="4"/>
      <c r="BR292" s="4"/>
      <c r="BS292" s="4"/>
      <c r="BT292" s="4"/>
      <c r="BU292" s="4"/>
      <c r="BV292" s="4"/>
      <c r="BW292" s="4"/>
      <c r="BX292" s="4"/>
      <c r="BY292" s="4"/>
      <c r="BZ292" s="4"/>
      <c r="CA292" s="4"/>
      <c r="CB292" s="4"/>
      <c r="CC292" s="4"/>
      <c r="CD292" s="4"/>
      <c r="CE292" s="4"/>
      <c r="CF292" s="4"/>
      <c r="CG292" s="4"/>
      <c r="CH292" s="4"/>
      <c r="CI292" s="4"/>
    </row>
    <row r="293" ht="14.25" customHeight="1" spans="1:87" x14ac:dyDescent="0.25">
      <c r="A293" s="4"/>
      <c r="B293" s="4"/>
      <c r="C293" s="4"/>
      <c r="D293" s="4"/>
      <c r="E293" s="4"/>
      <c r="F293" s="4"/>
      <c r="G293" s="4"/>
      <c r="H293" s="4"/>
      <c r="I293" s="4"/>
      <c r="J293" s="4"/>
      <c r="K293" s="242"/>
      <c r="L293" s="4"/>
      <c r="M293" s="4"/>
      <c r="N293" s="4"/>
      <c r="O293" s="4"/>
      <c r="P293" s="4"/>
      <c r="Q293" s="4"/>
      <c r="R293" s="4"/>
      <c r="S293" s="4"/>
      <c r="T293" s="4"/>
      <c r="U293" s="4"/>
      <c r="V293" s="4"/>
      <c r="W293" s="4"/>
      <c r="X293" s="4"/>
      <c r="Y293" s="4"/>
      <c r="Z293" s="4"/>
      <c r="AA293" s="4"/>
      <c r="AB293" s="4"/>
      <c r="AC293" s="4"/>
      <c r="AD293" s="4"/>
      <c r="AE293" s="4"/>
      <c r="AF293" s="4"/>
      <c r="AG293" s="4"/>
      <c r="AH293" s="4"/>
      <c r="AI293" s="4"/>
      <c r="AJ293" s="4"/>
      <c r="AK293" s="4"/>
      <c r="AL293" s="4"/>
      <c r="AM293" s="4"/>
      <c r="AN293" s="4"/>
      <c r="AO293" s="4"/>
      <c r="AP293" s="4"/>
      <c r="AQ293" s="4"/>
      <c r="AR293" s="4"/>
      <c r="AS293" s="4"/>
      <c r="AT293" s="4"/>
      <c r="AU293" s="4"/>
      <c r="AV293" s="4"/>
      <c r="AW293" s="4"/>
      <c r="AX293" s="4"/>
      <c r="AY293" s="4"/>
      <c r="AZ293" s="4"/>
      <c r="BA293" s="4"/>
      <c r="BB293" s="4"/>
      <c r="BC293" s="4"/>
      <c r="BD293" s="4"/>
      <c r="BE293" s="4"/>
      <c r="BF293" s="4"/>
      <c r="BG293" s="4"/>
      <c r="BH293" s="4"/>
      <c r="BI293" s="4"/>
      <c r="BJ293" s="4"/>
      <c r="BK293" s="4"/>
      <c r="BL293" s="4"/>
      <c r="BM293" s="4"/>
      <c r="BN293" s="4"/>
      <c r="BO293" s="4"/>
      <c r="BP293" s="4"/>
      <c r="BQ293" s="4"/>
      <c r="BR293" s="4"/>
      <c r="BS293" s="4"/>
      <c r="BT293" s="4"/>
      <c r="BU293" s="4"/>
      <c r="BV293" s="4"/>
      <c r="BW293" s="4"/>
      <c r="BX293" s="4"/>
      <c r="BY293" s="4"/>
      <c r="BZ293" s="4"/>
      <c r="CA293" s="4"/>
      <c r="CB293" s="4"/>
      <c r="CC293" s="4"/>
      <c r="CD293" s="4"/>
      <c r="CE293" s="4"/>
      <c r="CF293" s="4"/>
      <c r="CG293" s="4"/>
      <c r="CH293" s="4"/>
      <c r="CI293" s="4"/>
    </row>
    <row r="294" ht="14.25" customHeight="1" spans="1:87" x14ac:dyDescent="0.25">
      <c r="A294" s="4"/>
      <c r="B294" s="4"/>
      <c r="C294" s="4"/>
      <c r="D294" s="4"/>
      <c r="E294" s="4"/>
      <c r="F294" s="4"/>
      <c r="G294" s="4"/>
      <c r="H294" s="4"/>
      <c r="I294" s="4"/>
      <c r="J294" s="4"/>
      <c r="K294" s="242"/>
      <c r="L294" s="4"/>
      <c r="M294" s="4"/>
      <c r="N294" s="4"/>
      <c r="O294" s="4"/>
      <c r="P294" s="4"/>
      <c r="Q294" s="4"/>
      <c r="R294" s="4"/>
      <c r="S294" s="4"/>
      <c r="T294" s="4"/>
      <c r="U294" s="4"/>
      <c r="V294" s="4"/>
      <c r="W294" s="4"/>
      <c r="X294" s="4"/>
      <c r="Y294" s="4"/>
      <c r="Z294" s="4"/>
      <c r="AA294" s="4"/>
      <c r="AB294" s="4"/>
      <c r="AC294" s="4"/>
      <c r="AD294" s="4"/>
      <c r="AE294" s="4"/>
      <c r="AF294" s="4"/>
      <c r="AG294" s="4"/>
      <c r="AH294" s="4"/>
      <c r="AI294" s="4"/>
      <c r="AJ294" s="4"/>
      <c r="AK294" s="4"/>
      <c r="AL294" s="4"/>
      <c r="AM294" s="4"/>
      <c r="AN294" s="4"/>
      <c r="AO294" s="4"/>
      <c r="AP294" s="4"/>
      <c r="AQ294" s="4"/>
      <c r="AR294" s="4"/>
      <c r="AS294" s="4"/>
      <c r="AT294" s="4"/>
      <c r="AU294" s="4"/>
      <c r="AV294" s="4"/>
      <c r="AW294" s="4"/>
      <c r="AX294" s="4"/>
      <c r="AY294" s="4"/>
      <c r="AZ294" s="4"/>
      <c r="BA294" s="4"/>
      <c r="BB294" s="4"/>
      <c r="BC294" s="4"/>
      <c r="BD294" s="4"/>
      <c r="BE294" s="4"/>
      <c r="BF294" s="4"/>
      <c r="BG294" s="4"/>
      <c r="BH294" s="4"/>
      <c r="BI294" s="4"/>
      <c r="BJ294" s="4"/>
      <c r="BK294" s="4"/>
      <c r="BL294" s="4"/>
      <c r="BM294" s="4"/>
      <c r="BN294" s="4"/>
      <c r="BO294" s="4"/>
      <c r="BP294" s="4"/>
      <c r="BQ294" s="4"/>
      <c r="BR294" s="4"/>
      <c r="BS294" s="4"/>
      <c r="BT294" s="4"/>
      <c r="BU294" s="4"/>
      <c r="BV294" s="4"/>
      <c r="BW294" s="4"/>
      <c r="BX294" s="4"/>
      <c r="BY294" s="4"/>
      <c r="BZ294" s="4"/>
      <c r="CA294" s="4"/>
      <c r="CB294" s="4"/>
      <c r="CC294" s="4"/>
      <c r="CD294" s="4"/>
      <c r="CE294" s="4"/>
      <c r="CF294" s="4"/>
      <c r="CG294" s="4"/>
      <c r="CH294" s="4"/>
      <c r="CI294" s="4"/>
    </row>
    <row r="295" ht="14.25" customHeight="1" spans="1:87" x14ac:dyDescent="0.25">
      <c r="A295" s="4"/>
      <c r="B295" s="4"/>
      <c r="C295" s="4"/>
      <c r="D295" s="4"/>
      <c r="E295" s="4"/>
      <c r="F295" s="4"/>
      <c r="G295" s="4"/>
      <c r="H295" s="4"/>
      <c r="I295" s="4"/>
      <c r="J295" s="4"/>
      <c r="K295" s="242"/>
      <c r="L295" s="4"/>
      <c r="M295" s="4"/>
      <c r="N295" s="4"/>
      <c r="O295" s="4"/>
      <c r="P295" s="4"/>
      <c r="Q295" s="4"/>
      <c r="R295" s="4"/>
      <c r="S295" s="4"/>
      <c r="T295" s="4"/>
      <c r="U295" s="4"/>
      <c r="V295" s="4"/>
      <c r="W295" s="4"/>
      <c r="X295" s="4"/>
      <c r="Y295" s="4"/>
      <c r="Z295" s="4"/>
      <c r="AA295" s="4"/>
      <c r="AB295" s="4"/>
      <c r="AC295" s="4"/>
      <c r="AD295" s="4"/>
      <c r="AE295" s="4"/>
      <c r="AF295" s="4"/>
      <c r="AG295" s="4"/>
      <c r="AH295" s="4"/>
      <c r="AI295" s="4"/>
      <c r="AJ295" s="4"/>
      <c r="AK295" s="4"/>
      <c r="AL295" s="4"/>
      <c r="AM295" s="4"/>
      <c r="AN295" s="4"/>
      <c r="AO295" s="4"/>
      <c r="AP295" s="4"/>
      <c r="AQ295" s="4"/>
      <c r="AR295" s="4"/>
      <c r="AS295" s="4"/>
      <c r="AT295" s="4"/>
      <c r="AU295" s="4"/>
      <c r="AV295" s="4"/>
      <c r="AW295" s="4"/>
      <c r="AX295" s="4"/>
      <c r="AY295" s="4"/>
      <c r="AZ295" s="4"/>
      <c r="BA295" s="4"/>
      <c r="BB295" s="4"/>
      <c r="BC295" s="4"/>
      <c r="BD295" s="4"/>
      <c r="BE295" s="4"/>
      <c r="BF295" s="4"/>
      <c r="BG295" s="4"/>
      <c r="BH295" s="4"/>
      <c r="BI295" s="4"/>
      <c r="BJ295" s="4"/>
      <c r="BK295" s="4"/>
      <c r="BL295" s="4"/>
      <c r="BM295" s="4"/>
      <c r="BN295" s="4"/>
      <c r="BO295" s="4"/>
      <c r="BP295" s="4"/>
      <c r="BQ295" s="4"/>
      <c r="BR295" s="4"/>
      <c r="BS295" s="4"/>
      <c r="BT295" s="4"/>
      <c r="BU295" s="4"/>
      <c r="BV295" s="4"/>
      <c r="BW295" s="4"/>
      <c r="BX295" s="4"/>
      <c r="BY295" s="4"/>
      <c r="BZ295" s="4"/>
      <c r="CA295" s="4"/>
      <c r="CB295" s="4"/>
      <c r="CC295" s="4"/>
      <c r="CD295" s="4"/>
      <c r="CE295" s="4"/>
      <c r="CF295" s="4"/>
      <c r="CG295" s="4"/>
      <c r="CH295" s="4"/>
      <c r="CI295" s="4"/>
    </row>
    <row r="296" ht="14.25" customHeight="1" spans="1:87" x14ac:dyDescent="0.25">
      <c r="A296" s="4"/>
      <c r="B296" s="4"/>
      <c r="C296" s="4"/>
      <c r="D296" s="4"/>
      <c r="E296" s="4"/>
      <c r="F296" s="4"/>
      <c r="G296" s="4"/>
      <c r="H296" s="4"/>
      <c r="I296" s="4"/>
      <c r="J296" s="4"/>
      <c r="K296" s="242"/>
      <c r="L296" s="4"/>
      <c r="M296" s="4"/>
      <c r="N296" s="4"/>
      <c r="O296" s="4"/>
      <c r="P296" s="4"/>
      <c r="Q296" s="4"/>
      <c r="R296" s="4"/>
      <c r="S296" s="4"/>
      <c r="T296" s="4"/>
      <c r="U296" s="4"/>
      <c r="V296" s="4"/>
      <c r="W296" s="4"/>
      <c r="X296" s="4"/>
      <c r="Y296" s="4"/>
      <c r="Z296" s="4"/>
      <c r="AA296" s="4"/>
      <c r="AB296" s="4"/>
      <c r="AC296" s="4"/>
      <c r="AD296" s="4"/>
      <c r="AE296" s="4"/>
      <c r="AF296" s="4"/>
      <c r="AG296" s="4"/>
      <c r="AH296" s="4"/>
      <c r="AI296" s="4"/>
      <c r="AJ296" s="4"/>
      <c r="AK296" s="4"/>
      <c r="AL296" s="4"/>
      <c r="AM296" s="4"/>
      <c r="AN296" s="4"/>
      <c r="AO296" s="4"/>
      <c r="AP296" s="4"/>
      <c r="AQ296" s="4"/>
      <c r="AR296" s="4"/>
      <c r="AS296" s="4"/>
      <c r="AT296" s="4"/>
      <c r="AU296" s="4"/>
      <c r="AV296" s="4"/>
      <c r="AW296" s="4"/>
      <c r="AX296" s="4"/>
      <c r="AY296" s="4"/>
      <c r="AZ296" s="4"/>
      <c r="BA296" s="4"/>
      <c r="BB296" s="4"/>
      <c r="BC296" s="4"/>
      <c r="BD296" s="4"/>
      <c r="BE296" s="4"/>
      <c r="BF296" s="4"/>
      <c r="BG296" s="4"/>
      <c r="BH296" s="4"/>
      <c r="BI296" s="4"/>
      <c r="BJ296" s="4"/>
      <c r="BK296" s="4"/>
      <c r="BL296" s="4"/>
      <c r="BM296" s="4"/>
      <c r="BN296" s="4"/>
      <c r="BO296" s="4"/>
      <c r="BP296" s="4"/>
      <c r="BQ296" s="4"/>
      <c r="BR296" s="4"/>
      <c r="BS296" s="4"/>
      <c r="BT296" s="4"/>
      <c r="BU296" s="4"/>
      <c r="BV296" s="4"/>
      <c r="BW296" s="4"/>
      <c r="BX296" s="4"/>
      <c r="BY296" s="4"/>
      <c r="BZ296" s="4"/>
      <c r="CA296" s="4"/>
      <c r="CB296" s="4"/>
      <c r="CC296" s="4"/>
      <c r="CD296" s="4"/>
      <c r="CE296" s="4"/>
      <c r="CF296" s="4"/>
      <c r="CG296" s="4"/>
      <c r="CH296" s="4"/>
      <c r="CI296" s="4"/>
    </row>
    <row r="297" ht="14.25" customHeight="1" spans="1:87" x14ac:dyDescent="0.25">
      <c r="A297" s="4"/>
      <c r="B297" s="4"/>
      <c r="C297" s="4"/>
      <c r="D297" s="4"/>
      <c r="E297" s="4"/>
      <c r="F297" s="4"/>
      <c r="G297" s="4"/>
      <c r="H297" s="4"/>
      <c r="I297" s="4"/>
      <c r="J297" s="4"/>
      <c r="K297" s="242"/>
      <c r="L297" s="4"/>
      <c r="M297" s="4"/>
      <c r="N297" s="4"/>
      <c r="O297" s="4"/>
      <c r="P297" s="4"/>
      <c r="Q297" s="4"/>
      <c r="R297" s="4"/>
      <c r="S297" s="4"/>
      <c r="T297" s="4"/>
      <c r="U297" s="4"/>
      <c r="V297" s="4"/>
      <c r="W297" s="4"/>
      <c r="X297" s="4"/>
      <c r="Y297" s="4"/>
      <c r="Z297" s="4"/>
      <c r="AA297" s="4"/>
      <c r="AB297" s="4"/>
      <c r="AC297" s="4"/>
      <c r="AD297" s="4"/>
      <c r="AE297" s="4"/>
      <c r="AF297" s="4"/>
      <c r="AG297" s="4"/>
      <c r="AH297" s="4"/>
      <c r="AI297" s="4"/>
      <c r="AJ297" s="4"/>
      <c r="AK297" s="4"/>
      <c r="AL297" s="4"/>
      <c r="AM297" s="4"/>
      <c r="AN297" s="4"/>
      <c r="AO297" s="4"/>
      <c r="AP297" s="4"/>
      <c r="AQ297" s="4"/>
      <c r="AR297" s="4"/>
      <c r="AS297" s="4"/>
      <c r="AT297" s="4"/>
      <c r="AU297" s="4"/>
      <c r="AV297" s="4"/>
      <c r="AW297" s="4"/>
      <c r="AX297" s="4"/>
      <c r="AY297" s="4"/>
      <c r="AZ297" s="4"/>
      <c r="BA297" s="4"/>
      <c r="BB297" s="4"/>
      <c r="BC297" s="4"/>
      <c r="BD297" s="4"/>
      <c r="BE297" s="4"/>
      <c r="BF297" s="4"/>
      <c r="BG297" s="4"/>
      <c r="BH297" s="4"/>
      <c r="BI297" s="4"/>
      <c r="BJ297" s="4"/>
      <c r="BK297" s="4"/>
      <c r="BL297" s="4"/>
      <c r="BM297" s="4"/>
      <c r="BN297" s="4"/>
      <c r="BO297" s="4"/>
      <c r="BP297" s="4"/>
      <c r="BQ297" s="4"/>
      <c r="BR297" s="4"/>
      <c r="BS297" s="4"/>
      <c r="BT297" s="4"/>
      <c r="BU297" s="4"/>
      <c r="BV297" s="4"/>
      <c r="BW297" s="4"/>
      <c r="BX297" s="4"/>
      <c r="BY297" s="4"/>
      <c r="BZ297" s="4"/>
      <c r="CA297" s="4"/>
      <c r="CB297" s="4"/>
      <c r="CC297" s="4"/>
      <c r="CD297" s="4"/>
      <c r="CE297" s="4"/>
      <c r="CF297" s="4"/>
      <c r="CG297" s="4"/>
      <c r="CH297" s="4"/>
      <c r="CI297" s="4"/>
    </row>
    <row r="298" ht="14.25" customHeight="1" spans="1:87" x14ac:dyDescent="0.25">
      <c r="A298" s="4"/>
      <c r="B298" s="4"/>
      <c r="C298" s="4"/>
      <c r="D298" s="4"/>
      <c r="E298" s="4"/>
      <c r="F298" s="4"/>
      <c r="G298" s="4"/>
      <c r="H298" s="4"/>
      <c r="I298" s="4"/>
      <c r="J298" s="4"/>
      <c r="K298" s="242"/>
      <c r="L298" s="4"/>
      <c r="M298" s="4"/>
      <c r="N298" s="4"/>
      <c r="O298" s="4"/>
      <c r="P298" s="4"/>
      <c r="Q298" s="4"/>
      <c r="R298" s="4"/>
      <c r="S298" s="4"/>
      <c r="T298" s="4"/>
      <c r="U298" s="4"/>
      <c r="V298" s="4"/>
      <c r="W298" s="4"/>
      <c r="X298" s="4"/>
      <c r="Y298" s="4"/>
      <c r="Z298" s="4"/>
      <c r="AA298" s="4"/>
      <c r="AB298" s="4"/>
      <c r="AC298" s="4"/>
      <c r="AD298" s="4"/>
      <c r="AE298" s="4"/>
      <c r="AF298" s="4"/>
      <c r="AG298" s="4"/>
      <c r="AH298" s="4"/>
      <c r="AI298" s="4"/>
      <c r="AJ298" s="4"/>
      <c r="AK298" s="4"/>
      <c r="AL298" s="4"/>
      <c r="AM298" s="4"/>
      <c r="AN298" s="4"/>
      <c r="AO298" s="4"/>
      <c r="AP298" s="4"/>
      <c r="AQ298" s="4"/>
      <c r="AR298" s="4"/>
      <c r="AS298" s="4"/>
      <c r="AT298" s="4"/>
      <c r="AU298" s="4"/>
      <c r="AV298" s="4"/>
      <c r="AW298" s="4"/>
      <c r="AX298" s="4"/>
      <c r="AY298" s="4"/>
      <c r="AZ298" s="4"/>
      <c r="BA298" s="4"/>
      <c r="BB298" s="4"/>
      <c r="BC298" s="4"/>
      <c r="BD298" s="4"/>
      <c r="BE298" s="4"/>
      <c r="BF298" s="4"/>
      <c r="BG298" s="4"/>
      <c r="BH298" s="4"/>
      <c r="BI298" s="4"/>
      <c r="BJ298" s="4"/>
      <c r="BK298" s="4"/>
      <c r="BL298" s="4"/>
      <c r="BM298" s="4"/>
      <c r="BN298" s="4"/>
      <c r="BO298" s="4"/>
      <c r="BP298" s="4"/>
      <c r="BQ298" s="4"/>
      <c r="BR298" s="4"/>
      <c r="BS298" s="4"/>
      <c r="BT298" s="4"/>
      <c r="BU298" s="4"/>
      <c r="BV298" s="4"/>
      <c r="BW298" s="4"/>
      <c r="BX298" s="4"/>
      <c r="BY298" s="4"/>
      <c r="BZ298" s="4"/>
      <c r="CA298" s="4"/>
      <c r="CB298" s="4"/>
      <c r="CC298" s="4"/>
      <c r="CD298" s="4"/>
      <c r="CE298" s="4"/>
      <c r="CF298" s="4"/>
      <c r="CG298" s="4"/>
      <c r="CH298" s="4"/>
      <c r="CI298" s="4"/>
    </row>
    <row r="299" ht="14.25" customHeight="1" spans="1:87" x14ac:dyDescent="0.25">
      <c r="A299" s="4"/>
      <c r="B299" s="4"/>
      <c r="C299" s="4"/>
      <c r="D299" s="4"/>
      <c r="E299" s="4"/>
      <c r="F299" s="4"/>
      <c r="G299" s="4"/>
      <c r="H299" s="4"/>
      <c r="I299" s="4"/>
      <c r="J299" s="4"/>
      <c r="K299" s="242"/>
      <c r="L299" s="4"/>
      <c r="M299" s="4"/>
      <c r="N299" s="4"/>
      <c r="O299" s="4"/>
      <c r="P299" s="4"/>
      <c r="Q299" s="4"/>
      <c r="R299" s="4"/>
      <c r="S299" s="4"/>
      <c r="T299" s="4"/>
      <c r="U299" s="4"/>
      <c r="V299" s="4"/>
      <c r="W299" s="4"/>
      <c r="X299" s="4"/>
      <c r="Y299" s="4"/>
      <c r="Z299" s="4"/>
      <c r="AA299" s="4"/>
      <c r="AB299" s="4"/>
      <c r="AC299" s="4"/>
      <c r="AD299" s="4"/>
      <c r="AE299" s="4"/>
      <c r="AF299" s="4"/>
      <c r="AG299" s="4"/>
      <c r="AH299" s="4"/>
      <c r="AI299" s="4"/>
      <c r="AJ299" s="4"/>
      <c r="AK299" s="4"/>
      <c r="AL299" s="4"/>
      <c r="AM299" s="4"/>
      <c r="AN299" s="4"/>
      <c r="AO299" s="4"/>
      <c r="AP299" s="4"/>
      <c r="AQ299" s="4"/>
      <c r="AR299" s="4"/>
      <c r="AS299" s="4"/>
      <c r="AT299" s="4"/>
      <c r="AU299" s="4"/>
      <c r="AV299" s="4"/>
      <c r="AW299" s="4"/>
      <c r="AX299" s="4"/>
      <c r="AY299" s="4"/>
      <c r="AZ299" s="4"/>
      <c r="BA299" s="4"/>
      <c r="BB299" s="4"/>
      <c r="BC299" s="4"/>
      <c r="BD299" s="4"/>
      <c r="BE299" s="4"/>
      <c r="BF299" s="4"/>
      <c r="BG299" s="4"/>
      <c r="BH299" s="4"/>
      <c r="BI299" s="4"/>
      <c r="BJ299" s="4"/>
      <c r="BK299" s="4"/>
      <c r="BL299" s="4"/>
      <c r="BM299" s="4"/>
      <c r="BN299" s="4"/>
      <c r="BO299" s="4"/>
      <c r="BP299" s="4"/>
      <c r="BQ299" s="4"/>
      <c r="BR299" s="4"/>
      <c r="BS299" s="4"/>
      <c r="BT299" s="4"/>
      <c r="BU299" s="4"/>
      <c r="BV299" s="4"/>
      <c r="BW299" s="4"/>
      <c r="BX299" s="4"/>
      <c r="BY299" s="4"/>
      <c r="BZ299" s="4"/>
      <c r="CA299" s="4"/>
      <c r="CB299" s="4"/>
      <c r="CC299" s="4"/>
      <c r="CD299" s="4"/>
      <c r="CE299" s="4"/>
      <c r="CF299" s="4"/>
      <c r="CG299" s="4"/>
      <c r="CH299" s="4"/>
      <c r="CI299" s="4"/>
    </row>
    <row r="300" ht="14.25" customHeight="1" spans="1:87" x14ac:dyDescent="0.25">
      <c r="A300" s="4"/>
      <c r="B300" s="4"/>
      <c r="C300" s="4"/>
      <c r="D300" s="4"/>
      <c r="E300" s="4"/>
      <c r="F300" s="4"/>
      <c r="G300" s="4"/>
      <c r="H300" s="4"/>
      <c r="I300" s="4"/>
      <c r="J300" s="4"/>
      <c r="K300" s="242"/>
      <c r="L300" s="4"/>
      <c r="M300" s="4"/>
      <c r="N300" s="4"/>
      <c r="O300" s="4"/>
      <c r="P300" s="4"/>
      <c r="Q300" s="4"/>
      <c r="R300" s="4"/>
      <c r="S300" s="4"/>
      <c r="T300" s="4"/>
      <c r="U300" s="4"/>
      <c r="V300" s="4"/>
      <c r="W300" s="4"/>
      <c r="X300" s="4"/>
      <c r="Y300" s="4"/>
      <c r="Z300" s="4"/>
      <c r="AA300" s="4"/>
      <c r="AB300" s="4"/>
      <c r="AC300" s="4"/>
      <c r="AD300" s="4"/>
      <c r="AE300" s="4"/>
      <c r="AF300" s="4"/>
      <c r="AG300" s="4"/>
      <c r="AH300" s="4"/>
      <c r="AI300" s="4"/>
      <c r="AJ300" s="4"/>
      <c r="AK300" s="4"/>
      <c r="AL300" s="4"/>
      <c r="AM300" s="4"/>
      <c r="AN300" s="4"/>
      <c r="AO300" s="4"/>
      <c r="AP300" s="4"/>
      <c r="AQ300" s="4"/>
      <c r="AR300" s="4"/>
      <c r="AS300" s="4"/>
      <c r="AT300" s="4"/>
      <c r="AU300" s="4"/>
      <c r="AV300" s="4"/>
      <c r="AW300" s="4"/>
      <c r="AX300" s="4"/>
      <c r="AY300" s="4"/>
      <c r="AZ300" s="4"/>
      <c r="BA300" s="4"/>
      <c r="BB300" s="4"/>
      <c r="BC300" s="4"/>
      <c r="BD300" s="4"/>
      <c r="BE300" s="4"/>
      <c r="BF300" s="4"/>
      <c r="BG300" s="4"/>
      <c r="BH300" s="4"/>
      <c r="BI300" s="4"/>
      <c r="BJ300" s="4"/>
      <c r="BK300" s="4"/>
      <c r="BL300" s="4"/>
      <c r="BM300" s="4"/>
      <c r="BN300" s="4"/>
      <c r="BO300" s="4"/>
      <c r="BP300" s="4"/>
      <c r="BQ300" s="4"/>
      <c r="BR300" s="4"/>
      <c r="BS300" s="4"/>
      <c r="BT300" s="4"/>
      <c r="BU300" s="4"/>
      <c r="BV300" s="4"/>
      <c r="BW300" s="4"/>
      <c r="BX300" s="4"/>
      <c r="BY300" s="4"/>
      <c r="BZ300" s="4"/>
      <c r="CA300" s="4"/>
      <c r="CB300" s="4"/>
      <c r="CC300" s="4"/>
      <c r="CD300" s="4"/>
      <c r="CE300" s="4"/>
      <c r="CF300" s="4"/>
      <c r="CG300" s="4"/>
      <c r="CH300" s="4"/>
      <c r="CI300" s="4"/>
    </row>
    <row r="301" ht="14.25" customHeight="1" spans="1:87" x14ac:dyDescent="0.25">
      <c r="A301" s="4"/>
      <c r="B301" s="4"/>
      <c r="C301" s="4"/>
      <c r="D301" s="4"/>
      <c r="E301" s="4"/>
      <c r="F301" s="4"/>
      <c r="G301" s="4"/>
      <c r="H301" s="4"/>
      <c r="I301" s="4"/>
      <c r="J301" s="4"/>
      <c r="K301" s="242"/>
      <c r="L301" s="4"/>
      <c r="M301" s="4"/>
      <c r="N301" s="4"/>
      <c r="O301" s="4"/>
      <c r="P301" s="4"/>
      <c r="Q301" s="4"/>
      <c r="R301" s="4"/>
      <c r="S301" s="4"/>
      <c r="T301" s="4"/>
      <c r="U301" s="4"/>
      <c r="V301" s="4"/>
      <c r="W301" s="4"/>
      <c r="X301" s="4"/>
      <c r="Y301" s="4"/>
      <c r="Z301" s="4"/>
      <c r="AA301" s="4"/>
      <c r="AB301" s="4"/>
      <c r="AC301" s="4"/>
      <c r="AD301" s="4"/>
      <c r="AE301" s="4"/>
      <c r="AF301" s="4"/>
      <c r="AG301" s="4"/>
      <c r="AH301" s="4"/>
      <c r="AI301" s="4"/>
      <c r="AJ301" s="4"/>
      <c r="AK301" s="4"/>
      <c r="AL301" s="4"/>
      <c r="AM301" s="4"/>
      <c r="AN301" s="4"/>
      <c r="AO301" s="4"/>
      <c r="AP301" s="4"/>
      <c r="AQ301" s="4"/>
      <c r="AR301" s="4"/>
      <c r="AS301" s="4"/>
      <c r="AT301" s="4"/>
      <c r="AU301" s="4"/>
      <c r="AV301" s="4"/>
      <c r="AW301" s="4"/>
      <c r="AX301" s="4"/>
      <c r="AY301" s="4"/>
      <c r="AZ301" s="4"/>
      <c r="BA301" s="4"/>
      <c r="BB301" s="4"/>
      <c r="BC301" s="4"/>
      <c r="BD301" s="4"/>
      <c r="BE301" s="4"/>
      <c r="BF301" s="4"/>
      <c r="BG301" s="4"/>
      <c r="BH301" s="4"/>
      <c r="BI301" s="4"/>
      <c r="BJ301" s="4"/>
      <c r="BK301" s="4"/>
      <c r="BL301" s="4"/>
      <c r="BM301" s="4"/>
      <c r="BN301" s="4"/>
      <c r="BO301" s="4"/>
      <c r="BP301" s="4"/>
      <c r="BQ301" s="4"/>
      <c r="BR301" s="4"/>
      <c r="BS301" s="4"/>
      <c r="BT301" s="4"/>
      <c r="BU301" s="4"/>
      <c r="BV301" s="4"/>
      <c r="BW301" s="4"/>
      <c r="BX301" s="4"/>
      <c r="BY301" s="4"/>
      <c r="BZ301" s="4"/>
      <c r="CA301" s="4"/>
      <c r="CB301" s="4"/>
      <c r="CC301" s="4"/>
      <c r="CD301" s="4"/>
      <c r="CE301" s="4"/>
      <c r="CF301" s="4"/>
      <c r="CG301" s="4"/>
      <c r="CH301" s="4"/>
      <c r="CI301" s="4"/>
    </row>
    <row r="302" ht="14.25" customHeight="1" spans="1:87" x14ac:dyDescent="0.25">
      <c r="A302" s="4"/>
      <c r="B302" s="4"/>
      <c r="C302" s="4"/>
      <c r="D302" s="4"/>
      <c r="E302" s="4"/>
      <c r="F302" s="4"/>
      <c r="G302" s="4"/>
      <c r="H302" s="4"/>
      <c r="I302" s="4"/>
      <c r="J302" s="4"/>
      <c r="K302" s="242"/>
      <c r="L302" s="4"/>
      <c r="M302" s="4"/>
      <c r="N302" s="4"/>
      <c r="O302" s="4"/>
      <c r="P302" s="4"/>
      <c r="Q302" s="4"/>
      <c r="R302" s="4"/>
      <c r="S302" s="4"/>
      <c r="T302" s="4"/>
      <c r="U302" s="4"/>
      <c r="V302" s="4"/>
      <c r="W302" s="4"/>
      <c r="X302" s="4"/>
      <c r="Y302" s="4"/>
      <c r="Z302" s="4"/>
      <c r="AA302" s="4"/>
      <c r="AB302" s="4"/>
      <c r="AC302" s="4"/>
      <c r="AD302" s="4"/>
      <c r="AE302" s="4"/>
      <c r="AF302" s="4"/>
      <c r="AG302" s="4"/>
      <c r="AH302" s="4"/>
      <c r="AI302" s="4"/>
      <c r="AJ302" s="4"/>
      <c r="AK302" s="4"/>
      <c r="AL302" s="4"/>
      <c r="AM302" s="4"/>
      <c r="AN302" s="4"/>
      <c r="AO302" s="4"/>
      <c r="AP302" s="4"/>
      <c r="AQ302" s="4"/>
      <c r="AR302" s="4"/>
      <c r="AS302" s="4"/>
      <c r="AT302" s="4"/>
      <c r="AU302" s="4"/>
      <c r="AV302" s="4"/>
      <c r="AW302" s="4"/>
      <c r="AX302" s="4"/>
      <c r="AY302" s="4"/>
      <c r="AZ302" s="4"/>
      <c r="BA302" s="4"/>
      <c r="BB302" s="4"/>
      <c r="BC302" s="4"/>
      <c r="BD302" s="4"/>
      <c r="BE302" s="4"/>
      <c r="BF302" s="4"/>
      <c r="BG302" s="4"/>
      <c r="BH302" s="4"/>
      <c r="BI302" s="4"/>
      <c r="BJ302" s="4"/>
      <c r="BK302" s="4"/>
      <c r="BL302" s="4"/>
      <c r="BM302" s="4"/>
      <c r="BN302" s="4"/>
      <c r="BO302" s="4"/>
      <c r="BP302" s="4"/>
      <c r="BQ302" s="4"/>
      <c r="BR302" s="4"/>
      <c r="BS302" s="4"/>
      <c r="BT302" s="4"/>
      <c r="BU302" s="4"/>
      <c r="BV302" s="4"/>
      <c r="BW302" s="4"/>
      <c r="BX302" s="4"/>
      <c r="BY302" s="4"/>
      <c r="BZ302" s="4"/>
      <c r="CA302" s="4"/>
      <c r="CB302" s="4"/>
      <c r="CC302" s="4"/>
      <c r="CD302" s="4"/>
      <c r="CE302" s="4"/>
      <c r="CF302" s="4"/>
      <c r="CG302" s="4"/>
      <c r="CH302" s="4"/>
      <c r="CI302" s="4"/>
    </row>
    <row r="303" ht="14.25" customHeight="1" spans="1:87" x14ac:dyDescent="0.25">
      <c r="A303" s="4"/>
      <c r="B303" s="4"/>
      <c r="C303" s="4"/>
      <c r="D303" s="4"/>
      <c r="E303" s="4"/>
      <c r="F303" s="4"/>
      <c r="G303" s="4"/>
      <c r="H303" s="4"/>
      <c r="I303" s="4"/>
      <c r="J303" s="4"/>
      <c r="K303" s="242"/>
      <c r="L303" s="4"/>
      <c r="M303" s="4"/>
      <c r="N303" s="4"/>
      <c r="O303" s="4"/>
      <c r="P303" s="4"/>
      <c r="Q303" s="4"/>
      <c r="R303" s="4"/>
      <c r="S303" s="4"/>
      <c r="T303" s="4"/>
      <c r="U303" s="4"/>
      <c r="V303" s="4"/>
      <c r="W303" s="4"/>
      <c r="X303" s="4"/>
      <c r="Y303" s="4"/>
      <c r="Z303" s="4"/>
      <c r="AA303" s="4"/>
      <c r="AB303" s="4"/>
      <c r="AC303" s="4"/>
      <c r="AD303" s="4"/>
      <c r="AE303" s="4"/>
      <c r="AF303" s="4"/>
      <c r="AG303" s="4"/>
      <c r="AH303" s="4"/>
      <c r="AI303" s="4"/>
      <c r="AJ303" s="4"/>
      <c r="AK303" s="4"/>
      <c r="AL303" s="4"/>
      <c r="AM303" s="4"/>
      <c r="AN303" s="4"/>
      <c r="AO303" s="4"/>
      <c r="AP303" s="4"/>
      <c r="AQ303" s="4"/>
      <c r="AR303" s="4"/>
      <c r="AS303" s="4"/>
      <c r="AT303" s="4"/>
      <c r="AU303" s="4"/>
      <c r="AV303" s="4"/>
      <c r="AW303" s="4"/>
      <c r="AX303" s="4"/>
      <c r="AY303" s="4"/>
      <c r="AZ303" s="4"/>
      <c r="BA303" s="4"/>
      <c r="BB303" s="4"/>
      <c r="BC303" s="4"/>
      <c r="BD303" s="4"/>
      <c r="BE303" s="4"/>
      <c r="BF303" s="4"/>
      <c r="BG303" s="4"/>
      <c r="BH303" s="4"/>
      <c r="BI303" s="4"/>
      <c r="BJ303" s="4"/>
      <c r="BK303" s="4"/>
      <c r="BL303" s="4"/>
      <c r="BM303" s="4"/>
      <c r="BN303" s="4"/>
      <c r="BO303" s="4"/>
      <c r="BP303" s="4"/>
      <c r="BQ303" s="4"/>
      <c r="BR303" s="4"/>
      <c r="BS303" s="4"/>
      <c r="BT303" s="4"/>
      <c r="BU303" s="4"/>
      <c r="BV303" s="4"/>
      <c r="BW303" s="4"/>
      <c r="BX303" s="4"/>
      <c r="BY303" s="4"/>
      <c r="BZ303" s="4"/>
      <c r="CA303" s="4"/>
      <c r="CB303" s="4"/>
      <c r="CC303" s="4"/>
      <c r="CD303" s="4"/>
      <c r="CE303" s="4"/>
      <c r="CF303" s="4"/>
      <c r="CG303" s="4"/>
      <c r="CH303" s="4"/>
      <c r="CI303" s="4"/>
    </row>
    <row r="304" ht="14.25" customHeight="1" spans="1:87" x14ac:dyDescent="0.25">
      <c r="A304" s="4"/>
      <c r="B304" s="4"/>
      <c r="C304" s="4"/>
      <c r="D304" s="4"/>
      <c r="E304" s="4"/>
      <c r="F304" s="4"/>
      <c r="G304" s="4"/>
      <c r="H304" s="4"/>
      <c r="I304" s="4"/>
      <c r="J304" s="4"/>
      <c r="K304" s="242"/>
      <c r="L304" s="4"/>
      <c r="M304" s="4"/>
      <c r="N304" s="4"/>
      <c r="O304" s="4"/>
      <c r="P304" s="4"/>
      <c r="Q304" s="4"/>
      <c r="R304" s="4"/>
      <c r="S304" s="4"/>
      <c r="T304" s="4"/>
      <c r="U304" s="4"/>
      <c r="V304" s="4"/>
      <c r="W304" s="4"/>
      <c r="X304" s="4"/>
      <c r="Y304" s="4"/>
      <c r="Z304" s="4"/>
      <c r="AA304" s="4"/>
      <c r="AB304" s="4"/>
      <c r="AC304" s="4"/>
      <c r="AD304" s="4"/>
      <c r="AE304" s="4"/>
      <c r="AF304" s="4"/>
      <c r="AG304" s="4"/>
      <c r="AH304" s="4"/>
      <c r="AI304" s="4"/>
      <c r="AJ304" s="4"/>
      <c r="AK304" s="4"/>
      <c r="AL304" s="4"/>
      <c r="AM304" s="4"/>
      <c r="AN304" s="4"/>
      <c r="AO304" s="4"/>
      <c r="AP304" s="4"/>
      <c r="AQ304" s="4"/>
      <c r="AR304" s="4"/>
      <c r="AS304" s="4"/>
      <c r="AT304" s="4"/>
      <c r="AU304" s="4"/>
      <c r="AV304" s="4"/>
      <c r="AW304" s="4"/>
      <c r="AX304" s="4"/>
      <c r="AY304" s="4"/>
      <c r="AZ304" s="4"/>
      <c r="BA304" s="4"/>
      <c r="BB304" s="4"/>
      <c r="BC304" s="4"/>
      <c r="BD304" s="4"/>
      <c r="BE304" s="4"/>
      <c r="BF304" s="4"/>
      <c r="BG304" s="4"/>
      <c r="BH304" s="4"/>
      <c r="BI304" s="4"/>
      <c r="BJ304" s="4"/>
      <c r="BK304" s="4"/>
      <c r="BL304" s="4"/>
      <c r="BM304" s="4"/>
      <c r="BN304" s="4"/>
      <c r="BO304" s="4"/>
      <c r="BP304" s="4"/>
      <c r="BQ304" s="4"/>
      <c r="BR304" s="4"/>
      <c r="BS304" s="4"/>
      <c r="BT304" s="4"/>
      <c r="BU304" s="4"/>
      <c r="BV304" s="4"/>
      <c r="BW304" s="4"/>
      <c r="BX304" s="4"/>
      <c r="BY304" s="4"/>
      <c r="BZ304" s="4"/>
      <c r="CA304" s="4"/>
      <c r="CB304" s="4"/>
      <c r="CC304" s="4"/>
      <c r="CD304" s="4"/>
      <c r="CE304" s="4"/>
      <c r="CF304" s="4"/>
      <c r="CG304" s="4"/>
      <c r="CH304" s="4"/>
      <c r="CI304" s="4"/>
    </row>
    <row r="305" ht="14.25" customHeight="1" spans="1:87" x14ac:dyDescent="0.25">
      <c r="A305" s="4"/>
      <c r="B305" s="4"/>
      <c r="C305" s="4"/>
      <c r="D305" s="4"/>
      <c r="E305" s="4"/>
      <c r="F305" s="4"/>
      <c r="G305" s="4"/>
      <c r="H305" s="4"/>
      <c r="I305" s="4"/>
      <c r="J305" s="4"/>
      <c r="K305" s="242"/>
      <c r="L305" s="4"/>
      <c r="M305" s="4"/>
      <c r="N305" s="4"/>
      <c r="O305" s="4"/>
      <c r="P305" s="4"/>
      <c r="Q305" s="4"/>
      <c r="R305" s="4"/>
      <c r="S305" s="4"/>
      <c r="T305" s="4"/>
      <c r="U305" s="4"/>
      <c r="V305" s="4"/>
      <c r="W305" s="4"/>
      <c r="X305" s="4"/>
      <c r="Y305" s="4"/>
      <c r="Z305" s="4"/>
      <c r="AA305" s="4"/>
      <c r="AB305" s="4"/>
      <c r="AC305" s="4"/>
      <c r="AD305" s="4"/>
      <c r="AE305" s="4"/>
      <c r="AF305" s="4"/>
      <c r="AG305" s="4"/>
      <c r="AH305" s="4"/>
      <c r="AI305" s="4"/>
      <c r="AJ305" s="4"/>
      <c r="AK305" s="4"/>
      <c r="AL305" s="4"/>
      <c r="AM305" s="4"/>
      <c r="AN305" s="4"/>
      <c r="AO305" s="4"/>
      <c r="AP305" s="4"/>
      <c r="AQ305" s="4"/>
      <c r="AR305" s="4"/>
      <c r="AS305" s="4"/>
      <c r="AT305" s="4"/>
      <c r="AU305" s="4"/>
      <c r="AV305" s="4"/>
      <c r="AW305" s="4"/>
      <c r="AX305" s="4"/>
      <c r="AY305" s="4"/>
      <c r="AZ305" s="4"/>
      <c r="BA305" s="4"/>
      <c r="BB305" s="4"/>
      <c r="BC305" s="4"/>
      <c r="BD305" s="4"/>
      <c r="BE305" s="4"/>
      <c r="BF305" s="4"/>
      <c r="BG305" s="4"/>
      <c r="BH305" s="4"/>
      <c r="BI305" s="4"/>
      <c r="BJ305" s="4"/>
      <c r="BK305" s="4"/>
      <c r="BL305" s="4"/>
      <c r="BM305" s="4"/>
      <c r="BN305" s="4"/>
      <c r="BO305" s="4"/>
      <c r="BP305" s="4"/>
      <c r="BQ305" s="4"/>
      <c r="BR305" s="4"/>
      <c r="BS305" s="4"/>
      <c r="BT305" s="4"/>
      <c r="BU305" s="4"/>
      <c r="BV305" s="4"/>
      <c r="BW305" s="4"/>
      <c r="BX305" s="4"/>
      <c r="BY305" s="4"/>
      <c r="BZ305" s="4"/>
      <c r="CA305" s="4"/>
      <c r="CB305" s="4"/>
      <c r="CC305" s="4"/>
      <c r="CD305" s="4"/>
      <c r="CE305" s="4"/>
      <c r="CF305" s="4"/>
      <c r="CG305" s="4"/>
      <c r="CH305" s="4"/>
      <c r="CI305" s="4"/>
    </row>
    <row r="306" ht="14.25" customHeight="1" spans="1:87" x14ac:dyDescent="0.25">
      <c r="A306" s="4"/>
      <c r="B306" s="4"/>
      <c r="C306" s="4"/>
      <c r="D306" s="4"/>
      <c r="E306" s="4"/>
      <c r="F306" s="4"/>
      <c r="G306" s="4"/>
      <c r="H306" s="4"/>
      <c r="I306" s="4"/>
      <c r="J306" s="4"/>
      <c r="K306" s="242"/>
      <c r="L306" s="4"/>
      <c r="M306" s="4"/>
      <c r="N306" s="4"/>
      <c r="O306" s="4"/>
      <c r="P306" s="4"/>
      <c r="Q306" s="4"/>
      <c r="R306" s="4"/>
      <c r="S306" s="4"/>
      <c r="T306" s="4"/>
      <c r="U306" s="4"/>
      <c r="V306" s="4"/>
      <c r="W306" s="4"/>
      <c r="X306" s="4"/>
      <c r="Y306" s="4"/>
      <c r="Z306" s="4"/>
      <c r="AA306" s="4"/>
      <c r="AB306" s="4"/>
      <c r="AC306" s="4"/>
      <c r="AD306" s="4"/>
      <c r="AE306" s="4"/>
      <c r="AF306" s="4"/>
      <c r="AG306" s="4"/>
      <c r="AH306" s="4"/>
      <c r="AI306" s="4"/>
      <c r="AJ306" s="4"/>
      <c r="AK306" s="4"/>
      <c r="AL306" s="4"/>
      <c r="AM306" s="4"/>
      <c r="AN306" s="4"/>
      <c r="AO306" s="4"/>
      <c r="AP306" s="4"/>
      <c r="AQ306" s="4"/>
      <c r="AR306" s="4"/>
      <c r="AS306" s="4"/>
      <c r="AT306" s="4"/>
      <c r="AU306" s="4"/>
      <c r="AV306" s="4"/>
      <c r="AW306" s="4"/>
      <c r="AX306" s="4"/>
      <c r="AY306" s="4"/>
      <c r="AZ306" s="4"/>
      <c r="BA306" s="4"/>
      <c r="BB306" s="4"/>
      <c r="BC306" s="4"/>
      <c r="BD306" s="4"/>
      <c r="BE306" s="4"/>
      <c r="BF306" s="4"/>
      <c r="BG306" s="4"/>
      <c r="BH306" s="4"/>
      <c r="BI306" s="4"/>
      <c r="BJ306" s="4"/>
      <c r="BK306" s="4"/>
      <c r="BL306" s="4"/>
      <c r="BM306" s="4"/>
      <c r="BN306" s="4"/>
      <c r="BO306" s="4"/>
      <c r="BP306" s="4"/>
      <c r="BQ306" s="4"/>
      <c r="BR306" s="4"/>
      <c r="BS306" s="4"/>
      <c r="BT306" s="4"/>
      <c r="BU306" s="4"/>
      <c r="BV306" s="4"/>
      <c r="BW306" s="4"/>
      <c r="BX306" s="4"/>
      <c r="BY306" s="4"/>
      <c r="BZ306" s="4"/>
      <c r="CA306" s="4"/>
      <c r="CB306" s="4"/>
      <c r="CC306" s="4"/>
      <c r="CD306" s="4"/>
      <c r="CE306" s="4"/>
      <c r="CF306" s="4"/>
      <c r="CG306" s="4"/>
      <c r="CH306" s="4"/>
      <c r="CI306" s="4"/>
    </row>
    <row r="307" ht="14.25" customHeight="1" spans="1:87" x14ac:dyDescent="0.25">
      <c r="A307" s="4"/>
      <c r="B307" s="4"/>
      <c r="C307" s="4"/>
      <c r="D307" s="4"/>
      <c r="E307" s="4"/>
      <c r="F307" s="4"/>
      <c r="G307" s="4"/>
      <c r="H307" s="4"/>
      <c r="I307" s="4"/>
      <c r="J307" s="4"/>
      <c r="K307" s="242"/>
      <c r="L307" s="4"/>
      <c r="M307" s="4"/>
      <c r="N307" s="4"/>
      <c r="O307" s="4"/>
      <c r="P307" s="4"/>
      <c r="Q307" s="4"/>
      <c r="R307" s="4"/>
      <c r="S307" s="4"/>
      <c r="T307" s="4"/>
      <c r="U307" s="4"/>
      <c r="V307" s="4"/>
      <c r="W307" s="4"/>
      <c r="X307" s="4"/>
      <c r="Y307" s="4"/>
      <c r="Z307" s="4"/>
      <c r="AA307" s="4"/>
      <c r="AB307" s="4"/>
      <c r="AC307" s="4"/>
      <c r="AD307" s="4"/>
      <c r="AE307" s="4"/>
      <c r="AF307" s="4"/>
      <c r="AG307" s="4"/>
      <c r="AH307" s="4"/>
      <c r="AI307" s="4"/>
      <c r="AJ307" s="4"/>
      <c r="AK307" s="4"/>
      <c r="AL307" s="4"/>
      <c r="AM307" s="4"/>
      <c r="AN307" s="4"/>
      <c r="AO307" s="4"/>
      <c r="AP307" s="4"/>
      <c r="AQ307" s="4"/>
      <c r="AR307" s="4"/>
      <c r="AS307" s="4"/>
      <c r="AT307" s="4"/>
      <c r="AU307" s="4"/>
      <c r="AV307" s="4"/>
      <c r="AW307" s="4"/>
      <c r="AX307" s="4"/>
      <c r="AY307" s="4"/>
      <c r="AZ307" s="4"/>
      <c r="BA307" s="4"/>
      <c r="BB307" s="4"/>
      <c r="BC307" s="4"/>
      <c r="BD307" s="4"/>
      <c r="BE307" s="4"/>
      <c r="BF307" s="4"/>
      <c r="BG307" s="4"/>
      <c r="BH307" s="4"/>
      <c r="BI307" s="4"/>
      <c r="BJ307" s="4"/>
      <c r="BK307" s="4"/>
      <c r="BL307" s="4"/>
      <c r="BM307" s="4"/>
      <c r="BN307" s="4"/>
      <c r="BO307" s="4"/>
      <c r="BP307" s="4"/>
      <c r="BQ307" s="4"/>
      <c r="BR307" s="4"/>
      <c r="BS307" s="4"/>
      <c r="BT307" s="4"/>
      <c r="BU307" s="4"/>
      <c r="BV307" s="4"/>
      <c r="BW307" s="4"/>
      <c r="BX307" s="4"/>
      <c r="BY307" s="4"/>
      <c r="BZ307" s="4"/>
      <c r="CA307" s="4"/>
      <c r="CB307" s="4"/>
      <c r="CC307" s="4"/>
      <c r="CD307" s="4"/>
      <c r="CE307" s="4"/>
      <c r="CF307" s="4"/>
      <c r="CG307" s="4"/>
      <c r="CH307" s="4"/>
      <c r="CI307" s="4"/>
    </row>
    <row r="308" ht="14.25" customHeight="1" spans="1:87" x14ac:dyDescent="0.25">
      <c r="A308" s="4"/>
      <c r="B308" s="4"/>
      <c r="C308" s="4"/>
      <c r="D308" s="4"/>
      <c r="E308" s="4"/>
      <c r="F308" s="4"/>
      <c r="G308" s="4"/>
      <c r="H308" s="4"/>
      <c r="I308" s="4"/>
      <c r="J308" s="4"/>
      <c r="K308" s="242"/>
      <c r="L308" s="4"/>
      <c r="M308" s="4"/>
      <c r="N308" s="4"/>
      <c r="O308" s="4"/>
      <c r="P308" s="4"/>
      <c r="Q308" s="4"/>
      <c r="R308" s="4"/>
      <c r="S308" s="4"/>
      <c r="T308" s="4"/>
      <c r="U308" s="4"/>
      <c r="V308" s="4"/>
      <c r="W308" s="4"/>
      <c r="X308" s="4"/>
      <c r="Y308" s="4"/>
      <c r="Z308" s="4"/>
      <c r="AA308" s="4"/>
      <c r="AB308" s="4"/>
      <c r="AC308" s="4"/>
      <c r="AD308" s="4"/>
      <c r="AE308" s="4"/>
      <c r="AF308" s="4"/>
      <c r="AG308" s="4"/>
      <c r="AH308" s="4"/>
      <c r="AI308" s="4"/>
      <c r="AJ308" s="4"/>
      <c r="AK308" s="4"/>
      <c r="AL308" s="4"/>
      <c r="AM308" s="4"/>
      <c r="AN308" s="4"/>
      <c r="AO308" s="4"/>
      <c r="AP308" s="4"/>
      <c r="AQ308" s="4"/>
      <c r="AR308" s="4"/>
      <c r="AS308" s="4"/>
      <c r="AT308" s="4"/>
      <c r="AU308" s="4"/>
      <c r="AV308" s="4"/>
      <c r="AW308" s="4"/>
      <c r="AX308" s="4"/>
      <c r="AY308" s="4"/>
      <c r="AZ308" s="4"/>
      <c r="BA308" s="4"/>
      <c r="BB308" s="4"/>
      <c r="BC308" s="4"/>
      <c r="BD308" s="4"/>
      <c r="BE308" s="4"/>
      <c r="BF308" s="4"/>
      <c r="BG308" s="4"/>
      <c r="BH308" s="4"/>
      <c r="BI308" s="4"/>
      <c r="BJ308" s="4"/>
      <c r="BK308" s="4"/>
      <c r="BL308" s="4"/>
      <c r="BM308" s="4"/>
      <c r="BN308" s="4"/>
      <c r="BO308" s="4"/>
      <c r="BP308" s="4"/>
      <c r="BQ308" s="4"/>
      <c r="BR308" s="4"/>
      <c r="BS308" s="4"/>
      <c r="BT308" s="4"/>
      <c r="BU308" s="4"/>
      <c r="BV308" s="4"/>
      <c r="BW308" s="4"/>
      <c r="BX308" s="4"/>
      <c r="BY308" s="4"/>
      <c r="BZ308" s="4"/>
      <c r="CA308" s="4"/>
      <c r="CB308" s="4"/>
      <c r="CC308" s="4"/>
      <c r="CD308" s="4"/>
      <c r="CE308" s="4"/>
      <c r="CF308" s="4"/>
      <c r="CG308" s="4"/>
      <c r="CH308" s="4"/>
      <c r="CI308" s="4"/>
    </row>
    <row r="309" ht="14.25" customHeight="1" spans="1:87" x14ac:dyDescent="0.25">
      <c r="A309" s="4"/>
      <c r="B309" s="4"/>
      <c r="C309" s="4"/>
      <c r="D309" s="4"/>
      <c r="E309" s="4"/>
      <c r="F309" s="4"/>
      <c r="G309" s="4"/>
      <c r="H309" s="4"/>
      <c r="I309" s="4"/>
      <c r="J309" s="4"/>
      <c r="K309" s="242"/>
      <c r="L309" s="4"/>
      <c r="M309" s="4"/>
      <c r="N309" s="4"/>
      <c r="O309" s="4"/>
      <c r="P309" s="4"/>
      <c r="Q309" s="4"/>
      <c r="R309" s="4"/>
      <c r="S309" s="4"/>
      <c r="T309" s="4"/>
      <c r="U309" s="4"/>
      <c r="V309" s="4"/>
      <c r="W309" s="4"/>
      <c r="X309" s="4"/>
      <c r="Y309" s="4"/>
      <c r="Z309" s="4"/>
      <c r="AA309" s="4"/>
      <c r="AB309" s="4"/>
      <c r="AC309" s="4"/>
      <c r="AD309" s="4"/>
      <c r="AE309" s="4"/>
      <c r="AF309" s="4"/>
      <c r="AG309" s="4"/>
      <c r="AH309" s="4"/>
      <c r="AI309" s="4"/>
      <c r="AJ309" s="4"/>
      <c r="AK309" s="4"/>
      <c r="AL309" s="4"/>
      <c r="AM309" s="4"/>
      <c r="AN309" s="4"/>
      <c r="AO309" s="4"/>
      <c r="AP309" s="4"/>
      <c r="AQ309" s="4"/>
      <c r="AR309" s="4"/>
      <c r="AS309" s="4"/>
      <c r="AT309" s="4"/>
      <c r="AU309" s="4"/>
      <c r="AV309" s="4"/>
      <c r="AW309" s="4"/>
      <c r="AX309" s="4"/>
      <c r="AY309" s="4"/>
      <c r="AZ309" s="4"/>
      <c r="BA309" s="4"/>
      <c r="BB309" s="4"/>
      <c r="BC309" s="4"/>
      <c r="BD309" s="4"/>
      <c r="BE309" s="4"/>
      <c r="BF309" s="4"/>
      <c r="BG309" s="4"/>
      <c r="BH309" s="4"/>
      <c r="BI309" s="4"/>
      <c r="BJ309" s="4"/>
      <c r="BK309" s="4"/>
      <c r="BL309" s="4"/>
      <c r="BM309" s="4"/>
      <c r="BN309" s="4"/>
      <c r="BO309" s="4"/>
      <c r="BP309" s="4"/>
      <c r="BQ309" s="4"/>
      <c r="BR309" s="4"/>
      <c r="BS309" s="4"/>
      <c r="BT309" s="4"/>
      <c r="BU309" s="4"/>
      <c r="BV309" s="4"/>
      <c r="BW309" s="4"/>
      <c r="BX309" s="4"/>
      <c r="BY309" s="4"/>
      <c r="BZ309" s="4"/>
      <c r="CA309" s="4"/>
      <c r="CB309" s="4"/>
      <c r="CC309" s="4"/>
      <c r="CD309" s="4"/>
      <c r="CE309" s="4"/>
      <c r="CF309" s="4"/>
      <c r="CG309" s="4"/>
      <c r="CH309" s="4"/>
      <c r="CI309" s="4"/>
    </row>
    <row r="310" ht="14.25" customHeight="1" spans="1:87" x14ac:dyDescent="0.25">
      <c r="A310" s="4"/>
      <c r="B310" s="4"/>
      <c r="C310" s="4"/>
      <c r="D310" s="4"/>
      <c r="E310" s="4"/>
      <c r="F310" s="4"/>
      <c r="G310" s="4"/>
      <c r="H310" s="4"/>
      <c r="I310" s="4"/>
      <c r="J310" s="4"/>
      <c r="K310" s="242"/>
      <c r="L310" s="4"/>
      <c r="M310" s="4"/>
      <c r="N310" s="4"/>
      <c r="O310" s="4"/>
      <c r="P310" s="4"/>
      <c r="Q310" s="4"/>
      <c r="R310" s="4"/>
      <c r="S310" s="4"/>
      <c r="T310" s="4"/>
      <c r="U310" s="4"/>
      <c r="V310" s="4"/>
      <c r="W310" s="4"/>
      <c r="X310" s="4"/>
      <c r="Y310" s="4"/>
      <c r="Z310" s="4"/>
      <c r="AA310" s="4"/>
      <c r="AB310" s="4"/>
      <c r="AC310" s="4"/>
      <c r="AD310" s="4"/>
      <c r="AE310" s="4"/>
      <c r="AF310" s="4"/>
      <c r="AG310" s="4"/>
      <c r="AH310" s="4"/>
      <c r="AI310" s="4"/>
      <c r="AJ310" s="4"/>
      <c r="AK310" s="4"/>
      <c r="AL310" s="4"/>
      <c r="AM310" s="4"/>
      <c r="AN310" s="4"/>
      <c r="AO310" s="4"/>
      <c r="AP310" s="4"/>
      <c r="AQ310" s="4"/>
      <c r="AR310" s="4"/>
      <c r="AS310" s="4"/>
      <c r="AT310" s="4"/>
      <c r="AU310" s="4"/>
      <c r="AV310" s="4"/>
      <c r="AW310" s="4"/>
      <c r="AX310" s="4"/>
      <c r="AY310" s="4"/>
      <c r="AZ310" s="4"/>
      <c r="BA310" s="4"/>
      <c r="BB310" s="4"/>
      <c r="BC310" s="4"/>
      <c r="BD310" s="4"/>
      <c r="BE310" s="4"/>
      <c r="BF310" s="4"/>
      <c r="BG310" s="4"/>
      <c r="BH310" s="4"/>
      <c r="BI310" s="4"/>
      <c r="BJ310" s="4"/>
      <c r="BK310" s="4"/>
      <c r="BL310" s="4"/>
      <c r="BM310" s="4"/>
      <c r="BN310" s="4"/>
      <c r="BO310" s="4"/>
      <c r="BP310" s="4"/>
      <c r="BQ310" s="4"/>
      <c r="BR310" s="4"/>
      <c r="BS310" s="4"/>
      <c r="BT310" s="4"/>
      <c r="BU310" s="4"/>
      <c r="BV310" s="4"/>
      <c r="BW310" s="4"/>
      <c r="BX310" s="4"/>
      <c r="BY310" s="4"/>
      <c r="BZ310" s="4"/>
      <c r="CA310" s="4"/>
      <c r="CB310" s="4"/>
      <c r="CC310" s="4"/>
      <c r="CD310" s="4"/>
      <c r="CE310" s="4"/>
      <c r="CF310" s="4"/>
      <c r="CG310" s="4"/>
      <c r="CH310" s="4"/>
      <c r="CI310" s="4"/>
    </row>
    <row r="311" ht="14.25" customHeight="1" spans="1:87" x14ac:dyDescent="0.25">
      <c r="A311" s="4"/>
      <c r="B311" s="4"/>
      <c r="C311" s="4"/>
      <c r="D311" s="4"/>
      <c r="E311" s="4"/>
      <c r="F311" s="4"/>
      <c r="G311" s="4"/>
      <c r="H311" s="4"/>
      <c r="I311" s="4"/>
      <c r="J311" s="4"/>
      <c r="K311" s="242"/>
      <c r="L311" s="4"/>
      <c r="M311" s="4"/>
      <c r="N311" s="4"/>
      <c r="O311" s="4"/>
      <c r="P311" s="4"/>
      <c r="Q311" s="4"/>
      <c r="R311" s="4"/>
      <c r="S311" s="4"/>
      <c r="T311" s="4"/>
      <c r="U311" s="4"/>
      <c r="V311" s="4"/>
      <c r="W311" s="4"/>
      <c r="X311" s="4"/>
      <c r="Y311" s="4"/>
      <c r="Z311" s="4"/>
      <c r="AA311" s="4"/>
      <c r="AB311" s="4"/>
      <c r="AC311" s="4"/>
      <c r="AD311" s="4"/>
      <c r="AE311" s="4"/>
      <c r="AF311" s="4"/>
      <c r="AG311" s="4"/>
      <c r="AH311" s="4"/>
      <c r="AI311" s="4"/>
      <c r="AJ311" s="4"/>
      <c r="AK311" s="4"/>
      <c r="AL311" s="4"/>
      <c r="AM311" s="4"/>
      <c r="AN311" s="4"/>
      <c r="AO311" s="4"/>
      <c r="AP311" s="4"/>
      <c r="AQ311" s="4"/>
      <c r="AR311" s="4"/>
      <c r="AS311" s="4"/>
      <c r="AT311" s="4"/>
      <c r="AU311" s="4"/>
      <c r="AV311" s="4"/>
      <c r="AW311" s="4"/>
      <c r="AX311" s="4"/>
      <c r="AY311" s="4"/>
      <c r="AZ311" s="4"/>
      <c r="BA311" s="4"/>
      <c r="BB311" s="4"/>
      <c r="BC311" s="4"/>
      <c r="BD311" s="4"/>
      <c r="BE311" s="4"/>
      <c r="BF311" s="4"/>
      <c r="BG311" s="4"/>
      <c r="BH311" s="4"/>
      <c r="BI311" s="4"/>
      <c r="BJ311" s="4"/>
      <c r="BK311" s="4"/>
      <c r="BL311" s="4"/>
      <c r="BM311" s="4"/>
      <c r="BN311" s="4"/>
      <c r="BO311" s="4"/>
      <c r="BP311" s="4"/>
      <c r="BQ311" s="4"/>
      <c r="BR311" s="4"/>
      <c r="BS311" s="4"/>
      <c r="BT311" s="4"/>
      <c r="BU311" s="4"/>
      <c r="BV311" s="4"/>
      <c r="BW311" s="4"/>
      <c r="BX311" s="4"/>
      <c r="BY311" s="4"/>
      <c r="BZ311" s="4"/>
      <c r="CA311" s="4"/>
      <c r="CB311" s="4"/>
      <c r="CC311" s="4"/>
      <c r="CD311" s="4"/>
      <c r="CE311" s="4"/>
      <c r="CF311" s="4"/>
      <c r="CG311" s="4"/>
      <c r="CH311" s="4"/>
      <c r="CI311" s="4"/>
    </row>
    <row r="312" ht="14.25" customHeight="1" spans="1:87" x14ac:dyDescent="0.25">
      <c r="A312" s="4"/>
      <c r="B312" s="4"/>
      <c r="C312" s="4"/>
      <c r="D312" s="4"/>
      <c r="E312" s="4"/>
      <c r="F312" s="4"/>
      <c r="G312" s="4"/>
      <c r="H312" s="4"/>
      <c r="I312" s="4"/>
      <c r="J312" s="4"/>
      <c r="K312" s="242"/>
      <c r="L312" s="4"/>
      <c r="M312" s="4"/>
      <c r="N312" s="4"/>
      <c r="O312" s="4"/>
      <c r="P312" s="4"/>
      <c r="Q312" s="4"/>
      <c r="R312" s="4"/>
      <c r="S312" s="4"/>
      <c r="T312" s="4"/>
      <c r="U312" s="4"/>
      <c r="V312" s="4"/>
      <c r="W312" s="4"/>
      <c r="X312" s="4"/>
      <c r="Y312" s="4"/>
      <c r="Z312" s="4"/>
      <c r="AA312" s="4"/>
      <c r="AB312" s="4"/>
      <c r="AC312" s="4"/>
      <c r="AD312" s="4"/>
      <c r="AE312" s="4"/>
      <c r="AF312" s="4"/>
      <c r="AG312" s="4"/>
      <c r="AH312" s="4"/>
      <c r="AI312" s="4"/>
      <c r="AJ312" s="4"/>
      <c r="AK312" s="4"/>
      <c r="AL312" s="4"/>
      <c r="AM312" s="4"/>
      <c r="AN312" s="4"/>
      <c r="AO312" s="4"/>
      <c r="AP312" s="4"/>
      <c r="AQ312" s="4"/>
      <c r="AR312" s="4"/>
      <c r="AS312" s="4"/>
      <c r="AT312" s="4"/>
      <c r="AU312" s="4"/>
      <c r="AV312" s="4"/>
      <c r="AW312" s="4"/>
      <c r="AX312" s="4"/>
      <c r="AY312" s="4"/>
      <c r="AZ312" s="4"/>
      <c r="BA312" s="4"/>
      <c r="BB312" s="4"/>
      <c r="BC312" s="4"/>
      <c r="BD312" s="4"/>
      <c r="BE312" s="4"/>
      <c r="BF312" s="4"/>
      <c r="BG312" s="4"/>
      <c r="BH312" s="4"/>
      <c r="BI312" s="4"/>
      <c r="BJ312" s="4"/>
      <c r="BK312" s="4"/>
      <c r="BL312" s="4"/>
      <c r="BM312" s="4"/>
      <c r="BN312" s="4"/>
      <c r="BO312" s="4"/>
      <c r="BP312" s="4"/>
      <c r="BQ312" s="4"/>
      <c r="BR312" s="4"/>
      <c r="BS312" s="4"/>
      <c r="BT312" s="4"/>
      <c r="BU312" s="4"/>
      <c r="BV312" s="4"/>
      <c r="BW312" s="4"/>
      <c r="BX312" s="4"/>
      <c r="BY312" s="4"/>
      <c r="BZ312" s="4"/>
      <c r="CA312" s="4"/>
      <c r="CB312" s="4"/>
      <c r="CC312" s="4"/>
      <c r="CD312" s="4"/>
      <c r="CE312" s="4"/>
      <c r="CF312" s="4"/>
      <c r="CG312" s="4"/>
      <c r="CH312" s="4"/>
      <c r="CI312" s="4"/>
    </row>
    <row r="313" ht="14.25" customHeight="1" spans="1:87" x14ac:dyDescent="0.25">
      <c r="A313" s="4"/>
      <c r="B313" s="4"/>
      <c r="C313" s="4"/>
      <c r="D313" s="4"/>
      <c r="E313" s="4"/>
      <c r="F313" s="4"/>
      <c r="G313" s="4"/>
      <c r="H313" s="4"/>
      <c r="I313" s="4"/>
      <c r="J313" s="4"/>
      <c r="K313" s="242"/>
      <c r="L313" s="4"/>
      <c r="M313" s="4"/>
      <c r="N313" s="4"/>
      <c r="O313" s="4"/>
      <c r="P313" s="4"/>
      <c r="Q313" s="4"/>
      <c r="R313" s="4"/>
      <c r="S313" s="4"/>
      <c r="T313" s="4"/>
      <c r="U313" s="4"/>
      <c r="V313" s="4"/>
      <c r="W313" s="4"/>
      <c r="X313" s="4"/>
      <c r="Y313" s="4"/>
      <c r="Z313" s="4"/>
      <c r="AA313" s="4"/>
      <c r="AB313" s="4"/>
      <c r="AC313" s="4"/>
      <c r="AD313" s="4"/>
      <c r="AE313" s="4"/>
      <c r="AF313" s="4"/>
      <c r="AG313" s="4"/>
      <c r="AH313" s="4"/>
      <c r="AI313" s="4"/>
      <c r="AJ313" s="4"/>
      <c r="AK313" s="4"/>
      <c r="AL313" s="4"/>
      <c r="AM313" s="4"/>
      <c r="AN313" s="4"/>
      <c r="AO313" s="4"/>
      <c r="AP313" s="4"/>
      <c r="AQ313" s="4"/>
      <c r="AR313" s="4"/>
      <c r="AS313" s="4"/>
      <c r="AT313" s="4"/>
      <c r="AU313" s="4"/>
      <c r="AV313" s="4"/>
      <c r="AW313" s="4"/>
      <c r="AX313" s="4"/>
      <c r="AY313" s="4"/>
      <c r="AZ313" s="4"/>
      <c r="BA313" s="4"/>
      <c r="BB313" s="4"/>
      <c r="BC313" s="4"/>
      <c r="BD313" s="4"/>
      <c r="BE313" s="4"/>
      <c r="BF313" s="4"/>
      <c r="BG313" s="4"/>
      <c r="BH313" s="4"/>
      <c r="BI313" s="4"/>
      <c r="BJ313" s="4"/>
      <c r="BK313" s="4"/>
      <c r="BL313" s="4"/>
      <c r="BM313" s="4"/>
      <c r="BN313" s="4"/>
      <c r="BO313" s="4"/>
      <c r="BP313" s="4"/>
      <c r="BQ313" s="4"/>
      <c r="BR313" s="4"/>
      <c r="BS313" s="4"/>
      <c r="BT313" s="4"/>
      <c r="BU313" s="4"/>
      <c r="BV313" s="4"/>
      <c r="BW313" s="4"/>
      <c r="BX313" s="4"/>
      <c r="BY313" s="4"/>
      <c r="BZ313" s="4"/>
      <c r="CA313" s="4"/>
      <c r="CB313" s="4"/>
      <c r="CC313" s="4"/>
      <c r="CD313" s="4"/>
      <c r="CE313" s="4"/>
      <c r="CF313" s="4"/>
      <c r="CG313" s="4"/>
      <c r="CH313" s="4"/>
      <c r="CI313" s="4"/>
    </row>
    <row r="314" ht="14.25" customHeight="1" spans="1:87" x14ac:dyDescent="0.25">
      <c r="A314" s="4"/>
      <c r="B314" s="4"/>
      <c r="C314" s="4"/>
      <c r="D314" s="4"/>
      <c r="E314" s="4"/>
      <c r="F314" s="4"/>
      <c r="G314" s="4"/>
      <c r="H314" s="4"/>
      <c r="I314" s="4"/>
      <c r="J314" s="4"/>
      <c r="K314" s="242"/>
      <c r="L314" s="4"/>
      <c r="M314" s="4"/>
      <c r="N314" s="4"/>
      <c r="O314" s="4"/>
      <c r="P314" s="4"/>
      <c r="Q314" s="4"/>
      <c r="R314" s="4"/>
      <c r="S314" s="4"/>
      <c r="T314" s="4"/>
      <c r="U314" s="4"/>
      <c r="V314" s="4"/>
      <c r="W314" s="4"/>
      <c r="X314" s="4"/>
      <c r="Y314" s="4"/>
      <c r="Z314" s="4"/>
      <c r="AA314" s="4"/>
      <c r="AB314" s="4"/>
      <c r="AC314" s="4"/>
      <c r="AD314" s="4"/>
      <c r="AE314" s="4"/>
      <c r="AF314" s="4"/>
      <c r="AG314" s="4"/>
      <c r="AH314" s="4"/>
      <c r="AI314" s="4"/>
      <c r="AJ314" s="4"/>
      <c r="AK314" s="4"/>
      <c r="AL314" s="4"/>
      <c r="AM314" s="4"/>
      <c r="AN314" s="4"/>
      <c r="AO314" s="4"/>
      <c r="AP314" s="4"/>
      <c r="AQ314" s="4"/>
      <c r="AR314" s="4"/>
      <c r="AS314" s="4"/>
      <c r="AT314" s="4"/>
      <c r="AU314" s="4"/>
      <c r="AV314" s="4"/>
      <c r="AW314" s="4"/>
      <c r="AX314" s="4"/>
      <c r="AY314" s="4"/>
      <c r="AZ314" s="4"/>
      <c r="BA314" s="4"/>
      <c r="BB314" s="4"/>
      <c r="BC314" s="4"/>
      <c r="BD314" s="4"/>
      <c r="BE314" s="4"/>
      <c r="BF314" s="4"/>
      <c r="BG314" s="4"/>
      <c r="BH314" s="4"/>
      <c r="BI314" s="4"/>
      <c r="BJ314" s="4"/>
      <c r="BK314" s="4"/>
      <c r="BL314" s="4"/>
      <c r="BM314" s="4"/>
      <c r="BN314" s="4"/>
      <c r="BO314" s="4"/>
      <c r="BP314" s="4"/>
      <c r="BQ314" s="4"/>
      <c r="BR314" s="4"/>
      <c r="BS314" s="4"/>
      <c r="BT314" s="4"/>
      <c r="BU314" s="4"/>
      <c r="BV314" s="4"/>
      <c r="BW314" s="4"/>
      <c r="BX314" s="4"/>
      <c r="BY314" s="4"/>
      <c r="BZ314" s="4"/>
      <c r="CA314" s="4"/>
      <c r="CB314" s="4"/>
      <c r="CC314" s="4"/>
      <c r="CD314" s="4"/>
      <c r="CE314" s="4"/>
      <c r="CF314" s="4"/>
      <c r="CG314" s="4"/>
      <c r="CH314" s="4"/>
      <c r="CI314" s="4"/>
    </row>
    <row r="315" ht="14.25" customHeight="1" spans="1:87" x14ac:dyDescent="0.25">
      <c r="A315" s="4"/>
      <c r="B315" s="4"/>
      <c r="C315" s="4"/>
      <c r="D315" s="4"/>
      <c r="E315" s="4"/>
      <c r="F315" s="4"/>
      <c r="G315" s="4"/>
      <c r="H315" s="4"/>
      <c r="I315" s="4"/>
      <c r="J315" s="4"/>
      <c r="K315" s="242"/>
      <c r="L315" s="4"/>
      <c r="M315" s="4"/>
      <c r="N315" s="4"/>
      <c r="O315" s="4"/>
      <c r="P315" s="4"/>
      <c r="Q315" s="4"/>
      <c r="R315" s="4"/>
      <c r="S315" s="4"/>
      <c r="T315" s="4"/>
      <c r="U315" s="4"/>
      <c r="V315" s="4"/>
      <c r="W315" s="4"/>
      <c r="X315" s="4"/>
      <c r="Y315" s="4"/>
      <c r="Z315" s="4"/>
      <c r="AA315" s="4"/>
      <c r="AB315" s="4"/>
      <c r="AC315" s="4"/>
      <c r="AD315" s="4"/>
      <c r="AE315" s="4"/>
      <c r="AF315" s="4"/>
      <c r="AG315" s="4"/>
      <c r="AH315" s="4"/>
      <c r="AI315" s="4"/>
      <c r="AJ315" s="4"/>
      <c r="AK315" s="4"/>
      <c r="AL315" s="4"/>
      <c r="AM315" s="4"/>
      <c r="AN315" s="4"/>
      <c r="AO315" s="4"/>
      <c r="AP315" s="4"/>
      <c r="AQ315" s="4"/>
      <c r="AR315" s="4"/>
      <c r="AS315" s="4"/>
      <c r="AT315" s="4"/>
      <c r="AU315" s="4"/>
      <c r="AV315" s="4"/>
      <c r="AW315" s="4"/>
      <c r="AX315" s="4"/>
      <c r="AY315" s="4"/>
      <c r="AZ315" s="4"/>
      <c r="BA315" s="4"/>
      <c r="BB315" s="4"/>
      <c r="BC315" s="4"/>
      <c r="BD315" s="4"/>
      <c r="BE315" s="4"/>
      <c r="BF315" s="4"/>
      <c r="BG315" s="4"/>
      <c r="BH315" s="4"/>
      <c r="BI315" s="4"/>
      <c r="BJ315" s="4"/>
      <c r="BK315" s="4"/>
      <c r="BL315" s="4"/>
      <c r="BM315" s="4"/>
      <c r="BN315" s="4"/>
      <c r="BO315" s="4"/>
      <c r="BP315" s="4"/>
      <c r="BQ315" s="4"/>
      <c r="BR315" s="4"/>
      <c r="BS315" s="4"/>
      <c r="BT315" s="4"/>
      <c r="BU315" s="4"/>
      <c r="BV315" s="4"/>
      <c r="BW315" s="4"/>
      <c r="BX315" s="4"/>
      <c r="BY315" s="4"/>
      <c r="BZ315" s="4"/>
      <c r="CA315" s="4"/>
      <c r="CB315" s="4"/>
      <c r="CC315" s="4"/>
      <c r="CD315" s="4"/>
      <c r="CE315" s="4"/>
      <c r="CF315" s="4"/>
      <c r="CG315" s="4"/>
      <c r="CH315" s="4"/>
      <c r="CI315" s="4"/>
    </row>
    <row r="316" ht="14.25" customHeight="1" spans="1:87" x14ac:dyDescent="0.25">
      <c r="A316" s="4"/>
      <c r="B316" s="4"/>
      <c r="C316" s="4"/>
      <c r="D316" s="4"/>
      <c r="E316" s="4"/>
      <c r="F316" s="4"/>
      <c r="G316" s="4"/>
      <c r="H316" s="4"/>
      <c r="I316" s="4"/>
      <c r="J316" s="4"/>
      <c r="K316" s="242"/>
      <c r="L316" s="4"/>
      <c r="M316" s="4"/>
      <c r="N316" s="4"/>
      <c r="O316" s="4"/>
      <c r="P316" s="4"/>
      <c r="Q316" s="4"/>
      <c r="R316" s="4"/>
      <c r="S316" s="4"/>
      <c r="T316" s="4"/>
      <c r="U316" s="4"/>
      <c r="V316" s="4"/>
      <c r="W316" s="4"/>
      <c r="X316" s="4"/>
      <c r="Y316" s="4"/>
      <c r="Z316" s="4"/>
      <c r="AA316" s="4"/>
      <c r="AB316" s="4"/>
      <c r="AC316" s="4"/>
      <c r="AD316" s="4"/>
      <c r="AE316" s="4"/>
      <c r="AF316" s="4"/>
      <c r="AG316" s="4"/>
      <c r="AH316" s="4"/>
      <c r="AI316" s="4"/>
      <c r="AJ316" s="4"/>
      <c r="AK316" s="4"/>
      <c r="AL316" s="4"/>
      <c r="AM316" s="4"/>
      <c r="AN316" s="4"/>
      <c r="AO316" s="4"/>
      <c r="AP316" s="4"/>
      <c r="AQ316" s="4"/>
      <c r="AR316" s="4"/>
      <c r="AS316" s="4"/>
      <c r="AT316" s="4"/>
      <c r="AU316" s="4"/>
      <c r="AV316" s="4"/>
      <c r="AW316" s="4"/>
      <c r="AX316" s="4"/>
      <c r="AY316" s="4"/>
      <c r="AZ316" s="4"/>
      <c r="BA316" s="4"/>
      <c r="BB316" s="4"/>
      <c r="BC316" s="4"/>
      <c r="BD316" s="4"/>
      <c r="BE316" s="4"/>
      <c r="BF316" s="4"/>
      <c r="BG316" s="4"/>
      <c r="BH316" s="4"/>
      <c r="BI316" s="4"/>
      <c r="BJ316" s="4"/>
      <c r="BK316" s="4"/>
      <c r="BL316" s="4"/>
      <c r="BM316" s="4"/>
      <c r="BN316" s="4"/>
      <c r="BO316" s="4"/>
      <c r="BP316" s="4"/>
      <c r="BQ316" s="4"/>
      <c r="BR316" s="4"/>
      <c r="BS316" s="4"/>
      <c r="BT316" s="4"/>
      <c r="BU316" s="4"/>
      <c r="BV316" s="4"/>
      <c r="BW316" s="4"/>
      <c r="BX316" s="4"/>
      <c r="BY316" s="4"/>
      <c r="BZ316" s="4"/>
      <c r="CA316" s="4"/>
      <c r="CB316" s="4"/>
      <c r="CC316" s="4"/>
      <c r="CD316" s="4"/>
      <c r="CE316" s="4"/>
      <c r="CF316" s="4"/>
      <c r="CG316" s="4"/>
      <c r="CH316" s="4"/>
      <c r="CI316" s="4"/>
    </row>
    <row r="317" ht="14.25" customHeight="1" spans="1:87" x14ac:dyDescent="0.25">
      <c r="A317" s="4"/>
      <c r="B317" s="4"/>
      <c r="C317" s="4"/>
      <c r="D317" s="4"/>
      <c r="E317" s="4"/>
      <c r="F317" s="4"/>
      <c r="G317" s="4"/>
      <c r="H317" s="4"/>
      <c r="I317" s="4"/>
      <c r="J317" s="4"/>
      <c r="K317" s="242"/>
      <c r="L317" s="4"/>
      <c r="M317" s="4"/>
      <c r="N317" s="4"/>
      <c r="O317" s="4"/>
      <c r="P317" s="4"/>
      <c r="Q317" s="4"/>
      <c r="R317" s="4"/>
      <c r="S317" s="4"/>
      <c r="T317" s="4"/>
      <c r="U317" s="4"/>
      <c r="V317" s="4"/>
      <c r="W317" s="4"/>
      <c r="X317" s="4"/>
      <c r="Y317" s="4"/>
      <c r="Z317" s="4"/>
      <c r="AA317" s="4"/>
      <c r="AB317" s="4"/>
      <c r="AC317" s="4"/>
      <c r="AD317" s="4"/>
      <c r="AE317" s="4"/>
      <c r="AF317" s="4"/>
      <c r="AG317" s="4"/>
      <c r="AH317" s="4"/>
      <c r="AI317" s="4"/>
      <c r="AJ317" s="4"/>
      <c r="AK317" s="4"/>
      <c r="AL317" s="4"/>
      <c r="AM317" s="4"/>
      <c r="AN317" s="4"/>
      <c r="AO317" s="4"/>
      <c r="AP317" s="4"/>
      <c r="AQ317" s="4"/>
      <c r="AR317" s="4"/>
      <c r="AS317" s="4"/>
      <c r="AT317" s="4"/>
      <c r="AU317" s="4"/>
      <c r="AV317" s="4"/>
      <c r="AW317" s="4"/>
      <c r="AX317" s="4"/>
      <c r="AY317" s="4"/>
      <c r="AZ317" s="4"/>
      <c r="BA317" s="4"/>
      <c r="BB317" s="4"/>
      <c r="BC317" s="4"/>
      <c r="BD317" s="4"/>
      <c r="BE317" s="4"/>
      <c r="BF317" s="4"/>
      <c r="BG317" s="4"/>
      <c r="BH317" s="4"/>
      <c r="BI317" s="4"/>
      <c r="BJ317" s="4"/>
      <c r="BK317" s="4"/>
      <c r="BL317" s="4"/>
      <c r="BM317" s="4"/>
      <c r="BN317" s="4"/>
      <c r="BO317" s="4"/>
      <c r="BP317" s="4"/>
      <c r="BQ317" s="4"/>
      <c r="BR317" s="4"/>
      <c r="BS317" s="4"/>
      <c r="BT317" s="4"/>
      <c r="BU317" s="4"/>
      <c r="BV317" s="4"/>
      <c r="BW317" s="4"/>
      <c r="BX317" s="4"/>
      <c r="BY317" s="4"/>
      <c r="BZ317" s="4"/>
      <c r="CA317" s="4"/>
      <c r="CB317" s="4"/>
      <c r="CC317" s="4"/>
      <c r="CD317" s="4"/>
      <c r="CE317" s="4"/>
      <c r="CF317" s="4"/>
      <c r="CG317" s="4"/>
      <c r="CH317" s="4"/>
      <c r="CI317" s="4"/>
    </row>
    <row r="318" ht="14.25" customHeight="1" spans="1:87" x14ac:dyDescent="0.25">
      <c r="A318" s="4"/>
      <c r="B318" s="4"/>
      <c r="C318" s="4"/>
      <c r="D318" s="4"/>
      <c r="E318" s="4"/>
      <c r="F318" s="4"/>
      <c r="G318" s="4"/>
      <c r="H318" s="4"/>
      <c r="I318" s="4"/>
      <c r="J318" s="4"/>
      <c r="K318" s="242"/>
      <c r="L318" s="4"/>
      <c r="M318" s="4"/>
      <c r="N318" s="4"/>
      <c r="O318" s="4"/>
      <c r="P318" s="4"/>
      <c r="Q318" s="4"/>
      <c r="R318" s="4"/>
      <c r="S318" s="4"/>
      <c r="T318" s="4"/>
      <c r="U318" s="4"/>
      <c r="V318" s="4"/>
      <c r="W318" s="4"/>
      <c r="X318" s="4"/>
      <c r="Y318" s="4"/>
      <c r="Z318" s="4"/>
      <c r="AA318" s="4"/>
      <c r="AB318" s="4"/>
      <c r="AC318" s="4"/>
      <c r="AD318" s="4"/>
      <c r="AE318" s="4"/>
      <c r="AF318" s="4"/>
      <c r="AG318" s="4"/>
      <c r="AH318" s="4"/>
      <c r="AI318" s="4"/>
      <c r="AJ318" s="4"/>
      <c r="AK318" s="4"/>
      <c r="AL318" s="4"/>
      <c r="AM318" s="4"/>
      <c r="AN318" s="4"/>
      <c r="AO318" s="4"/>
      <c r="AP318" s="4"/>
      <c r="AQ318" s="4"/>
      <c r="AR318" s="4"/>
      <c r="AS318" s="4"/>
      <c r="AT318" s="4"/>
      <c r="AU318" s="4"/>
      <c r="AV318" s="4"/>
      <c r="AW318" s="4"/>
      <c r="AX318" s="4"/>
      <c r="AY318" s="4"/>
      <c r="AZ318" s="4"/>
      <c r="BA318" s="4"/>
      <c r="BB318" s="4"/>
      <c r="BC318" s="4"/>
      <c r="BD318" s="4"/>
      <c r="BE318" s="4"/>
      <c r="BF318" s="4"/>
      <c r="BG318" s="4"/>
      <c r="BH318" s="4"/>
      <c r="BI318" s="4"/>
      <c r="BJ318" s="4"/>
      <c r="BK318" s="4"/>
      <c r="BL318" s="4"/>
      <c r="BM318" s="4"/>
      <c r="BN318" s="4"/>
      <c r="BO318" s="4"/>
      <c r="BP318" s="4"/>
      <c r="BQ318" s="4"/>
      <c r="BR318" s="4"/>
      <c r="BS318" s="4"/>
      <c r="BT318" s="4"/>
      <c r="BU318" s="4"/>
      <c r="BV318" s="4"/>
      <c r="BW318" s="4"/>
      <c r="BX318" s="4"/>
      <c r="BY318" s="4"/>
      <c r="BZ318" s="4"/>
      <c r="CA318" s="4"/>
      <c r="CB318" s="4"/>
      <c r="CC318" s="4"/>
      <c r="CD318" s="4"/>
      <c r="CE318" s="4"/>
      <c r="CF318" s="4"/>
      <c r="CG318" s="4"/>
      <c r="CH318" s="4"/>
      <c r="CI318" s="4"/>
    </row>
    <row r="319" ht="14.25" customHeight="1" spans="1:87" x14ac:dyDescent="0.25">
      <c r="A319" s="4"/>
      <c r="B319" s="4"/>
      <c r="C319" s="4"/>
      <c r="D319" s="4"/>
      <c r="E319" s="4"/>
      <c r="F319" s="4"/>
      <c r="G319" s="4"/>
      <c r="H319" s="4"/>
      <c r="I319" s="4"/>
      <c r="J319" s="4"/>
      <c r="K319" s="242"/>
      <c r="L319" s="4"/>
      <c r="M319" s="4"/>
      <c r="N319" s="4"/>
      <c r="O319" s="4"/>
      <c r="P319" s="4"/>
      <c r="Q319" s="4"/>
      <c r="R319" s="4"/>
      <c r="S319" s="4"/>
      <c r="T319" s="4"/>
      <c r="U319" s="4"/>
      <c r="V319" s="4"/>
      <c r="W319" s="4"/>
      <c r="X319" s="4"/>
      <c r="Y319" s="4"/>
      <c r="Z319" s="4"/>
      <c r="AA319" s="4"/>
      <c r="AB319" s="4"/>
      <c r="AC319" s="4"/>
      <c r="AD319" s="4"/>
      <c r="AE319" s="4"/>
      <c r="AF319" s="4"/>
      <c r="AG319" s="4"/>
      <c r="AH319" s="4"/>
      <c r="AI319" s="4"/>
      <c r="AJ319" s="4"/>
      <c r="AK319" s="4"/>
      <c r="AL319" s="4"/>
      <c r="AM319" s="4"/>
      <c r="AN319" s="4"/>
      <c r="AO319" s="4"/>
      <c r="AP319" s="4"/>
      <c r="AQ319" s="4"/>
      <c r="AR319" s="4"/>
      <c r="AS319" s="4"/>
      <c r="AT319" s="4"/>
      <c r="AU319" s="4"/>
      <c r="AV319" s="4"/>
      <c r="AW319" s="4"/>
      <c r="AX319" s="4"/>
      <c r="AY319" s="4"/>
      <c r="AZ319" s="4"/>
      <c r="BA319" s="4"/>
      <c r="BB319" s="4"/>
      <c r="BC319" s="4"/>
      <c r="BD319" s="4"/>
      <c r="BE319" s="4"/>
      <c r="BF319" s="4"/>
      <c r="BG319" s="4"/>
      <c r="BH319" s="4"/>
      <c r="BI319" s="4"/>
      <c r="BJ319" s="4"/>
      <c r="BK319" s="4"/>
      <c r="BL319" s="4"/>
      <c r="BM319" s="4"/>
      <c r="BN319" s="4"/>
      <c r="BO319" s="4"/>
      <c r="BP319" s="4"/>
      <c r="BQ319" s="4"/>
      <c r="BR319" s="4"/>
      <c r="BS319" s="4"/>
      <c r="BT319" s="4"/>
      <c r="BU319" s="4"/>
      <c r="BV319" s="4"/>
      <c r="BW319" s="4"/>
      <c r="BX319" s="4"/>
      <c r="BY319" s="4"/>
      <c r="BZ319" s="4"/>
      <c r="CA319" s="4"/>
      <c r="CB319" s="4"/>
      <c r="CC319" s="4"/>
      <c r="CD319" s="4"/>
      <c r="CE319" s="4"/>
      <c r="CF319" s="4"/>
      <c r="CG319" s="4"/>
      <c r="CH319" s="4"/>
      <c r="CI319" s="4"/>
    </row>
    <row r="320" ht="14.25" customHeight="1" spans="1:87" x14ac:dyDescent="0.25">
      <c r="A320" s="4"/>
      <c r="B320" s="4"/>
      <c r="C320" s="4"/>
      <c r="D320" s="4"/>
      <c r="E320" s="4"/>
      <c r="F320" s="4"/>
      <c r="G320" s="4"/>
      <c r="H320" s="4"/>
      <c r="I320" s="4"/>
      <c r="J320" s="4"/>
      <c r="K320" s="242"/>
      <c r="L320" s="4"/>
      <c r="M320" s="4"/>
      <c r="N320" s="4"/>
      <c r="O320" s="4"/>
      <c r="P320" s="4"/>
      <c r="Q320" s="4"/>
      <c r="R320" s="4"/>
      <c r="S320" s="4"/>
      <c r="T320" s="4"/>
      <c r="U320" s="4"/>
      <c r="V320" s="4"/>
      <c r="W320" s="4"/>
      <c r="X320" s="4"/>
      <c r="Y320" s="4"/>
      <c r="Z320" s="4"/>
      <c r="AA320" s="4"/>
      <c r="AB320" s="4"/>
      <c r="AC320" s="4"/>
      <c r="AD320" s="4"/>
      <c r="AE320" s="4"/>
      <c r="AF320" s="4"/>
      <c r="AG320" s="4"/>
      <c r="AH320" s="4"/>
      <c r="AI320" s="4"/>
      <c r="AJ320" s="4"/>
      <c r="AK320" s="4"/>
      <c r="AL320" s="4"/>
      <c r="AM320" s="4"/>
      <c r="AN320" s="4"/>
      <c r="AO320" s="4"/>
      <c r="AP320" s="4"/>
      <c r="AQ320" s="4"/>
      <c r="AR320" s="4"/>
      <c r="AS320" s="4"/>
      <c r="AT320" s="4"/>
      <c r="AU320" s="4"/>
      <c r="AV320" s="4"/>
      <c r="AW320" s="4"/>
      <c r="AX320" s="4"/>
      <c r="AY320" s="4"/>
      <c r="AZ320" s="4"/>
      <c r="BA320" s="4"/>
      <c r="BB320" s="4"/>
      <c r="BC320" s="4"/>
      <c r="BD320" s="4"/>
      <c r="BE320" s="4"/>
      <c r="BF320" s="4"/>
      <c r="BG320" s="4"/>
      <c r="BH320" s="4"/>
      <c r="BI320" s="4"/>
      <c r="BJ320" s="4"/>
      <c r="BK320" s="4"/>
      <c r="BL320" s="4"/>
      <c r="BM320" s="4"/>
      <c r="BN320" s="4"/>
      <c r="BO320" s="4"/>
      <c r="BP320" s="4"/>
      <c r="BQ320" s="4"/>
      <c r="BR320" s="4"/>
      <c r="BS320" s="4"/>
      <c r="BT320" s="4"/>
      <c r="BU320" s="4"/>
      <c r="BV320" s="4"/>
      <c r="BW320" s="4"/>
      <c r="BX320" s="4"/>
      <c r="BY320" s="4"/>
      <c r="BZ320" s="4"/>
      <c r="CA320" s="4"/>
      <c r="CB320" s="4"/>
      <c r="CC320" s="4"/>
      <c r="CD320" s="4"/>
      <c r="CE320" s="4"/>
      <c r="CF320" s="4"/>
      <c r="CG320" s="4"/>
      <c r="CH320" s="4"/>
      <c r="CI320" s="4"/>
    </row>
    <row r="321" ht="14.25" customHeight="1" spans="1:87" x14ac:dyDescent="0.25">
      <c r="A321" s="4"/>
      <c r="B321" s="4"/>
      <c r="C321" s="4"/>
      <c r="D321" s="4"/>
      <c r="E321" s="4"/>
      <c r="F321" s="4"/>
      <c r="G321" s="4"/>
      <c r="H321" s="4"/>
      <c r="I321" s="4"/>
      <c r="J321" s="4"/>
      <c r="K321" s="242"/>
      <c r="L321" s="4"/>
      <c r="M321" s="4"/>
      <c r="N321" s="4"/>
      <c r="O321" s="4"/>
      <c r="P321" s="4"/>
      <c r="Q321" s="4"/>
      <c r="R321" s="4"/>
      <c r="S321" s="4"/>
      <c r="T321" s="4"/>
      <c r="U321" s="4"/>
      <c r="V321" s="4"/>
      <c r="W321" s="4"/>
      <c r="X321" s="4"/>
      <c r="Y321" s="4"/>
      <c r="Z321" s="4"/>
      <c r="AA321" s="4"/>
      <c r="AB321" s="4"/>
      <c r="AC321" s="4"/>
      <c r="AD321" s="4"/>
      <c r="AE321" s="4"/>
      <c r="AF321" s="4"/>
      <c r="AG321" s="4"/>
      <c r="AH321" s="4"/>
      <c r="AI321" s="4"/>
      <c r="AJ321" s="4"/>
      <c r="AK321" s="4"/>
      <c r="AL321" s="4"/>
      <c r="AM321" s="4"/>
      <c r="AN321" s="4"/>
      <c r="AO321" s="4"/>
      <c r="AP321" s="4"/>
      <c r="AQ321" s="4"/>
      <c r="AR321" s="4"/>
      <c r="AS321" s="4"/>
      <c r="AT321" s="4"/>
      <c r="AU321" s="4"/>
      <c r="AV321" s="4"/>
      <c r="AW321" s="4"/>
      <c r="AX321" s="4"/>
      <c r="AY321" s="4"/>
      <c r="AZ321" s="4"/>
      <c r="BA321" s="4"/>
      <c r="BB321" s="4"/>
      <c r="BC321" s="4"/>
      <c r="BD321" s="4"/>
      <c r="BE321" s="4"/>
      <c r="BF321" s="4"/>
      <c r="BG321" s="4"/>
      <c r="BH321" s="4"/>
      <c r="BI321" s="4"/>
      <c r="BJ321" s="4"/>
      <c r="BK321" s="4"/>
      <c r="BL321" s="4"/>
      <c r="BM321" s="4"/>
      <c r="BN321" s="4"/>
      <c r="BO321" s="4"/>
      <c r="BP321" s="4"/>
      <c r="BQ321" s="4"/>
      <c r="BR321" s="4"/>
      <c r="BS321" s="4"/>
      <c r="BT321" s="4"/>
      <c r="BU321" s="4"/>
      <c r="BV321" s="4"/>
      <c r="BW321" s="4"/>
      <c r="BX321" s="4"/>
      <c r="BY321" s="4"/>
      <c r="BZ321" s="4"/>
      <c r="CA321" s="4"/>
      <c r="CB321" s="4"/>
      <c r="CC321" s="4"/>
      <c r="CD321" s="4"/>
      <c r="CE321" s="4"/>
      <c r="CF321" s="4"/>
      <c r="CG321" s="4"/>
      <c r="CH321" s="4"/>
      <c r="CI321" s="4"/>
    </row>
    <row r="322" ht="14.25" customHeight="1" spans="1:87" x14ac:dyDescent="0.25">
      <c r="A322" s="4"/>
      <c r="B322" s="4"/>
      <c r="C322" s="4"/>
      <c r="D322" s="4"/>
      <c r="E322" s="4"/>
      <c r="F322" s="4"/>
      <c r="G322" s="4"/>
      <c r="H322" s="4"/>
      <c r="I322" s="4"/>
      <c r="J322" s="4"/>
      <c r="K322" s="242"/>
      <c r="L322" s="4"/>
      <c r="M322" s="4"/>
      <c r="N322" s="4"/>
      <c r="O322" s="4"/>
      <c r="P322" s="4"/>
      <c r="Q322" s="4"/>
      <c r="R322" s="4"/>
      <c r="S322" s="4"/>
      <c r="T322" s="4"/>
      <c r="U322" s="4"/>
      <c r="V322" s="4"/>
      <c r="W322" s="4"/>
      <c r="X322" s="4"/>
      <c r="Y322" s="4"/>
      <c r="Z322" s="4"/>
      <c r="AA322" s="4"/>
      <c r="AB322" s="4"/>
      <c r="AC322" s="4"/>
      <c r="AD322" s="4"/>
      <c r="AE322" s="4"/>
      <c r="AF322" s="4"/>
      <c r="AG322" s="4"/>
      <c r="AH322" s="4"/>
      <c r="AI322" s="4"/>
      <c r="AJ322" s="4"/>
      <c r="AK322" s="4"/>
      <c r="AL322" s="4"/>
      <c r="AM322" s="4"/>
      <c r="AN322" s="4"/>
      <c r="AO322" s="4"/>
      <c r="AP322" s="4"/>
      <c r="AQ322" s="4"/>
      <c r="AR322" s="4"/>
      <c r="AS322" s="4"/>
      <c r="AT322" s="4"/>
      <c r="AU322" s="4"/>
      <c r="AV322" s="4"/>
      <c r="AW322" s="4"/>
      <c r="AX322" s="4"/>
      <c r="AY322" s="4"/>
      <c r="AZ322" s="4"/>
      <c r="BA322" s="4"/>
      <c r="BB322" s="4"/>
      <c r="BC322" s="4"/>
      <c r="BD322" s="4"/>
      <c r="BE322" s="4"/>
      <c r="BF322" s="4"/>
      <c r="BG322" s="4"/>
      <c r="BH322" s="4"/>
      <c r="BI322" s="4"/>
      <c r="BJ322" s="4"/>
      <c r="BK322" s="4"/>
      <c r="BL322" s="4"/>
      <c r="BM322" s="4"/>
      <c r="BN322" s="4"/>
      <c r="BO322" s="4"/>
      <c r="BP322" s="4"/>
      <c r="BQ322" s="4"/>
      <c r="BR322" s="4"/>
      <c r="BS322" s="4"/>
      <c r="BT322" s="4"/>
      <c r="BU322" s="4"/>
      <c r="BV322" s="4"/>
      <c r="BW322" s="4"/>
      <c r="BX322" s="4"/>
      <c r="BY322" s="4"/>
      <c r="BZ322" s="4"/>
      <c r="CA322" s="4"/>
      <c r="CB322" s="4"/>
      <c r="CC322" s="4"/>
      <c r="CD322" s="4"/>
      <c r="CE322" s="4"/>
      <c r="CF322" s="4"/>
      <c r="CG322" s="4"/>
      <c r="CH322" s="4"/>
      <c r="CI322" s="4"/>
    </row>
    <row r="323" ht="14.25" customHeight="1" spans="1:87" x14ac:dyDescent="0.25">
      <c r="A323" s="4"/>
      <c r="B323" s="4"/>
      <c r="C323" s="4"/>
      <c r="D323" s="4"/>
      <c r="E323" s="4"/>
      <c r="F323" s="4"/>
      <c r="G323" s="4"/>
      <c r="H323" s="4"/>
      <c r="I323" s="4"/>
      <c r="J323" s="4"/>
      <c r="K323" s="242"/>
      <c r="L323" s="4"/>
      <c r="M323" s="4"/>
      <c r="N323" s="4"/>
      <c r="O323" s="4"/>
      <c r="P323" s="4"/>
      <c r="Q323" s="4"/>
      <c r="R323" s="4"/>
      <c r="S323" s="4"/>
      <c r="T323" s="4"/>
      <c r="U323" s="4"/>
      <c r="V323" s="4"/>
      <c r="W323" s="4"/>
      <c r="X323" s="4"/>
      <c r="Y323" s="4"/>
      <c r="Z323" s="4"/>
      <c r="AA323" s="4"/>
      <c r="AB323" s="4"/>
      <c r="AC323" s="4"/>
      <c r="AD323" s="4"/>
      <c r="AE323" s="4"/>
      <c r="AF323" s="4"/>
      <c r="AG323" s="4"/>
      <c r="AH323" s="4"/>
      <c r="AI323" s="4"/>
      <c r="AJ323" s="4"/>
      <c r="AK323" s="4"/>
      <c r="AL323" s="4"/>
      <c r="AM323" s="4"/>
      <c r="AN323" s="4"/>
      <c r="AO323" s="4"/>
      <c r="AP323" s="4"/>
      <c r="AQ323" s="4"/>
      <c r="AR323" s="4"/>
      <c r="AS323" s="4"/>
      <c r="AT323" s="4"/>
      <c r="AU323" s="4"/>
      <c r="AV323" s="4"/>
      <c r="AW323" s="4"/>
      <c r="AX323" s="4"/>
      <c r="AY323" s="4"/>
      <c r="AZ323" s="4"/>
      <c r="BA323" s="4"/>
      <c r="BB323" s="4"/>
      <c r="BC323" s="4"/>
      <c r="BD323" s="4"/>
      <c r="BE323" s="4"/>
      <c r="BF323" s="4"/>
      <c r="BG323" s="4"/>
      <c r="BH323" s="4"/>
      <c r="BI323" s="4"/>
      <c r="BJ323" s="4"/>
      <c r="BK323" s="4"/>
      <c r="BL323" s="4"/>
      <c r="BM323" s="4"/>
      <c r="BN323" s="4"/>
      <c r="BO323" s="4"/>
      <c r="BP323" s="4"/>
      <c r="BQ323" s="4"/>
      <c r="BR323" s="4"/>
      <c r="BS323" s="4"/>
      <c r="BT323" s="4"/>
      <c r="BU323" s="4"/>
      <c r="BV323" s="4"/>
      <c r="BW323" s="4"/>
      <c r="BX323" s="4"/>
      <c r="BY323" s="4"/>
      <c r="BZ323" s="4"/>
      <c r="CA323" s="4"/>
      <c r="CB323" s="4"/>
      <c r="CC323" s="4"/>
      <c r="CD323" s="4"/>
      <c r="CE323" s="4"/>
      <c r="CF323" s="4"/>
      <c r="CG323" s="4"/>
      <c r="CH323" s="4"/>
      <c r="CI323" s="4"/>
    </row>
    <row r="324" ht="14.25" customHeight="1" spans="1:87" x14ac:dyDescent="0.25">
      <c r="A324" s="4"/>
      <c r="B324" s="4"/>
      <c r="C324" s="4"/>
      <c r="D324" s="4"/>
      <c r="E324" s="4"/>
      <c r="F324" s="4"/>
      <c r="G324" s="4"/>
      <c r="H324" s="4"/>
      <c r="I324" s="4"/>
      <c r="J324" s="4"/>
      <c r="K324" s="242"/>
      <c r="L324" s="4"/>
      <c r="M324" s="4"/>
      <c r="N324" s="4"/>
      <c r="O324" s="4"/>
      <c r="P324" s="4"/>
      <c r="Q324" s="4"/>
      <c r="R324" s="4"/>
      <c r="S324" s="4"/>
      <c r="T324" s="4"/>
      <c r="U324" s="4"/>
      <c r="V324" s="4"/>
      <c r="W324" s="4"/>
      <c r="X324" s="4"/>
      <c r="Y324" s="4"/>
      <c r="Z324" s="4"/>
      <c r="AA324" s="4"/>
      <c r="AB324" s="4"/>
      <c r="AC324" s="4"/>
      <c r="AD324" s="4"/>
      <c r="AE324" s="4"/>
      <c r="AF324" s="4"/>
      <c r="AG324" s="4"/>
      <c r="AH324" s="4"/>
      <c r="AI324" s="4"/>
      <c r="AJ324" s="4"/>
      <c r="AK324" s="4"/>
      <c r="AL324" s="4"/>
      <c r="AM324" s="4"/>
      <c r="AN324" s="4"/>
      <c r="AO324" s="4"/>
      <c r="AP324" s="4"/>
      <c r="AQ324" s="4"/>
      <c r="AR324" s="4"/>
      <c r="AS324" s="4"/>
      <c r="AT324" s="4"/>
      <c r="AU324" s="4"/>
      <c r="AV324" s="4"/>
      <c r="AW324" s="4"/>
      <c r="AX324" s="4"/>
      <c r="AY324" s="4"/>
      <c r="AZ324" s="4"/>
      <c r="BA324" s="4"/>
      <c r="BB324" s="4"/>
      <c r="BC324" s="4"/>
      <c r="BD324" s="4"/>
      <c r="BE324" s="4"/>
      <c r="BF324" s="4"/>
      <c r="BG324" s="4"/>
      <c r="BH324" s="4"/>
      <c r="BI324" s="4"/>
      <c r="BJ324" s="4"/>
      <c r="BK324" s="4"/>
      <c r="BL324" s="4"/>
      <c r="BM324" s="4"/>
      <c r="BN324" s="4"/>
      <c r="BO324" s="4"/>
      <c r="BP324" s="4"/>
      <c r="BQ324" s="4"/>
      <c r="BR324" s="4"/>
      <c r="BS324" s="4"/>
      <c r="BT324" s="4"/>
      <c r="BU324" s="4"/>
      <c r="BV324" s="4"/>
      <c r="BW324" s="4"/>
      <c r="BX324" s="4"/>
      <c r="BY324" s="4"/>
      <c r="BZ324" s="4"/>
      <c r="CA324" s="4"/>
      <c r="CB324" s="4"/>
      <c r="CC324" s="4"/>
      <c r="CD324" s="4"/>
      <c r="CE324" s="4"/>
      <c r="CF324" s="4"/>
      <c r="CG324" s="4"/>
      <c r="CH324" s="4"/>
      <c r="CI324" s="4"/>
    </row>
    <row r="325" ht="14.25" customHeight="1" spans="1:87" x14ac:dyDescent="0.25">
      <c r="A325" s="4"/>
      <c r="B325" s="4"/>
      <c r="C325" s="4"/>
      <c r="D325" s="4"/>
      <c r="E325" s="4"/>
      <c r="F325" s="4"/>
      <c r="G325" s="4"/>
      <c r="H325" s="4"/>
      <c r="I325" s="4"/>
      <c r="J325" s="4"/>
      <c r="K325" s="242"/>
      <c r="L325" s="4"/>
      <c r="M325" s="4"/>
      <c r="N325" s="4"/>
      <c r="O325" s="4"/>
      <c r="P325" s="4"/>
      <c r="Q325" s="4"/>
      <c r="R325" s="4"/>
      <c r="S325" s="4"/>
      <c r="T325" s="4"/>
      <c r="U325" s="4"/>
      <c r="V325" s="4"/>
      <c r="W325" s="4"/>
      <c r="X325" s="4"/>
      <c r="Y325" s="4"/>
      <c r="Z325" s="4"/>
      <c r="AA325" s="4"/>
      <c r="AB325" s="4"/>
      <c r="AC325" s="4"/>
      <c r="AD325" s="4"/>
      <c r="AE325" s="4"/>
      <c r="AF325" s="4"/>
      <c r="AG325" s="4"/>
      <c r="AH325" s="4"/>
      <c r="AI325" s="4"/>
      <c r="AJ325" s="4"/>
      <c r="AK325" s="4"/>
      <c r="AL325" s="4"/>
      <c r="AM325" s="4"/>
      <c r="AN325" s="4"/>
      <c r="AO325" s="4"/>
      <c r="AP325" s="4"/>
      <c r="AQ325" s="4"/>
      <c r="AR325" s="4"/>
      <c r="AS325" s="4"/>
      <c r="AT325" s="4"/>
      <c r="AU325" s="4"/>
      <c r="AV325" s="4"/>
      <c r="AW325" s="4"/>
      <c r="AX325" s="4"/>
      <c r="AY325" s="4"/>
      <c r="AZ325" s="4"/>
      <c r="BA325" s="4"/>
      <c r="BB325" s="4"/>
      <c r="BC325" s="4"/>
      <c r="BD325" s="4"/>
      <c r="BE325" s="4"/>
      <c r="BF325" s="4"/>
      <c r="BG325" s="4"/>
      <c r="BH325" s="4"/>
      <c r="BI325" s="4"/>
      <c r="BJ325" s="4"/>
      <c r="BK325" s="4"/>
      <c r="BL325" s="4"/>
      <c r="BM325" s="4"/>
      <c r="BN325" s="4"/>
      <c r="BO325" s="4"/>
      <c r="BP325" s="4"/>
      <c r="BQ325" s="4"/>
      <c r="BR325" s="4"/>
      <c r="BS325" s="4"/>
      <c r="BT325" s="4"/>
      <c r="BU325" s="4"/>
      <c r="BV325" s="4"/>
      <c r="BW325" s="4"/>
      <c r="BX325" s="4"/>
      <c r="BY325" s="4"/>
      <c r="BZ325" s="4"/>
      <c r="CA325" s="4"/>
      <c r="CB325" s="4"/>
      <c r="CC325" s="4"/>
      <c r="CD325" s="4"/>
      <c r="CE325" s="4"/>
      <c r="CF325" s="4"/>
      <c r="CG325" s="4"/>
      <c r="CH325" s="4"/>
      <c r="CI325" s="4"/>
    </row>
    <row r="326" ht="14.25" customHeight="1" spans="1:87" x14ac:dyDescent="0.25">
      <c r="A326" s="4"/>
      <c r="B326" s="4"/>
      <c r="C326" s="4"/>
      <c r="D326" s="4"/>
      <c r="E326" s="4"/>
      <c r="F326" s="4"/>
      <c r="G326" s="4"/>
      <c r="H326" s="4"/>
      <c r="I326" s="4"/>
      <c r="J326" s="4"/>
      <c r="K326" s="242"/>
      <c r="L326" s="4"/>
      <c r="M326" s="4"/>
      <c r="N326" s="4"/>
      <c r="O326" s="4"/>
      <c r="P326" s="4"/>
      <c r="Q326" s="4"/>
      <c r="R326" s="4"/>
      <c r="S326" s="4"/>
      <c r="T326" s="4"/>
      <c r="U326" s="4"/>
      <c r="V326" s="4"/>
      <c r="W326" s="4"/>
      <c r="X326" s="4"/>
      <c r="Y326" s="4"/>
      <c r="Z326" s="4"/>
      <c r="AA326" s="4"/>
      <c r="AB326" s="4"/>
      <c r="AC326" s="4"/>
      <c r="AD326" s="4"/>
      <c r="AE326" s="4"/>
      <c r="AF326" s="4"/>
      <c r="AG326" s="4"/>
      <c r="AH326" s="4"/>
      <c r="AI326" s="4"/>
      <c r="AJ326" s="4"/>
      <c r="AK326" s="4"/>
      <c r="AL326" s="4"/>
      <c r="AM326" s="4"/>
      <c r="AN326" s="4"/>
      <c r="AO326" s="4"/>
      <c r="AP326" s="4"/>
      <c r="AQ326" s="4"/>
      <c r="AR326" s="4"/>
      <c r="AS326" s="4"/>
      <c r="AT326" s="4"/>
      <c r="AU326" s="4"/>
      <c r="AV326" s="4"/>
      <c r="AW326" s="4"/>
      <c r="AX326" s="4"/>
      <c r="AY326" s="4"/>
      <c r="AZ326" s="4"/>
      <c r="BA326" s="4"/>
      <c r="BB326" s="4"/>
      <c r="BC326" s="4"/>
      <c r="BD326" s="4"/>
      <c r="BE326" s="4"/>
      <c r="BF326" s="4"/>
      <c r="BG326" s="4"/>
      <c r="BH326" s="4"/>
      <c r="BI326" s="4"/>
      <c r="BJ326" s="4"/>
      <c r="BK326" s="4"/>
      <c r="BL326" s="4"/>
      <c r="BM326" s="4"/>
      <c r="BN326" s="4"/>
      <c r="BO326" s="4"/>
      <c r="BP326" s="4"/>
      <c r="BQ326" s="4"/>
      <c r="BR326" s="4"/>
      <c r="BS326" s="4"/>
      <c r="BT326" s="4"/>
      <c r="BU326" s="4"/>
      <c r="BV326" s="4"/>
      <c r="BW326" s="4"/>
      <c r="BX326" s="4"/>
      <c r="BY326" s="4"/>
      <c r="BZ326" s="4"/>
      <c r="CA326" s="4"/>
      <c r="CB326" s="4"/>
      <c r="CC326" s="4"/>
      <c r="CD326" s="4"/>
      <c r="CE326" s="4"/>
      <c r="CF326" s="4"/>
      <c r="CG326" s="4"/>
      <c r="CH326" s="4"/>
      <c r="CI326" s="4"/>
    </row>
    <row r="327" ht="14.25" customHeight="1" spans="1:87" x14ac:dyDescent="0.25">
      <c r="A327" s="4"/>
      <c r="B327" s="4"/>
      <c r="C327" s="4"/>
      <c r="D327" s="4"/>
      <c r="E327" s="4"/>
      <c r="F327" s="4"/>
      <c r="G327" s="4"/>
      <c r="H327" s="4"/>
      <c r="I327" s="4"/>
      <c r="J327" s="4"/>
      <c r="K327" s="242"/>
      <c r="L327" s="4"/>
      <c r="M327" s="4"/>
      <c r="N327" s="4"/>
      <c r="O327" s="4"/>
      <c r="P327" s="4"/>
      <c r="Q327" s="4"/>
      <c r="R327" s="4"/>
      <c r="S327" s="4"/>
      <c r="T327" s="4"/>
      <c r="U327" s="4"/>
      <c r="V327" s="4"/>
      <c r="W327" s="4"/>
      <c r="X327" s="4"/>
      <c r="Y327" s="4"/>
      <c r="Z327" s="4"/>
      <c r="AA327" s="4"/>
      <c r="AB327" s="4"/>
      <c r="AC327" s="4"/>
      <c r="AD327" s="4"/>
      <c r="AE327" s="4"/>
      <c r="AF327" s="4"/>
      <c r="AG327" s="4"/>
      <c r="AH327" s="4"/>
      <c r="AI327" s="4"/>
      <c r="AJ327" s="4"/>
      <c r="AK327" s="4"/>
      <c r="AL327" s="4"/>
      <c r="AM327" s="4"/>
      <c r="AN327" s="4"/>
      <c r="AO327" s="4"/>
      <c r="AP327" s="4"/>
      <c r="AQ327" s="4"/>
      <c r="AR327" s="4"/>
      <c r="AS327" s="4"/>
      <c r="AT327" s="4"/>
      <c r="AU327" s="4"/>
      <c r="AV327" s="4"/>
      <c r="AW327" s="4"/>
      <c r="AX327" s="4"/>
      <c r="AY327" s="4"/>
      <c r="AZ327" s="4"/>
      <c r="BA327" s="4"/>
      <c r="BB327" s="4"/>
      <c r="BC327" s="4"/>
      <c r="BD327" s="4"/>
      <c r="BE327" s="4"/>
      <c r="BF327" s="4"/>
      <c r="BG327" s="4"/>
      <c r="BH327" s="4"/>
      <c r="BI327" s="4"/>
      <c r="BJ327" s="4"/>
      <c r="BK327" s="4"/>
      <c r="BL327" s="4"/>
      <c r="BM327" s="4"/>
      <c r="BN327" s="4"/>
      <c r="BO327" s="4"/>
      <c r="BP327" s="4"/>
      <c r="BQ327" s="4"/>
      <c r="BR327" s="4"/>
      <c r="BS327" s="4"/>
      <c r="BT327" s="4"/>
      <c r="BU327" s="4"/>
      <c r="BV327" s="4"/>
      <c r="BW327" s="4"/>
      <c r="BX327" s="4"/>
      <c r="BY327" s="4"/>
      <c r="BZ327" s="4"/>
      <c r="CA327" s="4"/>
      <c r="CB327" s="4"/>
      <c r="CC327" s="4"/>
      <c r="CD327" s="4"/>
      <c r="CE327" s="4"/>
      <c r="CF327" s="4"/>
      <c r="CG327" s="4"/>
      <c r="CH327" s="4"/>
      <c r="CI327" s="4"/>
    </row>
    <row r="328" ht="14.25" customHeight="1" spans="1:87" x14ac:dyDescent="0.25">
      <c r="A328" s="4"/>
      <c r="B328" s="4"/>
      <c r="C328" s="4"/>
      <c r="D328" s="4"/>
      <c r="E328" s="4"/>
      <c r="F328" s="4"/>
      <c r="G328" s="4"/>
      <c r="H328" s="4"/>
      <c r="I328" s="4"/>
      <c r="J328" s="4"/>
      <c r="K328" s="242"/>
      <c r="L328" s="4"/>
      <c r="M328" s="4"/>
      <c r="N328" s="4"/>
      <c r="O328" s="4"/>
      <c r="P328" s="4"/>
      <c r="Q328" s="4"/>
      <c r="R328" s="4"/>
      <c r="S328" s="4"/>
      <c r="T328" s="4"/>
      <c r="U328" s="4"/>
      <c r="V328" s="4"/>
      <c r="W328" s="4"/>
      <c r="X328" s="4"/>
      <c r="Y328" s="4"/>
      <c r="Z328" s="4"/>
      <c r="AA328" s="4"/>
      <c r="AB328" s="4"/>
      <c r="AC328" s="4"/>
      <c r="AD328" s="4"/>
      <c r="AE328" s="4"/>
      <c r="AF328" s="4"/>
      <c r="AG328" s="4"/>
      <c r="AH328" s="4"/>
      <c r="AI328" s="4"/>
      <c r="AJ328" s="4"/>
      <c r="AK328" s="4"/>
      <c r="AL328" s="4"/>
      <c r="AM328" s="4"/>
      <c r="AN328" s="4"/>
      <c r="AO328" s="4"/>
      <c r="AP328" s="4"/>
      <c r="AQ328" s="4"/>
      <c r="AR328" s="4"/>
      <c r="AS328" s="4"/>
      <c r="AT328" s="4"/>
      <c r="AU328" s="4"/>
      <c r="AV328" s="4"/>
      <c r="AW328" s="4"/>
      <c r="AX328" s="4"/>
      <c r="AY328" s="4"/>
      <c r="AZ328" s="4"/>
      <c r="BA328" s="4"/>
      <c r="BB328" s="4"/>
      <c r="BC328" s="4"/>
      <c r="BD328" s="4"/>
      <c r="BE328" s="4"/>
      <c r="BF328" s="4"/>
      <c r="BG328" s="4"/>
      <c r="BH328" s="4"/>
      <c r="BI328" s="4"/>
      <c r="BJ328" s="4"/>
      <c r="BK328" s="4"/>
      <c r="BL328" s="4"/>
      <c r="BM328" s="4"/>
      <c r="BN328" s="4"/>
      <c r="BO328" s="4"/>
      <c r="BP328" s="4"/>
      <c r="BQ328" s="4"/>
      <c r="BR328" s="4"/>
      <c r="BS328" s="4"/>
      <c r="BT328" s="4"/>
      <c r="BU328" s="4"/>
      <c r="BV328" s="4"/>
      <c r="BW328" s="4"/>
      <c r="BX328" s="4"/>
      <c r="BY328" s="4"/>
      <c r="BZ328" s="4"/>
      <c r="CA328" s="4"/>
      <c r="CB328" s="4"/>
      <c r="CC328" s="4"/>
      <c r="CD328" s="4"/>
      <c r="CE328" s="4"/>
      <c r="CF328" s="4"/>
      <c r="CG328" s="4"/>
      <c r="CH328" s="4"/>
      <c r="CI328" s="4"/>
    </row>
    <row r="329" ht="14.25" customHeight="1" spans="1:87" x14ac:dyDescent="0.25">
      <c r="A329" s="4"/>
      <c r="B329" s="4"/>
      <c r="C329" s="4"/>
      <c r="D329" s="4"/>
      <c r="E329" s="4"/>
      <c r="F329" s="4"/>
      <c r="G329" s="4"/>
      <c r="H329" s="4"/>
      <c r="I329" s="4"/>
      <c r="J329" s="4"/>
      <c r="K329" s="242"/>
      <c r="L329" s="4"/>
      <c r="M329" s="4"/>
      <c r="N329" s="4"/>
      <c r="O329" s="4"/>
      <c r="P329" s="4"/>
      <c r="Q329" s="4"/>
      <c r="R329" s="4"/>
      <c r="S329" s="4"/>
      <c r="T329" s="4"/>
      <c r="U329" s="4"/>
      <c r="V329" s="4"/>
      <c r="W329" s="4"/>
      <c r="X329" s="4"/>
      <c r="Y329" s="4"/>
      <c r="Z329" s="4"/>
      <c r="AA329" s="4"/>
      <c r="AB329" s="4"/>
      <c r="AC329" s="4"/>
      <c r="AD329" s="4"/>
      <c r="AE329" s="4"/>
      <c r="AF329" s="4"/>
      <c r="AG329" s="4"/>
      <c r="AH329" s="4"/>
      <c r="AI329" s="4"/>
      <c r="AJ329" s="4"/>
      <c r="AK329" s="4"/>
      <c r="AL329" s="4"/>
      <c r="AM329" s="4"/>
      <c r="AN329" s="4"/>
      <c r="AO329" s="4"/>
      <c r="AP329" s="4"/>
      <c r="AQ329" s="4"/>
      <c r="AR329" s="4"/>
      <c r="AS329" s="4"/>
      <c r="AT329" s="4"/>
      <c r="AU329" s="4"/>
      <c r="AV329" s="4"/>
      <c r="AW329" s="4"/>
      <c r="AX329" s="4"/>
      <c r="AY329" s="4"/>
      <c r="AZ329" s="4"/>
      <c r="BA329" s="4"/>
      <c r="BB329" s="4"/>
      <c r="BC329" s="4"/>
      <c r="BD329" s="4"/>
      <c r="BE329" s="4"/>
      <c r="BF329" s="4"/>
      <c r="BG329" s="4"/>
      <c r="BH329" s="4"/>
      <c r="BI329" s="4"/>
      <c r="BJ329" s="4"/>
      <c r="BK329" s="4"/>
      <c r="BL329" s="4"/>
      <c r="BM329" s="4"/>
      <c r="BN329" s="4"/>
      <c r="BO329" s="4"/>
      <c r="BP329" s="4"/>
      <c r="BQ329" s="4"/>
      <c r="BR329" s="4"/>
      <c r="BS329" s="4"/>
      <c r="BT329" s="4"/>
      <c r="BU329" s="4"/>
      <c r="BV329" s="4"/>
      <c r="BW329" s="4"/>
      <c r="BX329" s="4"/>
      <c r="BY329" s="4"/>
      <c r="BZ329" s="4"/>
      <c r="CA329" s="4"/>
      <c r="CB329" s="4"/>
      <c r="CC329" s="4"/>
      <c r="CD329" s="4"/>
      <c r="CE329" s="4"/>
      <c r="CF329" s="4"/>
      <c r="CG329" s="4"/>
      <c r="CH329" s="4"/>
      <c r="CI329" s="4"/>
    </row>
    <row r="330" ht="14.25" customHeight="1" spans="1:87" x14ac:dyDescent="0.25">
      <c r="A330" s="4"/>
      <c r="B330" s="4"/>
      <c r="C330" s="4"/>
      <c r="D330" s="4"/>
      <c r="E330" s="4"/>
      <c r="F330" s="4"/>
      <c r="G330" s="4"/>
      <c r="H330" s="4"/>
      <c r="I330" s="4"/>
      <c r="J330" s="4"/>
      <c r="K330" s="242"/>
      <c r="L330" s="4"/>
      <c r="M330" s="4"/>
      <c r="N330" s="4"/>
      <c r="O330" s="4"/>
      <c r="P330" s="4"/>
      <c r="Q330" s="4"/>
      <c r="R330" s="4"/>
      <c r="S330" s="4"/>
      <c r="T330" s="4"/>
      <c r="U330" s="4"/>
      <c r="V330" s="4"/>
      <c r="W330" s="4"/>
      <c r="X330" s="4"/>
      <c r="Y330" s="4"/>
      <c r="Z330" s="4"/>
      <c r="AA330" s="4"/>
      <c r="AB330" s="4"/>
      <c r="AC330" s="4"/>
      <c r="AD330" s="4"/>
      <c r="AE330" s="4"/>
      <c r="AF330" s="4"/>
      <c r="AG330" s="4"/>
      <c r="AH330" s="4"/>
      <c r="AI330" s="4"/>
      <c r="AJ330" s="4"/>
      <c r="AK330" s="4"/>
      <c r="AL330" s="4"/>
      <c r="AM330" s="4"/>
      <c r="AN330" s="4"/>
      <c r="AO330" s="4"/>
      <c r="AP330" s="4"/>
      <c r="AQ330" s="4"/>
      <c r="AR330" s="4"/>
      <c r="AS330" s="4"/>
      <c r="AT330" s="4"/>
      <c r="AU330" s="4"/>
      <c r="AV330" s="4"/>
      <c r="AW330" s="4"/>
      <c r="AX330" s="4"/>
      <c r="AY330" s="4"/>
      <c r="AZ330" s="4"/>
      <c r="BA330" s="4"/>
      <c r="BB330" s="4"/>
      <c r="BC330" s="4"/>
      <c r="BD330" s="4"/>
      <c r="BE330" s="4"/>
      <c r="BF330" s="4"/>
      <c r="BG330" s="4"/>
      <c r="BH330" s="4"/>
      <c r="BI330" s="4"/>
      <c r="BJ330" s="4"/>
      <c r="BK330" s="4"/>
      <c r="BL330" s="4"/>
      <c r="BM330" s="4"/>
      <c r="BN330" s="4"/>
      <c r="BO330" s="4"/>
      <c r="BP330" s="4"/>
      <c r="BQ330" s="4"/>
      <c r="BR330" s="4"/>
      <c r="BS330" s="4"/>
      <c r="BT330" s="4"/>
      <c r="BU330" s="4"/>
      <c r="BV330" s="4"/>
      <c r="BW330" s="4"/>
      <c r="BX330" s="4"/>
      <c r="BY330" s="4"/>
      <c r="BZ330" s="4"/>
      <c r="CA330" s="4"/>
      <c r="CB330" s="4"/>
      <c r="CC330" s="4"/>
      <c r="CD330" s="4"/>
      <c r="CE330" s="4"/>
      <c r="CF330" s="4"/>
      <c r="CG330" s="4"/>
      <c r="CH330" s="4"/>
      <c r="CI330" s="4"/>
    </row>
    <row r="331" ht="14.25" customHeight="1" spans="1:87" x14ac:dyDescent="0.25">
      <c r="A331" s="4"/>
      <c r="B331" s="4"/>
      <c r="C331" s="4"/>
      <c r="D331" s="4"/>
      <c r="E331" s="4"/>
      <c r="F331" s="4"/>
      <c r="G331" s="4"/>
      <c r="H331" s="4"/>
      <c r="I331" s="4"/>
      <c r="J331" s="4"/>
      <c r="K331" s="242"/>
      <c r="L331" s="4"/>
      <c r="M331" s="4"/>
      <c r="N331" s="4"/>
      <c r="O331" s="4"/>
      <c r="P331" s="4"/>
      <c r="Q331" s="4"/>
      <c r="R331" s="4"/>
      <c r="S331" s="4"/>
      <c r="T331" s="4"/>
      <c r="U331" s="4"/>
      <c r="V331" s="4"/>
      <c r="W331" s="4"/>
      <c r="X331" s="4"/>
      <c r="Y331" s="4"/>
      <c r="Z331" s="4"/>
      <c r="AA331" s="4"/>
      <c r="AB331" s="4"/>
      <c r="AC331" s="4"/>
      <c r="AD331" s="4"/>
      <c r="AE331" s="4"/>
      <c r="AF331" s="4"/>
      <c r="AG331" s="4"/>
      <c r="AH331" s="4"/>
      <c r="AI331" s="4"/>
      <c r="AJ331" s="4"/>
      <c r="AK331" s="4"/>
      <c r="AL331" s="4"/>
      <c r="AM331" s="4"/>
      <c r="AN331" s="4"/>
      <c r="AO331" s="4"/>
      <c r="AP331" s="4"/>
      <c r="AQ331" s="4"/>
      <c r="AR331" s="4"/>
      <c r="AS331" s="4"/>
      <c r="AT331" s="4"/>
      <c r="AU331" s="4"/>
      <c r="AV331" s="4"/>
      <c r="AW331" s="4"/>
      <c r="AX331" s="4"/>
      <c r="AY331" s="4"/>
      <c r="AZ331" s="4"/>
      <c r="BA331" s="4"/>
      <c r="BB331" s="4"/>
      <c r="BC331" s="4"/>
      <c r="BD331" s="4"/>
      <c r="BE331" s="4"/>
      <c r="BF331" s="4"/>
      <c r="BG331" s="4"/>
      <c r="BH331" s="4"/>
      <c r="BI331" s="4"/>
      <c r="BJ331" s="4"/>
      <c r="BK331" s="4"/>
      <c r="BL331" s="4"/>
      <c r="BM331" s="4"/>
      <c r="BN331" s="4"/>
      <c r="BO331" s="4"/>
      <c r="BP331" s="4"/>
      <c r="BQ331" s="4"/>
      <c r="BR331" s="4"/>
      <c r="BS331" s="4"/>
      <c r="BT331" s="4"/>
      <c r="BU331" s="4"/>
      <c r="BV331" s="4"/>
      <c r="BW331" s="4"/>
      <c r="BX331" s="4"/>
      <c r="BY331" s="4"/>
      <c r="BZ331" s="4"/>
      <c r="CA331" s="4"/>
      <c r="CB331" s="4"/>
      <c r="CC331" s="4"/>
      <c r="CD331" s="4"/>
      <c r="CE331" s="4"/>
      <c r="CF331" s="4"/>
      <c r="CG331" s="4"/>
      <c r="CH331" s="4"/>
      <c r="CI331" s="4"/>
    </row>
    <row r="332" ht="14.25" customHeight="1" spans="1:87" x14ac:dyDescent="0.25">
      <c r="A332" s="4"/>
      <c r="B332" s="4"/>
      <c r="C332" s="4"/>
      <c r="D332" s="4"/>
      <c r="E332" s="4"/>
      <c r="F332" s="4"/>
      <c r="G332" s="4"/>
      <c r="H332" s="4"/>
      <c r="I332" s="4"/>
      <c r="J332" s="4"/>
      <c r="K332" s="242"/>
      <c r="L332" s="4"/>
      <c r="M332" s="4"/>
      <c r="N332" s="4"/>
      <c r="O332" s="4"/>
      <c r="P332" s="4"/>
      <c r="Q332" s="4"/>
      <c r="R332" s="4"/>
      <c r="S332" s="4"/>
      <c r="T332" s="4"/>
      <c r="U332" s="4"/>
      <c r="V332" s="4"/>
      <c r="W332" s="4"/>
      <c r="X332" s="4"/>
      <c r="Y332" s="4"/>
      <c r="Z332" s="4"/>
      <c r="AA332" s="4"/>
      <c r="AB332" s="4"/>
      <c r="AC332" s="4"/>
      <c r="AD332" s="4"/>
      <c r="AE332" s="4"/>
      <c r="AF332" s="4"/>
      <c r="AG332" s="4"/>
      <c r="AH332" s="4"/>
      <c r="AI332" s="4"/>
      <c r="AJ332" s="4"/>
      <c r="AK332" s="4"/>
      <c r="AL332" s="4"/>
      <c r="AM332" s="4"/>
      <c r="AN332" s="4"/>
      <c r="AO332" s="4"/>
      <c r="AP332" s="4"/>
      <c r="AQ332" s="4"/>
      <c r="AR332" s="4"/>
      <c r="AS332" s="4"/>
      <c r="AT332" s="4"/>
      <c r="AU332" s="4"/>
      <c r="AV332" s="4"/>
      <c r="AW332" s="4"/>
      <c r="AX332" s="4"/>
      <c r="AY332" s="4"/>
      <c r="AZ332" s="4"/>
      <c r="BA332" s="4"/>
      <c r="BB332" s="4"/>
      <c r="BC332" s="4"/>
      <c r="BD332" s="4"/>
      <c r="BE332" s="4"/>
      <c r="BF332" s="4"/>
      <c r="BG332" s="4"/>
      <c r="BH332" s="4"/>
      <c r="BI332" s="4"/>
      <c r="BJ332" s="4"/>
      <c r="BK332" s="4"/>
      <c r="BL332" s="4"/>
      <c r="BM332" s="4"/>
      <c r="BN332" s="4"/>
      <c r="BO332" s="4"/>
      <c r="BP332" s="4"/>
      <c r="BQ332" s="4"/>
      <c r="BR332" s="4"/>
      <c r="BS332" s="4"/>
      <c r="BT332" s="4"/>
      <c r="BU332" s="4"/>
      <c r="BV332" s="4"/>
      <c r="BW332" s="4"/>
      <c r="BX332" s="4"/>
      <c r="BY332" s="4"/>
      <c r="BZ332" s="4"/>
      <c r="CA332" s="4"/>
      <c r="CB332" s="4"/>
      <c r="CC332" s="4"/>
      <c r="CD332" s="4"/>
      <c r="CE332" s="4"/>
      <c r="CF332" s="4"/>
      <c r="CG332" s="4"/>
      <c r="CH332" s="4"/>
      <c r="CI332" s="4"/>
    </row>
    <row r="333" ht="14.25" customHeight="1" spans="1:87" x14ac:dyDescent="0.25">
      <c r="A333" s="4"/>
      <c r="B333" s="4"/>
      <c r="C333" s="4"/>
      <c r="D333" s="4"/>
      <c r="E333" s="4"/>
      <c r="F333" s="4"/>
      <c r="G333" s="4"/>
      <c r="H333" s="4"/>
      <c r="I333" s="4"/>
      <c r="J333" s="4"/>
      <c r="K333" s="242"/>
      <c r="L333" s="4"/>
      <c r="M333" s="4"/>
      <c r="N333" s="4"/>
      <c r="O333" s="4"/>
      <c r="P333" s="4"/>
      <c r="Q333" s="4"/>
      <c r="R333" s="4"/>
      <c r="S333" s="4"/>
      <c r="T333" s="4"/>
      <c r="U333" s="4"/>
      <c r="V333" s="4"/>
      <c r="W333" s="4"/>
      <c r="X333" s="4"/>
      <c r="Y333" s="4"/>
      <c r="Z333" s="4"/>
      <c r="AA333" s="4"/>
      <c r="AB333" s="4"/>
      <c r="AC333" s="4"/>
      <c r="AD333" s="4"/>
      <c r="AE333" s="4"/>
      <c r="AF333" s="4"/>
      <c r="AG333" s="4"/>
      <c r="AH333" s="4"/>
      <c r="AI333" s="4"/>
      <c r="AJ333" s="4"/>
      <c r="AK333" s="4"/>
      <c r="AL333" s="4"/>
      <c r="AM333" s="4"/>
      <c r="AN333" s="4"/>
      <c r="AO333" s="4"/>
      <c r="AP333" s="4"/>
      <c r="AQ333" s="4"/>
      <c r="AR333" s="4"/>
      <c r="AS333" s="4"/>
      <c r="AT333" s="4"/>
      <c r="AU333" s="4"/>
      <c r="AV333" s="4"/>
      <c r="AW333" s="4"/>
      <c r="AX333" s="4"/>
      <c r="AY333" s="4"/>
      <c r="AZ333" s="4"/>
      <c r="BA333" s="4"/>
      <c r="BB333" s="4"/>
      <c r="BC333" s="4"/>
      <c r="BD333" s="4"/>
      <c r="BE333" s="4"/>
      <c r="BF333" s="4"/>
      <c r="BG333" s="4"/>
      <c r="BH333" s="4"/>
      <c r="BI333" s="4"/>
      <c r="BJ333" s="4"/>
      <c r="BK333" s="4"/>
      <c r="BL333" s="4"/>
      <c r="BM333" s="4"/>
      <c r="BN333" s="4"/>
      <c r="BO333" s="4"/>
      <c r="BP333" s="4"/>
      <c r="BQ333" s="4"/>
      <c r="BR333" s="4"/>
      <c r="BS333" s="4"/>
      <c r="BT333" s="4"/>
      <c r="BU333" s="4"/>
      <c r="BV333" s="4"/>
      <c r="BW333" s="4"/>
      <c r="BX333" s="4"/>
      <c r="BY333" s="4"/>
      <c r="BZ333" s="4"/>
      <c r="CA333" s="4"/>
      <c r="CB333" s="4"/>
      <c r="CC333" s="4"/>
      <c r="CD333" s="4"/>
      <c r="CE333" s="4"/>
      <c r="CF333" s="4"/>
      <c r="CG333" s="4"/>
      <c r="CH333" s="4"/>
      <c r="CI333" s="4"/>
    </row>
    <row r="334" ht="14.25" customHeight="1" spans="1:87" x14ac:dyDescent="0.25">
      <c r="A334" s="4"/>
      <c r="B334" s="4"/>
      <c r="C334" s="4"/>
      <c r="D334" s="4"/>
      <c r="E334" s="4"/>
      <c r="F334" s="4"/>
      <c r="G334" s="4"/>
      <c r="H334" s="4"/>
      <c r="I334" s="4"/>
      <c r="J334" s="4"/>
      <c r="K334" s="242"/>
      <c r="L334" s="4"/>
      <c r="M334" s="4"/>
      <c r="N334" s="4"/>
      <c r="O334" s="4"/>
      <c r="P334" s="4"/>
      <c r="Q334" s="4"/>
      <c r="R334" s="4"/>
      <c r="S334" s="4"/>
      <c r="T334" s="4"/>
      <c r="U334" s="4"/>
      <c r="V334" s="4"/>
      <c r="W334" s="4"/>
      <c r="X334" s="4"/>
      <c r="Y334" s="4"/>
      <c r="Z334" s="4"/>
      <c r="AA334" s="4"/>
      <c r="AB334" s="4"/>
      <c r="AC334" s="4"/>
      <c r="AD334" s="4"/>
      <c r="AE334" s="4"/>
      <c r="AF334" s="4"/>
      <c r="AG334" s="4"/>
      <c r="AH334" s="4"/>
      <c r="AI334" s="4"/>
      <c r="AJ334" s="4"/>
      <c r="AK334" s="4"/>
      <c r="AL334" s="4"/>
      <c r="AM334" s="4"/>
      <c r="AN334" s="4"/>
      <c r="AO334" s="4"/>
      <c r="AP334" s="4"/>
      <c r="AQ334" s="4"/>
      <c r="AR334" s="4"/>
      <c r="AS334" s="4"/>
      <c r="AT334" s="4"/>
      <c r="AU334" s="4"/>
      <c r="AV334" s="4"/>
      <c r="AW334" s="4"/>
      <c r="AX334" s="4"/>
      <c r="AY334" s="4"/>
      <c r="AZ334" s="4"/>
      <c r="BA334" s="4"/>
      <c r="BB334" s="4"/>
      <c r="BC334" s="4"/>
      <c r="BD334" s="4"/>
      <c r="BE334" s="4"/>
      <c r="BF334" s="4"/>
      <c r="BG334" s="4"/>
      <c r="BH334" s="4"/>
      <c r="BI334" s="4"/>
      <c r="BJ334" s="4"/>
      <c r="BK334" s="4"/>
      <c r="BL334" s="4"/>
      <c r="BM334" s="4"/>
      <c r="BN334" s="4"/>
      <c r="BO334" s="4"/>
      <c r="BP334" s="4"/>
      <c r="BQ334" s="4"/>
      <c r="BR334" s="4"/>
      <c r="BS334" s="4"/>
      <c r="BT334" s="4"/>
      <c r="BU334" s="4"/>
      <c r="BV334" s="4"/>
      <c r="BW334" s="4"/>
      <c r="BX334" s="4"/>
      <c r="BY334" s="4"/>
      <c r="BZ334" s="4"/>
      <c r="CA334" s="4"/>
      <c r="CB334" s="4"/>
      <c r="CC334" s="4"/>
      <c r="CD334" s="4"/>
      <c r="CE334" s="4"/>
      <c r="CF334" s="4"/>
      <c r="CG334" s="4"/>
      <c r="CH334" s="4"/>
      <c r="CI334" s="4"/>
    </row>
    <row r="335" ht="14.25" customHeight="1" spans="1:87" x14ac:dyDescent="0.25">
      <c r="A335" s="4"/>
      <c r="B335" s="4"/>
      <c r="C335" s="4"/>
      <c r="D335" s="4"/>
      <c r="E335" s="4"/>
      <c r="F335" s="4"/>
      <c r="G335" s="4"/>
      <c r="H335" s="4"/>
      <c r="I335" s="4"/>
      <c r="J335" s="4"/>
      <c r="K335" s="242"/>
      <c r="L335" s="4"/>
      <c r="M335" s="4"/>
      <c r="N335" s="4"/>
      <c r="O335" s="4"/>
      <c r="P335" s="4"/>
      <c r="Q335" s="4"/>
      <c r="R335" s="4"/>
      <c r="S335" s="4"/>
      <c r="T335" s="4"/>
      <c r="U335" s="4"/>
      <c r="V335" s="4"/>
      <c r="W335" s="4"/>
      <c r="X335" s="4"/>
      <c r="Y335" s="4"/>
      <c r="Z335" s="4"/>
      <c r="AA335" s="4"/>
      <c r="AB335" s="4"/>
      <c r="AC335" s="4"/>
      <c r="AD335" s="4"/>
      <c r="AE335" s="4"/>
      <c r="AF335" s="4"/>
      <c r="AG335" s="4"/>
      <c r="AH335" s="4"/>
      <c r="AI335" s="4"/>
      <c r="AJ335" s="4"/>
      <c r="AK335" s="4"/>
      <c r="AL335" s="4"/>
      <c r="AM335" s="4"/>
      <c r="AN335" s="4"/>
      <c r="AO335" s="4"/>
      <c r="AP335" s="4"/>
      <c r="AQ335" s="4"/>
      <c r="AR335" s="4"/>
      <c r="AS335" s="4"/>
      <c r="AT335" s="4"/>
      <c r="AU335" s="4"/>
      <c r="AV335" s="4"/>
      <c r="AW335" s="4"/>
      <c r="AX335" s="4"/>
      <c r="AY335" s="4"/>
      <c r="AZ335" s="4"/>
      <c r="BA335" s="4"/>
      <c r="BB335" s="4"/>
      <c r="BC335" s="4"/>
      <c r="BD335" s="4"/>
      <c r="BE335" s="4"/>
      <c r="BF335" s="4"/>
      <c r="BG335" s="4"/>
      <c r="BH335" s="4"/>
      <c r="BI335" s="4"/>
      <c r="BJ335" s="4"/>
      <c r="BK335" s="4"/>
      <c r="BL335" s="4"/>
      <c r="BM335" s="4"/>
      <c r="BN335" s="4"/>
      <c r="BO335" s="4"/>
      <c r="BP335" s="4"/>
      <c r="BQ335" s="4"/>
      <c r="BR335" s="4"/>
      <c r="BS335" s="4"/>
      <c r="BT335" s="4"/>
      <c r="BU335" s="4"/>
      <c r="BV335" s="4"/>
      <c r="BW335" s="4"/>
      <c r="BX335" s="4"/>
      <c r="BY335" s="4"/>
      <c r="BZ335" s="4"/>
      <c r="CA335" s="4"/>
      <c r="CB335" s="4"/>
      <c r="CC335" s="4"/>
      <c r="CD335" s="4"/>
      <c r="CE335" s="4"/>
      <c r="CF335" s="4"/>
      <c r="CG335" s="4"/>
      <c r="CH335" s="4"/>
      <c r="CI335" s="4"/>
    </row>
    <row r="336" ht="14.25" customHeight="1" spans="1:87" x14ac:dyDescent="0.25">
      <c r="A336" s="4"/>
      <c r="B336" s="4"/>
      <c r="C336" s="4"/>
      <c r="D336" s="4"/>
      <c r="E336" s="4"/>
      <c r="F336" s="4"/>
      <c r="G336" s="4"/>
      <c r="H336" s="4"/>
      <c r="I336" s="4"/>
      <c r="J336" s="4"/>
      <c r="K336" s="242"/>
      <c r="L336" s="4"/>
      <c r="M336" s="4"/>
      <c r="N336" s="4"/>
      <c r="O336" s="4"/>
      <c r="P336" s="4"/>
      <c r="Q336" s="4"/>
      <c r="R336" s="4"/>
      <c r="S336" s="4"/>
      <c r="T336" s="4"/>
      <c r="U336" s="4"/>
      <c r="V336" s="4"/>
      <c r="W336" s="4"/>
      <c r="X336" s="4"/>
      <c r="Y336" s="4"/>
      <c r="Z336" s="4"/>
      <c r="AA336" s="4"/>
      <c r="AB336" s="4"/>
      <c r="AC336" s="4"/>
      <c r="AD336" s="4"/>
      <c r="AE336" s="4"/>
      <c r="AF336" s="4"/>
      <c r="AG336" s="4"/>
      <c r="AH336" s="4"/>
      <c r="AI336" s="4"/>
      <c r="AJ336" s="4"/>
      <c r="AK336" s="4"/>
      <c r="AL336" s="4"/>
      <c r="AM336" s="4"/>
      <c r="AN336" s="4"/>
      <c r="AO336" s="4"/>
      <c r="AP336" s="4"/>
      <c r="AQ336" s="4"/>
      <c r="AR336" s="4"/>
      <c r="AS336" s="4"/>
      <c r="AT336" s="4"/>
      <c r="AU336" s="4"/>
      <c r="AV336" s="4"/>
      <c r="AW336" s="4"/>
      <c r="AX336" s="4"/>
      <c r="AY336" s="4"/>
      <c r="AZ336" s="4"/>
      <c r="BA336" s="4"/>
      <c r="BB336" s="4"/>
      <c r="BC336" s="4"/>
      <c r="BD336" s="4"/>
      <c r="BE336" s="4"/>
      <c r="BF336" s="4"/>
      <c r="BG336" s="4"/>
      <c r="BH336" s="4"/>
      <c r="BI336" s="4"/>
      <c r="BJ336" s="4"/>
      <c r="BK336" s="4"/>
      <c r="BL336" s="4"/>
      <c r="BM336" s="4"/>
      <c r="BN336" s="4"/>
      <c r="BO336" s="4"/>
      <c r="BP336" s="4"/>
      <c r="BQ336" s="4"/>
      <c r="BR336" s="4"/>
      <c r="BS336" s="4"/>
      <c r="BT336" s="4"/>
      <c r="BU336" s="4"/>
      <c r="BV336" s="4"/>
      <c r="BW336" s="4"/>
      <c r="BX336" s="4"/>
      <c r="BY336" s="4"/>
      <c r="BZ336" s="4"/>
      <c r="CA336" s="4"/>
      <c r="CB336" s="4"/>
      <c r="CC336" s="4"/>
      <c r="CD336" s="4"/>
      <c r="CE336" s="4"/>
      <c r="CF336" s="4"/>
      <c r="CG336" s="4"/>
      <c r="CH336" s="4"/>
      <c r="CI336" s="4"/>
    </row>
    <row r="337" ht="14.25" customHeight="1" spans="1:87" x14ac:dyDescent="0.25">
      <c r="A337" s="4"/>
      <c r="B337" s="4"/>
      <c r="C337" s="4"/>
      <c r="D337" s="4"/>
      <c r="E337" s="4"/>
      <c r="F337" s="4"/>
      <c r="G337" s="4"/>
      <c r="H337" s="4"/>
      <c r="I337" s="4"/>
      <c r="J337" s="4"/>
      <c r="K337" s="242"/>
      <c r="L337" s="4"/>
      <c r="M337" s="4"/>
      <c r="N337" s="4"/>
      <c r="O337" s="4"/>
      <c r="P337" s="4"/>
      <c r="Q337" s="4"/>
      <c r="R337" s="4"/>
      <c r="S337" s="4"/>
      <c r="T337" s="4"/>
      <c r="U337" s="4"/>
      <c r="V337" s="4"/>
      <c r="W337" s="4"/>
      <c r="X337" s="4"/>
      <c r="Y337" s="4"/>
      <c r="Z337" s="4"/>
      <c r="AA337" s="4"/>
      <c r="AB337" s="4"/>
      <c r="AC337" s="4"/>
      <c r="AD337" s="4"/>
      <c r="AE337" s="4"/>
      <c r="AF337" s="4"/>
      <c r="AG337" s="4"/>
      <c r="AH337" s="4"/>
      <c r="AI337" s="4"/>
      <c r="AJ337" s="4"/>
      <c r="AK337" s="4"/>
      <c r="AL337" s="4"/>
      <c r="AM337" s="4"/>
      <c r="AN337" s="4"/>
      <c r="AO337" s="4"/>
      <c r="AP337" s="4"/>
      <c r="AQ337" s="4"/>
      <c r="AR337" s="4"/>
      <c r="AS337" s="4"/>
      <c r="AT337" s="4"/>
      <c r="AU337" s="4"/>
      <c r="AV337" s="4"/>
      <c r="AW337" s="4"/>
      <c r="AX337" s="4"/>
      <c r="AY337" s="4"/>
      <c r="AZ337" s="4"/>
      <c r="BA337" s="4"/>
      <c r="BB337" s="4"/>
      <c r="BC337" s="4"/>
      <c r="BD337" s="4"/>
      <c r="BE337" s="4"/>
      <c r="BF337" s="4"/>
      <c r="BG337" s="4"/>
      <c r="BH337" s="4"/>
      <c r="BI337" s="4"/>
      <c r="BJ337" s="4"/>
      <c r="BK337" s="4"/>
      <c r="BL337" s="4"/>
      <c r="BM337" s="4"/>
      <c r="BN337" s="4"/>
      <c r="BO337" s="4"/>
      <c r="BP337" s="4"/>
      <c r="BQ337" s="4"/>
      <c r="BR337" s="4"/>
      <c r="BS337" s="4"/>
      <c r="BT337" s="4"/>
      <c r="BU337" s="4"/>
      <c r="BV337" s="4"/>
      <c r="BW337" s="4"/>
      <c r="BX337" s="4"/>
      <c r="BY337" s="4"/>
      <c r="BZ337" s="4"/>
      <c r="CA337" s="4"/>
      <c r="CB337" s="4"/>
      <c r="CC337" s="4"/>
      <c r="CD337" s="4"/>
      <c r="CE337" s="4"/>
      <c r="CF337" s="4"/>
      <c r="CG337" s="4"/>
      <c r="CH337" s="4"/>
      <c r="CI337" s="4"/>
    </row>
    <row r="338" ht="14.25" customHeight="1" spans="1:87" x14ac:dyDescent="0.25">
      <c r="A338" s="4"/>
      <c r="B338" s="4"/>
      <c r="C338" s="4"/>
      <c r="D338" s="4"/>
      <c r="E338" s="4"/>
      <c r="F338" s="4"/>
      <c r="G338" s="4"/>
      <c r="H338" s="4"/>
      <c r="I338" s="4"/>
      <c r="J338" s="4"/>
      <c r="K338" s="242"/>
      <c r="L338" s="4"/>
      <c r="M338" s="4"/>
      <c r="N338" s="4"/>
      <c r="O338" s="4"/>
      <c r="P338" s="4"/>
      <c r="Q338" s="4"/>
      <c r="R338" s="4"/>
      <c r="S338" s="4"/>
      <c r="T338" s="4"/>
      <c r="U338" s="4"/>
      <c r="V338" s="4"/>
      <c r="W338" s="4"/>
      <c r="X338" s="4"/>
      <c r="Y338" s="4"/>
      <c r="Z338" s="4"/>
      <c r="AA338" s="4"/>
      <c r="AB338" s="4"/>
      <c r="AC338" s="4"/>
      <c r="AD338" s="4"/>
      <c r="AE338" s="4"/>
      <c r="AF338" s="4"/>
      <c r="AG338" s="4"/>
      <c r="AH338" s="4"/>
      <c r="AI338" s="4"/>
      <c r="AJ338" s="4"/>
      <c r="AK338" s="4"/>
      <c r="AL338" s="4"/>
      <c r="AM338" s="4"/>
      <c r="AN338" s="4"/>
      <c r="AO338" s="4"/>
      <c r="AP338" s="4"/>
      <c r="AQ338" s="4"/>
      <c r="AR338" s="4"/>
      <c r="AS338" s="4"/>
      <c r="AT338" s="4"/>
      <c r="AU338" s="4"/>
      <c r="AV338" s="4"/>
      <c r="AW338" s="4"/>
      <c r="AX338" s="4"/>
      <c r="AY338" s="4"/>
      <c r="AZ338" s="4"/>
      <c r="BA338" s="4"/>
      <c r="BB338" s="4"/>
      <c r="BC338" s="4"/>
      <c r="BD338" s="4"/>
      <c r="BE338" s="4"/>
      <c r="BF338" s="4"/>
      <c r="BG338" s="4"/>
      <c r="BH338" s="4"/>
      <c r="BI338" s="4"/>
      <c r="BJ338" s="4"/>
      <c r="BK338" s="4"/>
      <c r="BL338" s="4"/>
      <c r="BM338" s="4"/>
      <c r="BN338" s="4"/>
      <c r="BO338" s="4"/>
      <c r="BP338" s="4"/>
      <c r="BQ338" s="4"/>
      <c r="BR338" s="4"/>
      <c r="BS338" s="4"/>
      <c r="BT338" s="4"/>
      <c r="BU338" s="4"/>
      <c r="BV338" s="4"/>
      <c r="BW338" s="4"/>
      <c r="BX338" s="4"/>
      <c r="BY338" s="4"/>
      <c r="BZ338" s="4"/>
      <c r="CA338" s="4"/>
      <c r="CB338" s="4"/>
      <c r="CC338" s="4"/>
      <c r="CD338" s="4"/>
      <c r="CE338" s="4"/>
      <c r="CF338" s="4"/>
      <c r="CG338" s="4"/>
      <c r="CH338" s="4"/>
      <c r="CI338" s="4"/>
    </row>
    <row r="339" ht="14.25" customHeight="1" spans="1:87" x14ac:dyDescent="0.25">
      <c r="A339" s="4"/>
      <c r="B339" s="4"/>
      <c r="C339" s="4"/>
      <c r="D339" s="4"/>
      <c r="E339" s="4"/>
      <c r="F339" s="4"/>
      <c r="G339" s="4"/>
      <c r="H339" s="4"/>
      <c r="I339" s="4"/>
      <c r="J339" s="4"/>
      <c r="K339" s="242"/>
      <c r="L339" s="4"/>
      <c r="M339" s="4"/>
      <c r="N339" s="4"/>
      <c r="O339" s="4"/>
      <c r="P339" s="4"/>
      <c r="Q339" s="4"/>
      <c r="R339" s="4"/>
      <c r="S339" s="4"/>
      <c r="T339" s="4"/>
      <c r="U339" s="4"/>
      <c r="V339" s="4"/>
      <c r="W339" s="4"/>
      <c r="X339" s="4"/>
      <c r="Y339" s="4"/>
      <c r="Z339" s="4"/>
      <c r="AA339" s="4"/>
      <c r="AB339" s="4"/>
      <c r="AC339" s="4"/>
      <c r="AD339" s="4"/>
      <c r="AE339" s="4"/>
      <c r="AF339" s="4"/>
      <c r="AG339" s="4"/>
      <c r="AH339" s="4"/>
      <c r="AI339" s="4"/>
      <c r="AJ339" s="4"/>
      <c r="AK339" s="4"/>
      <c r="AL339" s="4"/>
      <c r="AM339" s="4"/>
      <c r="AN339" s="4"/>
      <c r="AO339" s="4"/>
      <c r="AP339" s="4"/>
      <c r="AQ339" s="4"/>
      <c r="AR339" s="4"/>
      <c r="AS339" s="4"/>
      <c r="AT339" s="4"/>
      <c r="AU339" s="4"/>
      <c r="AV339" s="4"/>
      <c r="AW339" s="4"/>
      <c r="AX339" s="4"/>
      <c r="AY339" s="4"/>
      <c r="AZ339" s="4"/>
      <c r="BA339" s="4"/>
      <c r="BB339" s="4"/>
      <c r="BC339" s="4"/>
      <c r="BD339" s="4"/>
      <c r="BE339" s="4"/>
      <c r="BF339" s="4"/>
      <c r="BG339" s="4"/>
      <c r="BH339" s="4"/>
      <c r="BI339" s="4"/>
      <c r="BJ339" s="4"/>
      <c r="BK339" s="4"/>
      <c r="BL339" s="4"/>
      <c r="BM339" s="4"/>
      <c r="BN339" s="4"/>
      <c r="BO339" s="4"/>
      <c r="BP339" s="4"/>
      <c r="BQ339" s="4"/>
      <c r="BR339" s="4"/>
      <c r="BS339" s="4"/>
      <c r="BT339" s="4"/>
      <c r="BU339" s="4"/>
      <c r="BV339" s="4"/>
      <c r="BW339" s="4"/>
      <c r="BX339" s="4"/>
      <c r="BY339" s="4"/>
      <c r="BZ339" s="4"/>
      <c r="CA339" s="4"/>
      <c r="CB339" s="4"/>
      <c r="CC339" s="4"/>
      <c r="CD339" s="4"/>
      <c r="CE339" s="4"/>
      <c r="CF339" s="4"/>
      <c r="CG339" s="4"/>
      <c r="CH339" s="4"/>
      <c r="CI339" s="4"/>
    </row>
    <row r="340" ht="14.25" customHeight="1" spans="1:87" x14ac:dyDescent="0.25">
      <c r="A340" s="4"/>
      <c r="B340" s="4"/>
      <c r="C340" s="4"/>
      <c r="D340" s="4"/>
      <c r="E340" s="4"/>
      <c r="F340" s="4"/>
      <c r="G340" s="4"/>
      <c r="H340" s="4"/>
      <c r="I340" s="4"/>
      <c r="J340" s="4"/>
      <c r="K340" s="242"/>
      <c r="L340" s="4"/>
      <c r="M340" s="4"/>
      <c r="N340" s="4"/>
      <c r="O340" s="4"/>
      <c r="P340" s="4"/>
      <c r="Q340" s="4"/>
      <c r="R340" s="4"/>
      <c r="S340" s="4"/>
      <c r="T340" s="4"/>
      <c r="U340" s="4"/>
      <c r="V340" s="4"/>
      <c r="W340" s="4"/>
      <c r="X340" s="4"/>
      <c r="Y340" s="4"/>
      <c r="Z340" s="4"/>
      <c r="AA340" s="4"/>
      <c r="AB340" s="4"/>
      <c r="AC340" s="4"/>
      <c r="AD340" s="4"/>
      <c r="AE340" s="4"/>
      <c r="AF340" s="4"/>
      <c r="AG340" s="4"/>
      <c r="AH340" s="4"/>
      <c r="AI340" s="4"/>
      <c r="AJ340" s="4"/>
      <c r="AK340" s="4"/>
      <c r="AL340" s="4"/>
      <c r="AM340" s="4"/>
      <c r="AN340" s="4"/>
      <c r="AO340" s="4"/>
      <c r="AP340" s="4"/>
      <c r="AQ340" s="4"/>
      <c r="AR340" s="4"/>
      <c r="AS340" s="4"/>
      <c r="AT340" s="4"/>
      <c r="AU340" s="4"/>
      <c r="AV340" s="4"/>
      <c r="AW340" s="4"/>
      <c r="AX340" s="4"/>
      <c r="AY340" s="4"/>
      <c r="AZ340" s="4"/>
      <c r="BA340" s="4"/>
      <c r="BB340" s="4"/>
      <c r="BC340" s="4"/>
      <c r="BD340" s="4"/>
      <c r="BE340" s="4"/>
      <c r="BF340" s="4"/>
      <c r="BG340" s="4"/>
      <c r="BH340" s="4"/>
      <c r="BI340" s="4"/>
      <c r="BJ340" s="4"/>
      <c r="BK340" s="4"/>
      <c r="BL340" s="4"/>
      <c r="BM340" s="4"/>
      <c r="BN340" s="4"/>
      <c r="BO340" s="4"/>
      <c r="BP340" s="4"/>
      <c r="BQ340" s="4"/>
      <c r="BR340" s="4"/>
      <c r="BS340" s="4"/>
      <c r="BT340" s="4"/>
      <c r="BU340" s="4"/>
      <c r="BV340" s="4"/>
      <c r="BW340" s="4"/>
      <c r="BX340" s="4"/>
      <c r="BY340" s="4"/>
      <c r="BZ340" s="4"/>
      <c r="CA340" s="4"/>
      <c r="CB340" s="4"/>
      <c r="CC340" s="4"/>
      <c r="CD340" s="4"/>
      <c r="CE340" s="4"/>
      <c r="CF340" s="4"/>
      <c r="CG340" s="4"/>
      <c r="CH340" s="4"/>
      <c r="CI340" s="4"/>
    </row>
    <row r="341" ht="14.25" customHeight="1" spans="1:87" x14ac:dyDescent="0.25">
      <c r="A341" s="4"/>
      <c r="B341" s="4"/>
      <c r="C341" s="4"/>
      <c r="D341" s="4"/>
      <c r="E341" s="4"/>
      <c r="F341" s="4"/>
      <c r="G341" s="4"/>
      <c r="H341" s="4"/>
      <c r="I341" s="4"/>
      <c r="J341" s="4"/>
      <c r="K341" s="242"/>
      <c r="L341" s="4"/>
      <c r="M341" s="4"/>
      <c r="N341" s="4"/>
      <c r="O341" s="4"/>
      <c r="P341" s="4"/>
      <c r="Q341" s="4"/>
      <c r="R341" s="4"/>
      <c r="S341" s="4"/>
      <c r="T341" s="4"/>
      <c r="U341" s="4"/>
      <c r="V341" s="4"/>
      <c r="W341" s="4"/>
      <c r="X341" s="4"/>
      <c r="Y341" s="4"/>
      <c r="Z341" s="4"/>
      <c r="AA341" s="4"/>
      <c r="AB341" s="4"/>
      <c r="AC341" s="4"/>
      <c r="AD341" s="4"/>
      <c r="AE341" s="4"/>
      <c r="AF341" s="4"/>
      <c r="AG341" s="4"/>
      <c r="AH341" s="4"/>
      <c r="AI341" s="4"/>
      <c r="AJ341" s="4"/>
      <c r="AK341" s="4"/>
      <c r="AL341" s="4"/>
      <c r="AM341" s="4"/>
      <c r="AN341" s="4"/>
      <c r="AO341" s="4"/>
      <c r="AP341" s="4"/>
      <c r="AQ341" s="4"/>
      <c r="AR341" s="4"/>
      <c r="AS341" s="4"/>
      <c r="AT341" s="4"/>
      <c r="AU341" s="4"/>
      <c r="AV341" s="4"/>
      <c r="AW341" s="4"/>
      <c r="AX341" s="4"/>
      <c r="AY341" s="4"/>
      <c r="AZ341" s="4"/>
      <c r="BA341" s="4"/>
      <c r="BB341" s="4"/>
      <c r="BC341" s="4"/>
      <c r="BD341" s="4"/>
      <c r="BE341" s="4"/>
      <c r="BF341" s="4"/>
      <c r="BG341" s="4"/>
      <c r="BH341" s="4"/>
      <c r="BI341" s="4"/>
      <c r="BJ341" s="4"/>
      <c r="BK341" s="4"/>
      <c r="BL341" s="4"/>
      <c r="BM341" s="4"/>
      <c r="BN341" s="4"/>
      <c r="BO341" s="4"/>
      <c r="BP341" s="4"/>
      <c r="BQ341" s="4"/>
      <c r="BR341" s="4"/>
      <c r="BS341" s="4"/>
      <c r="BT341" s="4"/>
      <c r="BU341" s="4"/>
      <c r="BV341" s="4"/>
      <c r="BW341" s="4"/>
      <c r="BX341" s="4"/>
      <c r="BY341" s="4"/>
      <c r="BZ341" s="4"/>
      <c r="CA341" s="4"/>
      <c r="CB341" s="4"/>
      <c r="CC341" s="4"/>
      <c r="CD341" s="4"/>
      <c r="CE341" s="4"/>
      <c r="CF341" s="4"/>
      <c r="CG341" s="4"/>
      <c r="CH341" s="4"/>
      <c r="CI341" s="4"/>
    </row>
    <row r="342" ht="14.25" customHeight="1" spans="1:87" x14ac:dyDescent="0.25">
      <c r="A342" s="4"/>
      <c r="B342" s="4"/>
      <c r="C342" s="4"/>
      <c r="D342" s="4"/>
      <c r="E342" s="4"/>
      <c r="F342" s="4"/>
      <c r="G342" s="4"/>
      <c r="H342" s="4"/>
      <c r="I342" s="4"/>
      <c r="J342" s="4"/>
      <c r="K342" s="242"/>
      <c r="L342" s="4"/>
      <c r="M342" s="4"/>
      <c r="N342" s="4"/>
      <c r="O342" s="4"/>
      <c r="P342" s="4"/>
      <c r="Q342" s="4"/>
      <c r="R342" s="4"/>
      <c r="S342" s="4"/>
      <c r="T342" s="4"/>
      <c r="U342" s="4"/>
      <c r="V342" s="4"/>
      <c r="W342" s="4"/>
      <c r="X342" s="4"/>
      <c r="Y342" s="4"/>
      <c r="Z342" s="4"/>
      <c r="AA342" s="4"/>
      <c r="AB342" s="4"/>
      <c r="AC342" s="4"/>
      <c r="AD342" s="4"/>
      <c r="AE342" s="4"/>
      <c r="AF342" s="4"/>
      <c r="AG342" s="4"/>
      <c r="AH342" s="4"/>
      <c r="AI342" s="4"/>
      <c r="AJ342" s="4"/>
      <c r="AK342" s="4"/>
      <c r="AL342" s="4"/>
      <c r="AM342" s="4"/>
      <c r="AN342" s="4"/>
      <c r="AO342" s="4"/>
      <c r="AP342" s="4"/>
      <c r="AQ342" s="4"/>
      <c r="AR342" s="4"/>
      <c r="AS342" s="4"/>
      <c r="AT342" s="4"/>
      <c r="AU342" s="4"/>
      <c r="AV342" s="4"/>
      <c r="AW342" s="4"/>
      <c r="AX342" s="4"/>
      <c r="AY342" s="4"/>
      <c r="AZ342" s="4"/>
      <c r="BA342" s="4"/>
      <c r="BB342" s="4"/>
      <c r="BC342" s="4"/>
      <c r="BD342" s="4"/>
      <c r="BE342" s="4"/>
      <c r="BF342" s="4"/>
      <c r="BG342" s="4"/>
      <c r="BH342" s="4"/>
      <c r="BI342" s="4"/>
      <c r="BJ342" s="4"/>
      <c r="BK342" s="4"/>
      <c r="BL342" s="4"/>
      <c r="BM342" s="4"/>
      <c r="BN342" s="4"/>
      <c r="BO342" s="4"/>
      <c r="BP342" s="4"/>
      <c r="BQ342" s="4"/>
      <c r="BR342" s="4"/>
      <c r="BS342" s="4"/>
      <c r="BT342" s="4"/>
      <c r="BU342" s="4"/>
      <c r="BV342" s="4"/>
      <c r="BW342" s="4"/>
      <c r="BX342" s="4"/>
      <c r="BY342" s="4"/>
      <c r="BZ342" s="4"/>
      <c r="CA342" s="4"/>
      <c r="CB342" s="4"/>
      <c r="CC342" s="4"/>
      <c r="CD342" s="4"/>
      <c r="CE342" s="4"/>
      <c r="CF342" s="4"/>
      <c r="CG342" s="4"/>
      <c r="CH342" s="4"/>
      <c r="CI342" s="4"/>
    </row>
    <row r="343" ht="14.25" customHeight="1" spans="1:87" x14ac:dyDescent="0.25">
      <c r="A343" s="4"/>
      <c r="B343" s="4"/>
      <c r="C343" s="4"/>
      <c r="D343" s="4"/>
      <c r="E343" s="4"/>
      <c r="F343" s="4"/>
      <c r="G343" s="4"/>
      <c r="H343" s="4"/>
      <c r="I343" s="4"/>
      <c r="J343" s="4"/>
      <c r="K343" s="242"/>
      <c r="L343" s="4"/>
      <c r="M343" s="4"/>
      <c r="N343" s="4"/>
      <c r="O343" s="4"/>
      <c r="P343" s="4"/>
      <c r="Q343" s="4"/>
      <c r="R343" s="4"/>
      <c r="S343" s="4"/>
      <c r="T343" s="4"/>
      <c r="U343" s="4"/>
      <c r="V343" s="4"/>
      <c r="W343" s="4"/>
      <c r="X343" s="4"/>
      <c r="Y343" s="4"/>
      <c r="Z343" s="4"/>
      <c r="AA343" s="4"/>
      <c r="AB343" s="4"/>
      <c r="AC343" s="4"/>
      <c r="AD343" s="4"/>
      <c r="AE343" s="4"/>
      <c r="AF343" s="4"/>
      <c r="AG343" s="4"/>
      <c r="AH343" s="4"/>
      <c r="AI343" s="4"/>
      <c r="AJ343" s="4"/>
      <c r="AK343" s="4"/>
      <c r="AL343" s="4"/>
      <c r="AM343" s="4"/>
      <c r="AN343" s="4"/>
      <c r="AO343" s="4"/>
      <c r="AP343" s="4"/>
      <c r="AQ343" s="4"/>
      <c r="AR343" s="4"/>
      <c r="AS343" s="4"/>
      <c r="AT343" s="4"/>
      <c r="AU343" s="4"/>
      <c r="AV343" s="4"/>
      <c r="AW343" s="4"/>
      <c r="AX343" s="4"/>
      <c r="AY343" s="4"/>
      <c r="AZ343" s="4"/>
      <c r="BA343" s="4"/>
      <c r="BB343" s="4"/>
      <c r="BC343" s="4"/>
      <c r="BD343" s="4"/>
      <c r="BE343" s="4"/>
      <c r="BF343" s="4"/>
      <c r="BG343" s="4"/>
      <c r="BH343" s="4"/>
      <c r="BI343" s="4"/>
      <c r="BJ343" s="4"/>
      <c r="BK343" s="4"/>
      <c r="BL343" s="4"/>
      <c r="BM343" s="4"/>
      <c r="BN343" s="4"/>
      <c r="BO343" s="4"/>
      <c r="BP343" s="4"/>
      <c r="BQ343" s="4"/>
      <c r="BR343" s="4"/>
      <c r="BS343" s="4"/>
      <c r="BT343" s="4"/>
      <c r="BU343" s="4"/>
      <c r="BV343" s="4"/>
      <c r="BW343" s="4"/>
      <c r="BX343" s="4"/>
      <c r="BY343" s="4"/>
      <c r="BZ343" s="4"/>
      <c r="CA343" s="4"/>
      <c r="CB343" s="4"/>
      <c r="CC343" s="4"/>
      <c r="CD343" s="4"/>
      <c r="CE343" s="4"/>
      <c r="CF343" s="4"/>
      <c r="CG343" s="4"/>
      <c r="CH343" s="4"/>
      <c r="CI343" s="4"/>
    </row>
    <row r="344" ht="14.25" customHeight="1" spans="1:87" x14ac:dyDescent="0.25">
      <c r="A344" s="4"/>
      <c r="B344" s="4"/>
      <c r="C344" s="4"/>
      <c r="D344" s="4"/>
      <c r="E344" s="4"/>
      <c r="F344" s="4"/>
      <c r="G344" s="4"/>
      <c r="H344" s="4"/>
      <c r="I344" s="4"/>
      <c r="J344" s="4"/>
      <c r="K344" s="242"/>
      <c r="L344" s="4"/>
      <c r="M344" s="4"/>
      <c r="N344" s="4"/>
      <c r="O344" s="4"/>
      <c r="P344" s="4"/>
      <c r="Q344" s="4"/>
      <c r="R344" s="4"/>
      <c r="S344" s="4"/>
      <c r="T344" s="4"/>
      <c r="U344" s="4"/>
      <c r="V344" s="4"/>
      <c r="W344" s="4"/>
      <c r="X344" s="4"/>
      <c r="Y344" s="4"/>
      <c r="Z344" s="4"/>
      <c r="AA344" s="4"/>
      <c r="AB344" s="4"/>
      <c r="AC344" s="4"/>
      <c r="AD344" s="4"/>
      <c r="AE344" s="4"/>
      <c r="AF344" s="4"/>
      <c r="AG344" s="4"/>
      <c r="AH344" s="4"/>
      <c r="AI344" s="4"/>
      <c r="AJ344" s="4"/>
      <c r="AK344" s="4"/>
      <c r="AL344" s="4"/>
      <c r="AM344" s="4"/>
      <c r="AN344" s="4"/>
      <c r="AO344" s="4"/>
      <c r="AP344" s="4"/>
      <c r="AQ344" s="4"/>
      <c r="AR344" s="4"/>
      <c r="AS344" s="4"/>
      <c r="AT344" s="4"/>
      <c r="AU344" s="4"/>
      <c r="AV344" s="4"/>
      <c r="AW344" s="4"/>
      <c r="AX344" s="4"/>
      <c r="AY344" s="4"/>
      <c r="AZ344" s="4"/>
      <c r="BA344" s="4"/>
      <c r="BB344" s="4"/>
      <c r="BC344" s="4"/>
      <c r="BD344" s="4"/>
      <c r="BE344" s="4"/>
      <c r="BF344" s="4"/>
      <c r="BG344" s="4"/>
      <c r="BH344" s="4"/>
      <c r="BI344" s="4"/>
      <c r="BJ344" s="4"/>
      <c r="BK344" s="4"/>
      <c r="BL344" s="4"/>
      <c r="BM344" s="4"/>
      <c r="BN344" s="4"/>
      <c r="BO344" s="4"/>
      <c r="BP344" s="4"/>
      <c r="BQ344" s="4"/>
      <c r="BR344" s="4"/>
      <c r="BS344" s="4"/>
      <c r="BT344" s="4"/>
      <c r="BU344" s="4"/>
      <c r="BV344" s="4"/>
      <c r="BW344" s="4"/>
      <c r="BX344" s="4"/>
      <c r="BY344" s="4"/>
      <c r="BZ344" s="4"/>
      <c r="CA344" s="4"/>
      <c r="CB344" s="4"/>
      <c r="CC344" s="4"/>
      <c r="CD344" s="4"/>
      <c r="CE344" s="4"/>
      <c r="CF344" s="4"/>
      <c r="CG344" s="4"/>
      <c r="CH344" s="4"/>
      <c r="CI344" s="4"/>
    </row>
    <row r="345" ht="14.25" customHeight="1" spans="1:87" x14ac:dyDescent="0.25">
      <c r="A345" s="4"/>
      <c r="B345" s="4"/>
      <c r="C345" s="4"/>
      <c r="D345" s="4"/>
      <c r="E345" s="4"/>
      <c r="F345" s="4"/>
      <c r="G345" s="4"/>
      <c r="H345" s="4"/>
      <c r="I345" s="4"/>
      <c r="J345" s="4"/>
      <c r="K345" s="242"/>
      <c r="L345" s="4"/>
      <c r="M345" s="4"/>
      <c r="N345" s="4"/>
      <c r="O345" s="4"/>
      <c r="P345" s="4"/>
      <c r="Q345" s="4"/>
      <c r="R345" s="4"/>
      <c r="S345" s="4"/>
      <c r="T345" s="4"/>
      <c r="U345" s="4"/>
      <c r="V345" s="4"/>
      <c r="W345" s="4"/>
      <c r="X345" s="4"/>
      <c r="Y345" s="4"/>
      <c r="Z345" s="4"/>
      <c r="AA345" s="4"/>
      <c r="AB345" s="4"/>
      <c r="AC345" s="4"/>
      <c r="AD345" s="4"/>
      <c r="AE345" s="4"/>
      <c r="AF345" s="4"/>
      <c r="AG345" s="4"/>
      <c r="AH345" s="4"/>
      <c r="AI345" s="4"/>
      <c r="AJ345" s="4"/>
      <c r="AK345" s="4"/>
      <c r="AL345" s="4"/>
      <c r="AM345" s="4"/>
      <c r="AN345" s="4"/>
      <c r="AO345" s="4"/>
      <c r="AP345" s="4"/>
      <c r="AQ345" s="4"/>
      <c r="AR345" s="4"/>
      <c r="AS345" s="4"/>
      <c r="AT345" s="4"/>
      <c r="AU345" s="4"/>
      <c r="AV345" s="4"/>
      <c r="AW345" s="4"/>
      <c r="AX345" s="4"/>
      <c r="AY345" s="4"/>
      <c r="AZ345" s="4"/>
      <c r="BA345" s="4"/>
      <c r="BB345" s="4"/>
      <c r="BC345" s="4"/>
      <c r="BD345" s="4"/>
      <c r="BE345" s="4"/>
      <c r="BF345" s="4"/>
      <c r="BG345" s="4"/>
      <c r="BH345" s="4"/>
      <c r="BI345" s="4"/>
      <c r="BJ345" s="4"/>
      <c r="BK345" s="4"/>
      <c r="BL345" s="4"/>
      <c r="BM345" s="4"/>
      <c r="BN345" s="4"/>
      <c r="BO345" s="4"/>
      <c r="BP345" s="4"/>
      <c r="BQ345" s="4"/>
      <c r="BR345" s="4"/>
      <c r="BS345" s="4"/>
      <c r="BT345" s="4"/>
      <c r="BU345" s="4"/>
      <c r="BV345" s="4"/>
      <c r="BW345" s="4"/>
      <c r="BX345" s="4"/>
      <c r="BY345" s="4"/>
      <c r="BZ345" s="4"/>
      <c r="CA345" s="4"/>
      <c r="CB345" s="4"/>
      <c r="CC345" s="4"/>
      <c r="CD345" s="4"/>
      <c r="CE345" s="4"/>
      <c r="CF345" s="4"/>
      <c r="CG345" s="4"/>
      <c r="CH345" s="4"/>
      <c r="CI345" s="4"/>
    </row>
    <row r="346" ht="14.25" customHeight="1" spans="1:87" x14ac:dyDescent="0.25">
      <c r="A346" s="4"/>
      <c r="B346" s="4"/>
      <c r="C346" s="4"/>
      <c r="D346" s="4"/>
      <c r="E346" s="4"/>
      <c r="F346" s="4"/>
      <c r="G346" s="4"/>
      <c r="H346" s="4"/>
      <c r="I346" s="4"/>
      <c r="J346" s="4"/>
      <c r="K346" s="242"/>
      <c r="L346" s="4"/>
      <c r="M346" s="4"/>
      <c r="N346" s="4"/>
      <c r="O346" s="4"/>
      <c r="P346" s="4"/>
      <c r="Q346" s="4"/>
      <c r="R346" s="4"/>
      <c r="S346" s="4"/>
      <c r="T346" s="4"/>
      <c r="U346" s="4"/>
      <c r="V346" s="4"/>
      <c r="W346" s="4"/>
      <c r="X346" s="4"/>
      <c r="Y346" s="4"/>
      <c r="Z346" s="4"/>
      <c r="AA346" s="4"/>
      <c r="AB346" s="4"/>
      <c r="AC346" s="4"/>
      <c r="AD346" s="4"/>
      <c r="AE346" s="4"/>
      <c r="AF346" s="4"/>
      <c r="AG346" s="4"/>
      <c r="AH346" s="4"/>
      <c r="AI346" s="4"/>
      <c r="AJ346" s="4"/>
      <c r="AK346" s="4"/>
      <c r="AL346" s="4"/>
      <c r="AM346" s="4"/>
      <c r="AN346" s="4"/>
      <c r="AO346" s="4"/>
      <c r="AP346" s="4"/>
      <c r="AQ346" s="4"/>
      <c r="AR346" s="4"/>
      <c r="AS346" s="4"/>
      <c r="AT346" s="4"/>
      <c r="AU346" s="4"/>
      <c r="AV346" s="4"/>
      <c r="AW346" s="4"/>
      <c r="AX346" s="4"/>
      <c r="AY346" s="4"/>
      <c r="AZ346" s="4"/>
      <c r="BA346" s="4"/>
      <c r="BB346" s="4"/>
      <c r="BC346" s="4"/>
      <c r="BD346" s="4"/>
      <c r="BE346" s="4"/>
      <c r="BF346" s="4"/>
      <c r="BG346" s="4"/>
      <c r="BH346" s="4"/>
      <c r="BI346" s="4"/>
      <c r="BJ346" s="4"/>
      <c r="BK346" s="4"/>
      <c r="BL346" s="4"/>
      <c r="BM346" s="4"/>
      <c r="BN346" s="4"/>
      <c r="BO346" s="4"/>
      <c r="BP346" s="4"/>
      <c r="BQ346" s="4"/>
      <c r="BR346" s="4"/>
      <c r="BS346" s="4"/>
      <c r="BT346" s="4"/>
      <c r="BU346" s="4"/>
      <c r="BV346" s="4"/>
      <c r="BW346" s="4"/>
      <c r="BX346" s="4"/>
      <c r="BY346" s="4"/>
      <c r="BZ346" s="4"/>
      <c r="CA346" s="4"/>
      <c r="CB346" s="4"/>
      <c r="CC346" s="4"/>
      <c r="CD346" s="4"/>
      <c r="CE346" s="4"/>
      <c r="CF346" s="4"/>
      <c r="CG346" s="4"/>
      <c r="CH346" s="4"/>
      <c r="CI346" s="4"/>
    </row>
    <row r="347" ht="14.25" customHeight="1" spans="1:87" x14ac:dyDescent="0.25">
      <c r="A347" s="4"/>
      <c r="B347" s="4"/>
      <c r="C347" s="4"/>
      <c r="D347" s="4"/>
      <c r="E347" s="4"/>
      <c r="F347" s="4"/>
      <c r="G347" s="4"/>
      <c r="H347" s="4"/>
      <c r="I347" s="4"/>
      <c r="J347" s="4"/>
      <c r="K347" s="242"/>
      <c r="L347" s="4"/>
      <c r="M347" s="4"/>
      <c r="N347" s="4"/>
      <c r="O347" s="4"/>
      <c r="P347" s="4"/>
      <c r="Q347" s="4"/>
      <c r="R347" s="4"/>
      <c r="S347" s="4"/>
      <c r="T347" s="4"/>
      <c r="U347" s="4"/>
      <c r="V347" s="4"/>
      <c r="W347" s="4"/>
      <c r="X347" s="4"/>
      <c r="Y347" s="4"/>
      <c r="Z347" s="4"/>
      <c r="AA347" s="4"/>
      <c r="AB347" s="4"/>
      <c r="AC347" s="4"/>
      <c r="AD347" s="4"/>
      <c r="AE347" s="4"/>
      <c r="AF347" s="4"/>
      <c r="AG347" s="4"/>
      <c r="AH347" s="4"/>
      <c r="AI347" s="4"/>
      <c r="AJ347" s="4"/>
      <c r="AK347" s="4"/>
      <c r="AL347" s="4"/>
      <c r="AM347" s="4"/>
      <c r="AN347" s="4"/>
      <c r="AO347" s="4"/>
      <c r="AP347" s="4"/>
      <c r="AQ347" s="4"/>
      <c r="AR347" s="4"/>
      <c r="AS347" s="4"/>
      <c r="AT347" s="4"/>
      <c r="AU347" s="4"/>
      <c r="AV347" s="4"/>
      <c r="AW347" s="4"/>
      <c r="AX347" s="4"/>
      <c r="AY347" s="4"/>
      <c r="AZ347" s="4"/>
      <c r="BA347" s="4"/>
      <c r="BB347" s="4"/>
      <c r="BC347" s="4"/>
      <c r="BD347" s="4"/>
      <c r="BE347" s="4"/>
      <c r="BF347" s="4"/>
      <c r="BG347" s="4"/>
      <c r="BH347" s="4"/>
      <c r="BI347" s="4"/>
      <c r="BJ347" s="4"/>
      <c r="BK347" s="4"/>
      <c r="BL347" s="4"/>
      <c r="BM347" s="4"/>
      <c r="BN347" s="4"/>
      <c r="BO347" s="4"/>
      <c r="BP347" s="4"/>
      <c r="BQ347" s="4"/>
      <c r="BR347" s="4"/>
      <c r="BS347" s="4"/>
      <c r="BT347" s="4"/>
      <c r="BU347" s="4"/>
      <c r="BV347" s="4"/>
      <c r="BW347" s="4"/>
      <c r="BX347" s="4"/>
      <c r="BY347" s="4"/>
      <c r="BZ347" s="4"/>
      <c r="CA347" s="4"/>
      <c r="CB347" s="4"/>
      <c r="CC347" s="4"/>
      <c r="CD347" s="4"/>
      <c r="CE347" s="4"/>
      <c r="CF347" s="4"/>
      <c r="CG347" s="4"/>
      <c r="CH347" s="4"/>
      <c r="CI347" s="4"/>
    </row>
    <row r="348" ht="14.25" customHeight="1" spans="1:87" x14ac:dyDescent="0.25">
      <c r="A348" s="4"/>
      <c r="B348" s="4"/>
      <c r="C348" s="4"/>
      <c r="D348" s="4"/>
      <c r="E348" s="4"/>
      <c r="F348" s="4"/>
      <c r="G348" s="4"/>
      <c r="H348" s="4"/>
      <c r="I348" s="4"/>
      <c r="J348" s="4"/>
      <c r="K348" s="242"/>
      <c r="L348" s="4"/>
      <c r="M348" s="4"/>
      <c r="N348" s="4"/>
      <c r="O348" s="4"/>
      <c r="P348" s="4"/>
      <c r="Q348" s="4"/>
      <c r="R348" s="4"/>
      <c r="S348" s="4"/>
      <c r="T348" s="4"/>
      <c r="U348" s="4"/>
      <c r="V348" s="4"/>
      <c r="W348" s="4"/>
      <c r="X348" s="4"/>
      <c r="Y348" s="4"/>
      <c r="Z348" s="4"/>
      <c r="AA348" s="4"/>
      <c r="AB348" s="4"/>
      <c r="AC348" s="4"/>
      <c r="AD348" s="4"/>
      <c r="AE348" s="4"/>
      <c r="AF348" s="4"/>
      <c r="AG348" s="4"/>
      <c r="AH348" s="4"/>
      <c r="AI348" s="4"/>
      <c r="AJ348" s="4"/>
      <c r="AK348" s="4"/>
      <c r="AL348" s="4"/>
      <c r="AM348" s="4"/>
      <c r="AN348" s="4"/>
      <c r="AO348" s="4"/>
      <c r="AP348" s="4"/>
      <c r="AQ348" s="4"/>
      <c r="AR348" s="4"/>
      <c r="AS348" s="4"/>
      <c r="AT348" s="4"/>
      <c r="AU348" s="4"/>
      <c r="AV348" s="4"/>
      <c r="AW348" s="4"/>
      <c r="AX348" s="4"/>
      <c r="AY348" s="4"/>
      <c r="AZ348" s="4"/>
      <c r="BA348" s="4"/>
      <c r="BB348" s="4"/>
      <c r="BC348" s="4"/>
      <c r="BD348" s="4"/>
      <c r="BE348" s="4"/>
      <c r="BF348" s="4"/>
      <c r="BG348" s="4"/>
      <c r="BH348" s="4"/>
      <c r="BI348" s="4"/>
      <c r="BJ348" s="4"/>
      <c r="BK348" s="4"/>
      <c r="BL348" s="4"/>
      <c r="BM348" s="4"/>
      <c r="BN348" s="4"/>
      <c r="BO348" s="4"/>
      <c r="BP348" s="4"/>
      <c r="BQ348" s="4"/>
      <c r="BR348" s="4"/>
      <c r="BS348" s="4"/>
      <c r="BT348" s="4"/>
      <c r="BU348" s="4"/>
      <c r="BV348" s="4"/>
      <c r="BW348" s="4"/>
      <c r="BX348" s="4"/>
      <c r="BY348" s="4"/>
      <c r="BZ348" s="4"/>
      <c r="CA348" s="4"/>
      <c r="CB348" s="4"/>
      <c r="CC348" s="4"/>
      <c r="CD348" s="4"/>
      <c r="CE348" s="4"/>
      <c r="CF348" s="4"/>
      <c r="CG348" s="4"/>
      <c r="CH348" s="4"/>
      <c r="CI348" s="4"/>
    </row>
    <row r="349" ht="14.25" customHeight="1" spans="1:87" x14ac:dyDescent="0.25">
      <c r="A349" s="4"/>
      <c r="B349" s="4"/>
      <c r="C349" s="4"/>
      <c r="D349" s="4"/>
      <c r="E349" s="4"/>
      <c r="F349" s="4"/>
      <c r="G349" s="4"/>
      <c r="H349" s="4"/>
      <c r="I349" s="4"/>
      <c r="J349" s="4"/>
      <c r="K349" s="242"/>
      <c r="L349" s="4"/>
      <c r="M349" s="4"/>
      <c r="N349" s="4"/>
      <c r="O349" s="4"/>
      <c r="P349" s="4"/>
      <c r="Q349" s="4"/>
      <c r="R349" s="4"/>
      <c r="S349" s="4"/>
      <c r="T349" s="4"/>
      <c r="U349" s="4"/>
      <c r="V349" s="4"/>
      <c r="W349" s="4"/>
      <c r="X349" s="4"/>
      <c r="Y349" s="4"/>
      <c r="Z349" s="4"/>
      <c r="AA349" s="4"/>
      <c r="AB349" s="4"/>
      <c r="AC349" s="4"/>
      <c r="AD349" s="4"/>
      <c r="AE349" s="4"/>
      <c r="AF349" s="4"/>
      <c r="AG349" s="4"/>
      <c r="AH349" s="4"/>
      <c r="AI349" s="4"/>
      <c r="AJ349" s="4"/>
      <c r="AK349" s="4"/>
      <c r="AL349" s="4"/>
      <c r="AM349" s="4"/>
      <c r="AN349" s="4"/>
      <c r="AO349" s="4"/>
      <c r="AP349" s="4"/>
      <c r="AQ349" s="4"/>
      <c r="AR349" s="4"/>
      <c r="AS349" s="4"/>
      <c r="AT349" s="4"/>
      <c r="AU349" s="4"/>
      <c r="AV349" s="4"/>
      <c r="AW349" s="4"/>
      <c r="AX349" s="4"/>
      <c r="AY349" s="4"/>
      <c r="AZ349" s="4"/>
      <c r="BA349" s="4"/>
      <c r="BB349" s="4"/>
      <c r="BC349" s="4"/>
      <c r="BD349" s="4"/>
      <c r="BE349" s="4"/>
      <c r="BF349" s="4"/>
      <c r="BG349" s="4"/>
      <c r="BH349" s="4"/>
      <c r="BI349" s="4"/>
      <c r="BJ349" s="4"/>
      <c r="BK349" s="4"/>
      <c r="BL349" s="4"/>
      <c r="BM349" s="4"/>
      <c r="BN349" s="4"/>
      <c r="BO349" s="4"/>
      <c r="BP349" s="4"/>
      <c r="BQ349" s="4"/>
      <c r="BR349" s="4"/>
      <c r="BS349" s="4"/>
      <c r="BT349" s="4"/>
      <c r="BU349" s="4"/>
      <c r="BV349" s="4"/>
      <c r="BW349" s="4"/>
      <c r="BX349" s="4"/>
      <c r="BY349" s="4"/>
      <c r="BZ349" s="4"/>
      <c r="CA349" s="4"/>
      <c r="CB349" s="4"/>
      <c r="CC349" s="4"/>
      <c r="CD349" s="4"/>
      <c r="CE349" s="4"/>
      <c r="CF349" s="4"/>
      <c r="CG349" s="4"/>
      <c r="CH349" s="4"/>
      <c r="CI349" s="4"/>
    </row>
    <row r="350" ht="14.25" customHeight="1" spans="1:87" x14ac:dyDescent="0.25">
      <c r="A350" s="4"/>
      <c r="B350" s="4"/>
      <c r="C350" s="4"/>
      <c r="D350" s="4"/>
      <c r="E350" s="4"/>
      <c r="F350" s="4"/>
      <c r="G350" s="4"/>
      <c r="H350" s="4"/>
      <c r="I350" s="4"/>
      <c r="J350" s="4"/>
      <c r="K350" s="242"/>
      <c r="L350" s="4"/>
      <c r="M350" s="4"/>
      <c r="N350" s="4"/>
      <c r="O350" s="4"/>
      <c r="P350" s="4"/>
      <c r="Q350" s="4"/>
      <c r="R350" s="4"/>
      <c r="S350" s="4"/>
      <c r="T350" s="4"/>
      <c r="U350" s="4"/>
      <c r="V350" s="4"/>
      <c r="W350" s="4"/>
      <c r="X350" s="4"/>
      <c r="Y350" s="4"/>
      <c r="Z350" s="4"/>
      <c r="AA350" s="4"/>
      <c r="AB350" s="4"/>
      <c r="AC350" s="4"/>
      <c r="AD350" s="4"/>
      <c r="AE350" s="4"/>
      <c r="AF350" s="4"/>
      <c r="AG350" s="4"/>
      <c r="AH350" s="4"/>
      <c r="AI350" s="4"/>
      <c r="AJ350" s="4"/>
      <c r="AK350" s="4"/>
      <c r="AL350" s="4"/>
      <c r="AM350" s="4"/>
      <c r="AN350" s="4"/>
      <c r="AO350" s="4"/>
      <c r="AP350" s="4"/>
      <c r="AQ350" s="4"/>
      <c r="AR350" s="4"/>
      <c r="AS350" s="4"/>
      <c r="AT350" s="4"/>
      <c r="AU350" s="4"/>
      <c r="AV350" s="4"/>
      <c r="AW350" s="4"/>
      <c r="AX350" s="4"/>
      <c r="AY350" s="4"/>
      <c r="AZ350" s="4"/>
      <c r="BA350" s="4"/>
      <c r="BB350" s="4"/>
      <c r="BC350" s="4"/>
      <c r="BD350" s="4"/>
      <c r="BE350" s="4"/>
      <c r="BF350" s="4"/>
      <c r="BG350" s="4"/>
      <c r="BH350" s="4"/>
      <c r="BI350" s="4"/>
      <c r="BJ350" s="4"/>
      <c r="BK350" s="4"/>
      <c r="BL350" s="4"/>
      <c r="BM350" s="4"/>
      <c r="BN350" s="4"/>
      <c r="BO350" s="4"/>
      <c r="BP350" s="4"/>
      <c r="BQ350" s="4"/>
      <c r="BR350" s="4"/>
      <c r="BS350" s="4"/>
      <c r="BT350" s="4"/>
      <c r="BU350" s="4"/>
      <c r="BV350" s="4"/>
      <c r="BW350" s="4"/>
      <c r="BX350" s="4"/>
      <c r="BY350" s="4"/>
      <c r="BZ350" s="4"/>
      <c r="CA350" s="4"/>
      <c r="CB350" s="4"/>
      <c r="CC350" s="4"/>
      <c r="CD350" s="4"/>
      <c r="CE350" s="4"/>
      <c r="CF350" s="4"/>
      <c r="CG350" s="4"/>
      <c r="CH350" s="4"/>
      <c r="CI350" s="4"/>
    </row>
    <row r="351" ht="14.25" customHeight="1" spans="1:87" x14ac:dyDescent="0.25">
      <c r="A351" s="4"/>
      <c r="B351" s="4"/>
      <c r="C351" s="4"/>
      <c r="D351" s="4"/>
      <c r="E351" s="4"/>
      <c r="F351" s="4"/>
      <c r="G351" s="4"/>
      <c r="H351" s="4"/>
      <c r="I351" s="4"/>
      <c r="J351" s="4"/>
      <c r="K351" s="242"/>
      <c r="L351" s="4"/>
      <c r="M351" s="4"/>
      <c r="N351" s="4"/>
      <c r="O351" s="4"/>
      <c r="P351" s="4"/>
      <c r="Q351" s="4"/>
      <c r="R351" s="4"/>
      <c r="S351" s="4"/>
      <c r="T351" s="4"/>
      <c r="U351" s="4"/>
      <c r="V351" s="4"/>
      <c r="W351" s="4"/>
      <c r="X351" s="4"/>
      <c r="Y351" s="4"/>
      <c r="Z351" s="4"/>
      <c r="AA351" s="4"/>
      <c r="AB351" s="4"/>
      <c r="AC351" s="4"/>
      <c r="AD351" s="4"/>
      <c r="AE351" s="4"/>
      <c r="AF351" s="4"/>
      <c r="AG351" s="4"/>
      <c r="AH351" s="4"/>
      <c r="AI351" s="4"/>
      <c r="AJ351" s="4"/>
      <c r="AK351" s="4"/>
      <c r="AL351" s="4"/>
      <c r="AM351" s="4"/>
      <c r="AN351" s="4"/>
      <c r="AO351" s="4"/>
      <c r="AP351" s="4"/>
      <c r="AQ351" s="4"/>
      <c r="AR351" s="4"/>
      <c r="AS351" s="4"/>
      <c r="AT351" s="4"/>
      <c r="AU351" s="4"/>
      <c r="AV351" s="4"/>
      <c r="AW351" s="4"/>
      <c r="AX351" s="4"/>
      <c r="AY351" s="4"/>
      <c r="AZ351" s="4"/>
      <c r="BA351" s="4"/>
      <c r="BB351" s="4"/>
      <c r="BC351" s="4"/>
      <c r="BD351" s="4"/>
      <c r="BE351" s="4"/>
      <c r="BF351" s="4"/>
      <c r="BG351" s="4"/>
      <c r="BH351" s="4"/>
      <c r="BI351" s="4"/>
      <c r="BJ351" s="4"/>
      <c r="BK351" s="4"/>
      <c r="BL351" s="4"/>
      <c r="BM351" s="4"/>
      <c r="BN351" s="4"/>
      <c r="BO351" s="4"/>
      <c r="BP351" s="4"/>
      <c r="BQ351" s="4"/>
      <c r="BR351" s="4"/>
      <c r="BS351" s="4"/>
      <c r="BT351" s="4"/>
      <c r="BU351" s="4"/>
      <c r="BV351" s="4"/>
      <c r="BW351" s="4"/>
      <c r="BX351" s="4"/>
      <c r="BY351" s="4"/>
      <c r="BZ351" s="4"/>
      <c r="CA351" s="4"/>
      <c r="CB351" s="4"/>
      <c r="CC351" s="4"/>
      <c r="CD351" s="4"/>
      <c r="CE351" s="4"/>
      <c r="CF351" s="4"/>
      <c r="CG351" s="4"/>
      <c r="CH351" s="4"/>
      <c r="CI351" s="4"/>
    </row>
    <row r="352" ht="14.25" customHeight="1" spans="1:87" x14ac:dyDescent="0.25">
      <c r="A352" s="4"/>
      <c r="B352" s="4"/>
      <c r="C352" s="4"/>
      <c r="D352" s="4"/>
      <c r="E352" s="4"/>
      <c r="F352" s="4"/>
      <c r="G352" s="4"/>
      <c r="H352" s="4"/>
      <c r="I352" s="4"/>
      <c r="J352" s="4"/>
      <c r="K352" s="242"/>
      <c r="L352" s="4"/>
      <c r="M352" s="4"/>
      <c r="N352" s="4"/>
      <c r="O352" s="4"/>
      <c r="P352" s="4"/>
      <c r="Q352" s="4"/>
      <c r="R352" s="4"/>
      <c r="S352" s="4"/>
      <c r="T352" s="4"/>
      <c r="U352" s="4"/>
      <c r="V352" s="4"/>
      <c r="W352" s="4"/>
      <c r="X352" s="4"/>
      <c r="Y352" s="4"/>
      <c r="Z352" s="4"/>
      <c r="AA352" s="4"/>
      <c r="AB352" s="4"/>
      <c r="AC352" s="4"/>
      <c r="AD352" s="4"/>
      <c r="AE352" s="4"/>
      <c r="AF352" s="4"/>
      <c r="AG352" s="4"/>
      <c r="AH352" s="4"/>
      <c r="AI352" s="4"/>
      <c r="AJ352" s="4"/>
      <c r="AK352" s="4"/>
      <c r="AL352" s="4"/>
      <c r="AM352" s="4"/>
      <c r="AN352" s="4"/>
      <c r="AO352" s="4"/>
      <c r="AP352" s="4"/>
      <c r="AQ352" s="4"/>
      <c r="AR352" s="4"/>
      <c r="AS352" s="4"/>
      <c r="AT352" s="4"/>
      <c r="AU352" s="4"/>
      <c r="AV352" s="4"/>
      <c r="AW352" s="4"/>
      <c r="AX352" s="4"/>
      <c r="AY352" s="4"/>
      <c r="AZ352" s="4"/>
      <c r="BA352" s="4"/>
      <c r="BB352" s="4"/>
      <c r="BC352" s="4"/>
      <c r="BD352" s="4"/>
      <c r="BE352" s="4"/>
      <c r="BF352" s="4"/>
      <c r="BG352" s="4"/>
      <c r="BH352" s="4"/>
      <c r="BI352" s="4"/>
      <c r="BJ352" s="4"/>
      <c r="BK352" s="4"/>
      <c r="BL352" s="4"/>
      <c r="BM352" s="4"/>
      <c r="BN352" s="4"/>
      <c r="BO352" s="4"/>
      <c r="BP352" s="4"/>
      <c r="BQ352" s="4"/>
      <c r="BR352" s="4"/>
      <c r="BS352" s="4"/>
      <c r="BT352" s="4"/>
      <c r="BU352" s="4"/>
      <c r="BV352" s="4"/>
      <c r="BW352" s="4"/>
      <c r="BX352" s="4"/>
      <c r="BY352" s="4"/>
      <c r="BZ352" s="4"/>
      <c r="CA352" s="4"/>
      <c r="CB352" s="4"/>
      <c r="CC352" s="4"/>
      <c r="CD352" s="4"/>
      <c r="CE352" s="4"/>
      <c r="CF352" s="4"/>
      <c r="CG352" s="4"/>
      <c r="CH352" s="4"/>
      <c r="CI352" s="4"/>
    </row>
    <row r="353" ht="14.25" customHeight="1" spans="1:87" x14ac:dyDescent="0.25">
      <c r="A353" s="4"/>
      <c r="B353" s="4"/>
      <c r="C353" s="4"/>
      <c r="D353" s="4"/>
      <c r="E353" s="4"/>
      <c r="F353" s="4"/>
      <c r="G353" s="4"/>
      <c r="H353" s="4"/>
      <c r="I353" s="4"/>
      <c r="J353" s="4"/>
      <c r="K353" s="242"/>
      <c r="L353" s="4"/>
      <c r="M353" s="4"/>
      <c r="N353" s="4"/>
      <c r="O353" s="4"/>
      <c r="P353" s="4"/>
      <c r="Q353" s="4"/>
      <c r="R353" s="4"/>
      <c r="S353" s="4"/>
      <c r="T353" s="4"/>
      <c r="U353" s="4"/>
      <c r="V353" s="4"/>
      <c r="W353" s="4"/>
      <c r="X353" s="4"/>
      <c r="Y353" s="4"/>
      <c r="Z353" s="4"/>
      <c r="AA353" s="4"/>
      <c r="AB353" s="4"/>
      <c r="AC353" s="4"/>
      <c r="AD353" s="4"/>
      <c r="AE353" s="4"/>
      <c r="AF353" s="4"/>
      <c r="AG353" s="4"/>
      <c r="AH353" s="4"/>
      <c r="AI353" s="4"/>
      <c r="AJ353" s="4"/>
      <c r="AK353" s="4"/>
      <c r="AL353" s="4"/>
      <c r="AM353" s="4"/>
      <c r="AN353" s="4"/>
      <c r="AO353" s="4"/>
      <c r="AP353" s="4"/>
      <c r="AQ353" s="4"/>
      <c r="AR353" s="4"/>
      <c r="AS353" s="4"/>
      <c r="AT353" s="4"/>
      <c r="AU353" s="4"/>
      <c r="AV353" s="4"/>
      <c r="AW353" s="4"/>
      <c r="AX353" s="4"/>
      <c r="AY353" s="4"/>
      <c r="AZ353" s="4"/>
      <c r="BA353" s="4"/>
      <c r="BB353" s="4"/>
      <c r="BC353" s="4"/>
      <c r="BD353" s="4"/>
      <c r="BE353" s="4"/>
      <c r="BF353" s="4"/>
      <c r="BG353" s="4"/>
      <c r="BH353" s="4"/>
      <c r="BI353" s="4"/>
      <c r="BJ353" s="4"/>
      <c r="BK353" s="4"/>
      <c r="BL353" s="4"/>
      <c r="BM353" s="4"/>
      <c r="BN353" s="4"/>
      <c r="BO353" s="4"/>
      <c r="BP353" s="4"/>
      <c r="BQ353" s="4"/>
      <c r="BR353" s="4"/>
      <c r="BS353" s="4"/>
      <c r="BT353" s="4"/>
      <c r="BU353" s="4"/>
      <c r="BV353" s="4"/>
      <c r="BW353" s="4"/>
      <c r="BX353" s="4"/>
      <c r="BY353" s="4"/>
      <c r="BZ353" s="4"/>
      <c r="CA353" s="4"/>
      <c r="CB353" s="4"/>
      <c r="CC353" s="4"/>
      <c r="CD353" s="4"/>
      <c r="CE353" s="4"/>
      <c r="CF353" s="4"/>
      <c r="CG353" s="4"/>
      <c r="CH353" s="4"/>
      <c r="CI353" s="4"/>
    </row>
    <row r="354" ht="14.25" customHeight="1" spans="1:87" x14ac:dyDescent="0.25">
      <c r="A354" s="4"/>
      <c r="B354" s="4"/>
      <c r="C354" s="4"/>
      <c r="D354" s="4"/>
      <c r="E354" s="4"/>
      <c r="F354" s="4"/>
      <c r="G354" s="4"/>
      <c r="H354" s="4"/>
      <c r="I354" s="4"/>
      <c r="J354" s="4"/>
      <c r="K354" s="242"/>
      <c r="L354" s="4"/>
      <c r="M354" s="4"/>
      <c r="N354" s="4"/>
      <c r="O354" s="4"/>
      <c r="P354" s="4"/>
      <c r="Q354" s="4"/>
      <c r="R354" s="4"/>
      <c r="S354" s="4"/>
      <c r="T354" s="4"/>
      <c r="U354" s="4"/>
      <c r="V354" s="4"/>
      <c r="W354" s="4"/>
      <c r="X354" s="4"/>
      <c r="Y354" s="4"/>
      <c r="Z354" s="4"/>
      <c r="AA354" s="4"/>
      <c r="AB354" s="4"/>
      <c r="AC354" s="4"/>
      <c r="AD354" s="4"/>
      <c r="AE354" s="4"/>
      <c r="AF354" s="4"/>
      <c r="AG354" s="4"/>
      <c r="AH354" s="4"/>
      <c r="AI354" s="4"/>
      <c r="AJ354" s="4"/>
      <c r="AK354" s="4"/>
      <c r="AL354" s="4"/>
      <c r="AM354" s="4"/>
      <c r="AN354" s="4"/>
      <c r="AO354" s="4"/>
      <c r="AP354" s="4"/>
      <c r="AQ354" s="4"/>
      <c r="AR354" s="4"/>
      <c r="AS354" s="4"/>
      <c r="AT354" s="4"/>
      <c r="AU354" s="4"/>
      <c r="AV354" s="4"/>
      <c r="AW354" s="4"/>
      <c r="AX354" s="4"/>
      <c r="AY354" s="4"/>
      <c r="AZ354" s="4"/>
      <c r="BA354" s="4"/>
      <c r="BB354" s="4"/>
      <c r="BC354" s="4"/>
      <c r="BD354" s="4"/>
      <c r="BE354" s="4"/>
      <c r="BF354" s="4"/>
      <c r="BG354" s="4"/>
      <c r="BH354" s="4"/>
      <c r="BI354" s="4"/>
      <c r="BJ354" s="4"/>
      <c r="BK354" s="4"/>
      <c r="BL354" s="4"/>
      <c r="BM354" s="4"/>
      <c r="BN354" s="4"/>
      <c r="BO354" s="4"/>
      <c r="BP354" s="4"/>
      <c r="BQ354" s="4"/>
      <c r="BR354" s="4"/>
      <c r="BS354" s="4"/>
      <c r="BT354" s="4"/>
      <c r="BU354" s="4"/>
      <c r="BV354" s="4"/>
      <c r="BW354" s="4"/>
      <c r="BX354" s="4"/>
      <c r="BY354" s="4"/>
      <c r="BZ354" s="4"/>
      <c r="CA354" s="4"/>
      <c r="CB354" s="4"/>
      <c r="CC354" s="4"/>
      <c r="CD354" s="4"/>
      <c r="CE354" s="4"/>
      <c r="CF354" s="4"/>
      <c r="CG354" s="4"/>
      <c r="CH354" s="4"/>
      <c r="CI354" s="4"/>
    </row>
    <row r="355" ht="14.25" customHeight="1" spans="1:87" x14ac:dyDescent="0.25">
      <c r="A355" s="4"/>
      <c r="B355" s="4"/>
      <c r="C355" s="4"/>
      <c r="D355" s="4"/>
      <c r="E355" s="4"/>
      <c r="F355" s="4"/>
      <c r="G355" s="4"/>
      <c r="H355" s="4"/>
      <c r="I355" s="4"/>
      <c r="J355" s="4"/>
      <c r="K355" s="242"/>
      <c r="L355" s="4"/>
      <c r="M355" s="4"/>
      <c r="N355" s="4"/>
      <c r="O355" s="4"/>
      <c r="P355" s="4"/>
      <c r="Q355" s="4"/>
      <c r="R355" s="4"/>
      <c r="S355" s="4"/>
      <c r="T355" s="4"/>
      <c r="U355" s="4"/>
      <c r="V355" s="4"/>
      <c r="W355" s="4"/>
      <c r="X355" s="4"/>
      <c r="Y355" s="4"/>
      <c r="Z355" s="4"/>
      <c r="AA355" s="4"/>
      <c r="AB355" s="4"/>
      <c r="AC355" s="4"/>
      <c r="AD355" s="4"/>
      <c r="AE355" s="4"/>
      <c r="AF355" s="4"/>
      <c r="AG355" s="4"/>
      <c r="AH355" s="4"/>
      <c r="AI355" s="4"/>
      <c r="AJ355" s="4"/>
      <c r="AK355" s="4"/>
      <c r="AL355" s="4"/>
      <c r="AM355" s="4"/>
      <c r="AN355" s="4"/>
      <c r="AO355" s="4"/>
      <c r="AP355" s="4"/>
      <c r="AQ355" s="4"/>
      <c r="AR355" s="4"/>
      <c r="AS355" s="4"/>
      <c r="AT355" s="4"/>
      <c r="AU355" s="4"/>
      <c r="AV355" s="4"/>
      <c r="AW355" s="4"/>
      <c r="AX355" s="4"/>
      <c r="AY355" s="4"/>
      <c r="AZ355" s="4"/>
      <c r="BA355" s="4"/>
      <c r="BB355" s="4"/>
      <c r="BC355" s="4"/>
      <c r="BD355" s="4"/>
      <c r="BE355" s="4"/>
      <c r="BF355" s="4"/>
      <c r="BG355" s="4"/>
      <c r="BH355" s="4"/>
      <c r="BI355" s="4"/>
      <c r="BJ355" s="4"/>
      <c r="BK355" s="4"/>
      <c r="BL355" s="4"/>
      <c r="BM355" s="4"/>
      <c r="BN355" s="4"/>
      <c r="BO355" s="4"/>
      <c r="BP355" s="4"/>
      <c r="BQ355" s="4"/>
      <c r="BR355" s="4"/>
      <c r="BS355" s="4"/>
      <c r="BT355" s="4"/>
      <c r="BU355" s="4"/>
      <c r="BV355" s="4"/>
      <c r="BW355" s="4"/>
      <c r="BX355" s="4"/>
      <c r="BY355" s="4"/>
      <c r="BZ355" s="4"/>
      <c r="CA355" s="4"/>
      <c r="CB355" s="4"/>
      <c r="CC355" s="4"/>
      <c r="CD355" s="4"/>
      <c r="CE355" s="4"/>
      <c r="CF355" s="4"/>
      <c r="CG355" s="4"/>
      <c r="CH355" s="4"/>
      <c r="CI355" s="4"/>
    </row>
    <row r="356" ht="14.25" customHeight="1" spans="1:87" x14ac:dyDescent="0.25">
      <c r="A356" s="4"/>
      <c r="B356" s="4"/>
      <c r="C356" s="4"/>
      <c r="D356" s="4"/>
      <c r="E356" s="4"/>
      <c r="F356" s="4"/>
      <c r="G356" s="4"/>
      <c r="H356" s="4"/>
      <c r="I356" s="4"/>
      <c r="J356" s="4"/>
      <c r="K356" s="242"/>
      <c r="L356" s="4"/>
      <c r="M356" s="4"/>
      <c r="N356" s="4"/>
      <c r="O356" s="4"/>
      <c r="P356" s="4"/>
      <c r="Q356" s="4"/>
      <c r="R356" s="4"/>
      <c r="S356" s="4"/>
      <c r="T356" s="4"/>
      <c r="U356" s="4"/>
      <c r="V356" s="4"/>
      <c r="W356" s="4"/>
      <c r="X356" s="4"/>
      <c r="Y356" s="4"/>
      <c r="Z356" s="4"/>
      <c r="AA356" s="4"/>
      <c r="AB356" s="4"/>
      <c r="AC356" s="4"/>
      <c r="AD356" s="4"/>
      <c r="AE356" s="4"/>
      <c r="AF356" s="4"/>
      <c r="AG356" s="4"/>
      <c r="AH356" s="4"/>
      <c r="AI356" s="4"/>
      <c r="AJ356" s="4"/>
      <c r="AK356" s="4"/>
      <c r="AL356" s="4"/>
      <c r="AM356" s="4"/>
      <c r="AN356" s="4"/>
      <c r="AO356" s="4"/>
      <c r="AP356" s="4"/>
      <c r="AQ356" s="4"/>
      <c r="AR356" s="4"/>
      <c r="AS356" s="4"/>
      <c r="AT356" s="4"/>
      <c r="AU356" s="4"/>
      <c r="AV356" s="4"/>
      <c r="AW356" s="4"/>
      <c r="AX356" s="4"/>
      <c r="AY356" s="4"/>
      <c r="AZ356" s="4"/>
      <c r="BA356" s="4"/>
      <c r="BB356" s="4"/>
      <c r="BC356" s="4"/>
      <c r="BD356" s="4"/>
      <c r="BE356" s="4"/>
      <c r="BF356" s="4"/>
      <c r="BG356" s="4"/>
      <c r="BH356" s="4"/>
      <c r="BI356" s="4"/>
      <c r="BJ356" s="4"/>
      <c r="BK356" s="4"/>
      <c r="BL356" s="4"/>
      <c r="BM356" s="4"/>
      <c r="BN356" s="4"/>
      <c r="BO356" s="4"/>
      <c r="BP356" s="4"/>
      <c r="BQ356" s="4"/>
      <c r="BR356" s="4"/>
      <c r="BS356" s="4"/>
      <c r="BT356" s="4"/>
      <c r="BU356" s="4"/>
      <c r="BV356" s="4"/>
      <c r="BW356" s="4"/>
      <c r="BX356" s="4"/>
      <c r="BY356" s="4"/>
      <c r="BZ356" s="4"/>
      <c r="CA356" s="4"/>
      <c r="CB356" s="4"/>
      <c r="CC356" s="4"/>
      <c r="CD356" s="4"/>
      <c r="CE356" s="4"/>
      <c r="CF356" s="4"/>
      <c r="CG356" s="4"/>
      <c r="CH356" s="4"/>
      <c r="CI356" s="4"/>
    </row>
    <row r="357" ht="14.25" customHeight="1" spans="1:87" x14ac:dyDescent="0.25">
      <c r="A357" s="4"/>
      <c r="B357" s="4"/>
      <c r="C357" s="4"/>
      <c r="D357" s="4"/>
      <c r="E357" s="4"/>
      <c r="F357" s="4"/>
      <c r="G357" s="4"/>
      <c r="H357" s="4"/>
      <c r="I357" s="4"/>
      <c r="J357" s="4"/>
      <c r="K357" s="242"/>
      <c r="L357" s="4"/>
      <c r="M357" s="4"/>
      <c r="N357" s="4"/>
      <c r="O357" s="4"/>
      <c r="P357" s="4"/>
      <c r="Q357" s="4"/>
      <c r="R357" s="4"/>
      <c r="S357" s="4"/>
      <c r="T357" s="4"/>
      <c r="U357" s="4"/>
      <c r="V357" s="4"/>
      <c r="W357" s="4"/>
      <c r="X357" s="4"/>
      <c r="Y357" s="4"/>
      <c r="Z357" s="4"/>
      <c r="AA357" s="4"/>
      <c r="AB357" s="4"/>
      <c r="AC357" s="4"/>
      <c r="AD357" s="4"/>
      <c r="AE357" s="4"/>
      <c r="AF357" s="4"/>
      <c r="AG357" s="4"/>
      <c r="AH357" s="4"/>
      <c r="AI357" s="4"/>
      <c r="AJ357" s="4"/>
      <c r="AK357" s="4"/>
      <c r="AL357" s="4"/>
      <c r="AM357" s="4"/>
      <c r="AN357" s="4"/>
      <c r="AO357" s="4"/>
      <c r="AP357" s="4"/>
      <c r="AQ357" s="4"/>
      <c r="AR357" s="4"/>
      <c r="AS357" s="4"/>
      <c r="AT357" s="4"/>
      <c r="AU357" s="4"/>
      <c r="AV357" s="4"/>
      <c r="AW357" s="4"/>
      <c r="AX357" s="4"/>
      <c r="AY357" s="4"/>
      <c r="AZ357" s="4"/>
      <c r="BA357" s="4"/>
      <c r="BB357" s="4"/>
      <c r="BC357" s="4"/>
      <c r="BD357" s="4"/>
      <c r="BE357" s="4"/>
      <c r="BF357" s="4"/>
      <c r="BG357" s="4"/>
      <c r="BH357" s="4"/>
      <c r="BI357" s="4"/>
      <c r="BJ357" s="4"/>
      <c r="BK357" s="4"/>
      <c r="BL357" s="4"/>
      <c r="BM357" s="4"/>
      <c r="BN357" s="4"/>
      <c r="BO357" s="4"/>
      <c r="BP357" s="4"/>
      <c r="BQ357" s="4"/>
      <c r="BR357" s="4"/>
      <c r="BS357" s="4"/>
      <c r="BT357" s="4"/>
      <c r="BU357" s="4"/>
      <c r="BV357" s="4"/>
      <c r="BW357" s="4"/>
      <c r="BX357" s="4"/>
      <c r="BY357" s="4"/>
      <c r="BZ357" s="4"/>
      <c r="CA357" s="4"/>
      <c r="CB357" s="4"/>
      <c r="CC357" s="4"/>
      <c r="CD357" s="4"/>
      <c r="CE357" s="4"/>
      <c r="CF357" s="4"/>
      <c r="CG357" s="4"/>
      <c r="CH357" s="4"/>
      <c r="CI357" s="4"/>
    </row>
    <row r="358" ht="14.25" customHeight="1" spans="1:87" x14ac:dyDescent="0.25">
      <c r="A358" s="4"/>
      <c r="B358" s="4"/>
      <c r="C358" s="4"/>
      <c r="D358" s="4"/>
      <c r="E358" s="4"/>
      <c r="F358" s="4"/>
      <c r="G358" s="4"/>
      <c r="H358" s="4"/>
      <c r="I358" s="4"/>
      <c r="J358" s="4"/>
      <c r="K358" s="242"/>
      <c r="L358" s="4"/>
      <c r="M358" s="4"/>
      <c r="N358" s="4"/>
      <c r="O358" s="4"/>
      <c r="P358" s="4"/>
      <c r="Q358" s="4"/>
      <c r="R358" s="4"/>
      <c r="S358" s="4"/>
      <c r="T358" s="4"/>
      <c r="U358" s="4"/>
      <c r="V358" s="4"/>
      <c r="W358" s="4"/>
      <c r="X358" s="4"/>
      <c r="Y358" s="4"/>
      <c r="Z358" s="4"/>
      <c r="AA358" s="4"/>
      <c r="AB358" s="4"/>
      <c r="AC358" s="4"/>
      <c r="AD358" s="4"/>
      <c r="AE358" s="4"/>
      <c r="AF358" s="4"/>
      <c r="AG358" s="4"/>
      <c r="AH358" s="4"/>
      <c r="AI358" s="4"/>
      <c r="AJ358" s="4"/>
      <c r="AK358" s="4"/>
      <c r="AL358" s="4"/>
      <c r="AM358" s="4"/>
      <c r="AN358" s="4"/>
      <c r="AO358" s="4"/>
      <c r="AP358" s="4"/>
      <c r="AQ358" s="4"/>
      <c r="AR358" s="4"/>
      <c r="AS358" s="4"/>
      <c r="AT358" s="4"/>
      <c r="AU358" s="4"/>
      <c r="AV358" s="4"/>
      <c r="AW358" s="4"/>
      <c r="AX358" s="4"/>
      <c r="AY358" s="4"/>
      <c r="AZ358" s="4"/>
      <c r="BA358" s="4"/>
      <c r="BB358" s="4"/>
      <c r="BC358" s="4"/>
      <c r="BD358" s="4"/>
      <c r="BE358" s="4"/>
      <c r="BF358" s="4"/>
      <c r="BG358" s="4"/>
      <c r="BH358" s="4"/>
      <c r="BI358" s="4"/>
      <c r="BJ358" s="4"/>
      <c r="BK358" s="4"/>
      <c r="BL358" s="4"/>
      <c r="BM358" s="4"/>
      <c r="BN358" s="4"/>
      <c r="BO358" s="4"/>
      <c r="BP358" s="4"/>
      <c r="BQ358" s="4"/>
      <c r="BR358" s="4"/>
      <c r="BS358" s="4"/>
      <c r="BT358" s="4"/>
      <c r="BU358" s="4"/>
      <c r="BV358" s="4"/>
      <c r="BW358" s="4"/>
      <c r="BX358" s="4"/>
      <c r="BY358" s="4"/>
      <c r="BZ358" s="4"/>
      <c r="CA358" s="4"/>
      <c r="CB358" s="4"/>
      <c r="CC358" s="4"/>
      <c r="CD358" s="4"/>
      <c r="CE358" s="4"/>
      <c r="CF358" s="4"/>
      <c r="CG358" s="4"/>
      <c r="CH358" s="4"/>
      <c r="CI358" s="4"/>
    </row>
    <row r="359" ht="14.25" customHeight="1" spans="1:87" x14ac:dyDescent="0.25">
      <c r="A359" s="4"/>
      <c r="B359" s="4"/>
      <c r="C359" s="4"/>
      <c r="D359" s="4"/>
      <c r="E359" s="4"/>
      <c r="F359" s="4"/>
      <c r="G359" s="4"/>
      <c r="H359" s="4"/>
      <c r="I359" s="4"/>
      <c r="J359" s="4"/>
      <c r="K359" s="242"/>
      <c r="L359" s="4"/>
      <c r="M359" s="4"/>
      <c r="N359" s="4"/>
      <c r="O359" s="4"/>
      <c r="P359" s="4"/>
      <c r="Q359" s="4"/>
      <c r="R359" s="4"/>
      <c r="S359" s="4"/>
      <c r="T359" s="4"/>
      <c r="U359" s="4"/>
      <c r="V359" s="4"/>
      <c r="W359" s="4"/>
      <c r="X359" s="4"/>
      <c r="Y359" s="4"/>
      <c r="Z359" s="4"/>
      <c r="AA359" s="4"/>
      <c r="AB359" s="4"/>
      <c r="AC359" s="4"/>
      <c r="AD359" s="4"/>
      <c r="AE359" s="4"/>
      <c r="AF359" s="4"/>
      <c r="AG359" s="4"/>
      <c r="AH359" s="4"/>
      <c r="AI359" s="4"/>
      <c r="AJ359" s="4"/>
      <c r="AK359" s="4"/>
      <c r="AL359" s="4"/>
      <c r="AM359" s="4"/>
      <c r="AN359" s="4"/>
      <c r="AO359" s="4"/>
      <c r="AP359" s="4"/>
      <c r="AQ359" s="4"/>
      <c r="AR359" s="4"/>
      <c r="AS359" s="4"/>
      <c r="AT359" s="4"/>
      <c r="AU359" s="4"/>
      <c r="AV359" s="4"/>
      <c r="AW359" s="4"/>
      <c r="AX359" s="4"/>
      <c r="AY359" s="4"/>
      <c r="AZ359" s="4"/>
      <c r="BA359" s="4"/>
      <c r="BB359" s="4"/>
      <c r="BC359" s="4"/>
      <c r="BD359" s="4"/>
      <c r="BE359" s="4"/>
      <c r="BF359" s="4"/>
      <c r="BG359" s="4"/>
      <c r="BH359" s="4"/>
      <c r="BI359" s="4"/>
      <c r="BJ359" s="4"/>
      <c r="BK359" s="4"/>
      <c r="BL359" s="4"/>
      <c r="BM359" s="4"/>
      <c r="BN359" s="4"/>
      <c r="BO359" s="4"/>
      <c r="BP359" s="4"/>
      <c r="BQ359" s="4"/>
      <c r="BR359" s="4"/>
      <c r="BS359" s="4"/>
      <c r="BT359" s="4"/>
      <c r="BU359" s="4"/>
      <c r="BV359" s="4"/>
      <c r="BW359" s="4"/>
      <c r="BX359" s="4"/>
      <c r="BY359" s="4"/>
      <c r="BZ359" s="4"/>
      <c r="CA359" s="4"/>
      <c r="CB359" s="4"/>
      <c r="CC359" s="4"/>
      <c r="CD359" s="4"/>
      <c r="CE359" s="4"/>
      <c r="CF359" s="4"/>
      <c r="CG359" s="4"/>
      <c r="CH359" s="4"/>
      <c r="CI359" s="4"/>
    </row>
    <row r="360" ht="14.25" customHeight="1" spans="1:87" x14ac:dyDescent="0.25">
      <c r="A360" s="4"/>
      <c r="B360" s="4"/>
      <c r="C360" s="4"/>
      <c r="D360" s="4"/>
      <c r="E360" s="4"/>
      <c r="F360" s="4"/>
      <c r="G360" s="4"/>
      <c r="H360" s="4"/>
      <c r="I360" s="4"/>
      <c r="J360" s="4"/>
      <c r="K360" s="242"/>
      <c r="L360" s="4"/>
      <c r="M360" s="4"/>
      <c r="N360" s="4"/>
      <c r="O360" s="4"/>
      <c r="P360" s="4"/>
      <c r="Q360" s="4"/>
      <c r="R360" s="4"/>
      <c r="S360" s="4"/>
      <c r="T360" s="4"/>
      <c r="U360" s="4"/>
      <c r="V360" s="4"/>
      <c r="W360" s="4"/>
      <c r="X360" s="4"/>
      <c r="Y360" s="4"/>
      <c r="Z360" s="4"/>
      <c r="AA360" s="4"/>
      <c r="AB360" s="4"/>
      <c r="AC360" s="4"/>
      <c r="AD360" s="4"/>
      <c r="AE360" s="4"/>
      <c r="AF360" s="4"/>
      <c r="AG360" s="4"/>
      <c r="AH360" s="4"/>
      <c r="AI360" s="4"/>
      <c r="AJ360" s="4"/>
      <c r="AK360" s="4"/>
      <c r="AL360" s="4"/>
      <c r="AM360" s="4"/>
      <c r="AN360" s="4"/>
      <c r="AO360" s="4"/>
      <c r="AP360" s="4"/>
      <c r="AQ360" s="4"/>
      <c r="AR360" s="4"/>
      <c r="AS360" s="4"/>
      <c r="AT360" s="4"/>
      <c r="AU360" s="4"/>
      <c r="AV360" s="4"/>
      <c r="AW360" s="4"/>
      <c r="AX360" s="4"/>
      <c r="AY360" s="4"/>
      <c r="AZ360" s="4"/>
      <c r="BA360" s="4"/>
      <c r="BB360" s="4"/>
      <c r="BC360" s="4"/>
      <c r="BD360" s="4"/>
      <c r="BE360" s="4"/>
      <c r="BF360" s="4"/>
      <c r="BG360" s="4"/>
      <c r="BH360" s="4"/>
      <c r="BI360" s="4"/>
      <c r="BJ360" s="4"/>
      <c r="BK360" s="4"/>
      <c r="BL360" s="4"/>
      <c r="BM360" s="4"/>
      <c r="BN360" s="4"/>
      <c r="BO360" s="4"/>
      <c r="BP360" s="4"/>
      <c r="BQ360" s="4"/>
      <c r="BR360" s="4"/>
      <c r="BS360" s="4"/>
      <c r="BT360" s="4"/>
      <c r="BU360" s="4"/>
      <c r="BV360" s="4"/>
      <c r="BW360" s="4"/>
      <c r="BX360" s="4"/>
      <c r="BY360" s="4"/>
      <c r="BZ360" s="4"/>
      <c r="CA360" s="4"/>
      <c r="CB360" s="4"/>
      <c r="CC360" s="4"/>
      <c r="CD360" s="4"/>
      <c r="CE360" s="4"/>
      <c r="CF360" s="4"/>
      <c r="CG360" s="4"/>
      <c r="CH360" s="4"/>
      <c r="CI360" s="4"/>
    </row>
    <row r="361" ht="14.25" customHeight="1" spans="1:87" x14ac:dyDescent="0.25">
      <c r="A361" s="4"/>
      <c r="B361" s="4"/>
      <c r="C361" s="4"/>
      <c r="D361" s="4"/>
      <c r="E361" s="4"/>
      <c r="F361" s="4"/>
      <c r="G361" s="4"/>
      <c r="H361" s="4"/>
      <c r="I361" s="4"/>
      <c r="J361" s="4"/>
      <c r="K361" s="242"/>
      <c r="L361" s="4"/>
      <c r="M361" s="4"/>
      <c r="N361" s="4"/>
      <c r="O361" s="4"/>
      <c r="P361" s="4"/>
      <c r="Q361" s="4"/>
      <c r="R361" s="4"/>
      <c r="S361" s="4"/>
      <c r="T361" s="4"/>
      <c r="U361" s="4"/>
      <c r="V361" s="4"/>
      <c r="W361" s="4"/>
      <c r="X361" s="4"/>
      <c r="Y361" s="4"/>
      <c r="Z361" s="4"/>
      <c r="AA361" s="4"/>
      <c r="AB361" s="4"/>
      <c r="AC361" s="4"/>
      <c r="AD361" s="4"/>
      <c r="AE361" s="4"/>
      <c r="AF361" s="4"/>
      <c r="AG361" s="4"/>
      <c r="AH361" s="4"/>
      <c r="AI361" s="4"/>
      <c r="AJ361" s="4"/>
      <c r="AK361" s="4"/>
      <c r="AL361" s="4"/>
      <c r="AM361" s="4"/>
      <c r="AN361" s="4"/>
      <c r="AO361" s="4"/>
      <c r="AP361" s="4"/>
      <c r="AQ361" s="4"/>
      <c r="AR361" s="4"/>
      <c r="AS361" s="4"/>
      <c r="AT361" s="4"/>
      <c r="AU361" s="4"/>
      <c r="AV361" s="4"/>
      <c r="AW361" s="4"/>
      <c r="AX361" s="4"/>
      <c r="AY361" s="4"/>
      <c r="AZ361" s="4"/>
      <c r="BA361" s="4"/>
      <c r="BB361" s="4"/>
      <c r="BC361" s="4"/>
      <c r="BD361" s="4"/>
      <c r="BE361" s="4"/>
      <c r="BF361" s="4"/>
      <c r="BG361" s="4"/>
      <c r="BH361" s="4"/>
      <c r="BI361" s="4"/>
      <c r="BJ361" s="4"/>
      <c r="BK361" s="4"/>
      <c r="BL361" s="4"/>
      <c r="BM361" s="4"/>
      <c r="BN361" s="4"/>
      <c r="BO361" s="4"/>
      <c r="BP361" s="4"/>
      <c r="BQ361" s="4"/>
      <c r="BR361" s="4"/>
      <c r="BS361" s="4"/>
      <c r="BT361" s="4"/>
      <c r="BU361" s="4"/>
      <c r="BV361" s="4"/>
      <c r="BW361" s="4"/>
      <c r="BX361" s="4"/>
      <c r="BY361" s="4"/>
      <c r="BZ361" s="4"/>
      <c r="CA361" s="4"/>
      <c r="CB361" s="4"/>
      <c r="CC361" s="4"/>
      <c r="CD361" s="4"/>
      <c r="CE361" s="4"/>
      <c r="CF361" s="4"/>
      <c r="CG361" s="4"/>
      <c r="CH361" s="4"/>
      <c r="CI361" s="4"/>
    </row>
    <row r="362" ht="14.25" customHeight="1" spans="1:87" x14ac:dyDescent="0.25">
      <c r="A362" s="4"/>
      <c r="B362" s="4"/>
      <c r="C362" s="4"/>
      <c r="D362" s="4"/>
      <c r="E362" s="4"/>
      <c r="F362" s="4"/>
      <c r="G362" s="4"/>
      <c r="H362" s="4"/>
      <c r="I362" s="4"/>
      <c r="J362" s="4"/>
      <c r="K362" s="242"/>
      <c r="L362" s="4"/>
      <c r="M362" s="4"/>
      <c r="N362" s="4"/>
      <c r="O362" s="4"/>
      <c r="P362" s="4"/>
      <c r="Q362" s="4"/>
      <c r="R362" s="4"/>
      <c r="S362" s="4"/>
      <c r="T362" s="4"/>
      <c r="U362" s="4"/>
      <c r="V362" s="4"/>
      <c r="W362" s="4"/>
      <c r="X362" s="4"/>
      <c r="Y362" s="4"/>
      <c r="Z362" s="4"/>
      <c r="AA362" s="4"/>
      <c r="AB362" s="4"/>
      <c r="AC362" s="4"/>
      <c r="AD362" s="4"/>
      <c r="AE362" s="4"/>
      <c r="AF362" s="4"/>
      <c r="AG362" s="4"/>
      <c r="AH362" s="4"/>
      <c r="AI362" s="4"/>
      <c r="AJ362" s="4"/>
      <c r="AK362" s="4"/>
      <c r="AL362" s="4"/>
      <c r="AM362" s="4"/>
      <c r="AN362" s="4"/>
      <c r="AO362" s="4"/>
      <c r="AP362" s="4"/>
      <c r="AQ362" s="4"/>
      <c r="AR362" s="4"/>
      <c r="AS362" s="4"/>
      <c r="AT362" s="4"/>
      <c r="AU362" s="4"/>
      <c r="AV362" s="4"/>
      <c r="AW362" s="4"/>
      <c r="AX362" s="4"/>
      <c r="AY362" s="4"/>
      <c r="AZ362" s="4"/>
      <c r="BA362" s="4"/>
      <c r="BB362" s="4"/>
      <c r="BC362" s="4"/>
      <c r="BD362" s="4"/>
      <c r="BE362" s="4"/>
      <c r="BF362" s="4"/>
      <c r="BG362" s="4"/>
      <c r="BH362" s="4"/>
      <c r="BI362" s="4"/>
      <c r="BJ362" s="4"/>
      <c r="BK362" s="4"/>
      <c r="BL362" s="4"/>
      <c r="BM362" s="4"/>
      <c r="BN362" s="4"/>
      <c r="BO362" s="4"/>
      <c r="BP362" s="4"/>
      <c r="BQ362" s="4"/>
      <c r="BR362" s="4"/>
      <c r="BS362" s="4"/>
      <c r="BT362" s="4"/>
      <c r="BU362" s="4"/>
      <c r="BV362" s="4"/>
      <c r="BW362" s="4"/>
      <c r="BX362" s="4"/>
      <c r="BY362" s="4"/>
      <c r="BZ362" s="4"/>
      <c r="CA362" s="4"/>
      <c r="CB362" s="4"/>
      <c r="CC362" s="4"/>
      <c r="CD362" s="4"/>
      <c r="CE362" s="4"/>
      <c r="CF362" s="4"/>
      <c r="CG362" s="4"/>
      <c r="CH362" s="4"/>
      <c r="CI362" s="4"/>
    </row>
    <row r="363" ht="14.25" customHeight="1" spans="1:87" x14ac:dyDescent="0.25">
      <c r="A363" s="4"/>
      <c r="B363" s="4"/>
      <c r="C363" s="4"/>
      <c r="D363" s="4"/>
      <c r="E363" s="4"/>
      <c r="F363" s="4"/>
      <c r="G363" s="4"/>
      <c r="H363" s="4"/>
      <c r="I363" s="4"/>
      <c r="J363" s="4"/>
      <c r="K363" s="242"/>
      <c r="L363" s="4"/>
      <c r="M363" s="4"/>
      <c r="N363" s="4"/>
      <c r="O363" s="4"/>
      <c r="P363" s="4"/>
      <c r="Q363" s="4"/>
      <c r="R363" s="4"/>
      <c r="S363" s="4"/>
      <c r="T363" s="4"/>
      <c r="U363" s="4"/>
      <c r="V363" s="4"/>
      <c r="W363" s="4"/>
      <c r="X363" s="4"/>
      <c r="Y363" s="4"/>
      <c r="Z363" s="4"/>
      <c r="AA363" s="4"/>
      <c r="AB363" s="4"/>
      <c r="AC363" s="4"/>
      <c r="AD363" s="4"/>
      <c r="AE363" s="4"/>
      <c r="AF363" s="4"/>
      <c r="AG363" s="4"/>
      <c r="AH363" s="4"/>
      <c r="AI363" s="4"/>
      <c r="AJ363" s="4"/>
      <c r="AK363" s="4"/>
      <c r="AL363" s="4"/>
      <c r="AM363" s="4"/>
      <c r="AN363" s="4"/>
      <c r="AO363" s="4"/>
      <c r="AP363" s="4"/>
      <c r="AQ363" s="4"/>
      <c r="AR363" s="4"/>
      <c r="AS363" s="4"/>
      <c r="AT363" s="4"/>
      <c r="AU363" s="4"/>
      <c r="AV363" s="4"/>
      <c r="AW363" s="4"/>
      <c r="AX363" s="4"/>
      <c r="AY363" s="4"/>
      <c r="AZ363" s="4"/>
      <c r="BA363" s="4"/>
      <c r="BB363" s="4"/>
      <c r="BC363" s="4"/>
      <c r="BD363" s="4"/>
      <c r="BE363" s="4"/>
      <c r="BF363" s="4"/>
      <c r="BG363" s="4"/>
      <c r="BH363" s="4"/>
      <c r="BI363" s="4"/>
      <c r="BJ363" s="4"/>
      <c r="BK363" s="4"/>
      <c r="BL363" s="4"/>
      <c r="BM363" s="4"/>
      <c r="BN363" s="4"/>
      <c r="BO363" s="4"/>
      <c r="BP363" s="4"/>
      <c r="BQ363" s="4"/>
      <c r="BR363" s="4"/>
      <c r="BS363" s="4"/>
      <c r="BT363" s="4"/>
      <c r="BU363" s="4"/>
      <c r="BV363" s="4"/>
      <c r="BW363" s="4"/>
      <c r="BX363" s="4"/>
      <c r="BY363" s="4"/>
      <c r="BZ363" s="4"/>
      <c r="CA363" s="4"/>
      <c r="CB363" s="4"/>
      <c r="CC363" s="4"/>
      <c r="CD363" s="4"/>
      <c r="CE363" s="4"/>
      <c r="CF363" s="4"/>
      <c r="CG363" s="4"/>
      <c r="CH363" s="4"/>
      <c r="CI363" s="4"/>
    </row>
    <row r="364" ht="14.25" customHeight="1" spans="1:87" x14ac:dyDescent="0.25">
      <c r="A364" s="4"/>
      <c r="B364" s="4"/>
      <c r="C364" s="4"/>
      <c r="D364" s="4"/>
      <c r="E364" s="4"/>
      <c r="F364" s="4"/>
      <c r="G364" s="4"/>
      <c r="H364" s="4"/>
      <c r="I364" s="4"/>
      <c r="J364" s="4"/>
      <c r="K364" s="242"/>
      <c r="L364" s="4"/>
      <c r="M364" s="4"/>
      <c r="N364" s="4"/>
      <c r="O364" s="4"/>
      <c r="P364" s="4"/>
      <c r="Q364" s="4"/>
      <c r="R364" s="4"/>
      <c r="S364" s="4"/>
      <c r="T364" s="4"/>
      <c r="U364" s="4"/>
      <c r="V364" s="4"/>
      <c r="W364" s="4"/>
      <c r="X364" s="4"/>
      <c r="Y364" s="4"/>
      <c r="Z364" s="4"/>
      <c r="AA364" s="4"/>
      <c r="AB364" s="4"/>
      <c r="AC364" s="4"/>
      <c r="AD364" s="4"/>
      <c r="AE364" s="4"/>
      <c r="AF364" s="4"/>
      <c r="AG364" s="4"/>
      <c r="AH364" s="4"/>
      <c r="AI364" s="4"/>
      <c r="AJ364" s="4"/>
      <c r="AK364" s="4"/>
      <c r="AL364" s="4"/>
      <c r="AM364" s="4"/>
      <c r="AN364" s="4"/>
      <c r="AO364" s="4"/>
      <c r="AP364" s="4"/>
      <c r="AQ364" s="4"/>
      <c r="AR364" s="4"/>
      <c r="AS364" s="4"/>
      <c r="AT364" s="4"/>
      <c r="AU364" s="4"/>
      <c r="AV364" s="4"/>
      <c r="AW364" s="4"/>
      <c r="AX364" s="4"/>
      <c r="AY364" s="4"/>
      <c r="AZ364" s="4"/>
      <c r="BA364" s="4"/>
      <c r="BB364" s="4"/>
      <c r="BC364" s="4"/>
      <c r="BD364" s="4"/>
      <c r="BE364" s="4"/>
      <c r="BF364" s="4"/>
      <c r="BG364" s="4"/>
      <c r="BH364" s="4"/>
      <c r="BI364" s="4"/>
      <c r="BJ364" s="4"/>
      <c r="BK364" s="4"/>
      <c r="BL364" s="4"/>
      <c r="BM364" s="4"/>
      <c r="BN364" s="4"/>
      <c r="BO364" s="4"/>
      <c r="BP364" s="4"/>
      <c r="BQ364" s="4"/>
      <c r="BR364" s="4"/>
      <c r="BS364" s="4"/>
      <c r="BT364" s="4"/>
      <c r="BU364" s="4"/>
      <c r="BV364" s="4"/>
      <c r="BW364" s="4"/>
      <c r="BX364" s="4"/>
      <c r="BY364" s="4"/>
      <c r="BZ364" s="4"/>
      <c r="CA364" s="4"/>
      <c r="CB364" s="4"/>
      <c r="CC364" s="4"/>
      <c r="CD364" s="4"/>
      <c r="CE364" s="4"/>
      <c r="CF364" s="4"/>
      <c r="CG364" s="4"/>
      <c r="CH364" s="4"/>
      <c r="CI364" s="4"/>
    </row>
    <row r="365" ht="14.25" customHeight="1" spans="1:87" x14ac:dyDescent="0.25">
      <c r="A365" s="4"/>
      <c r="B365" s="4"/>
      <c r="C365" s="4"/>
      <c r="D365" s="4"/>
      <c r="E365" s="4"/>
      <c r="F365" s="4"/>
      <c r="G365" s="4"/>
      <c r="H365" s="4"/>
      <c r="I365" s="4"/>
      <c r="J365" s="4"/>
      <c r="K365" s="242"/>
      <c r="L365" s="4"/>
      <c r="M365" s="4"/>
      <c r="N365" s="4"/>
      <c r="O365" s="4"/>
      <c r="P365" s="4"/>
      <c r="Q365" s="4"/>
      <c r="R365" s="4"/>
      <c r="S365" s="4"/>
      <c r="T365" s="4"/>
      <c r="U365" s="4"/>
      <c r="V365" s="4"/>
      <c r="W365" s="4"/>
      <c r="X365" s="4"/>
      <c r="Y365" s="4"/>
      <c r="Z365" s="4"/>
      <c r="AA365" s="4"/>
      <c r="AB365" s="4"/>
      <c r="AC365" s="4"/>
      <c r="AD365" s="4"/>
      <c r="AE365" s="4"/>
      <c r="AF365" s="4"/>
      <c r="AG365" s="4"/>
      <c r="AH365" s="4"/>
      <c r="AI365" s="4"/>
      <c r="AJ365" s="4"/>
      <c r="AK365" s="4"/>
      <c r="AL365" s="4"/>
      <c r="AM365" s="4"/>
      <c r="AN365" s="4"/>
      <c r="AO365" s="4"/>
      <c r="AP365" s="4"/>
      <c r="AQ365" s="4"/>
      <c r="AR365" s="4"/>
      <c r="AS365" s="4"/>
      <c r="AT365" s="4"/>
      <c r="AU365" s="4"/>
      <c r="AV365" s="4"/>
      <c r="AW365" s="4"/>
      <c r="AX365" s="4"/>
      <c r="AY365" s="4"/>
      <c r="AZ365" s="4"/>
      <c r="BA365" s="4"/>
      <c r="BB365" s="4"/>
      <c r="BC365" s="4"/>
      <c r="BD365" s="4"/>
      <c r="BE365" s="4"/>
      <c r="BF365" s="4"/>
      <c r="BG365" s="4"/>
      <c r="BH365" s="4"/>
      <c r="BI365" s="4"/>
      <c r="BJ365" s="4"/>
      <c r="BK365" s="4"/>
      <c r="BL365" s="4"/>
      <c r="BM365" s="4"/>
      <c r="BN365" s="4"/>
      <c r="BO365" s="4"/>
      <c r="BP365" s="4"/>
      <c r="BQ365" s="4"/>
      <c r="BR365" s="4"/>
      <c r="BS365" s="4"/>
      <c r="BT365" s="4"/>
      <c r="BU365" s="4"/>
      <c r="BV365" s="4"/>
      <c r="BW365" s="4"/>
      <c r="BX365" s="4"/>
      <c r="BY365" s="4"/>
      <c r="BZ365" s="4"/>
      <c r="CA365" s="4"/>
      <c r="CB365" s="4"/>
      <c r="CC365" s="4"/>
      <c r="CD365" s="4"/>
      <c r="CE365" s="4"/>
      <c r="CF365" s="4"/>
      <c r="CG365" s="4"/>
      <c r="CH365" s="4"/>
      <c r="CI365" s="4"/>
    </row>
    <row r="366" ht="14.25" customHeight="1" spans="1:87" x14ac:dyDescent="0.25">
      <c r="A366" s="4"/>
      <c r="B366" s="4"/>
      <c r="C366" s="4"/>
      <c r="D366" s="4"/>
      <c r="E366" s="4"/>
      <c r="F366" s="4"/>
      <c r="G366" s="4"/>
      <c r="H366" s="4"/>
      <c r="I366" s="4"/>
      <c r="J366" s="4"/>
      <c r="K366" s="242"/>
      <c r="L366" s="4"/>
      <c r="M366" s="4"/>
      <c r="N366" s="4"/>
      <c r="O366" s="4"/>
      <c r="P366" s="4"/>
      <c r="Q366" s="4"/>
      <c r="R366" s="4"/>
      <c r="S366" s="4"/>
      <c r="T366" s="4"/>
      <c r="U366" s="4"/>
      <c r="V366" s="4"/>
      <c r="W366" s="4"/>
      <c r="X366" s="4"/>
      <c r="Y366" s="4"/>
      <c r="Z366" s="4"/>
      <c r="AA366" s="4"/>
      <c r="AB366" s="4"/>
      <c r="AC366" s="4"/>
      <c r="AD366" s="4"/>
      <c r="AE366" s="4"/>
      <c r="AF366" s="4"/>
      <c r="AG366" s="4"/>
      <c r="AH366" s="4"/>
      <c r="AI366" s="4"/>
      <c r="AJ366" s="4"/>
      <c r="AK366" s="4"/>
      <c r="AL366" s="4"/>
      <c r="AM366" s="4"/>
      <c r="AN366" s="4"/>
      <c r="AO366" s="4"/>
      <c r="AP366" s="4"/>
      <c r="AQ366" s="4"/>
      <c r="AR366" s="4"/>
      <c r="AS366" s="4"/>
      <c r="AT366" s="4"/>
      <c r="AU366" s="4"/>
      <c r="AV366" s="4"/>
      <c r="AW366" s="4"/>
      <c r="AX366" s="4"/>
      <c r="AY366" s="4"/>
      <c r="AZ366" s="4"/>
      <c r="BA366" s="4"/>
      <c r="BB366" s="4"/>
      <c r="BC366" s="4"/>
      <c r="BD366" s="4"/>
      <c r="BE366" s="4"/>
      <c r="BF366" s="4"/>
      <c r="BG366" s="4"/>
      <c r="BH366" s="4"/>
      <c r="BI366" s="4"/>
      <c r="BJ366" s="4"/>
      <c r="BK366" s="4"/>
      <c r="BL366" s="4"/>
      <c r="BM366" s="4"/>
      <c r="BN366" s="4"/>
      <c r="BO366" s="4"/>
      <c r="BP366" s="4"/>
      <c r="BQ366" s="4"/>
      <c r="BR366" s="4"/>
      <c r="BS366" s="4"/>
      <c r="BT366" s="4"/>
      <c r="BU366" s="4"/>
      <c r="BV366" s="4"/>
      <c r="BW366" s="4"/>
      <c r="BX366" s="4"/>
      <c r="BY366" s="4"/>
      <c r="BZ366" s="4"/>
      <c r="CA366" s="4"/>
      <c r="CB366" s="4"/>
      <c r="CC366" s="4"/>
      <c r="CD366" s="4"/>
      <c r="CE366" s="4"/>
      <c r="CF366" s="4"/>
      <c r="CG366" s="4"/>
      <c r="CH366" s="4"/>
      <c r="CI366" s="4"/>
    </row>
    <row r="367" ht="14.25" customHeight="1" spans="1:87" x14ac:dyDescent="0.25">
      <c r="A367" s="4"/>
      <c r="B367" s="4"/>
      <c r="C367" s="4"/>
      <c r="D367" s="4"/>
      <c r="E367" s="4"/>
      <c r="F367" s="4"/>
      <c r="G367" s="4"/>
      <c r="H367" s="4"/>
      <c r="I367" s="4"/>
      <c r="J367" s="4"/>
      <c r="K367" s="242"/>
      <c r="L367" s="4"/>
      <c r="M367" s="4"/>
      <c r="N367" s="4"/>
      <c r="O367" s="4"/>
      <c r="P367" s="4"/>
      <c r="Q367" s="4"/>
      <c r="R367" s="4"/>
      <c r="S367" s="4"/>
      <c r="T367" s="4"/>
      <c r="U367" s="4"/>
      <c r="V367" s="4"/>
      <c r="W367" s="4"/>
      <c r="X367" s="4"/>
      <c r="Y367" s="4"/>
      <c r="Z367" s="4"/>
      <c r="AA367" s="4"/>
      <c r="AB367" s="4"/>
      <c r="AC367" s="4"/>
      <c r="AD367" s="4"/>
      <c r="AE367" s="4"/>
      <c r="AF367" s="4"/>
      <c r="AG367" s="4"/>
      <c r="AH367" s="4"/>
      <c r="AI367" s="4"/>
      <c r="AJ367" s="4"/>
      <c r="AK367" s="4"/>
      <c r="AL367" s="4"/>
      <c r="AM367" s="4"/>
      <c r="AN367" s="4"/>
      <c r="AO367" s="4"/>
      <c r="AP367" s="4"/>
      <c r="AQ367" s="4"/>
      <c r="AR367" s="4"/>
      <c r="AS367" s="4"/>
      <c r="AT367" s="4"/>
      <c r="AU367" s="4"/>
      <c r="AV367" s="4"/>
      <c r="AW367" s="4"/>
      <c r="AX367" s="4"/>
      <c r="AY367" s="4"/>
      <c r="AZ367" s="4"/>
      <c r="BA367" s="4"/>
      <c r="BB367" s="4"/>
      <c r="BC367" s="4"/>
      <c r="BD367" s="4"/>
      <c r="BE367" s="4"/>
      <c r="BF367" s="4"/>
      <c r="BG367" s="4"/>
      <c r="BH367" s="4"/>
      <c r="BI367" s="4"/>
      <c r="BJ367" s="4"/>
      <c r="BK367" s="4"/>
      <c r="BL367" s="4"/>
      <c r="BM367" s="4"/>
      <c r="BN367" s="4"/>
      <c r="BO367" s="4"/>
      <c r="BP367" s="4"/>
      <c r="BQ367" s="4"/>
      <c r="BR367" s="4"/>
      <c r="BS367" s="4"/>
      <c r="BT367" s="4"/>
      <c r="BU367" s="4"/>
      <c r="BV367" s="4"/>
      <c r="BW367" s="4"/>
      <c r="BX367" s="4"/>
      <c r="BY367" s="4"/>
      <c r="BZ367" s="4"/>
      <c r="CA367" s="4"/>
      <c r="CB367" s="4"/>
      <c r="CC367" s="4"/>
      <c r="CD367" s="4"/>
      <c r="CE367" s="4"/>
      <c r="CF367" s="4"/>
      <c r="CG367" s="4"/>
      <c r="CH367" s="4"/>
      <c r="CI367" s="4"/>
    </row>
    <row r="368" ht="14.25" customHeight="1" spans="1:87" x14ac:dyDescent="0.25">
      <c r="A368" s="4"/>
      <c r="B368" s="4"/>
      <c r="C368" s="4"/>
      <c r="D368" s="4"/>
      <c r="E368" s="4"/>
      <c r="F368" s="4"/>
      <c r="G368" s="4"/>
      <c r="H368" s="4"/>
      <c r="I368" s="4"/>
      <c r="J368" s="4"/>
      <c r="K368" s="242"/>
      <c r="L368" s="4"/>
      <c r="M368" s="4"/>
      <c r="N368" s="4"/>
      <c r="O368" s="4"/>
      <c r="P368" s="4"/>
      <c r="Q368" s="4"/>
      <c r="R368" s="4"/>
      <c r="S368" s="4"/>
      <c r="T368" s="4"/>
      <c r="U368" s="4"/>
      <c r="V368" s="4"/>
      <c r="W368" s="4"/>
      <c r="X368" s="4"/>
      <c r="Y368" s="4"/>
      <c r="Z368" s="4"/>
      <c r="AA368" s="4"/>
      <c r="AB368" s="4"/>
      <c r="AC368" s="4"/>
      <c r="AD368" s="4"/>
      <c r="AE368" s="4"/>
      <c r="AF368" s="4"/>
      <c r="AG368" s="4"/>
      <c r="AH368" s="4"/>
      <c r="AI368" s="4"/>
      <c r="AJ368" s="4"/>
      <c r="AK368" s="4"/>
      <c r="AL368" s="4"/>
      <c r="AM368" s="4"/>
      <c r="AN368" s="4"/>
      <c r="AO368" s="4"/>
      <c r="AP368" s="4"/>
      <c r="AQ368" s="4"/>
      <c r="AR368" s="4"/>
      <c r="AS368" s="4"/>
      <c r="AT368" s="4"/>
      <c r="AU368" s="4"/>
      <c r="AV368" s="4"/>
      <c r="AW368" s="4"/>
      <c r="AX368" s="4"/>
      <c r="AY368" s="4"/>
      <c r="AZ368" s="4"/>
      <c r="BA368" s="4"/>
      <c r="BB368" s="4"/>
      <c r="BC368" s="4"/>
      <c r="BD368" s="4"/>
      <c r="BE368" s="4"/>
      <c r="BF368" s="4"/>
      <c r="BG368" s="4"/>
      <c r="BH368" s="4"/>
      <c r="BI368" s="4"/>
      <c r="BJ368" s="4"/>
      <c r="BK368" s="4"/>
      <c r="BL368" s="4"/>
      <c r="BM368" s="4"/>
      <c r="BN368" s="4"/>
      <c r="BO368" s="4"/>
      <c r="BP368" s="4"/>
      <c r="BQ368" s="4"/>
      <c r="BR368" s="4"/>
      <c r="BS368" s="4"/>
      <c r="BT368" s="4"/>
      <c r="BU368" s="4"/>
      <c r="BV368" s="4"/>
      <c r="BW368" s="4"/>
      <c r="BX368" s="4"/>
      <c r="BY368" s="4"/>
      <c r="BZ368" s="4"/>
      <c r="CA368" s="4"/>
      <c r="CB368" s="4"/>
      <c r="CC368" s="4"/>
      <c r="CD368" s="4"/>
      <c r="CE368" s="4"/>
      <c r="CF368" s="4"/>
      <c r="CG368" s="4"/>
      <c r="CH368" s="4"/>
      <c r="CI368" s="4"/>
    </row>
    <row r="369" ht="14.25" customHeight="1" spans="1:87" x14ac:dyDescent="0.25">
      <c r="A369" s="4"/>
      <c r="B369" s="4"/>
      <c r="C369" s="4"/>
      <c r="D369" s="4"/>
      <c r="E369" s="4"/>
      <c r="F369" s="4"/>
      <c r="G369" s="4"/>
      <c r="H369" s="4"/>
      <c r="I369" s="4"/>
      <c r="J369" s="4"/>
      <c r="K369" s="242"/>
      <c r="L369" s="4"/>
      <c r="M369" s="4"/>
      <c r="N369" s="4"/>
      <c r="O369" s="4"/>
      <c r="P369" s="4"/>
      <c r="Q369" s="4"/>
      <c r="R369" s="4"/>
      <c r="S369" s="4"/>
      <c r="T369" s="4"/>
      <c r="U369" s="4"/>
      <c r="V369" s="4"/>
      <c r="W369" s="4"/>
      <c r="X369" s="4"/>
      <c r="Y369" s="4"/>
      <c r="Z369" s="4"/>
      <c r="AA369" s="4"/>
      <c r="AB369" s="4"/>
      <c r="AC369" s="4"/>
      <c r="AD369" s="4"/>
      <c r="AE369" s="4"/>
      <c r="AF369" s="4"/>
      <c r="AG369" s="4"/>
      <c r="AH369" s="4"/>
      <c r="AI369" s="4"/>
      <c r="AJ369" s="4"/>
      <c r="AK369" s="4"/>
      <c r="AL369" s="4"/>
      <c r="AM369" s="4"/>
      <c r="AN369" s="4"/>
      <c r="AO369" s="4"/>
      <c r="AP369" s="4"/>
      <c r="AQ369" s="4"/>
      <c r="AR369" s="4"/>
      <c r="AS369" s="4"/>
      <c r="AT369" s="4"/>
      <c r="AU369" s="4"/>
      <c r="AV369" s="4"/>
      <c r="AW369" s="4"/>
      <c r="AX369" s="4"/>
      <c r="AY369" s="4"/>
      <c r="AZ369" s="4"/>
      <c r="BA369" s="4"/>
      <c r="BB369" s="4"/>
      <c r="BC369" s="4"/>
      <c r="BD369" s="4"/>
      <c r="BE369" s="4"/>
      <c r="BF369" s="4"/>
      <c r="BG369" s="4"/>
      <c r="BH369" s="4"/>
      <c r="BI369" s="4"/>
      <c r="BJ369" s="4"/>
      <c r="BK369" s="4"/>
      <c r="BL369" s="4"/>
      <c r="BM369" s="4"/>
      <c r="BN369" s="4"/>
      <c r="BO369" s="4"/>
      <c r="BP369" s="4"/>
      <c r="BQ369" s="4"/>
      <c r="BR369" s="4"/>
      <c r="BS369" s="4"/>
      <c r="BT369" s="4"/>
      <c r="BU369" s="4"/>
      <c r="BV369" s="4"/>
      <c r="BW369" s="4"/>
      <c r="BX369" s="4"/>
      <c r="BY369" s="4"/>
      <c r="BZ369" s="4"/>
      <c r="CA369" s="4"/>
      <c r="CB369" s="4"/>
      <c r="CC369" s="4"/>
      <c r="CD369" s="4"/>
      <c r="CE369" s="4"/>
      <c r="CF369" s="4"/>
      <c r="CG369" s="4"/>
      <c r="CH369" s="4"/>
      <c r="CI369" s="4"/>
    </row>
    <row r="370" ht="14.25" customHeight="1" spans="1:87" x14ac:dyDescent="0.25">
      <c r="A370" s="4"/>
      <c r="B370" s="4"/>
      <c r="C370" s="4"/>
      <c r="D370" s="4"/>
      <c r="E370" s="4"/>
      <c r="F370" s="4"/>
      <c r="G370" s="4"/>
      <c r="H370" s="4"/>
      <c r="I370" s="4"/>
      <c r="J370" s="4"/>
      <c r="K370" s="242"/>
      <c r="L370" s="4"/>
      <c r="M370" s="4"/>
      <c r="N370" s="4"/>
      <c r="O370" s="4"/>
      <c r="P370" s="4"/>
      <c r="Q370" s="4"/>
      <c r="R370" s="4"/>
      <c r="S370" s="4"/>
      <c r="T370" s="4"/>
      <c r="U370" s="4"/>
      <c r="V370" s="4"/>
      <c r="W370" s="4"/>
      <c r="X370" s="4"/>
      <c r="Y370" s="4"/>
      <c r="Z370" s="4"/>
      <c r="AA370" s="4"/>
      <c r="AB370" s="4"/>
      <c r="AC370" s="4"/>
      <c r="AD370" s="4"/>
      <c r="AE370" s="4"/>
      <c r="AF370" s="4"/>
      <c r="AG370" s="4"/>
      <c r="AH370" s="4"/>
      <c r="AI370" s="4"/>
      <c r="AJ370" s="4"/>
      <c r="AK370" s="4"/>
      <c r="AL370" s="4"/>
      <c r="AM370" s="4"/>
      <c r="AN370" s="4"/>
      <c r="AO370" s="4"/>
      <c r="AP370" s="4"/>
      <c r="AQ370" s="4"/>
      <c r="AR370" s="4"/>
      <c r="AS370" s="4"/>
      <c r="AT370" s="4"/>
      <c r="AU370" s="4"/>
      <c r="AV370" s="4"/>
      <c r="AW370" s="4"/>
      <c r="AX370" s="4"/>
      <c r="AY370" s="4"/>
      <c r="AZ370" s="4"/>
      <c r="BA370" s="4"/>
      <c r="BB370" s="4"/>
      <c r="BC370" s="4"/>
      <c r="BD370" s="4"/>
      <c r="BE370" s="4"/>
      <c r="BF370" s="4"/>
      <c r="BG370" s="4"/>
      <c r="BH370" s="4"/>
      <c r="BI370" s="4"/>
      <c r="BJ370" s="4"/>
      <c r="BK370" s="4"/>
      <c r="BL370" s="4"/>
      <c r="BM370" s="4"/>
      <c r="BN370" s="4"/>
      <c r="BO370" s="4"/>
      <c r="BP370" s="4"/>
      <c r="BQ370" s="4"/>
      <c r="BR370" s="4"/>
      <c r="BS370" s="4"/>
      <c r="BT370" s="4"/>
      <c r="BU370" s="4"/>
      <c r="BV370" s="4"/>
      <c r="BW370" s="4"/>
      <c r="BX370" s="4"/>
      <c r="BY370" s="4"/>
      <c r="BZ370" s="4"/>
      <c r="CA370" s="4"/>
      <c r="CB370" s="4"/>
      <c r="CC370" s="4"/>
      <c r="CD370" s="4"/>
      <c r="CE370" s="4"/>
      <c r="CF370" s="4"/>
      <c r="CG370" s="4"/>
      <c r="CH370" s="4"/>
      <c r="CI370" s="4"/>
    </row>
    <row r="371" ht="14.25" customHeight="1" spans="1:87" x14ac:dyDescent="0.25">
      <c r="A371" s="4"/>
      <c r="B371" s="4"/>
      <c r="C371" s="4"/>
      <c r="D371" s="4"/>
      <c r="E371" s="4"/>
      <c r="F371" s="4"/>
      <c r="G371" s="4"/>
      <c r="H371" s="4"/>
      <c r="I371" s="4"/>
      <c r="J371" s="4"/>
      <c r="K371" s="242"/>
      <c r="L371" s="4"/>
      <c r="M371" s="4"/>
      <c r="N371" s="4"/>
      <c r="O371" s="4"/>
      <c r="P371" s="4"/>
      <c r="Q371" s="4"/>
      <c r="R371" s="4"/>
      <c r="S371" s="4"/>
      <c r="T371" s="4"/>
      <c r="U371" s="4"/>
      <c r="V371" s="4"/>
      <c r="W371" s="4"/>
      <c r="X371" s="4"/>
      <c r="Y371" s="4"/>
      <c r="Z371" s="4"/>
      <c r="AA371" s="4"/>
      <c r="AB371" s="4"/>
      <c r="AC371" s="4"/>
      <c r="AD371" s="4"/>
      <c r="AE371" s="4"/>
      <c r="AF371" s="4"/>
      <c r="AG371" s="4"/>
      <c r="AH371" s="4"/>
      <c r="AI371" s="4"/>
      <c r="AJ371" s="4"/>
      <c r="AK371" s="4"/>
      <c r="AL371" s="4"/>
      <c r="AM371" s="4"/>
      <c r="AN371" s="4"/>
      <c r="AO371" s="4"/>
      <c r="AP371" s="4"/>
      <c r="AQ371" s="4"/>
      <c r="AR371" s="4"/>
      <c r="AS371" s="4"/>
      <c r="AT371" s="4"/>
      <c r="AU371" s="4"/>
      <c r="AV371" s="4"/>
      <c r="AW371" s="4"/>
      <c r="AX371" s="4"/>
      <c r="AY371" s="4"/>
      <c r="AZ371" s="4"/>
      <c r="BA371" s="4"/>
      <c r="BB371" s="4"/>
      <c r="BC371" s="4"/>
      <c r="BD371" s="4"/>
      <c r="BE371" s="4"/>
      <c r="BF371" s="4"/>
      <c r="BG371" s="4"/>
      <c r="BH371" s="4"/>
      <c r="BI371" s="4"/>
      <c r="BJ371" s="4"/>
      <c r="BK371" s="4"/>
      <c r="BL371" s="4"/>
      <c r="BM371" s="4"/>
      <c r="BN371" s="4"/>
      <c r="BO371" s="4"/>
      <c r="BP371" s="4"/>
      <c r="BQ371" s="4"/>
      <c r="BR371" s="4"/>
      <c r="BS371" s="4"/>
      <c r="BT371" s="4"/>
      <c r="BU371" s="4"/>
      <c r="BV371" s="4"/>
      <c r="BW371" s="4"/>
      <c r="BX371" s="4"/>
      <c r="BY371" s="4"/>
      <c r="BZ371" s="4"/>
      <c r="CA371" s="4"/>
      <c r="CB371" s="4"/>
      <c r="CC371" s="4"/>
      <c r="CD371" s="4"/>
      <c r="CE371" s="4"/>
      <c r="CF371" s="4"/>
      <c r="CG371" s="4"/>
      <c r="CH371" s="4"/>
      <c r="CI371" s="4"/>
    </row>
    <row r="372" ht="14.25" customHeight="1" spans="1:87" x14ac:dyDescent="0.25">
      <c r="A372" s="4"/>
      <c r="B372" s="4"/>
      <c r="C372" s="4"/>
      <c r="D372" s="4"/>
      <c r="E372" s="4"/>
      <c r="F372" s="4"/>
      <c r="G372" s="4"/>
      <c r="H372" s="4"/>
      <c r="I372" s="4"/>
      <c r="J372" s="4"/>
      <c r="K372" s="242"/>
      <c r="L372" s="4"/>
      <c r="M372" s="4"/>
      <c r="N372" s="4"/>
      <c r="O372" s="4"/>
      <c r="P372" s="4"/>
      <c r="Q372" s="4"/>
      <c r="R372" s="4"/>
      <c r="S372" s="4"/>
      <c r="T372" s="4"/>
      <c r="U372" s="4"/>
      <c r="V372" s="4"/>
      <c r="W372" s="4"/>
      <c r="X372" s="4"/>
      <c r="Y372" s="4"/>
      <c r="Z372" s="4"/>
      <c r="AA372" s="4"/>
      <c r="AB372" s="4"/>
      <c r="AC372" s="4"/>
      <c r="AD372" s="4"/>
      <c r="AE372" s="4"/>
      <c r="AF372" s="4"/>
      <c r="AG372" s="4"/>
      <c r="AH372" s="4"/>
      <c r="AI372" s="4"/>
      <c r="AJ372" s="4"/>
      <c r="AK372" s="4"/>
      <c r="AL372" s="4"/>
      <c r="AM372" s="4"/>
      <c r="AN372" s="4"/>
      <c r="AO372" s="4"/>
      <c r="AP372" s="4"/>
      <c r="AQ372" s="4"/>
      <c r="AR372" s="4"/>
      <c r="AS372" s="4"/>
      <c r="AT372" s="4"/>
      <c r="AU372" s="4"/>
      <c r="AV372" s="4"/>
      <c r="AW372" s="4"/>
      <c r="AX372" s="4"/>
      <c r="AY372" s="4"/>
      <c r="AZ372" s="4"/>
      <c r="BA372" s="4"/>
      <c r="BB372" s="4"/>
      <c r="BC372" s="4"/>
      <c r="BD372" s="4"/>
      <c r="BE372" s="4"/>
      <c r="BF372" s="4"/>
      <c r="BG372" s="4"/>
      <c r="BH372" s="4"/>
      <c r="BI372" s="4"/>
      <c r="BJ372" s="4"/>
      <c r="BK372" s="4"/>
      <c r="BL372" s="4"/>
      <c r="BM372" s="4"/>
      <c r="BN372" s="4"/>
      <c r="BO372" s="4"/>
      <c r="BP372" s="4"/>
      <c r="BQ372" s="4"/>
      <c r="BR372" s="4"/>
      <c r="BS372" s="4"/>
      <c r="BT372" s="4"/>
      <c r="BU372" s="4"/>
      <c r="BV372" s="4"/>
      <c r="BW372" s="4"/>
      <c r="BX372" s="4"/>
      <c r="BY372" s="4"/>
      <c r="BZ372" s="4"/>
      <c r="CA372" s="4"/>
      <c r="CB372" s="4"/>
      <c r="CC372" s="4"/>
      <c r="CD372" s="4"/>
      <c r="CE372" s="4"/>
      <c r="CF372" s="4"/>
      <c r="CG372" s="4"/>
      <c r="CH372" s="4"/>
      <c r="CI372" s="4"/>
    </row>
    <row r="373" ht="14.25" customHeight="1" spans="1:87" x14ac:dyDescent="0.25">
      <c r="A373" s="4"/>
      <c r="B373" s="4"/>
      <c r="C373" s="4"/>
      <c r="D373" s="4"/>
      <c r="E373" s="4"/>
      <c r="F373" s="4"/>
      <c r="G373" s="4"/>
      <c r="H373" s="4"/>
      <c r="I373" s="4"/>
      <c r="J373" s="4"/>
      <c r="K373" s="242"/>
      <c r="L373" s="4"/>
      <c r="M373" s="4"/>
      <c r="N373" s="4"/>
      <c r="O373" s="4"/>
      <c r="P373" s="4"/>
      <c r="Q373" s="4"/>
      <c r="R373" s="4"/>
      <c r="S373" s="4"/>
      <c r="T373" s="4"/>
      <c r="U373" s="4"/>
      <c r="V373" s="4"/>
      <c r="W373" s="4"/>
      <c r="X373" s="4"/>
      <c r="Y373" s="4"/>
      <c r="Z373" s="4"/>
      <c r="AA373" s="4"/>
      <c r="AB373" s="4"/>
      <c r="AC373" s="4"/>
      <c r="AD373" s="4"/>
      <c r="AE373" s="4"/>
      <c r="AF373" s="4"/>
      <c r="AG373" s="4"/>
      <c r="AH373" s="4"/>
      <c r="AI373" s="4"/>
      <c r="AJ373" s="4"/>
      <c r="AK373" s="4"/>
      <c r="AL373" s="4"/>
      <c r="AM373" s="4"/>
      <c r="AN373" s="4"/>
      <c r="AO373" s="4"/>
      <c r="AP373" s="4"/>
      <c r="AQ373" s="4"/>
      <c r="AR373" s="4"/>
      <c r="AS373" s="4"/>
      <c r="AT373" s="4"/>
      <c r="AU373" s="4"/>
      <c r="AV373" s="4"/>
      <c r="AW373" s="4"/>
      <c r="AX373" s="4"/>
      <c r="AY373" s="4"/>
      <c r="AZ373" s="4"/>
      <c r="BA373" s="4"/>
      <c r="BB373" s="4"/>
      <c r="BC373" s="4"/>
      <c r="BD373" s="4"/>
      <c r="BE373" s="4"/>
      <c r="BF373" s="4"/>
      <c r="BG373" s="4"/>
      <c r="BH373" s="4"/>
      <c r="BI373" s="4"/>
      <c r="BJ373" s="4"/>
      <c r="BK373" s="4"/>
      <c r="BL373" s="4"/>
      <c r="BM373" s="4"/>
      <c r="BN373" s="4"/>
      <c r="BO373" s="4"/>
      <c r="BP373" s="4"/>
      <c r="BQ373" s="4"/>
      <c r="BR373" s="4"/>
      <c r="BS373" s="4"/>
      <c r="BT373" s="4"/>
      <c r="BU373" s="4"/>
      <c r="BV373" s="4"/>
      <c r="BW373" s="4"/>
      <c r="BX373" s="4"/>
      <c r="BY373" s="4"/>
      <c r="BZ373" s="4"/>
      <c r="CA373" s="4"/>
      <c r="CB373" s="4"/>
      <c r="CC373" s="4"/>
      <c r="CD373" s="4"/>
      <c r="CE373" s="4"/>
      <c r="CF373" s="4"/>
      <c r="CG373" s="4"/>
      <c r="CH373" s="4"/>
      <c r="CI373" s="4"/>
    </row>
    <row r="374" ht="14.25" customHeight="1" spans="1:87" x14ac:dyDescent="0.25">
      <c r="A374" s="4"/>
      <c r="B374" s="4"/>
      <c r="C374" s="4"/>
      <c r="D374" s="4"/>
      <c r="E374" s="4"/>
      <c r="F374" s="4"/>
      <c r="G374" s="4"/>
      <c r="H374" s="4"/>
      <c r="I374" s="4"/>
      <c r="J374" s="4"/>
      <c r="K374" s="242"/>
      <c r="L374" s="4"/>
      <c r="M374" s="4"/>
      <c r="N374" s="4"/>
      <c r="O374" s="4"/>
      <c r="P374" s="4"/>
      <c r="Q374" s="4"/>
      <c r="R374" s="4"/>
      <c r="S374" s="4"/>
      <c r="T374" s="4"/>
      <c r="U374" s="4"/>
      <c r="V374" s="4"/>
      <c r="W374" s="4"/>
      <c r="X374" s="4"/>
      <c r="Y374" s="4"/>
      <c r="Z374" s="4"/>
      <c r="AA374" s="4"/>
      <c r="AB374" s="4"/>
      <c r="AC374" s="4"/>
      <c r="AD374" s="4"/>
      <c r="AE374" s="4"/>
      <c r="AF374" s="4"/>
      <c r="AG374" s="4"/>
      <c r="AH374" s="4"/>
      <c r="AI374" s="4"/>
      <c r="AJ374" s="4"/>
      <c r="AK374" s="4"/>
      <c r="AL374" s="4"/>
      <c r="AM374" s="4"/>
      <c r="AN374" s="4"/>
      <c r="AO374" s="4"/>
      <c r="AP374" s="4"/>
      <c r="AQ374" s="4"/>
      <c r="AR374" s="4"/>
      <c r="AS374" s="4"/>
      <c r="AT374" s="4"/>
      <c r="AU374" s="4"/>
      <c r="AV374" s="4"/>
      <c r="AW374" s="4"/>
      <c r="AX374" s="4"/>
      <c r="AY374" s="4"/>
      <c r="AZ374" s="4"/>
      <c r="BA374" s="4"/>
      <c r="BB374" s="4"/>
      <c r="BC374" s="4"/>
      <c r="BD374" s="4"/>
      <c r="BE374" s="4"/>
      <c r="BF374" s="4"/>
      <c r="BG374" s="4"/>
      <c r="BH374" s="4"/>
      <c r="BI374" s="4"/>
      <c r="BJ374" s="4"/>
      <c r="BK374" s="4"/>
      <c r="BL374" s="4"/>
      <c r="BM374" s="4"/>
      <c r="BN374" s="4"/>
      <c r="BO374" s="4"/>
      <c r="BP374" s="4"/>
      <c r="BQ374" s="4"/>
      <c r="BR374" s="4"/>
      <c r="BS374" s="4"/>
      <c r="BT374" s="4"/>
      <c r="BU374" s="4"/>
      <c r="BV374" s="4"/>
      <c r="BW374" s="4"/>
      <c r="BX374" s="4"/>
      <c r="BY374" s="4"/>
      <c r="BZ374" s="4"/>
      <c r="CA374" s="4"/>
      <c r="CB374" s="4"/>
      <c r="CC374" s="4"/>
      <c r="CD374" s="4"/>
      <c r="CE374" s="4"/>
      <c r="CF374" s="4"/>
      <c r="CG374" s="4"/>
      <c r="CH374" s="4"/>
      <c r="CI374" s="4"/>
    </row>
    <row r="375" ht="14.25" customHeight="1" spans="1:87" x14ac:dyDescent="0.25">
      <c r="A375" s="4"/>
      <c r="B375" s="4"/>
      <c r="C375" s="4"/>
      <c r="D375" s="4"/>
      <c r="E375" s="4"/>
      <c r="F375" s="4"/>
      <c r="G375" s="4"/>
      <c r="H375" s="4"/>
      <c r="I375" s="4"/>
      <c r="J375" s="4"/>
      <c r="K375" s="242"/>
      <c r="L375" s="4"/>
      <c r="M375" s="4"/>
      <c r="N375" s="4"/>
      <c r="O375" s="4"/>
      <c r="P375" s="4"/>
      <c r="Q375" s="4"/>
      <c r="R375" s="4"/>
      <c r="S375" s="4"/>
      <c r="T375" s="4"/>
      <c r="U375" s="4"/>
      <c r="V375" s="4"/>
      <c r="W375" s="4"/>
      <c r="X375" s="4"/>
      <c r="Y375" s="4"/>
      <c r="Z375" s="4"/>
      <c r="AA375" s="4"/>
      <c r="AB375" s="4"/>
      <c r="AC375" s="4"/>
      <c r="AD375" s="4"/>
      <c r="AE375" s="4"/>
      <c r="AF375" s="4"/>
      <c r="AG375" s="4"/>
      <c r="AH375" s="4"/>
      <c r="AI375" s="4"/>
      <c r="AJ375" s="4"/>
      <c r="AK375" s="4"/>
      <c r="AL375" s="4"/>
      <c r="AM375" s="4"/>
      <c r="AN375" s="4"/>
      <c r="AO375" s="4"/>
      <c r="AP375" s="4"/>
      <c r="AQ375" s="4"/>
      <c r="AR375" s="4"/>
      <c r="AS375" s="4"/>
      <c r="AT375" s="4"/>
      <c r="AU375" s="4"/>
      <c r="AV375" s="4"/>
      <c r="AW375" s="4"/>
      <c r="AX375" s="4"/>
      <c r="AY375" s="4"/>
      <c r="AZ375" s="4"/>
      <c r="BA375" s="4"/>
      <c r="BB375" s="4"/>
      <c r="BC375" s="4"/>
      <c r="BD375" s="4"/>
      <c r="BE375" s="4"/>
      <c r="BF375" s="4"/>
      <c r="BG375" s="4"/>
      <c r="BH375" s="4"/>
      <c r="BI375" s="4"/>
      <c r="BJ375" s="4"/>
      <c r="BK375" s="4"/>
      <c r="BL375" s="4"/>
      <c r="BM375" s="4"/>
      <c r="BN375" s="4"/>
      <c r="BO375" s="4"/>
      <c r="BP375" s="4"/>
      <c r="BQ375" s="4"/>
      <c r="BR375" s="4"/>
      <c r="BS375" s="4"/>
      <c r="BT375" s="4"/>
      <c r="BU375" s="4"/>
      <c r="BV375" s="4"/>
      <c r="BW375" s="4"/>
      <c r="BX375" s="4"/>
      <c r="BY375" s="4"/>
      <c r="BZ375" s="4"/>
      <c r="CA375" s="4"/>
      <c r="CB375" s="4"/>
      <c r="CC375" s="4"/>
      <c r="CD375" s="4"/>
      <c r="CE375" s="4"/>
      <c r="CF375" s="4"/>
      <c r="CG375" s="4"/>
      <c r="CH375" s="4"/>
      <c r="CI375" s="4"/>
    </row>
    <row r="376" ht="14.25" customHeight="1" spans="1:87" x14ac:dyDescent="0.25">
      <c r="A376" s="4"/>
      <c r="B376" s="4"/>
      <c r="C376" s="4"/>
      <c r="D376" s="4"/>
      <c r="E376" s="4"/>
      <c r="F376" s="4"/>
      <c r="G376" s="4"/>
      <c r="H376" s="4"/>
      <c r="I376" s="4"/>
      <c r="J376" s="4"/>
      <c r="K376" s="242"/>
      <c r="L376" s="4"/>
      <c r="M376" s="4"/>
      <c r="N376" s="4"/>
      <c r="O376" s="4"/>
      <c r="P376" s="4"/>
      <c r="Q376" s="4"/>
      <c r="R376" s="4"/>
      <c r="S376" s="4"/>
      <c r="T376" s="4"/>
      <c r="U376" s="4"/>
      <c r="V376" s="4"/>
      <c r="W376" s="4"/>
      <c r="X376" s="4"/>
      <c r="Y376" s="4"/>
      <c r="Z376" s="4"/>
      <c r="AA376" s="4"/>
      <c r="AB376" s="4"/>
      <c r="AC376" s="4"/>
      <c r="AD376" s="4"/>
      <c r="AE376" s="4"/>
      <c r="AF376" s="4"/>
      <c r="AG376" s="4"/>
      <c r="AH376" s="4"/>
      <c r="AI376" s="4"/>
      <c r="AJ376" s="4"/>
      <c r="AK376" s="4"/>
      <c r="AL376" s="4"/>
      <c r="AM376" s="4"/>
      <c r="AN376" s="4"/>
      <c r="AO376" s="4"/>
      <c r="AP376" s="4"/>
      <c r="AQ376" s="4"/>
      <c r="AR376" s="4"/>
      <c r="AS376" s="4"/>
      <c r="AT376" s="4"/>
      <c r="AU376" s="4"/>
      <c r="AV376" s="4"/>
      <c r="AW376" s="4"/>
      <c r="AX376" s="4"/>
      <c r="AY376" s="4"/>
      <c r="AZ376" s="4"/>
      <c r="BA376" s="4"/>
      <c r="BB376" s="4"/>
      <c r="BC376" s="4"/>
      <c r="BD376" s="4"/>
      <c r="BE376" s="4"/>
      <c r="BF376" s="4"/>
      <c r="BG376" s="4"/>
      <c r="BH376" s="4"/>
      <c r="BI376" s="4"/>
      <c r="BJ376" s="4"/>
      <c r="BK376" s="4"/>
      <c r="BL376" s="4"/>
      <c r="BM376" s="4"/>
      <c r="BN376" s="4"/>
      <c r="BO376" s="4"/>
      <c r="BP376" s="4"/>
      <c r="BQ376" s="4"/>
      <c r="BR376" s="4"/>
      <c r="BS376" s="4"/>
      <c r="BT376" s="4"/>
      <c r="BU376" s="4"/>
      <c r="BV376" s="4"/>
      <c r="BW376" s="4"/>
      <c r="BX376" s="4"/>
      <c r="BY376" s="4"/>
      <c r="BZ376" s="4"/>
      <c r="CA376" s="4"/>
      <c r="CB376" s="4"/>
      <c r="CC376" s="4"/>
      <c r="CD376" s="4"/>
      <c r="CE376" s="4"/>
      <c r="CF376" s="4"/>
      <c r="CG376" s="4"/>
      <c r="CH376" s="4"/>
      <c r="CI376" s="4"/>
    </row>
    <row r="377" ht="14.25" customHeight="1" spans="1:87" x14ac:dyDescent="0.25">
      <c r="A377" s="4"/>
      <c r="B377" s="4"/>
      <c r="C377" s="4"/>
      <c r="D377" s="4"/>
      <c r="E377" s="4"/>
      <c r="F377" s="4"/>
      <c r="G377" s="4"/>
      <c r="H377" s="4"/>
      <c r="I377" s="4"/>
      <c r="J377" s="4"/>
      <c r="K377" s="242"/>
      <c r="L377" s="4"/>
      <c r="M377" s="4"/>
      <c r="N377" s="4"/>
      <c r="O377" s="4"/>
      <c r="P377" s="4"/>
      <c r="Q377" s="4"/>
      <c r="R377" s="4"/>
      <c r="S377" s="4"/>
      <c r="T377" s="4"/>
      <c r="U377" s="4"/>
      <c r="V377" s="4"/>
      <c r="W377" s="4"/>
      <c r="X377" s="4"/>
      <c r="Y377" s="4"/>
      <c r="Z377" s="4"/>
      <c r="AA377" s="4"/>
      <c r="AB377" s="4"/>
      <c r="AC377" s="4"/>
      <c r="AD377" s="4"/>
      <c r="AE377" s="4"/>
      <c r="AF377" s="4"/>
      <c r="AG377" s="4"/>
      <c r="AH377" s="4"/>
      <c r="AI377" s="4"/>
      <c r="AJ377" s="4"/>
      <c r="AK377" s="4"/>
      <c r="AL377" s="4"/>
      <c r="AM377" s="4"/>
      <c r="AN377" s="4"/>
      <c r="AO377" s="4"/>
      <c r="AP377" s="4"/>
      <c r="AQ377" s="4"/>
      <c r="AR377" s="4"/>
      <c r="AS377" s="4"/>
      <c r="AT377" s="4"/>
      <c r="AU377" s="4"/>
      <c r="AV377" s="4"/>
      <c r="AW377" s="4"/>
      <c r="AX377" s="4"/>
      <c r="AY377" s="4"/>
      <c r="AZ377" s="4"/>
      <c r="BA377" s="4"/>
      <c r="BB377" s="4"/>
      <c r="BC377" s="4"/>
      <c r="BD377" s="4"/>
      <c r="BE377" s="4"/>
      <c r="BF377" s="4"/>
      <c r="BG377" s="4"/>
      <c r="BH377" s="4"/>
      <c r="BI377" s="4"/>
      <c r="BJ377" s="4"/>
      <c r="BK377" s="4"/>
      <c r="BL377" s="4"/>
      <c r="BM377" s="4"/>
      <c r="BN377" s="4"/>
      <c r="BO377" s="4"/>
      <c r="BP377" s="4"/>
      <c r="BQ377" s="4"/>
      <c r="BR377" s="4"/>
      <c r="BS377" s="4"/>
      <c r="BT377" s="4"/>
      <c r="BU377" s="4"/>
      <c r="BV377" s="4"/>
      <c r="BW377" s="4"/>
      <c r="BX377" s="4"/>
      <c r="BY377" s="4"/>
      <c r="BZ377" s="4"/>
      <c r="CA377" s="4"/>
      <c r="CB377" s="4"/>
      <c r="CC377" s="4"/>
      <c r="CD377" s="4"/>
      <c r="CE377" s="4"/>
      <c r="CF377" s="4"/>
      <c r="CG377" s="4"/>
      <c r="CH377" s="4"/>
      <c r="CI377" s="4"/>
    </row>
    <row r="378" ht="14.25" customHeight="1" spans="1:87" x14ac:dyDescent="0.25">
      <c r="A378" s="4"/>
      <c r="B378" s="4"/>
      <c r="C378" s="4"/>
      <c r="D378" s="4"/>
      <c r="E378" s="4"/>
      <c r="F378" s="4"/>
      <c r="G378" s="4"/>
      <c r="H378" s="4"/>
      <c r="I378" s="4"/>
      <c r="J378" s="4"/>
      <c r="K378" s="242"/>
      <c r="L378" s="4"/>
      <c r="M378" s="4"/>
      <c r="N378" s="4"/>
      <c r="O378" s="4"/>
      <c r="P378" s="4"/>
      <c r="Q378" s="4"/>
      <c r="R378" s="4"/>
      <c r="S378" s="4"/>
      <c r="T378" s="4"/>
      <c r="U378" s="4"/>
      <c r="V378" s="4"/>
      <c r="W378" s="4"/>
      <c r="X378" s="4"/>
      <c r="Y378" s="4"/>
      <c r="Z378" s="4"/>
      <c r="AA378" s="4"/>
      <c r="AB378" s="4"/>
      <c r="AC378" s="4"/>
      <c r="AD378" s="4"/>
      <c r="AE378" s="4"/>
      <c r="AF378" s="4"/>
      <c r="AG378" s="4"/>
      <c r="AH378" s="4"/>
      <c r="AI378" s="4"/>
      <c r="AJ378" s="4"/>
      <c r="AK378" s="4"/>
      <c r="AL378" s="4"/>
      <c r="AM378" s="4"/>
      <c r="AN378" s="4"/>
      <c r="AO378" s="4"/>
      <c r="AP378" s="4"/>
      <c r="AQ378" s="4"/>
      <c r="AR378" s="4"/>
      <c r="AS378" s="4"/>
      <c r="AT378" s="4"/>
      <c r="AU378" s="4"/>
      <c r="AV378" s="4"/>
      <c r="AW378" s="4"/>
      <c r="AX378" s="4"/>
      <c r="AY378" s="4"/>
      <c r="AZ378" s="4"/>
      <c r="BA378" s="4"/>
      <c r="BB378" s="4"/>
      <c r="BC378" s="4"/>
      <c r="BD378" s="4"/>
      <c r="BE378" s="4"/>
      <c r="BF378" s="4"/>
      <c r="BG378" s="4"/>
      <c r="BH378" s="4"/>
      <c r="BI378" s="4"/>
      <c r="BJ378" s="4"/>
      <c r="BK378" s="4"/>
      <c r="BL378" s="4"/>
      <c r="BM378" s="4"/>
      <c r="BN378" s="4"/>
      <c r="BO378" s="4"/>
      <c r="BP378" s="4"/>
      <c r="BQ378" s="4"/>
      <c r="BR378" s="4"/>
      <c r="BS378" s="4"/>
      <c r="BT378" s="4"/>
      <c r="BU378" s="4"/>
      <c r="BV378" s="4"/>
      <c r="BW378" s="4"/>
      <c r="BX378" s="4"/>
      <c r="BY378" s="4"/>
      <c r="BZ378" s="4"/>
      <c r="CA378" s="4"/>
      <c r="CB378" s="4"/>
      <c r="CC378" s="4"/>
      <c r="CD378" s="4"/>
      <c r="CE378" s="4"/>
      <c r="CF378" s="4"/>
      <c r="CG378" s="4"/>
      <c r="CH378" s="4"/>
      <c r="CI378" s="4"/>
    </row>
    <row r="379" ht="14.25" customHeight="1" spans="1:87" x14ac:dyDescent="0.25">
      <c r="A379" s="4"/>
      <c r="B379" s="4"/>
      <c r="C379" s="4"/>
      <c r="D379" s="4"/>
      <c r="E379" s="4"/>
      <c r="F379" s="4"/>
      <c r="G379" s="4"/>
      <c r="H379" s="4"/>
      <c r="I379" s="4"/>
      <c r="J379" s="4"/>
      <c r="K379" s="242"/>
      <c r="L379" s="4"/>
      <c r="M379" s="4"/>
      <c r="N379" s="4"/>
      <c r="O379" s="4"/>
      <c r="P379" s="4"/>
      <c r="Q379" s="4"/>
      <c r="R379" s="4"/>
      <c r="S379" s="4"/>
      <c r="T379" s="4"/>
      <c r="U379" s="4"/>
      <c r="V379" s="4"/>
      <c r="W379" s="4"/>
      <c r="X379" s="4"/>
      <c r="Y379" s="4"/>
      <c r="Z379" s="4"/>
      <c r="AA379" s="4"/>
      <c r="AB379" s="4"/>
      <c r="AC379" s="4"/>
      <c r="AD379" s="4"/>
      <c r="AE379" s="4"/>
      <c r="AF379" s="4"/>
      <c r="AG379" s="4"/>
      <c r="AH379" s="4"/>
      <c r="AI379" s="4"/>
      <c r="AJ379" s="4"/>
      <c r="AK379" s="4"/>
      <c r="AL379" s="4"/>
      <c r="AM379" s="4"/>
      <c r="AN379" s="4"/>
      <c r="AO379" s="4"/>
      <c r="AP379" s="4"/>
      <c r="AQ379" s="4"/>
      <c r="AR379" s="4"/>
      <c r="AS379" s="4"/>
      <c r="AT379" s="4"/>
      <c r="AU379" s="4"/>
      <c r="AV379" s="4"/>
      <c r="AW379" s="4"/>
      <c r="AX379" s="4"/>
      <c r="AY379" s="4"/>
      <c r="AZ379" s="4"/>
      <c r="BA379" s="4"/>
      <c r="BB379" s="4"/>
      <c r="BC379" s="4"/>
      <c r="BD379" s="4"/>
      <c r="BE379" s="4"/>
      <c r="BF379" s="4"/>
      <c r="BG379" s="4"/>
      <c r="BH379" s="4"/>
      <c r="BI379" s="4"/>
      <c r="BJ379" s="4"/>
      <c r="BK379" s="4"/>
      <c r="BL379" s="4"/>
      <c r="BM379" s="4"/>
      <c r="BN379" s="4"/>
      <c r="BO379" s="4"/>
      <c r="BP379" s="4"/>
      <c r="BQ379" s="4"/>
      <c r="BR379" s="4"/>
      <c r="BS379" s="4"/>
      <c r="BT379" s="4"/>
      <c r="BU379" s="4"/>
      <c r="BV379" s="4"/>
      <c r="BW379" s="4"/>
      <c r="BX379" s="4"/>
      <c r="BY379" s="4"/>
      <c r="BZ379" s="4"/>
      <c r="CA379" s="4"/>
      <c r="CB379" s="4"/>
      <c r="CC379" s="4"/>
      <c r="CD379" s="4"/>
      <c r="CE379" s="4"/>
      <c r="CF379" s="4"/>
      <c r="CG379" s="4"/>
      <c r="CH379" s="4"/>
      <c r="CI379" s="4"/>
    </row>
    <row r="380" ht="14.25" customHeight="1" spans="1:87" x14ac:dyDescent="0.25">
      <c r="A380" s="4"/>
      <c r="B380" s="4"/>
      <c r="C380" s="4"/>
      <c r="D380" s="4"/>
      <c r="E380" s="4"/>
      <c r="F380" s="4"/>
      <c r="G380" s="4"/>
      <c r="H380" s="4"/>
      <c r="I380" s="4"/>
      <c r="J380" s="4"/>
      <c r="K380" s="242"/>
      <c r="L380" s="4"/>
      <c r="M380" s="4"/>
      <c r="N380" s="4"/>
      <c r="O380" s="4"/>
      <c r="P380" s="4"/>
      <c r="Q380" s="4"/>
      <c r="R380" s="4"/>
      <c r="S380" s="4"/>
      <c r="T380" s="4"/>
      <c r="U380" s="4"/>
      <c r="V380" s="4"/>
      <c r="W380" s="4"/>
      <c r="X380" s="4"/>
      <c r="Y380" s="4"/>
      <c r="Z380" s="4"/>
      <c r="AA380" s="4"/>
      <c r="AB380" s="4"/>
      <c r="AC380" s="4"/>
      <c r="AD380" s="4"/>
      <c r="AE380" s="4"/>
      <c r="AF380" s="4"/>
      <c r="AG380" s="4"/>
      <c r="AH380" s="4"/>
      <c r="AI380" s="4"/>
      <c r="AJ380" s="4"/>
      <c r="AK380" s="4"/>
      <c r="AL380" s="4"/>
      <c r="AM380" s="4"/>
      <c r="AN380" s="4"/>
      <c r="AO380" s="4"/>
      <c r="AP380" s="4"/>
      <c r="AQ380" s="4"/>
      <c r="AR380" s="4"/>
      <c r="AS380" s="4"/>
      <c r="AT380" s="4"/>
      <c r="AU380" s="4"/>
      <c r="AV380" s="4"/>
      <c r="AW380" s="4"/>
      <c r="AX380" s="4"/>
      <c r="AY380" s="4"/>
      <c r="AZ380" s="4"/>
      <c r="BA380" s="4"/>
      <c r="BB380" s="4"/>
      <c r="BC380" s="4"/>
      <c r="BD380" s="4"/>
      <c r="BE380" s="4"/>
      <c r="BF380" s="4"/>
      <c r="BG380" s="4"/>
      <c r="BH380" s="4"/>
      <c r="BI380" s="4"/>
      <c r="BJ380" s="4"/>
      <c r="BK380" s="4"/>
      <c r="BL380" s="4"/>
      <c r="BM380" s="4"/>
      <c r="BN380" s="4"/>
      <c r="BO380" s="4"/>
      <c r="BP380" s="4"/>
      <c r="BQ380" s="4"/>
      <c r="BR380" s="4"/>
      <c r="BS380" s="4"/>
      <c r="BT380" s="4"/>
      <c r="BU380" s="4"/>
      <c r="BV380" s="4"/>
      <c r="BW380" s="4"/>
      <c r="BX380" s="4"/>
      <c r="BY380" s="4"/>
      <c r="BZ380" s="4"/>
      <c r="CA380" s="4"/>
      <c r="CB380" s="4"/>
      <c r="CC380" s="4"/>
      <c r="CD380" s="4"/>
      <c r="CE380" s="4"/>
      <c r="CF380" s="4"/>
      <c r="CG380" s="4"/>
      <c r="CH380" s="4"/>
      <c r="CI380" s="4"/>
    </row>
    <row r="381" ht="14.25" customHeight="1" spans="1:87" x14ac:dyDescent="0.25">
      <c r="A381" s="4"/>
      <c r="B381" s="4"/>
      <c r="C381" s="4"/>
      <c r="D381" s="4"/>
      <c r="E381" s="4"/>
      <c r="F381" s="4"/>
      <c r="G381" s="4"/>
      <c r="H381" s="4"/>
      <c r="I381" s="4"/>
      <c r="J381" s="4"/>
      <c r="K381" s="242"/>
      <c r="L381" s="4"/>
      <c r="M381" s="4"/>
      <c r="N381" s="4"/>
      <c r="O381" s="4"/>
      <c r="P381" s="4"/>
      <c r="Q381" s="4"/>
      <c r="R381" s="4"/>
      <c r="S381" s="4"/>
      <c r="T381" s="4"/>
      <c r="U381" s="4"/>
      <c r="V381" s="4"/>
      <c r="W381" s="4"/>
      <c r="X381" s="4"/>
      <c r="Y381" s="4"/>
      <c r="Z381" s="4"/>
      <c r="AA381" s="4"/>
      <c r="AB381" s="4"/>
      <c r="AC381" s="4"/>
      <c r="AD381" s="4"/>
      <c r="AE381" s="4"/>
      <c r="AF381" s="4"/>
      <c r="AG381" s="4"/>
      <c r="AH381" s="4"/>
      <c r="AI381" s="4"/>
      <c r="AJ381" s="4"/>
      <c r="AK381" s="4"/>
      <c r="AL381" s="4"/>
      <c r="AM381" s="4"/>
      <c r="AN381" s="4"/>
      <c r="AO381" s="4"/>
      <c r="AP381" s="4"/>
      <c r="AQ381" s="4"/>
      <c r="AR381" s="4"/>
      <c r="AS381" s="4"/>
      <c r="AT381" s="4"/>
      <c r="AU381" s="4"/>
      <c r="AV381" s="4"/>
      <c r="AW381" s="4"/>
      <c r="AX381" s="4"/>
      <c r="AY381" s="4"/>
      <c r="AZ381" s="4"/>
      <c r="BA381" s="4"/>
      <c r="BB381" s="4"/>
      <c r="BC381" s="4"/>
      <c r="BD381" s="4"/>
      <c r="BE381" s="4"/>
      <c r="BF381" s="4"/>
      <c r="BG381" s="4"/>
      <c r="BH381" s="4"/>
      <c r="BI381" s="4"/>
      <c r="BJ381" s="4"/>
      <c r="BK381" s="4"/>
      <c r="BL381" s="4"/>
      <c r="BM381" s="4"/>
      <c r="BN381" s="4"/>
      <c r="BO381" s="4"/>
      <c r="BP381" s="4"/>
      <c r="BQ381" s="4"/>
      <c r="BR381" s="4"/>
      <c r="BS381" s="4"/>
      <c r="BT381" s="4"/>
      <c r="BU381" s="4"/>
      <c r="BV381" s="4"/>
      <c r="BW381" s="4"/>
      <c r="BX381" s="4"/>
      <c r="BY381" s="4"/>
      <c r="BZ381" s="4"/>
      <c r="CA381" s="4"/>
      <c r="CB381" s="4"/>
      <c r="CC381" s="4"/>
      <c r="CD381" s="4"/>
      <c r="CE381" s="4"/>
      <c r="CF381" s="4"/>
      <c r="CG381" s="4"/>
      <c r="CH381" s="4"/>
      <c r="CI381" s="4"/>
    </row>
    <row r="382" ht="14.25" customHeight="1" spans="1:87" x14ac:dyDescent="0.25">
      <c r="A382" s="4"/>
      <c r="B382" s="4"/>
      <c r="C382" s="4"/>
      <c r="D382" s="4"/>
      <c r="E382" s="4"/>
      <c r="F382" s="4"/>
      <c r="G382" s="4"/>
      <c r="H382" s="4"/>
      <c r="I382" s="4"/>
      <c r="J382" s="4"/>
      <c r="K382" s="242"/>
      <c r="L382" s="4"/>
      <c r="M382" s="4"/>
      <c r="N382" s="4"/>
      <c r="O382" s="4"/>
      <c r="P382" s="4"/>
      <c r="Q382" s="4"/>
      <c r="R382" s="4"/>
      <c r="S382" s="4"/>
      <c r="T382" s="4"/>
      <c r="U382" s="4"/>
      <c r="V382" s="4"/>
      <c r="W382" s="4"/>
      <c r="X382" s="4"/>
      <c r="Y382" s="4"/>
      <c r="Z382" s="4"/>
      <c r="AA382" s="4"/>
      <c r="AB382" s="4"/>
      <c r="AC382" s="4"/>
      <c r="AD382" s="4"/>
      <c r="AE382" s="4"/>
      <c r="AF382" s="4"/>
      <c r="AG382" s="4"/>
      <c r="AH382" s="4"/>
      <c r="AI382" s="4"/>
      <c r="AJ382" s="4"/>
      <c r="AK382" s="4"/>
      <c r="AL382" s="4"/>
      <c r="AM382" s="4"/>
      <c r="AN382" s="4"/>
      <c r="AO382" s="4"/>
      <c r="AP382" s="4"/>
      <c r="AQ382" s="4"/>
      <c r="AR382" s="4"/>
      <c r="AS382" s="4"/>
      <c r="AT382" s="4"/>
      <c r="AU382" s="4"/>
      <c r="AV382" s="4"/>
      <c r="AW382" s="4"/>
      <c r="AX382" s="4"/>
      <c r="AY382" s="4"/>
      <c r="AZ382" s="4"/>
      <c r="BA382" s="4"/>
      <c r="BB382" s="4"/>
      <c r="BC382" s="4"/>
      <c r="BD382" s="4"/>
      <c r="BE382" s="4"/>
      <c r="BF382" s="4"/>
      <c r="BG382" s="4"/>
      <c r="BH382" s="4"/>
      <c r="BI382" s="4"/>
      <c r="BJ382" s="4"/>
      <c r="BK382" s="4"/>
      <c r="BL382" s="4"/>
      <c r="BM382" s="4"/>
      <c r="BN382" s="4"/>
      <c r="BO382" s="4"/>
      <c r="BP382" s="4"/>
      <c r="BQ382" s="4"/>
      <c r="BR382" s="4"/>
      <c r="BS382" s="4"/>
      <c r="BT382" s="4"/>
      <c r="BU382" s="4"/>
      <c r="BV382" s="4"/>
      <c r="BW382" s="4"/>
      <c r="BX382" s="4"/>
      <c r="BY382" s="4"/>
      <c r="BZ382" s="4"/>
      <c r="CA382" s="4"/>
      <c r="CB382" s="4"/>
      <c r="CC382" s="4"/>
      <c r="CD382" s="4"/>
      <c r="CE382" s="4"/>
      <c r="CF382" s="4"/>
      <c r="CG382" s="4"/>
      <c r="CH382" s="4"/>
      <c r="CI382" s="4"/>
    </row>
    <row r="383" ht="14.25" customHeight="1" spans="1:87" x14ac:dyDescent="0.25">
      <c r="A383" s="4"/>
      <c r="B383" s="4"/>
      <c r="C383" s="4"/>
      <c r="D383" s="4"/>
      <c r="E383" s="4"/>
      <c r="F383" s="4"/>
      <c r="G383" s="4"/>
      <c r="H383" s="4"/>
      <c r="I383" s="4"/>
      <c r="J383" s="4"/>
      <c r="K383" s="242"/>
      <c r="L383" s="4"/>
      <c r="M383" s="4"/>
      <c r="N383" s="4"/>
      <c r="O383" s="4"/>
      <c r="P383" s="4"/>
      <c r="Q383" s="4"/>
      <c r="R383" s="4"/>
      <c r="S383" s="4"/>
      <c r="T383" s="4"/>
      <c r="U383" s="4"/>
      <c r="V383" s="4"/>
      <c r="W383" s="4"/>
      <c r="X383" s="4"/>
      <c r="Y383" s="4"/>
      <c r="Z383" s="4"/>
      <c r="AA383" s="4"/>
      <c r="AB383" s="4"/>
      <c r="AC383" s="4"/>
      <c r="AD383" s="4"/>
      <c r="AE383" s="4"/>
      <c r="AF383" s="4"/>
      <c r="AG383" s="4"/>
      <c r="AH383" s="4"/>
      <c r="AI383" s="4"/>
      <c r="AJ383" s="4"/>
      <c r="AK383" s="4"/>
      <c r="AL383" s="4"/>
      <c r="AM383" s="4"/>
      <c r="AN383" s="4"/>
      <c r="AO383" s="4"/>
      <c r="AP383" s="4"/>
      <c r="AQ383" s="4"/>
      <c r="AR383" s="4"/>
      <c r="AS383" s="4"/>
      <c r="AT383" s="4"/>
      <c r="AU383" s="4"/>
      <c r="AV383" s="4"/>
      <c r="AW383" s="4"/>
      <c r="AX383" s="4"/>
      <c r="AY383" s="4"/>
      <c r="AZ383" s="4"/>
      <c r="BA383" s="4"/>
      <c r="BB383" s="4"/>
      <c r="BC383" s="4"/>
      <c r="BD383" s="4"/>
      <c r="BE383" s="4"/>
      <c r="BF383" s="4"/>
      <c r="BG383" s="4"/>
      <c r="BH383" s="4"/>
      <c r="BI383" s="4"/>
      <c r="BJ383" s="4"/>
      <c r="BK383" s="4"/>
      <c r="BL383" s="4"/>
      <c r="BM383" s="4"/>
      <c r="BN383" s="4"/>
      <c r="BO383" s="4"/>
      <c r="BP383" s="4"/>
      <c r="BQ383" s="4"/>
      <c r="BR383" s="4"/>
      <c r="BS383" s="4"/>
      <c r="BT383" s="4"/>
      <c r="BU383" s="4"/>
      <c r="BV383" s="4"/>
      <c r="BW383" s="4"/>
      <c r="BX383" s="4"/>
      <c r="BY383" s="4"/>
      <c r="BZ383" s="4"/>
      <c r="CA383" s="4"/>
      <c r="CB383" s="4"/>
      <c r="CC383" s="4"/>
      <c r="CD383" s="4"/>
      <c r="CE383" s="4"/>
      <c r="CF383" s="4"/>
      <c r="CG383" s="4"/>
      <c r="CH383" s="4"/>
      <c r="CI383" s="4"/>
    </row>
    <row r="384" ht="14.25" customHeight="1" spans="1:87" x14ac:dyDescent="0.25">
      <c r="A384" s="4"/>
      <c r="B384" s="4"/>
      <c r="C384" s="4"/>
      <c r="D384" s="4"/>
      <c r="E384" s="4"/>
      <c r="F384" s="4"/>
      <c r="G384" s="4"/>
      <c r="H384" s="4"/>
      <c r="I384" s="4"/>
      <c r="J384" s="4"/>
      <c r="K384" s="242"/>
      <c r="L384" s="4"/>
      <c r="M384" s="4"/>
      <c r="N384" s="4"/>
      <c r="O384" s="4"/>
      <c r="P384" s="4"/>
      <c r="Q384" s="4"/>
      <c r="R384" s="4"/>
      <c r="S384" s="4"/>
      <c r="T384" s="4"/>
      <c r="U384" s="4"/>
      <c r="V384" s="4"/>
      <c r="W384" s="4"/>
      <c r="X384" s="4"/>
      <c r="Y384" s="4"/>
      <c r="Z384" s="4"/>
      <c r="AA384" s="4"/>
      <c r="AB384" s="4"/>
      <c r="AC384" s="4"/>
      <c r="AD384" s="4"/>
      <c r="AE384" s="4"/>
      <c r="AF384" s="4"/>
      <c r="AG384" s="4"/>
      <c r="AH384" s="4"/>
      <c r="AI384" s="4"/>
      <c r="AJ384" s="4"/>
      <c r="AK384" s="4"/>
      <c r="AL384" s="4"/>
      <c r="AM384" s="4"/>
      <c r="AN384" s="4"/>
      <c r="AO384" s="4"/>
      <c r="AP384" s="4"/>
      <c r="AQ384" s="4"/>
      <c r="AR384" s="4"/>
      <c r="AS384" s="4"/>
      <c r="AT384" s="4"/>
      <c r="AU384" s="4"/>
      <c r="AV384" s="4"/>
      <c r="AW384" s="4"/>
      <c r="AX384" s="4"/>
      <c r="AY384" s="4"/>
      <c r="AZ384" s="4"/>
      <c r="BA384" s="4"/>
      <c r="BB384" s="4"/>
      <c r="BC384" s="4"/>
      <c r="BD384" s="4"/>
      <c r="BE384" s="4"/>
      <c r="BF384" s="4"/>
      <c r="BG384" s="4"/>
      <c r="BH384" s="4"/>
      <c r="BI384" s="4"/>
      <c r="BJ384" s="4"/>
      <c r="BK384" s="4"/>
      <c r="BL384" s="4"/>
      <c r="BM384" s="4"/>
      <c r="BN384" s="4"/>
      <c r="BO384" s="4"/>
      <c r="BP384" s="4"/>
      <c r="BQ384" s="4"/>
      <c r="BR384" s="4"/>
      <c r="BS384" s="4"/>
      <c r="BT384" s="4"/>
      <c r="BU384" s="4"/>
      <c r="BV384" s="4"/>
      <c r="BW384" s="4"/>
      <c r="BX384" s="4"/>
      <c r="BY384" s="4"/>
      <c r="BZ384" s="4"/>
      <c r="CA384" s="4"/>
      <c r="CB384" s="4"/>
      <c r="CC384" s="4"/>
      <c r="CD384" s="4"/>
      <c r="CE384" s="4"/>
      <c r="CF384" s="4"/>
      <c r="CG384" s="4"/>
      <c r="CH384" s="4"/>
      <c r="CI384" s="4"/>
    </row>
    <row r="385" ht="14.25" customHeight="1" spans="1:87" x14ac:dyDescent="0.25">
      <c r="A385" s="4"/>
      <c r="B385" s="4"/>
      <c r="C385" s="4"/>
      <c r="D385" s="4"/>
      <c r="E385" s="4"/>
      <c r="F385" s="4"/>
      <c r="G385" s="4"/>
      <c r="H385" s="4"/>
      <c r="I385" s="4"/>
      <c r="J385" s="4"/>
      <c r="K385" s="242"/>
      <c r="L385" s="4"/>
      <c r="M385" s="4"/>
      <c r="N385" s="4"/>
      <c r="O385" s="4"/>
      <c r="P385" s="4"/>
      <c r="Q385" s="4"/>
      <c r="R385" s="4"/>
      <c r="S385" s="4"/>
      <c r="T385" s="4"/>
      <c r="U385" s="4"/>
      <c r="V385" s="4"/>
      <c r="W385" s="4"/>
      <c r="X385" s="4"/>
      <c r="Y385" s="4"/>
      <c r="Z385" s="4"/>
      <c r="AA385" s="4"/>
      <c r="AB385" s="4"/>
      <c r="AC385" s="4"/>
      <c r="AD385" s="4"/>
      <c r="AE385" s="4"/>
      <c r="AF385" s="4"/>
      <c r="AG385" s="4"/>
      <c r="AH385" s="4"/>
      <c r="AI385" s="4"/>
      <c r="AJ385" s="4"/>
      <c r="AK385" s="4"/>
      <c r="AL385" s="4"/>
      <c r="AM385" s="4"/>
      <c r="AN385" s="4"/>
      <c r="AO385" s="4"/>
      <c r="AP385" s="4"/>
      <c r="AQ385" s="4"/>
      <c r="AR385" s="4"/>
      <c r="AS385" s="4"/>
      <c r="AT385" s="4"/>
      <c r="AU385" s="4"/>
      <c r="AV385" s="4"/>
      <c r="AW385" s="4"/>
      <c r="AX385" s="4"/>
      <c r="AY385" s="4"/>
      <c r="AZ385" s="4"/>
      <c r="BA385" s="4"/>
      <c r="BB385" s="4"/>
      <c r="BC385" s="4"/>
      <c r="BD385" s="4"/>
      <c r="BE385" s="4"/>
      <c r="BF385" s="4"/>
      <c r="BG385" s="4"/>
      <c r="BH385" s="4"/>
      <c r="BI385" s="4"/>
      <c r="BJ385" s="4"/>
      <c r="BK385" s="4"/>
      <c r="BL385" s="4"/>
      <c r="BM385" s="4"/>
      <c r="BN385" s="4"/>
      <c r="BO385" s="4"/>
      <c r="BP385" s="4"/>
      <c r="BQ385" s="4"/>
      <c r="BR385" s="4"/>
      <c r="BS385" s="4"/>
      <c r="BT385" s="4"/>
      <c r="BU385" s="4"/>
      <c r="BV385" s="4"/>
      <c r="BW385" s="4"/>
      <c r="BX385" s="4"/>
      <c r="BY385" s="4"/>
      <c r="BZ385" s="4"/>
      <c r="CA385" s="4"/>
      <c r="CB385" s="4"/>
      <c r="CC385" s="4"/>
      <c r="CD385" s="4"/>
      <c r="CE385" s="4"/>
      <c r="CF385" s="4"/>
      <c r="CG385" s="4"/>
      <c r="CH385" s="4"/>
      <c r="CI385" s="4"/>
    </row>
    <row r="386" ht="14.25" customHeight="1" spans="1:87" x14ac:dyDescent="0.25">
      <c r="A386" s="4"/>
      <c r="B386" s="4"/>
      <c r="C386" s="4"/>
      <c r="D386" s="4"/>
      <c r="E386" s="4"/>
      <c r="F386" s="4"/>
      <c r="G386" s="4"/>
      <c r="H386" s="4"/>
      <c r="I386" s="4"/>
      <c r="J386" s="4"/>
      <c r="K386" s="242"/>
      <c r="L386" s="4"/>
      <c r="M386" s="4"/>
      <c r="N386" s="4"/>
      <c r="O386" s="4"/>
      <c r="P386" s="4"/>
      <c r="Q386" s="4"/>
      <c r="R386" s="4"/>
      <c r="S386" s="4"/>
      <c r="T386" s="4"/>
      <c r="U386" s="4"/>
      <c r="V386" s="4"/>
      <c r="W386" s="4"/>
      <c r="X386" s="4"/>
      <c r="Y386" s="4"/>
      <c r="Z386" s="4"/>
      <c r="AA386" s="4"/>
      <c r="AB386" s="4"/>
      <c r="AC386" s="4"/>
      <c r="AD386" s="4"/>
      <c r="AE386" s="4"/>
      <c r="AF386" s="4"/>
      <c r="AG386" s="4"/>
      <c r="AH386" s="4"/>
      <c r="AI386" s="4"/>
      <c r="AJ386" s="4"/>
      <c r="AK386" s="4"/>
      <c r="AL386" s="4"/>
      <c r="AM386" s="4"/>
      <c r="AN386" s="4"/>
      <c r="AO386" s="4"/>
      <c r="AP386" s="4"/>
      <c r="AQ386" s="4"/>
      <c r="AR386" s="4"/>
      <c r="AS386" s="4"/>
      <c r="AT386" s="4"/>
      <c r="AU386" s="4"/>
      <c r="AV386" s="4"/>
      <c r="AW386" s="4"/>
      <c r="AX386" s="4"/>
      <c r="AY386" s="4"/>
      <c r="AZ386" s="4"/>
      <c r="BA386" s="4"/>
      <c r="BB386" s="4"/>
      <c r="BC386" s="4"/>
      <c r="BD386" s="4"/>
      <c r="BE386" s="4"/>
      <c r="BF386" s="4"/>
      <c r="BG386" s="4"/>
      <c r="BH386" s="4"/>
      <c r="BI386" s="4"/>
      <c r="BJ386" s="4"/>
      <c r="BK386" s="4"/>
      <c r="BL386" s="4"/>
      <c r="BM386" s="4"/>
      <c r="BN386" s="4"/>
      <c r="BO386" s="4"/>
      <c r="BP386" s="4"/>
      <c r="BQ386" s="4"/>
      <c r="BR386" s="4"/>
      <c r="BS386" s="4"/>
      <c r="BT386" s="4"/>
      <c r="BU386" s="4"/>
      <c r="BV386" s="4"/>
      <c r="BW386" s="4"/>
      <c r="BX386" s="4"/>
      <c r="BY386" s="4"/>
      <c r="BZ386" s="4"/>
      <c r="CA386" s="4"/>
      <c r="CB386" s="4"/>
      <c r="CC386" s="4"/>
      <c r="CD386" s="4"/>
      <c r="CE386" s="4"/>
      <c r="CF386" s="4"/>
      <c r="CG386" s="4"/>
      <c r="CH386" s="4"/>
      <c r="CI386" s="4"/>
    </row>
    <row r="387" ht="14.25" customHeight="1" spans="1:87" x14ac:dyDescent="0.25">
      <c r="A387" s="4"/>
      <c r="B387" s="4"/>
      <c r="C387" s="4"/>
      <c r="D387" s="4"/>
      <c r="E387" s="4"/>
      <c r="F387" s="4"/>
      <c r="G387" s="4"/>
      <c r="H387" s="4"/>
      <c r="I387" s="4"/>
      <c r="J387" s="4"/>
      <c r="K387" s="242"/>
      <c r="L387" s="4"/>
      <c r="M387" s="4"/>
      <c r="N387" s="4"/>
      <c r="O387" s="4"/>
      <c r="P387" s="4"/>
      <c r="Q387" s="4"/>
      <c r="R387" s="4"/>
      <c r="S387" s="4"/>
      <c r="T387" s="4"/>
      <c r="U387" s="4"/>
      <c r="V387" s="4"/>
      <c r="W387" s="4"/>
      <c r="X387" s="4"/>
      <c r="Y387" s="4"/>
      <c r="Z387" s="4"/>
      <c r="AA387" s="4"/>
      <c r="AB387" s="4"/>
      <c r="AC387" s="4"/>
      <c r="AD387" s="4"/>
      <c r="AE387" s="4"/>
      <c r="AF387" s="4"/>
      <c r="AG387" s="4"/>
      <c r="AH387" s="4"/>
      <c r="AI387" s="4"/>
      <c r="AJ387" s="4"/>
      <c r="AK387" s="4"/>
      <c r="AL387" s="4"/>
      <c r="AM387" s="4"/>
      <c r="AN387" s="4"/>
      <c r="AO387" s="4"/>
      <c r="AP387" s="4"/>
      <c r="AQ387" s="4"/>
      <c r="AR387" s="4"/>
      <c r="AS387" s="4"/>
      <c r="AT387" s="4"/>
      <c r="AU387" s="4"/>
      <c r="AV387" s="4"/>
      <c r="AW387" s="4"/>
      <c r="AX387" s="4"/>
      <c r="AY387" s="4"/>
      <c r="AZ387" s="4"/>
      <c r="BA387" s="4"/>
      <c r="BB387" s="4"/>
      <c r="BC387" s="4"/>
      <c r="BD387" s="4"/>
      <c r="BE387" s="4"/>
      <c r="BF387" s="4"/>
      <c r="BG387" s="4"/>
      <c r="BH387" s="4"/>
      <c r="BI387" s="4"/>
      <c r="BJ387" s="4"/>
      <c r="BK387" s="4"/>
      <c r="BL387" s="4"/>
      <c r="BM387" s="4"/>
      <c r="BN387" s="4"/>
      <c r="BO387" s="4"/>
      <c r="BP387" s="4"/>
      <c r="BQ387" s="4"/>
      <c r="BR387" s="4"/>
      <c r="BS387" s="4"/>
      <c r="BT387" s="4"/>
      <c r="BU387" s="4"/>
      <c r="BV387" s="4"/>
      <c r="BW387" s="4"/>
      <c r="BX387" s="4"/>
      <c r="BY387" s="4"/>
      <c r="BZ387" s="4"/>
      <c r="CA387" s="4"/>
      <c r="CB387" s="4"/>
      <c r="CC387" s="4"/>
      <c r="CD387" s="4"/>
      <c r="CE387" s="4"/>
      <c r="CF387" s="4"/>
      <c r="CG387" s="4"/>
      <c r="CH387" s="4"/>
      <c r="CI387" s="4"/>
    </row>
    <row r="388" ht="14.25" customHeight="1" spans="1:87" x14ac:dyDescent="0.25">
      <c r="A388" s="4"/>
      <c r="B388" s="4"/>
      <c r="C388" s="4"/>
      <c r="D388" s="4"/>
      <c r="E388" s="4"/>
      <c r="F388" s="4"/>
      <c r="G388" s="4"/>
      <c r="H388" s="4"/>
      <c r="I388" s="4"/>
      <c r="J388" s="4"/>
      <c r="K388" s="242"/>
      <c r="L388" s="4"/>
      <c r="M388" s="4"/>
      <c r="N388" s="4"/>
      <c r="O388" s="4"/>
      <c r="P388" s="4"/>
      <c r="Q388" s="4"/>
      <c r="R388" s="4"/>
      <c r="S388" s="4"/>
      <c r="T388" s="4"/>
      <c r="U388" s="4"/>
      <c r="V388" s="4"/>
      <c r="W388" s="4"/>
      <c r="X388" s="4"/>
      <c r="Y388" s="4"/>
      <c r="Z388" s="4"/>
      <c r="AA388" s="4"/>
      <c r="AB388" s="4"/>
      <c r="AC388" s="4"/>
      <c r="AD388" s="4"/>
      <c r="AE388" s="4"/>
      <c r="AF388" s="4"/>
      <c r="AG388" s="4"/>
      <c r="AH388" s="4"/>
      <c r="AI388" s="4"/>
      <c r="AJ388" s="4"/>
      <c r="AK388" s="4"/>
      <c r="AL388" s="4"/>
      <c r="AM388" s="4"/>
      <c r="AN388" s="4"/>
      <c r="AO388" s="4"/>
      <c r="AP388" s="4"/>
      <c r="AQ388" s="4"/>
      <c r="AR388" s="4"/>
      <c r="AS388" s="4"/>
      <c r="AT388" s="4"/>
      <c r="AU388" s="4"/>
      <c r="AV388" s="4"/>
      <c r="AW388" s="4"/>
      <c r="AX388" s="4"/>
      <c r="AY388" s="4"/>
      <c r="AZ388" s="4"/>
      <c r="BA388" s="4"/>
      <c r="BB388" s="4"/>
      <c r="BC388" s="4"/>
      <c r="BD388" s="4"/>
      <c r="BE388" s="4"/>
      <c r="BF388" s="4"/>
      <c r="BG388" s="4"/>
      <c r="BH388" s="4"/>
      <c r="BI388" s="4"/>
      <c r="BJ388" s="4"/>
      <c r="BK388" s="4"/>
      <c r="BL388" s="4"/>
      <c r="BM388" s="4"/>
      <c r="BN388" s="4"/>
      <c r="BO388" s="4"/>
      <c r="BP388" s="4"/>
      <c r="BQ388" s="4"/>
      <c r="BR388" s="4"/>
      <c r="BS388" s="4"/>
      <c r="BT388" s="4"/>
      <c r="BU388" s="4"/>
      <c r="BV388" s="4"/>
      <c r="BW388" s="4"/>
      <c r="BX388" s="4"/>
      <c r="BY388" s="4"/>
      <c r="BZ388" s="4"/>
      <c r="CA388" s="4"/>
      <c r="CB388" s="4"/>
      <c r="CC388" s="4"/>
      <c r="CD388" s="4"/>
      <c r="CE388" s="4"/>
      <c r="CF388" s="4"/>
      <c r="CG388" s="4"/>
      <c r="CH388" s="4"/>
      <c r="CI388" s="4"/>
    </row>
    <row r="389" ht="14.25" customHeight="1" spans="1:87" x14ac:dyDescent="0.25">
      <c r="A389" s="4"/>
      <c r="B389" s="4"/>
      <c r="C389" s="4"/>
      <c r="D389" s="4"/>
      <c r="E389" s="4"/>
      <c r="F389" s="4"/>
      <c r="G389" s="4"/>
      <c r="H389" s="4"/>
      <c r="I389" s="4"/>
      <c r="J389" s="4"/>
      <c r="K389" s="242"/>
      <c r="L389" s="4"/>
      <c r="M389" s="4"/>
      <c r="N389" s="4"/>
      <c r="O389" s="4"/>
      <c r="P389" s="4"/>
      <c r="Q389" s="4"/>
      <c r="R389" s="4"/>
      <c r="S389" s="4"/>
      <c r="T389" s="4"/>
      <c r="U389" s="4"/>
      <c r="V389" s="4"/>
      <c r="W389" s="4"/>
      <c r="X389" s="4"/>
      <c r="Y389" s="4"/>
      <c r="Z389" s="4"/>
      <c r="AA389" s="4"/>
      <c r="AB389" s="4"/>
      <c r="AC389" s="4"/>
      <c r="AD389" s="4"/>
      <c r="AE389" s="4"/>
      <c r="AF389" s="4"/>
      <c r="AG389" s="4"/>
      <c r="AH389" s="4"/>
      <c r="AI389" s="4"/>
      <c r="AJ389" s="4"/>
      <c r="AK389" s="4"/>
      <c r="AL389" s="4"/>
      <c r="AM389" s="4"/>
      <c r="AN389" s="4"/>
      <c r="AO389" s="4"/>
      <c r="AP389" s="4"/>
      <c r="AQ389" s="4"/>
      <c r="AR389" s="4"/>
      <c r="AS389" s="4"/>
      <c r="AT389" s="4"/>
      <c r="AU389" s="4"/>
      <c r="AV389" s="4"/>
      <c r="AW389" s="4"/>
      <c r="AX389" s="4"/>
      <c r="AY389" s="4"/>
      <c r="AZ389" s="4"/>
      <c r="BA389" s="4"/>
      <c r="BB389" s="4"/>
      <c r="BC389" s="4"/>
      <c r="BD389" s="4"/>
      <c r="BE389" s="4"/>
      <c r="BF389" s="4"/>
      <c r="BG389" s="4"/>
      <c r="BH389" s="4"/>
      <c r="BI389" s="4"/>
      <c r="BJ389" s="4"/>
      <c r="BK389" s="4"/>
      <c r="BL389" s="4"/>
      <c r="BM389" s="4"/>
      <c r="BN389" s="4"/>
      <c r="BO389" s="4"/>
      <c r="BP389" s="4"/>
      <c r="BQ389" s="4"/>
      <c r="BR389" s="4"/>
      <c r="BS389" s="4"/>
      <c r="BT389" s="4"/>
      <c r="BU389" s="4"/>
      <c r="BV389" s="4"/>
      <c r="BW389" s="4"/>
      <c r="BX389" s="4"/>
      <c r="BY389" s="4"/>
      <c r="BZ389" s="4"/>
      <c r="CA389" s="4"/>
      <c r="CB389" s="4"/>
      <c r="CC389" s="4"/>
      <c r="CD389" s="4"/>
      <c r="CE389" s="4"/>
      <c r="CF389" s="4"/>
      <c r="CG389" s="4"/>
      <c r="CH389" s="4"/>
      <c r="CI389" s="4"/>
    </row>
    <row r="390" ht="14.25" customHeight="1" spans="1:87" x14ac:dyDescent="0.25">
      <c r="A390" s="4"/>
      <c r="B390" s="4"/>
      <c r="C390" s="4"/>
      <c r="D390" s="4"/>
      <c r="E390" s="4"/>
      <c r="F390" s="4"/>
      <c r="G390" s="4"/>
      <c r="H390" s="4"/>
      <c r="I390" s="4"/>
      <c r="J390" s="4"/>
      <c r="K390" s="242"/>
      <c r="L390" s="4"/>
      <c r="M390" s="4"/>
      <c r="N390" s="4"/>
      <c r="O390" s="4"/>
      <c r="P390" s="4"/>
      <c r="Q390" s="4"/>
      <c r="R390" s="4"/>
      <c r="S390" s="4"/>
      <c r="T390" s="4"/>
      <c r="U390" s="4"/>
      <c r="V390" s="4"/>
      <c r="W390" s="4"/>
      <c r="X390" s="4"/>
      <c r="Y390" s="4"/>
      <c r="Z390" s="4"/>
      <c r="AA390" s="4"/>
      <c r="AB390" s="4"/>
      <c r="AC390" s="4"/>
      <c r="AD390" s="4"/>
      <c r="AE390" s="4"/>
      <c r="AF390" s="4"/>
      <c r="AG390" s="4"/>
      <c r="AH390" s="4"/>
      <c r="AI390" s="4"/>
      <c r="AJ390" s="4"/>
      <c r="AK390" s="4"/>
      <c r="AL390" s="4"/>
      <c r="AM390" s="4"/>
      <c r="AN390" s="4"/>
      <c r="AO390" s="4"/>
      <c r="AP390" s="4"/>
      <c r="AQ390" s="4"/>
      <c r="AR390" s="4"/>
      <c r="AS390" s="4"/>
      <c r="AT390" s="4"/>
      <c r="AU390" s="4"/>
      <c r="AV390" s="4"/>
      <c r="AW390" s="4"/>
      <c r="AX390" s="4"/>
      <c r="AY390" s="4"/>
      <c r="AZ390" s="4"/>
      <c r="BA390" s="4"/>
      <c r="BB390" s="4"/>
      <c r="BC390" s="4"/>
      <c r="BD390" s="4"/>
      <c r="BE390" s="4"/>
      <c r="BF390" s="4"/>
      <c r="BG390" s="4"/>
      <c r="BH390" s="4"/>
      <c r="BI390" s="4"/>
      <c r="BJ390" s="4"/>
      <c r="BK390" s="4"/>
      <c r="BL390" s="4"/>
      <c r="BM390" s="4"/>
      <c r="BN390" s="4"/>
      <c r="BO390" s="4"/>
      <c r="BP390" s="4"/>
      <c r="BQ390" s="4"/>
      <c r="BR390" s="4"/>
      <c r="BS390" s="4"/>
      <c r="BT390" s="4"/>
      <c r="BU390" s="4"/>
      <c r="BV390" s="4"/>
      <c r="BW390" s="4"/>
      <c r="BX390" s="4"/>
      <c r="BY390" s="4"/>
      <c r="BZ390" s="4"/>
      <c r="CA390" s="4"/>
      <c r="CB390" s="4"/>
      <c r="CC390" s="4"/>
      <c r="CD390" s="4"/>
      <c r="CE390" s="4"/>
      <c r="CF390" s="4"/>
      <c r="CG390" s="4"/>
      <c r="CH390" s="4"/>
      <c r="CI390" s="4"/>
    </row>
    <row r="391" ht="14.25" customHeight="1" spans="1:87" x14ac:dyDescent="0.25">
      <c r="A391" s="4"/>
      <c r="B391" s="4"/>
      <c r="C391" s="4"/>
      <c r="D391" s="4"/>
      <c r="E391" s="4"/>
      <c r="F391" s="4"/>
      <c r="G391" s="4"/>
      <c r="H391" s="4"/>
      <c r="I391" s="4"/>
      <c r="J391" s="4"/>
      <c r="K391" s="242"/>
      <c r="L391" s="4"/>
      <c r="M391" s="4"/>
      <c r="N391" s="4"/>
      <c r="O391" s="4"/>
      <c r="P391" s="4"/>
      <c r="Q391" s="4"/>
      <c r="R391" s="4"/>
      <c r="S391" s="4"/>
      <c r="T391" s="4"/>
      <c r="U391" s="4"/>
      <c r="V391" s="4"/>
      <c r="W391" s="4"/>
      <c r="X391" s="4"/>
      <c r="Y391" s="4"/>
      <c r="Z391" s="4"/>
      <c r="AA391" s="4"/>
      <c r="AB391" s="4"/>
      <c r="AC391" s="4"/>
      <c r="AD391" s="4"/>
      <c r="AE391" s="4"/>
      <c r="AF391" s="4"/>
      <c r="AG391" s="4"/>
      <c r="AH391" s="4"/>
      <c r="AI391" s="4"/>
      <c r="AJ391" s="4"/>
      <c r="AK391" s="4"/>
      <c r="AL391" s="4"/>
      <c r="AM391" s="4"/>
      <c r="AN391" s="4"/>
      <c r="AO391" s="4"/>
      <c r="AP391" s="4"/>
      <c r="AQ391" s="4"/>
      <c r="AR391" s="4"/>
      <c r="AS391" s="4"/>
      <c r="AT391" s="4"/>
      <c r="AU391" s="4"/>
      <c r="AV391" s="4"/>
      <c r="AW391" s="4"/>
      <c r="AX391" s="4"/>
      <c r="AY391" s="4"/>
      <c r="AZ391" s="4"/>
      <c r="BA391" s="4"/>
      <c r="BB391" s="4"/>
      <c r="BC391" s="4"/>
      <c r="BD391" s="4"/>
      <c r="BE391" s="4"/>
      <c r="BF391" s="4"/>
      <c r="BG391" s="4"/>
      <c r="BH391" s="4"/>
      <c r="BI391" s="4"/>
      <c r="BJ391" s="4"/>
      <c r="BK391" s="4"/>
      <c r="BL391" s="4"/>
      <c r="BM391" s="4"/>
      <c r="BN391" s="4"/>
      <c r="BO391" s="4"/>
      <c r="BP391" s="4"/>
      <c r="BQ391" s="4"/>
      <c r="BR391" s="4"/>
      <c r="BS391" s="4"/>
      <c r="BT391" s="4"/>
      <c r="BU391" s="4"/>
      <c r="BV391" s="4"/>
      <c r="BW391" s="4"/>
      <c r="BX391" s="4"/>
      <c r="BY391" s="4"/>
      <c r="BZ391" s="4"/>
      <c r="CA391" s="4"/>
      <c r="CB391" s="4"/>
      <c r="CC391" s="4"/>
      <c r="CD391" s="4"/>
      <c r="CE391" s="4"/>
      <c r="CF391" s="4"/>
      <c r="CG391" s="4"/>
      <c r="CH391" s="4"/>
      <c r="CI391" s="4"/>
    </row>
    <row r="392" ht="14.25" customHeight="1" spans="1:87" x14ac:dyDescent="0.25">
      <c r="A392" s="4"/>
      <c r="B392" s="4"/>
      <c r="C392" s="4"/>
      <c r="D392" s="4"/>
      <c r="E392" s="4"/>
      <c r="F392" s="4"/>
      <c r="G392" s="4"/>
      <c r="H392" s="4"/>
      <c r="I392" s="4"/>
      <c r="J392" s="4"/>
      <c r="K392" s="242"/>
      <c r="L392" s="4"/>
      <c r="M392" s="4"/>
      <c r="N392" s="4"/>
      <c r="O392" s="4"/>
      <c r="P392" s="4"/>
      <c r="Q392" s="4"/>
      <c r="R392" s="4"/>
      <c r="S392" s="4"/>
      <c r="T392" s="4"/>
      <c r="U392" s="4"/>
      <c r="V392" s="4"/>
      <c r="W392" s="4"/>
      <c r="X392" s="4"/>
      <c r="Y392" s="4"/>
      <c r="Z392" s="4"/>
      <c r="AA392" s="4"/>
      <c r="AB392" s="4"/>
      <c r="AC392" s="4"/>
      <c r="AD392" s="4"/>
      <c r="AE392" s="4"/>
      <c r="AF392" s="4"/>
      <c r="AG392" s="4"/>
      <c r="AH392" s="4"/>
      <c r="AI392" s="4"/>
      <c r="AJ392" s="4"/>
      <c r="AK392" s="4"/>
      <c r="AL392" s="4"/>
      <c r="AM392" s="4"/>
      <c r="AN392" s="4"/>
      <c r="AO392" s="4"/>
      <c r="AP392" s="4"/>
      <c r="AQ392" s="4"/>
      <c r="AR392" s="4"/>
      <c r="AS392" s="4"/>
      <c r="AT392" s="4"/>
      <c r="AU392" s="4"/>
      <c r="AV392" s="4"/>
      <c r="AW392" s="4"/>
      <c r="AX392" s="4"/>
      <c r="AY392" s="4"/>
      <c r="AZ392" s="4"/>
      <c r="BA392" s="4"/>
      <c r="BB392" s="4"/>
      <c r="BC392" s="4"/>
      <c r="BD392" s="4"/>
      <c r="BE392" s="4"/>
      <c r="BF392" s="4"/>
      <c r="BG392" s="4"/>
      <c r="BH392" s="4"/>
      <c r="BI392" s="4"/>
      <c r="BJ392" s="4"/>
      <c r="BK392" s="4"/>
      <c r="BL392" s="4"/>
      <c r="BM392" s="4"/>
      <c r="BN392" s="4"/>
      <c r="BO392" s="4"/>
      <c r="BP392" s="4"/>
      <c r="BQ392" s="4"/>
      <c r="BR392" s="4"/>
      <c r="BS392" s="4"/>
      <c r="BT392" s="4"/>
      <c r="BU392" s="4"/>
      <c r="BV392" s="4"/>
      <c r="BW392" s="4"/>
      <c r="BX392" s="4"/>
      <c r="BY392" s="4"/>
      <c r="BZ392" s="4"/>
      <c r="CA392" s="4"/>
      <c r="CB392" s="4"/>
      <c r="CC392" s="4"/>
      <c r="CD392" s="4"/>
      <c r="CE392" s="4"/>
      <c r="CF392" s="4"/>
      <c r="CG392" s="4"/>
      <c r="CH392" s="4"/>
      <c r="CI392" s="4"/>
    </row>
    <row r="393" ht="14.25" customHeight="1" spans="1:87" x14ac:dyDescent="0.25">
      <c r="A393" s="4"/>
      <c r="B393" s="4"/>
      <c r="C393" s="4"/>
      <c r="D393" s="4"/>
      <c r="E393" s="4"/>
      <c r="F393" s="4"/>
      <c r="G393" s="4"/>
      <c r="H393" s="4"/>
      <c r="I393" s="4"/>
      <c r="J393" s="4"/>
      <c r="K393" s="242"/>
      <c r="L393" s="4"/>
      <c r="M393" s="4"/>
      <c r="N393" s="4"/>
      <c r="O393" s="4"/>
      <c r="P393" s="4"/>
      <c r="Q393" s="4"/>
      <c r="R393" s="4"/>
      <c r="S393" s="4"/>
      <c r="T393" s="4"/>
      <c r="U393" s="4"/>
      <c r="V393" s="4"/>
      <c r="W393" s="4"/>
      <c r="X393" s="4"/>
      <c r="Y393" s="4"/>
      <c r="Z393" s="4"/>
      <c r="AA393" s="4"/>
      <c r="AB393" s="4"/>
      <c r="AC393" s="4"/>
      <c r="AD393" s="4"/>
      <c r="AE393" s="4"/>
      <c r="AF393" s="4"/>
      <c r="AG393" s="4"/>
      <c r="AH393" s="4"/>
      <c r="AI393" s="4"/>
      <c r="AJ393" s="4"/>
      <c r="AK393" s="4"/>
      <c r="AL393" s="4"/>
      <c r="AM393" s="4"/>
      <c r="AN393" s="4"/>
      <c r="AO393" s="4"/>
      <c r="AP393" s="4"/>
      <c r="AQ393" s="4"/>
      <c r="AR393" s="4"/>
      <c r="AS393" s="4"/>
      <c r="AT393" s="4"/>
      <c r="AU393" s="4"/>
      <c r="AV393" s="4"/>
      <c r="AW393" s="4"/>
      <c r="AX393" s="4"/>
      <c r="AY393" s="4"/>
      <c r="AZ393" s="4"/>
      <c r="BA393" s="4"/>
      <c r="BB393" s="4"/>
      <c r="BC393" s="4"/>
      <c r="BD393" s="4"/>
      <c r="BE393" s="4"/>
      <c r="BF393" s="4"/>
      <c r="BG393" s="4"/>
      <c r="BH393" s="4"/>
      <c r="BI393" s="4"/>
      <c r="BJ393" s="4"/>
      <c r="BK393" s="4"/>
      <c r="BL393" s="4"/>
      <c r="BM393" s="4"/>
      <c r="BN393" s="4"/>
      <c r="BO393" s="4"/>
      <c r="BP393" s="4"/>
      <c r="BQ393" s="4"/>
      <c r="BR393" s="4"/>
      <c r="BS393" s="4"/>
      <c r="BT393" s="4"/>
      <c r="BU393" s="4"/>
      <c r="BV393" s="4"/>
      <c r="BW393" s="4"/>
      <c r="BX393" s="4"/>
      <c r="BY393" s="4"/>
      <c r="BZ393" s="4"/>
      <c r="CA393" s="4"/>
      <c r="CB393" s="4"/>
      <c r="CC393" s="4"/>
      <c r="CD393" s="4"/>
      <c r="CE393" s="4"/>
      <c r="CF393" s="4"/>
      <c r="CG393" s="4"/>
      <c r="CH393" s="4"/>
      <c r="CI393" s="4"/>
    </row>
    <row r="394" ht="14.25" customHeight="1" spans="1:87" x14ac:dyDescent="0.25">
      <c r="A394" s="4"/>
      <c r="B394" s="4"/>
      <c r="C394" s="4"/>
      <c r="D394" s="4"/>
      <c r="E394" s="4"/>
      <c r="F394" s="4"/>
      <c r="G394" s="4"/>
      <c r="H394" s="4"/>
      <c r="I394" s="4"/>
      <c r="J394" s="4"/>
      <c r="K394" s="242"/>
      <c r="L394" s="4"/>
      <c r="M394" s="4"/>
      <c r="N394" s="4"/>
      <c r="O394" s="4"/>
      <c r="P394" s="4"/>
      <c r="Q394" s="4"/>
      <c r="R394" s="4"/>
      <c r="S394" s="4"/>
      <c r="T394" s="4"/>
      <c r="U394" s="4"/>
      <c r="V394" s="4"/>
      <c r="W394" s="4"/>
      <c r="X394" s="4"/>
      <c r="Y394" s="4"/>
      <c r="Z394" s="4"/>
      <c r="AA394" s="4"/>
      <c r="AB394" s="4"/>
      <c r="AC394" s="4"/>
      <c r="AD394" s="4"/>
      <c r="AE394" s="4"/>
      <c r="AF394" s="4"/>
      <c r="AG394" s="4"/>
      <c r="AH394" s="4"/>
      <c r="AI394" s="4"/>
      <c r="AJ394" s="4"/>
      <c r="AK394" s="4"/>
      <c r="AL394" s="4"/>
      <c r="AM394" s="4"/>
      <c r="AN394" s="4"/>
      <c r="AO394" s="4"/>
      <c r="AP394" s="4"/>
      <c r="AQ394" s="4"/>
      <c r="AR394" s="4"/>
      <c r="AS394" s="4"/>
      <c r="AT394" s="4"/>
      <c r="AU394" s="4"/>
      <c r="AV394" s="4"/>
      <c r="AW394" s="4"/>
      <c r="AX394" s="4"/>
      <c r="AY394" s="4"/>
      <c r="AZ394" s="4"/>
      <c r="BA394" s="4"/>
      <c r="BB394" s="4"/>
      <c r="BC394" s="4"/>
      <c r="BD394" s="4"/>
      <c r="BE394" s="4"/>
      <c r="BF394" s="4"/>
      <c r="BG394" s="4"/>
      <c r="BH394" s="4"/>
      <c r="BI394" s="4"/>
      <c r="BJ394" s="4"/>
      <c r="BK394" s="4"/>
      <c r="BL394" s="4"/>
      <c r="BM394" s="4"/>
      <c r="BN394" s="4"/>
      <c r="BO394" s="4"/>
      <c r="BP394" s="4"/>
      <c r="BQ394" s="4"/>
      <c r="BR394" s="4"/>
      <c r="BS394" s="4"/>
      <c r="BT394" s="4"/>
      <c r="BU394" s="4"/>
      <c r="BV394" s="4"/>
      <c r="BW394" s="4"/>
      <c r="BX394" s="4"/>
      <c r="BY394" s="4"/>
      <c r="BZ394" s="4"/>
      <c r="CA394" s="4"/>
      <c r="CB394" s="4"/>
      <c r="CC394" s="4"/>
      <c r="CD394" s="4"/>
      <c r="CE394" s="4"/>
      <c r="CF394" s="4"/>
      <c r="CG394" s="4"/>
      <c r="CH394" s="4"/>
      <c r="CI394" s="4"/>
    </row>
    <row r="395" ht="14.25" customHeight="1" spans="1:87" x14ac:dyDescent="0.25">
      <c r="A395" s="4"/>
      <c r="B395" s="4"/>
      <c r="C395" s="4"/>
      <c r="D395" s="4"/>
      <c r="E395" s="4"/>
      <c r="F395" s="4"/>
      <c r="G395" s="4"/>
      <c r="H395" s="4"/>
      <c r="I395" s="4"/>
      <c r="J395" s="4"/>
      <c r="K395" s="242"/>
      <c r="L395" s="4"/>
      <c r="M395" s="4"/>
      <c r="N395" s="4"/>
      <c r="O395" s="4"/>
      <c r="P395" s="4"/>
      <c r="Q395" s="4"/>
      <c r="R395" s="4"/>
      <c r="S395" s="4"/>
      <c r="T395" s="4"/>
      <c r="U395" s="4"/>
      <c r="V395" s="4"/>
      <c r="W395" s="4"/>
      <c r="X395" s="4"/>
      <c r="Y395" s="4"/>
      <c r="Z395" s="4"/>
      <c r="AA395" s="4"/>
      <c r="AB395" s="4"/>
      <c r="AC395" s="4"/>
      <c r="AD395" s="4"/>
      <c r="AE395" s="4"/>
      <c r="AF395" s="4"/>
      <c r="AG395" s="4"/>
      <c r="AH395" s="4"/>
      <c r="AI395" s="4"/>
      <c r="AJ395" s="4"/>
      <c r="AK395" s="4"/>
      <c r="AL395" s="4"/>
      <c r="AM395" s="4"/>
      <c r="AN395" s="4"/>
      <c r="AO395" s="4"/>
      <c r="AP395" s="4"/>
      <c r="AQ395" s="4"/>
      <c r="AR395" s="4"/>
      <c r="AS395" s="4"/>
      <c r="AT395" s="4"/>
      <c r="AU395" s="4"/>
      <c r="AV395" s="4"/>
      <c r="AW395" s="4"/>
      <c r="AX395" s="4"/>
      <c r="AY395" s="4"/>
      <c r="AZ395" s="4"/>
      <c r="BA395" s="4"/>
      <c r="BB395" s="4"/>
      <c r="BC395" s="4"/>
      <c r="BD395" s="4"/>
      <c r="BE395" s="4"/>
      <c r="BF395" s="4"/>
      <c r="BG395" s="4"/>
      <c r="BH395" s="4"/>
      <c r="BI395" s="4"/>
      <c r="BJ395" s="4"/>
      <c r="BK395" s="4"/>
      <c r="BL395" s="4"/>
      <c r="BM395" s="4"/>
      <c r="BN395" s="4"/>
      <c r="BO395" s="4"/>
      <c r="BP395" s="4"/>
      <c r="BQ395" s="4"/>
      <c r="BR395" s="4"/>
      <c r="BS395" s="4"/>
      <c r="BT395" s="4"/>
      <c r="BU395" s="4"/>
      <c r="BV395" s="4"/>
      <c r="BW395" s="4"/>
      <c r="BX395" s="4"/>
      <c r="BY395" s="4"/>
      <c r="BZ395" s="4"/>
      <c r="CA395" s="4"/>
      <c r="CB395" s="4"/>
      <c r="CC395" s="4"/>
      <c r="CD395" s="4"/>
      <c r="CE395" s="4"/>
      <c r="CF395" s="4"/>
      <c r="CG395" s="4"/>
      <c r="CH395" s="4"/>
      <c r="CI395" s="4"/>
    </row>
    <row r="396" ht="14.25" customHeight="1" spans="1:87" x14ac:dyDescent="0.25">
      <c r="A396" s="4"/>
      <c r="B396" s="4"/>
      <c r="C396" s="4"/>
      <c r="D396" s="4"/>
      <c r="E396" s="4"/>
      <c r="F396" s="4"/>
      <c r="G396" s="4"/>
      <c r="H396" s="4"/>
      <c r="I396" s="4"/>
      <c r="J396" s="4"/>
      <c r="K396" s="242"/>
      <c r="L396" s="4"/>
      <c r="M396" s="4"/>
      <c r="N396" s="4"/>
      <c r="O396" s="4"/>
      <c r="P396" s="4"/>
      <c r="Q396" s="4"/>
      <c r="R396" s="4"/>
      <c r="S396" s="4"/>
      <c r="T396" s="4"/>
      <c r="U396" s="4"/>
      <c r="V396" s="4"/>
      <c r="W396" s="4"/>
      <c r="X396" s="4"/>
      <c r="Y396" s="4"/>
      <c r="Z396" s="4"/>
      <c r="AA396" s="4"/>
      <c r="AB396" s="4"/>
      <c r="AC396" s="4"/>
      <c r="AD396" s="4"/>
      <c r="AE396" s="4"/>
      <c r="AF396" s="4"/>
      <c r="AG396" s="4"/>
      <c r="AH396" s="4"/>
      <c r="AI396" s="4"/>
      <c r="AJ396" s="4"/>
      <c r="AK396" s="4"/>
      <c r="AL396" s="4"/>
      <c r="AM396" s="4"/>
      <c r="AN396" s="4"/>
      <c r="AO396" s="4"/>
      <c r="AP396" s="4"/>
      <c r="AQ396" s="4"/>
      <c r="AR396" s="4"/>
      <c r="AS396" s="4"/>
      <c r="AT396" s="4"/>
      <c r="AU396" s="4"/>
      <c r="AV396" s="4"/>
      <c r="AW396" s="4"/>
      <c r="AX396" s="4"/>
      <c r="AY396" s="4"/>
      <c r="AZ396" s="4"/>
      <c r="BA396" s="4"/>
      <c r="BB396" s="4"/>
      <c r="BC396" s="4"/>
      <c r="BD396" s="4"/>
      <c r="BE396" s="4"/>
      <c r="BF396" s="4"/>
      <c r="BG396" s="4"/>
      <c r="BH396" s="4"/>
      <c r="BI396" s="4"/>
      <c r="BJ396" s="4"/>
      <c r="BK396" s="4"/>
      <c r="BL396" s="4"/>
      <c r="BM396" s="4"/>
      <c r="BN396" s="4"/>
      <c r="BO396" s="4"/>
      <c r="BP396" s="4"/>
      <c r="BQ396" s="4"/>
      <c r="BR396" s="4"/>
      <c r="BS396" s="4"/>
      <c r="BT396" s="4"/>
      <c r="BU396" s="4"/>
      <c r="BV396" s="4"/>
      <c r="BW396" s="4"/>
      <c r="BX396" s="4"/>
      <c r="BY396" s="4"/>
      <c r="BZ396" s="4"/>
      <c r="CA396" s="4"/>
      <c r="CB396" s="4"/>
      <c r="CC396" s="4"/>
      <c r="CD396" s="4"/>
      <c r="CE396" s="4"/>
      <c r="CF396" s="4"/>
      <c r="CG396" s="4"/>
      <c r="CH396" s="4"/>
      <c r="CI396" s="4"/>
    </row>
    <row r="397" ht="14.25" customHeight="1" spans="1:87" x14ac:dyDescent="0.25">
      <c r="A397" s="4"/>
      <c r="B397" s="4"/>
      <c r="C397" s="4"/>
      <c r="D397" s="4"/>
      <c r="E397" s="4"/>
      <c r="F397" s="4"/>
      <c r="G397" s="4"/>
      <c r="H397" s="4"/>
      <c r="I397" s="4"/>
      <c r="J397" s="4"/>
      <c r="K397" s="242"/>
      <c r="L397" s="4"/>
      <c r="M397" s="4"/>
      <c r="N397" s="4"/>
      <c r="O397" s="4"/>
      <c r="P397" s="4"/>
      <c r="Q397" s="4"/>
      <c r="R397" s="4"/>
      <c r="S397" s="4"/>
      <c r="T397" s="4"/>
      <c r="U397" s="4"/>
      <c r="V397" s="4"/>
      <c r="W397" s="4"/>
      <c r="X397" s="4"/>
      <c r="Y397" s="4"/>
      <c r="Z397" s="4"/>
      <c r="AA397" s="4"/>
      <c r="AB397" s="4"/>
      <c r="AC397" s="4"/>
      <c r="AD397" s="4"/>
      <c r="AE397" s="4"/>
      <c r="AF397" s="4"/>
      <c r="AG397" s="4"/>
      <c r="AH397" s="4"/>
      <c r="AI397" s="4"/>
      <c r="AJ397" s="4"/>
      <c r="AK397" s="4"/>
      <c r="AL397" s="4"/>
      <c r="AM397" s="4"/>
      <c r="AN397" s="4"/>
      <c r="AO397" s="4"/>
      <c r="AP397" s="4"/>
      <c r="AQ397" s="4"/>
      <c r="AR397" s="4"/>
      <c r="AS397" s="4"/>
      <c r="AT397" s="4"/>
      <c r="AU397" s="4"/>
      <c r="AV397" s="4"/>
      <c r="AW397" s="4"/>
      <c r="AX397" s="4"/>
      <c r="AY397" s="4"/>
      <c r="AZ397" s="4"/>
      <c r="BA397" s="4"/>
      <c r="BB397" s="4"/>
      <c r="BC397" s="4"/>
      <c r="BD397" s="4"/>
      <c r="BE397" s="4"/>
      <c r="BF397" s="4"/>
      <c r="BG397" s="4"/>
      <c r="BH397" s="4"/>
      <c r="BI397" s="4"/>
      <c r="BJ397" s="4"/>
      <c r="BK397" s="4"/>
      <c r="BL397" s="4"/>
      <c r="BM397" s="4"/>
      <c r="BN397" s="4"/>
      <c r="BO397" s="4"/>
      <c r="BP397" s="4"/>
      <c r="BQ397" s="4"/>
      <c r="BR397" s="4"/>
      <c r="BS397" s="4"/>
      <c r="BT397" s="4"/>
      <c r="BU397" s="4"/>
      <c r="BV397" s="4"/>
      <c r="BW397" s="4"/>
      <c r="BX397" s="4"/>
      <c r="BY397" s="4"/>
      <c r="BZ397" s="4"/>
      <c r="CA397" s="4"/>
      <c r="CB397" s="4"/>
      <c r="CC397" s="4"/>
      <c r="CD397" s="4"/>
      <c r="CE397" s="4"/>
      <c r="CF397" s="4"/>
      <c r="CG397" s="4"/>
      <c r="CH397" s="4"/>
      <c r="CI397" s="4"/>
    </row>
    <row r="398" ht="14.25" customHeight="1" spans="1:87" x14ac:dyDescent="0.25">
      <c r="A398" s="4"/>
      <c r="B398" s="4"/>
      <c r="C398" s="4"/>
      <c r="D398" s="4"/>
      <c r="E398" s="4"/>
      <c r="F398" s="4"/>
      <c r="G398" s="4"/>
      <c r="H398" s="4"/>
      <c r="I398" s="4"/>
      <c r="J398" s="4"/>
      <c r="K398" s="242"/>
      <c r="L398" s="4"/>
      <c r="M398" s="4"/>
      <c r="N398" s="4"/>
      <c r="O398" s="4"/>
      <c r="P398" s="4"/>
      <c r="Q398" s="4"/>
      <c r="R398" s="4"/>
      <c r="S398" s="4"/>
      <c r="T398" s="4"/>
      <c r="U398" s="4"/>
      <c r="V398" s="4"/>
      <c r="W398" s="4"/>
      <c r="X398" s="4"/>
      <c r="Y398" s="4"/>
      <c r="Z398" s="4"/>
      <c r="AA398" s="4"/>
      <c r="AB398" s="4"/>
      <c r="AC398" s="4"/>
      <c r="AD398" s="4"/>
      <c r="AE398" s="4"/>
      <c r="AF398" s="4"/>
      <c r="AG398" s="4"/>
      <c r="AH398" s="4"/>
      <c r="AI398" s="4"/>
      <c r="AJ398" s="4"/>
      <c r="AK398" s="4"/>
      <c r="AL398" s="4"/>
      <c r="AM398" s="4"/>
      <c r="AN398" s="4"/>
      <c r="AO398" s="4"/>
      <c r="AP398" s="4"/>
      <c r="AQ398" s="4"/>
      <c r="AR398" s="4"/>
      <c r="AS398" s="4"/>
      <c r="AT398" s="4"/>
      <c r="AU398" s="4"/>
      <c r="AV398" s="4"/>
      <c r="AW398" s="4"/>
      <c r="AX398" s="4"/>
      <c r="AY398" s="4"/>
      <c r="AZ398" s="4"/>
      <c r="BA398" s="4"/>
      <c r="BB398" s="4"/>
      <c r="BC398" s="4"/>
      <c r="BD398" s="4"/>
      <c r="BE398" s="4"/>
      <c r="BF398" s="4"/>
      <c r="BG398" s="4"/>
      <c r="BH398" s="4"/>
      <c r="BI398" s="4"/>
      <c r="BJ398" s="4"/>
      <c r="BK398" s="4"/>
      <c r="BL398" s="4"/>
      <c r="BM398" s="4"/>
      <c r="BN398" s="4"/>
      <c r="BO398" s="4"/>
      <c r="BP398" s="4"/>
      <c r="BQ398" s="4"/>
      <c r="BR398" s="4"/>
      <c r="BS398" s="4"/>
      <c r="BT398" s="4"/>
      <c r="BU398" s="4"/>
      <c r="BV398" s="4"/>
      <c r="BW398" s="4"/>
      <c r="BX398" s="4"/>
      <c r="BY398" s="4"/>
      <c r="BZ398" s="4"/>
      <c r="CA398" s="4"/>
      <c r="CB398" s="4"/>
      <c r="CC398" s="4"/>
      <c r="CD398" s="4"/>
      <c r="CE398" s="4"/>
      <c r="CF398" s="4"/>
      <c r="CG398" s="4"/>
      <c r="CH398" s="4"/>
      <c r="CI398" s="4"/>
    </row>
    <row r="399" ht="14.25" customHeight="1" spans="1:87" x14ac:dyDescent="0.25">
      <c r="A399" s="4"/>
      <c r="B399" s="4"/>
      <c r="C399" s="4"/>
      <c r="D399" s="4"/>
      <c r="E399" s="4"/>
      <c r="F399" s="4"/>
      <c r="G399" s="4"/>
      <c r="H399" s="4"/>
      <c r="I399" s="4"/>
      <c r="J399" s="4"/>
      <c r="K399" s="242"/>
      <c r="L399" s="4"/>
      <c r="M399" s="4"/>
      <c r="N399" s="4"/>
      <c r="O399" s="4"/>
      <c r="P399" s="4"/>
      <c r="Q399" s="4"/>
      <c r="R399" s="4"/>
      <c r="S399" s="4"/>
      <c r="T399" s="4"/>
      <c r="U399" s="4"/>
      <c r="V399" s="4"/>
      <c r="W399" s="4"/>
      <c r="X399" s="4"/>
      <c r="Y399" s="4"/>
      <c r="Z399" s="4"/>
      <c r="AA399" s="4"/>
      <c r="AB399" s="4"/>
      <c r="AC399" s="4"/>
      <c r="AD399" s="4"/>
      <c r="AE399" s="4"/>
      <c r="AF399" s="4"/>
      <c r="AG399" s="4"/>
      <c r="AH399" s="4"/>
      <c r="AI399" s="4"/>
      <c r="AJ399" s="4"/>
      <c r="AK399" s="4"/>
      <c r="AL399" s="4"/>
      <c r="AM399" s="4"/>
      <c r="AN399" s="4"/>
      <c r="AO399" s="4"/>
      <c r="AP399" s="4"/>
      <c r="AQ399" s="4"/>
      <c r="AR399" s="4"/>
      <c r="AS399" s="4"/>
      <c r="AT399" s="4"/>
      <c r="AU399" s="4"/>
      <c r="AV399" s="4"/>
      <c r="AW399" s="4"/>
      <c r="AX399" s="4"/>
      <c r="AY399" s="4"/>
      <c r="AZ399" s="4"/>
      <c r="BA399" s="4"/>
      <c r="BB399" s="4"/>
      <c r="BC399" s="4"/>
      <c r="BD399" s="4"/>
      <c r="BE399" s="4"/>
      <c r="BF399" s="4"/>
      <c r="BG399" s="4"/>
      <c r="BH399" s="4"/>
      <c r="BI399" s="4"/>
      <c r="BJ399" s="4"/>
      <c r="BK399" s="4"/>
      <c r="BL399" s="4"/>
      <c r="BM399" s="4"/>
      <c r="BN399" s="4"/>
      <c r="BO399" s="4"/>
      <c r="BP399" s="4"/>
      <c r="BQ399" s="4"/>
      <c r="BR399" s="4"/>
      <c r="BS399" s="4"/>
      <c r="BT399" s="4"/>
      <c r="BU399" s="4"/>
      <c r="BV399" s="4"/>
      <c r="BW399" s="4"/>
      <c r="BX399" s="4"/>
      <c r="BY399" s="4"/>
      <c r="BZ399" s="4"/>
      <c r="CA399" s="4"/>
      <c r="CB399" s="4"/>
      <c r="CC399" s="4"/>
      <c r="CD399" s="4"/>
      <c r="CE399" s="4"/>
      <c r="CF399" s="4"/>
      <c r="CG399" s="4"/>
      <c r="CH399" s="4"/>
      <c r="CI399" s="4"/>
    </row>
    <row r="400" ht="14.25" customHeight="1" spans="1:87" x14ac:dyDescent="0.25">
      <c r="A400" s="4"/>
      <c r="B400" s="4"/>
      <c r="C400" s="4"/>
      <c r="D400" s="4"/>
      <c r="E400" s="4"/>
      <c r="F400" s="4"/>
      <c r="G400" s="4"/>
      <c r="H400" s="4"/>
      <c r="I400" s="4"/>
      <c r="J400" s="4"/>
      <c r="K400" s="242"/>
      <c r="L400" s="4"/>
      <c r="M400" s="4"/>
      <c r="N400" s="4"/>
      <c r="O400" s="4"/>
      <c r="P400" s="4"/>
      <c r="Q400" s="4"/>
      <c r="R400" s="4"/>
      <c r="S400" s="4"/>
      <c r="T400" s="4"/>
      <c r="U400" s="4"/>
      <c r="V400" s="4"/>
      <c r="W400" s="4"/>
      <c r="X400" s="4"/>
      <c r="Y400" s="4"/>
      <c r="Z400" s="4"/>
      <c r="AA400" s="4"/>
      <c r="AB400" s="4"/>
      <c r="AC400" s="4"/>
      <c r="AD400" s="4"/>
      <c r="AE400" s="4"/>
      <c r="AF400" s="4"/>
      <c r="AG400" s="4"/>
      <c r="AH400" s="4"/>
      <c r="AI400" s="4"/>
      <c r="AJ400" s="4"/>
      <c r="AK400" s="4"/>
      <c r="AL400" s="4"/>
      <c r="AM400" s="4"/>
      <c r="AN400" s="4"/>
      <c r="AO400" s="4"/>
      <c r="AP400" s="4"/>
      <c r="AQ400" s="4"/>
      <c r="AR400" s="4"/>
      <c r="AS400" s="4"/>
      <c r="AT400" s="4"/>
      <c r="AU400" s="4"/>
      <c r="AV400" s="4"/>
      <c r="AW400" s="4"/>
      <c r="AX400" s="4"/>
      <c r="AY400" s="4"/>
      <c r="AZ400" s="4"/>
      <c r="BA400" s="4"/>
      <c r="BB400" s="4"/>
      <c r="BC400" s="4"/>
      <c r="BD400" s="4"/>
      <c r="BE400" s="4"/>
      <c r="BF400" s="4"/>
      <c r="BG400" s="4"/>
      <c r="BH400" s="4"/>
      <c r="BI400" s="4"/>
      <c r="BJ400" s="4"/>
      <c r="BK400" s="4"/>
      <c r="BL400" s="4"/>
      <c r="BM400" s="4"/>
      <c r="BN400" s="4"/>
      <c r="BO400" s="4"/>
      <c r="BP400" s="4"/>
      <c r="BQ400" s="4"/>
      <c r="BR400" s="4"/>
      <c r="BS400" s="4"/>
      <c r="BT400" s="4"/>
      <c r="BU400" s="4"/>
      <c r="BV400" s="4"/>
      <c r="BW400" s="4"/>
      <c r="BX400" s="4"/>
      <c r="BY400" s="4"/>
      <c r="BZ400" s="4"/>
      <c r="CA400" s="4"/>
      <c r="CB400" s="4"/>
      <c r="CC400" s="4"/>
      <c r="CD400" s="4"/>
      <c r="CE400" s="4"/>
      <c r="CF400" s="4"/>
      <c r="CG400" s="4"/>
      <c r="CH400" s="4"/>
      <c r="CI400" s="4"/>
    </row>
    <row r="401" ht="14.25" customHeight="1" spans="1:87" x14ac:dyDescent="0.25">
      <c r="A401" s="4"/>
      <c r="B401" s="4"/>
      <c r="C401" s="4"/>
      <c r="D401" s="4"/>
      <c r="E401" s="4"/>
      <c r="F401" s="4"/>
      <c r="G401" s="4"/>
      <c r="H401" s="4"/>
      <c r="I401" s="4"/>
      <c r="J401" s="4"/>
      <c r="K401" s="242"/>
      <c r="L401" s="4"/>
      <c r="M401" s="4"/>
      <c r="N401" s="4"/>
      <c r="O401" s="4"/>
      <c r="P401" s="4"/>
      <c r="Q401" s="4"/>
      <c r="R401" s="4"/>
      <c r="S401" s="4"/>
      <c r="T401" s="4"/>
      <c r="U401" s="4"/>
      <c r="V401" s="4"/>
      <c r="W401" s="4"/>
      <c r="X401" s="4"/>
      <c r="Y401" s="4"/>
      <c r="Z401" s="4"/>
      <c r="AA401" s="4"/>
      <c r="AB401" s="4"/>
      <c r="AC401" s="4"/>
      <c r="AD401" s="4"/>
      <c r="AE401" s="4"/>
      <c r="AF401" s="4"/>
      <c r="AG401" s="4"/>
      <c r="AH401" s="4"/>
      <c r="AI401" s="4"/>
      <c r="AJ401" s="4"/>
      <c r="AK401" s="4"/>
      <c r="AL401" s="4"/>
      <c r="AM401" s="4"/>
      <c r="AN401" s="4"/>
      <c r="AO401" s="4"/>
      <c r="AP401" s="4"/>
      <c r="AQ401" s="4"/>
      <c r="AR401" s="4"/>
      <c r="AS401" s="4"/>
      <c r="AT401" s="4"/>
      <c r="AU401" s="4"/>
      <c r="AV401" s="4"/>
      <c r="AW401" s="4"/>
      <c r="AX401" s="4"/>
      <c r="AY401" s="4"/>
      <c r="AZ401" s="4"/>
      <c r="BA401" s="4"/>
      <c r="BB401" s="4"/>
      <c r="BC401" s="4"/>
      <c r="BD401" s="4"/>
      <c r="BE401" s="4"/>
      <c r="BF401" s="4"/>
      <c r="BG401" s="4"/>
      <c r="BH401" s="4"/>
      <c r="BI401" s="4"/>
      <c r="BJ401" s="4"/>
      <c r="BK401" s="4"/>
      <c r="BL401" s="4"/>
      <c r="BM401" s="4"/>
      <c r="BN401" s="4"/>
      <c r="BO401" s="4"/>
      <c r="BP401" s="4"/>
      <c r="BQ401" s="4"/>
      <c r="BR401" s="4"/>
      <c r="BS401" s="4"/>
      <c r="BT401" s="4"/>
      <c r="BU401" s="4"/>
      <c r="BV401" s="4"/>
      <c r="BW401" s="4"/>
      <c r="BX401" s="4"/>
      <c r="BY401" s="4"/>
      <c r="BZ401" s="4"/>
      <c r="CA401" s="4"/>
      <c r="CB401" s="4"/>
      <c r="CC401" s="4"/>
      <c r="CD401" s="4"/>
      <c r="CE401" s="4"/>
      <c r="CF401" s="4"/>
      <c r="CG401" s="4"/>
      <c r="CH401" s="4"/>
      <c r="CI401" s="4"/>
    </row>
    <row r="402" ht="14.25" customHeight="1" spans="1:87" x14ac:dyDescent="0.25">
      <c r="A402" s="4"/>
      <c r="B402" s="4"/>
      <c r="C402" s="4"/>
      <c r="D402" s="4"/>
      <c r="E402" s="4"/>
      <c r="F402" s="4"/>
      <c r="G402" s="4"/>
      <c r="H402" s="4"/>
      <c r="I402" s="4"/>
      <c r="J402" s="4"/>
      <c r="K402" s="242"/>
      <c r="L402" s="4"/>
      <c r="M402" s="4"/>
      <c r="N402" s="4"/>
      <c r="O402" s="4"/>
      <c r="P402" s="4"/>
      <c r="Q402" s="4"/>
      <c r="R402" s="4"/>
      <c r="S402" s="4"/>
      <c r="T402" s="4"/>
      <c r="U402" s="4"/>
      <c r="V402" s="4"/>
      <c r="W402" s="4"/>
      <c r="X402" s="4"/>
      <c r="Y402" s="4"/>
      <c r="Z402" s="4"/>
      <c r="AA402" s="4"/>
      <c r="AB402" s="4"/>
      <c r="AC402" s="4"/>
      <c r="AD402" s="4"/>
      <c r="AE402" s="4"/>
      <c r="AF402" s="4"/>
      <c r="AG402" s="4"/>
      <c r="AH402" s="4"/>
      <c r="AI402" s="4"/>
      <c r="AJ402" s="4"/>
      <c r="AK402" s="4"/>
      <c r="AL402" s="4"/>
      <c r="AM402" s="4"/>
      <c r="AN402" s="4"/>
      <c r="AO402" s="4"/>
      <c r="AP402" s="4"/>
      <c r="AQ402" s="4"/>
      <c r="AR402" s="4"/>
      <c r="AS402" s="4"/>
      <c r="AT402" s="4"/>
      <c r="AU402" s="4"/>
      <c r="AV402" s="4"/>
      <c r="AW402" s="4"/>
      <c r="AX402" s="4"/>
      <c r="AY402" s="4"/>
      <c r="AZ402" s="4"/>
      <c r="BA402" s="4"/>
      <c r="BB402" s="4"/>
      <c r="BC402" s="4"/>
      <c r="BD402" s="4"/>
      <c r="BE402" s="4"/>
      <c r="BF402" s="4"/>
      <c r="BG402" s="4"/>
      <c r="BH402" s="4"/>
      <c r="BI402" s="4"/>
      <c r="BJ402" s="4"/>
      <c r="BK402" s="4"/>
      <c r="BL402" s="4"/>
      <c r="BM402" s="4"/>
      <c r="BN402" s="4"/>
      <c r="BO402" s="4"/>
      <c r="BP402" s="4"/>
      <c r="BQ402" s="4"/>
      <c r="BR402" s="4"/>
      <c r="BS402" s="4"/>
      <c r="BT402" s="4"/>
      <c r="BU402" s="4"/>
      <c r="BV402" s="4"/>
      <c r="BW402" s="4"/>
      <c r="BX402" s="4"/>
      <c r="BY402" s="4"/>
      <c r="BZ402" s="4"/>
      <c r="CA402" s="4"/>
      <c r="CB402" s="4"/>
      <c r="CC402" s="4"/>
      <c r="CD402" s="4"/>
      <c r="CE402" s="4"/>
      <c r="CF402" s="4"/>
      <c r="CG402" s="4"/>
      <c r="CH402" s="4"/>
      <c r="CI402" s="4"/>
    </row>
    <row r="403" ht="14.25" customHeight="1" spans="1:87" x14ac:dyDescent="0.25">
      <c r="A403" s="4"/>
      <c r="B403" s="4"/>
      <c r="C403" s="4"/>
      <c r="D403" s="4"/>
      <c r="E403" s="4"/>
      <c r="F403" s="4"/>
      <c r="G403" s="4"/>
      <c r="H403" s="4"/>
      <c r="I403" s="4"/>
      <c r="J403" s="4"/>
      <c r="K403" s="242"/>
      <c r="L403" s="4"/>
      <c r="M403" s="4"/>
      <c r="N403" s="4"/>
      <c r="O403" s="4"/>
      <c r="P403" s="4"/>
      <c r="Q403" s="4"/>
      <c r="R403" s="4"/>
      <c r="S403" s="4"/>
      <c r="T403" s="4"/>
      <c r="U403" s="4"/>
      <c r="V403" s="4"/>
      <c r="W403" s="4"/>
      <c r="X403" s="4"/>
      <c r="Y403" s="4"/>
      <c r="Z403" s="4"/>
      <c r="AA403" s="4"/>
      <c r="AB403" s="4"/>
      <c r="AC403" s="4"/>
      <c r="AD403" s="4"/>
      <c r="AE403" s="4"/>
      <c r="AF403" s="4"/>
      <c r="AG403" s="4"/>
      <c r="AH403" s="4"/>
      <c r="AI403" s="4"/>
      <c r="AJ403" s="4"/>
      <c r="AK403" s="4"/>
      <c r="AL403" s="4"/>
      <c r="AM403" s="4"/>
      <c r="AN403" s="4"/>
      <c r="AO403" s="4"/>
      <c r="AP403" s="4"/>
      <c r="AQ403" s="4"/>
      <c r="AR403" s="4"/>
      <c r="AS403" s="4"/>
      <c r="AT403" s="4"/>
      <c r="AU403" s="4"/>
      <c r="AV403" s="4"/>
      <c r="AW403" s="4"/>
      <c r="AX403" s="4"/>
      <c r="AY403" s="4"/>
      <c r="AZ403" s="4"/>
      <c r="BA403" s="4"/>
      <c r="BB403" s="4"/>
      <c r="BC403" s="4"/>
      <c r="BD403" s="4"/>
      <c r="BE403" s="4"/>
      <c r="BF403" s="4"/>
      <c r="BG403" s="4"/>
      <c r="BH403" s="4"/>
      <c r="BI403" s="4"/>
      <c r="BJ403" s="4"/>
      <c r="BK403" s="4"/>
      <c r="BL403" s="4"/>
      <c r="BM403" s="4"/>
      <c r="BN403" s="4"/>
      <c r="BO403" s="4"/>
      <c r="BP403" s="4"/>
      <c r="BQ403" s="4"/>
      <c r="BR403" s="4"/>
      <c r="BS403" s="4"/>
      <c r="BT403" s="4"/>
      <c r="BU403" s="4"/>
      <c r="BV403" s="4"/>
      <c r="BW403" s="4"/>
      <c r="BX403" s="4"/>
      <c r="BY403" s="4"/>
      <c r="BZ403" s="4"/>
      <c r="CA403" s="4"/>
      <c r="CB403" s="4"/>
      <c r="CC403" s="4"/>
      <c r="CD403" s="4"/>
      <c r="CE403" s="4"/>
      <c r="CF403" s="4"/>
      <c r="CG403" s="4"/>
      <c r="CH403" s="4"/>
      <c r="CI403" s="4"/>
    </row>
    <row r="404" ht="14.25" customHeight="1" spans="1:87" x14ac:dyDescent="0.25">
      <c r="A404" s="4"/>
      <c r="B404" s="4"/>
      <c r="C404" s="4"/>
      <c r="D404" s="4"/>
      <c r="E404" s="4"/>
      <c r="F404" s="4"/>
      <c r="G404" s="4"/>
      <c r="H404" s="4"/>
      <c r="I404" s="4"/>
      <c r="J404" s="4"/>
      <c r="K404" s="242"/>
      <c r="L404" s="4"/>
      <c r="M404" s="4"/>
      <c r="N404" s="4"/>
      <c r="O404" s="4"/>
      <c r="P404" s="4"/>
      <c r="Q404" s="4"/>
      <c r="R404" s="4"/>
      <c r="S404" s="4"/>
      <c r="T404" s="4"/>
      <c r="U404" s="4"/>
      <c r="V404" s="4"/>
      <c r="W404" s="4"/>
      <c r="X404" s="4"/>
      <c r="Y404" s="4"/>
      <c r="Z404" s="4"/>
      <c r="AA404" s="4"/>
      <c r="AB404" s="4"/>
      <c r="AC404" s="4"/>
      <c r="AD404" s="4"/>
      <c r="AE404" s="4"/>
      <c r="AF404" s="4"/>
      <c r="AG404" s="4"/>
      <c r="AH404" s="4"/>
      <c r="AI404" s="4"/>
      <c r="AJ404" s="4"/>
      <c r="AK404" s="4"/>
      <c r="AL404" s="4"/>
      <c r="AM404" s="4"/>
      <c r="AN404" s="4"/>
      <c r="AO404" s="4"/>
      <c r="AP404" s="4"/>
      <c r="AQ404" s="4"/>
      <c r="AR404" s="4"/>
      <c r="AS404" s="4"/>
      <c r="AT404" s="4"/>
      <c r="AU404" s="4"/>
      <c r="AV404" s="4"/>
      <c r="AW404" s="4"/>
      <c r="AX404" s="4"/>
      <c r="AY404" s="4"/>
      <c r="AZ404" s="4"/>
      <c r="BA404" s="4"/>
      <c r="BB404" s="4"/>
      <c r="BC404" s="4"/>
      <c r="BD404" s="4"/>
      <c r="BE404" s="4"/>
      <c r="BF404" s="4"/>
      <c r="BG404" s="4"/>
      <c r="BH404" s="4"/>
      <c r="BI404" s="4"/>
      <c r="BJ404" s="4"/>
      <c r="BK404" s="4"/>
      <c r="BL404" s="4"/>
      <c r="BM404" s="4"/>
      <c r="BN404" s="4"/>
      <c r="BO404" s="4"/>
      <c r="BP404" s="4"/>
      <c r="BQ404" s="4"/>
      <c r="BR404" s="4"/>
      <c r="BS404" s="4"/>
      <c r="BT404" s="4"/>
      <c r="BU404" s="4"/>
      <c r="BV404" s="4"/>
      <c r="BW404" s="4"/>
      <c r="BX404" s="4"/>
      <c r="BY404" s="4"/>
      <c r="BZ404" s="4"/>
      <c r="CA404" s="4"/>
      <c r="CB404" s="4"/>
      <c r="CC404" s="4"/>
      <c r="CD404" s="4"/>
      <c r="CE404" s="4"/>
      <c r="CF404" s="4"/>
      <c r="CG404" s="4"/>
      <c r="CH404" s="4"/>
      <c r="CI404" s="4"/>
    </row>
    <row r="405" ht="14.25" customHeight="1" spans="1:87" x14ac:dyDescent="0.25">
      <c r="A405" s="4"/>
      <c r="B405" s="4"/>
      <c r="C405" s="4"/>
      <c r="D405" s="4"/>
      <c r="E405" s="4"/>
      <c r="F405" s="4"/>
      <c r="G405" s="4"/>
      <c r="H405" s="4"/>
      <c r="I405" s="4"/>
      <c r="J405" s="4"/>
      <c r="K405" s="242"/>
      <c r="L405" s="4"/>
      <c r="M405" s="4"/>
      <c r="N405" s="4"/>
      <c r="O405" s="4"/>
      <c r="P405" s="4"/>
      <c r="Q405" s="4"/>
      <c r="R405" s="4"/>
      <c r="S405" s="4"/>
      <c r="T405" s="4"/>
      <c r="U405" s="4"/>
      <c r="V405" s="4"/>
      <c r="W405" s="4"/>
      <c r="X405" s="4"/>
      <c r="Y405" s="4"/>
      <c r="Z405" s="4"/>
      <c r="AA405" s="4"/>
      <c r="AB405" s="4"/>
      <c r="AC405" s="4"/>
      <c r="AD405" s="4"/>
      <c r="AE405" s="4"/>
      <c r="AF405" s="4"/>
      <c r="AG405" s="4"/>
      <c r="AH405" s="4"/>
      <c r="AI405" s="4"/>
      <c r="AJ405" s="4"/>
      <c r="AK405" s="4"/>
      <c r="AL405" s="4"/>
      <c r="AM405" s="4"/>
      <c r="AN405" s="4"/>
      <c r="AO405" s="4"/>
      <c r="AP405" s="4"/>
      <c r="AQ405" s="4"/>
      <c r="AR405" s="4"/>
      <c r="AS405" s="4"/>
      <c r="AT405" s="4"/>
      <c r="AU405" s="4"/>
      <c r="AV405" s="4"/>
      <c r="AW405" s="4"/>
      <c r="AX405" s="4"/>
      <c r="AY405" s="4"/>
      <c r="AZ405" s="4"/>
      <c r="BA405" s="4"/>
      <c r="BB405" s="4"/>
      <c r="BC405" s="4"/>
      <c r="BD405" s="4"/>
      <c r="BE405" s="4"/>
      <c r="BF405" s="4"/>
      <c r="BG405" s="4"/>
      <c r="BH405" s="4"/>
      <c r="BI405" s="4"/>
      <c r="BJ405" s="4"/>
      <c r="BK405" s="4"/>
      <c r="BL405" s="4"/>
      <c r="BM405" s="4"/>
      <c r="BN405" s="4"/>
      <c r="BO405" s="4"/>
      <c r="BP405" s="4"/>
      <c r="BQ405" s="4"/>
      <c r="BR405" s="4"/>
      <c r="BS405" s="4"/>
      <c r="BT405" s="4"/>
      <c r="BU405" s="4"/>
      <c r="BV405" s="4"/>
      <c r="BW405" s="4"/>
      <c r="BX405" s="4"/>
      <c r="BY405" s="4"/>
      <c r="BZ405" s="4"/>
      <c r="CA405" s="4"/>
      <c r="CB405" s="4"/>
      <c r="CC405" s="4"/>
      <c r="CD405" s="4"/>
      <c r="CE405" s="4"/>
      <c r="CF405" s="4"/>
      <c r="CG405" s="4"/>
      <c r="CH405" s="4"/>
      <c r="CI405" s="4"/>
    </row>
    <row r="406" ht="14.25" customHeight="1" spans="1:87" x14ac:dyDescent="0.25">
      <c r="A406" s="4"/>
      <c r="B406" s="4"/>
      <c r="C406" s="4"/>
      <c r="D406" s="4"/>
      <c r="E406" s="4"/>
      <c r="F406" s="4"/>
      <c r="G406" s="4"/>
      <c r="H406" s="4"/>
      <c r="I406" s="4"/>
      <c r="J406" s="4"/>
      <c r="K406" s="242"/>
      <c r="L406" s="4"/>
      <c r="M406" s="4"/>
      <c r="N406" s="4"/>
      <c r="O406" s="4"/>
      <c r="P406" s="4"/>
      <c r="Q406" s="4"/>
      <c r="R406" s="4"/>
      <c r="S406" s="4"/>
      <c r="T406" s="4"/>
      <c r="U406" s="4"/>
      <c r="V406" s="4"/>
      <c r="W406" s="4"/>
      <c r="X406" s="4"/>
      <c r="Y406" s="4"/>
      <c r="Z406" s="4"/>
      <c r="AA406" s="4"/>
      <c r="AB406" s="4"/>
      <c r="AC406" s="4"/>
      <c r="AD406" s="4"/>
      <c r="AE406" s="4"/>
      <c r="AF406" s="4"/>
      <c r="AG406" s="4"/>
      <c r="AH406" s="4"/>
      <c r="AI406" s="4"/>
      <c r="AJ406" s="4"/>
      <c r="AK406" s="4"/>
      <c r="AL406" s="4"/>
      <c r="AM406" s="4"/>
      <c r="AN406" s="4"/>
      <c r="AO406" s="4"/>
      <c r="AP406" s="4"/>
      <c r="AQ406" s="4"/>
      <c r="AR406" s="4"/>
      <c r="AS406" s="4"/>
      <c r="AT406" s="4"/>
      <c r="AU406" s="4"/>
      <c r="AV406" s="4"/>
      <c r="AW406" s="4"/>
      <c r="AX406" s="4"/>
      <c r="AY406" s="4"/>
      <c r="AZ406" s="4"/>
      <c r="BA406" s="4"/>
      <c r="BB406" s="4"/>
      <c r="BC406" s="4"/>
      <c r="BD406" s="4"/>
      <c r="BE406" s="4"/>
      <c r="BF406" s="4"/>
      <c r="BG406" s="4"/>
      <c r="BH406" s="4"/>
      <c r="BI406" s="4"/>
      <c r="BJ406" s="4"/>
      <c r="BK406" s="4"/>
      <c r="BL406" s="4"/>
      <c r="BM406" s="4"/>
      <c r="BN406" s="4"/>
      <c r="BO406" s="4"/>
      <c r="BP406" s="4"/>
      <c r="BQ406" s="4"/>
      <c r="BR406" s="4"/>
      <c r="BS406" s="4"/>
      <c r="BT406" s="4"/>
      <c r="BU406" s="4"/>
      <c r="BV406" s="4"/>
      <c r="BW406" s="4"/>
      <c r="BX406" s="4"/>
      <c r="BY406" s="4"/>
      <c r="BZ406" s="4"/>
      <c r="CA406" s="4"/>
      <c r="CB406" s="4"/>
      <c r="CC406" s="4"/>
      <c r="CD406" s="4"/>
      <c r="CE406" s="4"/>
      <c r="CF406" s="4"/>
      <c r="CG406" s="4"/>
      <c r="CH406" s="4"/>
      <c r="CI406" s="4"/>
    </row>
    <row r="407" ht="14.25" customHeight="1" spans="1:87" x14ac:dyDescent="0.25">
      <c r="A407" s="4"/>
      <c r="B407" s="4"/>
      <c r="C407" s="4"/>
      <c r="D407" s="4"/>
      <c r="E407" s="4"/>
      <c r="F407" s="4"/>
      <c r="G407" s="4"/>
      <c r="H407" s="4"/>
      <c r="I407" s="4"/>
      <c r="J407" s="4"/>
      <c r="K407" s="242"/>
      <c r="L407" s="4"/>
      <c r="M407" s="4"/>
      <c r="N407" s="4"/>
      <c r="O407" s="4"/>
      <c r="P407" s="4"/>
      <c r="Q407" s="4"/>
      <c r="R407" s="4"/>
      <c r="S407" s="4"/>
      <c r="T407" s="4"/>
      <c r="U407" s="4"/>
      <c r="V407" s="4"/>
      <c r="W407" s="4"/>
      <c r="X407" s="4"/>
      <c r="Y407" s="4"/>
      <c r="Z407" s="4"/>
      <c r="AA407" s="4"/>
      <c r="AB407" s="4"/>
      <c r="AC407" s="4"/>
      <c r="AD407" s="4"/>
      <c r="AE407" s="4"/>
      <c r="AF407" s="4"/>
      <c r="AG407" s="4"/>
      <c r="AH407" s="4"/>
      <c r="AI407" s="4"/>
      <c r="AJ407" s="4"/>
      <c r="AK407" s="4"/>
      <c r="AL407" s="4"/>
      <c r="AM407" s="4"/>
      <c r="AN407" s="4"/>
      <c r="AO407" s="4"/>
      <c r="AP407" s="4"/>
      <c r="AQ407" s="4"/>
      <c r="AR407" s="4"/>
      <c r="AS407" s="4"/>
      <c r="AT407" s="4"/>
      <c r="AU407" s="4"/>
      <c r="AV407" s="4"/>
      <c r="AW407" s="4"/>
      <c r="AX407" s="4"/>
      <c r="AY407" s="4"/>
      <c r="AZ407" s="4"/>
      <c r="BA407" s="4"/>
      <c r="BB407" s="4"/>
      <c r="BC407" s="4"/>
      <c r="BD407" s="4"/>
      <c r="BE407" s="4"/>
      <c r="BF407" s="4"/>
      <c r="BG407" s="4"/>
      <c r="BH407" s="4"/>
      <c r="BI407" s="4"/>
      <c r="BJ407" s="4"/>
      <c r="BK407" s="4"/>
      <c r="BL407" s="4"/>
      <c r="BM407" s="4"/>
      <c r="BN407" s="4"/>
      <c r="BO407" s="4"/>
      <c r="BP407" s="4"/>
      <c r="BQ407" s="4"/>
      <c r="BR407" s="4"/>
      <c r="BS407" s="4"/>
      <c r="BT407" s="4"/>
      <c r="BU407" s="4"/>
      <c r="BV407" s="4"/>
      <c r="BW407" s="4"/>
      <c r="BX407" s="4"/>
      <c r="BY407" s="4"/>
      <c r="BZ407" s="4"/>
      <c r="CA407" s="4"/>
      <c r="CB407" s="4"/>
      <c r="CC407" s="4"/>
      <c r="CD407" s="4"/>
      <c r="CE407" s="4"/>
      <c r="CF407" s="4"/>
      <c r="CG407" s="4"/>
      <c r="CH407" s="4"/>
      <c r="CI407" s="4"/>
    </row>
    <row r="408" ht="14.25" customHeight="1" spans="1:87" x14ac:dyDescent="0.25">
      <c r="A408" s="4"/>
      <c r="B408" s="4"/>
      <c r="C408" s="4"/>
      <c r="D408" s="4"/>
      <c r="E408" s="4"/>
      <c r="F408" s="4"/>
      <c r="G408" s="4"/>
      <c r="H408" s="4"/>
      <c r="I408" s="4"/>
      <c r="J408" s="4"/>
      <c r="K408" s="242"/>
      <c r="L408" s="4"/>
      <c r="M408" s="4"/>
      <c r="N408" s="4"/>
      <c r="O408" s="4"/>
      <c r="P408" s="4"/>
      <c r="Q408" s="4"/>
      <c r="R408" s="4"/>
      <c r="S408" s="4"/>
      <c r="T408" s="4"/>
      <c r="U408" s="4"/>
      <c r="V408" s="4"/>
      <c r="W408" s="4"/>
      <c r="X408" s="4"/>
      <c r="Y408" s="4"/>
      <c r="Z408" s="4"/>
      <c r="AA408" s="4"/>
      <c r="AB408" s="4"/>
      <c r="AC408" s="4"/>
      <c r="AD408" s="4"/>
      <c r="AE408" s="4"/>
      <c r="AF408" s="4"/>
      <c r="AG408" s="4"/>
      <c r="AH408" s="4"/>
      <c r="AI408" s="4"/>
      <c r="AJ408" s="4"/>
      <c r="AK408" s="4"/>
      <c r="AL408" s="4"/>
      <c r="AM408" s="4"/>
      <c r="AN408" s="4"/>
      <c r="AO408" s="4"/>
      <c r="AP408" s="4"/>
      <c r="AQ408" s="4"/>
      <c r="AR408" s="4"/>
      <c r="AS408" s="4"/>
      <c r="AT408" s="4"/>
      <c r="AU408" s="4"/>
      <c r="AV408" s="4"/>
      <c r="AW408" s="4"/>
      <c r="AX408" s="4"/>
      <c r="AY408" s="4"/>
      <c r="AZ408" s="4"/>
      <c r="BA408" s="4"/>
      <c r="BB408" s="4"/>
      <c r="BC408" s="4"/>
      <c r="BD408" s="4"/>
      <c r="BE408" s="4"/>
      <c r="BF408" s="4"/>
      <c r="BG408" s="4"/>
      <c r="BH408" s="4"/>
      <c r="BI408" s="4"/>
      <c r="BJ408" s="4"/>
      <c r="BK408" s="4"/>
      <c r="BL408" s="4"/>
      <c r="BM408" s="4"/>
      <c r="BN408" s="4"/>
      <c r="BO408" s="4"/>
      <c r="BP408" s="4"/>
      <c r="BQ408" s="4"/>
      <c r="BR408" s="4"/>
      <c r="BS408" s="4"/>
      <c r="BT408" s="4"/>
      <c r="BU408" s="4"/>
      <c r="BV408" s="4"/>
      <c r="BW408" s="4"/>
      <c r="BX408" s="4"/>
      <c r="BY408" s="4"/>
      <c r="BZ408" s="4"/>
      <c r="CA408" s="4"/>
      <c r="CB408" s="4"/>
      <c r="CC408" s="4"/>
      <c r="CD408" s="4"/>
      <c r="CE408" s="4"/>
      <c r="CF408" s="4"/>
      <c r="CG408" s="4"/>
      <c r="CH408" s="4"/>
      <c r="CI408" s="4"/>
    </row>
    <row r="409" ht="14.25" customHeight="1" spans="1:87" x14ac:dyDescent="0.25">
      <c r="A409" s="4"/>
      <c r="B409" s="4"/>
      <c r="C409" s="4"/>
      <c r="D409" s="4"/>
      <c r="E409" s="4"/>
      <c r="F409" s="4"/>
      <c r="G409" s="4"/>
      <c r="H409" s="4"/>
      <c r="I409" s="4"/>
      <c r="J409" s="4"/>
      <c r="K409" s="242"/>
      <c r="L409" s="4"/>
      <c r="M409" s="4"/>
      <c r="N409" s="4"/>
      <c r="O409" s="4"/>
      <c r="P409" s="4"/>
      <c r="Q409" s="4"/>
      <c r="R409" s="4"/>
      <c r="S409" s="4"/>
      <c r="T409" s="4"/>
      <c r="U409" s="4"/>
      <c r="V409" s="4"/>
      <c r="W409" s="4"/>
      <c r="X409" s="4"/>
      <c r="Y409" s="4"/>
      <c r="Z409" s="4"/>
      <c r="AA409" s="4"/>
      <c r="AB409" s="4"/>
      <c r="AC409" s="4"/>
      <c r="AD409" s="4"/>
      <c r="AE409" s="4"/>
      <c r="AF409" s="4"/>
      <c r="AG409" s="4"/>
      <c r="AH409" s="4"/>
      <c r="AI409" s="4"/>
      <c r="AJ409" s="4"/>
      <c r="AK409" s="4"/>
      <c r="AL409" s="4"/>
      <c r="AM409" s="4"/>
      <c r="AN409" s="4"/>
      <c r="AO409" s="4"/>
      <c r="AP409" s="4"/>
      <c r="AQ409" s="4"/>
      <c r="AR409" s="4"/>
      <c r="AS409" s="4"/>
      <c r="AT409" s="4"/>
      <c r="AU409" s="4"/>
      <c r="AV409" s="4"/>
      <c r="AW409" s="4"/>
      <c r="AX409" s="4"/>
      <c r="AY409" s="4"/>
      <c r="AZ409" s="4"/>
      <c r="BA409" s="4"/>
      <c r="BB409" s="4"/>
      <c r="BC409" s="4"/>
      <c r="BD409" s="4"/>
      <c r="BE409" s="4"/>
      <c r="BF409" s="4"/>
      <c r="BG409" s="4"/>
      <c r="BH409" s="4"/>
      <c r="BI409" s="4"/>
      <c r="BJ409" s="4"/>
      <c r="BK409" s="4"/>
      <c r="BL409" s="4"/>
      <c r="BM409" s="4"/>
      <c r="BN409" s="4"/>
      <c r="BO409" s="4"/>
      <c r="BP409" s="4"/>
      <c r="BQ409" s="4"/>
      <c r="BR409" s="4"/>
      <c r="BS409" s="4"/>
      <c r="BT409" s="4"/>
      <c r="BU409" s="4"/>
      <c r="BV409" s="4"/>
      <c r="BW409" s="4"/>
      <c r="BX409" s="4"/>
      <c r="BY409" s="4"/>
      <c r="BZ409" s="4"/>
      <c r="CA409" s="4"/>
      <c r="CB409" s="4"/>
      <c r="CC409" s="4"/>
      <c r="CD409" s="4"/>
      <c r="CE409" s="4"/>
      <c r="CF409" s="4"/>
      <c r="CG409" s="4"/>
      <c r="CH409" s="4"/>
      <c r="CI409" s="4"/>
    </row>
    <row r="410" ht="14.25" customHeight="1" spans="1:87" x14ac:dyDescent="0.25">
      <c r="A410" s="4"/>
      <c r="B410" s="4"/>
      <c r="C410" s="4"/>
      <c r="D410" s="4"/>
      <c r="E410" s="4"/>
      <c r="F410" s="4"/>
      <c r="G410" s="4"/>
      <c r="H410" s="4"/>
      <c r="I410" s="4"/>
      <c r="J410" s="4"/>
      <c r="K410" s="242"/>
      <c r="L410" s="4"/>
      <c r="M410" s="4"/>
      <c r="N410" s="4"/>
      <c r="O410" s="4"/>
      <c r="P410" s="4"/>
      <c r="Q410" s="4"/>
      <c r="R410" s="4"/>
      <c r="S410" s="4"/>
      <c r="T410" s="4"/>
      <c r="U410" s="4"/>
      <c r="V410" s="4"/>
      <c r="W410" s="4"/>
      <c r="X410" s="4"/>
      <c r="Y410" s="4"/>
      <c r="Z410" s="4"/>
      <c r="AA410" s="4"/>
      <c r="AB410" s="4"/>
      <c r="AC410" s="4"/>
      <c r="AD410" s="4"/>
      <c r="AE410" s="4"/>
      <c r="AF410" s="4"/>
      <c r="AG410" s="4"/>
      <c r="AH410" s="4"/>
      <c r="AI410" s="4"/>
      <c r="AJ410" s="4"/>
      <c r="AK410" s="4"/>
      <c r="AL410" s="4"/>
      <c r="AM410" s="4"/>
      <c r="AN410" s="4"/>
      <c r="AO410" s="4"/>
      <c r="AP410" s="4"/>
      <c r="AQ410" s="4"/>
      <c r="AR410" s="4"/>
      <c r="AS410" s="4"/>
      <c r="AT410" s="4"/>
      <c r="AU410" s="4"/>
      <c r="AV410" s="4"/>
      <c r="AW410" s="4"/>
      <c r="AX410" s="4"/>
      <c r="AY410" s="4"/>
      <c r="AZ410" s="4"/>
      <c r="BA410" s="4"/>
      <c r="BB410" s="4"/>
      <c r="BC410" s="4"/>
      <c r="BD410" s="4"/>
      <c r="BE410" s="4"/>
      <c r="BF410" s="4"/>
      <c r="BG410" s="4"/>
      <c r="BH410" s="4"/>
      <c r="BI410" s="4"/>
      <c r="BJ410" s="4"/>
      <c r="BK410" s="4"/>
      <c r="BL410" s="4"/>
      <c r="BM410" s="4"/>
      <c r="BN410" s="4"/>
      <c r="BO410" s="4"/>
      <c r="BP410" s="4"/>
      <c r="BQ410" s="4"/>
      <c r="BR410" s="4"/>
      <c r="BS410" s="4"/>
      <c r="BT410" s="4"/>
      <c r="BU410" s="4"/>
      <c r="BV410" s="4"/>
      <c r="BW410" s="4"/>
      <c r="BX410" s="4"/>
      <c r="BY410" s="4"/>
      <c r="BZ410" s="4"/>
      <c r="CA410" s="4"/>
      <c r="CB410" s="4"/>
      <c r="CC410" s="4"/>
      <c r="CD410" s="4"/>
      <c r="CE410" s="4"/>
      <c r="CF410" s="4"/>
      <c r="CG410" s="4"/>
      <c r="CH410" s="4"/>
      <c r="CI410" s="4"/>
    </row>
    <row r="411" ht="14.25" customHeight="1" spans="1:87" x14ac:dyDescent="0.25">
      <c r="A411" s="4"/>
      <c r="B411" s="4"/>
      <c r="C411" s="4"/>
      <c r="D411" s="4"/>
      <c r="E411" s="4"/>
      <c r="F411" s="4"/>
      <c r="G411" s="4"/>
      <c r="H411" s="4"/>
      <c r="I411" s="4"/>
      <c r="J411" s="4"/>
      <c r="K411" s="242"/>
      <c r="L411" s="4"/>
      <c r="M411" s="4"/>
      <c r="N411" s="4"/>
      <c r="O411" s="4"/>
      <c r="P411" s="4"/>
      <c r="Q411" s="4"/>
      <c r="R411" s="4"/>
      <c r="S411" s="4"/>
      <c r="T411" s="4"/>
      <c r="U411" s="4"/>
      <c r="V411" s="4"/>
      <c r="W411" s="4"/>
      <c r="X411" s="4"/>
      <c r="Y411" s="4"/>
      <c r="Z411" s="4"/>
      <c r="AA411" s="4"/>
      <c r="AB411" s="4"/>
      <c r="AC411" s="4"/>
      <c r="AD411" s="4"/>
      <c r="AE411" s="4"/>
      <c r="AF411" s="4"/>
      <c r="AG411" s="4"/>
      <c r="AH411" s="4"/>
      <c r="AI411" s="4"/>
      <c r="AJ411" s="4"/>
      <c r="AK411" s="4"/>
      <c r="AL411" s="4"/>
      <c r="AM411" s="4"/>
      <c r="AN411" s="4"/>
      <c r="AO411" s="4"/>
      <c r="AP411" s="4"/>
      <c r="AQ411" s="4"/>
      <c r="AR411" s="4"/>
      <c r="AS411" s="4"/>
      <c r="AT411" s="4"/>
      <c r="AU411" s="4"/>
      <c r="AV411" s="4"/>
      <c r="AW411" s="4"/>
      <c r="AX411" s="4"/>
      <c r="AY411" s="4"/>
      <c r="AZ411" s="4"/>
      <c r="BA411" s="4"/>
      <c r="BB411" s="4"/>
      <c r="BC411" s="4"/>
      <c r="BD411" s="4"/>
      <c r="BE411" s="4"/>
      <c r="BF411" s="4"/>
      <c r="BG411" s="4"/>
      <c r="BH411" s="4"/>
      <c r="BI411" s="4"/>
      <c r="BJ411" s="4"/>
      <c r="BK411" s="4"/>
      <c r="BL411" s="4"/>
      <c r="BM411" s="4"/>
      <c r="BN411" s="4"/>
      <c r="BO411" s="4"/>
      <c r="BP411" s="4"/>
      <c r="BQ411" s="4"/>
      <c r="BR411" s="4"/>
      <c r="BS411" s="4"/>
      <c r="BT411" s="4"/>
      <c r="BU411" s="4"/>
      <c r="BV411" s="4"/>
      <c r="BW411" s="4"/>
      <c r="BX411" s="4"/>
      <c r="BY411" s="4"/>
      <c r="BZ411" s="4"/>
      <c r="CA411" s="4"/>
      <c r="CB411" s="4"/>
      <c r="CC411" s="4"/>
      <c r="CD411" s="4"/>
      <c r="CE411" s="4"/>
      <c r="CF411" s="4"/>
      <c r="CG411" s="4"/>
      <c r="CH411" s="4"/>
      <c r="CI411" s="4"/>
    </row>
    <row r="412" ht="14.25" customHeight="1" spans="1:87" x14ac:dyDescent="0.25">
      <c r="A412" s="4"/>
      <c r="B412" s="4"/>
      <c r="C412" s="4"/>
      <c r="D412" s="4"/>
      <c r="E412" s="4"/>
      <c r="F412" s="4"/>
      <c r="G412" s="4"/>
      <c r="H412" s="4"/>
      <c r="I412" s="4"/>
      <c r="J412" s="4"/>
      <c r="K412" s="242"/>
      <c r="L412" s="4"/>
      <c r="M412" s="4"/>
      <c r="N412" s="4"/>
      <c r="O412" s="4"/>
      <c r="P412" s="4"/>
      <c r="Q412" s="4"/>
      <c r="R412" s="4"/>
      <c r="S412" s="4"/>
      <c r="T412" s="4"/>
      <c r="U412" s="4"/>
      <c r="V412" s="4"/>
      <c r="W412" s="4"/>
      <c r="X412" s="4"/>
      <c r="Y412" s="4"/>
      <c r="Z412" s="4"/>
      <c r="AA412" s="4"/>
      <c r="AB412" s="4"/>
      <c r="AC412" s="4"/>
      <c r="AD412" s="4"/>
      <c r="AE412" s="4"/>
      <c r="AF412" s="4"/>
      <c r="AG412" s="4"/>
      <c r="AH412" s="4"/>
      <c r="AI412" s="4"/>
      <c r="AJ412" s="4"/>
      <c r="AK412" s="4"/>
      <c r="AL412" s="4"/>
      <c r="AM412" s="4"/>
      <c r="AN412" s="4"/>
      <c r="AO412" s="4"/>
      <c r="AP412" s="4"/>
      <c r="AQ412" s="4"/>
      <c r="AR412" s="4"/>
      <c r="AS412" s="4"/>
      <c r="AT412" s="4"/>
      <c r="AU412" s="4"/>
      <c r="AV412" s="4"/>
      <c r="AW412" s="4"/>
      <c r="AX412" s="4"/>
      <c r="AY412" s="4"/>
      <c r="AZ412" s="4"/>
      <c r="BA412" s="4"/>
      <c r="BB412" s="4"/>
      <c r="BC412" s="4"/>
      <c r="BD412" s="4"/>
      <c r="BE412" s="4"/>
      <c r="BF412" s="4"/>
      <c r="BG412" s="4"/>
      <c r="BH412" s="4"/>
      <c r="BI412" s="4"/>
      <c r="BJ412" s="4"/>
      <c r="BK412" s="4"/>
      <c r="BL412" s="4"/>
      <c r="BM412" s="4"/>
      <c r="BN412" s="4"/>
      <c r="BO412" s="4"/>
      <c r="BP412" s="4"/>
      <c r="BQ412" s="4"/>
      <c r="BR412" s="4"/>
      <c r="BS412" s="4"/>
      <c r="BT412" s="4"/>
      <c r="BU412" s="4"/>
      <c r="BV412" s="4"/>
      <c r="BW412" s="4"/>
      <c r="BX412" s="4"/>
      <c r="BY412" s="4"/>
      <c r="BZ412" s="4"/>
      <c r="CA412" s="4"/>
      <c r="CB412" s="4"/>
      <c r="CC412" s="4"/>
      <c r="CD412" s="4"/>
      <c r="CE412" s="4"/>
      <c r="CF412" s="4"/>
      <c r="CG412" s="4"/>
      <c r="CH412" s="4"/>
      <c r="CI412" s="4"/>
    </row>
    <row r="413" ht="14.25" customHeight="1" spans="1:87" x14ac:dyDescent="0.25">
      <c r="A413" s="4"/>
      <c r="B413" s="4"/>
      <c r="C413" s="4"/>
      <c r="D413" s="4"/>
      <c r="E413" s="4"/>
      <c r="F413" s="4"/>
      <c r="G413" s="4"/>
      <c r="H413" s="4"/>
      <c r="I413" s="4"/>
      <c r="J413" s="4"/>
      <c r="K413" s="242"/>
      <c r="L413" s="4"/>
      <c r="M413" s="4"/>
      <c r="N413" s="4"/>
      <c r="O413" s="4"/>
      <c r="P413" s="4"/>
      <c r="Q413" s="4"/>
      <c r="R413" s="4"/>
      <c r="S413" s="4"/>
      <c r="T413" s="4"/>
      <c r="U413" s="4"/>
      <c r="V413" s="4"/>
      <c r="W413" s="4"/>
      <c r="X413" s="4"/>
      <c r="Y413" s="4"/>
      <c r="Z413" s="4"/>
      <c r="AA413" s="4"/>
      <c r="AB413" s="4"/>
      <c r="AC413" s="4"/>
      <c r="AD413" s="4"/>
      <c r="AE413" s="4"/>
      <c r="AF413" s="4"/>
      <c r="AG413" s="4"/>
      <c r="AH413" s="4"/>
      <c r="AI413" s="4"/>
      <c r="AJ413" s="4"/>
      <c r="AK413" s="4"/>
      <c r="AL413" s="4"/>
      <c r="AM413" s="4"/>
      <c r="AN413" s="4"/>
      <c r="AO413" s="4"/>
      <c r="AP413" s="4"/>
      <c r="AQ413" s="4"/>
      <c r="AR413" s="4"/>
      <c r="AS413" s="4"/>
      <c r="AT413" s="4"/>
      <c r="AU413" s="4"/>
      <c r="AV413" s="4"/>
      <c r="AW413" s="4"/>
      <c r="AX413" s="4"/>
      <c r="AY413" s="4"/>
      <c r="AZ413" s="4"/>
      <c r="BA413" s="4"/>
      <c r="BB413" s="4"/>
      <c r="BC413" s="4"/>
      <c r="BD413" s="4"/>
      <c r="BE413" s="4"/>
      <c r="BF413" s="4"/>
      <c r="BG413" s="4"/>
      <c r="BH413" s="4"/>
      <c r="BI413" s="4"/>
      <c r="BJ413" s="4"/>
      <c r="BK413" s="4"/>
      <c r="BL413" s="4"/>
      <c r="BM413" s="4"/>
      <c r="BN413" s="4"/>
      <c r="BO413" s="4"/>
      <c r="BP413" s="4"/>
      <c r="BQ413" s="4"/>
      <c r="BR413" s="4"/>
      <c r="BS413" s="4"/>
      <c r="BT413" s="4"/>
      <c r="BU413" s="4"/>
      <c r="BV413" s="4"/>
      <c r="BW413" s="4"/>
      <c r="BX413" s="4"/>
      <c r="BY413" s="4"/>
      <c r="BZ413" s="4"/>
      <c r="CA413" s="4"/>
      <c r="CB413" s="4"/>
      <c r="CC413" s="4"/>
      <c r="CD413" s="4"/>
      <c r="CE413" s="4"/>
      <c r="CF413" s="4"/>
      <c r="CG413" s="4"/>
      <c r="CH413" s="4"/>
      <c r="CI413" s="4"/>
    </row>
    <row r="414" ht="14.25" customHeight="1" spans="1:87" x14ac:dyDescent="0.25">
      <c r="A414" s="4"/>
      <c r="B414" s="4"/>
      <c r="C414" s="4"/>
      <c r="D414" s="4"/>
      <c r="E414" s="4"/>
      <c r="F414" s="4"/>
      <c r="G414" s="4"/>
      <c r="H414" s="4"/>
      <c r="I414" s="4"/>
      <c r="J414" s="4"/>
      <c r="K414" s="242"/>
      <c r="L414" s="4"/>
      <c r="M414" s="4"/>
      <c r="N414" s="4"/>
      <c r="O414" s="4"/>
      <c r="P414" s="4"/>
      <c r="Q414" s="4"/>
      <c r="R414" s="4"/>
      <c r="S414" s="4"/>
      <c r="T414" s="4"/>
      <c r="U414" s="4"/>
      <c r="V414" s="4"/>
      <c r="W414" s="4"/>
      <c r="X414" s="4"/>
      <c r="Y414" s="4"/>
      <c r="Z414" s="4"/>
      <c r="AA414" s="4"/>
      <c r="AB414" s="4"/>
      <c r="AC414" s="4"/>
      <c r="AD414" s="4"/>
      <c r="AE414" s="4"/>
      <c r="AF414" s="4"/>
      <c r="AG414" s="4"/>
      <c r="AH414" s="4"/>
      <c r="AI414" s="4"/>
      <c r="AJ414" s="4"/>
      <c r="AK414" s="4"/>
      <c r="AL414" s="4"/>
      <c r="AM414" s="4"/>
      <c r="AN414" s="4"/>
      <c r="AO414" s="4"/>
      <c r="AP414" s="4"/>
      <c r="AQ414" s="4"/>
      <c r="AR414" s="4"/>
      <c r="AS414" s="4"/>
      <c r="AT414" s="4"/>
      <c r="AU414" s="4"/>
      <c r="AV414" s="4"/>
      <c r="AW414" s="4"/>
      <c r="AX414" s="4"/>
      <c r="AY414" s="4"/>
      <c r="AZ414" s="4"/>
      <c r="BA414" s="4"/>
      <c r="BB414" s="4"/>
      <c r="BC414" s="4"/>
      <c r="BD414" s="4"/>
      <c r="BE414" s="4"/>
      <c r="BF414" s="4"/>
      <c r="BG414" s="4"/>
      <c r="BH414" s="4"/>
      <c r="BI414" s="4"/>
      <c r="BJ414" s="4"/>
      <c r="BK414" s="4"/>
      <c r="BL414" s="4"/>
      <c r="BM414" s="4"/>
      <c r="BN414" s="4"/>
      <c r="BO414" s="4"/>
      <c r="BP414" s="4"/>
      <c r="BQ414" s="4"/>
      <c r="BR414" s="4"/>
      <c r="BS414" s="4"/>
      <c r="BT414" s="4"/>
      <c r="BU414" s="4"/>
      <c r="BV414" s="4"/>
      <c r="BW414" s="4"/>
      <c r="BX414" s="4"/>
      <c r="BY414" s="4"/>
      <c r="BZ414" s="4"/>
      <c r="CA414" s="4"/>
      <c r="CB414" s="4"/>
      <c r="CC414" s="4"/>
      <c r="CD414" s="4"/>
      <c r="CE414" s="4"/>
      <c r="CF414" s="4"/>
      <c r="CG414" s="4"/>
      <c r="CH414" s="4"/>
      <c r="CI414" s="4"/>
    </row>
    <row r="415" ht="14.25" customHeight="1" spans="1:87" x14ac:dyDescent="0.25">
      <c r="A415" s="4"/>
      <c r="B415" s="4"/>
      <c r="C415" s="4"/>
      <c r="D415" s="4"/>
      <c r="E415" s="4"/>
      <c r="F415" s="4"/>
      <c r="G415" s="4"/>
      <c r="H415" s="4"/>
      <c r="I415" s="4"/>
      <c r="J415" s="4"/>
      <c r="K415" s="242"/>
      <c r="L415" s="4"/>
      <c r="M415" s="4"/>
      <c r="N415" s="4"/>
      <c r="O415" s="4"/>
      <c r="P415" s="4"/>
      <c r="Q415" s="4"/>
      <c r="R415" s="4"/>
      <c r="S415" s="4"/>
      <c r="T415" s="4"/>
      <c r="U415" s="4"/>
      <c r="V415" s="4"/>
      <c r="W415" s="4"/>
      <c r="X415" s="4"/>
      <c r="Y415" s="4"/>
      <c r="Z415" s="4"/>
      <c r="AA415" s="4"/>
      <c r="AB415" s="4"/>
      <c r="AC415" s="4"/>
      <c r="AD415" s="4"/>
      <c r="AE415" s="4"/>
      <c r="AF415" s="4"/>
      <c r="AG415" s="4"/>
      <c r="AH415" s="4"/>
      <c r="AI415" s="4"/>
      <c r="AJ415" s="4"/>
      <c r="AK415" s="4"/>
      <c r="AL415" s="4"/>
      <c r="AM415" s="4"/>
      <c r="AN415" s="4"/>
      <c r="AO415" s="4"/>
      <c r="AP415" s="4"/>
      <c r="AQ415" s="4"/>
      <c r="AR415" s="4"/>
      <c r="AS415" s="4"/>
      <c r="AT415" s="4"/>
      <c r="AU415" s="4"/>
      <c r="AV415" s="4"/>
      <c r="AW415" s="4"/>
      <c r="AX415" s="4"/>
      <c r="AY415" s="4"/>
      <c r="AZ415" s="4"/>
      <c r="BA415" s="4"/>
      <c r="BB415" s="4"/>
      <c r="BC415" s="4"/>
      <c r="BD415" s="4"/>
      <c r="BE415" s="4"/>
      <c r="BF415" s="4"/>
      <c r="BG415" s="4"/>
      <c r="BH415" s="4"/>
      <c r="BI415" s="4"/>
      <c r="BJ415" s="4"/>
      <c r="BK415" s="4"/>
      <c r="BL415" s="4"/>
      <c r="BM415" s="4"/>
      <c r="BN415" s="4"/>
      <c r="BO415" s="4"/>
      <c r="BP415" s="4"/>
      <c r="BQ415" s="4"/>
      <c r="BR415" s="4"/>
      <c r="BS415" s="4"/>
      <c r="BT415" s="4"/>
      <c r="BU415" s="4"/>
      <c r="BV415" s="4"/>
      <c r="BW415" s="4"/>
      <c r="BX415" s="4"/>
      <c r="BY415" s="4"/>
      <c r="BZ415" s="4"/>
      <c r="CA415" s="4"/>
      <c r="CB415" s="4"/>
      <c r="CC415" s="4"/>
      <c r="CD415" s="4"/>
      <c r="CE415" s="4"/>
      <c r="CF415" s="4"/>
      <c r="CG415" s="4"/>
      <c r="CH415" s="4"/>
      <c r="CI415" s="4"/>
    </row>
    <row r="416" ht="14.25" customHeight="1" spans="1:87" x14ac:dyDescent="0.25">
      <c r="A416" s="4"/>
      <c r="B416" s="4"/>
      <c r="C416" s="4"/>
      <c r="D416" s="4"/>
      <c r="E416" s="4"/>
      <c r="F416" s="4"/>
      <c r="G416" s="4"/>
      <c r="H416" s="4"/>
      <c r="I416" s="4"/>
      <c r="J416" s="4"/>
      <c r="K416" s="242"/>
      <c r="L416" s="4"/>
      <c r="M416" s="4"/>
      <c r="N416" s="4"/>
      <c r="O416" s="4"/>
      <c r="P416" s="4"/>
      <c r="Q416" s="4"/>
      <c r="R416" s="4"/>
      <c r="S416" s="4"/>
      <c r="T416" s="4"/>
      <c r="U416" s="4"/>
      <c r="V416" s="4"/>
      <c r="W416" s="4"/>
      <c r="X416" s="4"/>
      <c r="Y416" s="4"/>
      <c r="Z416" s="4"/>
      <c r="AA416" s="4"/>
      <c r="AB416" s="4"/>
      <c r="AC416" s="4"/>
      <c r="AD416" s="4"/>
      <c r="AE416" s="4"/>
      <c r="AF416" s="4"/>
      <c r="AG416" s="4"/>
      <c r="AH416" s="4"/>
      <c r="AI416" s="4"/>
      <c r="AJ416" s="4"/>
      <c r="AK416" s="4"/>
      <c r="AL416" s="4"/>
      <c r="AM416" s="4"/>
      <c r="AN416" s="4"/>
      <c r="AO416" s="4"/>
      <c r="AP416" s="4"/>
      <c r="AQ416" s="4"/>
      <c r="AR416" s="4"/>
      <c r="AS416" s="4"/>
      <c r="AT416" s="4"/>
      <c r="AU416" s="4"/>
      <c r="AV416" s="4"/>
      <c r="AW416" s="4"/>
      <c r="AX416" s="4"/>
      <c r="AY416" s="4"/>
      <c r="AZ416" s="4"/>
      <c r="BA416" s="4"/>
      <c r="BB416" s="4"/>
      <c r="BC416" s="4"/>
      <c r="BD416" s="4"/>
      <c r="BE416" s="4"/>
      <c r="BF416" s="4"/>
      <c r="BG416" s="4"/>
      <c r="BH416" s="4"/>
      <c r="BI416" s="4"/>
      <c r="BJ416" s="4"/>
      <c r="BK416" s="4"/>
      <c r="BL416" s="4"/>
      <c r="BM416" s="4"/>
      <c r="BN416" s="4"/>
      <c r="BO416" s="4"/>
      <c r="BP416" s="4"/>
      <c r="BQ416" s="4"/>
      <c r="BR416" s="4"/>
      <c r="BS416" s="4"/>
      <c r="BT416" s="4"/>
      <c r="BU416" s="4"/>
      <c r="BV416" s="4"/>
      <c r="BW416" s="4"/>
      <c r="BX416" s="4"/>
      <c r="BY416" s="4"/>
      <c r="BZ416" s="4"/>
      <c r="CA416" s="4"/>
      <c r="CB416" s="4"/>
      <c r="CC416" s="4"/>
      <c r="CD416" s="4"/>
      <c r="CE416" s="4"/>
      <c r="CF416" s="4"/>
      <c r="CG416" s="4"/>
      <c r="CH416" s="4"/>
      <c r="CI416" s="4"/>
    </row>
    <row r="417" ht="14.25" customHeight="1" spans="1:87" x14ac:dyDescent="0.25">
      <c r="A417" s="4"/>
      <c r="B417" s="4"/>
      <c r="C417" s="4"/>
      <c r="D417" s="4"/>
      <c r="E417" s="4"/>
      <c r="F417" s="4"/>
      <c r="G417" s="4"/>
      <c r="H417" s="4"/>
      <c r="I417" s="4"/>
      <c r="J417" s="4"/>
      <c r="K417" s="242"/>
      <c r="L417" s="4"/>
      <c r="M417" s="4"/>
      <c r="N417" s="4"/>
      <c r="O417" s="4"/>
      <c r="P417" s="4"/>
      <c r="Q417" s="4"/>
      <c r="R417" s="4"/>
      <c r="S417" s="4"/>
      <c r="T417" s="4"/>
      <c r="U417" s="4"/>
      <c r="V417" s="4"/>
      <c r="W417" s="4"/>
      <c r="X417" s="4"/>
      <c r="Y417" s="4"/>
      <c r="Z417" s="4"/>
      <c r="AA417" s="4"/>
      <c r="AB417" s="4"/>
      <c r="AC417" s="4"/>
      <c r="AD417" s="4"/>
      <c r="AE417" s="4"/>
      <c r="AF417" s="4"/>
      <c r="AG417" s="4"/>
      <c r="AH417" s="4"/>
      <c r="AI417" s="4"/>
      <c r="AJ417" s="4"/>
      <c r="AK417" s="4"/>
      <c r="AL417" s="4"/>
      <c r="AM417" s="4"/>
      <c r="AN417" s="4"/>
      <c r="AO417" s="4"/>
      <c r="AP417" s="4"/>
      <c r="AQ417" s="4"/>
      <c r="AR417" s="4"/>
      <c r="AS417" s="4"/>
      <c r="AT417" s="4"/>
      <c r="AU417" s="4"/>
      <c r="AV417" s="4"/>
      <c r="AW417" s="4"/>
      <c r="AX417" s="4"/>
      <c r="AY417" s="4"/>
      <c r="AZ417" s="4"/>
      <c r="BA417" s="4"/>
      <c r="BB417" s="4"/>
      <c r="BC417" s="4"/>
      <c r="BD417" s="4"/>
      <c r="BE417" s="4"/>
      <c r="BF417" s="4"/>
      <c r="BG417" s="4"/>
      <c r="BH417" s="4"/>
      <c r="BI417" s="4"/>
      <c r="BJ417" s="4"/>
      <c r="BK417" s="4"/>
      <c r="BL417" s="4"/>
      <c r="BM417" s="4"/>
      <c r="BN417" s="4"/>
      <c r="BO417" s="4"/>
      <c r="BP417" s="4"/>
      <c r="BQ417" s="4"/>
      <c r="BR417" s="4"/>
      <c r="BS417" s="4"/>
      <c r="BT417" s="4"/>
      <c r="BU417" s="4"/>
      <c r="BV417" s="4"/>
      <c r="BW417" s="4"/>
      <c r="BX417" s="4"/>
      <c r="BY417" s="4"/>
      <c r="BZ417" s="4"/>
      <c r="CA417" s="4"/>
      <c r="CB417" s="4"/>
      <c r="CC417" s="4"/>
      <c r="CD417" s="4"/>
      <c r="CE417" s="4"/>
      <c r="CF417" s="4"/>
      <c r="CG417" s="4"/>
      <c r="CH417" s="4"/>
      <c r="CI417" s="4"/>
    </row>
    <row r="418" ht="14.25" customHeight="1" spans="1:87" x14ac:dyDescent="0.25">
      <c r="A418" s="4"/>
      <c r="B418" s="4"/>
      <c r="C418" s="4"/>
      <c r="D418" s="4"/>
      <c r="E418" s="4"/>
      <c r="F418" s="4"/>
      <c r="G418" s="4"/>
      <c r="H418" s="4"/>
      <c r="I418" s="4"/>
      <c r="J418" s="4"/>
      <c r="K418" s="242"/>
      <c r="L418" s="4"/>
      <c r="M418" s="4"/>
      <c r="N418" s="4"/>
      <c r="O418" s="4"/>
      <c r="P418" s="4"/>
      <c r="Q418" s="4"/>
      <c r="R418" s="4"/>
      <c r="S418" s="4"/>
      <c r="T418" s="4"/>
      <c r="U418" s="4"/>
      <c r="V418" s="4"/>
      <c r="W418" s="4"/>
      <c r="X418" s="4"/>
      <c r="Y418" s="4"/>
      <c r="Z418" s="4"/>
      <c r="AA418" s="4"/>
      <c r="AB418" s="4"/>
      <c r="AC418" s="4"/>
      <c r="AD418" s="4"/>
      <c r="AE418" s="4"/>
      <c r="AF418" s="4"/>
      <c r="AG418" s="4"/>
      <c r="AH418" s="4"/>
      <c r="AI418" s="4"/>
      <c r="AJ418" s="4"/>
      <c r="AK418" s="4"/>
      <c r="AL418" s="4"/>
      <c r="AM418" s="4"/>
      <c r="AN418" s="4"/>
      <c r="AO418" s="4"/>
      <c r="AP418" s="4"/>
      <c r="AQ418" s="4"/>
      <c r="AR418" s="4"/>
      <c r="AS418" s="4"/>
      <c r="AT418" s="4"/>
      <c r="AU418" s="4"/>
      <c r="AV418" s="4"/>
      <c r="AW418" s="4"/>
      <c r="AX418" s="4"/>
      <c r="AY418" s="4"/>
      <c r="AZ418" s="4"/>
      <c r="BA418" s="4"/>
      <c r="BB418" s="4"/>
      <c r="BC418" s="4"/>
      <c r="BD418" s="4"/>
      <c r="BE418" s="4"/>
      <c r="BF418" s="4"/>
      <c r="BG418" s="4"/>
      <c r="BH418" s="4"/>
      <c r="BI418" s="4"/>
      <c r="BJ418" s="4"/>
      <c r="BK418" s="4"/>
      <c r="BL418" s="4"/>
      <c r="BM418" s="4"/>
      <c r="BN418" s="4"/>
      <c r="BO418" s="4"/>
      <c r="BP418" s="4"/>
      <c r="BQ418" s="4"/>
      <c r="BR418" s="4"/>
      <c r="BS418" s="4"/>
      <c r="BT418" s="4"/>
      <c r="BU418" s="4"/>
      <c r="BV418" s="4"/>
      <c r="BW418" s="4"/>
      <c r="BX418" s="4"/>
      <c r="BY418" s="4"/>
      <c r="BZ418" s="4"/>
      <c r="CA418" s="4"/>
      <c r="CB418" s="4"/>
      <c r="CC418" s="4"/>
      <c r="CD418" s="4"/>
      <c r="CE418" s="4"/>
      <c r="CF418" s="4"/>
      <c r="CG418" s="4"/>
      <c r="CH418" s="4"/>
      <c r="CI418" s="4"/>
    </row>
    <row r="419" ht="14.25" customHeight="1" spans="1:87" x14ac:dyDescent="0.25">
      <c r="A419" s="4"/>
      <c r="B419" s="4"/>
      <c r="C419" s="4"/>
      <c r="D419" s="4"/>
      <c r="E419" s="4"/>
      <c r="F419" s="4"/>
      <c r="G419" s="4"/>
      <c r="H419" s="4"/>
      <c r="I419" s="4"/>
      <c r="J419" s="4"/>
      <c r="K419" s="242"/>
      <c r="L419" s="4"/>
      <c r="M419" s="4"/>
      <c r="N419" s="4"/>
      <c r="O419" s="4"/>
      <c r="P419" s="4"/>
      <c r="Q419" s="4"/>
      <c r="R419" s="4"/>
      <c r="S419" s="4"/>
      <c r="T419" s="4"/>
      <c r="U419" s="4"/>
      <c r="V419" s="4"/>
      <c r="W419" s="4"/>
      <c r="X419" s="4"/>
      <c r="Y419" s="4"/>
      <c r="Z419" s="4"/>
      <c r="AA419" s="4"/>
      <c r="AB419" s="4"/>
      <c r="AC419" s="4"/>
      <c r="AD419" s="4"/>
      <c r="AE419" s="4"/>
      <c r="AF419" s="4"/>
      <c r="AG419" s="4"/>
      <c r="AH419" s="4"/>
      <c r="AI419" s="4"/>
      <c r="AJ419" s="4"/>
      <c r="AK419" s="4"/>
      <c r="AL419" s="4"/>
      <c r="AM419" s="4"/>
      <c r="AN419" s="4"/>
      <c r="AO419" s="4"/>
      <c r="AP419" s="4"/>
      <c r="AQ419" s="4"/>
      <c r="AR419" s="4"/>
      <c r="AS419" s="4"/>
      <c r="AT419" s="4"/>
      <c r="AU419" s="4"/>
      <c r="AV419" s="4"/>
      <c r="AW419" s="4"/>
      <c r="AX419" s="4"/>
      <c r="AY419" s="4"/>
      <c r="AZ419" s="4"/>
      <c r="BA419" s="4"/>
      <c r="BB419" s="4"/>
      <c r="BC419" s="4"/>
      <c r="BD419" s="4"/>
      <c r="BE419" s="4"/>
      <c r="BF419" s="4"/>
      <c r="BG419" s="4"/>
      <c r="BH419" s="4"/>
      <c r="BI419" s="4"/>
      <c r="BJ419" s="4"/>
      <c r="BK419" s="4"/>
      <c r="BL419" s="4"/>
      <c r="BM419" s="4"/>
      <c r="BN419" s="4"/>
      <c r="BO419" s="4"/>
      <c r="BP419" s="4"/>
      <c r="BQ419" s="4"/>
      <c r="BR419" s="4"/>
      <c r="BS419" s="4"/>
      <c r="BT419" s="4"/>
      <c r="BU419" s="4"/>
      <c r="BV419" s="4"/>
      <c r="BW419" s="4"/>
      <c r="BX419" s="4"/>
      <c r="BY419" s="4"/>
      <c r="BZ419" s="4"/>
      <c r="CA419" s="4"/>
      <c r="CB419" s="4"/>
      <c r="CC419" s="4"/>
      <c r="CD419" s="4"/>
      <c r="CE419" s="4"/>
      <c r="CF419" s="4"/>
      <c r="CG419" s="4"/>
      <c r="CH419" s="4"/>
      <c r="CI419" s="4"/>
    </row>
    <row r="420" ht="14.25" customHeight="1" spans="1:87" x14ac:dyDescent="0.25">
      <c r="A420" s="4"/>
      <c r="B420" s="4"/>
      <c r="C420" s="4"/>
      <c r="D420" s="4"/>
      <c r="E420" s="4"/>
      <c r="F420" s="4"/>
      <c r="G420" s="4"/>
      <c r="H420" s="4"/>
      <c r="I420" s="4"/>
      <c r="J420" s="4"/>
      <c r="K420" s="242"/>
      <c r="L420" s="4"/>
      <c r="M420" s="4"/>
      <c r="N420" s="4"/>
      <c r="O420" s="4"/>
      <c r="P420" s="4"/>
      <c r="Q420" s="4"/>
      <c r="R420" s="4"/>
      <c r="S420" s="4"/>
      <c r="T420" s="4"/>
      <c r="U420" s="4"/>
      <c r="V420" s="4"/>
      <c r="W420" s="4"/>
      <c r="X420" s="4"/>
      <c r="Y420" s="4"/>
      <c r="Z420" s="4"/>
      <c r="AA420" s="4"/>
      <c r="AB420" s="4"/>
      <c r="AC420" s="4"/>
      <c r="AD420" s="4"/>
      <c r="AE420" s="4"/>
      <c r="AF420" s="4"/>
      <c r="AG420" s="4"/>
      <c r="AH420" s="4"/>
      <c r="AI420" s="4"/>
      <c r="AJ420" s="4"/>
      <c r="AK420" s="4"/>
      <c r="AL420" s="4"/>
      <c r="AM420" s="4"/>
      <c r="AN420" s="4"/>
      <c r="AO420" s="4"/>
      <c r="AP420" s="4"/>
      <c r="AQ420" s="4"/>
      <c r="AR420" s="4"/>
      <c r="AS420" s="4"/>
      <c r="AT420" s="4"/>
      <c r="AU420" s="4"/>
      <c r="AV420" s="4"/>
      <c r="AW420" s="4"/>
      <c r="AX420" s="4"/>
      <c r="AY420" s="4"/>
      <c r="AZ420" s="4"/>
      <c r="BA420" s="4"/>
      <c r="BB420" s="4"/>
      <c r="BC420" s="4"/>
      <c r="BD420" s="4"/>
      <c r="BE420" s="4"/>
      <c r="BF420" s="4"/>
      <c r="BG420" s="4"/>
      <c r="BH420" s="4"/>
      <c r="BI420" s="4"/>
      <c r="BJ420" s="4"/>
      <c r="BK420" s="4"/>
      <c r="BL420" s="4"/>
      <c r="BM420" s="4"/>
      <c r="BN420" s="4"/>
      <c r="BO420" s="4"/>
      <c r="BP420" s="4"/>
      <c r="BQ420" s="4"/>
      <c r="BR420" s="4"/>
      <c r="BS420" s="4"/>
      <c r="BT420" s="4"/>
      <c r="BU420" s="4"/>
      <c r="BV420" s="4"/>
      <c r="BW420" s="4"/>
      <c r="BX420" s="4"/>
      <c r="BY420" s="4"/>
      <c r="BZ420" s="4"/>
      <c r="CA420" s="4"/>
      <c r="CB420" s="4"/>
      <c r="CC420" s="4"/>
      <c r="CD420" s="4"/>
      <c r="CE420" s="4"/>
      <c r="CF420" s="4"/>
      <c r="CG420" s="4"/>
      <c r="CH420" s="4"/>
      <c r="CI420" s="4"/>
    </row>
    <row r="421" ht="14.25" customHeight="1" spans="1:87" x14ac:dyDescent="0.25">
      <c r="A421" s="4"/>
      <c r="B421" s="4"/>
      <c r="C421" s="4"/>
      <c r="D421" s="4"/>
      <c r="E421" s="4"/>
      <c r="F421" s="4"/>
      <c r="G421" s="4"/>
      <c r="H421" s="4"/>
      <c r="I421" s="4"/>
      <c r="J421" s="4"/>
      <c r="K421" s="242"/>
      <c r="L421" s="4"/>
      <c r="M421" s="4"/>
      <c r="N421" s="4"/>
      <c r="O421" s="4"/>
      <c r="P421" s="4"/>
      <c r="Q421" s="4"/>
      <c r="R421" s="4"/>
      <c r="S421" s="4"/>
      <c r="T421" s="4"/>
      <c r="U421" s="4"/>
      <c r="V421" s="4"/>
      <c r="W421" s="4"/>
      <c r="X421" s="4"/>
      <c r="Y421" s="4"/>
      <c r="Z421" s="4"/>
      <c r="AA421" s="4"/>
      <c r="AB421" s="4"/>
      <c r="AC421" s="4"/>
      <c r="AD421" s="4"/>
      <c r="AE421" s="4"/>
      <c r="AF421" s="4"/>
      <c r="AG421" s="4"/>
      <c r="AH421" s="4"/>
      <c r="AI421" s="4"/>
      <c r="AJ421" s="4"/>
      <c r="AK421" s="4"/>
      <c r="AL421" s="4"/>
      <c r="AM421" s="4"/>
      <c r="AN421" s="4"/>
      <c r="AO421" s="4"/>
      <c r="AP421" s="4"/>
      <c r="AQ421" s="4"/>
      <c r="AR421" s="4"/>
      <c r="AS421" s="4"/>
      <c r="AT421" s="4"/>
      <c r="AU421" s="4"/>
      <c r="AV421" s="4"/>
      <c r="AW421" s="4"/>
      <c r="AX421" s="4"/>
      <c r="AY421" s="4"/>
      <c r="AZ421" s="4"/>
      <c r="BA421" s="4"/>
      <c r="BB421" s="4"/>
      <c r="BC421" s="4"/>
      <c r="BD421" s="4"/>
      <c r="BE421" s="4"/>
      <c r="BF421" s="4"/>
      <c r="BG421" s="4"/>
      <c r="BH421" s="4"/>
      <c r="BI421" s="4"/>
      <c r="BJ421" s="4"/>
      <c r="BK421" s="4"/>
      <c r="BL421" s="4"/>
      <c r="BM421" s="4"/>
      <c r="BN421" s="4"/>
      <c r="BO421" s="4"/>
      <c r="BP421" s="4"/>
      <c r="BQ421" s="4"/>
      <c r="BR421" s="4"/>
      <c r="BS421" s="4"/>
      <c r="BT421" s="4"/>
      <c r="BU421" s="4"/>
      <c r="BV421" s="4"/>
      <c r="BW421" s="4"/>
      <c r="BX421" s="4"/>
      <c r="BY421" s="4"/>
      <c r="BZ421" s="4"/>
      <c r="CA421" s="4"/>
      <c r="CB421" s="4"/>
      <c r="CC421" s="4"/>
      <c r="CD421" s="4"/>
      <c r="CE421" s="4"/>
      <c r="CF421" s="4"/>
      <c r="CG421" s="4"/>
      <c r="CH421" s="4"/>
      <c r="CI421" s="4"/>
    </row>
    <row r="422" ht="14.25" customHeight="1" spans="1:87" x14ac:dyDescent="0.25">
      <c r="A422" s="4"/>
      <c r="B422" s="4"/>
      <c r="C422" s="4"/>
      <c r="D422" s="4"/>
      <c r="E422" s="4"/>
      <c r="F422" s="4"/>
      <c r="G422" s="4"/>
      <c r="H422" s="4"/>
      <c r="I422" s="4"/>
      <c r="J422" s="4"/>
      <c r="K422" s="242"/>
      <c r="L422" s="4"/>
      <c r="M422" s="4"/>
      <c r="N422" s="4"/>
      <c r="O422" s="4"/>
      <c r="P422" s="4"/>
      <c r="Q422" s="4"/>
      <c r="R422" s="4"/>
      <c r="S422" s="4"/>
      <c r="T422" s="4"/>
      <c r="U422" s="4"/>
      <c r="V422" s="4"/>
      <c r="W422" s="4"/>
      <c r="X422" s="4"/>
      <c r="Y422" s="4"/>
      <c r="Z422" s="4"/>
      <c r="AA422" s="4"/>
      <c r="AB422" s="4"/>
      <c r="AC422" s="4"/>
      <c r="AD422" s="4"/>
      <c r="AE422" s="4"/>
      <c r="AF422" s="4"/>
      <c r="AG422" s="4"/>
      <c r="AH422" s="4"/>
      <c r="AI422" s="4"/>
      <c r="AJ422" s="4"/>
      <c r="AK422" s="4"/>
      <c r="AL422" s="4"/>
      <c r="AM422" s="4"/>
      <c r="AN422" s="4"/>
      <c r="AO422" s="4"/>
      <c r="AP422" s="4"/>
      <c r="AQ422" s="4"/>
      <c r="AR422" s="4"/>
      <c r="AS422" s="4"/>
      <c r="AT422" s="4"/>
      <c r="AU422" s="4"/>
      <c r="AV422" s="4"/>
      <c r="AW422" s="4"/>
      <c r="AX422" s="4"/>
      <c r="AY422" s="4"/>
      <c r="AZ422" s="4"/>
      <c r="BA422" s="4"/>
      <c r="BB422" s="4"/>
      <c r="BC422" s="4"/>
      <c r="BD422" s="4"/>
      <c r="BE422" s="4"/>
      <c r="BF422" s="4"/>
      <c r="BG422" s="4"/>
      <c r="BH422" s="4"/>
      <c r="BI422" s="4"/>
      <c r="BJ422" s="4"/>
      <c r="BK422" s="4"/>
      <c r="BL422" s="4"/>
      <c r="BM422" s="4"/>
      <c r="BN422" s="4"/>
      <c r="BO422" s="4"/>
      <c r="BP422" s="4"/>
      <c r="BQ422" s="4"/>
      <c r="BR422" s="4"/>
      <c r="BS422" s="4"/>
      <c r="BT422" s="4"/>
      <c r="BU422" s="4"/>
      <c r="BV422" s="4"/>
      <c r="BW422" s="4"/>
      <c r="BX422" s="4"/>
      <c r="BY422" s="4"/>
      <c r="BZ422" s="4"/>
      <c r="CA422" s="4"/>
      <c r="CB422" s="4"/>
      <c r="CC422" s="4"/>
      <c r="CD422" s="4"/>
      <c r="CE422" s="4"/>
      <c r="CF422" s="4"/>
      <c r="CG422" s="4"/>
      <c r="CH422" s="4"/>
      <c r="CI422" s="4"/>
    </row>
    <row r="423" ht="14.25" customHeight="1" spans="1:87" x14ac:dyDescent="0.25">
      <c r="A423" s="4"/>
      <c r="B423" s="4"/>
      <c r="C423" s="4"/>
      <c r="D423" s="4"/>
      <c r="E423" s="4"/>
      <c r="F423" s="4"/>
      <c r="G423" s="4"/>
      <c r="H423" s="4"/>
      <c r="I423" s="4"/>
      <c r="J423" s="4"/>
      <c r="K423" s="242"/>
      <c r="L423" s="4"/>
      <c r="M423" s="4"/>
      <c r="N423" s="4"/>
      <c r="O423" s="4"/>
      <c r="P423" s="4"/>
      <c r="Q423" s="4"/>
      <c r="R423" s="4"/>
      <c r="S423" s="4"/>
      <c r="T423" s="4"/>
      <c r="U423" s="4"/>
      <c r="V423" s="4"/>
      <c r="W423" s="4"/>
      <c r="X423" s="4"/>
      <c r="Y423" s="4"/>
      <c r="Z423" s="4"/>
      <c r="AA423" s="4"/>
      <c r="AB423" s="4"/>
      <c r="AC423" s="4"/>
      <c r="AD423" s="4"/>
      <c r="AE423" s="4"/>
      <c r="AF423" s="4"/>
      <c r="AG423" s="4"/>
      <c r="AH423" s="4"/>
      <c r="AI423" s="4"/>
      <c r="AJ423" s="4"/>
      <c r="AK423" s="4"/>
      <c r="AL423" s="4"/>
      <c r="AM423" s="4"/>
      <c r="AN423" s="4"/>
      <c r="AO423" s="4"/>
      <c r="AP423" s="4"/>
      <c r="AQ423" s="4"/>
      <c r="AR423" s="4"/>
      <c r="AS423" s="4"/>
      <c r="AT423" s="4"/>
      <c r="AU423" s="4"/>
      <c r="AV423" s="4"/>
      <c r="AW423" s="4"/>
      <c r="AX423" s="4"/>
      <c r="AY423" s="4"/>
      <c r="AZ423" s="4"/>
      <c r="BA423" s="4"/>
      <c r="BB423" s="4"/>
      <c r="BC423" s="4"/>
      <c r="BD423" s="4"/>
      <c r="BE423" s="4"/>
      <c r="BF423" s="4"/>
      <c r="BG423" s="4"/>
      <c r="BH423" s="4"/>
      <c r="BI423" s="4"/>
      <c r="BJ423" s="4"/>
      <c r="BK423" s="4"/>
      <c r="BL423" s="4"/>
      <c r="BM423" s="4"/>
      <c r="BN423" s="4"/>
      <c r="BO423" s="4"/>
      <c r="BP423" s="4"/>
      <c r="BQ423" s="4"/>
      <c r="BR423" s="4"/>
      <c r="BS423" s="4"/>
      <c r="BT423" s="4"/>
      <c r="BU423" s="4"/>
      <c r="BV423" s="4"/>
      <c r="BW423" s="4"/>
      <c r="BX423" s="4"/>
      <c r="BY423" s="4"/>
      <c r="BZ423" s="4"/>
      <c r="CA423" s="4"/>
      <c r="CB423" s="4"/>
      <c r="CC423" s="4"/>
      <c r="CD423" s="4"/>
      <c r="CE423" s="4"/>
      <c r="CF423" s="4"/>
      <c r="CG423" s="4"/>
      <c r="CH423" s="4"/>
      <c r="CI423" s="4"/>
    </row>
    <row r="424" ht="14.25" customHeight="1" spans="1:87" x14ac:dyDescent="0.25">
      <c r="A424" s="4"/>
      <c r="B424" s="4"/>
      <c r="C424" s="4"/>
      <c r="D424" s="4"/>
      <c r="E424" s="4"/>
      <c r="F424" s="4"/>
      <c r="G424" s="4"/>
      <c r="H424" s="4"/>
      <c r="I424" s="4"/>
      <c r="J424" s="4"/>
      <c r="K424" s="242"/>
      <c r="L424" s="4"/>
      <c r="M424" s="4"/>
      <c r="N424" s="4"/>
      <c r="O424" s="4"/>
      <c r="P424" s="4"/>
      <c r="Q424" s="4"/>
      <c r="R424" s="4"/>
      <c r="S424" s="4"/>
      <c r="T424" s="4"/>
      <c r="U424" s="4"/>
      <c r="V424" s="4"/>
      <c r="W424" s="4"/>
      <c r="X424" s="4"/>
      <c r="Y424" s="4"/>
      <c r="Z424" s="4"/>
      <c r="AA424" s="4"/>
      <c r="AB424" s="4"/>
      <c r="AC424" s="4"/>
      <c r="AD424" s="4"/>
      <c r="AE424" s="4"/>
      <c r="AF424" s="4"/>
      <c r="AG424" s="4"/>
      <c r="AH424" s="4"/>
      <c r="AI424" s="4"/>
      <c r="AJ424" s="4"/>
      <c r="AK424" s="4"/>
      <c r="AL424" s="4"/>
      <c r="AM424" s="4"/>
      <c r="AN424" s="4"/>
      <c r="AO424" s="4"/>
      <c r="AP424" s="4"/>
      <c r="AQ424" s="4"/>
      <c r="AR424" s="4"/>
      <c r="AS424" s="4"/>
      <c r="AT424" s="4"/>
      <c r="AU424" s="4"/>
      <c r="AV424" s="4"/>
      <c r="AW424" s="4"/>
      <c r="AX424" s="4"/>
      <c r="AY424" s="4"/>
      <c r="AZ424" s="4"/>
      <c r="BA424" s="4"/>
      <c r="BB424" s="4"/>
      <c r="BC424" s="4"/>
      <c r="BD424" s="4"/>
      <c r="BE424" s="4"/>
      <c r="BF424" s="4"/>
      <c r="BG424" s="4"/>
      <c r="BH424" s="4"/>
      <c r="BI424" s="4"/>
      <c r="BJ424" s="4"/>
      <c r="BK424" s="4"/>
      <c r="BL424" s="4"/>
      <c r="BM424" s="4"/>
      <c r="BN424" s="4"/>
      <c r="BO424" s="4"/>
      <c r="BP424" s="4"/>
      <c r="BQ424" s="4"/>
      <c r="BR424" s="4"/>
      <c r="BS424" s="4"/>
      <c r="BT424" s="4"/>
      <c r="BU424" s="4"/>
      <c r="BV424" s="4"/>
      <c r="BW424" s="4"/>
      <c r="BX424" s="4"/>
      <c r="BY424" s="4"/>
      <c r="BZ424" s="4"/>
      <c r="CA424" s="4"/>
      <c r="CB424" s="4"/>
      <c r="CC424" s="4"/>
      <c r="CD424" s="4"/>
      <c r="CE424" s="4"/>
      <c r="CF424" s="4"/>
      <c r="CG424" s="4"/>
      <c r="CH424" s="4"/>
      <c r="CI424" s="4"/>
    </row>
    <row r="425" ht="14.25" customHeight="1" spans="1:87" x14ac:dyDescent="0.25">
      <c r="A425" s="4"/>
      <c r="B425" s="4"/>
      <c r="C425" s="4"/>
      <c r="D425" s="4"/>
      <c r="E425" s="4"/>
      <c r="F425" s="4"/>
      <c r="G425" s="4"/>
      <c r="H425" s="4"/>
      <c r="I425" s="4"/>
      <c r="J425" s="4"/>
      <c r="K425" s="242"/>
      <c r="L425" s="4"/>
      <c r="M425" s="4"/>
      <c r="N425" s="4"/>
      <c r="O425" s="4"/>
      <c r="P425" s="4"/>
      <c r="Q425" s="4"/>
      <c r="R425" s="4"/>
      <c r="S425" s="4"/>
      <c r="T425" s="4"/>
      <c r="U425" s="4"/>
      <c r="V425" s="4"/>
      <c r="W425" s="4"/>
      <c r="X425" s="4"/>
      <c r="Y425" s="4"/>
      <c r="Z425" s="4"/>
      <c r="AA425" s="4"/>
      <c r="AB425" s="4"/>
      <c r="AC425" s="4"/>
      <c r="AD425" s="4"/>
      <c r="AE425" s="4"/>
      <c r="AF425" s="4"/>
      <c r="AG425" s="4"/>
      <c r="AH425" s="4"/>
      <c r="AI425" s="4"/>
      <c r="AJ425" s="4"/>
      <c r="AK425" s="4"/>
      <c r="AL425" s="4"/>
      <c r="AM425" s="4"/>
      <c r="AN425" s="4"/>
      <c r="AO425" s="4"/>
      <c r="AP425" s="4"/>
      <c r="AQ425" s="4"/>
      <c r="AR425" s="4"/>
      <c r="AS425" s="4"/>
      <c r="AT425" s="4"/>
      <c r="AU425" s="4"/>
      <c r="AV425" s="4"/>
      <c r="AW425" s="4"/>
      <c r="AX425" s="4"/>
      <c r="AY425" s="4"/>
      <c r="AZ425" s="4"/>
      <c r="BA425" s="4"/>
      <c r="BB425" s="4"/>
      <c r="BC425" s="4"/>
      <c r="BD425" s="4"/>
      <c r="BE425" s="4"/>
      <c r="BF425" s="4"/>
      <c r="BG425" s="4"/>
      <c r="BH425" s="4"/>
      <c r="BI425" s="4"/>
      <c r="BJ425" s="4"/>
      <c r="BK425" s="4"/>
      <c r="BL425" s="4"/>
      <c r="BM425" s="4"/>
      <c r="BN425" s="4"/>
      <c r="BO425" s="4"/>
      <c r="BP425" s="4"/>
      <c r="BQ425" s="4"/>
      <c r="BR425" s="4"/>
      <c r="BS425" s="4"/>
      <c r="BT425" s="4"/>
      <c r="BU425" s="4"/>
      <c r="BV425" s="4"/>
      <c r="BW425" s="4"/>
      <c r="BX425" s="4"/>
      <c r="BY425" s="4"/>
      <c r="BZ425" s="4"/>
      <c r="CA425" s="4"/>
      <c r="CB425" s="4"/>
      <c r="CC425" s="4"/>
      <c r="CD425" s="4"/>
      <c r="CE425" s="4"/>
      <c r="CF425" s="4"/>
      <c r="CG425" s="4"/>
      <c r="CH425" s="4"/>
      <c r="CI425" s="4"/>
    </row>
    <row r="426" ht="14.25" customHeight="1" spans="1:87" x14ac:dyDescent="0.25">
      <c r="A426" s="4"/>
      <c r="B426" s="4"/>
      <c r="C426" s="4"/>
      <c r="D426" s="4"/>
      <c r="E426" s="4"/>
      <c r="F426" s="4"/>
      <c r="G426" s="4"/>
      <c r="H426" s="4"/>
      <c r="I426" s="4"/>
      <c r="J426" s="4"/>
      <c r="K426" s="242"/>
      <c r="L426" s="4"/>
      <c r="M426" s="4"/>
      <c r="N426" s="4"/>
      <c r="O426" s="4"/>
      <c r="P426" s="4"/>
      <c r="Q426" s="4"/>
      <c r="R426" s="4"/>
      <c r="S426" s="4"/>
      <c r="T426" s="4"/>
      <c r="U426" s="4"/>
      <c r="V426" s="4"/>
      <c r="W426" s="4"/>
      <c r="X426" s="4"/>
      <c r="Y426" s="4"/>
      <c r="Z426" s="4"/>
      <c r="AA426" s="4"/>
      <c r="AB426" s="4"/>
      <c r="AC426" s="4"/>
      <c r="AD426" s="4"/>
      <c r="AE426" s="4"/>
      <c r="AF426" s="4"/>
      <c r="AG426" s="4"/>
      <c r="AH426" s="4"/>
      <c r="AI426" s="4"/>
      <c r="AJ426" s="4"/>
      <c r="AK426" s="4"/>
      <c r="AL426" s="4"/>
      <c r="AM426" s="4"/>
      <c r="AN426" s="4"/>
      <c r="AO426" s="4"/>
      <c r="AP426" s="4"/>
      <c r="AQ426" s="4"/>
      <c r="AR426" s="4"/>
      <c r="AS426" s="4"/>
      <c r="AT426" s="4"/>
      <c r="AU426" s="4"/>
      <c r="AV426" s="4"/>
      <c r="AW426" s="4"/>
      <c r="AX426" s="4"/>
      <c r="AY426" s="4"/>
      <c r="AZ426" s="4"/>
      <c r="BA426" s="4"/>
      <c r="BB426" s="4"/>
      <c r="BC426" s="4"/>
      <c r="BD426" s="4"/>
      <c r="BE426" s="4"/>
      <c r="BF426" s="4"/>
      <c r="BG426" s="4"/>
      <c r="BH426" s="4"/>
      <c r="BI426" s="4"/>
      <c r="BJ426" s="4"/>
      <c r="BK426" s="4"/>
      <c r="BL426" s="4"/>
      <c r="BM426" s="4"/>
      <c r="BN426" s="4"/>
      <c r="BO426" s="4"/>
      <c r="BP426" s="4"/>
      <c r="BQ426" s="4"/>
      <c r="BR426" s="4"/>
      <c r="BS426" s="4"/>
      <c r="BT426" s="4"/>
      <c r="BU426" s="4"/>
      <c r="BV426" s="4"/>
      <c r="BW426" s="4"/>
      <c r="BX426" s="4"/>
      <c r="BY426" s="4"/>
      <c r="BZ426" s="4"/>
      <c r="CA426" s="4"/>
      <c r="CB426" s="4"/>
      <c r="CC426" s="4"/>
      <c r="CD426" s="4"/>
      <c r="CE426" s="4"/>
      <c r="CF426" s="4"/>
      <c r="CG426" s="4"/>
      <c r="CH426" s="4"/>
      <c r="CI426" s="4"/>
    </row>
    <row r="427" ht="14.25" customHeight="1" spans="1:87" x14ac:dyDescent="0.25">
      <c r="A427" s="4"/>
      <c r="B427" s="4"/>
      <c r="C427" s="4"/>
      <c r="D427" s="4"/>
      <c r="E427" s="4"/>
      <c r="F427" s="4"/>
      <c r="G427" s="4"/>
      <c r="H427" s="4"/>
      <c r="I427" s="4"/>
      <c r="J427" s="4"/>
      <c r="K427" s="242"/>
      <c r="L427" s="4"/>
      <c r="M427" s="4"/>
      <c r="N427" s="4"/>
      <c r="O427" s="4"/>
      <c r="P427" s="4"/>
      <c r="Q427" s="4"/>
      <c r="R427" s="4"/>
      <c r="S427" s="4"/>
      <c r="T427" s="4"/>
      <c r="U427" s="4"/>
      <c r="V427" s="4"/>
      <c r="W427" s="4"/>
      <c r="X427" s="4"/>
      <c r="Y427" s="4"/>
      <c r="Z427" s="4"/>
      <c r="AA427" s="4"/>
      <c r="AB427" s="4"/>
      <c r="AC427" s="4"/>
      <c r="AD427" s="4"/>
      <c r="AE427" s="4"/>
      <c r="AF427" s="4"/>
      <c r="AG427" s="4"/>
      <c r="AH427" s="4"/>
      <c r="AI427" s="4"/>
      <c r="AJ427" s="4"/>
      <c r="AK427" s="4"/>
      <c r="AL427" s="4"/>
      <c r="AM427" s="4"/>
      <c r="AN427" s="4"/>
      <c r="AO427" s="4"/>
      <c r="AP427" s="4"/>
      <c r="AQ427" s="4"/>
      <c r="AR427" s="4"/>
      <c r="AS427" s="4"/>
      <c r="AT427" s="4"/>
      <c r="AU427" s="4"/>
      <c r="AV427" s="4"/>
      <c r="AW427" s="4"/>
      <c r="AX427" s="4"/>
      <c r="AY427" s="4"/>
      <c r="AZ427" s="4"/>
      <c r="BA427" s="4"/>
      <c r="BB427" s="4"/>
      <c r="BC427" s="4"/>
      <c r="BD427" s="4"/>
      <c r="BE427" s="4"/>
      <c r="BF427" s="4"/>
      <c r="BG427" s="4"/>
      <c r="BH427" s="4"/>
      <c r="BI427" s="4"/>
      <c r="BJ427" s="4"/>
      <c r="BK427" s="4"/>
      <c r="BL427" s="4"/>
      <c r="BM427" s="4"/>
      <c r="BN427" s="4"/>
      <c r="BO427" s="4"/>
      <c r="BP427" s="4"/>
      <c r="BQ427" s="4"/>
      <c r="BR427" s="4"/>
      <c r="BS427" s="4"/>
      <c r="BT427" s="4"/>
      <c r="BU427" s="4"/>
      <c r="BV427" s="4"/>
      <c r="BW427" s="4"/>
      <c r="BX427" s="4"/>
      <c r="BY427" s="4"/>
      <c r="BZ427" s="4"/>
      <c r="CA427" s="4"/>
      <c r="CB427" s="4"/>
      <c r="CC427" s="4"/>
      <c r="CD427" s="4"/>
      <c r="CE427" s="4"/>
      <c r="CF427" s="4"/>
      <c r="CG427" s="4"/>
      <c r="CH427" s="4"/>
      <c r="CI427" s="4"/>
    </row>
    <row r="428" ht="14.25" customHeight="1" spans="1:87" x14ac:dyDescent="0.25">
      <c r="A428" s="4"/>
      <c r="B428" s="4"/>
      <c r="C428" s="4"/>
      <c r="D428" s="4"/>
      <c r="E428" s="4"/>
      <c r="F428" s="4"/>
      <c r="G428" s="4"/>
      <c r="H428" s="4"/>
      <c r="I428" s="4"/>
      <c r="J428" s="4"/>
      <c r="K428" s="242"/>
      <c r="L428" s="4"/>
      <c r="M428" s="4"/>
      <c r="N428" s="4"/>
      <c r="O428" s="4"/>
      <c r="P428" s="4"/>
      <c r="Q428" s="4"/>
      <c r="R428" s="4"/>
      <c r="S428" s="4"/>
      <c r="T428" s="4"/>
      <c r="U428" s="4"/>
      <c r="V428" s="4"/>
      <c r="W428" s="4"/>
      <c r="X428" s="4"/>
      <c r="Y428" s="4"/>
      <c r="Z428" s="4"/>
      <c r="AA428" s="4"/>
      <c r="AB428" s="4"/>
      <c r="AC428" s="4"/>
      <c r="AD428" s="4"/>
      <c r="AE428" s="4"/>
      <c r="AF428" s="4"/>
      <c r="AG428" s="4"/>
      <c r="AH428" s="4"/>
      <c r="AI428" s="4"/>
      <c r="AJ428" s="4"/>
      <c r="AK428" s="4"/>
      <c r="AL428" s="4"/>
      <c r="AM428" s="4"/>
      <c r="AN428" s="4"/>
      <c r="AO428" s="4"/>
      <c r="AP428" s="4"/>
      <c r="AQ428" s="4"/>
      <c r="AR428" s="4"/>
      <c r="AS428" s="4"/>
      <c r="AT428" s="4"/>
      <c r="AU428" s="4"/>
      <c r="AV428" s="4"/>
      <c r="AW428" s="4"/>
      <c r="AX428" s="4"/>
      <c r="AY428" s="4"/>
      <c r="AZ428" s="4"/>
      <c r="BA428" s="4"/>
      <c r="BB428" s="4"/>
      <c r="BC428" s="4"/>
      <c r="BD428" s="4"/>
      <c r="BE428" s="4"/>
      <c r="BF428" s="4"/>
      <c r="BG428" s="4"/>
      <c r="BH428" s="4"/>
      <c r="BI428" s="4"/>
      <c r="BJ428" s="4"/>
      <c r="BK428" s="4"/>
      <c r="BL428" s="4"/>
      <c r="BM428" s="4"/>
      <c r="BN428" s="4"/>
      <c r="BO428" s="4"/>
      <c r="BP428" s="4"/>
      <c r="BQ428" s="4"/>
      <c r="BR428" s="4"/>
      <c r="BS428" s="4"/>
      <c r="BT428" s="4"/>
      <c r="BU428" s="4"/>
      <c r="BV428" s="4"/>
      <c r="BW428" s="4"/>
      <c r="BX428" s="4"/>
      <c r="BY428" s="4"/>
      <c r="BZ428" s="4"/>
      <c r="CA428" s="4"/>
      <c r="CB428" s="4"/>
      <c r="CC428" s="4"/>
      <c r="CD428" s="4"/>
      <c r="CE428" s="4"/>
      <c r="CF428" s="4"/>
      <c r="CG428" s="4"/>
      <c r="CH428" s="4"/>
      <c r="CI428" s="4"/>
    </row>
    <row r="429" ht="14.25" customHeight="1" spans="1:87" x14ac:dyDescent="0.25">
      <c r="A429" s="4"/>
      <c r="B429" s="4"/>
      <c r="C429" s="4"/>
      <c r="D429" s="4"/>
      <c r="E429" s="4"/>
      <c r="F429" s="4"/>
      <c r="G429" s="4"/>
      <c r="H429" s="4"/>
      <c r="I429" s="4"/>
      <c r="J429" s="4"/>
      <c r="K429" s="242"/>
      <c r="L429" s="4"/>
      <c r="M429" s="4"/>
      <c r="N429" s="4"/>
      <c r="O429" s="4"/>
      <c r="P429" s="4"/>
      <c r="Q429" s="4"/>
      <c r="R429" s="4"/>
      <c r="S429" s="4"/>
      <c r="T429" s="4"/>
      <c r="U429" s="4"/>
      <c r="V429" s="4"/>
      <c r="W429" s="4"/>
      <c r="X429" s="4"/>
      <c r="Y429" s="4"/>
      <c r="Z429" s="4"/>
      <c r="AA429" s="4"/>
      <c r="AB429" s="4"/>
      <c r="AC429" s="4"/>
      <c r="AD429" s="4"/>
      <c r="AE429" s="4"/>
      <c r="AF429" s="4"/>
      <c r="AG429" s="4"/>
      <c r="AH429" s="4"/>
      <c r="AI429" s="4"/>
      <c r="AJ429" s="4"/>
      <c r="AK429" s="4"/>
      <c r="AL429" s="4"/>
      <c r="AM429" s="4"/>
      <c r="AN429" s="4"/>
      <c r="AO429" s="4"/>
      <c r="AP429" s="4"/>
      <c r="AQ429" s="4"/>
      <c r="AR429" s="4"/>
      <c r="AS429" s="4"/>
      <c r="AT429" s="4"/>
      <c r="AU429" s="4"/>
      <c r="AV429" s="4"/>
      <c r="AW429" s="4"/>
      <c r="AX429" s="4"/>
      <c r="AY429" s="4"/>
      <c r="AZ429" s="4"/>
      <c r="BA429" s="4"/>
      <c r="BB429" s="4"/>
      <c r="BC429" s="4"/>
      <c r="BD429" s="4"/>
      <c r="BE429" s="4"/>
      <c r="BF429" s="4"/>
      <c r="BG429" s="4"/>
      <c r="BH429" s="4"/>
      <c r="BI429" s="4"/>
      <c r="BJ429" s="4"/>
      <c r="BK429" s="4"/>
      <c r="BL429" s="4"/>
      <c r="BM429" s="4"/>
      <c r="BN429" s="4"/>
      <c r="BO429" s="4"/>
      <c r="BP429" s="4"/>
      <c r="BQ429" s="4"/>
      <c r="BR429" s="4"/>
      <c r="BS429" s="4"/>
      <c r="BT429" s="4"/>
      <c r="BU429" s="4"/>
      <c r="BV429" s="4"/>
      <c r="BW429" s="4"/>
      <c r="BX429" s="4"/>
      <c r="BY429" s="4"/>
      <c r="BZ429" s="4"/>
      <c r="CA429" s="4"/>
      <c r="CB429" s="4"/>
      <c r="CC429" s="4"/>
      <c r="CD429" s="4"/>
      <c r="CE429" s="4"/>
      <c r="CF429" s="4"/>
      <c r="CG429" s="4"/>
      <c r="CH429" s="4"/>
      <c r="CI429" s="4"/>
    </row>
    <row r="430" ht="14.25" customHeight="1" spans="1:87" x14ac:dyDescent="0.25">
      <c r="A430" s="4"/>
      <c r="B430" s="4"/>
      <c r="C430" s="4"/>
      <c r="D430" s="4"/>
      <c r="E430" s="4"/>
      <c r="F430" s="4"/>
      <c r="G430" s="4"/>
      <c r="H430" s="4"/>
      <c r="I430" s="4"/>
      <c r="J430" s="4"/>
      <c r="K430" s="242"/>
      <c r="L430" s="4"/>
      <c r="M430" s="4"/>
      <c r="N430" s="4"/>
      <c r="O430" s="4"/>
      <c r="P430" s="4"/>
      <c r="Q430" s="4"/>
      <c r="R430" s="4"/>
      <c r="S430" s="4"/>
      <c r="T430" s="4"/>
      <c r="U430" s="4"/>
      <c r="V430" s="4"/>
      <c r="W430" s="4"/>
      <c r="X430" s="4"/>
      <c r="Y430" s="4"/>
      <c r="Z430" s="4"/>
      <c r="AA430" s="4"/>
      <c r="AB430" s="4"/>
      <c r="AC430" s="4"/>
      <c r="AD430" s="4"/>
      <c r="AE430" s="4"/>
      <c r="AF430" s="4"/>
      <c r="AG430" s="4"/>
      <c r="AH430" s="4"/>
      <c r="AI430" s="4"/>
      <c r="AJ430" s="4"/>
      <c r="AK430" s="4"/>
      <c r="AL430" s="4"/>
      <c r="AM430" s="4"/>
      <c r="AN430" s="4"/>
      <c r="AO430" s="4"/>
      <c r="AP430" s="4"/>
      <c r="AQ430" s="4"/>
      <c r="AR430" s="4"/>
      <c r="AS430" s="4"/>
      <c r="AT430" s="4"/>
      <c r="AU430" s="4"/>
      <c r="AV430" s="4"/>
      <c r="AW430" s="4"/>
      <c r="AX430" s="4"/>
      <c r="AY430" s="4"/>
      <c r="AZ430" s="4"/>
      <c r="BA430" s="4"/>
      <c r="BB430" s="4"/>
      <c r="BC430" s="4"/>
      <c r="BD430" s="4"/>
      <c r="BE430" s="4"/>
      <c r="BF430" s="4"/>
      <c r="BG430" s="4"/>
      <c r="BH430" s="4"/>
      <c r="BI430" s="4"/>
      <c r="BJ430" s="4"/>
      <c r="BK430" s="4"/>
      <c r="BL430" s="4"/>
      <c r="BM430" s="4"/>
      <c r="BN430" s="4"/>
      <c r="BO430" s="4"/>
      <c r="BP430" s="4"/>
      <c r="BQ430" s="4"/>
      <c r="BR430" s="4"/>
      <c r="BS430" s="4"/>
      <c r="BT430" s="4"/>
      <c r="BU430" s="4"/>
      <c r="BV430" s="4"/>
      <c r="BW430" s="4"/>
      <c r="BX430" s="4"/>
      <c r="BY430" s="4"/>
      <c r="BZ430" s="4"/>
      <c r="CA430" s="4"/>
      <c r="CB430" s="4"/>
      <c r="CC430" s="4"/>
      <c r="CD430" s="4"/>
      <c r="CE430" s="4"/>
      <c r="CF430" s="4"/>
      <c r="CG430" s="4"/>
      <c r="CH430" s="4"/>
      <c r="CI430" s="4"/>
    </row>
    <row r="431" ht="14.25" customHeight="1" spans="1:87" x14ac:dyDescent="0.25">
      <c r="A431" s="4"/>
      <c r="B431" s="4"/>
      <c r="C431" s="4"/>
      <c r="D431" s="4"/>
      <c r="E431" s="4"/>
      <c r="F431" s="4"/>
      <c r="G431" s="4"/>
      <c r="H431" s="4"/>
      <c r="I431" s="4"/>
      <c r="J431" s="4"/>
      <c r="K431" s="242"/>
      <c r="L431" s="4"/>
      <c r="M431" s="4"/>
      <c r="N431" s="4"/>
      <c r="O431" s="4"/>
      <c r="P431" s="4"/>
      <c r="Q431" s="4"/>
      <c r="R431" s="4"/>
      <c r="S431" s="4"/>
      <c r="T431" s="4"/>
      <c r="U431" s="4"/>
      <c r="V431" s="4"/>
      <c r="W431" s="4"/>
      <c r="X431" s="4"/>
      <c r="Y431" s="4"/>
      <c r="Z431" s="4"/>
      <c r="AA431" s="4"/>
      <c r="AB431" s="4"/>
      <c r="AC431" s="4"/>
      <c r="AD431" s="4"/>
      <c r="AE431" s="4"/>
      <c r="AF431" s="4"/>
      <c r="AG431" s="4"/>
      <c r="AH431" s="4"/>
      <c r="AI431" s="4"/>
      <c r="AJ431" s="4"/>
      <c r="AK431" s="4"/>
      <c r="AL431" s="4"/>
      <c r="AM431" s="4"/>
      <c r="AN431" s="4"/>
      <c r="AO431" s="4"/>
      <c r="AP431" s="4"/>
      <c r="AQ431" s="4"/>
      <c r="AR431" s="4"/>
      <c r="AS431" s="4"/>
      <c r="AT431" s="4"/>
      <c r="AU431" s="4"/>
      <c r="AV431" s="4"/>
      <c r="AW431" s="4"/>
      <c r="AX431" s="4"/>
      <c r="AY431" s="4"/>
      <c r="AZ431" s="4"/>
      <c r="BA431" s="4"/>
      <c r="BB431" s="4"/>
      <c r="BC431" s="4"/>
      <c r="BD431" s="4"/>
      <c r="BE431" s="4"/>
      <c r="BF431" s="4"/>
      <c r="BG431" s="4"/>
      <c r="BH431" s="4"/>
      <c r="BI431" s="4"/>
      <c r="BJ431" s="4"/>
      <c r="BK431" s="4"/>
      <c r="BL431" s="4"/>
      <c r="BM431" s="4"/>
      <c r="BN431" s="4"/>
      <c r="BO431" s="4"/>
      <c r="BP431" s="4"/>
      <c r="BQ431" s="4"/>
      <c r="BR431" s="4"/>
      <c r="BS431" s="4"/>
      <c r="BT431" s="4"/>
      <c r="BU431" s="4"/>
      <c r="BV431" s="4"/>
      <c r="BW431" s="4"/>
      <c r="BX431" s="4"/>
      <c r="BY431" s="4"/>
      <c r="BZ431" s="4"/>
      <c r="CA431" s="4"/>
      <c r="CB431" s="4"/>
      <c r="CC431" s="4"/>
      <c r="CD431" s="4"/>
      <c r="CE431" s="4"/>
      <c r="CF431" s="4"/>
      <c r="CG431" s="4"/>
      <c r="CH431" s="4"/>
      <c r="CI431" s="4"/>
    </row>
    <row r="432" ht="14.25" customHeight="1" spans="1:87" x14ac:dyDescent="0.25">
      <c r="A432" s="4"/>
      <c r="B432" s="4"/>
      <c r="C432" s="4"/>
      <c r="D432" s="4"/>
      <c r="E432" s="4"/>
      <c r="F432" s="4"/>
      <c r="G432" s="4"/>
      <c r="H432" s="4"/>
      <c r="I432" s="4"/>
      <c r="J432" s="4"/>
      <c r="K432" s="242"/>
      <c r="L432" s="4"/>
      <c r="M432" s="4"/>
      <c r="N432" s="4"/>
      <c r="O432" s="4"/>
      <c r="P432" s="4"/>
      <c r="Q432" s="4"/>
      <c r="R432" s="4"/>
      <c r="S432" s="4"/>
      <c r="T432" s="4"/>
      <c r="U432" s="4"/>
      <c r="V432" s="4"/>
      <c r="W432" s="4"/>
      <c r="X432" s="4"/>
      <c r="Y432" s="4"/>
      <c r="Z432" s="4"/>
      <c r="AA432" s="4"/>
      <c r="AB432" s="4"/>
      <c r="AC432" s="4"/>
      <c r="AD432" s="4"/>
      <c r="AE432" s="4"/>
      <c r="AF432" s="4"/>
      <c r="AG432" s="4"/>
      <c r="AH432" s="4"/>
      <c r="AI432" s="4"/>
      <c r="AJ432" s="4"/>
      <c r="AK432" s="4"/>
      <c r="AL432" s="4"/>
      <c r="AM432" s="4"/>
      <c r="AN432" s="4"/>
      <c r="AO432" s="4"/>
      <c r="AP432" s="4"/>
      <c r="AQ432" s="4"/>
      <c r="AR432" s="4"/>
      <c r="AS432" s="4"/>
      <c r="AT432" s="4"/>
      <c r="AU432" s="4"/>
      <c r="AV432" s="4"/>
      <c r="AW432" s="4"/>
      <c r="AX432" s="4"/>
      <c r="AY432" s="4"/>
      <c r="AZ432" s="4"/>
      <c r="BA432" s="4"/>
      <c r="BB432" s="4"/>
      <c r="BC432" s="4"/>
      <c r="BD432" s="4"/>
      <c r="BE432" s="4"/>
      <c r="BF432" s="4"/>
      <c r="BG432" s="4"/>
      <c r="BH432" s="4"/>
      <c r="BI432" s="4"/>
      <c r="BJ432" s="4"/>
      <c r="BK432" s="4"/>
      <c r="BL432" s="4"/>
      <c r="BM432" s="4"/>
      <c r="BN432" s="4"/>
      <c r="BO432" s="4"/>
      <c r="BP432" s="4"/>
      <c r="BQ432" s="4"/>
      <c r="BR432" s="4"/>
      <c r="BS432" s="4"/>
      <c r="BT432" s="4"/>
      <c r="BU432" s="4"/>
      <c r="BV432" s="4"/>
      <c r="BW432" s="4"/>
      <c r="BX432" s="4"/>
      <c r="BY432" s="4"/>
      <c r="BZ432" s="4"/>
      <c r="CA432" s="4"/>
      <c r="CB432" s="4"/>
      <c r="CC432" s="4"/>
      <c r="CD432" s="4"/>
      <c r="CE432" s="4"/>
      <c r="CF432" s="4"/>
      <c r="CG432" s="4"/>
      <c r="CH432" s="4"/>
      <c r="CI432" s="4"/>
    </row>
    <row r="433" ht="14.25" customHeight="1" spans="1:87" x14ac:dyDescent="0.25">
      <c r="A433" s="4"/>
      <c r="B433" s="4"/>
      <c r="C433" s="4"/>
      <c r="D433" s="4"/>
      <c r="E433" s="4"/>
      <c r="F433" s="4"/>
      <c r="G433" s="4"/>
      <c r="H433" s="4"/>
      <c r="I433" s="4"/>
      <c r="J433" s="4"/>
      <c r="K433" s="242"/>
      <c r="L433" s="4"/>
      <c r="M433" s="4"/>
      <c r="N433" s="4"/>
      <c r="O433" s="4"/>
      <c r="P433" s="4"/>
      <c r="Q433" s="4"/>
      <c r="R433" s="4"/>
      <c r="S433" s="4"/>
      <c r="T433" s="4"/>
      <c r="U433" s="4"/>
      <c r="V433" s="4"/>
      <c r="W433" s="4"/>
      <c r="X433" s="4"/>
      <c r="Y433" s="4"/>
      <c r="Z433" s="4"/>
      <c r="AA433" s="4"/>
      <c r="AB433" s="4"/>
      <c r="AC433" s="4"/>
      <c r="AD433" s="4"/>
      <c r="AE433" s="4"/>
      <c r="AF433" s="4"/>
      <c r="AG433" s="4"/>
      <c r="AH433" s="4"/>
      <c r="AI433" s="4"/>
      <c r="AJ433" s="4"/>
      <c r="AK433" s="4"/>
      <c r="AL433" s="4"/>
      <c r="AM433" s="4"/>
      <c r="AN433" s="4"/>
      <c r="AO433" s="4"/>
      <c r="AP433" s="4"/>
      <c r="AQ433" s="4"/>
      <c r="AR433" s="4"/>
      <c r="AS433" s="4"/>
      <c r="AT433" s="4"/>
      <c r="AU433" s="4"/>
      <c r="AV433" s="4"/>
      <c r="AW433" s="4"/>
      <c r="AX433" s="4"/>
      <c r="AY433" s="4"/>
      <c r="AZ433" s="4"/>
      <c r="BA433" s="4"/>
      <c r="BB433" s="4"/>
      <c r="BC433" s="4"/>
      <c r="BD433" s="4"/>
      <c r="BE433" s="4"/>
      <c r="BF433" s="4"/>
      <c r="BG433" s="4"/>
      <c r="BH433" s="4"/>
      <c r="BI433" s="4"/>
      <c r="BJ433" s="4"/>
      <c r="BK433" s="4"/>
      <c r="BL433" s="4"/>
      <c r="BM433" s="4"/>
      <c r="BN433" s="4"/>
      <c r="BO433" s="4"/>
      <c r="BP433" s="4"/>
      <c r="BQ433" s="4"/>
      <c r="BR433" s="4"/>
      <c r="BS433" s="4"/>
      <c r="BT433" s="4"/>
      <c r="BU433" s="4"/>
      <c r="BV433" s="4"/>
      <c r="BW433" s="4"/>
      <c r="BX433" s="4"/>
      <c r="BY433" s="4"/>
      <c r="BZ433" s="4"/>
      <c r="CA433" s="4"/>
      <c r="CB433" s="4"/>
      <c r="CC433" s="4"/>
      <c r="CD433" s="4"/>
      <c r="CE433" s="4"/>
      <c r="CF433" s="4"/>
      <c r="CG433" s="4"/>
      <c r="CH433" s="4"/>
      <c r="CI433" s="4"/>
    </row>
    <row r="434" ht="14.25" customHeight="1" spans="1:87" x14ac:dyDescent="0.25">
      <c r="A434" s="4"/>
      <c r="B434" s="4"/>
      <c r="C434" s="4"/>
      <c r="D434" s="4"/>
      <c r="E434" s="4"/>
      <c r="F434" s="4"/>
      <c r="G434" s="4"/>
      <c r="H434" s="4"/>
      <c r="I434" s="4"/>
      <c r="J434" s="4"/>
      <c r="K434" s="242"/>
      <c r="L434" s="4"/>
      <c r="M434" s="4"/>
      <c r="N434" s="4"/>
      <c r="O434" s="4"/>
      <c r="P434" s="4"/>
      <c r="Q434" s="4"/>
      <c r="R434" s="4"/>
      <c r="S434" s="4"/>
      <c r="T434" s="4"/>
      <c r="U434" s="4"/>
      <c r="V434" s="4"/>
      <c r="W434" s="4"/>
      <c r="X434" s="4"/>
      <c r="Y434" s="4"/>
      <c r="Z434" s="4"/>
      <c r="AA434" s="4"/>
      <c r="AB434" s="4"/>
      <c r="AC434" s="4"/>
      <c r="AD434" s="4"/>
      <c r="AE434" s="4"/>
      <c r="AF434" s="4"/>
      <c r="AG434" s="4"/>
      <c r="AH434" s="4"/>
      <c r="AI434" s="4"/>
      <c r="AJ434" s="4"/>
      <c r="AK434" s="4"/>
      <c r="AL434" s="4"/>
      <c r="AM434" s="4"/>
      <c r="AN434" s="4"/>
      <c r="AO434" s="4"/>
      <c r="AP434" s="4"/>
      <c r="AQ434" s="4"/>
      <c r="AR434" s="4"/>
      <c r="AS434" s="4"/>
      <c r="AT434" s="4"/>
      <c r="AU434" s="4"/>
      <c r="AV434" s="4"/>
      <c r="AW434" s="4"/>
      <c r="AX434" s="4"/>
      <c r="AY434" s="4"/>
      <c r="AZ434" s="4"/>
      <c r="BA434" s="4"/>
      <c r="BB434" s="4"/>
      <c r="BC434" s="4"/>
      <c r="BD434" s="4"/>
      <c r="BE434" s="4"/>
      <c r="BF434" s="4"/>
      <c r="BG434" s="4"/>
      <c r="BH434" s="4"/>
      <c r="BI434" s="4"/>
      <c r="BJ434" s="4"/>
      <c r="BK434" s="4"/>
      <c r="BL434" s="4"/>
      <c r="BM434" s="4"/>
      <c r="BN434" s="4"/>
      <c r="BO434" s="4"/>
      <c r="BP434" s="4"/>
      <c r="BQ434" s="4"/>
      <c r="BR434" s="4"/>
      <c r="BS434" s="4"/>
      <c r="BT434" s="4"/>
      <c r="BU434" s="4"/>
      <c r="BV434" s="4"/>
      <c r="BW434" s="4"/>
      <c r="BX434" s="4"/>
      <c r="BY434" s="4"/>
      <c r="BZ434" s="4"/>
      <c r="CA434" s="4"/>
      <c r="CB434" s="4"/>
      <c r="CC434" s="4"/>
      <c r="CD434" s="4"/>
      <c r="CE434" s="4"/>
      <c r="CF434" s="4"/>
      <c r="CG434" s="4"/>
      <c r="CH434" s="4"/>
      <c r="CI434" s="4"/>
    </row>
    <row r="435" ht="14.25" customHeight="1" spans="1:87" x14ac:dyDescent="0.25">
      <c r="A435" s="4"/>
      <c r="B435" s="4"/>
      <c r="C435" s="4"/>
      <c r="D435" s="4"/>
      <c r="E435" s="4"/>
      <c r="F435" s="4"/>
      <c r="G435" s="4"/>
      <c r="H435" s="4"/>
      <c r="I435" s="4"/>
      <c r="J435" s="4"/>
      <c r="K435" s="242"/>
      <c r="L435" s="4"/>
      <c r="M435" s="4"/>
      <c r="N435" s="4"/>
      <c r="O435" s="4"/>
      <c r="P435" s="4"/>
      <c r="Q435" s="4"/>
      <c r="R435" s="4"/>
      <c r="S435" s="4"/>
      <c r="T435" s="4"/>
      <c r="U435" s="4"/>
      <c r="V435" s="4"/>
      <c r="W435" s="4"/>
      <c r="X435" s="4"/>
      <c r="Y435" s="4"/>
      <c r="Z435" s="4"/>
      <c r="AA435" s="4"/>
      <c r="AB435" s="4"/>
      <c r="AC435" s="4"/>
      <c r="AD435" s="4"/>
      <c r="AE435" s="4"/>
      <c r="AF435" s="4"/>
      <c r="AG435" s="4"/>
      <c r="AH435" s="4"/>
      <c r="AI435" s="4"/>
      <c r="AJ435" s="4"/>
      <c r="AK435" s="4"/>
      <c r="AL435" s="4"/>
      <c r="AM435" s="4"/>
      <c r="AN435" s="4"/>
      <c r="AO435" s="4"/>
      <c r="AP435" s="4"/>
      <c r="AQ435" s="4"/>
      <c r="AR435" s="4"/>
      <c r="AS435" s="4"/>
      <c r="AT435" s="4"/>
      <c r="AU435" s="4"/>
      <c r="AV435" s="4"/>
      <c r="AW435" s="4"/>
      <c r="AX435" s="4"/>
      <c r="AY435" s="4"/>
      <c r="AZ435" s="4"/>
      <c r="BA435" s="4"/>
      <c r="BB435" s="4"/>
      <c r="BC435" s="4"/>
      <c r="BD435" s="4"/>
      <c r="BE435" s="4"/>
      <c r="BF435" s="4"/>
      <c r="BG435" s="4"/>
      <c r="BH435" s="4"/>
      <c r="BI435" s="4"/>
      <c r="BJ435" s="4"/>
      <c r="BK435" s="4"/>
      <c r="BL435" s="4"/>
      <c r="BM435" s="4"/>
      <c r="BN435" s="4"/>
      <c r="BO435" s="4"/>
      <c r="BP435" s="4"/>
      <c r="BQ435" s="4"/>
      <c r="BR435" s="4"/>
      <c r="BS435" s="4"/>
      <c r="BT435" s="4"/>
      <c r="BU435" s="4"/>
      <c r="BV435" s="4"/>
      <c r="BW435" s="4"/>
      <c r="BX435" s="4"/>
      <c r="BY435" s="4"/>
      <c r="BZ435" s="4"/>
      <c r="CA435" s="4"/>
      <c r="CB435" s="4"/>
      <c r="CC435" s="4"/>
      <c r="CD435" s="4"/>
      <c r="CE435" s="4"/>
      <c r="CF435" s="4"/>
      <c r="CG435" s="4"/>
      <c r="CH435" s="4"/>
      <c r="CI435" s="4"/>
    </row>
    <row r="436" ht="14.25" customHeight="1" spans="1:87" x14ac:dyDescent="0.25">
      <c r="A436" s="4"/>
      <c r="B436" s="4"/>
      <c r="C436" s="4"/>
      <c r="D436" s="4"/>
      <c r="E436" s="4"/>
      <c r="F436" s="4"/>
      <c r="G436" s="4"/>
      <c r="H436" s="4"/>
      <c r="I436" s="4"/>
      <c r="J436" s="4"/>
      <c r="K436" s="242"/>
      <c r="L436" s="4"/>
      <c r="M436" s="4"/>
      <c r="N436" s="4"/>
      <c r="O436" s="4"/>
      <c r="P436" s="4"/>
      <c r="Q436" s="4"/>
      <c r="R436" s="4"/>
      <c r="S436" s="4"/>
      <c r="T436" s="4"/>
      <c r="U436" s="4"/>
      <c r="V436" s="4"/>
      <c r="W436" s="4"/>
      <c r="X436" s="4"/>
      <c r="Y436" s="4"/>
      <c r="Z436" s="4"/>
      <c r="AA436" s="4"/>
      <c r="AB436" s="4"/>
      <c r="AC436" s="4"/>
      <c r="AD436" s="4"/>
      <c r="AE436" s="4"/>
      <c r="AF436" s="4"/>
      <c r="AG436" s="4"/>
      <c r="AH436" s="4"/>
      <c r="AI436" s="4"/>
      <c r="AJ436" s="4"/>
      <c r="AK436" s="4"/>
      <c r="AL436" s="4"/>
      <c r="AM436" s="4"/>
      <c r="AN436" s="4"/>
      <c r="AO436" s="4"/>
      <c r="AP436" s="4"/>
      <c r="AQ436" s="4"/>
      <c r="AR436" s="4"/>
      <c r="AS436" s="4"/>
      <c r="AT436" s="4"/>
      <c r="AU436" s="4"/>
      <c r="AV436" s="4"/>
      <c r="AW436" s="4"/>
      <c r="AX436" s="4"/>
      <c r="AY436" s="4"/>
      <c r="AZ436" s="4"/>
      <c r="BA436" s="4"/>
      <c r="BB436" s="4"/>
      <c r="BC436" s="4"/>
      <c r="BD436" s="4"/>
      <c r="BE436" s="4"/>
      <c r="BF436" s="4"/>
      <c r="BG436" s="4"/>
      <c r="BH436" s="4"/>
      <c r="BI436" s="4"/>
      <c r="BJ436" s="4"/>
      <c r="BK436" s="4"/>
      <c r="BL436" s="4"/>
      <c r="BM436" s="4"/>
      <c r="BN436" s="4"/>
      <c r="BO436" s="4"/>
      <c r="BP436" s="4"/>
      <c r="BQ436" s="4"/>
      <c r="BR436" s="4"/>
      <c r="BS436" s="4"/>
      <c r="BT436" s="4"/>
      <c r="BU436" s="4"/>
      <c r="BV436" s="4"/>
      <c r="BW436" s="4"/>
      <c r="BX436" s="4"/>
      <c r="BY436" s="4"/>
      <c r="BZ436" s="4"/>
      <c r="CA436" s="4"/>
      <c r="CB436" s="4"/>
      <c r="CC436" s="4"/>
      <c r="CD436" s="4"/>
      <c r="CE436" s="4"/>
      <c r="CF436" s="4"/>
      <c r="CG436" s="4"/>
      <c r="CH436" s="4"/>
      <c r="CI436" s="4"/>
    </row>
    <row r="437" ht="14.25" customHeight="1" spans="1:87" x14ac:dyDescent="0.25">
      <c r="A437" s="4"/>
      <c r="B437" s="4"/>
      <c r="C437" s="4"/>
      <c r="D437" s="4"/>
      <c r="E437" s="4"/>
      <c r="F437" s="4"/>
      <c r="G437" s="4"/>
      <c r="H437" s="4"/>
      <c r="I437" s="4"/>
      <c r="J437" s="4"/>
      <c r="K437" s="242"/>
      <c r="L437" s="4"/>
      <c r="M437" s="4"/>
      <c r="N437" s="4"/>
      <c r="O437" s="4"/>
      <c r="P437" s="4"/>
      <c r="Q437" s="4"/>
      <c r="R437" s="4"/>
      <c r="S437" s="4"/>
      <c r="T437" s="4"/>
      <c r="U437" s="4"/>
      <c r="V437" s="4"/>
      <c r="W437" s="4"/>
      <c r="X437" s="4"/>
      <c r="Y437" s="4"/>
      <c r="Z437" s="4"/>
      <c r="AA437" s="4"/>
      <c r="AB437" s="4"/>
      <c r="AC437" s="4"/>
      <c r="AD437" s="4"/>
      <c r="AE437" s="4"/>
      <c r="AF437" s="4"/>
      <c r="AG437" s="4"/>
      <c r="AH437" s="4"/>
      <c r="AI437" s="4"/>
      <c r="AJ437" s="4"/>
      <c r="AK437" s="4"/>
      <c r="AL437" s="4"/>
      <c r="AM437" s="4"/>
      <c r="AN437" s="4"/>
      <c r="AO437" s="4"/>
      <c r="AP437" s="4"/>
      <c r="AQ437" s="4"/>
      <c r="AR437" s="4"/>
      <c r="AS437" s="4"/>
      <c r="AT437" s="4"/>
      <c r="AU437" s="4"/>
      <c r="AV437" s="4"/>
      <c r="AW437" s="4"/>
      <c r="AX437" s="4"/>
      <c r="AY437" s="4"/>
      <c r="AZ437" s="4"/>
      <c r="BA437" s="4"/>
      <c r="BB437" s="4"/>
      <c r="BC437" s="4"/>
      <c r="BD437" s="4"/>
      <c r="BE437" s="4"/>
      <c r="BF437" s="4"/>
      <c r="BG437" s="4"/>
      <c r="BH437" s="4"/>
      <c r="BI437" s="4"/>
      <c r="BJ437" s="4"/>
      <c r="BK437" s="4"/>
      <c r="BL437" s="4"/>
      <c r="BM437" s="4"/>
      <c r="BN437" s="4"/>
      <c r="BO437" s="4"/>
      <c r="BP437" s="4"/>
      <c r="BQ437" s="4"/>
      <c r="BR437" s="4"/>
      <c r="BS437" s="4"/>
      <c r="BT437" s="4"/>
      <c r="BU437" s="4"/>
      <c r="BV437" s="4"/>
      <c r="BW437" s="4"/>
      <c r="BX437" s="4"/>
      <c r="BY437" s="4"/>
      <c r="BZ437" s="4"/>
      <c r="CA437" s="4"/>
      <c r="CB437" s="4"/>
      <c r="CC437" s="4"/>
      <c r="CD437" s="4"/>
      <c r="CE437" s="4"/>
      <c r="CF437" s="4"/>
      <c r="CG437" s="4"/>
      <c r="CH437" s="4"/>
      <c r="CI437" s="4"/>
    </row>
    <row r="438" ht="14.25" customHeight="1" spans="1:87" x14ac:dyDescent="0.25">
      <c r="A438" s="4"/>
      <c r="B438" s="4"/>
      <c r="C438" s="4"/>
      <c r="D438" s="4"/>
      <c r="E438" s="4"/>
      <c r="F438" s="4"/>
      <c r="G438" s="4"/>
      <c r="H438" s="4"/>
      <c r="I438" s="4"/>
      <c r="J438" s="4"/>
      <c r="K438" s="242"/>
      <c r="L438" s="4"/>
      <c r="M438" s="4"/>
      <c r="N438" s="4"/>
      <c r="O438" s="4"/>
      <c r="P438" s="4"/>
      <c r="Q438" s="4"/>
      <c r="R438" s="4"/>
      <c r="S438" s="4"/>
      <c r="T438" s="4"/>
      <c r="U438" s="4"/>
      <c r="V438" s="4"/>
      <c r="W438" s="4"/>
      <c r="X438" s="4"/>
      <c r="Y438" s="4"/>
      <c r="Z438" s="4"/>
      <c r="AA438" s="4"/>
      <c r="AB438" s="4"/>
      <c r="AC438" s="4"/>
      <c r="AD438" s="4"/>
      <c r="AE438" s="4"/>
      <c r="AF438" s="4"/>
      <c r="AG438" s="4"/>
      <c r="AH438" s="4"/>
      <c r="AI438" s="4"/>
      <c r="AJ438" s="4"/>
      <c r="AK438" s="4"/>
      <c r="AL438" s="4"/>
      <c r="AM438" s="4"/>
      <c r="AN438" s="4"/>
      <c r="AO438" s="4"/>
      <c r="AP438" s="4"/>
      <c r="AQ438" s="4"/>
      <c r="AR438" s="4"/>
      <c r="AS438" s="4"/>
      <c r="AT438" s="4"/>
      <c r="AU438" s="4"/>
      <c r="AV438" s="4"/>
      <c r="AW438" s="4"/>
      <c r="AX438" s="4"/>
      <c r="AY438" s="4"/>
      <c r="AZ438" s="4"/>
      <c r="BA438" s="4"/>
      <c r="BB438" s="4"/>
      <c r="BC438" s="4"/>
      <c r="BD438" s="4"/>
      <c r="BE438" s="4"/>
      <c r="BF438" s="4"/>
      <c r="BG438" s="4"/>
      <c r="BH438" s="4"/>
      <c r="BI438" s="4"/>
      <c r="BJ438" s="4"/>
      <c r="BK438" s="4"/>
      <c r="BL438" s="4"/>
      <c r="BM438" s="4"/>
      <c r="BN438" s="4"/>
      <c r="BO438" s="4"/>
      <c r="BP438" s="4"/>
      <c r="BQ438" s="4"/>
      <c r="BR438" s="4"/>
      <c r="BS438" s="4"/>
      <c r="BT438" s="4"/>
      <c r="BU438" s="4"/>
      <c r="BV438" s="4"/>
      <c r="BW438" s="4"/>
      <c r="BX438" s="4"/>
      <c r="BY438" s="4"/>
      <c r="BZ438" s="4"/>
      <c r="CA438" s="4"/>
      <c r="CB438" s="4"/>
      <c r="CC438" s="4"/>
      <c r="CD438" s="4"/>
      <c r="CE438" s="4"/>
      <c r="CF438" s="4"/>
      <c r="CG438" s="4"/>
      <c r="CH438" s="4"/>
      <c r="CI438" s="4"/>
    </row>
    <row r="439" ht="14.25" customHeight="1" spans="1:87" x14ac:dyDescent="0.25">
      <c r="A439" s="4"/>
      <c r="B439" s="4"/>
      <c r="C439" s="4"/>
      <c r="D439" s="4"/>
      <c r="E439" s="4"/>
      <c r="F439" s="4"/>
      <c r="G439" s="4"/>
      <c r="H439" s="4"/>
      <c r="I439" s="4"/>
      <c r="J439" s="4"/>
      <c r="K439" s="242"/>
      <c r="L439" s="4"/>
      <c r="M439" s="4"/>
      <c r="N439" s="4"/>
      <c r="O439" s="4"/>
      <c r="P439" s="4"/>
      <c r="Q439" s="4"/>
      <c r="R439" s="4"/>
      <c r="S439" s="4"/>
      <c r="T439" s="4"/>
      <c r="U439" s="4"/>
      <c r="V439" s="4"/>
      <c r="W439" s="4"/>
      <c r="X439" s="4"/>
      <c r="Y439" s="4"/>
      <c r="Z439" s="4"/>
      <c r="AA439" s="4"/>
      <c r="AB439" s="4"/>
      <c r="AC439" s="4"/>
      <c r="AD439" s="4"/>
      <c r="AE439" s="4"/>
      <c r="AF439" s="4"/>
      <c r="AG439" s="4"/>
      <c r="AH439" s="4"/>
      <c r="AI439" s="4"/>
      <c r="AJ439" s="4"/>
      <c r="AK439" s="4"/>
      <c r="AL439" s="4"/>
      <c r="AM439" s="4"/>
      <c r="AN439" s="4"/>
      <c r="AO439" s="4"/>
      <c r="AP439" s="4"/>
      <c r="AQ439" s="4"/>
      <c r="AR439" s="4"/>
      <c r="AS439" s="4"/>
      <c r="AT439" s="4"/>
      <c r="AU439" s="4"/>
      <c r="AV439" s="4"/>
      <c r="AW439" s="4"/>
      <c r="AX439" s="4"/>
      <c r="AY439" s="4"/>
      <c r="AZ439" s="4"/>
      <c r="BA439" s="4"/>
      <c r="BB439" s="4"/>
      <c r="BC439" s="4"/>
      <c r="BD439" s="4"/>
      <c r="BE439" s="4"/>
      <c r="BF439" s="4"/>
      <c r="BG439" s="4"/>
      <c r="BH439" s="4"/>
      <c r="BI439" s="4"/>
      <c r="BJ439" s="4"/>
      <c r="BK439" s="4"/>
      <c r="BL439" s="4"/>
      <c r="BM439" s="4"/>
      <c r="BN439" s="4"/>
      <c r="BO439" s="4"/>
      <c r="BP439" s="4"/>
      <c r="BQ439" s="4"/>
      <c r="BR439" s="4"/>
      <c r="BS439" s="4"/>
      <c r="BT439" s="4"/>
      <c r="BU439" s="4"/>
      <c r="BV439" s="4"/>
      <c r="BW439" s="4"/>
      <c r="BX439" s="4"/>
      <c r="BY439" s="4"/>
      <c r="BZ439" s="4"/>
      <c r="CA439" s="4"/>
      <c r="CB439" s="4"/>
      <c r="CC439" s="4"/>
      <c r="CD439" s="4"/>
      <c r="CE439" s="4"/>
      <c r="CF439" s="4"/>
      <c r="CG439" s="4"/>
      <c r="CH439" s="4"/>
      <c r="CI439" s="4"/>
    </row>
    <row r="440" ht="14.25" customHeight="1" spans="1:87" x14ac:dyDescent="0.25">
      <c r="A440" s="4"/>
      <c r="B440" s="4"/>
      <c r="C440" s="4"/>
      <c r="D440" s="4"/>
      <c r="E440" s="4"/>
      <c r="F440" s="4"/>
      <c r="G440" s="4"/>
      <c r="H440" s="4"/>
      <c r="I440" s="4"/>
      <c r="J440" s="4"/>
      <c r="K440" s="242"/>
      <c r="L440" s="4"/>
      <c r="M440" s="4"/>
      <c r="N440" s="4"/>
      <c r="O440" s="4"/>
      <c r="P440" s="4"/>
      <c r="Q440" s="4"/>
      <c r="R440" s="4"/>
      <c r="S440" s="4"/>
      <c r="T440" s="4"/>
      <c r="U440" s="4"/>
      <c r="V440" s="4"/>
      <c r="W440" s="4"/>
      <c r="X440" s="4"/>
      <c r="Y440" s="4"/>
      <c r="Z440" s="4"/>
      <c r="AA440" s="4"/>
      <c r="AB440" s="4"/>
      <c r="AC440" s="4"/>
      <c r="AD440" s="4"/>
      <c r="AE440" s="4"/>
      <c r="AF440" s="4"/>
      <c r="AG440" s="4"/>
      <c r="AH440" s="4"/>
      <c r="AI440" s="4"/>
      <c r="AJ440" s="4"/>
      <c r="AK440" s="4"/>
      <c r="AL440" s="4"/>
      <c r="AM440" s="4"/>
      <c r="AN440" s="4"/>
      <c r="AO440" s="4"/>
      <c r="AP440" s="4"/>
      <c r="AQ440" s="4"/>
      <c r="AR440" s="4"/>
      <c r="AS440" s="4"/>
      <c r="AT440" s="4"/>
      <c r="AU440" s="4"/>
      <c r="AV440" s="4"/>
      <c r="AW440" s="4"/>
      <c r="AX440" s="4"/>
      <c r="AY440" s="4"/>
      <c r="AZ440" s="4"/>
      <c r="BA440" s="4"/>
      <c r="BB440" s="4"/>
      <c r="BC440" s="4"/>
      <c r="BD440" s="4"/>
      <c r="BE440" s="4"/>
      <c r="BF440" s="4"/>
      <c r="BG440" s="4"/>
      <c r="BH440" s="4"/>
      <c r="BI440" s="4"/>
      <c r="BJ440" s="4"/>
      <c r="BK440" s="4"/>
      <c r="BL440" s="4"/>
      <c r="BM440" s="4"/>
      <c r="BN440" s="4"/>
      <c r="BO440" s="4"/>
      <c r="BP440" s="4"/>
      <c r="BQ440" s="4"/>
      <c r="BR440" s="4"/>
      <c r="BS440" s="4"/>
      <c r="BT440" s="4"/>
      <c r="BU440" s="4"/>
      <c r="BV440" s="4"/>
      <c r="BW440" s="4"/>
      <c r="BX440" s="4"/>
      <c r="BY440" s="4"/>
      <c r="BZ440" s="4"/>
      <c r="CA440" s="4"/>
      <c r="CB440" s="4"/>
      <c r="CC440" s="4"/>
      <c r="CD440" s="4"/>
      <c r="CE440" s="4"/>
      <c r="CF440" s="4"/>
      <c r="CG440" s="4"/>
      <c r="CH440" s="4"/>
      <c r="CI440" s="4"/>
    </row>
    <row r="441" ht="14.25" customHeight="1" spans="1:87" x14ac:dyDescent="0.25">
      <c r="A441" s="4"/>
      <c r="B441" s="4"/>
      <c r="C441" s="4"/>
      <c r="D441" s="4"/>
      <c r="E441" s="4"/>
      <c r="F441" s="4"/>
      <c r="G441" s="4"/>
      <c r="H441" s="4"/>
      <c r="I441" s="4"/>
      <c r="J441" s="4"/>
      <c r="K441" s="242"/>
      <c r="L441" s="4"/>
      <c r="M441" s="4"/>
      <c r="N441" s="4"/>
      <c r="O441" s="4"/>
      <c r="P441" s="4"/>
      <c r="Q441" s="4"/>
      <c r="R441" s="4"/>
      <c r="S441" s="4"/>
      <c r="T441" s="4"/>
      <c r="U441" s="4"/>
      <c r="V441" s="4"/>
      <c r="W441" s="4"/>
      <c r="X441" s="4"/>
      <c r="Y441" s="4"/>
      <c r="Z441" s="4"/>
      <c r="AA441" s="4"/>
      <c r="AB441" s="4"/>
      <c r="AC441" s="4"/>
      <c r="AD441" s="4"/>
      <c r="AE441" s="4"/>
      <c r="AF441" s="4"/>
      <c r="AG441" s="4"/>
      <c r="AH441" s="4"/>
      <c r="AI441" s="4"/>
      <c r="AJ441" s="4"/>
      <c r="AK441" s="4"/>
      <c r="AL441" s="4"/>
      <c r="AM441" s="4"/>
      <c r="AN441" s="4"/>
      <c r="AO441" s="4"/>
      <c r="AP441" s="4"/>
      <c r="AQ441" s="4"/>
      <c r="AR441" s="4"/>
      <c r="AS441" s="4"/>
      <c r="AT441" s="4"/>
      <c r="AU441" s="4"/>
      <c r="AV441" s="4"/>
      <c r="AW441" s="4"/>
      <c r="AX441" s="4"/>
      <c r="AY441" s="4"/>
      <c r="AZ441" s="4"/>
      <c r="BA441" s="4"/>
      <c r="BB441" s="4"/>
      <c r="BC441" s="4"/>
      <c r="BD441" s="4"/>
      <c r="BE441" s="4"/>
      <c r="BF441" s="4"/>
      <c r="BG441" s="4"/>
      <c r="BH441" s="4"/>
      <c r="BI441" s="4"/>
      <c r="BJ441" s="4"/>
      <c r="BK441" s="4"/>
      <c r="BL441" s="4"/>
      <c r="BM441" s="4"/>
      <c r="BN441" s="4"/>
      <c r="BO441" s="4"/>
      <c r="BP441" s="4"/>
      <c r="BQ441" s="4"/>
      <c r="BR441" s="4"/>
      <c r="BS441" s="4"/>
      <c r="BT441" s="4"/>
      <c r="BU441" s="4"/>
      <c r="BV441" s="4"/>
      <c r="BW441" s="4"/>
      <c r="BX441" s="4"/>
      <c r="BY441" s="4"/>
      <c r="BZ441" s="4"/>
      <c r="CA441" s="4"/>
      <c r="CB441" s="4"/>
      <c r="CC441" s="4"/>
      <c r="CD441" s="4"/>
      <c r="CE441" s="4"/>
      <c r="CF441" s="4"/>
      <c r="CG441" s="4"/>
      <c r="CH441" s="4"/>
      <c r="CI441" s="4"/>
    </row>
    <row r="442" ht="14.25" customHeight="1" spans="1:87" x14ac:dyDescent="0.25">
      <c r="A442" s="4"/>
      <c r="B442" s="4"/>
      <c r="C442" s="4"/>
      <c r="D442" s="4"/>
      <c r="E442" s="4"/>
      <c r="F442" s="4"/>
      <c r="G442" s="4"/>
      <c r="H442" s="4"/>
      <c r="I442" s="4"/>
      <c r="J442" s="4"/>
      <c r="K442" s="242"/>
      <c r="L442" s="4"/>
      <c r="M442" s="4"/>
      <c r="N442" s="4"/>
      <c r="O442" s="4"/>
      <c r="P442" s="4"/>
      <c r="Q442" s="4"/>
      <c r="R442" s="4"/>
      <c r="S442" s="4"/>
      <c r="T442" s="4"/>
      <c r="U442" s="4"/>
      <c r="V442" s="4"/>
      <c r="W442" s="4"/>
      <c r="X442" s="4"/>
      <c r="Y442" s="4"/>
      <c r="Z442" s="4"/>
      <c r="AA442" s="4"/>
      <c r="AB442" s="4"/>
      <c r="AC442" s="4"/>
      <c r="AD442" s="4"/>
      <c r="AE442" s="4"/>
      <c r="AF442" s="4"/>
      <c r="AG442" s="4"/>
      <c r="AH442" s="4"/>
      <c r="AI442" s="4"/>
      <c r="AJ442" s="4"/>
      <c r="AK442" s="4"/>
      <c r="AL442" s="4"/>
      <c r="AM442" s="4"/>
      <c r="AN442" s="4"/>
      <c r="AO442" s="4"/>
      <c r="AP442" s="4"/>
      <c r="AQ442" s="4"/>
      <c r="AR442" s="4"/>
      <c r="AS442" s="4"/>
      <c r="AT442" s="4"/>
      <c r="AU442" s="4"/>
      <c r="AV442" s="4"/>
      <c r="AW442" s="4"/>
      <c r="AX442" s="4"/>
      <c r="AY442" s="4"/>
      <c r="AZ442" s="4"/>
      <c r="BA442" s="4"/>
      <c r="BB442" s="4"/>
      <c r="BC442" s="4"/>
      <c r="BD442" s="4"/>
      <c r="BE442" s="4"/>
      <c r="BF442" s="4"/>
      <c r="BG442" s="4"/>
      <c r="BH442" s="4"/>
      <c r="BI442" s="4"/>
      <c r="BJ442" s="4"/>
      <c r="BK442" s="4"/>
      <c r="BL442" s="4"/>
      <c r="BM442" s="4"/>
      <c r="BN442" s="4"/>
      <c r="BO442" s="4"/>
      <c r="BP442" s="4"/>
      <c r="BQ442" s="4"/>
      <c r="BR442" s="4"/>
      <c r="BS442" s="4"/>
      <c r="BT442" s="4"/>
      <c r="BU442" s="4"/>
      <c r="BV442" s="4"/>
      <c r="BW442" s="4"/>
      <c r="BX442" s="4"/>
      <c r="BY442" s="4"/>
      <c r="BZ442" s="4"/>
      <c r="CA442" s="4"/>
      <c r="CB442" s="4"/>
      <c r="CC442" s="4"/>
      <c r="CD442" s="4"/>
      <c r="CE442" s="4"/>
      <c r="CF442" s="4"/>
      <c r="CG442" s="4"/>
      <c r="CH442" s="4"/>
      <c r="CI442" s="4"/>
    </row>
    <row r="443" ht="14.25" customHeight="1" spans="1:87" x14ac:dyDescent="0.25">
      <c r="A443" s="4"/>
      <c r="B443" s="4"/>
      <c r="C443" s="4"/>
      <c r="D443" s="4"/>
      <c r="E443" s="4"/>
      <c r="F443" s="4"/>
      <c r="G443" s="4"/>
      <c r="H443" s="4"/>
      <c r="I443" s="4"/>
      <c r="J443" s="4"/>
      <c r="K443" s="242"/>
      <c r="L443" s="4"/>
      <c r="M443" s="4"/>
      <c r="N443" s="4"/>
      <c r="O443" s="4"/>
      <c r="P443" s="4"/>
      <c r="Q443" s="4"/>
      <c r="R443" s="4"/>
      <c r="S443" s="4"/>
      <c r="T443" s="4"/>
      <c r="U443" s="4"/>
      <c r="V443" s="4"/>
      <c r="W443" s="4"/>
      <c r="X443" s="4"/>
      <c r="Y443" s="4"/>
      <c r="Z443" s="4"/>
      <c r="AA443" s="4"/>
      <c r="AB443" s="4"/>
      <c r="AC443" s="4"/>
      <c r="AD443" s="4"/>
      <c r="AE443" s="4"/>
      <c r="AF443" s="4"/>
      <c r="AG443" s="4"/>
      <c r="AH443" s="4"/>
      <c r="AI443" s="4"/>
      <c r="AJ443" s="4"/>
      <c r="AK443" s="4"/>
      <c r="AL443" s="4"/>
      <c r="AM443" s="4"/>
      <c r="AN443" s="4"/>
      <c r="AO443" s="4"/>
      <c r="AP443" s="4"/>
      <c r="AQ443" s="4"/>
      <c r="AR443" s="4"/>
      <c r="AS443" s="4"/>
      <c r="AT443" s="4"/>
      <c r="AU443" s="4"/>
      <c r="AV443" s="4"/>
      <c r="AW443" s="4"/>
      <c r="AX443" s="4"/>
      <c r="AY443" s="4"/>
      <c r="AZ443" s="4"/>
      <c r="BA443" s="4"/>
      <c r="BB443" s="4"/>
      <c r="BC443" s="4"/>
      <c r="BD443" s="4"/>
      <c r="BE443" s="4"/>
      <c r="BF443" s="4"/>
      <c r="BG443" s="4"/>
      <c r="BH443" s="4"/>
      <c r="BI443" s="4"/>
      <c r="BJ443" s="4"/>
      <c r="BK443" s="4"/>
      <c r="BL443" s="4"/>
      <c r="BM443" s="4"/>
      <c r="BN443" s="4"/>
      <c r="BO443" s="4"/>
      <c r="BP443" s="4"/>
      <c r="BQ443" s="4"/>
      <c r="BR443" s="4"/>
      <c r="BS443" s="4"/>
      <c r="BT443" s="4"/>
      <c r="BU443" s="4"/>
      <c r="BV443" s="4"/>
      <c r="BW443" s="4"/>
      <c r="BX443" s="4"/>
      <c r="BY443" s="4"/>
      <c r="BZ443" s="4"/>
      <c r="CA443" s="4"/>
      <c r="CB443" s="4"/>
      <c r="CC443" s="4"/>
      <c r="CD443" s="4"/>
      <c r="CE443" s="4"/>
      <c r="CF443" s="4"/>
      <c r="CG443" s="4"/>
      <c r="CH443" s="4"/>
      <c r="CI443" s="4"/>
    </row>
    <row r="444" ht="14.25" customHeight="1" spans="1:87" x14ac:dyDescent="0.25">
      <c r="A444" s="4"/>
      <c r="B444" s="4"/>
      <c r="C444" s="4"/>
      <c r="D444" s="4"/>
      <c r="E444" s="4"/>
      <c r="F444" s="4"/>
      <c r="G444" s="4"/>
      <c r="H444" s="4"/>
      <c r="I444" s="4"/>
      <c r="J444" s="4"/>
      <c r="K444" s="242"/>
      <c r="L444" s="4"/>
      <c r="M444" s="4"/>
      <c r="N444" s="4"/>
      <c r="O444" s="4"/>
      <c r="P444" s="4"/>
      <c r="Q444" s="4"/>
      <c r="R444" s="4"/>
      <c r="S444" s="4"/>
      <c r="T444" s="4"/>
      <c r="U444" s="4"/>
      <c r="V444" s="4"/>
      <c r="W444" s="4"/>
      <c r="X444" s="4"/>
      <c r="Y444" s="4"/>
      <c r="Z444" s="4"/>
      <c r="AA444" s="4"/>
      <c r="AB444" s="4"/>
      <c r="AC444" s="4"/>
      <c r="AD444" s="4"/>
      <c r="AE444" s="4"/>
      <c r="AF444" s="4"/>
      <c r="AG444" s="4"/>
      <c r="AH444" s="4"/>
      <c r="AI444" s="4"/>
      <c r="AJ444" s="4"/>
      <c r="AK444" s="4"/>
      <c r="AL444" s="4"/>
      <c r="AM444" s="4"/>
      <c r="AN444" s="4"/>
      <c r="AO444" s="4"/>
      <c r="AP444" s="4"/>
      <c r="AQ444" s="4"/>
      <c r="AR444" s="4"/>
      <c r="AS444" s="4"/>
      <c r="AT444" s="4"/>
      <c r="AU444" s="4"/>
      <c r="AV444" s="4"/>
      <c r="AW444" s="4"/>
      <c r="AX444" s="4"/>
      <c r="AY444" s="4"/>
      <c r="AZ444" s="4"/>
      <c r="BA444" s="4"/>
      <c r="BB444" s="4"/>
      <c r="BC444" s="4"/>
      <c r="BD444" s="4"/>
      <c r="BE444" s="4"/>
      <c r="BF444" s="4"/>
      <c r="BG444" s="4"/>
      <c r="BH444" s="4"/>
      <c r="BI444" s="4"/>
      <c r="BJ444" s="4"/>
      <c r="BK444" s="4"/>
      <c r="BL444" s="4"/>
      <c r="BM444" s="4"/>
      <c r="BN444" s="4"/>
      <c r="BO444" s="4"/>
      <c r="BP444" s="4"/>
      <c r="BQ444" s="4"/>
      <c r="BR444" s="4"/>
      <c r="BS444" s="4"/>
      <c r="BT444" s="4"/>
      <c r="BU444" s="4"/>
      <c r="BV444" s="4"/>
      <c r="BW444" s="4"/>
      <c r="BX444" s="4"/>
      <c r="BY444" s="4"/>
      <c r="BZ444" s="4"/>
      <c r="CA444" s="4"/>
      <c r="CB444" s="4"/>
      <c r="CC444" s="4"/>
      <c r="CD444" s="4"/>
      <c r="CE444" s="4"/>
      <c r="CF444" s="4"/>
      <c r="CG444" s="4"/>
      <c r="CH444" s="4"/>
      <c r="CI444" s="4"/>
    </row>
    <row r="445" ht="14.25" customHeight="1" spans="1:87" x14ac:dyDescent="0.25">
      <c r="A445" s="4"/>
      <c r="B445" s="4"/>
      <c r="C445" s="4"/>
      <c r="D445" s="4"/>
      <c r="E445" s="4"/>
      <c r="F445" s="4"/>
      <c r="G445" s="4"/>
      <c r="H445" s="4"/>
      <c r="I445" s="4"/>
      <c r="J445" s="4"/>
      <c r="K445" s="242"/>
      <c r="L445" s="4"/>
      <c r="M445" s="4"/>
      <c r="N445" s="4"/>
      <c r="O445" s="4"/>
      <c r="P445" s="4"/>
      <c r="Q445" s="4"/>
      <c r="R445" s="4"/>
      <c r="S445" s="4"/>
      <c r="T445" s="4"/>
      <c r="U445" s="4"/>
      <c r="V445" s="4"/>
      <c r="W445" s="4"/>
      <c r="X445" s="4"/>
      <c r="Y445" s="4"/>
      <c r="Z445" s="4"/>
      <c r="AA445" s="4"/>
      <c r="AB445" s="4"/>
      <c r="AC445" s="4"/>
      <c r="AD445" s="4"/>
      <c r="AE445" s="4"/>
      <c r="AF445" s="4"/>
      <c r="AG445" s="4"/>
      <c r="AH445" s="4"/>
      <c r="AI445" s="4"/>
      <c r="AJ445" s="4"/>
      <c r="AK445" s="4"/>
      <c r="AL445" s="4"/>
      <c r="AM445" s="4"/>
      <c r="AN445" s="4"/>
      <c r="AO445" s="4"/>
      <c r="AP445" s="4"/>
      <c r="AQ445" s="4"/>
      <c r="AR445" s="4"/>
      <c r="AS445" s="4"/>
      <c r="AT445" s="4"/>
      <c r="AU445" s="4"/>
      <c r="AV445" s="4"/>
      <c r="AW445" s="4"/>
      <c r="AX445" s="4"/>
      <c r="AY445" s="4"/>
      <c r="AZ445" s="4"/>
      <c r="BA445" s="4"/>
      <c r="BB445" s="4"/>
      <c r="BC445" s="4"/>
      <c r="BD445" s="4"/>
      <c r="BE445" s="4"/>
      <c r="BF445" s="4"/>
      <c r="BG445" s="4"/>
      <c r="BH445" s="4"/>
      <c r="BI445" s="4"/>
      <c r="BJ445" s="4"/>
      <c r="BK445" s="4"/>
      <c r="BL445" s="4"/>
      <c r="BM445" s="4"/>
      <c r="BN445" s="4"/>
      <c r="BO445" s="4"/>
      <c r="BP445" s="4"/>
      <c r="BQ445" s="4"/>
      <c r="BR445" s="4"/>
      <c r="BS445" s="4"/>
      <c r="BT445" s="4"/>
      <c r="BU445" s="4"/>
      <c r="BV445" s="4"/>
      <c r="BW445" s="4"/>
      <c r="BX445" s="4"/>
      <c r="BY445" s="4"/>
      <c r="BZ445" s="4"/>
      <c r="CA445" s="4"/>
      <c r="CB445" s="4"/>
      <c r="CC445" s="4"/>
      <c r="CD445" s="4"/>
      <c r="CE445" s="4"/>
      <c r="CF445" s="4"/>
      <c r="CG445" s="4"/>
      <c r="CH445" s="4"/>
      <c r="CI445" s="4"/>
    </row>
    <row r="446" ht="14.25" customHeight="1" spans="1:87" x14ac:dyDescent="0.25">
      <c r="A446" s="4"/>
      <c r="B446" s="4"/>
      <c r="C446" s="4"/>
      <c r="D446" s="4"/>
      <c r="E446" s="4"/>
      <c r="F446" s="4"/>
      <c r="G446" s="4"/>
      <c r="H446" s="4"/>
      <c r="I446" s="4"/>
      <c r="J446" s="4"/>
      <c r="K446" s="242"/>
      <c r="L446" s="4"/>
      <c r="M446" s="4"/>
      <c r="N446" s="4"/>
      <c r="O446" s="4"/>
      <c r="P446" s="4"/>
      <c r="Q446" s="4"/>
      <c r="R446" s="4"/>
      <c r="S446" s="4"/>
      <c r="T446" s="4"/>
      <c r="U446" s="4"/>
      <c r="V446" s="4"/>
      <c r="W446" s="4"/>
      <c r="X446" s="4"/>
      <c r="Y446" s="4"/>
      <c r="Z446" s="4"/>
      <c r="AA446" s="4"/>
      <c r="AB446" s="4"/>
      <c r="AC446" s="4"/>
      <c r="AD446" s="4"/>
      <c r="AE446" s="4"/>
      <c r="AF446" s="4"/>
      <c r="AG446" s="4"/>
      <c r="AH446" s="4"/>
      <c r="AI446" s="4"/>
      <c r="AJ446" s="4"/>
      <c r="AK446" s="4"/>
      <c r="AL446" s="4"/>
      <c r="AM446" s="4"/>
      <c r="AN446" s="4"/>
      <c r="AO446" s="4"/>
      <c r="AP446" s="4"/>
      <c r="AQ446" s="4"/>
      <c r="AR446" s="4"/>
      <c r="AS446" s="4"/>
      <c r="AT446" s="4"/>
      <c r="AU446" s="4"/>
      <c r="AV446" s="4"/>
      <c r="AW446" s="4"/>
      <c r="AX446" s="4"/>
      <c r="AY446" s="4"/>
      <c r="AZ446" s="4"/>
      <c r="BA446" s="4"/>
      <c r="BB446" s="4"/>
      <c r="BC446" s="4"/>
      <c r="BD446" s="4"/>
      <c r="BE446" s="4"/>
      <c r="BF446" s="4"/>
      <c r="BG446" s="4"/>
      <c r="BH446" s="4"/>
      <c r="BI446" s="4"/>
      <c r="BJ446" s="4"/>
      <c r="BK446" s="4"/>
      <c r="BL446" s="4"/>
      <c r="BM446" s="4"/>
      <c r="BN446" s="4"/>
      <c r="BO446" s="4"/>
      <c r="BP446" s="4"/>
      <c r="BQ446" s="4"/>
      <c r="BR446" s="4"/>
      <c r="BS446" s="4"/>
      <c r="BT446" s="4"/>
      <c r="BU446" s="4"/>
      <c r="BV446" s="4"/>
      <c r="BW446" s="4"/>
      <c r="BX446" s="4"/>
      <c r="BY446" s="4"/>
      <c r="BZ446" s="4"/>
      <c r="CA446" s="4"/>
      <c r="CB446" s="4"/>
      <c r="CC446" s="4"/>
      <c r="CD446" s="4"/>
      <c r="CE446" s="4"/>
      <c r="CF446" s="4"/>
      <c r="CG446" s="4"/>
      <c r="CH446" s="4"/>
      <c r="CI446" s="4"/>
    </row>
    <row r="447" ht="14.25" customHeight="1" spans="1:87" x14ac:dyDescent="0.25">
      <c r="A447" s="4"/>
      <c r="B447" s="4"/>
      <c r="C447" s="4"/>
      <c r="D447" s="4"/>
      <c r="E447" s="4"/>
      <c r="F447" s="4"/>
      <c r="G447" s="4"/>
      <c r="H447" s="4"/>
      <c r="I447" s="4"/>
      <c r="J447" s="4"/>
      <c r="K447" s="242"/>
      <c r="L447" s="4"/>
      <c r="M447" s="4"/>
      <c r="N447" s="4"/>
      <c r="O447" s="4"/>
      <c r="P447" s="4"/>
      <c r="Q447" s="4"/>
      <c r="R447" s="4"/>
      <c r="S447" s="4"/>
      <c r="T447" s="4"/>
      <c r="U447" s="4"/>
      <c r="V447" s="4"/>
      <c r="W447" s="4"/>
      <c r="X447" s="4"/>
      <c r="Y447" s="4"/>
      <c r="Z447" s="4"/>
      <c r="AA447" s="4"/>
      <c r="AB447" s="4"/>
      <c r="AC447" s="4"/>
      <c r="AD447" s="4"/>
      <c r="AE447" s="4"/>
      <c r="AF447" s="4"/>
      <c r="AG447" s="4"/>
      <c r="AH447" s="4"/>
      <c r="AI447" s="4"/>
      <c r="AJ447" s="4"/>
      <c r="AK447" s="4"/>
      <c r="AL447" s="4"/>
      <c r="AM447" s="4"/>
      <c r="AN447" s="4"/>
      <c r="AO447" s="4"/>
      <c r="AP447" s="4"/>
      <c r="AQ447" s="4"/>
      <c r="AR447" s="4"/>
      <c r="AS447" s="4"/>
      <c r="AT447" s="4"/>
      <c r="AU447" s="4"/>
      <c r="AV447" s="4"/>
      <c r="AW447" s="4"/>
      <c r="AX447" s="4"/>
      <c r="AY447" s="4"/>
      <c r="AZ447" s="4"/>
      <c r="BA447" s="4"/>
      <c r="BB447" s="4"/>
      <c r="BC447" s="4"/>
      <c r="BD447" s="4"/>
      <c r="BE447" s="4"/>
      <c r="BF447" s="4"/>
      <c r="BG447" s="4"/>
      <c r="BH447" s="4"/>
      <c r="BI447" s="4"/>
      <c r="BJ447" s="4"/>
      <c r="BK447" s="4"/>
      <c r="BL447" s="4"/>
      <c r="BM447" s="4"/>
      <c r="BN447" s="4"/>
      <c r="BO447" s="4"/>
      <c r="BP447" s="4"/>
      <c r="BQ447" s="4"/>
      <c r="BR447" s="4"/>
      <c r="BS447" s="4"/>
      <c r="BT447" s="4"/>
      <c r="BU447" s="4"/>
      <c r="BV447" s="4"/>
      <c r="BW447" s="4"/>
      <c r="BX447" s="4"/>
      <c r="BY447" s="4"/>
      <c r="BZ447" s="4"/>
      <c r="CA447" s="4"/>
      <c r="CB447" s="4"/>
      <c r="CC447" s="4"/>
      <c r="CD447" s="4"/>
      <c r="CE447" s="4"/>
      <c r="CF447" s="4"/>
      <c r="CG447" s="4"/>
      <c r="CH447" s="4"/>
      <c r="CI447" s="4"/>
    </row>
    <row r="448" ht="14.25" customHeight="1" spans="1:87" x14ac:dyDescent="0.25">
      <c r="A448" s="4"/>
      <c r="B448" s="4"/>
      <c r="C448" s="4"/>
      <c r="D448" s="4"/>
      <c r="E448" s="4"/>
      <c r="F448" s="4"/>
      <c r="G448" s="4"/>
      <c r="H448" s="4"/>
      <c r="I448" s="4"/>
      <c r="J448" s="4"/>
      <c r="K448" s="242"/>
      <c r="L448" s="4"/>
      <c r="M448" s="4"/>
      <c r="N448" s="4"/>
      <c r="O448" s="4"/>
      <c r="P448" s="4"/>
      <c r="Q448" s="4"/>
      <c r="R448" s="4"/>
      <c r="S448" s="4"/>
      <c r="T448" s="4"/>
      <c r="U448" s="4"/>
      <c r="V448" s="4"/>
      <c r="W448" s="4"/>
      <c r="X448" s="4"/>
      <c r="Y448" s="4"/>
      <c r="Z448" s="4"/>
      <c r="AA448" s="4"/>
      <c r="AB448" s="4"/>
      <c r="AC448" s="4"/>
      <c r="AD448" s="4"/>
      <c r="AE448" s="4"/>
      <c r="AF448" s="4"/>
      <c r="AG448" s="4"/>
      <c r="AH448" s="4"/>
      <c r="AI448" s="4"/>
      <c r="AJ448" s="4"/>
      <c r="AK448" s="4"/>
      <c r="AL448" s="4"/>
      <c r="AM448" s="4"/>
      <c r="AN448" s="4"/>
      <c r="AO448" s="4"/>
      <c r="AP448" s="4"/>
      <c r="AQ448" s="4"/>
      <c r="AR448" s="4"/>
      <c r="AS448" s="4"/>
      <c r="AT448" s="4"/>
      <c r="AU448" s="4"/>
      <c r="AV448" s="4"/>
      <c r="AW448" s="4"/>
      <c r="AX448" s="4"/>
      <c r="AY448" s="4"/>
      <c r="AZ448" s="4"/>
      <c r="BA448" s="4"/>
      <c r="BB448" s="4"/>
      <c r="BC448" s="4"/>
      <c r="BD448" s="4"/>
      <c r="BE448" s="4"/>
      <c r="BF448" s="4"/>
      <c r="BG448" s="4"/>
      <c r="BH448" s="4"/>
      <c r="BI448" s="4"/>
      <c r="BJ448" s="4"/>
      <c r="BK448" s="4"/>
      <c r="BL448" s="4"/>
      <c r="BM448" s="4"/>
      <c r="BN448" s="4"/>
      <c r="BO448" s="4"/>
      <c r="BP448" s="4"/>
      <c r="BQ448" s="4"/>
      <c r="BR448" s="4"/>
      <c r="BS448" s="4"/>
      <c r="BT448" s="4"/>
      <c r="BU448" s="4"/>
      <c r="BV448" s="4"/>
      <c r="BW448" s="4"/>
      <c r="BX448" s="4"/>
      <c r="BY448" s="4"/>
      <c r="BZ448" s="4"/>
      <c r="CA448" s="4"/>
      <c r="CB448" s="4"/>
      <c r="CC448" s="4"/>
      <c r="CD448" s="4"/>
      <c r="CE448" s="4"/>
      <c r="CF448" s="4"/>
      <c r="CG448" s="4"/>
      <c r="CH448" s="4"/>
      <c r="CI448" s="4"/>
    </row>
    <row r="449" ht="14.25" customHeight="1" spans="1:87" x14ac:dyDescent="0.25">
      <c r="A449" s="4"/>
      <c r="B449" s="4"/>
      <c r="C449" s="4"/>
      <c r="D449" s="4"/>
      <c r="E449" s="4"/>
      <c r="F449" s="4"/>
      <c r="G449" s="4"/>
      <c r="H449" s="4"/>
      <c r="I449" s="4"/>
      <c r="J449" s="4"/>
      <c r="K449" s="242"/>
      <c r="L449" s="4"/>
      <c r="M449" s="4"/>
      <c r="N449" s="4"/>
      <c r="O449" s="4"/>
      <c r="P449" s="4"/>
      <c r="Q449" s="4"/>
      <c r="R449" s="4"/>
      <c r="S449" s="4"/>
      <c r="T449" s="4"/>
      <c r="U449" s="4"/>
      <c r="V449" s="4"/>
      <c r="W449" s="4"/>
      <c r="X449" s="4"/>
      <c r="Y449" s="4"/>
      <c r="Z449" s="4"/>
      <c r="AA449" s="4"/>
      <c r="AB449" s="4"/>
      <c r="AC449" s="4"/>
      <c r="AD449" s="4"/>
      <c r="AE449" s="4"/>
      <c r="AF449" s="4"/>
      <c r="AG449" s="4"/>
      <c r="AH449" s="4"/>
      <c r="AI449" s="4"/>
      <c r="AJ449" s="4"/>
      <c r="AK449" s="4"/>
      <c r="AL449" s="4"/>
      <c r="AM449" s="4"/>
      <c r="AN449" s="4"/>
      <c r="AO449" s="4"/>
      <c r="AP449" s="4"/>
      <c r="AQ449" s="4"/>
      <c r="AR449" s="4"/>
      <c r="AS449" s="4"/>
      <c r="AT449" s="4"/>
      <c r="AU449" s="4"/>
      <c r="AV449" s="4"/>
      <c r="AW449" s="4"/>
      <c r="AX449" s="4"/>
      <c r="AY449" s="4"/>
      <c r="AZ449" s="4"/>
      <c r="BA449" s="4"/>
      <c r="BB449" s="4"/>
      <c r="BC449" s="4"/>
      <c r="BD449" s="4"/>
      <c r="BE449" s="4"/>
      <c r="BF449" s="4"/>
      <c r="BG449" s="4"/>
      <c r="BH449" s="4"/>
      <c r="BI449" s="4"/>
      <c r="BJ449" s="4"/>
      <c r="BK449" s="4"/>
      <c r="BL449" s="4"/>
      <c r="BM449" s="4"/>
      <c r="BN449" s="4"/>
      <c r="BO449" s="4"/>
      <c r="BP449" s="4"/>
      <c r="BQ449" s="4"/>
      <c r="BR449" s="4"/>
      <c r="BS449" s="4"/>
      <c r="BT449" s="4"/>
      <c r="BU449" s="4"/>
      <c r="BV449" s="4"/>
      <c r="BW449" s="4"/>
      <c r="BX449" s="4"/>
      <c r="BY449" s="4"/>
      <c r="BZ449" s="4"/>
      <c r="CA449" s="4"/>
      <c r="CB449" s="4"/>
      <c r="CC449" s="4"/>
      <c r="CD449" s="4"/>
      <c r="CE449" s="4"/>
      <c r="CF449" s="4"/>
      <c r="CG449" s="4"/>
      <c r="CH449" s="4"/>
      <c r="CI449" s="4"/>
    </row>
    <row r="450" ht="14.25" customHeight="1" spans="1:87" x14ac:dyDescent="0.25">
      <c r="A450" s="4"/>
      <c r="B450" s="4"/>
      <c r="C450" s="4"/>
      <c r="D450" s="4"/>
      <c r="E450" s="4"/>
      <c r="F450" s="4"/>
      <c r="G450" s="4"/>
      <c r="H450" s="4"/>
      <c r="I450" s="4"/>
      <c r="J450" s="4"/>
      <c r="K450" s="242"/>
      <c r="L450" s="4"/>
      <c r="M450" s="4"/>
      <c r="N450" s="4"/>
      <c r="O450" s="4"/>
      <c r="P450" s="4"/>
      <c r="Q450" s="4"/>
      <c r="R450" s="4"/>
      <c r="S450" s="4"/>
      <c r="T450" s="4"/>
      <c r="U450" s="4"/>
      <c r="V450" s="4"/>
      <c r="W450" s="4"/>
      <c r="X450" s="4"/>
      <c r="Y450" s="4"/>
      <c r="Z450" s="4"/>
      <c r="AA450" s="4"/>
      <c r="AB450" s="4"/>
      <c r="AC450" s="4"/>
      <c r="AD450" s="4"/>
      <c r="AE450" s="4"/>
      <c r="AF450" s="4"/>
      <c r="AG450" s="4"/>
      <c r="AH450" s="4"/>
      <c r="AI450" s="4"/>
      <c r="AJ450" s="4"/>
      <c r="AK450" s="4"/>
      <c r="AL450" s="4"/>
      <c r="AM450" s="4"/>
      <c r="AN450" s="4"/>
      <c r="AO450" s="4"/>
      <c r="AP450" s="4"/>
      <c r="AQ450" s="4"/>
      <c r="AR450" s="4"/>
      <c r="AS450" s="4"/>
      <c r="AT450" s="4"/>
      <c r="AU450" s="4"/>
      <c r="AV450" s="4"/>
      <c r="AW450" s="4"/>
      <c r="AX450" s="4"/>
      <c r="AY450" s="4"/>
      <c r="AZ450" s="4"/>
      <c r="BA450" s="4"/>
      <c r="BB450" s="4"/>
      <c r="BC450" s="4"/>
      <c r="BD450" s="4"/>
      <c r="BE450" s="4"/>
      <c r="BF450" s="4"/>
      <c r="BG450" s="4"/>
      <c r="BH450" s="4"/>
      <c r="BI450" s="4"/>
      <c r="BJ450" s="4"/>
      <c r="BK450" s="4"/>
      <c r="BL450" s="4"/>
      <c r="BM450" s="4"/>
      <c r="BN450" s="4"/>
      <c r="BO450" s="4"/>
      <c r="BP450" s="4"/>
      <c r="BQ450" s="4"/>
      <c r="BR450" s="4"/>
      <c r="BS450" s="4"/>
      <c r="BT450" s="4"/>
      <c r="BU450" s="4"/>
      <c r="BV450" s="4"/>
      <c r="BW450" s="4"/>
      <c r="BX450" s="4"/>
      <c r="BY450" s="4"/>
      <c r="BZ450" s="4"/>
      <c r="CA450" s="4"/>
      <c r="CB450" s="4"/>
      <c r="CC450" s="4"/>
      <c r="CD450" s="4"/>
      <c r="CE450" s="4"/>
      <c r="CF450" s="4"/>
      <c r="CG450" s="4"/>
      <c r="CH450" s="4"/>
      <c r="CI450" s="4"/>
    </row>
    <row r="451" ht="14.25" customHeight="1" spans="1:87" x14ac:dyDescent="0.25">
      <c r="A451" s="4"/>
      <c r="B451" s="4"/>
      <c r="C451" s="4"/>
      <c r="D451" s="4"/>
      <c r="E451" s="4"/>
      <c r="F451" s="4"/>
      <c r="G451" s="4"/>
      <c r="H451" s="4"/>
      <c r="I451" s="4"/>
      <c r="J451" s="4"/>
      <c r="K451" s="242"/>
      <c r="L451" s="4"/>
      <c r="M451" s="4"/>
      <c r="N451" s="4"/>
      <c r="O451" s="4"/>
      <c r="P451" s="4"/>
      <c r="Q451" s="4"/>
      <c r="R451" s="4"/>
      <c r="S451" s="4"/>
      <c r="T451" s="4"/>
      <c r="U451" s="4"/>
      <c r="V451" s="4"/>
      <c r="W451" s="4"/>
      <c r="X451" s="4"/>
      <c r="Y451" s="4"/>
      <c r="Z451" s="4"/>
      <c r="AA451" s="4"/>
      <c r="AB451" s="4"/>
      <c r="AC451" s="4"/>
      <c r="AD451" s="4"/>
      <c r="AE451" s="4"/>
      <c r="AF451" s="4"/>
      <c r="AG451" s="4"/>
      <c r="AH451" s="4"/>
      <c r="AI451" s="4"/>
      <c r="AJ451" s="4"/>
      <c r="AK451" s="4"/>
      <c r="AL451" s="4"/>
      <c r="AM451" s="4"/>
      <c r="AN451" s="4"/>
      <c r="AO451" s="4"/>
      <c r="AP451" s="4"/>
      <c r="AQ451" s="4"/>
      <c r="AR451" s="4"/>
      <c r="AS451" s="4"/>
      <c r="AT451" s="4"/>
      <c r="AU451" s="4"/>
      <c r="AV451" s="4"/>
      <c r="AW451" s="4"/>
      <c r="AX451" s="4"/>
      <c r="AY451" s="4"/>
      <c r="AZ451" s="4"/>
      <c r="BA451" s="4"/>
      <c r="BB451" s="4"/>
      <c r="BC451" s="4"/>
      <c r="BD451" s="4"/>
      <c r="BE451" s="4"/>
      <c r="BF451" s="4"/>
      <c r="BG451" s="4"/>
      <c r="BH451" s="4"/>
      <c r="BI451" s="4"/>
      <c r="BJ451" s="4"/>
      <c r="BK451" s="4"/>
      <c r="BL451" s="4"/>
      <c r="BM451" s="4"/>
      <c r="BN451" s="4"/>
      <c r="BO451" s="4"/>
      <c r="BP451" s="4"/>
      <c r="BQ451" s="4"/>
      <c r="BR451" s="4"/>
      <c r="BS451" s="4"/>
      <c r="BT451" s="4"/>
      <c r="BU451" s="4"/>
      <c r="BV451" s="4"/>
      <c r="BW451" s="4"/>
      <c r="BX451" s="4"/>
      <c r="BY451" s="4"/>
      <c r="BZ451" s="4"/>
      <c r="CA451" s="4"/>
      <c r="CB451" s="4"/>
      <c r="CC451" s="4"/>
      <c r="CD451" s="4"/>
      <c r="CE451" s="4"/>
      <c r="CF451" s="4"/>
      <c r="CG451" s="4"/>
      <c r="CH451" s="4"/>
      <c r="CI451" s="4"/>
    </row>
    <row r="452" ht="14.25" customHeight="1" spans="1:87" x14ac:dyDescent="0.25">
      <c r="A452" s="4"/>
      <c r="B452" s="4"/>
      <c r="C452" s="4"/>
      <c r="D452" s="4"/>
      <c r="E452" s="4"/>
      <c r="F452" s="4"/>
      <c r="G452" s="4"/>
      <c r="H452" s="4"/>
      <c r="I452" s="4"/>
      <c r="J452" s="4"/>
      <c r="K452" s="242"/>
      <c r="L452" s="4"/>
      <c r="M452" s="4"/>
      <c r="N452" s="4"/>
      <c r="O452" s="4"/>
      <c r="P452" s="4"/>
      <c r="Q452" s="4"/>
      <c r="R452" s="4"/>
      <c r="S452" s="4"/>
      <c r="T452" s="4"/>
      <c r="U452" s="4"/>
      <c r="V452" s="4"/>
      <c r="W452" s="4"/>
      <c r="X452" s="4"/>
      <c r="Y452" s="4"/>
      <c r="Z452" s="4"/>
      <c r="AA452" s="4"/>
      <c r="AB452" s="4"/>
      <c r="AC452" s="4"/>
      <c r="AD452" s="4"/>
      <c r="AE452" s="4"/>
      <c r="AF452" s="4"/>
      <c r="AG452" s="4"/>
      <c r="AH452" s="4"/>
      <c r="AI452" s="4"/>
      <c r="AJ452" s="4"/>
      <c r="AK452" s="4"/>
      <c r="AL452" s="4"/>
      <c r="AM452" s="4"/>
      <c r="AN452" s="4"/>
      <c r="AO452" s="4"/>
      <c r="AP452" s="4"/>
      <c r="AQ452" s="4"/>
      <c r="AR452" s="4"/>
      <c r="AS452" s="4"/>
      <c r="AT452" s="4"/>
      <c r="AU452" s="4"/>
      <c r="AV452" s="4"/>
      <c r="AW452" s="4"/>
      <c r="AX452" s="4"/>
      <c r="AY452" s="4"/>
      <c r="AZ452" s="4"/>
      <c r="BA452" s="4"/>
      <c r="BB452" s="4"/>
      <c r="BC452" s="4"/>
      <c r="BD452" s="4"/>
      <c r="BE452" s="4"/>
      <c r="BF452" s="4"/>
      <c r="BG452" s="4"/>
      <c r="BH452" s="4"/>
      <c r="BI452" s="4"/>
      <c r="BJ452" s="4"/>
      <c r="BK452" s="4"/>
      <c r="BL452" s="4"/>
      <c r="BM452" s="4"/>
      <c r="BN452" s="4"/>
      <c r="BO452" s="4"/>
      <c r="BP452" s="4"/>
      <c r="BQ452" s="4"/>
      <c r="BR452" s="4"/>
      <c r="BS452" s="4"/>
      <c r="BT452" s="4"/>
      <c r="BU452" s="4"/>
      <c r="BV452" s="4"/>
      <c r="BW452" s="4"/>
      <c r="BX452" s="4"/>
      <c r="BY452" s="4"/>
      <c r="BZ452" s="4"/>
      <c r="CA452" s="4"/>
      <c r="CB452" s="4"/>
      <c r="CC452" s="4"/>
      <c r="CD452" s="4"/>
      <c r="CE452" s="4"/>
      <c r="CF452" s="4"/>
      <c r="CG452" s="4"/>
      <c r="CH452" s="4"/>
      <c r="CI452" s="4"/>
    </row>
    <row r="453" ht="14.25" customHeight="1" spans="1:87" x14ac:dyDescent="0.25">
      <c r="A453" s="4"/>
      <c r="B453" s="4"/>
      <c r="C453" s="4"/>
      <c r="D453" s="4"/>
      <c r="E453" s="4"/>
      <c r="F453" s="4"/>
      <c r="G453" s="4"/>
      <c r="H453" s="4"/>
      <c r="I453" s="4"/>
      <c r="J453" s="4"/>
      <c r="K453" s="242"/>
      <c r="L453" s="4"/>
      <c r="M453" s="4"/>
      <c r="N453" s="4"/>
      <c r="O453" s="4"/>
      <c r="P453" s="4"/>
      <c r="Q453" s="4"/>
      <c r="R453" s="4"/>
      <c r="S453" s="4"/>
      <c r="T453" s="4"/>
      <c r="U453" s="4"/>
      <c r="V453" s="4"/>
      <c r="W453" s="4"/>
      <c r="X453" s="4"/>
      <c r="Y453" s="4"/>
      <c r="Z453" s="4"/>
      <c r="AA453" s="4"/>
      <c r="AB453" s="4"/>
      <c r="AC453" s="4"/>
      <c r="AD453" s="4"/>
      <c r="AE453" s="4"/>
      <c r="AF453" s="4"/>
      <c r="AG453" s="4"/>
      <c r="AH453" s="4"/>
      <c r="AI453" s="4"/>
      <c r="AJ453" s="4"/>
      <c r="AK453" s="4"/>
      <c r="AL453" s="4"/>
      <c r="AM453" s="4"/>
      <c r="AN453" s="4"/>
      <c r="AO453" s="4"/>
      <c r="AP453" s="4"/>
      <c r="AQ453" s="4"/>
      <c r="AR453" s="4"/>
      <c r="AS453" s="4"/>
      <c r="AT453" s="4"/>
      <c r="AU453" s="4"/>
      <c r="AV453" s="4"/>
      <c r="AW453" s="4"/>
      <c r="AX453" s="4"/>
      <c r="AY453" s="4"/>
      <c r="AZ453" s="4"/>
      <c r="BA453" s="4"/>
      <c r="BB453" s="4"/>
      <c r="BC453" s="4"/>
      <c r="BD453" s="4"/>
      <c r="BE453" s="4"/>
      <c r="BF453" s="4"/>
      <c r="BG453" s="4"/>
      <c r="BH453" s="4"/>
      <c r="BI453" s="4"/>
      <c r="BJ453" s="4"/>
      <c r="BK453" s="4"/>
      <c r="BL453" s="4"/>
      <c r="BM453" s="4"/>
      <c r="BN453" s="4"/>
      <c r="BO453" s="4"/>
      <c r="BP453" s="4"/>
      <c r="BQ453" s="4"/>
      <c r="BR453" s="4"/>
      <c r="BS453" s="4"/>
      <c r="BT453" s="4"/>
      <c r="BU453" s="4"/>
      <c r="BV453" s="4"/>
      <c r="BW453" s="4"/>
      <c r="BX453" s="4"/>
      <c r="BY453" s="4"/>
      <c r="BZ453" s="4"/>
      <c r="CA453" s="4"/>
      <c r="CB453" s="4"/>
      <c r="CC453" s="4"/>
      <c r="CD453" s="4"/>
      <c r="CE453" s="4"/>
      <c r="CF453" s="4"/>
      <c r="CG453" s="4"/>
      <c r="CH453" s="4"/>
      <c r="CI453" s="4"/>
    </row>
    <row r="454" ht="14.25" customHeight="1" spans="1:87" x14ac:dyDescent="0.25">
      <c r="A454" s="4"/>
      <c r="B454" s="4"/>
      <c r="C454" s="4"/>
      <c r="D454" s="4"/>
      <c r="E454" s="4"/>
      <c r="F454" s="4"/>
      <c r="G454" s="4"/>
      <c r="H454" s="4"/>
      <c r="I454" s="4"/>
      <c r="J454" s="4"/>
      <c r="K454" s="242"/>
      <c r="L454" s="4"/>
      <c r="M454" s="4"/>
      <c r="N454" s="4"/>
      <c r="O454" s="4"/>
      <c r="P454" s="4"/>
      <c r="Q454" s="4"/>
      <c r="R454" s="4"/>
      <c r="S454" s="4"/>
      <c r="T454" s="4"/>
      <c r="U454" s="4"/>
      <c r="V454" s="4"/>
      <c r="W454" s="4"/>
      <c r="X454" s="4"/>
      <c r="Y454" s="4"/>
      <c r="Z454" s="4"/>
      <c r="AA454" s="4"/>
      <c r="AB454" s="4"/>
      <c r="AC454" s="4"/>
      <c r="AD454" s="4"/>
      <c r="AE454" s="4"/>
      <c r="AF454" s="4"/>
      <c r="AG454" s="4"/>
      <c r="AH454" s="4"/>
      <c r="AI454" s="4"/>
      <c r="AJ454" s="4"/>
      <c r="AK454" s="4"/>
      <c r="AL454" s="4"/>
      <c r="AM454" s="4"/>
      <c r="AN454" s="4"/>
      <c r="AO454" s="4"/>
      <c r="AP454" s="4"/>
      <c r="AQ454" s="4"/>
      <c r="AR454" s="4"/>
      <c r="AS454" s="4"/>
      <c r="AT454" s="4"/>
      <c r="AU454" s="4"/>
      <c r="AV454" s="4"/>
      <c r="AW454" s="4"/>
      <c r="AX454" s="4"/>
      <c r="AY454" s="4"/>
      <c r="AZ454" s="4"/>
      <c r="BA454" s="4"/>
      <c r="BB454" s="4"/>
      <c r="BC454" s="4"/>
      <c r="BD454" s="4"/>
      <c r="BE454" s="4"/>
      <c r="BF454" s="4"/>
      <c r="BG454" s="4"/>
      <c r="BH454" s="4"/>
      <c r="BI454" s="4"/>
      <c r="BJ454" s="4"/>
      <c r="BK454" s="4"/>
      <c r="BL454" s="4"/>
      <c r="BM454" s="4"/>
      <c r="BN454" s="4"/>
      <c r="BO454" s="4"/>
      <c r="BP454" s="4"/>
      <c r="BQ454" s="4"/>
      <c r="BR454" s="4"/>
      <c r="BS454" s="4"/>
      <c r="BT454" s="4"/>
      <c r="BU454" s="4"/>
      <c r="BV454" s="4"/>
      <c r="BW454" s="4"/>
      <c r="BX454" s="4"/>
      <c r="BY454" s="4"/>
      <c r="BZ454" s="4"/>
      <c r="CA454" s="4"/>
      <c r="CB454" s="4"/>
      <c r="CC454" s="4"/>
      <c r="CD454" s="4"/>
      <c r="CE454" s="4"/>
      <c r="CF454" s="4"/>
      <c r="CG454" s="4"/>
      <c r="CH454" s="4"/>
      <c r="CI454" s="4"/>
    </row>
    <row r="455" ht="14.25" customHeight="1" spans="1:87" x14ac:dyDescent="0.25">
      <c r="A455" s="4"/>
      <c r="B455" s="4"/>
      <c r="C455" s="4"/>
      <c r="D455" s="4"/>
      <c r="E455" s="4"/>
      <c r="F455" s="4"/>
      <c r="G455" s="4"/>
      <c r="H455" s="4"/>
      <c r="I455" s="4"/>
      <c r="J455" s="4"/>
      <c r="K455" s="242"/>
      <c r="L455" s="4"/>
      <c r="M455" s="4"/>
      <c r="N455" s="4"/>
      <c r="O455" s="4"/>
      <c r="P455" s="4"/>
      <c r="Q455" s="4"/>
      <c r="R455" s="4"/>
      <c r="S455" s="4"/>
      <c r="T455" s="4"/>
      <c r="U455" s="4"/>
      <c r="V455" s="4"/>
      <c r="W455" s="4"/>
      <c r="X455" s="4"/>
      <c r="Y455" s="4"/>
      <c r="Z455" s="4"/>
      <c r="AA455" s="4"/>
      <c r="AB455" s="4"/>
      <c r="AC455" s="4"/>
      <c r="AD455" s="4"/>
      <c r="AE455" s="4"/>
      <c r="AF455" s="4"/>
      <c r="AG455" s="4"/>
      <c r="AH455" s="4"/>
      <c r="AI455" s="4"/>
      <c r="AJ455" s="4"/>
      <c r="AK455" s="4"/>
      <c r="AL455" s="4"/>
      <c r="AM455" s="4"/>
      <c r="AN455" s="4"/>
      <c r="AO455" s="4"/>
      <c r="AP455" s="4"/>
      <c r="AQ455" s="4"/>
      <c r="AR455" s="4"/>
      <c r="AS455" s="4"/>
      <c r="AT455" s="4"/>
      <c r="AU455" s="4"/>
      <c r="AV455" s="4"/>
      <c r="AW455" s="4"/>
      <c r="AX455" s="4"/>
      <c r="AY455" s="4"/>
      <c r="AZ455" s="4"/>
      <c r="BA455" s="4"/>
      <c r="BB455" s="4"/>
      <c r="BC455" s="4"/>
      <c r="BD455" s="4"/>
      <c r="BE455" s="4"/>
      <c r="BF455" s="4"/>
      <c r="BG455" s="4"/>
      <c r="BH455" s="4"/>
      <c r="BI455" s="4"/>
      <c r="BJ455" s="4"/>
      <c r="BK455" s="4"/>
      <c r="BL455" s="4"/>
      <c r="BM455" s="4"/>
      <c r="BN455" s="4"/>
      <c r="BO455" s="4"/>
      <c r="BP455" s="4"/>
      <c r="BQ455" s="4"/>
      <c r="BR455" s="4"/>
      <c r="BS455" s="4"/>
      <c r="BT455" s="4"/>
      <c r="BU455" s="4"/>
      <c r="BV455" s="4"/>
      <c r="BW455" s="4"/>
      <c r="BX455" s="4"/>
      <c r="BY455" s="4"/>
      <c r="BZ455" s="4"/>
      <c r="CA455" s="4"/>
      <c r="CB455" s="4"/>
      <c r="CC455" s="4"/>
      <c r="CD455" s="4"/>
      <c r="CE455" s="4"/>
      <c r="CF455" s="4"/>
      <c r="CG455" s="4"/>
      <c r="CH455" s="4"/>
      <c r="CI455" s="4"/>
    </row>
    <row r="456" ht="14.25" customHeight="1" spans="1:87" x14ac:dyDescent="0.25">
      <c r="A456" s="4"/>
      <c r="B456" s="4"/>
      <c r="C456" s="4"/>
      <c r="D456" s="4"/>
      <c r="E456" s="4"/>
      <c r="F456" s="4"/>
      <c r="G456" s="4"/>
      <c r="H456" s="4"/>
      <c r="I456" s="4"/>
      <c r="J456" s="4"/>
      <c r="K456" s="242"/>
      <c r="L456" s="4"/>
      <c r="M456" s="4"/>
      <c r="N456" s="4"/>
      <c r="O456" s="4"/>
      <c r="P456" s="4"/>
      <c r="Q456" s="4"/>
      <c r="R456" s="4"/>
      <c r="S456" s="4"/>
      <c r="T456" s="4"/>
      <c r="U456" s="4"/>
      <c r="V456" s="4"/>
      <c r="W456" s="4"/>
      <c r="X456" s="4"/>
      <c r="Y456" s="4"/>
      <c r="Z456" s="4"/>
      <c r="AA456" s="4"/>
      <c r="AB456" s="4"/>
      <c r="AC456" s="4"/>
      <c r="AD456" s="4"/>
      <c r="AE456" s="4"/>
      <c r="AF456" s="4"/>
      <c r="AG456" s="4"/>
      <c r="AH456" s="4"/>
      <c r="AI456" s="4"/>
      <c r="AJ456" s="4"/>
      <c r="AK456" s="4"/>
      <c r="AL456" s="4"/>
      <c r="AM456" s="4"/>
      <c r="AN456" s="4"/>
      <c r="AO456" s="4"/>
      <c r="AP456" s="4"/>
      <c r="AQ456" s="4"/>
      <c r="AR456" s="4"/>
      <c r="AS456" s="4"/>
      <c r="AT456" s="4"/>
      <c r="AU456" s="4"/>
      <c r="AV456" s="4"/>
      <c r="AW456" s="4"/>
      <c r="AX456" s="4"/>
      <c r="AY456" s="4"/>
      <c r="AZ456" s="4"/>
      <c r="BA456" s="4"/>
      <c r="BB456" s="4"/>
      <c r="BC456" s="4"/>
      <c r="BD456" s="4"/>
      <c r="BE456" s="4"/>
      <c r="BF456" s="4"/>
      <c r="BG456" s="4"/>
      <c r="BH456" s="4"/>
      <c r="BI456" s="4"/>
      <c r="BJ456" s="4"/>
      <c r="BK456" s="4"/>
      <c r="BL456" s="4"/>
      <c r="BM456" s="4"/>
      <c r="BN456" s="4"/>
      <c r="BO456" s="4"/>
      <c r="BP456" s="4"/>
      <c r="BQ456" s="4"/>
      <c r="BR456" s="4"/>
      <c r="BS456" s="4"/>
      <c r="BT456" s="4"/>
      <c r="BU456" s="4"/>
      <c r="BV456" s="4"/>
      <c r="BW456" s="4"/>
      <c r="BX456" s="4"/>
      <c r="BY456" s="4"/>
      <c r="BZ456" s="4"/>
      <c r="CA456" s="4"/>
      <c r="CB456" s="4"/>
      <c r="CC456" s="4"/>
      <c r="CD456" s="4"/>
      <c r="CE456" s="4"/>
      <c r="CF456" s="4"/>
      <c r="CG456" s="4"/>
      <c r="CH456" s="4"/>
      <c r="CI456" s="4"/>
    </row>
    <row r="457" ht="14.25" customHeight="1" spans="1:87" x14ac:dyDescent="0.25">
      <c r="A457" s="4"/>
      <c r="B457" s="4"/>
      <c r="C457" s="4"/>
      <c r="D457" s="4"/>
      <c r="E457" s="4"/>
      <c r="F457" s="4"/>
      <c r="G457" s="4"/>
      <c r="H457" s="4"/>
      <c r="I457" s="4"/>
      <c r="J457" s="4"/>
      <c r="K457" s="242"/>
      <c r="L457" s="4"/>
      <c r="M457" s="4"/>
      <c r="N457" s="4"/>
      <c r="O457" s="4"/>
      <c r="P457" s="4"/>
      <c r="Q457" s="4"/>
      <c r="R457" s="4"/>
      <c r="S457" s="4"/>
      <c r="T457" s="4"/>
      <c r="U457" s="4"/>
      <c r="V457" s="4"/>
      <c r="W457" s="4"/>
      <c r="X457" s="4"/>
      <c r="Y457" s="4"/>
      <c r="Z457" s="4"/>
      <c r="AA457" s="4"/>
      <c r="AB457" s="4"/>
      <c r="AC457" s="4"/>
      <c r="AD457" s="4"/>
      <c r="AE457" s="4"/>
      <c r="AF457" s="4"/>
      <c r="AG457" s="4"/>
      <c r="AH457" s="4"/>
      <c r="AI457" s="4"/>
      <c r="AJ457" s="4"/>
      <c r="AK457" s="4"/>
      <c r="AL457" s="4"/>
      <c r="AM457" s="4"/>
      <c r="AN457" s="4"/>
      <c r="AO457" s="4"/>
      <c r="AP457" s="4"/>
      <c r="AQ457" s="4"/>
      <c r="AR457" s="4"/>
      <c r="AS457" s="4"/>
      <c r="AT457" s="4"/>
      <c r="AU457" s="4"/>
      <c r="AV457" s="4"/>
      <c r="AW457" s="4"/>
      <c r="AX457" s="4"/>
      <c r="AY457" s="4"/>
      <c r="AZ457" s="4"/>
      <c r="BA457" s="4"/>
      <c r="BB457" s="4"/>
      <c r="BC457" s="4"/>
      <c r="BD457" s="4"/>
      <c r="BE457" s="4"/>
      <c r="BF457" s="4"/>
      <c r="BG457" s="4"/>
      <c r="BH457" s="4"/>
      <c r="BI457" s="4"/>
      <c r="BJ457" s="4"/>
      <c r="BK457" s="4"/>
      <c r="BL457" s="4"/>
      <c r="BM457" s="4"/>
      <c r="BN457" s="4"/>
      <c r="BO457" s="4"/>
      <c r="BP457" s="4"/>
      <c r="BQ457" s="4"/>
      <c r="BR457" s="4"/>
      <c r="BS457" s="4"/>
      <c r="BT457" s="4"/>
      <c r="BU457" s="4"/>
      <c r="BV457" s="4"/>
      <c r="BW457" s="4"/>
      <c r="BX457" s="4"/>
      <c r="BY457" s="4"/>
      <c r="BZ457" s="4"/>
      <c r="CA457" s="4"/>
      <c r="CB457" s="4"/>
      <c r="CC457" s="4"/>
      <c r="CD457" s="4"/>
      <c r="CE457" s="4"/>
      <c r="CF457" s="4"/>
      <c r="CG457" s="4"/>
      <c r="CH457" s="4"/>
      <c r="CI457" s="4"/>
    </row>
    <row r="458" ht="14.25" customHeight="1" spans="1:87" x14ac:dyDescent="0.25">
      <c r="A458" s="4"/>
      <c r="B458" s="4"/>
      <c r="C458" s="4"/>
      <c r="D458" s="4"/>
      <c r="E458" s="4"/>
      <c r="F458" s="4"/>
      <c r="G458" s="4"/>
      <c r="H458" s="4"/>
      <c r="I458" s="4"/>
      <c r="J458" s="4"/>
      <c r="K458" s="242"/>
      <c r="L458" s="4"/>
      <c r="M458" s="4"/>
      <c r="N458" s="4"/>
      <c r="O458" s="4"/>
      <c r="P458" s="4"/>
      <c r="Q458" s="4"/>
      <c r="R458" s="4"/>
      <c r="S458" s="4"/>
      <c r="T458" s="4"/>
      <c r="U458" s="4"/>
      <c r="V458" s="4"/>
      <c r="W458" s="4"/>
      <c r="X458" s="4"/>
      <c r="Y458" s="4"/>
      <c r="Z458" s="4"/>
      <c r="AA458" s="4"/>
      <c r="AB458" s="4"/>
      <c r="AC458" s="4"/>
      <c r="AD458" s="4"/>
      <c r="AE458" s="4"/>
      <c r="AF458" s="4"/>
      <c r="AG458" s="4"/>
      <c r="AH458" s="4"/>
      <c r="AI458" s="4"/>
      <c r="AJ458" s="4"/>
      <c r="AK458" s="4"/>
      <c r="AL458" s="4"/>
      <c r="AM458" s="4"/>
      <c r="AN458" s="4"/>
      <c r="AO458" s="4"/>
      <c r="AP458" s="4"/>
      <c r="AQ458" s="4"/>
      <c r="AR458" s="4"/>
      <c r="AS458" s="4"/>
      <c r="AT458" s="4"/>
      <c r="AU458" s="4"/>
      <c r="AV458" s="4"/>
      <c r="AW458" s="4"/>
      <c r="AX458" s="4"/>
      <c r="AY458" s="4"/>
      <c r="AZ458" s="4"/>
      <c r="BA458" s="4"/>
      <c r="BB458" s="4"/>
      <c r="BC458" s="4"/>
      <c r="BD458" s="4"/>
      <c r="BE458" s="4"/>
      <c r="BF458" s="4"/>
      <c r="BG458" s="4"/>
      <c r="BH458" s="4"/>
      <c r="BI458" s="4"/>
      <c r="BJ458" s="4"/>
      <c r="BK458" s="4"/>
      <c r="BL458" s="4"/>
      <c r="BM458" s="4"/>
      <c r="BN458" s="4"/>
      <c r="BO458" s="4"/>
      <c r="BP458" s="4"/>
      <c r="BQ458" s="4"/>
      <c r="BR458" s="4"/>
      <c r="BS458" s="4"/>
      <c r="BT458" s="4"/>
      <c r="BU458" s="4"/>
      <c r="BV458" s="4"/>
      <c r="BW458" s="4"/>
      <c r="BX458" s="4"/>
      <c r="BY458" s="4"/>
      <c r="BZ458" s="4"/>
      <c r="CA458" s="4"/>
      <c r="CB458" s="4"/>
      <c r="CC458" s="4"/>
      <c r="CD458" s="4"/>
      <c r="CE458" s="4"/>
      <c r="CF458" s="4"/>
      <c r="CG458" s="4"/>
      <c r="CH458" s="4"/>
      <c r="CI458" s="4"/>
    </row>
    <row r="459" ht="14.25" customHeight="1" spans="1:87" x14ac:dyDescent="0.25">
      <c r="A459" s="4"/>
      <c r="B459" s="4"/>
      <c r="C459" s="4"/>
      <c r="D459" s="4"/>
      <c r="E459" s="4"/>
      <c r="F459" s="4"/>
      <c r="G459" s="4"/>
      <c r="H459" s="4"/>
      <c r="I459" s="4"/>
      <c r="J459" s="4"/>
      <c r="K459" s="242"/>
      <c r="L459" s="4"/>
      <c r="M459" s="4"/>
      <c r="N459" s="4"/>
      <c r="O459" s="4"/>
      <c r="P459" s="4"/>
      <c r="Q459" s="4"/>
      <c r="R459" s="4"/>
      <c r="S459" s="4"/>
      <c r="T459" s="4"/>
      <c r="U459" s="4"/>
      <c r="V459" s="4"/>
      <c r="W459" s="4"/>
      <c r="X459" s="4"/>
      <c r="Y459" s="4"/>
      <c r="Z459" s="4"/>
      <c r="AA459" s="4"/>
      <c r="AB459" s="4"/>
      <c r="AC459" s="4"/>
      <c r="AD459" s="4"/>
      <c r="AE459" s="4"/>
      <c r="AF459" s="4"/>
      <c r="AG459" s="4"/>
      <c r="AH459" s="4"/>
      <c r="AI459" s="4"/>
      <c r="AJ459" s="4"/>
      <c r="AK459" s="4"/>
      <c r="AL459" s="4"/>
      <c r="AM459" s="4"/>
      <c r="AN459" s="4"/>
      <c r="AO459" s="4"/>
      <c r="AP459" s="4"/>
      <c r="AQ459" s="4"/>
      <c r="AR459" s="4"/>
      <c r="AS459" s="4"/>
      <c r="AT459" s="4"/>
      <c r="AU459" s="4"/>
      <c r="AV459" s="4"/>
      <c r="AW459" s="4"/>
      <c r="AX459" s="4"/>
      <c r="AY459" s="4"/>
      <c r="AZ459" s="4"/>
      <c r="BA459" s="4"/>
      <c r="BB459" s="4"/>
      <c r="BC459" s="4"/>
      <c r="BD459" s="4"/>
      <c r="BE459" s="4"/>
      <c r="BF459" s="4"/>
      <c r="BG459" s="4"/>
      <c r="BH459" s="4"/>
      <c r="BI459" s="4"/>
      <c r="BJ459" s="4"/>
      <c r="BK459" s="4"/>
      <c r="BL459" s="4"/>
      <c r="BM459" s="4"/>
      <c r="BN459" s="4"/>
      <c r="BO459" s="4"/>
      <c r="BP459" s="4"/>
      <c r="BQ459" s="4"/>
      <c r="BR459" s="4"/>
      <c r="BS459" s="4"/>
      <c r="BT459" s="4"/>
      <c r="BU459" s="4"/>
      <c r="BV459" s="4"/>
      <c r="BW459" s="4"/>
      <c r="BX459" s="4"/>
      <c r="BY459" s="4"/>
      <c r="BZ459" s="4"/>
      <c r="CA459" s="4"/>
      <c r="CB459" s="4"/>
      <c r="CC459" s="4"/>
      <c r="CD459" s="4"/>
      <c r="CE459" s="4"/>
      <c r="CF459" s="4"/>
      <c r="CG459" s="4"/>
      <c r="CH459" s="4"/>
      <c r="CI459" s="4"/>
    </row>
    <row r="460" ht="14.25" customHeight="1" spans="1:87" x14ac:dyDescent="0.25">
      <c r="A460" s="4"/>
      <c r="B460" s="4"/>
      <c r="C460" s="4"/>
      <c r="D460" s="4"/>
      <c r="E460" s="4"/>
      <c r="F460" s="4"/>
      <c r="G460" s="4"/>
      <c r="H460" s="4"/>
      <c r="I460" s="4"/>
      <c r="J460" s="4"/>
      <c r="K460" s="242"/>
      <c r="L460" s="4"/>
      <c r="M460" s="4"/>
      <c r="N460" s="4"/>
      <c r="O460" s="4"/>
      <c r="P460" s="4"/>
      <c r="Q460" s="4"/>
      <c r="R460" s="4"/>
      <c r="S460" s="4"/>
      <c r="T460" s="4"/>
      <c r="U460" s="4"/>
      <c r="V460" s="4"/>
      <c r="W460" s="4"/>
      <c r="X460" s="4"/>
      <c r="Y460" s="4"/>
      <c r="Z460" s="4"/>
      <c r="AA460" s="4"/>
      <c r="AB460" s="4"/>
      <c r="AC460" s="4"/>
      <c r="AD460" s="4"/>
      <c r="AE460" s="4"/>
      <c r="AF460" s="4"/>
      <c r="AG460" s="4"/>
      <c r="AH460" s="4"/>
      <c r="AI460" s="4"/>
      <c r="AJ460" s="4"/>
      <c r="AK460" s="4"/>
      <c r="AL460" s="4"/>
      <c r="AM460" s="4"/>
      <c r="AN460" s="4"/>
      <c r="AO460" s="4"/>
      <c r="AP460" s="4"/>
      <c r="AQ460" s="4"/>
      <c r="AR460" s="4"/>
      <c r="AS460" s="4"/>
      <c r="AT460" s="4"/>
      <c r="AU460" s="4"/>
      <c r="AV460" s="4"/>
      <c r="AW460" s="4"/>
      <c r="AX460" s="4"/>
      <c r="AY460" s="4"/>
      <c r="AZ460" s="4"/>
      <c r="BA460" s="4"/>
      <c r="BB460" s="4"/>
      <c r="BC460" s="4"/>
      <c r="BD460" s="4"/>
      <c r="BE460" s="4"/>
      <c r="BF460" s="4"/>
      <c r="BG460" s="4"/>
      <c r="BH460" s="4"/>
      <c r="BI460" s="4"/>
      <c r="BJ460" s="4"/>
      <c r="BK460" s="4"/>
      <c r="BL460" s="4"/>
      <c r="BM460" s="4"/>
      <c r="BN460" s="4"/>
      <c r="BO460" s="4"/>
      <c r="BP460" s="4"/>
      <c r="BQ460" s="4"/>
      <c r="BR460" s="4"/>
      <c r="BS460" s="4"/>
      <c r="BT460" s="4"/>
      <c r="BU460" s="4"/>
      <c r="BV460" s="4"/>
      <c r="BW460" s="4"/>
      <c r="BX460" s="4"/>
      <c r="BY460" s="4"/>
      <c r="BZ460" s="4"/>
      <c r="CA460" s="4"/>
      <c r="CB460" s="4"/>
      <c r="CC460" s="4"/>
      <c r="CD460" s="4"/>
      <c r="CE460" s="4"/>
      <c r="CF460" s="4"/>
      <c r="CG460" s="4"/>
      <c r="CH460" s="4"/>
      <c r="CI460" s="4"/>
    </row>
    <row r="461" ht="14.25" customHeight="1" spans="1:87" x14ac:dyDescent="0.25">
      <c r="A461" s="4"/>
      <c r="B461" s="4"/>
      <c r="C461" s="4"/>
      <c r="D461" s="4"/>
      <c r="E461" s="4"/>
      <c r="F461" s="4"/>
      <c r="G461" s="4"/>
      <c r="H461" s="4"/>
      <c r="I461" s="4"/>
      <c r="J461" s="4"/>
      <c r="K461" s="242"/>
      <c r="L461" s="4"/>
      <c r="M461" s="4"/>
      <c r="N461" s="4"/>
      <c r="O461" s="4"/>
      <c r="P461" s="4"/>
      <c r="Q461" s="4"/>
      <c r="R461" s="4"/>
      <c r="S461" s="4"/>
      <c r="T461" s="4"/>
      <c r="U461" s="4"/>
      <c r="V461" s="4"/>
      <c r="W461" s="4"/>
      <c r="X461" s="4"/>
      <c r="Y461" s="4"/>
      <c r="Z461" s="4"/>
      <c r="AA461" s="4"/>
      <c r="AB461" s="4"/>
      <c r="AC461" s="4"/>
      <c r="AD461" s="4"/>
      <c r="AE461" s="4"/>
      <c r="AF461" s="4"/>
      <c r="AG461" s="4"/>
      <c r="AH461" s="4"/>
      <c r="AI461" s="4"/>
      <c r="AJ461" s="4"/>
      <c r="AK461" s="4"/>
      <c r="AL461" s="4"/>
      <c r="AM461" s="4"/>
      <c r="AN461" s="4"/>
      <c r="AO461" s="4"/>
      <c r="AP461" s="4"/>
      <c r="AQ461" s="4"/>
      <c r="AR461" s="4"/>
      <c r="AS461" s="4"/>
      <c r="AT461" s="4"/>
      <c r="AU461" s="4"/>
      <c r="AV461" s="4"/>
      <c r="AW461" s="4"/>
      <c r="AX461" s="4"/>
      <c r="AY461" s="4"/>
      <c r="AZ461" s="4"/>
      <c r="BA461" s="4"/>
      <c r="BB461" s="4"/>
      <c r="BC461" s="4"/>
      <c r="BD461" s="4"/>
      <c r="BE461" s="4"/>
      <c r="BF461" s="4"/>
      <c r="BG461" s="4"/>
      <c r="BH461" s="4"/>
      <c r="BI461" s="4"/>
      <c r="BJ461" s="4"/>
      <c r="BK461" s="4"/>
      <c r="BL461" s="4"/>
      <c r="BM461" s="4"/>
      <c r="BN461" s="4"/>
      <c r="BO461" s="4"/>
      <c r="BP461" s="4"/>
      <c r="BQ461" s="4"/>
      <c r="BR461" s="4"/>
      <c r="BS461" s="4"/>
      <c r="BT461" s="4"/>
      <c r="BU461" s="4"/>
      <c r="BV461" s="4"/>
      <c r="BW461" s="4"/>
      <c r="BX461" s="4"/>
      <c r="BY461" s="4"/>
      <c r="BZ461" s="4"/>
      <c r="CA461" s="4"/>
      <c r="CB461" s="4"/>
      <c r="CC461" s="4"/>
      <c r="CD461" s="4"/>
      <c r="CE461" s="4"/>
      <c r="CF461" s="4"/>
      <c r="CG461" s="4"/>
      <c r="CH461" s="4"/>
      <c r="CI461" s="4"/>
    </row>
    <row r="462" ht="14.25" customHeight="1" spans="1:87" x14ac:dyDescent="0.25">
      <c r="A462" s="4"/>
      <c r="B462" s="4"/>
      <c r="C462" s="4"/>
      <c r="D462" s="4"/>
      <c r="E462" s="4"/>
      <c r="F462" s="4"/>
      <c r="G462" s="4"/>
      <c r="H462" s="4"/>
      <c r="I462" s="4"/>
      <c r="J462" s="4"/>
      <c r="K462" s="242"/>
      <c r="L462" s="4"/>
      <c r="M462" s="4"/>
      <c r="N462" s="4"/>
      <c r="O462" s="4"/>
      <c r="P462" s="4"/>
      <c r="Q462" s="4"/>
      <c r="R462" s="4"/>
      <c r="S462" s="4"/>
      <c r="T462" s="4"/>
      <c r="U462" s="4"/>
      <c r="V462" s="4"/>
      <c r="W462" s="4"/>
      <c r="X462" s="4"/>
      <c r="Y462" s="4"/>
      <c r="Z462" s="4"/>
      <c r="AA462" s="4"/>
      <c r="AB462" s="4"/>
      <c r="AC462" s="4"/>
      <c r="AD462" s="4"/>
      <c r="AE462" s="4"/>
      <c r="AF462" s="4"/>
      <c r="AG462" s="4"/>
      <c r="AH462" s="4"/>
      <c r="AI462" s="4"/>
      <c r="AJ462" s="4"/>
      <c r="AK462" s="4"/>
      <c r="AL462" s="4"/>
      <c r="AM462" s="4"/>
      <c r="AN462" s="4"/>
      <c r="AO462" s="4"/>
      <c r="AP462" s="4"/>
      <c r="AQ462" s="4"/>
      <c r="AR462" s="4"/>
      <c r="AS462" s="4"/>
      <c r="AT462" s="4"/>
      <c r="AU462" s="4"/>
      <c r="AV462" s="4"/>
      <c r="AW462" s="4"/>
      <c r="AX462" s="4"/>
      <c r="AY462" s="4"/>
      <c r="AZ462" s="4"/>
      <c r="BA462" s="4"/>
      <c r="BB462" s="4"/>
      <c r="BC462" s="4"/>
      <c r="BD462" s="4"/>
      <c r="BE462" s="4"/>
      <c r="BF462" s="4"/>
      <c r="BG462" s="4"/>
      <c r="BH462" s="4"/>
      <c r="BI462" s="4"/>
      <c r="BJ462" s="4"/>
      <c r="BK462" s="4"/>
      <c r="BL462" s="4"/>
      <c r="BM462" s="4"/>
      <c r="BN462" s="4"/>
      <c r="BO462" s="4"/>
      <c r="BP462" s="4"/>
      <c r="BQ462" s="4"/>
      <c r="BR462" s="4"/>
      <c r="BS462" s="4"/>
      <c r="BT462" s="4"/>
      <c r="BU462" s="4"/>
      <c r="BV462" s="4"/>
      <c r="BW462" s="4"/>
      <c r="BX462" s="4"/>
      <c r="BY462" s="4"/>
      <c r="BZ462" s="4"/>
      <c r="CA462" s="4"/>
      <c r="CB462" s="4"/>
      <c r="CC462" s="4"/>
      <c r="CD462" s="4"/>
      <c r="CE462" s="4"/>
      <c r="CF462" s="4"/>
      <c r="CG462" s="4"/>
      <c r="CH462" s="4"/>
      <c r="CI462" s="4"/>
    </row>
    <row r="463" ht="14.25" customHeight="1" spans="1:87" x14ac:dyDescent="0.25">
      <c r="A463" s="4"/>
      <c r="B463" s="4"/>
      <c r="C463" s="4"/>
      <c r="D463" s="4"/>
      <c r="E463" s="4"/>
      <c r="F463" s="4"/>
      <c r="G463" s="4"/>
      <c r="H463" s="4"/>
      <c r="I463" s="4"/>
      <c r="J463" s="4"/>
      <c r="K463" s="242"/>
      <c r="L463" s="4"/>
      <c r="M463" s="4"/>
      <c r="N463" s="4"/>
      <c r="O463" s="4"/>
      <c r="P463" s="4"/>
      <c r="Q463" s="4"/>
      <c r="R463" s="4"/>
      <c r="S463" s="4"/>
      <c r="T463" s="4"/>
      <c r="U463" s="4"/>
      <c r="V463" s="4"/>
      <c r="W463" s="4"/>
      <c r="X463" s="4"/>
      <c r="Y463" s="4"/>
      <c r="Z463" s="4"/>
      <c r="AA463" s="4"/>
      <c r="AB463" s="4"/>
      <c r="AC463" s="4"/>
      <c r="AD463" s="4"/>
      <c r="AE463" s="4"/>
      <c r="AF463" s="4"/>
      <c r="AG463" s="4"/>
      <c r="AH463" s="4"/>
      <c r="AI463" s="4"/>
      <c r="AJ463" s="4"/>
      <c r="AK463" s="4"/>
      <c r="AL463" s="4"/>
      <c r="AM463" s="4"/>
      <c r="AN463" s="4"/>
      <c r="AO463" s="4"/>
      <c r="AP463" s="4"/>
      <c r="AQ463" s="4"/>
      <c r="AR463" s="4"/>
      <c r="AS463" s="4"/>
      <c r="AT463" s="4"/>
      <c r="AU463" s="4"/>
      <c r="AV463" s="4"/>
      <c r="AW463" s="4"/>
      <c r="AX463" s="4"/>
      <c r="AY463" s="4"/>
      <c r="AZ463" s="4"/>
      <c r="BA463" s="4"/>
      <c r="BB463" s="4"/>
      <c r="BC463" s="4"/>
      <c r="BD463" s="4"/>
      <c r="BE463" s="4"/>
      <c r="BF463" s="4"/>
      <c r="BG463" s="4"/>
      <c r="BH463" s="4"/>
      <c r="BI463" s="4"/>
      <c r="BJ463" s="4"/>
      <c r="BK463" s="4"/>
      <c r="BL463" s="4"/>
      <c r="BM463" s="4"/>
      <c r="BN463" s="4"/>
      <c r="BO463" s="4"/>
      <c r="BP463" s="4"/>
      <c r="BQ463" s="4"/>
      <c r="BR463" s="4"/>
      <c r="BS463" s="4"/>
      <c r="BT463" s="4"/>
      <c r="BU463" s="4"/>
      <c r="BV463" s="4"/>
      <c r="BW463" s="4"/>
      <c r="BX463" s="4"/>
      <c r="BY463" s="4"/>
      <c r="BZ463" s="4"/>
      <c r="CA463" s="4"/>
      <c r="CB463" s="4"/>
      <c r="CC463" s="4"/>
      <c r="CD463" s="4"/>
      <c r="CE463" s="4"/>
      <c r="CF463" s="4"/>
      <c r="CG463" s="4"/>
      <c r="CH463" s="4"/>
      <c r="CI463" s="4"/>
    </row>
    <row r="464" ht="14.25" customHeight="1" spans="1:87" x14ac:dyDescent="0.25">
      <c r="A464" s="4"/>
      <c r="B464" s="4"/>
      <c r="C464" s="4"/>
      <c r="D464" s="4"/>
      <c r="E464" s="4"/>
      <c r="F464" s="4"/>
      <c r="G464" s="4"/>
      <c r="H464" s="4"/>
      <c r="I464" s="4"/>
      <c r="J464" s="4"/>
      <c r="K464" s="242"/>
      <c r="L464" s="4"/>
      <c r="M464" s="4"/>
      <c r="N464" s="4"/>
      <c r="O464" s="4"/>
      <c r="P464" s="4"/>
      <c r="Q464" s="4"/>
      <c r="R464" s="4"/>
      <c r="S464" s="4"/>
      <c r="T464" s="4"/>
      <c r="U464" s="4"/>
      <c r="V464" s="4"/>
      <c r="W464" s="4"/>
      <c r="X464" s="4"/>
      <c r="Y464" s="4"/>
      <c r="Z464" s="4"/>
      <c r="AA464" s="4"/>
      <c r="AB464" s="4"/>
      <c r="AC464" s="4"/>
      <c r="AD464" s="4"/>
      <c r="AE464" s="4"/>
      <c r="AF464" s="4"/>
      <c r="AG464" s="4"/>
      <c r="AH464" s="4"/>
      <c r="AI464" s="4"/>
      <c r="AJ464" s="4"/>
      <c r="AK464" s="4"/>
      <c r="AL464" s="4"/>
      <c r="AM464" s="4"/>
      <c r="AN464" s="4"/>
      <c r="AO464" s="4"/>
      <c r="AP464" s="4"/>
      <c r="AQ464" s="4"/>
      <c r="AR464" s="4"/>
      <c r="AS464" s="4"/>
      <c r="AT464" s="4"/>
      <c r="AU464" s="4"/>
      <c r="AV464" s="4"/>
      <c r="AW464" s="4"/>
      <c r="AX464" s="4"/>
      <c r="AY464" s="4"/>
      <c r="AZ464" s="4"/>
      <c r="BA464" s="4"/>
      <c r="BB464" s="4"/>
      <c r="BC464" s="4"/>
      <c r="BD464" s="4"/>
      <c r="BE464" s="4"/>
      <c r="BF464" s="4"/>
      <c r="BG464" s="4"/>
      <c r="BH464" s="4"/>
      <c r="BI464" s="4"/>
      <c r="BJ464" s="4"/>
      <c r="BK464" s="4"/>
      <c r="BL464" s="4"/>
      <c r="BM464" s="4"/>
      <c r="BN464" s="4"/>
      <c r="BO464" s="4"/>
      <c r="BP464" s="4"/>
      <c r="BQ464" s="4"/>
      <c r="BR464" s="4"/>
      <c r="BS464" s="4"/>
      <c r="BT464" s="4"/>
      <c r="BU464" s="4"/>
      <c r="BV464" s="4"/>
      <c r="BW464" s="4"/>
      <c r="BX464" s="4"/>
      <c r="BY464" s="4"/>
      <c r="BZ464" s="4"/>
      <c r="CA464" s="4"/>
      <c r="CB464" s="4"/>
      <c r="CC464" s="4"/>
      <c r="CD464" s="4"/>
      <c r="CE464" s="4"/>
      <c r="CF464" s="4"/>
      <c r="CG464" s="4"/>
      <c r="CH464" s="4"/>
      <c r="CI464" s="4"/>
    </row>
    <row r="465" ht="14.25" customHeight="1" spans="1:87" x14ac:dyDescent="0.25">
      <c r="A465" s="4"/>
      <c r="B465" s="4"/>
      <c r="C465" s="4"/>
      <c r="D465" s="4"/>
      <c r="E465" s="4"/>
      <c r="F465" s="4"/>
      <c r="G465" s="4"/>
      <c r="H465" s="4"/>
      <c r="I465" s="4"/>
      <c r="J465" s="4"/>
      <c r="K465" s="242"/>
      <c r="L465" s="4"/>
      <c r="M465" s="4"/>
      <c r="N465" s="4"/>
      <c r="O465" s="4"/>
      <c r="P465" s="4"/>
      <c r="Q465" s="4"/>
      <c r="R465" s="4"/>
      <c r="S465" s="4"/>
      <c r="T465" s="4"/>
      <c r="U465" s="4"/>
      <c r="V465" s="4"/>
      <c r="W465" s="4"/>
      <c r="X465" s="4"/>
      <c r="Y465" s="4"/>
      <c r="Z465" s="4"/>
      <c r="AA465" s="4"/>
      <c r="AB465" s="4"/>
      <c r="AC465" s="4"/>
      <c r="AD465" s="4"/>
      <c r="AE465" s="4"/>
      <c r="AF465" s="4"/>
      <c r="AG465" s="4"/>
      <c r="AH465" s="4"/>
      <c r="AI465" s="4"/>
      <c r="AJ465" s="4"/>
      <c r="AK465" s="4"/>
      <c r="AL465" s="4"/>
      <c r="AM465" s="4"/>
      <c r="AN465" s="4"/>
      <c r="AO465" s="4"/>
      <c r="AP465" s="4"/>
      <c r="AQ465" s="4"/>
      <c r="AR465" s="4"/>
      <c r="AS465" s="4"/>
      <c r="AT465" s="4"/>
      <c r="AU465" s="4"/>
      <c r="AV465" s="4"/>
      <c r="AW465" s="4"/>
      <c r="AX465" s="4"/>
      <c r="AY465" s="4"/>
      <c r="AZ465" s="4"/>
      <c r="BA465" s="4"/>
      <c r="BB465" s="4"/>
      <c r="BC465" s="4"/>
      <c r="BD465" s="4"/>
      <c r="BE465" s="4"/>
      <c r="BF465" s="4"/>
      <c r="BG465" s="4"/>
      <c r="BH465" s="4"/>
      <c r="BI465" s="4"/>
      <c r="BJ465" s="4"/>
      <c r="BK465" s="4"/>
      <c r="BL465" s="4"/>
      <c r="BM465" s="4"/>
      <c r="BN465" s="4"/>
      <c r="BO465" s="4"/>
      <c r="BP465" s="4"/>
      <c r="BQ465" s="4"/>
      <c r="BR465" s="4"/>
      <c r="BS465" s="4"/>
      <c r="BT465" s="4"/>
      <c r="BU465" s="4"/>
      <c r="BV465" s="4"/>
      <c r="BW465" s="4"/>
      <c r="BX465" s="4"/>
      <c r="BY465" s="4"/>
      <c r="BZ465" s="4"/>
      <c r="CA465" s="4"/>
      <c r="CB465" s="4"/>
      <c r="CC465" s="4"/>
      <c r="CD465" s="4"/>
      <c r="CE465" s="4"/>
      <c r="CF465" s="4"/>
      <c r="CG465" s="4"/>
      <c r="CH465" s="4"/>
      <c r="CI465" s="4"/>
    </row>
    <row r="466" ht="14.25" customHeight="1" spans="1:87" x14ac:dyDescent="0.25">
      <c r="A466" s="4"/>
      <c r="B466" s="4"/>
      <c r="C466" s="4"/>
      <c r="D466" s="4"/>
      <c r="E466" s="4"/>
      <c r="F466" s="4"/>
      <c r="G466" s="4"/>
      <c r="H466" s="4"/>
      <c r="I466" s="4"/>
      <c r="J466" s="4"/>
      <c r="K466" s="242"/>
      <c r="L466" s="4"/>
      <c r="M466" s="4"/>
      <c r="N466" s="4"/>
      <c r="O466" s="4"/>
      <c r="P466" s="4"/>
      <c r="Q466" s="4"/>
      <c r="R466" s="4"/>
      <c r="S466" s="4"/>
      <c r="T466" s="4"/>
      <c r="U466" s="4"/>
      <c r="V466" s="4"/>
      <c r="W466" s="4"/>
      <c r="X466" s="4"/>
      <c r="Y466" s="4"/>
      <c r="Z466" s="4"/>
      <c r="AA466" s="4"/>
      <c r="AB466" s="4"/>
      <c r="AC466" s="4"/>
      <c r="AD466" s="4"/>
      <c r="AE466" s="4"/>
      <c r="AF466" s="4"/>
      <c r="AG466" s="4"/>
      <c r="AH466" s="4"/>
      <c r="AI466" s="4"/>
      <c r="AJ466" s="4"/>
      <c r="AK466" s="4"/>
      <c r="AL466" s="4"/>
      <c r="AM466" s="4"/>
      <c r="AN466" s="4"/>
      <c r="AO466" s="4"/>
      <c r="AP466" s="4"/>
      <c r="AQ466" s="4"/>
      <c r="AR466" s="4"/>
      <c r="AS466" s="4"/>
      <c r="AT466" s="4"/>
      <c r="AU466" s="4"/>
      <c r="AV466" s="4"/>
      <c r="AW466" s="4"/>
      <c r="AX466" s="4"/>
      <c r="AY466" s="4"/>
      <c r="AZ466" s="4"/>
      <c r="BA466" s="4"/>
      <c r="BB466" s="4"/>
      <c r="BC466" s="4"/>
      <c r="BD466" s="4"/>
      <c r="BE466" s="4"/>
      <c r="BF466" s="4"/>
      <c r="BG466" s="4"/>
      <c r="BH466" s="4"/>
      <c r="BI466" s="4"/>
      <c r="BJ466" s="4"/>
      <c r="BK466" s="4"/>
      <c r="BL466" s="4"/>
      <c r="BM466" s="4"/>
      <c r="BN466" s="4"/>
      <c r="BO466" s="4"/>
      <c r="BP466" s="4"/>
      <c r="BQ466" s="4"/>
      <c r="BR466" s="4"/>
      <c r="BS466" s="4"/>
      <c r="BT466" s="4"/>
      <c r="BU466" s="4"/>
      <c r="BV466" s="4"/>
      <c r="BW466" s="4"/>
      <c r="BX466" s="4"/>
      <c r="BY466" s="4"/>
      <c r="BZ466" s="4"/>
      <c r="CA466" s="4"/>
      <c r="CB466" s="4"/>
      <c r="CC466" s="4"/>
      <c r="CD466" s="4"/>
      <c r="CE466" s="4"/>
      <c r="CF466" s="4"/>
      <c r="CG466" s="4"/>
      <c r="CH466" s="4"/>
      <c r="CI466" s="4"/>
    </row>
    <row r="467" ht="14.25" customHeight="1" spans="1:87" x14ac:dyDescent="0.25">
      <c r="A467" s="4"/>
      <c r="B467" s="4"/>
      <c r="C467" s="4"/>
      <c r="D467" s="4"/>
      <c r="E467" s="4"/>
      <c r="F467" s="4"/>
      <c r="G467" s="4"/>
      <c r="H467" s="4"/>
      <c r="I467" s="4"/>
      <c r="J467" s="4"/>
      <c r="K467" s="242"/>
      <c r="L467" s="4"/>
      <c r="M467" s="4"/>
      <c r="N467" s="4"/>
      <c r="O467" s="4"/>
      <c r="P467" s="4"/>
      <c r="Q467" s="4"/>
      <c r="R467" s="4"/>
      <c r="S467" s="4"/>
      <c r="T467" s="4"/>
      <c r="U467" s="4"/>
      <c r="V467" s="4"/>
      <c r="W467" s="4"/>
      <c r="X467" s="4"/>
      <c r="Y467" s="4"/>
      <c r="Z467" s="4"/>
      <c r="AA467" s="4"/>
      <c r="AB467" s="4"/>
      <c r="AC467" s="4"/>
      <c r="AD467" s="4"/>
      <c r="AE467" s="4"/>
      <c r="AF467" s="4"/>
      <c r="AG467" s="4"/>
      <c r="AH467" s="4"/>
      <c r="AI467" s="4"/>
      <c r="AJ467" s="4"/>
      <c r="AK467" s="4"/>
      <c r="AL467" s="4"/>
      <c r="AM467" s="4"/>
      <c r="AN467" s="4"/>
      <c r="AO467" s="4"/>
      <c r="AP467" s="4"/>
      <c r="AQ467" s="4"/>
      <c r="AR467" s="4"/>
      <c r="AS467" s="4"/>
      <c r="AT467" s="4"/>
      <c r="AU467" s="4"/>
      <c r="AV467" s="4"/>
      <c r="AW467" s="4"/>
      <c r="AX467" s="4"/>
      <c r="AY467" s="4"/>
      <c r="AZ467" s="4"/>
      <c r="BA467" s="4"/>
      <c r="BB467" s="4"/>
      <c r="BC467" s="4"/>
      <c r="BD467" s="4"/>
      <c r="BE467" s="4"/>
      <c r="BF467" s="4"/>
      <c r="BG467" s="4"/>
      <c r="BH467" s="4"/>
      <c r="BI467" s="4"/>
      <c r="BJ467" s="4"/>
      <c r="BK467" s="4"/>
      <c r="BL467" s="4"/>
      <c r="BM467" s="4"/>
      <c r="BN467" s="4"/>
      <c r="BO467" s="4"/>
      <c r="BP467" s="4"/>
      <c r="BQ467" s="4"/>
      <c r="BR467" s="4"/>
      <c r="BS467" s="4"/>
      <c r="BT467" s="4"/>
      <c r="BU467" s="4"/>
      <c r="BV467" s="4"/>
      <c r="BW467" s="4"/>
      <c r="BX467" s="4"/>
      <c r="BY467" s="4"/>
      <c r="BZ467" s="4"/>
      <c r="CA467" s="4"/>
      <c r="CB467" s="4"/>
      <c r="CC467" s="4"/>
      <c r="CD467" s="4"/>
      <c r="CE467" s="4"/>
      <c r="CF467" s="4"/>
      <c r="CG467" s="4"/>
      <c r="CH467" s="4"/>
      <c r="CI467" s="4"/>
    </row>
    <row r="468" ht="14.25" customHeight="1" spans="1:87" x14ac:dyDescent="0.25">
      <c r="A468" s="4"/>
      <c r="B468" s="4"/>
      <c r="C468" s="4"/>
      <c r="D468" s="4"/>
      <c r="E468" s="4"/>
      <c r="F468" s="4"/>
      <c r="G468" s="4"/>
      <c r="H468" s="4"/>
      <c r="I468" s="4"/>
      <c r="J468" s="4"/>
      <c r="K468" s="242"/>
      <c r="L468" s="4"/>
      <c r="M468" s="4"/>
      <c r="N468" s="4"/>
      <c r="O468" s="4"/>
      <c r="P468" s="4"/>
      <c r="Q468" s="4"/>
      <c r="R468" s="4"/>
      <c r="S468" s="4"/>
      <c r="T468" s="4"/>
      <c r="U468" s="4"/>
      <c r="V468" s="4"/>
      <c r="W468" s="4"/>
      <c r="X468" s="4"/>
      <c r="Y468" s="4"/>
      <c r="Z468" s="4"/>
      <c r="AA468" s="4"/>
      <c r="AB468" s="4"/>
      <c r="AC468" s="4"/>
      <c r="AD468" s="4"/>
      <c r="AE468" s="4"/>
      <c r="AF468" s="4"/>
      <c r="AG468" s="4"/>
      <c r="AH468" s="4"/>
      <c r="AI468" s="4"/>
      <c r="AJ468" s="4"/>
      <c r="AK468" s="4"/>
      <c r="AL468" s="4"/>
      <c r="AM468" s="4"/>
      <c r="AN468" s="4"/>
      <c r="AO468" s="4"/>
      <c r="AP468" s="4"/>
      <c r="AQ468" s="4"/>
      <c r="AR468" s="4"/>
      <c r="AS468" s="4"/>
      <c r="AT468" s="4"/>
      <c r="AU468" s="4"/>
      <c r="AV468" s="4"/>
      <c r="AW468" s="4"/>
      <c r="AX468" s="4"/>
      <c r="AY468" s="4"/>
      <c r="AZ468" s="4"/>
      <c r="BA468" s="4"/>
      <c r="BB468" s="4"/>
      <c r="BC468" s="4"/>
      <c r="BD468" s="4"/>
      <c r="BE468" s="4"/>
      <c r="BF468" s="4"/>
      <c r="BG468" s="4"/>
      <c r="BH468" s="4"/>
      <c r="BI468" s="4"/>
      <c r="BJ468" s="4"/>
      <c r="BK468" s="4"/>
      <c r="BL468" s="4"/>
      <c r="BM468" s="4"/>
      <c r="BN468" s="4"/>
      <c r="BO468" s="4"/>
      <c r="BP468" s="4"/>
      <c r="BQ468" s="4"/>
      <c r="BR468" s="4"/>
      <c r="BS468" s="4"/>
      <c r="BT468" s="4"/>
      <c r="BU468" s="4"/>
      <c r="BV468" s="4"/>
      <c r="BW468" s="4"/>
      <c r="BX468" s="4"/>
      <c r="BY468" s="4"/>
      <c r="BZ468" s="4"/>
      <c r="CA468" s="4"/>
      <c r="CB468" s="4"/>
      <c r="CC468" s="4"/>
      <c r="CD468" s="4"/>
      <c r="CE468" s="4"/>
      <c r="CF468" s="4"/>
      <c r="CG468" s="4"/>
      <c r="CH468" s="4"/>
      <c r="CI468" s="4"/>
    </row>
    <row r="469" ht="14.25" customHeight="1" spans="1:87" x14ac:dyDescent="0.25">
      <c r="A469" s="4"/>
      <c r="B469" s="4"/>
      <c r="C469" s="4"/>
      <c r="D469" s="4"/>
      <c r="E469" s="4"/>
      <c r="F469" s="4"/>
      <c r="G469" s="4"/>
      <c r="H469" s="4"/>
      <c r="I469" s="4"/>
      <c r="J469" s="4"/>
      <c r="K469" s="242"/>
      <c r="L469" s="4"/>
      <c r="M469" s="4"/>
      <c r="N469" s="4"/>
      <c r="O469" s="4"/>
      <c r="P469" s="4"/>
      <c r="Q469" s="4"/>
      <c r="R469" s="4"/>
      <c r="S469" s="4"/>
      <c r="T469" s="4"/>
      <c r="U469" s="4"/>
      <c r="V469" s="4"/>
      <c r="W469" s="4"/>
      <c r="X469" s="4"/>
      <c r="Y469" s="4"/>
      <c r="Z469" s="4"/>
      <c r="AA469" s="4"/>
      <c r="AB469" s="4"/>
      <c r="AC469" s="4"/>
      <c r="AD469" s="4"/>
      <c r="AE469" s="4"/>
      <c r="AF469" s="4"/>
      <c r="AG469" s="4"/>
      <c r="AH469" s="4"/>
      <c r="AI469" s="4"/>
      <c r="AJ469" s="4"/>
      <c r="AK469" s="4"/>
      <c r="AL469" s="4"/>
      <c r="AM469" s="4"/>
      <c r="AN469" s="4"/>
      <c r="AO469" s="4"/>
      <c r="AP469" s="4"/>
      <c r="AQ469" s="4"/>
      <c r="AR469" s="4"/>
      <c r="AS469" s="4"/>
      <c r="AT469" s="4"/>
      <c r="AU469" s="4"/>
      <c r="AV469" s="4"/>
      <c r="AW469" s="4"/>
      <c r="AX469" s="4"/>
      <c r="AY469" s="4"/>
      <c r="AZ469" s="4"/>
      <c r="BA469" s="4"/>
      <c r="BB469" s="4"/>
      <c r="BC469" s="4"/>
      <c r="BD469" s="4"/>
      <c r="BE469" s="4"/>
      <c r="BF469" s="4"/>
      <c r="BG469" s="4"/>
      <c r="BH469" s="4"/>
      <c r="BI469" s="4"/>
      <c r="BJ469" s="4"/>
      <c r="BK469" s="4"/>
      <c r="BL469" s="4"/>
      <c r="BM469" s="4"/>
      <c r="BN469" s="4"/>
      <c r="BO469" s="4"/>
      <c r="BP469" s="4"/>
      <c r="BQ469" s="4"/>
      <c r="BR469" s="4"/>
      <c r="BS469" s="4"/>
      <c r="BT469" s="4"/>
      <c r="BU469" s="4"/>
      <c r="BV469" s="4"/>
      <c r="BW469" s="4"/>
      <c r="BX469" s="4"/>
      <c r="BY469" s="4"/>
      <c r="BZ469" s="4"/>
      <c r="CA469" s="4"/>
      <c r="CB469" s="4"/>
      <c r="CC469" s="4"/>
      <c r="CD469" s="4"/>
      <c r="CE469" s="4"/>
      <c r="CF469" s="4"/>
      <c r="CG469" s="4"/>
      <c r="CH469" s="4"/>
      <c r="CI469" s="4"/>
    </row>
    <row r="470" ht="14.25" customHeight="1" spans="1:87" x14ac:dyDescent="0.25">
      <c r="A470" s="4"/>
      <c r="B470" s="4"/>
      <c r="C470" s="4"/>
      <c r="D470" s="4"/>
      <c r="E470" s="4"/>
      <c r="F470" s="4"/>
      <c r="G470" s="4"/>
      <c r="H470" s="4"/>
      <c r="I470" s="4"/>
      <c r="J470" s="4"/>
      <c r="K470" s="242"/>
      <c r="L470" s="4"/>
      <c r="M470" s="4"/>
      <c r="N470" s="4"/>
      <c r="O470" s="4"/>
      <c r="P470" s="4"/>
      <c r="Q470" s="4"/>
      <c r="R470" s="4"/>
      <c r="S470" s="4"/>
      <c r="T470" s="4"/>
      <c r="U470" s="4"/>
      <c r="V470" s="4"/>
      <c r="W470" s="4"/>
      <c r="X470" s="4"/>
      <c r="Y470" s="4"/>
      <c r="Z470" s="4"/>
      <c r="AA470" s="4"/>
      <c r="AB470" s="4"/>
      <c r="AC470" s="4"/>
      <c r="AD470" s="4"/>
      <c r="AE470" s="4"/>
      <c r="AF470" s="4"/>
      <c r="AG470" s="4"/>
      <c r="AH470" s="4"/>
      <c r="AI470" s="4"/>
      <c r="AJ470" s="4"/>
      <c r="AK470" s="4"/>
      <c r="AL470" s="4"/>
      <c r="AM470" s="4"/>
      <c r="AN470" s="4"/>
      <c r="AO470" s="4"/>
      <c r="AP470" s="4"/>
      <c r="AQ470" s="4"/>
      <c r="AR470" s="4"/>
      <c r="AS470" s="4"/>
      <c r="AT470" s="4"/>
      <c r="AU470" s="4"/>
      <c r="AV470" s="4"/>
      <c r="AW470" s="4"/>
      <c r="AX470" s="4"/>
      <c r="AY470" s="4"/>
      <c r="AZ470" s="4"/>
      <c r="BA470" s="4"/>
      <c r="BB470" s="4"/>
      <c r="BC470" s="4"/>
      <c r="BD470" s="4"/>
      <c r="BE470" s="4"/>
      <c r="BF470" s="4"/>
      <c r="BG470" s="4"/>
      <c r="BH470" s="4"/>
      <c r="BI470" s="4"/>
      <c r="BJ470" s="4"/>
      <c r="BK470" s="4"/>
      <c r="BL470" s="4"/>
      <c r="BM470" s="4"/>
      <c r="BN470" s="4"/>
      <c r="BO470" s="4"/>
      <c r="BP470" s="4"/>
      <c r="BQ470" s="4"/>
      <c r="BR470" s="4"/>
      <c r="BS470" s="4"/>
      <c r="BT470" s="4"/>
      <c r="BU470" s="4"/>
      <c r="BV470" s="4"/>
      <c r="BW470" s="4"/>
      <c r="BX470" s="4"/>
      <c r="BY470" s="4"/>
      <c r="BZ470" s="4"/>
      <c r="CA470" s="4"/>
      <c r="CB470" s="4"/>
      <c r="CC470" s="4"/>
      <c r="CD470" s="4"/>
      <c r="CE470" s="4"/>
      <c r="CF470" s="4"/>
      <c r="CG470" s="4"/>
      <c r="CH470" s="4"/>
      <c r="CI470" s="4"/>
    </row>
    <row r="471" ht="14.25" customHeight="1" spans="1:87" x14ac:dyDescent="0.25">
      <c r="A471" s="4"/>
      <c r="B471" s="4"/>
      <c r="C471" s="4"/>
      <c r="D471" s="4"/>
      <c r="E471" s="4"/>
      <c r="F471" s="4"/>
      <c r="G471" s="4"/>
      <c r="H471" s="4"/>
      <c r="I471" s="4"/>
      <c r="J471" s="4"/>
      <c r="K471" s="242"/>
      <c r="L471" s="4"/>
      <c r="M471" s="4"/>
      <c r="N471" s="4"/>
      <c r="O471" s="4"/>
      <c r="P471" s="4"/>
      <c r="Q471" s="4"/>
      <c r="R471" s="4"/>
      <c r="S471" s="4"/>
      <c r="T471" s="4"/>
      <c r="U471" s="4"/>
      <c r="V471" s="4"/>
      <c r="W471" s="4"/>
      <c r="X471" s="4"/>
      <c r="Y471" s="4"/>
      <c r="Z471" s="4"/>
      <c r="AA471" s="4"/>
      <c r="AB471" s="4"/>
      <c r="AC471" s="4"/>
      <c r="AD471" s="4"/>
      <c r="AE471" s="4"/>
      <c r="AF471" s="4"/>
      <c r="AG471" s="4"/>
      <c r="AH471" s="4"/>
      <c r="AI471" s="4"/>
      <c r="AJ471" s="4"/>
      <c r="AK471" s="4"/>
      <c r="AL471" s="4"/>
      <c r="AM471" s="4"/>
      <c r="AN471" s="4"/>
      <c r="AO471" s="4"/>
      <c r="AP471" s="4"/>
      <c r="AQ471" s="4"/>
      <c r="AR471" s="4"/>
      <c r="AS471" s="4"/>
      <c r="AT471" s="4"/>
      <c r="AU471" s="4"/>
      <c r="AV471" s="4"/>
      <c r="AW471" s="4"/>
      <c r="AX471" s="4"/>
      <c r="AY471" s="4"/>
      <c r="AZ471" s="4"/>
      <c r="BA471" s="4"/>
      <c r="BB471" s="4"/>
      <c r="BC471" s="4"/>
      <c r="BD471" s="4"/>
      <c r="BE471" s="4"/>
      <c r="BF471" s="4"/>
      <c r="BG471" s="4"/>
      <c r="BH471" s="4"/>
      <c r="BI471" s="4"/>
      <c r="BJ471" s="4"/>
      <c r="BK471" s="4"/>
      <c r="BL471" s="4"/>
      <c r="BM471" s="4"/>
      <c r="BN471" s="4"/>
      <c r="BO471" s="4"/>
      <c r="BP471" s="4"/>
      <c r="BQ471" s="4"/>
      <c r="BR471" s="4"/>
      <c r="BS471" s="4"/>
      <c r="BT471" s="4"/>
      <c r="BU471" s="4"/>
      <c r="BV471" s="4"/>
      <c r="BW471" s="4"/>
      <c r="BX471" s="4"/>
      <c r="BY471" s="4"/>
      <c r="BZ471" s="4"/>
      <c r="CA471" s="4"/>
      <c r="CB471" s="4"/>
      <c r="CC471" s="4"/>
      <c r="CD471" s="4"/>
      <c r="CE471" s="4"/>
      <c r="CF471" s="4"/>
      <c r="CG471" s="4"/>
      <c r="CH471" s="4"/>
      <c r="CI471" s="4"/>
    </row>
    <row r="472" ht="14.25" customHeight="1" spans="1:87" x14ac:dyDescent="0.25">
      <c r="A472" s="4"/>
      <c r="B472" s="4"/>
      <c r="C472" s="4"/>
      <c r="D472" s="4"/>
      <c r="E472" s="4"/>
      <c r="F472" s="4"/>
      <c r="G472" s="4"/>
      <c r="H472" s="4"/>
      <c r="I472" s="4"/>
      <c r="J472" s="4"/>
      <c r="K472" s="242"/>
      <c r="L472" s="4"/>
      <c r="M472" s="4"/>
      <c r="N472" s="4"/>
      <c r="O472" s="4"/>
      <c r="P472" s="4"/>
      <c r="Q472" s="4"/>
      <c r="R472" s="4"/>
      <c r="S472" s="4"/>
      <c r="T472" s="4"/>
      <c r="U472" s="4"/>
      <c r="V472" s="4"/>
      <c r="W472" s="4"/>
      <c r="X472" s="4"/>
      <c r="Y472" s="4"/>
      <c r="Z472" s="4"/>
      <c r="AA472" s="4"/>
      <c r="AB472" s="4"/>
      <c r="AC472" s="4"/>
      <c r="AD472" s="4"/>
      <c r="AE472" s="4"/>
      <c r="AF472" s="4"/>
      <c r="AG472" s="4"/>
      <c r="AH472" s="4"/>
      <c r="AI472" s="4"/>
      <c r="AJ472" s="4"/>
      <c r="AK472" s="4"/>
      <c r="AL472" s="4"/>
      <c r="AM472" s="4"/>
      <c r="AN472" s="4"/>
      <c r="AO472" s="4"/>
      <c r="AP472" s="4"/>
      <c r="AQ472" s="4"/>
      <c r="AR472" s="4"/>
      <c r="AS472" s="4"/>
      <c r="AT472" s="4"/>
      <c r="AU472" s="4"/>
      <c r="AV472" s="4"/>
      <c r="AW472" s="4"/>
      <c r="AX472" s="4"/>
      <c r="AY472" s="4"/>
      <c r="AZ472" s="4"/>
      <c r="BA472" s="4"/>
      <c r="BB472" s="4"/>
      <c r="BC472" s="4"/>
      <c r="BD472" s="4"/>
      <c r="BE472" s="4"/>
      <c r="BF472" s="4"/>
      <c r="BG472" s="4"/>
      <c r="BH472" s="4"/>
      <c r="BI472" s="4"/>
      <c r="BJ472" s="4"/>
      <c r="BK472" s="4"/>
      <c r="BL472" s="4"/>
      <c r="BM472" s="4"/>
      <c r="BN472" s="4"/>
      <c r="BO472" s="4"/>
      <c r="BP472" s="4"/>
      <c r="BQ472" s="4"/>
      <c r="BR472" s="4"/>
      <c r="BS472" s="4"/>
      <c r="BT472" s="4"/>
      <c r="BU472" s="4"/>
      <c r="BV472" s="4"/>
      <c r="BW472" s="4"/>
      <c r="BX472" s="4"/>
      <c r="BY472" s="4"/>
      <c r="BZ472" s="4"/>
      <c r="CA472" s="4"/>
      <c r="CB472" s="4"/>
      <c r="CC472" s="4"/>
      <c r="CD472" s="4"/>
      <c r="CE472" s="4"/>
      <c r="CF472" s="4"/>
      <c r="CG472" s="4"/>
      <c r="CH472" s="4"/>
      <c r="CI472" s="4"/>
    </row>
    <row r="473" ht="14.25" customHeight="1" spans="1:87" x14ac:dyDescent="0.25">
      <c r="A473" s="4"/>
      <c r="B473" s="4"/>
      <c r="C473" s="4"/>
      <c r="D473" s="4"/>
      <c r="E473" s="4"/>
      <c r="F473" s="4"/>
      <c r="G473" s="4"/>
      <c r="H473" s="4"/>
      <c r="I473" s="4"/>
      <c r="J473" s="4"/>
      <c r="K473" s="242"/>
      <c r="L473" s="4"/>
      <c r="M473" s="4"/>
      <c r="N473" s="4"/>
      <c r="O473" s="4"/>
      <c r="P473" s="4"/>
      <c r="Q473" s="4"/>
      <c r="R473" s="4"/>
      <c r="S473" s="4"/>
      <c r="T473" s="4"/>
      <c r="U473" s="4"/>
      <c r="V473" s="4"/>
      <c r="W473" s="4"/>
      <c r="X473" s="4"/>
      <c r="Y473" s="4"/>
      <c r="Z473" s="4"/>
      <c r="AA473" s="4"/>
      <c r="AB473" s="4"/>
      <c r="AC473" s="4"/>
      <c r="AD473" s="4"/>
      <c r="AE473" s="4"/>
      <c r="AF473" s="4"/>
      <c r="AG473" s="4"/>
      <c r="AH473" s="4"/>
      <c r="AI473" s="4"/>
      <c r="AJ473" s="4"/>
      <c r="AK473" s="4"/>
      <c r="AL473" s="4"/>
      <c r="AM473" s="4"/>
      <c r="AN473" s="4"/>
      <c r="AO473" s="4"/>
      <c r="AP473" s="4"/>
      <c r="AQ473" s="4"/>
      <c r="AR473" s="4"/>
      <c r="AS473" s="4"/>
      <c r="AT473" s="4"/>
      <c r="AU473" s="4"/>
      <c r="AV473" s="4"/>
      <c r="AW473" s="4"/>
      <c r="AX473" s="4"/>
      <c r="AY473" s="4"/>
      <c r="AZ473" s="4"/>
      <c r="BA473" s="4"/>
      <c r="BB473" s="4"/>
      <c r="BC473" s="4"/>
      <c r="BD473" s="4"/>
      <c r="BE473" s="4"/>
      <c r="BF473" s="4"/>
      <c r="BG473" s="4"/>
      <c r="BH473" s="4"/>
      <c r="BI473" s="4"/>
      <c r="BJ473" s="4"/>
      <c r="BK473" s="4"/>
      <c r="BL473" s="4"/>
      <c r="BM473" s="4"/>
      <c r="BN473" s="4"/>
      <c r="BO473" s="4"/>
      <c r="BP473" s="4"/>
      <c r="BQ473" s="4"/>
      <c r="BR473" s="4"/>
      <c r="BS473" s="4"/>
      <c r="BT473" s="4"/>
      <c r="BU473" s="4"/>
      <c r="BV473" s="4"/>
      <c r="BW473" s="4"/>
      <c r="BX473" s="4"/>
      <c r="BY473" s="4"/>
      <c r="BZ473" s="4"/>
      <c r="CA473" s="4"/>
      <c r="CB473" s="4"/>
      <c r="CC473" s="4"/>
      <c r="CD473" s="4"/>
      <c r="CE473" s="4"/>
      <c r="CF473" s="4"/>
      <c r="CG473" s="4"/>
      <c r="CH473" s="4"/>
      <c r="CI473" s="4"/>
    </row>
    <row r="474" ht="14.25" customHeight="1" spans="1:87" x14ac:dyDescent="0.25">
      <c r="A474" s="4"/>
      <c r="B474" s="4"/>
      <c r="C474" s="4"/>
      <c r="D474" s="4"/>
      <c r="E474" s="4"/>
      <c r="F474" s="4"/>
      <c r="G474" s="4"/>
      <c r="H474" s="4"/>
      <c r="I474" s="4"/>
      <c r="J474" s="4"/>
      <c r="K474" s="242"/>
      <c r="L474" s="4"/>
      <c r="M474" s="4"/>
      <c r="N474" s="4"/>
      <c r="O474" s="4"/>
      <c r="P474" s="4"/>
      <c r="Q474" s="4"/>
      <c r="R474" s="4"/>
      <c r="S474" s="4"/>
      <c r="T474" s="4"/>
      <c r="U474" s="4"/>
      <c r="V474" s="4"/>
      <c r="W474" s="4"/>
      <c r="X474" s="4"/>
      <c r="Y474" s="4"/>
      <c r="Z474" s="4"/>
      <c r="AA474" s="4"/>
      <c r="AB474" s="4"/>
      <c r="AC474" s="4"/>
      <c r="AD474" s="4"/>
      <c r="AE474" s="4"/>
      <c r="AF474" s="4"/>
      <c r="AG474" s="4"/>
      <c r="AH474" s="4"/>
      <c r="AI474" s="4"/>
      <c r="AJ474" s="4"/>
      <c r="AK474" s="4"/>
      <c r="AL474" s="4"/>
      <c r="AM474" s="4"/>
      <c r="AN474" s="4"/>
      <c r="AO474" s="4"/>
      <c r="AP474" s="4"/>
      <c r="AQ474" s="4"/>
      <c r="AR474" s="4"/>
      <c r="AS474" s="4"/>
      <c r="AT474" s="4"/>
      <c r="AU474" s="4"/>
      <c r="AV474" s="4"/>
      <c r="AW474" s="4"/>
      <c r="AX474" s="4"/>
      <c r="AY474" s="4"/>
      <c r="AZ474" s="4"/>
      <c r="BA474" s="4"/>
      <c r="BB474" s="4"/>
      <c r="BC474" s="4"/>
      <c r="BD474" s="4"/>
      <c r="BE474" s="4"/>
      <c r="BF474" s="4"/>
      <c r="BG474" s="4"/>
      <c r="BH474" s="4"/>
      <c r="BI474" s="4"/>
      <c r="BJ474" s="4"/>
      <c r="BK474" s="4"/>
      <c r="BL474" s="4"/>
      <c r="BM474" s="4"/>
      <c r="BN474" s="4"/>
      <c r="BO474" s="4"/>
      <c r="BP474" s="4"/>
      <c r="BQ474" s="4"/>
      <c r="BR474" s="4"/>
      <c r="BS474" s="4"/>
      <c r="BT474" s="4"/>
      <c r="BU474" s="4"/>
      <c r="BV474" s="4"/>
      <c r="BW474" s="4"/>
      <c r="BX474" s="4"/>
      <c r="BY474" s="4"/>
      <c r="BZ474" s="4"/>
      <c r="CA474" s="4"/>
      <c r="CB474" s="4"/>
      <c r="CC474" s="4"/>
      <c r="CD474" s="4"/>
      <c r="CE474" s="4"/>
      <c r="CF474" s="4"/>
      <c r="CG474" s="4"/>
      <c r="CH474" s="4"/>
      <c r="CI474" s="4"/>
    </row>
    <row r="475" ht="14.25" customHeight="1" spans="1:87" x14ac:dyDescent="0.25">
      <c r="A475" s="4"/>
      <c r="B475" s="4"/>
      <c r="C475" s="4"/>
      <c r="D475" s="4"/>
      <c r="E475" s="4"/>
      <c r="F475" s="4"/>
      <c r="G475" s="4"/>
      <c r="H475" s="4"/>
      <c r="I475" s="4"/>
      <c r="J475" s="4"/>
      <c r="K475" s="242"/>
      <c r="L475" s="4"/>
      <c r="M475" s="4"/>
      <c r="N475" s="4"/>
      <c r="O475" s="4"/>
      <c r="P475" s="4"/>
      <c r="Q475" s="4"/>
      <c r="R475" s="4"/>
      <c r="S475" s="4"/>
      <c r="T475" s="4"/>
      <c r="U475" s="4"/>
      <c r="V475" s="4"/>
      <c r="W475" s="4"/>
      <c r="X475" s="4"/>
      <c r="Y475" s="4"/>
      <c r="Z475" s="4"/>
      <c r="AA475" s="4"/>
      <c r="AB475" s="4"/>
      <c r="AC475" s="4"/>
      <c r="AD475" s="4"/>
      <c r="AE475" s="4"/>
      <c r="AF475" s="4"/>
      <c r="AG475" s="4"/>
      <c r="AH475" s="4"/>
      <c r="AI475" s="4"/>
      <c r="AJ475" s="4"/>
      <c r="AK475" s="4"/>
      <c r="AL475" s="4"/>
      <c r="AM475" s="4"/>
      <c r="AN475" s="4"/>
      <c r="AO475" s="4"/>
      <c r="AP475" s="4"/>
      <c r="AQ475" s="4"/>
      <c r="AR475" s="4"/>
      <c r="AS475" s="4"/>
      <c r="AT475" s="4"/>
      <c r="AU475" s="4"/>
      <c r="AV475" s="4"/>
      <c r="AW475" s="4"/>
      <c r="AX475" s="4"/>
      <c r="AY475" s="4"/>
      <c r="AZ475" s="4"/>
      <c r="BA475" s="4"/>
      <c r="BB475" s="4"/>
      <c r="BC475" s="4"/>
      <c r="BD475" s="4"/>
      <c r="BE475" s="4"/>
      <c r="BF475" s="4"/>
      <c r="BG475" s="4"/>
      <c r="BH475" s="4"/>
      <c r="BI475" s="4"/>
      <c r="BJ475" s="4"/>
      <c r="BK475" s="4"/>
      <c r="BL475" s="4"/>
      <c r="BM475" s="4"/>
      <c r="BN475" s="4"/>
      <c r="BO475" s="4"/>
      <c r="BP475" s="4"/>
      <c r="BQ475" s="4"/>
      <c r="BR475" s="4"/>
      <c r="BS475" s="4"/>
      <c r="BT475" s="4"/>
      <c r="BU475" s="4"/>
      <c r="BV475" s="4"/>
      <c r="BW475" s="4"/>
      <c r="BX475" s="4"/>
      <c r="BY475" s="4"/>
      <c r="BZ475" s="4"/>
      <c r="CA475" s="4"/>
      <c r="CB475" s="4"/>
      <c r="CC475" s="4"/>
      <c r="CD475" s="4"/>
      <c r="CE475" s="4"/>
      <c r="CF475" s="4"/>
      <c r="CG475" s="4"/>
      <c r="CH475" s="4"/>
      <c r="CI475" s="4"/>
    </row>
    <row r="476" ht="14.25" customHeight="1" spans="1:87" x14ac:dyDescent="0.25">
      <c r="A476" s="4"/>
      <c r="B476" s="4"/>
      <c r="C476" s="4"/>
      <c r="D476" s="4"/>
      <c r="E476" s="4"/>
      <c r="F476" s="4"/>
      <c r="G476" s="4"/>
      <c r="H476" s="4"/>
      <c r="I476" s="4"/>
      <c r="J476" s="4"/>
      <c r="K476" s="242"/>
      <c r="L476" s="4"/>
      <c r="M476" s="4"/>
      <c r="N476" s="4"/>
      <c r="O476" s="4"/>
      <c r="P476" s="4"/>
      <c r="Q476" s="4"/>
      <c r="R476" s="4"/>
      <c r="S476" s="4"/>
      <c r="T476" s="4"/>
      <c r="U476" s="4"/>
      <c r="V476" s="4"/>
      <c r="W476" s="4"/>
      <c r="X476" s="4"/>
      <c r="Y476" s="4"/>
      <c r="Z476" s="4"/>
      <c r="AA476" s="4"/>
      <c r="AB476" s="4"/>
      <c r="AC476" s="4"/>
      <c r="AD476" s="4"/>
      <c r="AE476" s="4"/>
      <c r="AF476" s="4"/>
      <c r="AG476" s="4"/>
      <c r="AH476" s="4"/>
      <c r="AI476" s="4"/>
      <c r="AJ476" s="4"/>
      <c r="AK476" s="4"/>
      <c r="AL476" s="4"/>
      <c r="AM476" s="4"/>
      <c r="AN476" s="4"/>
      <c r="AO476" s="4"/>
      <c r="AP476" s="4"/>
      <c r="AQ476" s="4"/>
      <c r="AR476" s="4"/>
      <c r="AS476" s="4"/>
      <c r="AT476" s="4"/>
      <c r="AU476" s="4"/>
      <c r="AV476" s="4"/>
      <c r="AW476" s="4"/>
      <c r="AX476" s="4"/>
      <c r="AY476" s="4"/>
      <c r="AZ476" s="4"/>
      <c r="BA476" s="4"/>
      <c r="BB476" s="4"/>
      <c r="BC476" s="4"/>
      <c r="BD476" s="4"/>
      <c r="BE476" s="4"/>
      <c r="BF476" s="4"/>
      <c r="BG476" s="4"/>
      <c r="BH476" s="4"/>
      <c r="BI476" s="4"/>
      <c r="BJ476" s="4"/>
      <c r="BK476" s="4"/>
      <c r="BL476" s="4"/>
      <c r="BM476" s="4"/>
      <c r="BN476" s="4"/>
      <c r="BO476" s="4"/>
      <c r="BP476" s="4"/>
      <c r="BQ476" s="4"/>
      <c r="BR476" s="4"/>
      <c r="BS476" s="4"/>
      <c r="BT476" s="4"/>
      <c r="BU476" s="4"/>
      <c r="BV476" s="4"/>
      <c r="BW476" s="4"/>
      <c r="BX476" s="4"/>
      <c r="BY476" s="4"/>
      <c r="BZ476" s="4"/>
      <c r="CA476" s="4"/>
      <c r="CB476" s="4"/>
      <c r="CC476" s="4"/>
      <c r="CD476" s="4"/>
      <c r="CE476" s="4"/>
      <c r="CF476" s="4"/>
      <c r="CG476" s="4"/>
      <c r="CH476" s="4"/>
      <c r="CI476" s="4"/>
    </row>
    <row r="477" ht="14.25" customHeight="1" spans="1:87" x14ac:dyDescent="0.25">
      <c r="A477" s="4"/>
      <c r="B477" s="4"/>
      <c r="C477" s="4"/>
      <c r="D477" s="4"/>
      <c r="E477" s="4"/>
      <c r="F477" s="4"/>
      <c r="G477" s="4"/>
      <c r="H477" s="4"/>
      <c r="I477" s="4"/>
      <c r="J477" s="4"/>
      <c r="K477" s="242"/>
      <c r="L477" s="4"/>
      <c r="M477" s="4"/>
      <c r="N477" s="4"/>
      <c r="O477" s="4"/>
      <c r="P477" s="4"/>
      <c r="Q477" s="4"/>
      <c r="R477" s="4"/>
      <c r="S477" s="4"/>
      <c r="T477" s="4"/>
      <c r="U477" s="4"/>
      <c r="V477" s="4"/>
      <c r="W477" s="4"/>
      <c r="X477" s="4"/>
      <c r="Y477" s="4"/>
      <c r="Z477" s="4"/>
      <c r="AA477" s="4"/>
      <c r="AB477" s="4"/>
      <c r="AC477" s="4"/>
      <c r="AD477" s="4"/>
      <c r="AE477" s="4"/>
      <c r="AF477" s="4"/>
      <c r="AG477" s="4"/>
      <c r="AH477" s="4"/>
      <c r="AI477" s="4"/>
      <c r="AJ477" s="4"/>
      <c r="AK477" s="4"/>
      <c r="AL477" s="4"/>
      <c r="AM477" s="4"/>
      <c r="AN477" s="4"/>
      <c r="AO477" s="4"/>
      <c r="AP477" s="4"/>
      <c r="AQ477" s="4"/>
      <c r="AR477" s="4"/>
      <c r="AS477" s="4"/>
      <c r="AT477" s="4"/>
      <c r="AU477" s="4"/>
      <c r="AV477" s="4"/>
      <c r="AW477" s="4"/>
      <c r="AX477" s="4"/>
      <c r="AY477" s="4"/>
      <c r="AZ477" s="4"/>
      <c r="BA477" s="4"/>
      <c r="BB477" s="4"/>
      <c r="BC477" s="4"/>
      <c r="BD477" s="4"/>
      <c r="BE477" s="4"/>
      <c r="BF477" s="4"/>
      <c r="BG477" s="4"/>
      <c r="BH477" s="4"/>
      <c r="BI477" s="4"/>
      <c r="BJ477" s="4"/>
      <c r="BK477" s="4"/>
      <c r="BL477" s="4"/>
      <c r="BM477" s="4"/>
      <c r="BN477" s="4"/>
      <c r="BO477" s="4"/>
      <c r="BP477" s="4"/>
      <c r="BQ477" s="4"/>
      <c r="BR477" s="4"/>
      <c r="BS477" s="4"/>
      <c r="BT477" s="4"/>
      <c r="BU477" s="4"/>
      <c r="BV477" s="4"/>
      <c r="BW477" s="4"/>
      <c r="BX477" s="4"/>
      <c r="BY477" s="4"/>
      <c r="BZ477" s="4"/>
      <c r="CA477" s="4"/>
      <c r="CB477" s="4"/>
      <c r="CC477" s="4"/>
      <c r="CD477" s="4"/>
      <c r="CE477" s="4"/>
      <c r="CF477" s="4"/>
      <c r="CG477" s="4"/>
      <c r="CH477" s="4"/>
      <c r="CI477" s="4"/>
    </row>
    <row r="478" ht="14.25" customHeight="1" spans="1:87" x14ac:dyDescent="0.25">
      <c r="A478" s="4"/>
      <c r="B478" s="4"/>
      <c r="C478" s="4"/>
      <c r="D478" s="4"/>
      <c r="E478" s="4"/>
      <c r="F478" s="4"/>
      <c r="G478" s="4"/>
      <c r="H478" s="4"/>
      <c r="I478" s="4"/>
      <c r="J478" s="4"/>
      <c r="K478" s="242"/>
      <c r="L478" s="4"/>
      <c r="M478" s="4"/>
      <c r="N478" s="4"/>
      <c r="O478" s="4"/>
      <c r="P478" s="4"/>
      <c r="Q478" s="4"/>
      <c r="R478" s="4"/>
      <c r="S478" s="4"/>
      <c r="T478" s="4"/>
      <c r="U478" s="4"/>
      <c r="V478" s="4"/>
      <c r="W478" s="4"/>
      <c r="X478" s="4"/>
      <c r="Y478" s="4"/>
      <c r="Z478" s="4"/>
      <c r="AA478" s="4"/>
      <c r="AB478" s="4"/>
      <c r="AC478" s="4"/>
      <c r="AD478" s="4"/>
      <c r="AE478" s="4"/>
      <c r="AF478" s="4"/>
      <c r="AG478" s="4"/>
      <c r="AH478" s="4"/>
      <c r="AI478" s="4"/>
      <c r="AJ478" s="4"/>
      <c r="AK478" s="4"/>
      <c r="AL478" s="4"/>
      <c r="AM478" s="4"/>
      <c r="AN478" s="4"/>
      <c r="AO478" s="4"/>
      <c r="AP478" s="4"/>
      <c r="AQ478" s="4"/>
      <c r="AR478" s="4"/>
      <c r="AS478" s="4"/>
      <c r="AT478" s="4"/>
      <c r="AU478" s="4"/>
      <c r="AV478" s="4"/>
      <c r="AW478" s="4"/>
      <c r="AX478" s="4"/>
      <c r="AY478" s="4"/>
      <c r="AZ478" s="4"/>
      <c r="BA478" s="4"/>
      <c r="BB478" s="4"/>
      <c r="BC478" s="4"/>
      <c r="BD478" s="4"/>
      <c r="BE478" s="4"/>
      <c r="BF478" s="4"/>
      <c r="BG478" s="4"/>
      <c r="BH478" s="4"/>
      <c r="BI478" s="4"/>
      <c r="BJ478" s="4"/>
      <c r="BK478" s="4"/>
      <c r="BL478" s="4"/>
      <c r="BM478" s="4"/>
      <c r="BN478" s="4"/>
      <c r="BO478" s="4"/>
      <c r="BP478" s="4"/>
      <c r="BQ478" s="4"/>
      <c r="BR478" s="4"/>
      <c r="BS478" s="4"/>
      <c r="BT478" s="4"/>
      <c r="BU478" s="4"/>
      <c r="BV478" s="4"/>
      <c r="BW478" s="4"/>
      <c r="BX478" s="4"/>
      <c r="BY478" s="4"/>
      <c r="BZ478" s="4"/>
      <c r="CA478" s="4"/>
      <c r="CB478" s="4"/>
      <c r="CC478" s="4"/>
      <c r="CD478" s="4"/>
      <c r="CE478" s="4"/>
      <c r="CF478" s="4"/>
      <c r="CG478" s="4"/>
      <c r="CH478" s="4"/>
      <c r="CI478" s="4"/>
    </row>
    <row r="479" ht="14.25" customHeight="1" spans="1:87" x14ac:dyDescent="0.25">
      <c r="A479" s="4"/>
      <c r="B479" s="4"/>
      <c r="C479" s="4"/>
      <c r="D479" s="4"/>
      <c r="E479" s="4"/>
      <c r="F479" s="4"/>
      <c r="G479" s="4"/>
      <c r="H479" s="4"/>
      <c r="I479" s="4"/>
      <c r="J479" s="4"/>
      <c r="K479" s="242"/>
      <c r="L479" s="4"/>
      <c r="M479" s="4"/>
      <c r="N479" s="4"/>
      <c r="O479" s="4"/>
      <c r="P479" s="4"/>
      <c r="Q479" s="4"/>
      <c r="R479" s="4"/>
      <c r="S479" s="4"/>
      <c r="T479" s="4"/>
      <c r="U479" s="4"/>
      <c r="V479" s="4"/>
      <c r="W479" s="4"/>
      <c r="X479" s="4"/>
      <c r="Y479" s="4"/>
      <c r="Z479" s="4"/>
      <c r="AA479" s="4"/>
      <c r="AB479" s="4"/>
      <c r="AC479" s="4"/>
      <c r="AD479" s="4"/>
      <c r="AE479" s="4"/>
      <c r="AF479" s="4"/>
      <c r="AG479" s="4"/>
      <c r="AH479" s="4"/>
      <c r="AI479" s="4"/>
      <c r="AJ479" s="4"/>
      <c r="AK479" s="4"/>
      <c r="AL479" s="4"/>
      <c r="AM479" s="4"/>
      <c r="AN479" s="4"/>
      <c r="AO479" s="4"/>
      <c r="AP479" s="4"/>
      <c r="AQ479" s="4"/>
      <c r="AR479" s="4"/>
      <c r="AS479" s="4"/>
      <c r="AT479" s="4"/>
      <c r="AU479" s="4"/>
      <c r="AV479" s="4"/>
      <c r="AW479" s="4"/>
      <c r="AX479" s="4"/>
      <c r="AY479" s="4"/>
      <c r="AZ479" s="4"/>
      <c r="BA479" s="4"/>
      <c r="BB479" s="4"/>
      <c r="BC479" s="4"/>
      <c r="BD479" s="4"/>
      <c r="BE479" s="4"/>
      <c r="BF479" s="4"/>
      <c r="BG479" s="4"/>
      <c r="BH479" s="4"/>
      <c r="BI479" s="4"/>
      <c r="BJ479" s="4"/>
      <c r="BK479" s="4"/>
      <c r="BL479" s="4"/>
      <c r="BM479" s="4"/>
      <c r="BN479" s="4"/>
      <c r="BO479" s="4"/>
      <c r="BP479" s="4"/>
      <c r="BQ479" s="4"/>
      <c r="BR479" s="4"/>
      <c r="BS479" s="4"/>
      <c r="BT479" s="4"/>
      <c r="BU479" s="4"/>
      <c r="BV479" s="4"/>
      <c r="BW479" s="4"/>
      <c r="BX479" s="4"/>
      <c r="BY479" s="4"/>
      <c r="BZ479" s="4"/>
      <c r="CA479" s="4"/>
      <c r="CB479" s="4"/>
      <c r="CC479" s="4"/>
      <c r="CD479" s="4"/>
      <c r="CE479" s="4"/>
      <c r="CF479" s="4"/>
      <c r="CG479" s="4"/>
      <c r="CH479" s="4"/>
      <c r="CI479" s="4"/>
    </row>
    <row r="480" ht="14.25" customHeight="1" spans="1:87" x14ac:dyDescent="0.25">
      <c r="A480" s="4"/>
      <c r="B480" s="4"/>
      <c r="C480" s="4"/>
      <c r="D480" s="4"/>
      <c r="E480" s="4"/>
      <c r="F480" s="4"/>
      <c r="G480" s="4"/>
      <c r="H480" s="4"/>
      <c r="I480" s="4"/>
      <c r="J480" s="4"/>
      <c r="K480" s="242"/>
      <c r="L480" s="4"/>
      <c r="M480" s="4"/>
      <c r="N480" s="4"/>
      <c r="O480" s="4"/>
      <c r="P480" s="4"/>
      <c r="Q480" s="4"/>
      <c r="R480" s="4"/>
      <c r="S480" s="4"/>
      <c r="T480" s="4"/>
      <c r="U480" s="4"/>
      <c r="V480" s="4"/>
      <c r="W480" s="4"/>
      <c r="X480" s="4"/>
      <c r="Y480" s="4"/>
      <c r="Z480" s="4"/>
      <c r="AA480" s="4"/>
      <c r="AB480" s="4"/>
      <c r="AC480" s="4"/>
      <c r="AD480" s="4"/>
      <c r="AE480" s="4"/>
      <c r="AF480" s="4"/>
      <c r="AG480" s="4"/>
      <c r="AH480" s="4"/>
      <c r="AI480" s="4"/>
      <c r="AJ480" s="4"/>
      <c r="AK480" s="4"/>
      <c r="AL480" s="4"/>
      <c r="AM480" s="4"/>
      <c r="AN480" s="4"/>
      <c r="AO480" s="4"/>
      <c r="AP480" s="4"/>
      <c r="AQ480" s="4"/>
      <c r="AR480" s="4"/>
      <c r="AS480" s="4"/>
      <c r="AT480" s="4"/>
      <c r="AU480" s="4"/>
      <c r="AV480" s="4"/>
      <c r="AW480" s="4"/>
      <c r="AX480" s="4"/>
      <c r="AY480" s="4"/>
      <c r="AZ480" s="4"/>
      <c r="BA480" s="4"/>
      <c r="BB480" s="4"/>
      <c r="BC480" s="4"/>
      <c r="BD480" s="4"/>
      <c r="BE480" s="4"/>
      <c r="BF480" s="4"/>
      <c r="BG480" s="4"/>
      <c r="BH480" s="4"/>
      <c r="BI480" s="4"/>
      <c r="BJ480" s="4"/>
      <c r="BK480" s="4"/>
      <c r="BL480" s="4"/>
      <c r="BM480" s="4"/>
      <c r="BN480" s="4"/>
      <c r="BO480" s="4"/>
      <c r="BP480" s="4"/>
      <c r="BQ480" s="4"/>
      <c r="BR480" s="4"/>
      <c r="BS480" s="4"/>
      <c r="BT480" s="4"/>
      <c r="BU480" s="4"/>
      <c r="BV480" s="4"/>
      <c r="BW480" s="4"/>
      <c r="BX480" s="4"/>
      <c r="BY480" s="4"/>
      <c r="BZ480" s="4"/>
      <c r="CA480" s="4"/>
      <c r="CB480" s="4"/>
      <c r="CC480" s="4"/>
      <c r="CD480" s="4"/>
      <c r="CE480" s="4"/>
      <c r="CF480" s="4"/>
      <c r="CG480" s="4"/>
      <c r="CH480" s="4"/>
      <c r="CI480" s="4"/>
    </row>
    <row r="481" ht="14.25" customHeight="1" spans="1:87" x14ac:dyDescent="0.25">
      <c r="A481" s="4"/>
      <c r="B481" s="4"/>
      <c r="C481" s="4"/>
      <c r="D481" s="4"/>
      <c r="E481" s="4"/>
      <c r="F481" s="4"/>
      <c r="G481" s="4"/>
      <c r="H481" s="4"/>
      <c r="I481" s="4"/>
      <c r="J481" s="4"/>
      <c r="K481" s="242"/>
      <c r="L481" s="4"/>
      <c r="M481" s="4"/>
      <c r="N481" s="4"/>
      <c r="O481" s="4"/>
      <c r="P481" s="4"/>
      <c r="Q481" s="4"/>
      <c r="R481" s="4"/>
      <c r="S481" s="4"/>
      <c r="T481" s="4"/>
      <c r="U481" s="4"/>
      <c r="V481" s="4"/>
      <c r="W481" s="4"/>
      <c r="X481" s="4"/>
      <c r="Y481" s="4"/>
      <c r="Z481" s="4"/>
      <c r="AA481" s="4"/>
      <c r="AB481" s="4"/>
      <c r="AC481" s="4"/>
      <c r="AD481" s="4"/>
      <c r="AE481" s="4"/>
      <c r="AF481" s="4"/>
      <c r="AG481" s="4"/>
      <c r="AH481" s="4"/>
      <c r="AI481" s="4"/>
      <c r="AJ481" s="4"/>
      <c r="AK481" s="4"/>
      <c r="AL481" s="4"/>
      <c r="AM481" s="4"/>
      <c r="AN481" s="4"/>
      <c r="AO481" s="4"/>
      <c r="AP481" s="4"/>
      <c r="AQ481" s="4"/>
      <c r="AR481" s="4"/>
      <c r="AS481" s="4"/>
      <c r="AT481" s="4"/>
      <c r="AU481" s="4"/>
      <c r="AV481" s="4"/>
      <c r="AW481" s="4"/>
      <c r="AX481" s="4"/>
      <c r="AY481" s="4"/>
      <c r="AZ481" s="4"/>
      <c r="BA481" s="4"/>
      <c r="BB481" s="4"/>
      <c r="BC481" s="4"/>
      <c r="BD481" s="4"/>
      <c r="BE481" s="4"/>
      <c r="BF481" s="4"/>
      <c r="BG481" s="4"/>
      <c r="BH481" s="4"/>
      <c r="BI481" s="4"/>
      <c r="BJ481" s="4"/>
      <c r="BK481" s="4"/>
      <c r="BL481" s="4"/>
      <c r="BM481" s="4"/>
      <c r="BN481" s="4"/>
      <c r="BO481" s="4"/>
      <c r="BP481" s="4"/>
      <c r="BQ481" s="4"/>
      <c r="BR481" s="4"/>
      <c r="BS481" s="4"/>
      <c r="BT481" s="4"/>
      <c r="BU481" s="4"/>
      <c r="BV481" s="4"/>
      <c r="BW481" s="4"/>
      <c r="BX481" s="4"/>
      <c r="BY481" s="4"/>
      <c r="BZ481" s="4"/>
      <c r="CA481" s="4"/>
      <c r="CB481" s="4"/>
      <c r="CC481" s="4"/>
      <c r="CD481" s="4"/>
      <c r="CE481" s="4"/>
      <c r="CF481" s="4"/>
      <c r="CG481" s="4"/>
      <c r="CH481" s="4"/>
      <c r="CI481" s="4"/>
    </row>
    <row r="482" ht="14.25" customHeight="1" spans="1:87" x14ac:dyDescent="0.25">
      <c r="A482" s="4"/>
      <c r="B482" s="4"/>
      <c r="C482" s="4"/>
      <c r="D482" s="4"/>
      <c r="E482" s="4"/>
      <c r="F482" s="4"/>
      <c r="G482" s="4"/>
      <c r="H482" s="4"/>
      <c r="I482" s="4"/>
      <c r="J482" s="4"/>
      <c r="K482" s="242"/>
      <c r="L482" s="4"/>
      <c r="M482" s="4"/>
      <c r="N482" s="4"/>
      <c r="O482" s="4"/>
      <c r="P482" s="4"/>
      <c r="Q482" s="4"/>
      <c r="R482" s="4"/>
      <c r="S482" s="4"/>
      <c r="T482" s="4"/>
      <c r="U482" s="4"/>
      <c r="V482" s="4"/>
      <c r="W482" s="4"/>
      <c r="X482" s="4"/>
      <c r="Y482" s="4"/>
      <c r="Z482" s="4"/>
      <c r="AA482" s="4"/>
      <c r="AB482" s="4"/>
      <c r="AC482" s="4"/>
      <c r="AD482" s="4"/>
      <c r="AE482" s="4"/>
      <c r="AF482" s="4"/>
      <c r="AG482" s="4"/>
      <c r="AH482" s="4"/>
      <c r="AI482" s="4"/>
      <c r="AJ482" s="4"/>
      <c r="AK482" s="4"/>
      <c r="AL482" s="4"/>
      <c r="AM482" s="4"/>
      <c r="AN482" s="4"/>
      <c r="AO482" s="4"/>
      <c r="AP482" s="4"/>
      <c r="AQ482" s="4"/>
      <c r="AR482" s="4"/>
      <c r="AS482" s="4"/>
      <c r="AT482" s="4"/>
      <c r="AU482" s="4"/>
      <c r="AV482" s="4"/>
      <c r="AW482" s="4"/>
      <c r="AX482" s="4"/>
      <c r="AY482" s="4"/>
      <c r="AZ482" s="4"/>
      <c r="BA482" s="4"/>
      <c r="BB482" s="4"/>
      <c r="BC482" s="4"/>
      <c r="BD482" s="4"/>
      <c r="BE482" s="4"/>
      <c r="BF482" s="4"/>
      <c r="BG482" s="4"/>
      <c r="BH482" s="4"/>
      <c r="BI482" s="4"/>
      <c r="BJ482" s="4"/>
      <c r="BK482" s="4"/>
      <c r="BL482" s="4"/>
      <c r="BM482" s="4"/>
      <c r="BN482" s="4"/>
      <c r="BO482" s="4"/>
      <c r="BP482" s="4"/>
      <c r="BQ482" s="4"/>
      <c r="BR482" s="4"/>
      <c r="BS482" s="4"/>
      <c r="BT482" s="4"/>
      <c r="BU482" s="4"/>
      <c r="BV482" s="4"/>
      <c r="BW482" s="4"/>
      <c r="BX482" s="4"/>
      <c r="BY482" s="4"/>
      <c r="BZ482" s="4"/>
      <c r="CA482" s="4"/>
      <c r="CB482" s="4"/>
      <c r="CC482" s="4"/>
      <c r="CD482" s="4"/>
      <c r="CE482" s="4"/>
      <c r="CF482" s="4"/>
      <c r="CG482" s="4"/>
      <c r="CH482" s="4"/>
      <c r="CI482" s="4"/>
    </row>
    <row r="483" ht="14.25" customHeight="1" spans="1:87" x14ac:dyDescent="0.25">
      <c r="A483" s="4"/>
      <c r="B483" s="4"/>
      <c r="C483" s="4"/>
      <c r="D483" s="4"/>
      <c r="E483" s="4"/>
      <c r="F483" s="4"/>
      <c r="G483" s="4"/>
      <c r="H483" s="4"/>
      <c r="I483" s="4"/>
      <c r="J483" s="4"/>
      <c r="K483" s="242"/>
      <c r="L483" s="4"/>
      <c r="M483" s="4"/>
      <c r="N483" s="4"/>
      <c r="O483" s="4"/>
      <c r="P483" s="4"/>
      <c r="Q483" s="4"/>
      <c r="R483" s="4"/>
      <c r="S483" s="4"/>
      <c r="T483" s="4"/>
      <c r="U483" s="4"/>
      <c r="V483" s="4"/>
      <c r="W483" s="4"/>
      <c r="X483" s="4"/>
      <c r="Y483" s="4"/>
      <c r="Z483" s="4"/>
      <c r="AA483" s="4"/>
      <c r="AB483" s="4"/>
      <c r="AC483" s="4"/>
      <c r="AD483" s="4"/>
      <c r="AE483" s="4"/>
      <c r="AF483" s="4"/>
      <c r="AG483" s="4"/>
      <c r="AH483" s="4"/>
      <c r="AI483" s="4"/>
      <c r="AJ483" s="4"/>
      <c r="AK483" s="4"/>
      <c r="AL483" s="4"/>
      <c r="AM483" s="4"/>
      <c r="AN483" s="4"/>
      <c r="AO483" s="4"/>
      <c r="AP483" s="4"/>
      <c r="AQ483" s="4"/>
      <c r="AR483" s="4"/>
      <c r="AS483" s="4"/>
      <c r="AT483" s="4"/>
      <c r="AU483" s="4"/>
      <c r="AV483" s="4"/>
      <c r="AW483" s="4"/>
      <c r="AX483" s="4"/>
      <c r="AY483" s="4"/>
      <c r="AZ483" s="4"/>
      <c r="BA483" s="4"/>
      <c r="BB483" s="4"/>
      <c r="BC483" s="4"/>
      <c r="BD483" s="4"/>
      <c r="BE483" s="4"/>
      <c r="BF483" s="4"/>
      <c r="BG483" s="4"/>
      <c r="BH483" s="4"/>
      <c r="BI483" s="4"/>
      <c r="BJ483" s="4"/>
      <c r="BK483" s="4"/>
      <c r="BL483" s="4"/>
      <c r="BM483" s="4"/>
      <c r="BN483" s="4"/>
      <c r="BO483" s="4"/>
      <c r="BP483" s="4"/>
      <c r="BQ483" s="4"/>
      <c r="BR483" s="4"/>
      <c r="BS483" s="4"/>
      <c r="BT483" s="4"/>
      <c r="BU483" s="4"/>
      <c r="BV483" s="4"/>
      <c r="BW483" s="4"/>
      <c r="BX483" s="4"/>
      <c r="BY483" s="4"/>
      <c r="BZ483" s="4"/>
      <c r="CA483" s="4"/>
      <c r="CB483" s="4"/>
      <c r="CC483" s="4"/>
      <c r="CD483" s="4"/>
      <c r="CE483" s="4"/>
      <c r="CF483" s="4"/>
      <c r="CG483" s="4"/>
      <c r="CH483" s="4"/>
      <c r="CI483" s="4"/>
    </row>
    <row r="484" ht="14.25" customHeight="1" spans="1:87" x14ac:dyDescent="0.25">
      <c r="A484" s="4"/>
      <c r="B484" s="4"/>
      <c r="C484" s="4"/>
      <c r="D484" s="4"/>
      <c r="E484" s="4"/>
      <c r="F484" s="4"/>
      <c r="G484" s="4"/>
      <c r="H484" s="4"/>
      <c r="I484" s="4"/>
      <c r="J484" s="4"/>
      <c r="K484" s="242"/>
      <c r="L484" s="4"/>
      <c r="M484" s="4"/>
      <c r="N484" s="4"/>
      <c r="O484" s="4"/>
      <c r="P484" s="4"/>
      <c r="Q484" s="4"/>
      <c r="R484" s="4"/>
      <c r="S484" s="4"/>
      <c r="T484" s="4"/>
      <c r="U484" s="4"/>
      <c r="V484" s="4"/>
      <c r="W484" s="4"/>
      <c r="X484" s="4"/>
      <c r="Y484" s="4"/>
      <c r="Z484" s="4"/>
      <c r="AA484" s="4"/>
      <c r="AB484" s="4"/>
      <c r="AC484" s="4"/>
      <c r="AD484" s="4"/>
      <c r="AE484" s="4"/>
      <c r="AF484" s="4"/>
      <c r="AG484" s="4"/>
      <c r="AH484" s="4"/>
      <c r="AI484" s="4"/>
      <c r="AJ484" s="4"/>
      <c r="AK484" s="4"/>
      <c r="AL484" s="4"/>
      <c r="AM484" s="4"/>
      <c r="AN484" s="4"/>
      <c r="AO484" s="4"/>
      <c r="AP484" s="4"/>
      <c r="AQ484" s="4"/>
      <c r="AR484" s="4"/>
      <c r="AS484" s="4"/>
      <c r="AT484" s="4"/>
      <c r="AU484" s="4"/>
      <c r="AV484" s="4"/>
      <c r="AW484" s="4"/>
      <c r="AX484" s="4"/>
      <c r="AY484" s="4"/>
      <c r="AZ484" s="4"/>
      <c r="BA484" s="4"/>
      <c r="BB484" s="4"/>
      <c r="BC484" s="4"/>
      <c r="BD484" s="4"/>
      <c r="BE484" s="4"/>
      <c r="BF484" s="4"/>
      <c r="BG484" s="4"/>
      <c r="BH484" s="4"/>
      <c r="BI484" s="4"/>
      <c r="BJ484" s="4"/>
      <c r="BK484" s="4"/>
      <c r="BL484" s="4"/>
      <c r="BM484" s="4"/>
      <c r="BN484" s="4"/>
      <c r="BO484" s="4"/>
      <c r="BP484" s="4"/>
      <c r="BQ484" s="4"/>
      <c r="BR484" s="4"/>
      <c r="BS484" s="4"/>
      <c r="BT484" s="4"/>
      <c r="BU484" s="4"/>
      <c r="BV484" s="4"/>
      <c r="BW484" s="4"/>
      <c r="BX484" s="4"/>
      <c r="BY484" s="4"/>
      <c r="BZ484" s="4"/>
      <c r="CA484" s="4"/>
      <c r="CB484" s="4"/>
      <c r="CC484" s="4"/>
      <c r="CD484" s="4"/>
      <c r="CE484" s="4"/>
      <c r="CF484" s="4"/>
      <c r="CG484" s="4"/>
      <c r="CH484" s="4"/>
      <c r="CI484" s="4"/>
    </row>
    <row r="485" ht="14.25" customHeight="1" spans="1:87" x14ac:dyDescent="0.25">
      <c r="A485" s="4"/>
      <c r="B485" s="4"/>
      <c r="C485" s="4"/>
      <c r="D485" s="4"/>
      <c r="E485" s="4"/>
      <c r="F485" s="4"/>
      <c r="G485" s="4"/>
      <c r="H485" s="4"/>
      <c r="I485" s="4"/>
      <c r="J485" s="4"/>
      <c r="K485" s="242"/>
      <c r="L485" s="4"/>
      <c r="M485" s="4"/>
      <c r="N485" s="4"/>
      <c r="O485" s="4"/>
      <c r="P485" s="4"/>
      <c r="Q485" s="4"/>
      <c r="R485" s="4"/>
      <c r="S485" s="4"/>
      <c r="T485" s="4"/>
      <c r="U485" s="4"/>
      <c r="V485" s="4"/>
      <c r="W485" s="4"/>
      <c r="X485" s="4"/>
      <c r="Y485" s="4"/>
      <c r="Z485" s="4"/>
      <c r="AA485" s="4"/>
      <c r="AB485" s="4"/>
      <c r="AC485" s="4"/>
      <c r="AD485" s="4"/>
      <c r="AE485" s="4"/>
      <c r="AF485" s="4"/>
      <c r="AG485" s="4"/>
      <c r="AH485" s="4"/>
      <c r="AI485" s="4"/>
      <c r="AJ485" s="4"/>
      <c r="AK485" s="4"/>
      <c r="AL485" s="4"/>
      <c r="AM485" s="4"/>
      <c r="AN485" s="4"/>
      <c r="AO485" s="4"/>
      <c r="AP485" s="4"/>
      <c r="AQ485" s="4"/>
      <c r="AR485" s="4"/>
      <c r="AS485" s="4"/>
      <c r="AT485" s="4"/>
      <c r="AU485" s="4"/>
      <c r="AV485" s="4"/>
      <c r="AW485" s="4"/>
      <c r="AX485" s="4"/>
      <c r="AY485" s="4"/>
      <c r="AZ485" s="4"/>
      <c r="BA485" s="4"/>
      <c r="BB485" s="4"/>
      <c r="BC485" s="4"/>
      <c r="BD485" s="4"/>
      <c r="BE485" s="4"/>
      <c r="BF485" s="4"/>
      <c r="BG485" s="4"/>
      <c r="BH485" s="4"/>
      <c r="BI485" s="4"/>
      <c r="BJ485" s="4"/>
      <c r="BK485" s="4"/>
      <c r="BL485" s="4"/>
      <c r="BM485" s="4"/>
      <c r="BN485" s="4"/>
      <c r="BO485" s="4"/>
      <c r="BP485" s="4"/>
      <c r="BQ485" s="4"/>
      <c r="BR485" s="4"/>
      <c r="BS485" s="4"/>
      <c r="BT485" s="4"/>
      <c r="BU485" s="4"/>
      <c r="BV485" s="4"/>
      <c r="BW485" s="4"/>
      <c r="BX485" s="4"/>
      <c r="BY485" s="4"/>
      <c r="BZ485" s="4"/>
      <c r="CA485" s="4"/>
      <c r="CB485" s="4"/>
      <c r="CC485" s="4"/>
      <c r="CD485" s="4"/>
      <c r="CE485" s="4"/>
      <c r="CF485" s="4"/>
      <c r="CG485" s="4"/>
      <c r="CH485" s="4"/>
      <c r="CI485" s="4"/>
    </row>
    <row r="486" ht="14.25" customHeight="1" spans="1:87" x14ac:dyDescent="0.25">
      <c r="A486" s="4"/>
      <c r="B486" s="4"/>
      <c r="C486" s="4"/>
      <c r="D486" s="4"/>
      <c r="E486" s="4"/>
      <c r="F486" s="4"/>
      <c r="G486" s="4"/>
      <c r="H486" s="4"/>
      <c r="I486" s="4"/>
      <c r="J486" s="4"/>
      <c r="K486" s="242"/>
      <c r="L486" s="4"/>
      <c r="M486" s="4"/>
      <c r="N486" s="4"/>
      <c r="O486" s="4"/>
      <c r="P486" s="4"/>
      <c r="Q486" s="4"/>
      <c r="R486" s="4"/>
      <c r="S486" s="4"/>
      <c r="T486" s="4"/>
      <c r="U486" s="4"/>
      <c r="V486" s="4"/>
      <c r="W486" s="4"/>
      <c r="X486" s="4"/>
      <c r="Y486" s="4"/>
      <c r="Z486" s="4"/>
      <c r="AA486" s="4"/>
      <c r="AB486" s="4"/>
      <c r="AC486" s="4"/>
      <c r="AD486" s="4"/>
      <c r="AE486" s="4"/>
      <c r="AF486" s="4"/>
      <c r="AG486" s="4"/>
      <c r="AH486" s="4"/>
      <c r="AI486" s="4"/>
      <c r="AJ486" s="4"/>
      <c r="AK486" s="4"/>
      <c r="AL486" s="4"/>
      <c r="AM486" s="4"/>
      <c r="AN486" s="4"/>
      <c r="AO486" s="4"/>
      <c r="AP486" s="4"/>
      <c r="AQ486" s="4"/>
      <c r="AR486" s="4"/>
      <c r="AS486" s="4"/>
      <c r="AT486" s="4"/>
      <c r="AU486" s="4"/>
      <c r="AV486" s="4"/>
      <c r="AW486" s="4"/>
      <c r="AX486" s="4"/>
      <c r="AY486" s="4"/>
      <c r="AZ486" s="4"/>
      <c r="BA486" s="4"/>
      <c r="BB486" s="4"/>
      <c r="BC486" s="4"/>
      <c r="BD486" s="4"/>
      <c r="BE486" s="4"/>
      <c r="BF486" s="4"/>
      <c r="BG486" s="4"/>
      <c r="BH486" s="4"/>
      <c r="BI486" s="4"/>
      <c r="BJ486" s="4"/>
      <c r="BK486" s="4"/>
      <c r="BL486" s="4"/>
      <c r="BM486" s="4"/>
      <c r="BN486" s="4"/>
      <c r="BO486" s="4"/>
      <c r="BP486" s="4"/>
      <c r="BQ486" s="4"/>
      <c r="BR486" s="4"/>
      <c r="BS486" s="4"/>
      <c r="BT486" s="4"/>
      <c r="BU486" s="4"/>
      <c r="BV486" s="4"/>
      <c r="BW486" s="4"/>
      <c r="BX486" s="4"/>
      <c r="BY486" s="4"/>
      <c r="BZ486" s="4"/>
      <c r="CA486" s="4"/>
      <c r="CB486" s="4"/>
      <c r="CC486" s="4"/>
      <c r="CD486" s="4"/>
      <c r="CE486" s="4"/>
      <c r="CF486" s="4"/>
      <c r="CG486" s="4"/>
      <c r="CH486" s="4"/>
      <c r="CI486" s="4"/>
    </row>
    <row r="487" ht="14.25" customHeight="1" spans="1:87" x14ac:dyDescent="0.25">
      <c r="A487" s="4"/>
      <c r="B487" s="4"/>
      <c r="C487" s="4"/>
      <c r="D487" s="4"/>
      <c r="E487" s="4"/>
      <c r="F487" s="4"/>
      <c r="G487" s="4"/>
      <c r="H487" s="4"/>
      <c r="I487" s="4"/>
      <c r="J487" s="4"/>
      <c r="K487" s="242"/>
      <c r="L487" s="4"/>
      <c r="M487" s="4"/>
      <c r="N487" s="4"/>
      <c r="O487" s="4"/>
      <c r="P487" s="4"/>
      <c r="Q487" s="4"/>
      <c r="R487" s="4"/>
      <c r="S487" s="4"/>
      <c r="T487" s="4"/>
      <c r="U487" s="4"/>
      <c r="V487" s="4"/>
      <c r="W487" s="4"/>
      <c r="X487" s="4"/>
      <c r="Y487" s="4"/>
      <c r="Z487" s="4"/>
      <c r="AA487" s="4"/>
      <c r="AB487" s="4"/>
      <c r="AC487" s="4"/>
      <c r="AD487" s="4"/>
      <c r="AE487" s="4"/>
      <c r="AF487" s="4"/>
      <c r="AG487" s="4"/>
      <c r="AH487" s="4"/>
      <c r="AI487" s="4"/>
      <c r="AJ487" s="4"/>
      <c r="AK487" s="4"/>
      <c r="AL487" s="4"/>
      <c r="AM487" s="4"/>
      <c r="AN487" s="4"/>
      <c r="AO487" s="4"/>
      <c r="AP487" s="4"/>
      <c r="AQ487" s="4"/>
      <c r="AR487" s="4"/>
      <c r="AS487" s="4"/>
      <c r="AT487" s="4"/>
      <c r="AU487" s="4"/>
      <c r="AV487" s="4"/>
      <c r="AW487" s="4"/>
      <c r="AX487" s="4"/>
      <c r="AY487" s="4"/>
      <c r="AZ487" s="4"/>
      <c r="BA487" s="4"/>
      <c r="BB487" s="4"/>
      <c r="BC487" s="4"/>
      <c r="BD487" s="4"/>
      <c r="BE487" s="4"/>
      <c r="BF487" s="4"/>
      <c r="BG487" s="4"/>
      <c r="BH487" s="4"/>
      <c r="BI487" s="4"/>
      <c r="BJ487" s="4"/>
      <c r="BK487" s="4"/>
      <c r="BL487" s="4"/>
      <c r="BM487" s="4"/>
      <c r="BN487" s="4"/>
      <c r="BO487" s="4"/>
      <c r="BP487" s="4"/>
      <c r="BQ487" s="4"/>
      <c r="BR487" s="4"/>
      <c r="BS487" s="4"/>
      <c r="BT487" s="4"/>
      <c r="BU487" s="4"/>
      <c r="BV487" s="4"/>
      <c r="BW487" s="4"/>
      <c r="BX487" s="4"/>
      <c r="BY487" s="4"/>
      <c r="BZ487" s="4"/>
      <c r="CA487" s="4"/>
      <c r="CB487" s="4"/>
      <c r="CC487" s="4"/>
      <c r="CD487" s="4"/>
      <c r="CE487" s="4"/>
      <c r="CF487" s="4"/>
      <c r="CG487" s="4"/>
      <c r="CH487" s="4"/>
      <c r="CI487" s="4"/>
    </row>
    <row r="488" ht="14.25" customHeight="1" spans="1:87" x14ac:dyDescent="0.25">
      <c r="A488" s="4"/>
      <c r="B488" s="4"/>
      <c r="C488" s="4"/>
      <c r="D488" s="4"/>
      <c r="E488" s="4"/>
      <c r="F488" s="4"/>
      <c r="G488" s="4"/>
      <c r="H488" s="4"/>
      <c r="I488" s="4"/>
      <c r="J488" s="4"/>
      <c r="K488" s="242"/>
      <c r="L488" s="4"/>
      <c r="M488" s="4"/>
      <c r="N488" s="4"/>
      <c r="O488" s="4"/>
      <c r="P488" s="4"/>
      <c r="Q488" s="4"/>
      <c r="R488" s="4"/>
      <c r="S488" s="4"/>
      <c r="T488" s="4"/>
      <c r="U488" s="4"/>
      <c r="V488" s="4"/>
      <c r="W488" s="4"/>
      <c r="X488" s="4"/>
      <c r="Y488" s="4"/>
      <c r="Z488" s="4"/>
      <c r="AA488" s="4"/>
      <c r="AB488" s="4"/>
      <c r="AC488" s="4"/>
      <c r="AD488" s="4"/>
      <c r="AE488" s="4"/>
      <c r="AF488" s="4"/>
      <c r="AG488" s="4"/>
      <c r="AH488" s="4"/>
      <c r="AI488" s="4"/>
      <c r="AJ488" s="4"/>
      <c r="AK488" s="4"/>
      <c r="AL488" s="4"/>
      <c r="AM488" s="4"/>
      <c r="AN488" s="4"/>
      <c r="AO488" s="4"/>
      <c r="AP488" s="4"/>
      <c r="AQ488" s="4"/>
      <c r="AR488" s="4"/>
      <c r="AS488" s="4"/>
      <c r="AT488" s="4"/>
      <c r="AU488" s="4"/>
      <c r="AV488" s="4"/>
      <c r="AW488" s="4"/>
      <c r="AX488" s="4"/>
      <c r="AY488" s="4"/>
      <c r="AZ488" s="4"/>
      <c r="BA488" s="4"/>
      <c r="BB488" s="4"/>
      <c r="BC488" s="4"/>
      <c r="BD488" s="4"/>
      <c r="BE488" s="4"/>
      <c r="BF488" s="4"/>
      <c r="BG488" s="4"/>
      <c r="BH488" s="4"/>
      <c r="BI488" s="4"/>
      <c r="BJ488" s="4"/>
      <c r="BK488" s="4"/>
      <c r="BL488" s="4"/>
      <c r="BM488" s="4"/>
      <c r="BN488" s="4"/>
      <c r="BO488" s="4"/>
      <c r="BP488" s="4"/>
      <c r="BQ488" s="4"/>
      <c r="BR488" s="4"/>
      <c r="BS488" s="4"/>
      <c r="BT488" s="4"/>
      <c r="BU488" s="4"/>
      <c r="BV488" s="4"/>
      <c r="BW488" s="4"/>
      <c r="BX488" s="4"/>
      <c r="BY488" s="4"/>
      <c r="BZ488" s="4"/>
      <c r="CA488" s="4"/>
      <c r="CB488" s="4"/>
      <c r="CC488" s="4"/>
      <c r="CD488" s="4"/>
      <c r="CE488" s="4"/>
      <c r="CF488" s="4"/>
      <c r="CG488" s="4"/>
      <c r="CH488" s="4"/>
      <c r="CI488" s="4"/>
    </row>
    <row r="489" ht="14.25" customHeight="1" spans="1:87" x14ac:dyDescent="0.25">
      <c r="A489" s="4"/>
      <c r="B489" s="4"/>
      <c r="C489" s="4"/>
      <c r="D489" s="4"/>
      <c r="E489" s="4"/>
      <c r="F489" s="4"/>
      <c r="G489" s="4"/>
      <c r="H489" s="4"/>
      <c r="I489" s="4"/>
      <c r="J489" s="4"/>
      <c r="K489" s="242"/>
      <c r="L489" s="4"/>
      <c r="M489" s="4"/>
      <c r="N489" s="4"/>
      <c r="O489" s="4"/>
      <c r="P489" s="4"/>
      <c r="Q489" s="4"/>
      <c r="R489" s="4"/>
      <c r="S489" s="4"/>
      <c r="T489" s="4"/>
      <c r="U489" s="4"/>
      <c r="V489" s="4"/>
      <c r="W489" s="4"/>
      <c r="X489" s="4"/>
      <c r="Y489" s="4"/>
      <c r="Z489" s="4"/>
      <c r="AA489" s="4"/>
      <c r="AB489" s="4"/>
      <c r="AC489" s="4"/>
      <c r="AD489" s="4"/>
      <c r="AE489" s="4"/>
      <c r="AF489" s="4"/>
      <c r="AG489" s="4"/>
      <c r="AH489" s="4"/>
      <c r="AI489" s="4"/>
      <c r="AJ489" s="4"/>
      <c r="AK489" s="4"/>
      <c r="AL489" s="4"/>
      <c r="AM489" s="4"/>
      <c r="AN489" s="4"/>
      <c r="AO489" s="4"/>
      <c r="AP489" s="4"/>
      <c r="AQ489" s="4"/>
      <c r="AR489" s="4"/>
      <c r="AS489" s="4"/>
      <c r="AT489" s="4"/>
      <c r="AU489" s="4"/>
      <c r="AV489" s="4"/>
      <c r="AW489" s="4"/>
      <c r="AX489" s="4"/>
      <c r="AY489" s="4"/>
      <c r="AZ489" s="4"/>
      <c r="BA489" s="4"/>
      <c r="BB489" s="4"/>
      <c r="BC489" s="4"/>
      <c r="BD489" s="4"/>
      <c r="BE489" s="4"/>
      <c r="BF489" s="4"/>
      <c r="BG489" s="4"/>
      <c r="BH489" s="4"/>
      <c r="BI489" s="4"/>
      <c r="BJ489" s="4"/>
      <c r="BK489" s="4"/>
      <c r="BL489" s="4"/>
      <c r="BM489" s="4"/>
      <c r="BN489" s="4"/>
      <c r="BO489" s="4"/>
      <c r="BP489" s="4"/>
      <c r="BQ489" s="4"/>
      <c r="BR489" s="4"/>
      <c r="BS489" s="4"/>
      <c r="BT489" s="4"/>
      <c r="BU489" s="4"/>
      <c r="BV489" s="4"/>
      <c r="BW489" s="4"/>
      <c r="BX489" s="4"/>
      <c r="BY489" s="4"/>
      <c r="BZ489" s="4"/>
      <c r="CA489" s="4"/>
      <c r="CB489" s="4"/>
      <c r="CC489" s="4"/>
      <c r="CD489" s="4"/>
      <c r="CE489" s="4"/>
      <c r="CF489" s="4"/>
      <c r="CG489" s="4"/>
      <c r="CH489" s="4"/>
      <c r="CI489" s="4"/>
    </row>
    <row r="490" ht="14.25" customHeight="1" spans="1:87" x14ac:dyDescent="0.25">
      <c r="A490" s="4"/>
      <c r="B490" s="4"/>
      <c r="C490" s="4"/>
      <c r="D490" s="4"/>
      <c r="E490" s="4"/>
      <c r="F490" s="4"/>
      <c r="G490" s="4"/>
      <c r="H490" s="4"/>
      <c r="I490" s="4"/>
      <c r="J490" s="4"/>
      <c r="K490" s="242"/>
      <c r="L490" s="4"/>
      <c r="M490" s="4"/>
      <c r="N490" s="4"/>
      <c r="O490" s="4"/>
      <c r="P490" s="4"/>
      <c r="Q490" s="4"/>
      <c r="R490" s="4"/>
      <c r="S490" s="4"/>
      <c r="T490" s="4"/>
      <c r="U490" s="4"/>
      <c r="V490" s="4"/>
      <c r="W490" s="4"/>
      <c r="X490" s="4"/>
      <c r="Y490" s="4"/>
      <c r="Z490" s="4"/>
      <c r="AA490" s="4"/>
      <c r="AB490" s="4"/>
      <c r="AC490" s="4"/>
      <c r="AD490" s="4"/>
      <c r="AE490" s="4"/>
      <c r="AF490" s="4"/>
      <c r="AG490" s="4"/>
      <c r="AH490" s="4"/>
      <c r="AI490" s="4"/>
      <c r="AJ490" s="4"/>
      <c r="AK490" s="4"/>
      <c r="AL490" s="4"/>
      <c r="AM490" s="4"/>
      <c r="AN490" s="4"/>
      <c r="AO490" s="4"/>
      <c r="AP490" s="4"/>
      <c r="AQ490" s="4"/>
      <c r="AR490" s="4"/>
      <c r="AS490" s="4"/>
      <c r="AT490" s="4"/>
      <c r="AU490" s="4"/>
      <c r="AV490" s="4"/>
      <c r="AW490" s="4"/>
      <c r="AX490" s="4"/>
      <c r="AY490" s="4"/>
      <c r="AZ490" s="4"/>
      <c r="BA490" s="4"/>
      <c r="BB490" s="4"/>
      <c r="BC490" s="4"/>
      <c r="BD490" s="4"/>
      <c r="BE490" s="4"/>
      <c r="BF490" s="4"/>
      <c r="BG490" s="4"/>
      <c r="BH490" s="4"/>
      <c r="BI490" s="4"/>
      <c r="BJ490" s="4"/>
      <c r="BK490" s="4"/>
      <c r="BL490" s="4"/>
      <c r="BM490" s="4"/>
      <c r="BN490" s="4"/>
      <c r="BO490" s="4"/>
      <c r="BP490" s="4"/>
      <c r="BQ490" s="4"/>
      <c r="BR490" s="4"/>
      <c r="BS490" s="4"/>
      <c r="BT490" s="4"/>
      <c r="BU490" s="4"/>
      <c r="BV490" s="4"/>
      <c r="BW490" s="4"/>
      <c r="BX490" s="4"/>
      <c r="BY490" s="4"/>
      <c r="BZ490" s="4"/>
      <c r="CA490" s="4"/>
      <c r="CB490" s="4"/>
      <c r="CC490" s="4"/>
      <c r="CD490" s="4"/>
      <c r="CE490" s="4"/>
      <c r="CF490" s="4"/>
      <c r="CG490" s="4"/>
      <c r="CH490" s="4"/>
      <c r="CI490" s="4"/>
    </row>
    <row r="491" ht="14.25" customHeight="1" spans="1:87" x14ac:dyDescent="0.25">
      <c r="A491" s="4"/>
      <c r="B491" s="4"/>
      <c r="C491" s="4"/>
      <c r="D491" s="4"/>
      <c r="E491" s="4"/>
      <c r="F491" s="4"/>
      <c r="G491" s="4"/>
      <c r="H491" s="4"/>
      <c r="I491" s="4"/>
      <c r="J491" s="4"/>
      <c r="K491" s="242"/>
      <c r="L491" s="4"/>
      <c r="M491" s="4"/>
      <c r="N491" s="4"/>
      <c r="O491" s="4"/>
      <c r="P491" s="4"/>
      <c r="Q491" s="4"/>
      <c r="R491" s="4"/>
      <c r="S491" s="4"/>
      <c r="T491" s="4"/>
      <c r="U491" s="4"/>
      <c r="V491" s="4"/>
      <c r="W491" s="4"/>
      <c r="X491" s="4"/>
      <c r="Y491" s="4"/>
      <c r="Z491" s="4"/>
      <c r="AA491" s="4"/>
      <c r="AB491" s="4"/>
      <c r="AC491" s="4"/>
      <c r="AD491" s="4"/>
      <c r="AE491" s="4"/>
      <c r="AF491" s="4"/>
      <c r="AG491" s="4"/>
      <c r="AH491" s="4"/>
      <c r="AI491" s="4"/>
      <c r="AJ491" s="4"/>
      <c r="AK491" s="4"/>
      <c r="AL491" s="4"/>
      <c r="AM491" s="4"/>
      <c r="AN491" s="4"/>
      <c r="AO491" s="4"/>
      <c r="AP491" s="4"/>
      <c r="AQ491" s="4"/>
      <c r="AR491" s="4"/>
      <c r="AS491" s="4"/>
      <c r="AT491" s="4"/>
      <c r="AU491" s="4"/>
      <c r="AV491" s="4"/>
      <c r="AW491" s="4"/>
      <c r="AX491" s="4"/>
      <c r="AY491" s="4"/>
      <c r="AZ491" s="4"/>
      <c r="BA491" s="4"/>
      <c r="BB491" s="4"/>
      <c r="BC491" s="4"/>
      <c r="BD491" s="4"/>
      <c r="BE491" s="4"/>
      <c r="BF491" s="4"/>
      <c r="BG491" s="4"/>
      <c r="BH491" s="4"/>
      <c r="BI491" s="4"/>
      <c r="BJ491" s="4"/>
      <c r="BK491" s="4"/>
      <c r="BL491" s="4"/>
      <c r="BM491" s="4"/>
      <c r="BN491" s="4"/>
      <c r="BO491" s="4"/>
      <c r="BP491" s="4"/>
      <c r="BQ491" s="4"/>
      <c r="BR491" s="4"/>
      <c r="BS491" s="4"/>
      <c r="BT491" s="4"/>
      <c r="BU491" s="4"/>
      <c r="BV491" s="4"/>
      <c r="BW491" s="4"/>
      <c r="BX491" s="4"/>
      <c r="BY491" s="4"/>
      <c r="BZ491" s="4"/>
      <c r="CA491" s="4"/>
      <c r="CB491" s="4"/>
      <c r="CC491" s="4"/>
      <c r="CD491" s="4"/>
      <c r="CE491" s="4"/>
      <c r="CF491" s="4"/>
      <c r="CG491" s="4"/>
      <c r="CH491" s="4"/>
      <c r="CI491" s="4"/>
    </row>
    <row r="492" ht="14.25" customHeight="1" spans="1:87" x14ac:dyDescent="0.25">
      <c r="A492" s="4"/>
      <c r="B492" s="4"/>
      <c r="C492" s="4"/>
      <c r="D492" s="4"/>
      <c r="E492" s="4"/>
      <c r="F492" s="4"/>
      <c r="G492" s="4"/>
      <c r="H492" s="4"/>
      <c r="I492" s="4"/>
      <c r="J492" s="4"/>
      <c r="K492" s="242"/>
      <c r="L492" s="4"/>
      <c r="M492" s="4"/>
      <c r="N492" s="4"/>
      <c r="O492" s="4"/>
      <c r="P492" s="4"/>
      <c r="Q492" s="4"/>
      <c r="R492" s="4"/>
      <c r="S492" s="4"/>
      <c r="T492" s="4"/>
      <c r="U492" s="4"/>
      <c r="V492" s="4"/>
      <c r="W492" s="4"/>
      <c r="X492" s="4"/>
      <c r="Y492" s="4"/>
      <c r="Z492" s="4"/>
      <c r="AA492" s="4"/>
      <c r="AB492" s="4"/>
      <c r="AC492" s="4"/>
      <c r="AD492" s="4"/>
      <c r="AE492" s="4"/>
      <c r="AF492" s="4"/>
      <c r="AG492" s="4"/>
      <c r="AH492" s="4"/>
      <c r="AI492" s="4"/>
      <c r="AJ492" s="4"/>
      <c r="AK492" s="4"/>
      <c r="AL492" s="4"/>
      <c r="AM492" s="4"/>
      <c r="AN492" s="4"/>
      <c r="AO492" s="4"/>
      <c r="AP492" s="4"/>
      <c r="AQ492" s="4"/>
      <c r="AR492" s="4"/>
      <c r="AS492" s="4"/>
      <c r="AT492" s="4"/>
      <c r="AU492" s="4"/>
      <c r="AV492" s="4"/>
      <c r="AW492" s="4"/>
      <c r="AX492" s="4"/>
      <c r="AY492" s="4"/>
      <c r="AZ492" s="4"/>
      <c r="BA492" s="4"/>
      <c r="BB492" s="4"/>
      <c r="BC492" s="4"/>
      <c r="BD492" s="4"/>
      <c r="BE492" s="4"/>
      <c r="BF492" s="4"/>
      <c r="BG492" s="4"/>
      <c r="BH492" s="4"/>
      <c r="BI492" s="4"/>
      <c r="BJ492" s="4"/>
      <c r="BK492" s="4"/>
      <c r="BL492" s="4"/>
      <c r="BM492" s="4"/>
      <c r="BN492" s="4"/>
      <c r="BO492" s="4"/>
      <c r="BP492" s="4"/>
      <c r="BQ492" s="4"/>
      <c r="BR492" s="4"/>
      <c r="BS492" s="4"/>
      <c r="BT492" s="4"/>
      <c r="BU492" s="4"/>
      <c r="BV492" s="4"/>
      <c r="BW492" s="4"/>
      <c r="BX492" s="4"/>
      <c r="BY492" s="4"/>
      <c r="BZ492" s="4"/>
      <c r="CA492" s="4"/>
      <c r="CB492" s="4"/>
      <c r="CC492" s="4"/>
      <c r="CD492" s="4"/>
      <c r="CE492" s="4"/>
      <c r="CF492" s="4"/>
      <c r="CG492" s="4"/>
      <c r="CH492" s="4"/>
      <c r="CI492" s="4"/>
    </row>
    <row r="493" ht="14.25" customHeight="1" spans="1:87" x14ac:dyDescent="0.25">
      <c r="A493" s="4"/>
      <c r="B493" s="4"/>
      <c r="C493" s="4"/>
      <c r="D493" s="4"/>
      <c r="E493" s="4"/>
      <c r="F493" s="4"/>
      <c r="G493" s="4"/>
      <c r="H493" s="4"/>
      <c r="I493" s="4"/>
      <c r="J493" s="4"/>
      <c r="K493" s="242"/>
      <c r="L493" s="4"/>
      <c r="M493" s="4"/>
      <c r="N493" s="4"/>
      <c r="O493" s="4"/>
      <c r="P493" s="4"/>
      <c r="Q493" s="4"/>
      <c r="R493" s="4"/>
      <c r="S493" s="4"/>
      <c r="T493" s="4"/>
      <c r="U493" s="4"/>
      <c r="V493" s="4"/>
      <c r="W493" s="4"/>
      <c r="X493" s="4"/>
      <c r="Y493" s="4"/>
      <c r="Z493" s="4"/>
      <c r="AA493" s="4"/>
      <c r="AB493" s="4"/>
      <c r="AC493" s="4"/>
      <c r="AD493" s="4"/>
      <c r="AE493" s="4"/>
      <c r="AF493" s="4"/>
      <c r="AG493" s="4"/>
      <c r="AH493" s="4"/>
      <c r="AI493" s="4"/>
      <c r="AJ493" s="4"/>
      <c r="AK493" s="4"/>
      <c r="AL493" s="4"/>
      <c r="AM493" s="4"/>
      <c r="AN493" s="4"/>
      <c r="AO493" s="4"/>
      <c r="AP493" s="4"/>
      <c r="AQ493" s="4"/>
      <c r="AR493" s="4"/>
      <c r="AS493" s="4"/>
      <c r="AT493" s="4"/>
      <c r="AU493" s="4"/>
      <c r="AV493" s="4"/>
      <c r="AW493" s="4"/>
      <c r="AX493" s="4"/>
      <c r="AY493" s="4"/>
      <c r="AZ493" s="4"/>
      <c r="BA493" s="4"/>
      <c r="BB493" s="4"/>
      <c r="BC493" s="4"/>
      <c r="BD493" s="4"/>
      <c r="BE493" s="4"/>
      <c r="BF493" s="4"/>
      <c r="BG493" s="4"/>
      <c r="BH493" s="4"/>
      <c r="BI493" s="4"/>
      <c r="BJ493" s="4"/>
      <c r="BK493" s="4"/>
      <c r="BL493" s="4"/>
      <c r="BM493" s="4"/>
      <c r="BN493" s="4"/>
      <c r="BO493" s="4"/>
      <c r="BP493" s="4"/>
      <c r="BQ493" s="4"/>
      <c r="BR493" s="4"/>
      <c r="BS493" s="4"/>
      <c r="BT493" s="4"/>
      <c r="BU493" s="4"/>
      <c r="BV493" s="4"/>
      <c r="BW493" s="4"/>
      <c r="BX493" s="4"/>
      <c r="BY493" s="4"/>
      <c r="BZ493" s="4"/>
      <c r="CA493" s="4"/>
      <c r="CB493" s="4"/>
      <c r="CC493" s="4"/>
      <c r="CD493" s="4"/>
      <c r="CE493" s="4"/>
      <c r="CF493" s="4"/>
      <c r="CG493" s="4"/>
      <c r="CH493" s="4"/>
      <c r="CI493" s="4"/>
    </row>
    <row r="494" ht="14.25" customHeight="1" spans="1:87" x14ac:dyDescent="0.25">
      <c r="A494" s="4"/>
      <c r="B494" s="4"/>
      <c r="C494" s="4"/>
      <c r="D494" s="4"/>
      <c r="E494" s="4"/>
      <c r="F494" s="4"/>
      <c r="G494" s="4"/>
      <c r="H494" s="4"/>
      <c r="I494" s="4"/>
      <c r="J494" s="4"/>
      <c r="K494" s="242"/>
      <c r="L494" s="4"/>
      <c r="M494" s="4"/>
      <c r="N494" s="4"/>
      <c r="O494" s="4"/>
      <c r="P494" s="4"/>
      <c r="Q494" s="4"/>
      <c r="R494" s="4"/>
      <c r="S494" s="4"/>
      <c r="T494" s="4"/>
      <c r="U494" s="4"/>
      <c r="V494" s="4"/>
      <c r="W494" s="4"/>
      <c r="X494" s="4"/>
      <c r="Y494" s="4"/>
      <c r="Z494" s="4"/>
      <c r="AA494" s="4"/>
      <c r="AB494" s="4"/>
      <c r="AC494" s="4"/>
      <c r="AD494" s="4"/>
      <c r="AE494" s="4"/>
      <c r="AF494" s="4"/>
      <c r="AG494" s="4"/>
      <c r="AH494" s="4"/>
      <c r="AI494" s="4"/>
      <c r="AJ494" s="4"/>
      <c r="AK494" s="4"/>
      <c r="AL494" s="4"/>
      <c r="AM494" s="4"/>
      <c r="AN494" s="4"/>
      <c r="AO494" s="4"/>
      <c r="AP494" s="4"/>
      <c r="AQ494" s="4"/>
      <c r="AR494" s="4"/>
      <c r="AS494" s="4"/>
      <c r="AT494" s="4"/>
      <c r="AU494" s="4"/>
      <c r="AV494" s="4"/>
      <c r="AW494" s="4"/>
      <c r="AX494" s="4"/>
      <c r="AY494" s="4"/>
      <c r="AZ494" s="4"/>
      <c r="BA494" s="4"/>
      <c r="BB494" s="4"/>
      <c r="BC494" s="4"/>
      <c r="BD494" s="4"/>
      <c r="BE494" s="4"/>
      <c r="BF494" s="4"/>
      <c r="BG494" s="4"/>
      <c r="BH494" s="4"/>
      <c r="BI494" s="4"/>
      <c r="BJ494" s="4"/>
      <c r="BK494" s="4"/>
      <c r="BL494" s="4"/>
      <c r="BM494" s="4"/>
      <c r="BN494" s="4"/>
      <c r="BO494" s="4"/>
      <c r="BP494" s="4"/>
      <c r="BQ494" s="4"/>
      <c r="BR494" s="4"/>
      <c r="BS494" s="4"/>
      <c r="BT494" s="4"/>
      <c r="BU494" s="4"/>
      <c r="BV494" s="4"/>
      <c r="BW494" s="4"/>
      <c r="BX494" s="4"/>
      <c r="BY494" s="4"/>
      <c r="BZ494" s="4"/>
      <c r="CA494" s="4"/>
      <c r="CB494" s="4"/>
      <c r="CC494" s="4"/>
      <c r="CD494" s="4"/>
      <c r="CE494" s="4"/>
      <c r="CF494" s="4"/>
      <c r="CG494" s="4"/>
      <c r="CH494" s="4"/>
      <c r="CI494" s="4"/>
    </row>
    <row r="495" ht="14.25" customHeight="1" spans="1:87" x14ac:dyDescent="0.25">
      <c r="A495" s="4"/>
      <c r="B495" s="4"/>
      <c r="C495" s="4"/>
      <c r="D495" s="4"/>
      <c r="E495" s="4"/>
      <c r="F495" s="4"/>
      <c r="G495" s="4"/>
      <c r="H495" s="4"/>
      <c r="I495" s="4"/>
      <c r="J495" s="4"/>
      <c r="K495" s="242"/>
      <c r="L495" s="4"/>
      <c r="M495" s="4"/>
      <c r="N495" s="4"/>
      <c r="O495" s="4"/>
      <c r="P495" s="4"/>
      <c r="Q495" s="4"/>
      <c r="R495" s="4"/>
      <c r="S495" s="4"/>
      <c r="T495" s="4"/>
      <c r="U495" s="4"/>
      <c r="V495" s="4"/>
      <c r="W495" s="4"/>
      <c r="X495" s="4"/>
      <c r="Y495" s="4"/>
      <c r="Z495" s="4"/>
      <c r="AA495" s="4"/>
      <c r="AB495" s="4"/>
      <c r="AC495" s="4"/>
      <c r="AD495" s="4"/>
      <c r="AE495" s="4"/>
      <c r="AF495" s="4"/>
      <c r="AG495" s="4"/>
      <c r="AH495" s="4"/>
      <c r="AI495" s="4"/>
      <c r="AJ495" s="4"/>
      <c r="AK495" s="4"/>
      <c r="AL495" s="4"/>
      <c r="AM495" s="4"/>
      <c r="AN495" s="4"/>
      <c r="AO495" s="4"/>
      <c r="AP495" s="4"/>
      <c r="AQ495" s="4"/>
      <c r="AR495" s="4"/>
      <c r="AS495" s="4"/>
      <c r="AT495" s="4"/>
      <c r="AU495" s="4"/>
      <c r="AV495" s="4"/>
      <c r="AW495" s="4"/>
      <c r="AX495" s="4"/>
      <c r="AY495" s="4"/>
      <c r="AZ495" s="4"/>
      <c r="BA495" s="4"/>
      <c r="BB495" s="4"/>
      <c r="BC495" s="4"/>
      <c r="BD495" s="4"/>
      <c r="BE495" s="4"/>
      <c r="BF495" s="4"/>
      <c r="BG495" s="4"/>
      <c r="BH495" s="4"/>
      <c r="BI495" s="4"/>
      <c r="BJ495" s="4"/>
      <c r="BK495" s="4"/>
      <c r="BL495" s="4"/>
      <c r="BM495" s="4"/>
      <c r="BN495" s="4"/>
      <c r="BO495" s="4"/>
      <c r="BP495" s="4"/>
      <c r="BQ495" s="4"/>
      <c r="BR495" s="4"/>
      <c r="BS495" s="4"/>
      <c r="BT495" s="4"/>
      <c r="BU495" s="4"/>
      <c r="BV495" s="4"/>
      <c r="BW495" s="4"/>
      <c r="BX495" s="4"/>
      <c r="BY495" s="4"/>
      <c r="BZ495" s="4"/>
      <c r="CA495" s="4"/>
      <c r="CB495" s="4"/>
      <c r="CC495" s="4"/>
      <c r="CD495" s="4"/>
      <c r="CE495" s="4"/>
      <c r="CF495" s="4"/>
      <c r="CG495" s="4"/>
      <c r="CH495" s="4"/>
      <c r="CI495" s="4"/>
    </row>
    <row r="496" ht="14.25" customHeight="1" spans="1:87" x14ac:dyDescent="0.25">
      <c r="A496" s="4"/>
      <c r="B496" s="4"/>
      <c r="C496" s="4"/>
      <c r="D496" s="4"/>
      <c r="E496" s="4"/>
      <c r="F496" s="4"/>
      <c r="G496" s="4"/>
      <c r="H496" s="4"/>
      <c r="I496" s="4"/>
      <c r="J496" s="4"/>
      <c r="K496" s="242"/>
      <c r="L496" s="4"/>
      <c r="M496" s="4"/>
      <c r="N496" s="4"/>
      <c r="O496" s="4"/>
      <c r="P496" s="4"/>
      <c r="Q496" s="4"/>
      <c r="R496" s="4"/>
      <c r="S496" s="4"/>
      <c r="T496" s="4"/>
      <c r="U496" s="4"/>
      <c r="V496" s="4"/>
      <c r="W496" s="4"/>
      <c r="X496" s="4"/>
      <c r="Y496" s="4"/>
      <c r="Z496" s="4"/>
      <c r="AA496" s="4"/>
      <c r="AB496" s="4"/>
      <c r="AC496" s="4"/>
      <c r="AD496" s="4"/>
      <c r="AE496" s="4"/>
      <c r="AF496" s="4"/>
      <c r="AG496" s="4"/>
      <c r="AH496" s="4"/>
      <c r="AI496" s="4"/>
      <c r="AJ496" s="4"/>
      <c r="AK496" s="4"/>
      <c r="AL496" s="4"/>
      <c r="AM496" s="4"/>
      <c r="AN496" s="4"/>
      <c r="AO496" s="4"/>
      <c r="AP496" s="4"/>
      <c r="AQ496" s="4"/>
      <c r="AR496" s="4"/>
      <c r="AS496" s="4"/>
      <c r="AT496" s="4"/>
      <c r="AU496" s="4"/>
      <c r="AV496" s="4"/>
      <c r="AW496" s="4"/>
      <c r="AX496" s="4"/>
      <c r="AY496" s="4"/>
      <c r="AZ496" s="4"/>
      <c r="BA496" s="4"/>
      <c r="BB496" s="4"/>
      <c r="BC496" s="4"/>
      <c r="BD496" s="4"/>
      <c r="BE496" s="4"/>
      <c r="BF496" s="4"/>
      <c r="BG496" s="4"/>
      <c r="BH496" s="4"/>
      <c r="BI496" s="4"/>
      <c r="BJ496" s="4"/>
      <c r="BK496" s="4"/>
      <c r="BL496" s="4"/>
      <c r="BM496" s="4"/>
      <c r="BN496" s="4"/>
      <c r="BO496" s="4"/>
      <c r="BP496" s="4"/>
      <c r="BQ496" s="4"/>
      <c r="BR496" s="4"/>
      <c r="BS496" s="4"/>
      <c r="BT496" s="4"/>
      <c r="BU496" s="4"/>
      <c r="BV496" s="4"/>
      <c r="BW496" s="4"/>
      <c r="BX496" s="4"/>
      <c r="BY496" s="4"/>
      <c r="BZ496" s="4"/>
      <c r="CA496" s="4"/>
      <c r="CB496" s="4"/>
      <c r="CC496" s="4"/>
      <c r="CD496" s="4"/>
      <c r="CE496" s="4"/>
      <c r="CF496" s="4"/>
      <c r="CG496" s="4"/>
      <c r="CH496" s="4"/>
      <c r="CI496" s="4"/>
    </row>
    <row r="497" ht="14.25" customHeight="1" spans="1:87" x14ac:dyDescent="0.25">
      <c r="A497" s="4"/>
      <c r="B497" s="4"/>
      <c r="C497" s="4"/>
      <c r="D497" s="4"/>
      <c r="E497" s="4"/>
      <c r="F497" s="4"/>
      <c r="G497" s="4"/>
      <c r="H497" s="4"/>
      <c r="I497" s="4"/>
      <c r="J497" s="4"/>
      <c r="K497" s="242"/>
      <c r="L497" s="4"/>
      <c r="M497" s="4"/>
      <c r="N497" s="4"/>
      <c r="O497" s="4"/>
      <c r="P497" s="4"/>
      <c r="Q497" s="4"/>
      <c r="R497" s="4"/>
      <c r="S497" s="4"/>
      <c r="T497" s="4"/>
      <c r="U497" s="4"/>
      <c r="V497" s="4"/>
      <c r="W497" s="4"/>
      <c r="X497" s="4"/>
      <c r="Y497" s="4"/>
      <c r="Z497" s="4"/>
      <c r="AA497" s="4"/>
      <c r="AB497" s="4"/>
      <c r="AC497" s="4"/>
      <c r="AD497" s="4"/>
      <c r="AE497" s="4"/>
      <c r="AF497" s="4"/>
      <c r="AG497" s="4"/>
      <c r="AH497" s="4"/>
      <c r="AI497" s="4"/>
      <c r="AJ497" s="4"/>
      <c r="AK497" s="4"/>
      <c r="AL497" s="4"/>
      <c r="AM497" s="4"/>
      <c r="AN497" s="4"/>
      <c r="AO497" s="4"/>
      <c r="AP497" s="4"/>
      <c r="AQ497" s="4"/>
      <c r="AR497" s="4"/>
      <c r="AS497" s="4"/>
      <c r="AT497" s="4"/>
      <c r="AU497" s="4"/>
      <c r="AV497" s="4"/>
      <c r="AW497" s="4"/>
      <c r="AX497" s="4"/>
      <c r="AY497" s="4"/>
      <c r="AZ497" s="4"/>
      <c r="BA497" s="4"/>
      <c r="BB497" s="4"/>
      <c r="BC497" s="4"/>
      <c r="BD497" s="4"/>
      <c r="BE497" s="4"/>
      <c r="BF497" s="4"/>
      <c r="BG497" s="4"/>
      <c r="BH497" s="4"/>
      <c r="BI497" s="4"/>
      <c r="BJ497" s="4"/>
      <c r="BK497" s="4"/>
      <c r="BL497" s="4"/>
      <c r="BM497" s="4"/>
      <c r="BN497" s="4"/>
      <c r="BO497" s="4"/>
      <c r="BP497" s="4"/>
      <c r="BQ497" s="4"/>
      <c r="BR497" s="4"/>
      <c r="BS497" s="4"/>
      <c r="BT497" s="4"/>
      <c r="BU497" s="4"/>
      <c r="BV497" s="4"/>
      <c r="BW497" s="4"/>
      <c r="BX497" s="4"/>
      <c r="BY497" s="4"/>
      <c r="BZ497" s="4"/>
      <c r="CA497" s="4"/>
      <c r="CB497" s="4"/>
      <c r="CC497" s="4"/>
      <c r="CD497" s="4"/>
      <c r="CE497" s="4"/>
      <c r="CF497" s="4"/>
      <c r="CG497" s="4"/>
      <c r="CH497" s="4"/>
      <c r="CI497" s="4"/>
    </row>
    <row r="498" ht="14.25" customHeight="1" spans="1:87" x14ac:dyDescent="0.25">
      <c r="A498" s="4"/>
      <c r="B498" s="4"/>
      <c r="C498" s="4"/>
      <c r="D498" s="4"/>
      <c r="E498" s="4"/>
      <c r="F498" s="4"/>
      <c r="G498" s="4"/>
      <c r="H498" s="4"/>
      <c r="I498" s="4"/>
      <c r="J498" s="4"/>
      <c r="K498" s="242"/>
      <c r="L498" s="4"/>
      <c r="M498" s="4"/>
      <c r="N498" s="4"/>
      <c r="O498" s="4"/>
      <c r="P498" s="4"/>
      <c r="Q498" s="4"/>
      <c r="R498" s="4"/>
      <c r="S498" s="4"/>
      <c r="T498" s="4"/>
      <c r="U498" s="4"/>
      <c r="V498" s="4"/>
      <c r="W498" s="4"/>
      <c r="X498" s="4"/>
      <c r="Y498" s="4"/>
      <c r="Z498" s="4"/>
      <c r="AA498" s="4"/>
      <c r="AB498" s="4"/>
      <c r="AC498" s="4"/>
      <c r="AD498" s="4"/>
      <c r="AE498" s="4"/>
      <c r="AF498" s="4"/>
      <c r="AG498" s="4"/>
      <c r="AH498" s="4"/>
      <c r="AI498" s="4"/>
      <c r="AJ498" s="4"/>
      <c r="AK498" s="4"/>
      <c r="AL498" s="4"/>
      <c r="AM498" s="4"/>
      <c r="AN498" s="4"/>
      <c r="AO498" s="4"/>
      <c r="AP498" s="4"/>
      <c r="AQ498" s="4"/>
      <c r="AR498" s="4"/>
      <c r="AS498" s="4"/>
      <c r="AT498" s="4"/>
      <c r="AU498" s="4"/>
      <c r="AV498" s="4"/>
      <c r="AW498" s="4"/>
      <c r="AX498" s="4"/>
      <c r="AY498" s="4"/>
      <c r="AZ498" s="4"/>
      <c r="BA498" s="4"/>
      <c r="BB498" s="4"/>
      <c r="BC498" s="4"/>
      <c r="BD498" s="4"/>
      <c r="BE498" s="4"/>
      <c r="BF498" s="4"/>
      <c r="BG498" s="4"/>
      <c r="BH498" s="4"/>
      <c r="BI498" s="4"/>
      <c r="BJ498" s="4"/>
      <c r="BK498" s="4"/>
      <c r="BL498" s="4"/>
      <c r="BM498" s="4"/>
      <c r="BN498" s="4"/>
      <c r="BO498" s="4"/>
      <c r="BP498" s="4"/>
      <c r="BQ498" s="4"/>
      <c r="BR498" s="4"/>
      <c r="BS498" s="4"/>
      <c r="BT498" s="4"/>
      <c r="BU498" s="4"/>
      <c r="BV498" s="4"/>
      <c r="BW498" s="4"/>
      <c r="BX498" s="4"/>
      <c r="BY498" s="4"/>
      <c r="BZ498" s="4"/>
      <c r="CA498" s="4"/>
      <c r="CB498" s="4"/>
      <c r="CC498" s="4"/>
      <c r="CD498" s="4"/>
      <c r="CE498" s="4"/>
      <c r="CF498" s="4"/>
      <c r="CG498" s="4"/>
      <c r="CH498" s="4"/>
      <c r="CI498" s="4"/>
    </row>
    <row r="499" ht="14.25" customHeight="1" spans="1:87" x14ac:dyDescent="0.25">
      <c r="A499" s="4"/>
      <c r="B499" s="4"/>
      <c r="C499" s="4"/>
      <c r="D499" s="4"/>
      <c r="E499" s="4"/>
      <c r="F499" s="4"/>
      <c r="G499" s="4"/>
      <c r="H499" s="4"/>
      <c r="I499" s="4"/>
      <c r="J499" s="4"/>
      <c r="K499" s="242"/>
      <c r="L499" s="4"/>
      <c r="M499" s="4"/>
      <c r="N499" s="4"/>
      <c r="O499" s="4"/>
      <c r="P499" s="4"/>
      <c r="Q499" s="4"/>
      <c r="R499" s="4"/>
      <c r="S499" s="4"/>
      <c r="T499" s="4"/>
      <c r="U499" s="4"/>
      <c r="V499" s="4"/>
      <c r="W499" s="4"/>
      <c r="X499" s="4"/>
      <c r="Y499" s="4"/>
      <c r="Z499" s="4"/>
      <c r="AA499" s="4"/>
      <c r="AB499" s="4"/>
      <c r="AC499" s="4"/>
      <c r="AD499" s="4"/>
      <c r="AE499" s="4"/>
      <c r="AF499" s="4"/>
      <c r="AG499" s="4"/>
      <c r="AH499" s="4"/>
      <c r="AI499" s="4"/>
      <c r="AJ499" s="4"/>
      <c r="AK499" s="4"/>
      <c r="AL499" s="4"/>
      <c r="AM499" s="4"/>
      <c r="AN499" s="4"/>
      <c r="AO499" s="4"/>
      <c r="AP499" s="4"/>
      <c r="AQ499" s="4"/>
      <c r="AR499" s="4"/>
      <c r="AS499" s="4"/>
      <c r="AT499" s="4"/>
      <c r="AU499" s="4"/>
      <c r="AV499" s="4"/>
      <c r="AW499" s="4"/>
      <c r="AX499" s="4"/>
      <c r="AY499" s="4"/>
      <c r="AZ499" s="4"/>
      <c r="BA499" s="4"/>
      <c r="BB499" s="4"/>
      <c r="BC499" s="4"/>
      <c r="BD499" s="4"/>
      <c r="BE499" s="4"/>
      <c r="BF499" s="4"/>
      <c r="BG499" s="4"/>
      <c r="BH499" s="4"/>
      <c r="BI499" s="4"/>
      <c r="BJ499" s="4"/>
      <c r="BK499" s="4"/>
      <c r="BL499" s="4"/>
      <c r="BM499" s="4"/>
      <c r="BN499" s="4"/>
      <c r="BO499" s="4"/>
      <c r="BP499" s="4"/>
      <c r="BQ499" s="4"/>
      <c r="BR499" s="4"/>
      <c r="BS499" s="4"/>
      <c r="BT499" s="4"/>
      <c r="BU499" s="4"/>
      <c r="BV499" s="4"/>
      <c r="BW499" s="4"/>
      <c r="BX499" s="4"/>
      <c r="BY499" s="4"/>
      <c r="BZ499" s="4"/>
      <c r="CA499" s="4"/>
      <c r="CB499" s="4"/>
      <c r="CC499" s="4"/>
      <c r="CD499" s="4"/>
      <c r="CE499" s="4"/>
      <c r="CF499" s="4"/>
      <c r="CG499" s="4"/>
      <c r="CH499" s="4"/>
      <c r="CI499" s="4"/>
    </row>
    <row r="500" ht="14.25" customHeight="1" spans="1:87" x14ac:dyDescent="0.25">
      <c r="A500" s="4"/>
      <c r="B500" s="4"/>
      <c r="C500" s="4"/>
      <c r="D500" s="4"/>
      <c r="E500" s="4"/>
      <c r="F500" s="4"/>
      <c r="G500" s="4"/>
      <c r="H500" s="4"/>
      <c r="I500" s="4"/>
      <c r="J500" s="4"/>
      <c r="K500" s="242"/>
      <c r="L500" s="4"/>
      <c r="M500" s="4"/>
      <c r="N500" s="4"/>
      <c r="O500" s="4"/>
      <c r="P500" s="4"/>
      <c r="Q500" s="4"/>
      <c r="R500" s="4"/>
      <c r="S500" s="4"/>
      <c r="T500" s="4"/>
      <c r="U500" s="4"/>
      <c r="V500" s="4"/>
      <c r="W500" s="4"/>
      <c r="X500" s="4"/>
      <c r="Y500" s="4"/>
      <c r="Z500" s="4"/>
      <c r="AA500" s="4"/>
      <c r="AB500" s="4"/>
      <c r="AC500" s="4"/>
      <c r="AD500" s="4"/>
      <c r="AE500" s="4"/>
      <c r="AF500" s="4"/>
      <c r="AG500" s="4"/>
      <c r="AH500" s="4"/>
      <c r="AI500" s="4"/>
      <c r="AJ500" s="4"/>
      <c r="AK500" s="4"/>
      <c r="AL500" s="4"/>
      <c r="AM500" s="4"/>
      <c r="AN500" s="4"/>
      <c r="AO500" s="4"/>
      <c r="AP500" s="4"/>
      <c r="AQ500" s="4"/>
      <c r="AR500" s="4"/>
      <c r="AS500" s="4"/>
      <c r="AT500" s="4"/>
      <c r="AU500" s="4"/>
      <c r="AV500" s="4"/>
      <c r="AW500" s="4"/>
      <c r="AX500" s="4"/>
      <c r="AY500" s="4"/>
      <c r="AZ500" s="4"/>
      <c r="BA500" s="4"/>
      <c r="BB500" s="4"/>
      <c r="BC500" s="4"/>
      <c r="BD500" s="4"/>
      <c r="BE500" s="4"/>
      <c r="BF500" s="4"/>
      <c r="BG500" s="4"/>
      <c r="BH500" s="4"/>
      <c r="BI500" s="4"/>
      <c r="BJ500" s="4"/>
      <c r="BK500" s="4"/>
      <c r="BL500" s="4"/>
      <c r="BM500" s="4"/>
      <c r="BN500" s="4"/>
      <c r="BO500" s="4"/>
      <c r="BP500" s="4"/>
      <c r="BQ500" s="4"/>
      <c r="BR500" s="4"/>
      <c r="BS500" s="4"/>
      <c r="BT500" s="4"/>
      <c r="BU500" s="4"/>
      <c r="BV500" s="4"/>
      <c r="BW500" s="4"/>
      <c r="BX500" s="4"/>
      <c r="BY500" s="4"/>
      <c r="BZ500" s="4"/>
      <c r="CA500" s="4"/>
      <c r="CB500" s="4"/>
      <c r="CC500" s="4"/>
      <c r="CD500" s="4"/>
      <c r="CE500" s="4"/>
      <c r="CF500" s="4"/>
      <c r="CG500" s="4"/>
      <c r="CH500" s="4"/>
      <c r="CI500" s="4"/>
    </row>
    <row r="501" ht="14.25" customHeight="1" spans="1:87" x14ac:dyDescent="0.25">
      <c r="A501" s="4"/>
      <c r="B501" s="4"/>
      <c r="C501" s="4"/>
      <c r="D501" s="4"/>
      <c r="E501" s="4"/>
      <c r="F501" s="4"/>
      <c r="G501" s="4"/>
      <c r="H501" s="4"/>
      <c r="I501" s="4"/>
      <c r="J501" s="4"/>
      <c r="K501" s="242"/>
      <c r="L501" s="4"/>
      <c r="M501" s="4"/>
      <c r="N501" s="4"/>
      <c r="O501" s="4"/>
      <c r="P501" s="4"/>
      <c r="Q501" s="4"/>
      <c r="R501" s="4"/>
      <c r="S501" s="4"/>
      <c r="T501" s="4"/>
      <c r="U501" s="4"/>
      <c r="V501" s="4"/>
      <c r="W501" s="4"/>
      <c r="X501" s="4"/>
      <c r="Y501" s="4"/>
      <c r="Z501" s="4"/>
      <c r="AA501" s="4"/>
      <c r="AB501" s="4"/>
      <c r="AC501" s="4"/>
      <c r="AD501" s="4"/>
      <c r="AE501" s="4"/>
      <c r="AF501" s="4"/>
      <c r="AG501" s="4"/>
      <c r="AH501" s="4"/>
      <c r="AI501" s="4"/>
      <c r="AJ501" s="4"/>
      <c r="AK501" s="4"/>
      <c r="AL501" s="4"/>
      <c r="AM501" s="4"/>
      <c r="AN501" s="4"/>
      <c r="AO501" s="4"/>
      <c r="AP501" s="4"/>
      <c r="AQ501" s="4"/>
      <c r="AR501" s="4"/>
      <c r="AS501" s="4"/>
      <c r="AT501" s="4"/>
      <c r="AU501" s="4"/>
      <c r="AV501" s="4"/>
      <c r="AW501" s="4"/>
      <c r="AX501" s="4"/>
      <c r="AY501" s="4"/>
      <c r="AZ501" s="4"/>
      <c r="BA501" s="4"/>
      <c r="BB501" s="4"/>
      <c r="BC501" s="4"/>
      <c r="BD501" s="4"/>
      <c r="BE501" s="4"/>
      <c r="BF501" s="4"/>
      <c r="BG501" s="4"/>
      <c r="BH501" s="4"/>
      <c r="BI501" s="4"/>
      <c r="BJ501" s="4"/>
      <c r="BK501" s="4"/>
      <c r="BL501" s="4"/>
      <c r="BM501" s="4"/>
      <c r="BN501" s="4"/>
      <c r="BO501" s="4"/>
      <c r="BP501" s="4"/>
      <c r="BQ501" s="4"/>
      <c r="BR501" s="4"/>
      <c r="BS501" s="4"/>
      <c r="BT501" s="4"/>
      <c r="BU501" s="4"/>
      <c r="BV501" s="4"/>
      <c r="BW501" s="4"/>
      <c r="BX501" s="4"/>
      <c r="BY501" s="4"/>
      <c r="BZ501" s="4"/>
      <c r="CA501" s="4"/>
      <c r="CB501" s="4"/>
      <c r="CC501" s="4"/>
      <c r="CD501" s="4"/>
      <c r="CE501" s="4"/>
      <c r="CF501" s="4"/>
      <c r="CG501" s="4"/>
      <c r="CH501" s="4"/>
      <c r="CI501" s="4"/>
    </row>
    <row r="502" ht="14.25" customHeight="1" spans="1:87" x14ac:dyDescent="0.25">
      <c r="A502" s="4"/>
      <c r="B502" s="4"/>
      <c r="C502" s="4"/>
      <c r="D502" s="4"/>
      <c r="E502" s="4"/>
      <c r="F502" s="4"/>
      <c r="G502" s="4"/>
      <c r="H502" s="4"/>
      <c r="I502" s="4"/>
      <c r="J502" s="4"/>
      <c r="K502" s="242"/>
      <c r="L502" s="4"/>
      <c r="M502" s="4"/>
      <c r="N502" s="4"/>
      <c r="O502" s="4"/>
      <c r="P502" s="4"/>
      <c r="Q502" s="4"/>
      <c r="R502" s="4"/>
      <c r="S502" s="4"/>
      <c r="T502" s="4"/>
      <c r="U502" s="4"/>
      <c r="V502" s="4"/>
      <c r="W502" s="4"/>
      <c r="X502" s="4"/>
      <c r="Y502" s="4"/>
      <c r="Z502" s="4"/>
      <c r="AA502" s="4"/>
      <c r="AB502" s="4"/>
      <c r="AC502" s="4"/>
      <c r="AD502" s="4"/>
      <c r="AE502" s="4"/>
      <c r="AF502" s="4"/>
      <c r="AG502" s="4"/>
      <c r="AH502" s="4"/>
      <c r="AI502" s="4"/>
      <c r="AJ502" s="4"/>
      <c r="AK502" s="4"/>
      <c r="AL502" s="4"/>
      <c r="AM502" s="4"/>
      <c r="AN502" s="4"/>
      <c r="AO502" s="4"/>
      <c r="AP502" s="4"/>
      <c r="AQ502" s="4"/>
      <c r="AR502" s="4"/>
      <c r="AS502" s="4"/>
      <c r="AT502" s="4"/>
      <c r="AU502" s="4"/>
      <c r="AV502" s="4"/>
      <c r="AW502" s="4"/>
      <c r="AX502" s="4"/>
      <c r="AY502" s="4"/>
      <c r="AZ502" s="4"/>
      <c r="BA502" s="4"/>
      <c r="BB502" s="4"/>
      <c r="BC502" s="4"/>
      <c r="BD502" s="4"/>
      <c r="BE502" s="4"/>
      <c r="BF502" s="4"/>
      <c r="BG502" s="4"/>
      <c r="BH502" s="4"/>
      <c r="BI502" s="4"/>
      <c r="BJ502" s="4"/>
      <c r="BK502" s="4"/>
      <c r="BL502" s="4"/>
      <c r="BM502" s="4"/>
      <c r="BN502" s="4"/>
      <c r="BO502" s="4"/>
      <c r="BP502" s="4"/>
      <c r="BQ502" s="4"/>
      <c r="BR502" s="4"/>
      <c r="BS502" s="4"/>
      <c r="BT502" s="4"/>
      <c r="BU502" s="4"/>
      <c r="BV502" s="4"/>
      <c r="BW502" s="4"/>
      <c r="BX502" s="4"/>
      <c r="BY502" s="4"/>
      <c r="BZ502" s="4"/>
      <c r="CA502" s="4"/>
      <c r="CB502" s="4"/>
      <c r="CC502" s="4"/>
      <c r="CD502" s="4"/>
      <c r="CE502" s="4"/>
      <c r="CF502" s="4"/>
      <c r="CG502" s="4"/>
      <c r="CH502" s="4"/>
      <c r="CI502" s="4"/>
    </row>
    <row r="503" ht="14.25" customHeight="1" spans="1:87" x14ac:dyDescent="0.25">
      <c r="A503" s="4"/>
      <c r="B503" s="4"/>
      <c r="C503" s="4"/>
      <c r="D503" s="4"/>
      <c r="E503" s="4"/>
      <c r="F503" s="4"/>
      <c r="G503" s="4"/>
      <c r="H503" s="4"/>
      <c r="I503" s="4"/>
      <c r="J503" s="4"/>
      <c r="K503" s="242"/>
      <c r="L503" s="4"/>
      <c r="M503" s="4"/>
      <c r="N503" s="4"/>
      <c r="O503" s="4"/>
      <c r="P503" s="4"/>
      <c r="Q503" s="4"/>
      <c r="R503" s="4"/>
      <c r="S503" s="4"/>
      <c r="T503" s="4"/>
      <c r="U503" s="4"/>
      <c r="V503" s="4"/>
      <c r="W503" s="4"/>
      <c r="X503" s="4"/>
      <c r="Y503" s="4"/>
      <c r="Z503" s="4"/>
      <c r="AA503" s="4"/>
      <c r="AB503" s="4"/>
      <c r="AC503" s="4"/>
      <c r="AD503" s="4"/>
      <c r="AE503" s="4"/>
      <c r="AF503" s="4"/>
      <c r="AG503" s="4"/>
      <c r="AH503" s="4"/>
      <c r="AI503" s="4"/>
      <c r="AJ503" s="4"/>
      <c r="AK503" s="4"/>
      <c r="AL503" s="4"/>
      <c r="AM503" s="4"/>
      <c r="AN503" s="4"/>
      <c r="AO503" s="4"/>
      <c r="AP503" s="4"/>
      <c r="AQ503" s="4"/>
      <c r="AR503" s="4"/>
      <c r="AS503" s="4"/>
      <c r="AT503" s="4"/>
      <c r="AU503" s="4"/>
      <c r="AV503" s="4"/>
      <c r="AW503" s="4"/>
      <c r="AX503" s="4"/>
      <c r="AY503" s="4"/>
      <c r="AZ503" s="4"/>
      <c r="BA503" s="4"/>
      <c r="BB503" s="4"/>
      <c r="BC503" s="4"/>
      <c r="BD503" s="4"/>
      <c r="BE503" s="4"/>
      <c r="BF503" s="4"/>
      <c r="BG503" s="4"/>
      <c r="BH503" s="4"/>
      <c r="BI503" s="4"/>
      <c r="BJ503" s="4"/>
      <c r="BK503" s="4"/>
      <c r="BL503" s="4"/>
      <c r="BM503" s="4"/>
      <c r="BN503" s="4"/>
      <c r="BO503" s="4"/>
      <c r="BP503" s="4"/>
      <c r="BQ503" s="4"/>
      <c r="BR503" s="4"/>
      <c r="BS503" s="4"/>
      <c r="BT503" s="4"/>
      <c r="BU503" s="4"/>
      <c r="BV503" s="4"/>
      <c r="BW503" s="4"/>
      <c r="BX503" s="4"/>
      <c r="BY503" s="4"/>
      <c r="BZ503" s="4"/>
      <c r="CA503" s="4"/>
      <c r="CB503" s="4"/>
      <c r="CC503" s="4"/>
      <c r="CD503" s="4"/>
      <c r="CE503" s="4"/>
      <c r="CF503" s="4"/>
      <c r="CG503" s="4"/>
      <c r="CH503" s="4"/>
      <c r="CI503" s="4"/>
    </row>
    <row r="504" ht="14.25" customHeight="1" spans="1:87" x14ac:dyDescent="0.25">
      <c r="A504" s="4"/>
      <c r="B504" s="4"/>
      <c r="C504" s="4"/>
      <c r="D504" s="4"/>
      <c r="E504" s="4"/>
      <c r="F504" s="4"/>
      <c r="G504" s="4"/>
      <c r="H504" s="4"/>
      <c r="I504" s="4"/>
      <c r="J504" s="4"/>
      <c r="K504" s="242"/>
      <c r="L504" s="4"/>
      <c r="M504" s="4"/>
      <c r="N504" s="4"/>
      <c r="O504" s="4"/>
      <c r="P504" s="4"/>
      <c r="Q504" s="4"/>
      <c r="R504" s="4"/>
      <c r="S504" s="4"/>
      <c r="T504" s="4"/>
      <c r="U504" s="4"/>
      <c r="V504" s="4"/>
      <c r="W504" s="4"/>
      <c r="X504" s="4"/>
      <c r="Y504" s="4"/>
      <c r="Z504" s="4"/>
      <c r="AA504" s="4"/>
      <c r="AB504" s="4"/>
      <c r="AC504" s="4"/>
      <c r="AD504" s="4"/>
      <c r="AE504" s="4"/>
      <c r="AF504" s="4"/>
      <c r="AG504" s="4"/>
      <c r="AH504" s="4"/>
      <c r="AI504" s="4"/>
      <c r="AJ504" s="4"/>
      <c r="AK504" s="4"/>
      <c r="AL504" s="4"/>
      <c r="AM504" s="4"/>
      <c r="AN504" s="4"/>
      <c r="AO504" s="4"/>
      <c r="AP504" s="4"/>
      <c r="AQ504" s="4"/>
      <c r="AR504" s="4"/>
      <c r="AS504" s="4"/>
      <c r="AT504" s="4"/>
      <c r="AU504" s="4"/>
      <c r="AV504" s="4"/>
      <c r="AW504" s="4"/>
      <c r="AX504" s="4"/>
      <c r="AY504" s="4"/>
      <c r="AZ504" s="4"/>
      <c r="BA504" s="4"/>
      <c r="BB504" s="4"/>
      <c r="BC504" s="4"/>
      <c r="BD504" s="4"/>
      <c r="BE504" s="4"/>
      <c r="BF504" s="4"/>
      <c r="BG504" s="4"/>
      <c r="BH504" s="4"/>
      <c r="BI504" s="4"/>
      <c r="BJ504" s="4"/>
      <c r="BK504" s="4"/>
      <c r="BL504" s="4"/>
      <c r="BM504" s="4"/>
      <c r="BN504" s="4"/>
      <c r="BO504" s="4"/>
      <c r="BP504" s="4"/>
      <c r="BQ504" s="4"/>
      <c r="BR504" s="4"/>
      <c r="BS504" s="4"/>
      <c r="BT504" s="4"/>
      <c r="BU504" s="4"/>
      <c r="BV504" s="4"/>
      <c r="BW504" s="4"/>
      <c r="BX504" s="4"/>
      <c r="BY504" s="4"/>
      <c r="BZ504" s="4"/>
      <c r="CA504" s="4"/>
      <c r="CB504" s="4"/>
      <c r="CC504" s="4"/>
      <c r="CD504" s="4"/>
      <c r="CE504" s="4"/>
      <c r="CF504" s="4"/>
      <c r="CG504" s="4"/>
      <c r="CH504" s="4"/>
      <c r="CI504" s="4"/>
    </row>
    <row r="505" ht="14.25" customHeight="1" spans="1:87" x14ac:dyDescent="0.25">
      <c r="A505" s="4"/>
      <c r="B505" s="4"/>
      <c r="C505" s="4"/>
      <c r="D505" s="4"/>
      <c r="E505" s="4"/>
      <c r="F505" s="4"/>
      <c r="G505" s="4"/>
      <c r="H505" s="4"/>
      <c r="I505" s="4"/>
      <c r="J505" s="4"/>
      <c r="K505" s="242"/>
      <c r="L505" s="4"/>
      <c r="M505" s="4"/>
      <c r="N505" s="4"/>
      <c r="O505" s="4"/>
      <c r="P505" s="4"/>
      <c r="Q505" s="4"/>
      <c r="R505" s="4"/>
      <c r="S505" s="4"/>
      <c r="T505" s="4"/>
      <c r="U505" s="4"/>
      <c r="V505" s="4"/>
      <c r="W505" s="4"/>
      <c r="X505" s="4"/>
      <c r="Y505" s="4"/>
      <c r="Z505" s="4"/>
      <c r="AA505" s="4"/>
      <c r="AB505" s="4"/>
      <c r="AC505" s="4"/>
      <c r="AD505" s="4"/>
      <c r="AE505" s="4"/>
      <c r="AF505" s="4"/>
      <c r="AG505" s="4"/>
      <c r="AH505" s="4"/>
      <c r="AI505" s="4"/>
      <c r="AJ505" s="4"/>
      <c r="AK505" s="4"/>
      <c r="AL505" s="4"/>
      <c r="AM505" s="4"/>
      <c r="AN505" s="4"/>
      <c r="AO505" s="4"/>
      <c r="AP505" s="4"/>
      <c r="AQ505" s="4"/>
      <c r="AR505" s="4"/>
      <c r="AS505" s="4"/>
      <c r="AT505" s="4"/>
      <c r="AU505" s="4"/>
      <c r="AV505" s="4"/>
      <c r="AW505" s="4"/>
      <c r="AX505" s="4"/>
      <c r="AY505" s="4"/>
      <c r="AZ505" s="4"/>
      <c r="BA505" s="4"/>
      <c r="BB505" s="4"/>
      <c r="BC505" s="4"/>
      <c r="BD505" s="4"/>
      <c r="BE505" s="4"/>
      <c r="BF505" s="4"/>
      <c r="BG505" s="4"/>
      <c r="BH505" s="4"/>
      <c r="BI505" s="4"/>
      <c r="BJ505" s="4"/>
      <c r="BK505" s="4"/>
      <c r="BL505" s="4"/>
      <c r="BM505" s="4"/>
      <c r="BN505" s="4"/>
      <c r="BO505" s="4"/>
      <c r="BP505" s="4"/>
      <c r="BQ505" s="4"/>
      <c r="BR505" s="4"/>
      <c r="BS505" s="4"/>
      <c r="BT505" s="4"/>
      <c r="BU505" s="4"/>
      <c r="BV505" s="4"/>
      <c r="BW505" s="4"/>
      <c r="BX505" s="4"/>
      <c r="BY505" s="4"/>
      <c r="BZ505" s="4"/>
      <c r="CA505" s="4"/>
      <c r="CB505" s="4"/>
      <c r="CC505" s="4"/>
      <c r="CD505" s="4"/>
      <c r="CE505" s="4"/>
      <c r="CF505" s="4"/>
      <c r="CG505" s="4"/>
      <c r="CH505" s="4"/>
      <c r="CI505" s="4"/>
    </row>
    <row r="506" ht="14.25" customHeight="1" spans="1:87" x14ac:dyDescent="0.25">
      <c r="A506" s="4"/>
      <c r="B506" s="4"/>
      <c r="C506" s="4"/>
      <c r="D506" s="4"/>
      <c r="E506" s="4"/>
      <c r="F506" s="4"/>
      <c r="G506" s="4"/>
      <c r="H506" s="4"/>
      <c r="I506" s="4"/>
      <c r="J506" s="4"/>
      <c r="K506" s="242"/>
      <c r="L506" s="4"/>
      <c r="M506" s="4"/>
      <c r="N506" s="4"/>
      <c r="O506" s="4"/>
      <c r="P506" s="4"/>
      <c r="Q506" s="4"/>
      <c r="R506" s="4"/>
      <c r="S506" s="4"/>
      <c r="T506" s="4"/>
      <c r="U506" s="4"/>
      <c r="V506" s="4"/>
      <c r="W506" s="4"/>
      <c r="X506" s="4"/>
      <c r="Y506" s="4"/>
      <c r="Z506" s="4"/>
      <c r="AA506" s="4"/>
      <c r="AB506" s="4"/>
      <c r="AC506" s="4"/>
      <c r="AD506" s="4"/>
      <c r="AE506" s="4"/>
      <c r="AF506" s="4"/>
      <c r="AG506" s="4"/>
      <c r="AH506" s="4"/>
      <c r="AI506" s="4"/>
      <c r="AJ506" s="4"/>
      <c r="AK506" s="4"/>
      <c r="AL506" s="4"/>
      <c r="AM506" s="4"/>
      <c r="AN506" s="4"/>
      <c r="AO506" s="4"/>
      <c r="AP506" s="4"/>
      <c r="AQ506" s="4"/>
      <c r="AR506" s="4"/>
      <c r="AS506" s="4"/>
      <c r="AT506" s="4"/>
      <c r="AU506" s="4"/>
      <c r="AV506" s="4"/>
      <c r="AW506" s="4"/>
      <c r="AX506" s="4"/>
      <c r="AY506" s="4"/>
      <c r="AZ506" s="4"/>
      <c r="BA506" s="4"/>
      <c r="BB506" s="4"/>
      <c r="BC506" s="4"/>
      <c r="BD506" s="4"/>
      <c r="BE506" s="4"/>
      <c r="BF506" s="4"/>
      <c r="BG506" s="4"/>
      <c r="BH506" s="4"/>
      <c r="BI506" s="4"/>
      <c r="BJ506" s="4"/>
      <c r="BK506" s="4"/>
      <c r="BL506" s="4"/>
      <c r="BM506" s="4"/>
      <c r="BN506" s="4"/>
      <c r="BO506" s="4"/>
      <c r="BP506" s="4"/>
      <c r="BQ506" s="4"/>
      <c r="BR506" s="4"/>
      <c r="BS506" s="4"/>
      <c r="BT506" s="4"/>
      <c r="BU506" s="4"/>
      <c r="BV506" s="4"/>
      <c r="BW506" s="4"/>
      <c r="BX506" s="4"/>
      <c r="BY506" s="4"/>
      <c r="BZ506" s="4"/>
      <c r="CA506" s="4"/>
      <c r="CB506" s="4"/>
      <c r="CC506" s="4"/>
      <c r="CD506" s="4"/>
      <c r="CE506" s="4"/>
      <c r="CF506" s="4"/>
      <c r="CG506" s="4"/>
      <c r="CH506" s="4"/>
      <c r="CI506" s="4"/>
    </row>
    <row r="507" ht="14.25" customHeight="1" spans="1:87" x14ac:dyDescent="0.25">
      <c r="A507" s="4"/>
      <c r="B507" s="4"/>
      <c r="C507" s="4"/>
      <c r="D507" s="4"/>
      <c r="E507" s="4"/>
      <c r="F507" s="4"/>
      <c r="G507" s="4"/>
      <c r="H507" s="4"/>
      <c r="I507" s="4"/>
      <c r="J507" s="4"/>
      <c r="K507" s="242"/>
      <c r="L507" s="4"/>
      <c r="M507" s="4"/>
      <c r="N507" s="4"/>
      <c r="O507" s="4"/>
      <c r="P507" s="4"/>
      <c r="Q507" s="4"/>
      <c r="R507" s="4"/>
      <c r="S507" s="4"/>
      <c r="T507" s="4"/>
      <c r="U507" s="4"/>
      <c r="V507" s="4"/>
      <c r="W507" s="4"/>
      <c r="X507" s="4"/>
      <c r="Y507" s="4"/>
      <c r="Z507" s="4"/>
      <c r="AA507" s="4"/>
      <c r="AB507" s="4"/>
      <c r="AC507" s="4"/>
      <c r="AD507" s="4"/>
      <c r="AE507" s="4"/>
      <c r="AF507" s="4"/>
      <c r="AG507" s="4"/>
      <c r="AH507" s="4"/>
      <c r="AI507" s="4"/>
      <c r="AJ507" s="4"/>
      <c r="AK507" s="4"/>
      <c r="AL507" s="4"/>
      <c r="AM507" s="4"/>
      <c r="AN507" s="4"/>
      <c r="AO507" s="4"/>
      <c r="AP507" s="4"/>
      <c r="AQ507" s="4"/>
      <c r="AR507" s="4"/>
      <c r="AS507" s="4"/>
      <c r="AT507" s="4"/>
      <c r="AU507" s="4"/>
      <c r="AV507" s="4"/>
      <c r="AW507" s="4"/>
      <c r="AX507" s="4"/>
      <c r="AY507" s="4"/>
      <c r="AZ507" s="4"/>
      <c r="BA507" s="4"/>
      <c r="BB507" s="4"/>
      <c r="BC507" s="4"/>
      <c r="BD507" s="4"/>
      <c r="BE507" s="4"/>
      <c r="BF507" s="4"/>
      <c r="BG507" s="4"/>
      <c r="BH507" s="4"/>
      <c r="BI507" s="4"/>
      <c r="BJ507" s="4"/>
      <c r="BK507" s="4"/>
      <c r="BL507" s="4"/>
      <c r="BM507" s="4"/>
      <c r="BN507" s="4"/>
      <c r="BO507" s="4"/>
      <c r="BP507" s="4"/>
      <c r="BQ507" s="4"/>
      <c r="BR507" s="4"/>
      <c r="BS507" s="4"/>
      <c r="BT507" s="4"/>
      <c r="BU507" s="4"/>
      <c r="BV507" s="4"/>
      <c r="BW507" s="4"/>
      <c r="BX507" s="4"/>
      <c r="BY507" s="4"/>
      <c r="BZ507" s="4"/>
      <c r="CA507" s="4"/>
      <c r="CB507" s="4"/>
      <c r="CC507" s="4"/>
      <c r="CD507" s="4"/>
      <c r="CE507" s="4"/>
      <c r="CF507" s="4"/>
      <c r="CG507" s="4"/>
      <c r="CH507" s="4"/>
      <c r="CI507" s="4"/>
    </row>
    <row r="508" ht="14.25" customHeight="1" spans="1:87" x14ac:dyDescent="0.25">
      <c r="A508" s="4"/>
      <c r="B508" s="4"/>
      <c r="C508" s="4"/>
      <c r="D508" s="4"/>
      <c r="E508" s="4"/>
      <c r="F508" s="4"/>
      <c r="G508" s="4"/>
      <c r="H508" s="4"/>
      <c r="I508" s="4"/>
      <c r="J508" s="4"/>
      <c r="K508" s="242"/>
      <c r="L508" s="4"/>
      <c r="M508" s="4"/>
      <c r="N508" s="4"/>
      <c r="O508" s="4"/>
      <c r="P508" s="4"/>
      <c r="Q508" s="4"/>
      <c r="R508" s="4"/>
      <c r="S508" s="4"/>
      <c r="T508" s="4"/>
      <c r="U508" s="4"/>
      <c r="V508" s="4"/>
      <c r="W508" s="4"/>
      <c r="X508" s="4"/>
      <c r="Y508" s="4"/>
      <c r="Z508" s="4"/>
      <c r="AA508" s="4"/>
      <c r="AB508" s="4"/>
      <c r="AC508" s="4"/>
      <c r="AD508" s="4"/>
      <c r="AE508" s="4"/>
      <c r="AF508" s="4"/>
      <c r="AG508" s="4"/>
      <c r="AH508" s="4"/>
      <c r="AI508" s="4"/>
      <c r="AJ508" s="4"/>
      <c r="AK508" s="4"/>
      <c r="AL508" s="4"/>
      <c r="AM508" s="4"/>
      <c r="AN508" s="4"/>
      <c r="AO508" s="4"/>
      <c r="AP508" s="4"/>
      <c r="AQ508" s="4"/>
      <c r="AR508" s="4"/>
      <c r="AS508" s="4"/>
      <c r="AT508" s="4"/>
      <c r="AU508" s="4"/>
      <c r="AV508" s="4"/>
      <c r="AW508" s="4"/>
      <c r="AX508" s="4"/>
      <c r="AY508" s="4"/>
      <c r="AZ508" s="4"/>
      <c r="BA508" s="4"/>
      <c r="BB508" s="4"/>
      <c r="BC508" s="4"/>
      <c r="BD508" s="4"/>
      <c r="BE508" s="4"/>
      <c r="BF508" s="4"/>
      <c r="BG508" s="4"/>
      <c r="BH508" s="4"/>
      <c r="BI508" s="4"/>
      <c r="BJ508" s="4"/>
      <c r="BK508" s="4"/>
      <c r="BL508" s="4"/>
      <c r="BM508" s="4"/>
      <c r="BN508" s="4"/>
      <c r="BO508" s="4"/>
      <c r="BP508" s="4"/>
      <c r="BQ508" s="4"/>
      <c r="BR508" s="4"/>
      <c r="BS508" s="4"/>
      <c r="BT508" s="4"/>
      <c r="BU508" s="4"/>
      <c r="BV508" s="4"/>
      <c r="BW508" s="4"/>
      <c r="BX508" s="4"/>
      <c r="BY508" s="4"/>
      <c r="BZ508" s="4"/>
      <c r="CA508" s="4"/>
      <c r="CB508" s="4"/>
      <c r="CC508" s="4"/>
      <c r="CD508" s="4"/>
      <c r="CE508" s="4"/>
      <c r="CF508" s="4"/>
      <c r="CG508" s="4"/>
      <c r="CH508" s="4"/>
      <c r="CI508" s="4"/>
    </row>
    <row r="509" ht="14.25" customHeight="1" spans="1:87" x14ac:dyDescent="0.25">
      <c r="A509" s="4"/>
      <c r="B509" s="4"/>
      <c r="C509" s="4"/>
      <c r="D509" s="4"/>
      <c r="E509" s="4"/>
      <c r="F509" s="4"/>
      <c r="G509" s="4"/>
      <c r="H509" s="4"/>
      <c r="I509" s="4"/>
      <c r="J509" s="4"/>
      <c r="K509" s="242"/>
      <c r="L509" s="4"/>
      <c r="M509" s="4"/>
      <c r="N509" s="4"/>
      <c r="O509" s="4"/>
      <c r="P509" s="4"/>
      <c r="Q509" s="4"/>
      <c r="R509" s="4"/>
      <c r="S509" s="4"/>
      <c r="T509" s="4"/>
      <c r="U509" s="4"/>
      <c r="V509" s="4"/>
      <c r="W509" s="4"/>
      <c r="X509" s="4"/>
      <c r="Y509" s="4"/>
      <c r="Z509" s="4"/>
      <c r="AA509" s="4"/>
      <c r="AB509" s="4"/>
      <c r="AC509" s="4"/>
      <c r="AD509" s="4"/>
      <c r="AE509" s="4"/>
      <c r="AF509" s="4"/>
      <c r="AG509" s="4"/>
      <c r="AH509" s="4"/>
      <c r="AI509" s="4"/>
      <c r="AJ509" s="4"/>
      <c r="AK509" s="4"/>
      <c r="AL509" s="4"/>
      <c r="AM509" s="4"/>
      <c r="AN509" s="4"/>
      <c r="AO509" s="4"/>
      <c r="AP509" s="4"/>
      <c r="AQ509" s="4"/>
      <c r="AR509" s="4"/>
      <c r="AS509" s="4"/>
      <c r="AT509" s="4"/>
      <c r="AU509" s="4"/>
      <c r="AV509" s="4"/>
      <c r="AW509" s="4"/>
      <c r="AX509" s="4"/>
      <c r="AY509" s="4"/>
      <c r="AZ509" s="4"/>
      <c r="BA509" s="4"/>
      <c r="BB509" s="4"/>
      <c r="BC509" s="4"/>
      <c r="BD509" s="4"/>
      <c r="BE509" s="4"/>
      <c r="BF509" s="4"/>
      <c r="BG509" s="4"/>
      <c r="BH509" s="4"/>
      <c r="BI509" s="4"/>
      <c r="BJ509" s="4"/>
      <c r="BK509" s="4"/>
      <c r="BL509" s="4"/>
      <c r="BM509" s="4"/>
      <c r="BN509" s="4"/>
      <c r="BO509" s="4"/>
      <c r="BP509" s="4"/>
      <c r="BQ509" s="4"/>
      <c r="BR509" s="4"/>
      <c r="BS509" s="4"/>
      <c r="BT509" s="4"/>
      <c r="BU509" s="4"/>
      <c r="BV509" s="4"/>
      <c r="BW509" s="4"/>
      <c r="BX509" s="4"/>
      <c r="BY509" s="4"/>
      <c r="BZ509" s="4"/>
      <c r="CA509" s="4"/>
      <c r="CB509" s="4"/>
      <c r="CC509" s="4"/>
      <c r="CD509" s="4"/>
      <c r="CE509" s="4"/>
      <c r="CF509" s="4"/>
      <c r="CG509" s="4"/>
      <c r="CH509" s="4"/>
      <c r="CI509" s="4"/>
    </row>
    <row r="510" ht="14.25" customHeight="1" spans="1:87" x14ac:dyDescent="0.25">
      <c r="A510" s="4"/>
      <c r="B510" s="4"/>
      <c r="C510" s="4"/>
      <c r="D510" s="4"/>
      <c r="E510" s="4"/>
      <c r="F510" s="4"/>
      <c r="G510" s="4"/>
      <c r="H510" s="4"/>
      <c r="I510" s="4"/>
      <c r="J510" s="4"/>
      <c r="K510" s="242"/>
      <c r="L510" s="4"/>
      <c r="M510" s="4"/>
      <c r="N510" s="4"/>
      <c r="O510" s="4"/>
      <c r="P510" s="4"/>
      <c r="Q510" s="4"/>
      <c r="R510" s="4"/>
      <c r="S510" s="4"/>
      <c r="T510" s="4"/>
      <c r="U510" s="4"/>
      <c r="V510" s="4"/>
      <c r="W510" s="4"/>
      <c r="X510" s="4"/>
      <c r="Y510" s="4"/>
      <c r="Z510" s="4"/>
      <c r="AA510" s="4"/>
      <c r="AB510" s="4"/>
      <c r="AC510" s="4"/>
      <c r="AD510" s="4"/>
      <c r="AE510" s="4"/>
      <c r="AF510" s="4"/>
      <c r="AG510" s="4"/>
      <c r="AH510" s="4"/>
      <c r="AI510" s="4"/>
      <c r="AJ510" s="4"/>
      <c r="AK510" s="4"/>
      <c r="AL510" s="4"/>
      <c r="AM510" s="4"/>
      <c r="AN510" s="4"/>
      <c r="AO510" s="4"/>
      <c r="AP510" s="4"/>
      <c r="AQ510" s="4"/>
      <c r="AR510" s="4"/>
      <c r="AS510" s="4"/>
      <c r="AT510" s="4"/>
      <c r="AU510" s="4"/>
      <c r="AV510" s="4"/>
      <c r="AW510" s="4"/>
      <c r="AX510" s="4"/>
      <c r="AY510" s="4"/>
      <c r="AZ510" s="4"/>
      <c r="BA510" s="4"/>
      <c r="BB510" s="4"/>
      <c r="BC510" s="4"/>
      <c r="BD510" s="4"/>
      <c r="BE510" s="4"/>
      <c r="BF510" s="4"/>
      <c r="BG510" s="4"/>
      <c r="BH510" s="4"/>
      <c r="BI510" s="4"/>
      <c r="BJ510" s="4"/>
      <c r="BK510" s="4"/>
      <c r="BL510" s="4"/>
      <c r="BM510" s="4"/>
      <c r="BN510" s="4"/>
      <c r="BO510" s="4"/>
      <c r="BP510" s="4"/>
      <c r="BQ510" s="4"/>
      <c r="BR510" s="4"/>
      <c r="BS510" s="4"/>
      <c r="BT510" s="4"/>
      <c r="BU510" s="4"/>
      <c r="BV510" s="4"/>
      <c r="BW510" s="4"/>
      <c r="BX510" s="4"/>
      <c r="BY510" s="4"/>
      <c r="BZ510" s="4"/>
      <c r="CA510" s="4"/>
      <c r="CB510" s="4"/>
      <c r="CC510" s="4"/>
      <c r="CD510" s="4"/>
      <c r="CE510" s="4"/>
      <c r="CF510" s="4"/>
      <c r="CG510" s="4"/>
      <c r="CH510" s="4"/>
      <c r="CI510" s="4"/>
    </row>
    <row r="511" ht="14.25" customHeight="1" spans="1:87" x14ac:dyDescent="0.25">
      <c r="A511" s="4"/>
      <c r="B511" s="4"/>
      <c r="C511" s="4"/>
      <c r="D511" s="4"/>
      <c r="E511" s="4"/>
      <c r="F511" s="4"/>
      <c r="G511" s="4"/>
      <c r="H511" s="4"/>
      <c r="I511" s="4"/>
      <c r="J511" s="4"/>
      <c r="K511" s="242"/>
      <c r="L511" s="4"/>
      <c r="M511" s="4"/>
      <c r="N511" s="4"/>
      <c r="O511" s="4"/>
      <c r="P511" s="4"/>
      <c r="Q511" s="4"/>
      <c r="R511" s="4"/>
      <c r="S511" s="4"/>
      <c r="T511" s="4"/>
      <c r="U511" s="4"/>
      <c r="V511" s="4"/>
      <c r="W511" s="4"/>
      <c r="X511" s="4"/>
      <c r="Y511" s="4"/>
      <c r="Z511" s="4"/>
      <c r="AA511" s="4"/>
      <c r="AB511" s="4"/>
      <c r="AC511" s="4"/>
      <c r="AD511" s="4"/>
      <c r="AE511" s="4"/>
      <c r="AF511" s="4"/>
      <c r="AG511" s="4"/>
      <c r="AH511" s="4"/>
      <c r="AI511" s="4"/>
      <c r="AJ511" s="4"/>
      <c r="AK511" s="4"/>
      <c r="AL511" s="4"/>
      <c r="AM511" s="4"/>
      <c r="AN511" s="4"/>
      <c r="AO511" s="4"/>
      <c r="AP511" s="4"/>
      <c r="AQ511" s="4"/>
      <c r="AR511" s="4"/>
      <c r="AS511" s="4"/>
      <c r="AT511" s="4"/>
      <c r="AU511" s="4"/>
      <c r="AV511" s="4"/>
      <c r="AW511" s="4"/>
      <c r="AX511" s="4"/>
      <c r="AY511" s="4"/>
      <c r="AZ511" s="4"/>
      <c r="BA511" s="4"/>
      <c r="BB511" s="4"/>
      <c r="BC511" s="4"/>
      <c r="BD511" s="4"/>
      <c r="BE511" s="4"/>
      <c r="BF511" s="4"/>
      <c r="BG511" s="4"/>
      <c r="BH511" s="4"/>
      <c r="BI511" s="4"/>
      <c r="BJ511" s="4"/>
      <c r="BK511" s="4"/>
      <c r="BL511" s="4"/>
      <c r="BM511" s="4"/>
      <c r="BN511" s="4"/>
      <c r="BO511" s="4"/>
      <c r="BP511" s="4"/>
      <c r="BQ511" s="4"/>
      <c r="BR511" s="4"/>
      <c r="BS511" s="4"/>
      <c r="BT511" s="4"/>
      <c r="BU511" s="4"/>
      <c r="BV511" s="4"/>
      <c r="BW511" s="4"/>
      <c r="BX511" s="4"/>
      <c r="BY511" s="4"/>
      <c r="BZ511" s="4"/>
      <c r="CA511" s="4"/>
      <c r="CB511" s="4"/>
      <c r="CC511" s="4"/>
      <c r="CD511" s="4"/>
      <c r="CE511" s="4"/>
      <c r="CF511" s="4"/>
      <c r="CG511" s="4"/>
      <c r="CH511" s="4"/>
      <c r="CI511" s="4"/>
    </row>
    <row r="512" ht="14.25" customHeight="1" spans="1:87" x14ac:dyDescent="0.25">
      <c r="A512" s="4"/>
      <c r="B512" s="4"/>
      <c r="C512" s="4"/>
      <c r="D512" s="4"/>
      <c r="E512" s="4"/>
      <c r="F512" s="4"/>
      <c r="G512" s="4"/>
      <c r="H512" s="4"/>
      <c r="I512" s="4"/>
      <c r="J512" s="4"/>
      <c r="K512" s="242"/>
      <c r="L512" s="4"/>
      <c r="M512" s="4"/>
      <c r="N512" s="4"/>
      <c r="O512" s="4"/>
      <c r="P512" s="4"/>
      <c r="Q512" s="4"/>
      <c r="R512" s="4"/>
      <c r="S512" s="4"/>
      <c r="T512" s="4"/>
      <c r="U512" s="4"/>
      <c r="V512" s="4"/>
      <c r="W512" s="4"/>
      <c r="X512" s="4"/>
      <c r="Y512" s="4"/>
      <c r="Z512" s="4"/>
      <c r="AA512" s="4"/>
      <c r="AB512" s="4"/>
      <c r="AC512" s="4"/>
      <c r="AD512" s="4"/>
      <c r="AE512" s="4"/>
      <c r="AF512" s="4"/>
      <c r="AG512" s="4"/>
      <c r="AH512" s="4"/>
      <c r="AI512" s="4"/>
      <c r="AJ512" s="4"/>
      <c r="AK512" s="4"/>
      <c r="AL512" s="4"/>
      <c r="AM512" s="4"/>
      <c r="AN512" s="4"/>
      <c r="AO512" s="4"/>
      <c r="AP512" s="4"/>
      <c r="AQ512" s="4"/>
      <c r="AR512" s="4"/>
      <c r="AS512" s="4"/>
      <c r="AT512" s="4"/>
      <c r="AU512" s="4"/>
      <c r="AV512" s="4"/>
      <c r="AW512" s="4"/>
      <c r="AX512" s="4"/>
      <c r="AY512" s="4"/>
      <c r="AZ512" s="4"/>
      <c r="BA512" s="4"/>
      <c r="BB512" s="4"/>
      <c r="BC512" s="4"/>
      <c r="BD512" s="4"/>
      <c r="BE512" s="4"/>
      <c r="BF512" s="4"/>
      <c r="BG512" s="4"/>
      <c r="BH512" s="4"/>
      <c r="BI512" s="4"/>
      <c r="BJ512" s="4"/>
      <c r="BK512" s="4"/>
      <c r="BL512" s="4"/>
      <c r="BM512" s="4"/>
      <c r="BN512" s="4"/>
      <c r="BO512" s="4"/>
      <c r="BP512" s="4"/>
      <c r="BQ512" s="4"/>
      <c r="BR512" s="4"/>
      <c r="BS512" s="4"/>
      <c r="BT512" s="4"/>
      <c r="BU512" s="4"/>
      <c r="BV512" s="4"/>
      <c r="BW512" s="4"/>
      <c r="BX512" s="4"/>
      <c r="BY512" s="4"/>
      <c r="BZ512" s="4"/>
      <c r="CA512" s="4"/>
      <c r="CB512" s="4"/>
      <c r="CC512" s="4"/>
      <c r="CD512" s="4"/>
      <c r="CE512" s="4"/>
      <c r="CF512" s="4"/>
      <c r="CG512" s="4"/>
      <c r="CH512" s="4"/>
      <c r="CI512" s="4"/>
    </row>
    <row r="513" ht="14.25" customHeight="1" spans="1:87" x14ac:dyDescent="0.25">
      <c r="A513" s="4"/>
      <c r="B513" s="4"/>
      <c r="C513" s="4"/>
      <c r="D513" s="4"/>
      <c r="E513" s="4"/>
      <c r="F513" s="4"/>
      <c r="G513" s="4"/>
      <c r="H513" s="4"/>
      <c r="I513" s="4"/>
      <c r="J513" s="4"/>
      <c r="K513" s="242"/>
      <c r="L513" s="4"/>
      <c r="M513" s="4"/>
      <c r="N513" s="4"/>
      <c r="O513" s="4"/>
      <c r="P513" s="4"/>
      <c r="Q513" s="4"/>
      <c r="R513" s="4"/>
      <c r="S513" s="4"/>
      <c r="T513" s="4"/>
      <c r="U513" s="4"/>
      <c r="V513" s="4"/>
      <c r="W513" s="4"/>
      <c r="X513" s="4"/>
      <c r="Y513" s="4"/>
      <c r="Z513" s="4"/>
      <c r="AA513" s="4"/>
      <c r="AB513" s="4"/>
      <c r="AC513" s="4"/>
      <c r="AD513" s="4"/>
      <c r="AE513" s="4"/>
      <c r="AF513" s="4"/>
      <c r="AG513" s="4"/>
      <c r="AH513" s="4"/>
      <c r="AI513" s="4"/>
      <c r="AJ513" s="4"/>
      <c r="AK513" s="4"/>
      <c r="AL513" s="4"/>
      <c r="AM513" s="4"/>
      <c r="AN513" s="4"/>
      <c r="AO513" s="4"/>
      <c r="AP513" s="4"/>
      <c r="AQ513" s="4"/>
      <c r="AR513" s="4"/>
      <c r="AS513" s="4"/>
      <c r="AT513" s="4"/>
      <c r="AU513" s="4"/>
      <c r="AV513" s="4"/>
      <c r="AW513" s="4"/>
      <c r="AX513" s="4"/>
      <c r="AY513" s="4"/>
      <c r="AZ513" s="4"/>
      <c r="BA513" s="4"/>
      <c r="BB513" s="4"/>
      <c r="BC513" s="4"/>
      <c r="BD513" s="4"/>
      <c r="BE513" s="4"/>
      <c r="BF513" s="4"/>
      <c r="BG513" s="4"/>
      <c r="BH513" s="4"/>
      <c r="BI513" s="4"/>
      <c r="BJ513" s="4"/>
      <c r="BK513" s="4"/>
      <c r="BL513" s="4"/>
      <c r="BM513" s="4"/>
      <c r="BN513" s="4"/>
      <c r="BO513" s="4"/>
      <c r="BP513" s="4"/>
      <c r="BQ513" s="4"/>
      <c r="BR513" s="4"/>
      <c r="BS513" s="4"/>
      <c r="BT513" s="4"/>
      <c r="BU513" s="4"/>
      <c r="BV513" s="4"/>
      <c r="BW513" s="4"/>
      <c r="BX513" s="4"/>
      <c r="BY513" s="4"/>
      <c r="BZ513" s="4"/>
      <c r="CA513" s="4"/>
      <c r="CB513" s="4"/>
      <c r="CC513" s="4"/>
      <c r="CD513" s="4"/>
      <c r="CE513" s="4"/>
      <c r="CF513" s="4"/>
      <c r="CG513" s="4"/>
      <c r="CH513" s="4"/>
      <c r="CI513" s="4"/>
    </row>
    <row r="514" ht="14.25" customHeight="1" spans="1:87" x14ac:dyDescent="0.25">
      <c r="A514" s="4"/>
      <c r="B514" s="4"/>
      <c r="C514" s="4"/>
      <c r="D514" s="4"/>
      <c r="E514" s="4"/>
      <c r="F514" s="4"/>
      <c r="G514" s="4"/>
      <c r="H514" s="4"/>
      <c r="I514" s="4"/>
      <c r="J514" s="4"/>
      <c r="K514" s="242"/>
      <c r="L514" s="4"/>
      <c r="M514" s="4"/>
      <c r="N514" s="4"/>
      <c r="O514" s="4"/>
      <c r="P514" s="4"/>
      <c r="Q514" s="4"/>
      <c r="R514" s="4"/>
      <c r="S514" s="4"/>
      <c r="T514" s="4"/>
      <c r="U514" s="4"/>
      <c r="V514" s="4"/>
      <c r="W514" s="4"/>
      <c r="X514" s="4"/>
      <c r="Y514" s="4"/>
      <c r="Z514" s="4"/>
      <c r="AA514" s="4"/>
      <c r="AB514" s="4"/>
      <c r="AC514" s="4"/>
      <c r="AD514" s="4"/>
      <c r="AE514" s="4"/>
      <c r="AF514" s="4"/>
      <c r="AG514" s="4"/>
      <c r="AH514" s="4"/>
      <c r="AI514" s="4"/>
      <c r="AJ514" s="4"/>
      <c r="AK514" s="4"/>
      <c r="AL514" s="4"/>
      <c r="AM514" s="4"/>
      <c r="AN514" s="4"/>
      <c r="AO514" s="4"/>
      <c r="AP514" s="4"/>
      <c r="AQ514" s="4"/>
      <c r="AR514" s="4"/>
      <c r="AS514" s="4"/>
      <c r="AT514" s="4"/>
      <c r="AU514" s="4"/>
      <c r="AV514" s="4"/>
      <c r="AW514" s="4"/>
      <c r="AX514" s="4"/>
      <c r="AY514" s="4"/>
      <c r="AZ514" s="4"/>
      <c r="BA514" s="4"/>
      <c r="BB514" s="4"/>
      <c r="BC514" s="4"/>
      <c r="BD514" s="4"/>
      <c r="BE514" s="4"/>
      <c r="BF514" s="4"/>
      <c r="BG514" s="4"/>
      <c r="BH514" s="4"/>
      <c r="BI514" s="4"/>
      <c r="BJ514" s="4"/>
      <c r="BK514" s="4"/>
      <c r="BL514" s="4"/>
      <c r="BM514" s="4"/>
      <c r="BN514" s="4"/>
      <c r="BO514" s="4"/>
      <c r="BP514" s="4"/>
      <c r="BQ514" s="4"/>
      <c r="BR514" s="4"/>
      <c r="BS514" s="4"/>
      <c r="BT514" s="4"/>
      <c r="BU514" s="4"/>
      <c r="BV514" s="4"/>
      <c r="BW514" s="4"/>
      <c r="BX514" s="4"/>
      <c r="BY514" s="4"/>
      <c r="BZ514" s="4"/>
      <c r="CA514" s="4"/>
      <c r="CB514" s="4"/>
      <c r="CC514" s="4"/>
      <c r="CD514" s="4"/>
      <c r="CE514" s="4"/>
      <c r="CF514" s="4"/>
      <c r="CG514" s="4"/>
      <c r="CH514" s="4"/>
      <c r="CI514" s="4"/>
    </row>
    <row r="515" ht="14.25" customHeight="1" spans="1:87" x14ac:dyDescent="0.25">
      <c r="A515" s="4"/>
      <c r="B515" s="4"/>
      <c r="C515" s="4"/>
      <c r="D515" s="4"/>
      <c r="E515" s="4"/>
      <c r="F515" s="4"/>
      <c r="G515" s="4"/>
      <c r="H515" s="4"/>
      <c r="I515" s="4"/>
      <c r="J515" s="4"/>
      <c r="K515" s="242"/>
      <c r="L515" s="4"/>
      <c r="M515" s="4"/>
      <c r="N515" s="4"/>
      <c r="O515" s="4"/>
      <c r="P515" s="4"/>
      <c r="Q515" s="4"/>
      <c r="R515" s="4"/>
      <c r="S515" s="4"/>
      <c r="T515" s="4"/>
      <c r="U515" s="4"/>
      <c r="V515" s="4"/>
      <c r="W515" s="4"/>
      <c r="X515" s="4"/>
      <c r="Y515" s="4"/>
      <c r="Z515" s="4"/>
      <c r="AA515" s="4"/>
      <c r="AB515" s="4"/>
      <c r="AC515" s="4"/>
      <c r="AD515" s="4"/>
      <c r="AE515" s="4"/>
      <c r="AF515" s="4"/>
      <c r="AG515" s="4"/>
      <c r="AH515" s="4"/>
      <c r="AI515" s="4"/>
      <c r="AJ515" s="4"/>
      <c r="AK515" s="4"/>
      <c r="AL515" s="4"/>
      <c r="AM515" s="4"/>
      <c r="AN515" s="4"/>
      <c r="AO515" s="4"/>
      <c r="AP515" s="4"/>
      <c r="AQ515" s="4"/>
      <c r="AR515" s="4"/>
      <c r="AS515" s="4"/>
      <c r="AT515" s="4"/>
      <c r="AU515" s="4"/>
      <c r="AV515" s="4"/>
      <c r="AW515" s="4"/>
      <c r="AX515" s="4"/>
      <c r="AY515" s="4"/>
      <c r="AZ515" s="4"/>
      <c r="BA515" s="4"/>
      <c r="BB515" s="4"/>
      <c r="BC515" s="4"/>
      <c r="BD515" s="4"/>
      <c r="BE515" s="4"/>
      <c r="BF515" s="4"/>
      <c r="BG515" s="4"/>
      <c r="BH515" s="4"/>
      <c r="BI515" s="4"/>
      <c r="BJ515" s="4"/>
      <c r="BK515" s="4"/>
      <c r="BL515" s="4"/>
      <c r="BM515" s="4"/>
      <c r="BN515" s="4"/>
      <c r="BO515" s="4"/>
      <c r="BP515" s="4"/>
      <c r="BQ515" s="4"/>
      <c r="BR515" s="4"/>
      <c r="BS515" s="4"/>
      <c r="BT515" s="4"/>
      <c r="BU515" s="4"/>
      <c r="BV515" s="4"/>
      <c r="BW515" s="4"/>
      <c r="BX515" s="4"/>
      <c r="BY515" s="4"/>
      <c r="BZ515" s="4"/>
      <c r="CA515" s="4"/>
      <c r="CB515" s="4"/>
      <c r="CC515" s="4"/>
      <c r="CD515" s="4"/>
      <c r="CE515" s="4"/>
      <c r="CF515" s="4"/>
      <c r="CG515" s="4"/>
      <c r="CH515" s="4"/>
      <c r="CI515" s="4"/>
    </row>
    <row r="516" ht="14.25" customHeight="1" spans="1:87" x14ac:dyDescent="0.25">
      <c r="A516" s="4"/>
      <c r="B516" s="4"/>
      <c r="C516" s="4"/>
      <c r="D516" s="4"/>
      <c r="E516" s="4"/>
      <c r="F516" s="4"/>
      <c r="G516" s="4"/>
      <c r="H516" s="4"/>
      <c r="I516" s="4"/>
      <c r="J516" s="4"/>
      <c r="K516" s="242"/>
      <c r="L516" s="4"/>
      <c r="M516" s="4"/>
      <c r="N516" s="4"/>
      <c r="O516" s="4"/>
      <c r="P516" s="4"/>
      <c r="Q516" s="4"/>
      <c r="R516" s="4"/>
      <c r="S516" s="4"/>
      <c r="T516" s="4"/>
      <c r="U516" s="4"/>
      <c r="V516" s="4"/>
      <c r="W516" s="4"/>
      <c r="X516" s="4"/>
      <c r="Y516" s="4"/>
      <c r="Z516" s="4"/>
      <c r="AA516" s="4"/>
      <c r="AB516" s="4"/>
      <c r="AC516" s="4"/>
      <c r="AD516" s="4"/>
      <c r="AE516" s="4"/>
      <c r="AF516" s="4"/>
      <c r="AG516" s="4"/>
      <c r="AH516" s="4"/>
      <c r="AI516" s="4"/>
      <c r="AJ516" s="4"/>
      <c r="AK516" s="4"/>
      <c r="AL516" s="4"/>
      <c r="AM516" s="4"/>
      <c r="AN516" s="4"/>
      <c r="AO516" s="4"/>
      <c r="AP516" s="4"/>
      <c r="AQ516" s="4"/>
      <c r="AR516" s="4"/>
      <c r="AS516" s="4"/>
      <c r="AT516" s="4"/>
      <c r="AU516" s="4"/>
      <c r="AV516" s="4"/>
      <c r="AW516" s="4"/>
      <c r="AX516" s="4"/>
      <c r="AY516" s="4"/>
      <c r="AZ516" s="4"/>
      <c r="BA516" s="4"/>
      <c r="BB516" s="4"/>
      <c r="BC516" s="4"/>
      <c r="BD516" s="4"/>
      <c r="BE516" s="4"/>
      <c r="BF516" s="4"/>
      <c r="BG516" s="4"/>
      <c r="BH516" s="4"/>
      <c r="BI516" s="4"/>
      <c r="BJ516" s="4"/>
      <c r="BK516" s="4"/>
      <c r="BL516" s="4"/>
      <c r="BM516" s="4"/>
      <c r="BN516" s="4"/>
      <c r="BO516" s="4"/>
      <c r="BP516" s="4"/>
      <c r="BQ516" s="4"/>
      <c r="BR516" s="4"/>
      <c r="BS516" s="4"/>
      <c r="BT516" s="4"/>
      <c r="BU516" s="4"/>
      <c r="BV516" s="4"/>
      <c r="BW516" s="4"/>
      <c r="BX516" s="4"/>
      <c r="BY516" s="4"/>
      <c r="BZ516" s="4"/>
      <c r="CA516" s="4"/>
      <c r="CB516" s="4"/>
      <c r="CC516" s="4"/>
      <c r="CD516" s="4"/>
      <c r="CE516" s="4"/>
      <c r="CF516" s="4"/>
      <c r="CG516" s="4"/>
      <c r="CH516" s="4"/>
      <c r="CI516" s="4"/>
    </row>
    <row r="517" ht="14.25" customHeight="1" spans="1:87" x14ac:dyDescent="0.25">
      <c r="A517" s="4"/>
      <c r="B517" s="4"/>
      <c r="C517" s="4"/>
      <c r="D517" s="4"/>
      <c r="E517" s="4"/>
      <c r="F517" s="4"/>
      <c r="G517" s="4"/>
      <c r="H517" s="4"/>
      <c r="I517" s="4"/>
      <c r="J517" s="4"/>
      <c r="K517" s="242"/>
      <c r="L517" s="4"/>
      <c r="M517" s="4"/>
      <c r="N517" s="4"/>
      <c r="O517" s="4"/>
      <c r="P517" s="4"/>
      <c r="Q517" s="4"/>
      <c r="R517" s="4"/>
      <c r="S517" s="4"/>
      <c r="T517" s="4"/>
      <c r="U517" s="4"/>
      <c r="V517" s="4"/>
      <c r="W517" s="4"/>
      <c r="X517" s="4"/>
      <c r="Y517" s="4"/>
      <c r="Z517" s="4"/>
      <c r="AA517" s="4"/>
      <c r="AB517" s="4"/>
      <c r="AC517" s="4"/>
      <c r="AD517" s="4"/>
      <c r="AE517" s="4"/>
      <c r="AF517" s="4"/>
      <c r="AG517" s="4"/>
      <c r="AH517" s="4"/>
      <c r="AI517" s="4"/>
      <c r="AJ517" s="4"/>
      <c r="AK517" s="4"/>
      <c r="AL517" s="4"/>
      <c r="AM517" s="4"/>
      <c r="AN517" s="4"/>
      <c r="AO517" s="4"/>
      <c r="AP517" s="4"/>
      <c r="AQ517" s="4"/>
      <c r="AR517" s="4"/>
      <c r="AS517" s="4"/>
      <c r="AT517" s="4"/>
      <c r="AU517" s="4"/>
      <c r="AV517" s="4"/>
      <c r="AW517" s="4"/>
      <c r="AX517" s="4"/>
      <c r="AY517" s="4"/>
      <c r="AZ517" s="4"/>
      <c r="BA517" s="4"/>
      <c r="BB517" s="4"/>
      <c r="BC517" s="4"/>
      <c r="BD517" s="4"/>
      <c r="BE517" s="4"/>
      <c r="BF517" s="4"/>
      <c r="BG517" s="4"/>
      <c r="BH517" s="4"/>
      <c r="BI517" s="4"/>
      <c r="BJ517" s="4"/>
      <c r="BK517" s="4"/>
      <c r="BL517" s="4"/>
      <c r="BM517" s="4"/>
      <c r="BN517" s="4"/>
      <c r="BO517" s="4"/>
      <c r="BP517" s="4"/>
      <c r="BQ517" s="4"/>
      <c r="BR517" s="4"/>
      <c r="BS517" s="4"/>
      <c r="BT517" s="4"/>
      <c r="BU517" s="4"/>
      <c r="BV517" s="4"/>
      <c r="BW517" s="4"/>
      <c r="BX517" s="4"/>
      <c r="BY517" s="4"/>
      <c r="BZ517" s="4"/>
      <c r="CA517" s="4"/>
      <c r="CB517" s="4"/>
      <c r="CC517" s="4"/>
      <c r="CD517" s="4"/>
      <c r="CE517" s="4"/>
      <c r="CF517" s="4"/>
      <c r="CG517" s="4"/>
      <c r="CH517" s="4"/>
      <c r="CI517" s="4"/>
    </row>
    <row r="518" ht="14.25" customHeight="1" spans="1:87" x14ac:dyDescent="0.25">
      <c r="A518" s="4"/>
      <c r="B518" s="4"/>
      <c r="C518" s="4"/>
      <c r="D518" s="4"/>
      <c r="E518" s="4"/>
      <c r="F518" s="4"/>
      <c r="G518" s="4"/>
      <c r="H518" s="4"/>
      <c r="I518" s="4"/>
      <c r="J518" s="4"/>
      <c r="K518" s="242"/>
      <c r="L518" s="4"/>
      <c r="M518" s="4"/>
      <c r="N518" s="4"/>
      <c r="O518" s="4"/>
      <c r="P518" s="4"/>
      <c r="Q518" s="4"/>
      <c r="R518" s="4"/>
      <c r="S518" s="4"/>
      <c r="T518" s="4"/>
      <c r="U518" s="4"/>
      <c r="V518" s="4"/>
      <c r="W518" s="4"/>
      <c r="X518" s="4"/>
      <c r="Y518" s="4"/>
      <c r="Z518" s="4"/>
      <c r="AA518" s="4"/>
      <c r="AB518" s="4"/>
      <c r="AC518" s="4"/>
      <c r="AD518" s="4"/>
      <c r="AE518" s="4"/>
      <c r="AF518" s="4"/>
      <c r="AG518" s="4"/>
      <c r="AH518" s="4"/>
      <c r="AI518" s="4"/>
      <c r="AJ518" s="4"/>
      <c r="AK518" s="4"/>
      <c r="AL518" s="4"/>
      <c r="AM518" s="4"/>
      <c r="AN518" s="4"/>
      <c r="AO518" s="4"/>
      <c r="AP518" s="4"/>
      <c r="AQ518" s="4"/>
      <c r="AR518" s="4"/>
      <c r="AS518" s="4"/>
      <c r="AT518" s="4"/>
      <c r="AU518" s="4"/>
      <c r="AV518" s="4"/>
      <c r="AW518" s="4"/>
      <c r="AX518" s="4"/>
      <c r="AY518" s="4"/>
      <c r="AZ518" s="4"/>
      <c r="BA518" s="4"/>
      <c r="BB518" s="4"/>
      <c r="BC518" s="4"/>
      <c r="BD518" s="4"/>
      <c r="BE518" s="4"/>
      <c r="BF518" s="4"/>
      <c r="BG518" s="4"/>
      <c r="BH518" s="4"/>
      <c r="BI518" s="4"/>
      <c r="BJ518" s="4"/>
      <c r="BK518" s="4"/>
      <c r="BL518" s="4"/>
      <c r="BM518" s="4"/>
      <c r="BN518" s="4"/>
      <c r="BO518" s="4"/>
      <c r="BP518" s="4"/>
      <c r="BQ518" s="4"/>
      <c r="BR518" s="4"/>
      <c r="BS518" s="4"/>
      <c r="BT518" s="4"/>
      <c r="BU518" s="4"/>
      <c r="BV518" s="4"/>
      <c r="BW518" s="4"/>
      <c r="BX518" s="4"/>
      <c r="BY518" s="4"/>
      <c r="BZ518" s="4"/>
      <c r="CA518" s="4"/>
      <c r="CB518" s="4"/>
      <c r="CC518" s="4"/>
      <c r="CD518" s="4"/>
      <c r="CE518" s="4"/>
      <c r="CF518" s="4"/>
      <c r="CG518" s="4"/>
      <c r="CH518" s="4"/>
      <c r="CI518" s="4"/>
    </row>
    <row r="519" ht="14.25" customHeight="1" spans="1:87" x14ac:dyDescent="0.25">
      <c r="A519" s="4"/>
      <c r="B519" s="4"/>
      <c r="C519" s="4"/>
      <c r="D519" s="4"/>
      <c r="E519" s="4"/>
      <c r="F519" s="4"/>
      <c r="G519" s="4"/>
      <c r="H519" s="4"/>
      <c r="I519" s="4"/>
      <c r="J519" s="4"/>
      <c r="K519" s="242"/>
      <c r="L519" s="4"/>
      <c r="M519" s="4"/>
      <c r="N519" s="4"/>
      <c r="O519" s="4"/>
      <c r="P519" s="4"/>
      <c r="Q519" s="4"/>
      <c r="R519" s="4"/>
      <c r="S519" s="4"/>
      <c r="T519" s="4"/>
      <c r="U519" s="4"/>
      <c r="V519" s="4"/>
      <c r="W519" s="4"/>
      <c r="X519" s="4"/>
      <c r="Y519" s="4"/>
      <c r="Z519" s="4"/>
      <c r="AA519" s="4"/>
      <c r="AB519" s="4"/>
      <c r="AC519" s="4"/>
      <c r="AD519" s="4"/>
      <c r="AE519" s="4"/>
      <c r="AF519" s="4"/>
      <c r="AG519" s="4"/>
      <c r="AH519" s="4"/>
      <c r="AI519" s="4"/>
      <c r="AJ519" s="4"/>
      <c r="AK519" s="4"/>
      <c r="AL519" s="4"/>
      <c r="AM519" s="4"/>
      <c r="AN519" s="4"/>
      <c r="AO519" s="4"/>
      <c r="AP519" s="4"/>
      <c r="AQ519" s="4"/>
      <c r="AR519" s="4"/>
      <c r="AS519" s="4"/>
      <c r="AT519" s="4"/>
      <c r="AU519" s="4"/>
      <c r="AV519" s="4"/>
      <c r="AW519" s="4"/>
      <c r="AX519" s="4"/>
      <c r="AY519" s="4"/>
      <c r="AZ519" s="4"/>
      <c r="BA519" s="4"/>
      <c r="BB519" s="4"/>
      <c r="BC519" s="4"/>
      <c r="BD519" s="4"/>
      <c r="BE519" s="4"/>
      <c r="BF519" s="4"/>
      <c r="BG519" s="4"/>
      <c r="BH519" s="4"/>
      <c r="BI519" s="4"/>
      <c r="BJ519" s="4"/>
      <c r="BK519" s="4"/>
      <c r="BL519" s="4"/>
      <c r="BM519" s="4"/>
      <c r="BN519" s="4"/>
      <c r="BO519" s="4"/>
      <c r="BP519" s="4"/>
      <c r="BQ519" s="4"/>
      <c r="BR519" s="4"/>
      <c r="BS519" s="4"/>
      <c r="BT519" s="4"/>
      <c r="BU519" s="4"/>
      <c r="BV519" s="4"/>
      <c r="BW519" s="4"/>
      <c r="BX519" s="4"/>
      <c r="BY519" s="4"/>
      <c r="BZ519" s="4"/>
      <c r="CA519" s="4"/>
      <c r="CB519" s="4"/>
      <c r="CC519" s="4"/>
      <c r="CD519" s="4"/>
      <c r="CE519" s="4"/>
      <c r="CF519" s="4"/>
      <c r="CG519" s="4"/>
      <c r="CH519" s="4"/>
      <c r="CI519" s="4"/>
    </row>
    <row r="520" ht="14.25" customHeight="1" spans="1:87" x14ac:dyDescent="0.25">
      <c r="A520" s="4"/>
      <c r="B520" s="4"/>
      <c r="C520" s="4"/>
      <c r="D520" s="4"/>
      <c r="E520" s="4"/>
      <c r="F520" s="4"/>
      <c r="G520" s="4"/>
      <c r="H520" s="4"/>
      <c r="I520" s="4"/>
      <c r="J520" s="4"/>
      <c r="K520" s="242"/>
      <c r="L520" s="4"/>
      <c r="M520" s="4"/>
      <c r="N520" s="4"/>
      <c r="O520" s="4"/>
      <c r="P520" s="4"/>
      <c r="Q520" s="4"/>
      <c r="R520" s="4"/>
      <c r="S520" s="4"/>
      <c r="T520" s="4"/>
      <c r="U520" s="4"/>
      <c r="V520" s="4"/>
      <c r="W520" s="4"/>
      <c r="X520" s="4"/>
      <c r="Y520" s="4"/>
      <c r="Z520" s="4"/>
      <c r="AA520" s="4"/>
      <c r="AB520" s="4"/>
      <c r="AC520" s="4"/>
      <c r="AD520" s="4"/>
      <c r="AE520" s="4"/>
      <c r="AF520" s="4"/>
      <c r="AG520" s="4"/>
      <c r="AH520" s="4"/>
      <c r="AI520" s="4"/>
      <c r="AJ520" s="4"/>
      <c r="AK520" s="4"/>
      <c r="AL520" s="4"/>
      <c r="AM520" s="4"/>
      <c r="AN520" s="4"/>
      <c r="AO520" s="4"/>
      <c r="AP520" s="4"/>
      <c r="AQ520" s="4"/>
      <c r="AR520" s="4"/>
      <c r="AS520" s="4"/>
      <c r="AT520" s="4"/>
      <c r="AU520" s="4"/>
      <c r="AV520" s="4"/>
      <c r="AW520" s="4"/>
      <c r="AX520" s="4"/>
      <c r="AY520" s="4"/>
      <c r="AZ520" s="4"/>
      <c r="BA520" s="4"/>
      <c r="BB520" s="4"/>
      <c r="BC520" s="4"/>
      <c r="BD520" s="4"/>
      <c r="BE520" s="4"/>
      <c r="BF520" s="4"/>
      <c r="BG520" s="4"/>
      <c r="BH520" s="4"/>
      <c r="BI520" s="4"/>
      <c r="BJ520" s="4"/>
      <c r="BK520" s="4"/>
      <c r="BL520" s="4"/>
      <c r="BM520" s="4"/>
      <c r="BN520" s="4"/>
      <c r="BO520" s="4"/>
      <c r="BP520" s="4"/>
      <c r="BQ520" s="4"/>
      <c r="BR520" s="4"/>
      <c r="BS520" s="4"/>
      <c r="BT520" s="4"/>
      <c r="BU520" s="4"/>
      <c r="BV520" s="4"/>
      <c r="BW520" s="4"/>
      <c r="BX520" s="4"/>
      <c r="BY520" s="4"/>
      <c r="BZ520" s="4"/>
      <c r="CA520" s="4"/>
      <c r="CB520" s="4"/>
      <c r="CC520" s="4"/>
      <c r="CD520" s="4"/>
      <c r="CE520" s="4"/>
      <c r="CF520" s="4"/>
      <c r="CG520" s="4"/>
      <c r="CH520" s="4"/>
      <c r="CI520" s="4"/>
    </row>
    <row r="521" ht="14.25" customHeight="1" spans="1:87" x14ac:dyDescent="0.25">
      <c r="A521" s="4"/>
      <c r="B521" s="4"/>
      <c r="C521" s="4"/>
      <c r="D521" s="4"/>
      <c r="E521" s="4"/>
      <c r="F521" s="4"/>
      <c r="G521" s="4"/>
      <c r="H521" s="4"/>
      <c r="I521" s="4"/>
      <c r="J521" s="4"/>
      <c r="K521" s="242"/>
      <c r="L521" s="4"/>
      <c r="M521" s="4"/>
      <c r="N521" s="4"/>
      <c r="O521" s="4"/>
      <c r="P521" s="4"/>
      <c r="Q521" s="4"/>
      <c r="R521" s="4"/>
      <c r="S521" s="4"/>
      <c r="T521" s="4"/>
      <c r="U521" s="4"/>
      <c r="V521" s="4"/>
      <c r="W521" s="4"/>
      <c r="X521" s="4"/>
      <c r="Y521" s="4"/>
      <c r="Z521" s="4"/>
      <c r="AA521" s="4"/>
      <c r="AB521" s="4"/>
      <c r="AC521" s="4"/>
      <c r="AD521" s="4"/>
      <c r="AE521" s="4"/>
      <c r="AF521" s="4"/>
      <c r="AG521" s="4"/>
      <c r="AH521" s="4"/>
      <c r="AI521" s="4"/>
      <c r="AJ521" s="4"/>
      <c r="AK521" s="4"/>
      <c r="AL521" s="4"/>
      <c r="AM521" s="4"/>
      <c r="AN521" s="4"/>
      <c r="AO521" s="4"/>
      <c r="AP521" s="4"/>
      <c r="AQ521" s="4"/>
      <c r="AR521" s="4"/>
      <c r="AS521" s="4"/>
      <c r="AT521" s="4"/>
      <c r="AU521" s="4"/>
      <c r="AV521" s="4"/>
      <c r="AW521" s="4"/>
      <c r="AX521" s="4"/>
      <c r="AY521" s="4"/>
      <c r="AZ521" s="4"/>
      <c r="BA521" s="4"/>
      <c r="BB521" s="4"/>
      <c r="BC521" s="4"/>
      <c r="BD521" s="4"/>
      <c r="BE521" s="4"/>
      <c r="BF521" s="4"/>
      <c r="BG521" s="4"/>
      <c r="BH521" s="4"/>
      <c r="BI521" s="4"/>
      <c r="BJ521" s="4"/>
      <c r="BK521" s="4"/>
      <c r="BL521" s="4"/>
      <c r="BM521" s="4"/>
      <c r="BN521" s="4"/>
      <c r="BO521" s="4"/>
      <c r="BP521" s="4"/>
      <c r="BQ521" s="4"/>
      <c r="BR521" s="4"/>
      <c r="BS521" s="4"/>
      <c r="BT521" s="4"/>
      <c r="BU521" s="4"/>
      <c r="BV521" s="4"/>
      <c r="BW521" s="4"/>
      <c r="BX521" s="4"/>
      <c r="BY521" s="4"/>
      <c r="BZ521" s="4"/>
      <c r="CA521" s="4"/>
      <c r="CB521" s="4"/>
      <c r="CC521" s="4"/>
      <c r="CD521" s="4"/>
      <c r="CE521" s="4"/>
      <c r="CF521" s="4"/>
      <c r="CG521" s="4"/>
      <c r="CH521" s="4"/>
      <c r="CI521" s="4"/>
    </row>
    <row r="522" ht="14.25" customHeight="1" spans="1:87" x14ac:dyDescent="0.25">
      <c r="A522" s="4"/>
      <c r="B522" s="4"/>
      <c r="C522" s="4"/>
      <c r="D522" s="4"/>
      <c r="E522" s="4"/>
      <c r="F522" s="4"/>
      <c r="G522" s="4"/>
      <c r="H522" s="4"/>
      <c r="I522" s="4"/>
      <c r="J522" s="4"/>
      <c r="K522" s="242"/>
      <c r="L522" s="4"/>
      <c r="M522" s="4"/>
      <c r="N522" s="4"/>
      <c r="O522" s="4"/>
      <c r="P522" s="4"/>
      <c r="Q522" s="4"/>
      <c r="R522" s="4"/>
      <c r="S522" s="4"/>
      <c r="T522" s="4"/>
      <c r="U522" s="4"/>
      <c r="V522" s="4"/>
      <c r="W522" s="4"/>
      <c r="X522" s="4"/>
      <c r="Y522" s="4"/>
      <c r="Z522" s="4"/>
      <c r="AA522" s="4"/>
      <c r="AB522" s="4"/>
      <c r="AC522" s="4"/>
      <c r="AD522" s="4"/>
      <c r="AE522" s="4"/>
      <c r="AF522" s="4"/>
      <c r="AG522" s="4"/>
      <c r="AH522" s="4"/>
      <c r="AI522" s="4"/>
      <c r="AJ522" s="4"/>
      <c r="AK522" s="4"/>
      <c r="AL522" s="4"/>
      <c r="AM522" s="4"/>
      <c r="AN522" s="4"/>
      <c r="AO522" s="4"/>
      <c r="AP522" s="4"/>
      <c r="AQ522" s="4"/>
      <c r="AR522" s="4"/>
      <c r="AS522" s="4"/>
      <c r="AT522" s="4"/>
      <c r="AU522" s="4"/>
      <c r="AV522" s="4"/>
      <c r="AW522" s="4"/>
      <c r="AX522" s="4"/>
      <c r="AY522" s="4"/>
      <c r="AZ522" s="4"/>
      <c r="BA522" s="4"/>
      <c r="BB522" s="4"/>
      <c r="BC522" s="4"/>
      <c r="BD522" s="4"/>
      <c r="BE522" s="4"/>
      <c r="BF522" s="4"/>
      <c r="BG522" s="4"/>
      <c r="BH522" s="4"/>
      <c r="BI522" s="4"/>
      <c r="BJ522" s="4"/>
      <c r="BK522" s="4"/>
      <c r="BL522" s="4"/>
      <c r="BM522" s="4"/>
      <c r="BN522" s="4"/>
      <c r="BO522" s="4"/>
      <c r="BP522" s="4"/>
      <c r="BQ522" s="4"/>
      <c r="BR522" s="4"/>
      <c r="BS522" s="4"/>
      <c r="BT522" s="4"/>
      <c r="BU522" s="4"/>
      <c r="BV522" s="4"/>
      <c r="BW522" s="4"/>
      <c r="BX522" s="4"/>
      <c r="BY522" s="4"/>
      <c r="BZ522" s="4"/>
      <c r="CA522" s="4"/>
      <c r="CB522" s="4"/>
      <c r="CC522" s="4"/>
      <c r="CD522" s="4"/>
      <c r="CE522" s="4"/>
      <c r="CF522" s="4"/>
      <c r="CG522" s="4"/>
      <c r="CH522" s="4"/>
      <c r="CI522" s="4"/>
    </row>
    <row r="523" ht="14.25" customHeight="1" spans="1:87" x14ac:dyDescent="0.25">
      <c r="A523" s="4"/>
      <c r="B523" s="4"/>
      <c r="C523" s="4"/>
      <c r="D523" s="4"/>
      <c r="E523" s="4"/>
      <c r="F523" s="4"/>
      <c r="G523" s="4"/>
      <c r="H523" s="4"/>
      <c r="I523" s="4"/>
      <c r="J523" s="4"/>
      <c r="K523" s="242"/>
      <c r="L523" s="4"/>
      <c r="M523" s="4"/>
      <c r="N523" s="4"/>
      <c r="O523" s="4"/>
      <c r="P523" s="4"/>
      <c r="Q523" s="4"/>
      <c r="R523" s="4"/>
      <c r="S523" s="4"/>
      <c r="T523" s="4"/>
      <c r="U523" s="4"/>
      <c r="V523" s="4"/>
      <c r="W523" s="4"/>
      <c r="X523" s="4"/>
      <c r="Y523" s="4"/>
      <c r="Z523" s="4"/>
      <c r="AA523" s="4"/>
      <c r="AB523" s="4"/>
      <c r="AC523" s="4"/>
      <c r="AD523" s="4"/>
      <c r="AE523" s="4"/>
      <c r="AF523" s="4"/>
      <c r="AG523" s="4"/>
      <c r="AH523" s="4"/>
      <c r="AI523" s="4"/>
      <c r="AJ523" s="4"/>
      <c r="AK523" s="4"/>
      <c r="AL523" s="4"/>
      <c r="AM523" s="4"/>
      <c r="AN523" s="4"/>
      <c r="AO523" s="4"/>
      <c r="AP523" s="4"/>
      <c r="AQ523" s="4"/>
      <c r="AR523" s="4"/>
      <c r="AS523" s="4"/>
      <c r="AT523" s="4"/>
      <c r="AU523" s="4"/>
      <c r="AV523" s="4"/>
      <c r="AW523" s="4"/>
      <c r="AX523" s="4"/>
      <c r="AY523" s="4"/>
      <c r="AZ523" s="4"/>
      <c r="BA523" s="4"/>
      <c r="BB523" s="4"/>
      <c r="BC523" s="4"/>
      <c r="BD523" s="4"/>
      <c r="BE523" s="4"/>
      <c r="BF523" s="4"/>
      <c r="BG523" s="4"/>
      <c r="BH523" s="4"/>
      <c r="BI523" s="4"/>
      <c r="BJ523" s="4"/>
      <c r="BK523" s="4"/>
      <c r="BL523" s="4"/>
      <c r="BM523" s="4"/>
      <c r="BN523" s="4"/>
      <c r="BO523" s="4"/>
      <c r="BP523" s="4"/>
      <c r="BQ523" s="4"/>
      <c r="BR523" s="4"/>
      <c r="BS523" s="4"/>
      <c r="BT523" s="4"/>
      <c r="BU523" s="4"/>
      <c r="BV523" s="4"/>
      <c r="BW523" s="4"/>
      <c r="BX523" s="4"/>
      <c r="BY523" s="4"/>
      <c r="BZ523" s="4"/>
      <c r="CA523" s="4"/>
      <c r="CB523" s="4"/>
      <c r="CC523" s="4"/>
      <c r="CD523" s="4"/>
      <c r="CE523" s="4"/>
      <c r="CF523" s="4"/>
      <c r="CG523" s="4"/>
      <c r="CH523" s="4"/>
      <c r="CI523" s="4"/>
    </row>
    <row r="524" ht="14.25" customHeight="1" spans="1:87" x14ac:dyDescent="0.25">
      <c r="A524" s="4"/>
      <c r="B524" s="4"/>
      <c r="C524" s="4"/>
      <c r="D524" s="4"/>
      <c r="E524" s="4"/>
      <c r="F524" s="4"/>
      <c r="G524" s="4"/>
      <c r="H524" s="4"/>
      <c r="I524" s="4"/>
      <c r="J524" s="4"/>
      <c r="K524" s="242"/>
      <c r="L524" s="4"/>
      <c r="M524" s="4"/>
      <c r="N524" s="4"/>
      <c r="O524" s="4"/>
      <c r="P524" s="4"/>
      <c r="Q524" s="4"/>
      <c r="R524" s="4"/>
      <c r="S524" s="4"/>
      <c r="T524" s="4"/>
      <c r="U524" s="4"/>
      <c r="V524" s="4"/>
      <c r="W524" s="4"/>
      <c r="X524" s="4"/>
      <c r="Y524" s="4"/>
      <c r="Z524" s="4"/>
      <c r="AA524" s="4"/>
      <c r="AB524" s="4"/>
      <c r="AC524" s="4"/>
      <c r="AD524" s="4"/>
      <c r="AE524" s="4"/>
      <c r="AF524" s="4"/>
      <c r="AG524" s="4"/>
      <c r="AH524" s="4"/>
      <c r="AI524" s="4"/>
      <c r="AJ524" s="4"/>
      <c r="AK524" s="4"/>
      <c r="AL524" s="4"/>
      <c r="AM524" s="4"/>
      <c r="AN524" s="4"/>
      <c r="AO524" s="4"/>
      <c r="AP524" s="4"/>
      <c r="AQ524" s="4"/>
      <c r="AR524" s="4"/>
      <c r="AS524" s="4"/>
      <c r="AT524" s="4"/>
      <c r="AU524" s="4"/>
      <c r="AV524" s="4"/>
      <c r="AW524" s="4"/>
      <c r="AX524" s="4"/>
      <c r="AY524" s="4"/>
      <c r="AZ524" s="4"/>
      <c r="BA524" s="4"/>
      <c r="BB524" s="4"/>
      <c r="BC524" s="4"/>
      <c r="BD524" s="4"/>
      <c r="BE524" s="4"/>
      <c r="BF524" s="4"/>
      <c r="BG524" s="4"/>
      <c r="BH524" s="4"/>
      <c r="BI524" s="4"/>
      <c r="BJ524" s="4"/>
      <c r="BK524" s="4"/>
      <c r="BL524" s="4"/>
      <c r="BM524" s="4"/>
      <c r="BN524" s="4"/>
      <c r="BO524" s="4"/>
      <c r="BP524" s="4"/>
      <c r="BQ524" s="4"/>
      <c r="BR524" s="4"/>
      <c r="BS524" s="4"/>
      <c r="BT524" s="4"/>
      <c r="BU524" s="4"/>
      <c r="BV524" s="4"/>
      <c r="BW524" s="4"/>
      <c r="BX524" s="4"/>
      <c r="BY524" s="4"/>
      <c r="BZ524" s="4"/>
      <c r="CA524" s="4"/>
      <c r="CB524" s="4"/>
      <c r="CC524" s="4"/>
      <c r="CD524" s="4"/>
      <c r="CE524" s="4"/>
      <c r="CF524" s="4"/>
      <c r="CG524" s="4"/>
      <c r="CH524" s="4"/>
      <c r="CI524" s="4"/>
    </row>
    <row r="525" ht="14.25" customHeight="1" spans="1:87" x14ac:dyDescent="0.25">
      <c r="A525" s="4"/>
      <c r="B525" s="4"/>
      <c r="C525" s="4"/>
      <c r="D525" s="4"/>
      <c r="E525" s="4"/>
      <c r="F525" s="4"/>
      <c r="G525" s="4"/>
      <c r="H525" s="4"/>
      <c r="I525" s="4"/>
      <c r="J525" s="4"/>
      <c r="K525" s="242"/>
      <c r="L525" s="4"/>
      <c r="M525" s="4"/>
      <c r="N525" s="4"/>
      <c r="O525" s="4"/>
      <c r="P525" s="4"/>
      <c r="Q525" s="4"/>
      <c r="R525" s="4"/>
      <c r="S525" s="4"/>
      <c r="T525" s="4"/>
      <c r="U525" s="4"/>
      <c r="V525" s="4"/>
      <c r="W525" s="4"/>
      <c r="X525" s="4"/>
      <c r="Y525" s="4"/>
      <c r="Z525" s="4"/>
      <c r="AA525" s="4"/>
      <c r="AB525" s="4"/>
      <c r="AC525" s="4"/>
      <c r="AD525" s="4"/>
      <c r="AE525" s="4"/>
      <c r="AF525" s="4"/>
      <c r="AG525" s="4"/>
      <c r="AH525" s="4"/>
      <c r="AI525" s="4"/>
      <c r="AJ525" s="4"/>
      <c r="AK525" s="4"/>
      <c r="AL525" s="4"/>
      <c r="AM525" s="4"/>
      <c r="AN525" s="4"/>
      <c r="AO525" s="4"/>
      <c r="AP525" s="4"/>
      <c r="AQ525" s="4"/>
      <c r="AR525" s="4"/>
      <c r="AS525" s="4"/>
      <c r="AT525" s="4"/>
      <c r="AU525" s="4"/>
      <c r="AV525" s="4"/>
      <c r="AW525" s="4"/>
      <c r="AX525" s="4"/>
      <c r="AY525" s="4"/>
      <c r="AZ525" s="4"/>
      <c r="BA525" s="4"/>
      <c r="BB525" s="4"/>
      <c r="BC525" s="4"/>
      <c r="BD525" s="4"/>
      <c r="BE525" s="4"/>
      <c r="BF525" s="4"/>
      <c r="BG525" s="4"/>
      <c r="BH525" s="4"/>
      <c r="BI525" s="4"/>
      <c r="BJ525" s="4"/>
      <c r="BK525" s="4"/>
      <c r="BL525" s="4"/>
      <c r="BM525" s="4"/>
      <c r="BN525" s="4"/>
      <c r="BO525" s="4"/>
      <c r="BP525" s="4"/>
      <c r="BQ525" s="4"/>
      <c r="BR525" s="4"/>
      <c r="BS525" s="4"/>
      <c r="BT525" s="4"/>
      <c r="BU525" s="4"/>
      <c r="BV525" s="4"/>
      <c r="BW525" s="4"/>
      <c r="BX525" s="4"/>
      <c r="BY525" s="4"/>
      <c r="BZ525" s="4"/>
      <c r="CA525" s="4"/>
      <c r="CB525" s="4"/>
      <c r="CC525" s="4"/>
      <c r="CD525" s="4"/>
      <c r="CE525" s="4"/>
      <c r="CF525" s="4"/>
      <c r="CG525" s="4"/>
      <c r="CH525" s="4"/>
      <c r="CI525" s="4"/>
    </row>
    <row r="526" ht="14.25" customHeight="1" spans="1:87" x14ac:dyDescent="0.25">
      <c r="A526" s="4"/>
      <c r="B526" s="4"/>
      <c r="C526" s="4"/>
      <c r="D526" s="4"/>
      <c r="E526" s="4"/>
      <c r="F526" s="4"/>
      <c r="G526" s="4"/>
      <c r="H526" s="4"/>
      <c r="I526" s="4"/>
      <c r="J526" s="4"/>
      <c r="K526" s="242"/>
      <c r="L526" s="4"/>
      <c r="M526" s="4"/>
      <c r="N526" s="4"/>
      <c r="O526" s="4"/>
      <c r="P526" s="4"/>
      <c r="Q526" s="4"/>
      <c r="R526" s="4"/>
      <c r="S526" s="4"/>
      <c r="T526" s="4"/>
      <c r="U526" s="4"/>
      <c r="V526" s="4"/>
      <c r="W526" s="4"/>
      <c r="X526" s="4"/>
      <c r="Y526" s="4"/>
      <c r="Z526" s="4"/>
      <c r="AA526" s="4"/>
      <c r="AB526" s="4"/>
      <c r="AC526" s="4"/>
      <c r="AD526" s="4"/>
      <c r="AE526" s="4"/>
      <c r="AF526" s="4"/>
      <c r="AG526" s="4"/>
      <c r="AH526" s="4"/>
      <c r="AI526" s="4"/>
      <c r="AJ526" s="4"/>
      <c r="AK526" s="4"/>
      <c r="AL526" s="4"/>
      <c r="AM526" s="4"/>
      <c r="AN526" s="4"/>
      <c r="AO526" s="4"/>
      <c r="AP526" s="4"/>
      <c r="AQ526" s="4"/>
      <c r="AR526" s="4"/>
      <c r="AS526" s="4"/>
      <c r="AT526" s="4"/>
      <c r="AU526" s="4"/>
      <c r="AV526" s="4"/>
      <c r="AW526" s="4"/>
      <c r="AX526" s="4"/>
      <c r="AY526" s="4"/>
      <c r="AZ526" s="4"/>
      <c r="BA526" s="4"/>
      <c r="BB526" s="4"/>
      <c r="BC526" s="4"/>
      <c r="BD526" s="4"/>
      <c r="BE526" s="4"/>
      <c r="BF526" s="4"/>
      <c r="BG526" s="4"/>
      <c r="BH526" s="4"/>
      <c r="BI526" s="4"/>
      <c r="BJ526" s="4"/>
      <c r="BK526" s="4"/>
      <c r="BL526" s="4"/>
      <c r="BM526" s="4"/>
      <c r="BN526" s="4"/>
      <c r="BO526" s="4"/>
      <c r="BP526" s="4"/>
      <c r="BQ526" s="4"/>
      <c r="BR526" s="4"/>
      <c r="BS526" s="4"/>
      <c r="BT526" s="4"/>
      <c r="BU526" s="4"/>
      <c r="BV526" s="4"/>
      <c r="BW526" s="4"/>
      <c r="BX526" s="4"/>
      <c r="BY526" s="4"/>
      <c r="BZ526" s="4"/>
      <c r="CA526" s="4"/>
      <c r="CB526" s="4"/>
      <c r="CC526" s="4"/>
      <c r="CD526" s="4"/>
      <c r="CE526" s="4"/>
      <c r="CF526" s="4"/>
      <c r="CG526" s="4"/>
      <c r="CH526" s="4"/>
      <c r="CI526" s="4"/>
    </row>
    <row r="527" ht="14.25" customHeight="1" spans="1:87" x14ac:dyDescent="0.25">
      <c r="A527" s="4"/>
      <c r="B527" s="4"/>
      <c r="C527" s="4"/>
      <c r="D527" s="4"/>
      <c r="E527" s="4"/>
      <c r="F527" s="4"/>
      <c r="G527" s="4"/>
      <c r="H527" s="4"/>
      <c r="I527" s="4"/>
      <c r="J527" s="4"/>
      <c r="K527" s="242"/>
      <c r="L527" s="4"/>
      <c r="M527" s="4"/>
      <c r="N527" s="4"/>
      <c r="O527" s="4"/>
      <c r="P527" s="4"/>
      <c r="Q527" s="4"/>
      <c r="R527" s="4"/>
      <c r="S527" s="4"/>
      <c r="T527" s="4"/>
      <c r="U527" s="4"/>
      <c r="V527" s="4"/>
      <c r="W527" s="4"/>
      <c r="X527" s="4"/>
      <c r="Y527" s="4"/>
      <c r="Z527" s="4"/>
      <c r="AA527" s="4"/>
      <c r="AB527" s="4"/>
      <c r="AC527" s="4"/>
      <c r="AD527" s="4"/>
      <c r="AE527" s="4"/>
      <c r="AF527" s="4"/>
      <c r="AG527" s="4"/>
      <c r="AH527" s="4"/>
      <c r="AI527" s="4"/>
      <c r="AJ527" s="4"/>
      <c r="AK527" s="4"/>
      <c r="AL527" s="4"/>
      <c r="AM527" s="4"/>
      <c r="AN527" s="4"/>
      <c r="AO527" s="4"/>
      <c r="AP527" s="4"/>
      <c r="AQ527" s="4"/>
      <c r="AR527" s="4"/>
      <c r="AS527" s="4"/>
      <c r="AT527" s="4"/>
      <c r="AU527" s="4"/>
      <c r="AV527" s="4"/>
      <c r="AW527" s="4"/>
      <c r="AX527" s="4"/>
      <c r="AY527" s="4"/>
      <c r="AZ527" s="4"/>
      <c r="BA527" s="4"/>
      <c r="BB527" s="4"/>
      <c r="BC527" s="4"/>
      <c r="BD527" s="4"/>
      <c r="BE527" s="4"/>
      <c r="BF527" s="4"/>
      <c r="BG527" s="4"/>
      <c r="BH527" s="4"/>
      <c r="BI527" s="4"/>
      <c r="BJ527" s="4"/>
      <c r="BK527" s="4"/>
      <c r="BL527" s="4"/>
      <c r="BM527" s="4"/>
      <c r="BN527" s="4"/>
      <c r="BO527" s="4"/>
      <c r="BP527" s="4"/>
      <c r="BQ527" s="4"/>
      <c r="BR527" s="4"/>
      <c r="BS527" s="4"/>
      <c r="BT527" s="4"/>
      <c r="BU527" s="4"/>
      <c r="BV527" s="4"/>
      <c r="BW527" s="4"/>
      <c r="BX527" s="4"/>
      <c r="BY527" s="4"/>
      <c r="BZ527" s="4"/>
      <c r="CA527" s="4"/>
      <c r="CB527" s="4"/>
      <c r="CC527" s="4"/>
      <c r="CD527" s="4"/>
      <c r="CE527" s="4"/>
      <c r="CF527" s="4"/>
      <c r="CG527" s="4"/>
      <c r="CH527" s="4"/>
      <c r="CI527" s="4"/>
    </row>
    <row r="528" ht="14.25" customHeight="1" spans="1:87" x14ac:dyDescent="0.25">
      <c r="A528" s="4"/>
      <c r="B528" s="4"/>
      <c r="C528" s="4"/>
      <c r="D528" s="4"/>
      <c r="E528" s="4"/>
      <c r="F528" s="4"/>
      <c r="G528" s="4"/>
      <c r="H528" s="4"/>
      <c r="I528" s="4"/>
      <c r="J528" s="4"/>
      <c r="K528" s="242"/>
      <c r="L528" s="4"/>
      <c r="M528" s="4"/>
      <c r="N528" s="4"/>
      <c r="O528" s="4"/>
      <c r="P528" s="4"/>
      <c r="Q528" s="4"/>
      <c r="R528" s="4"/>
      <c r="S528" s="4"/>
      <c r="T528" s="4"/>
      <c r="U528" s="4"/>
      <c r="V528" s="4"/>
      <c r="W528" s="4"/>
      <c r="X528" s="4"/>
      <c r="Y528" s="4"/>
      <c r="Z528" s="4"/>
      <c r="AA528" s="4"/>
      <c r="AB528" s="4"/>
      <c r="AC528" s="4"/>
      <c r="AD528" s="4"/>
      <c r="AE528" s="4"/>
      <c r="AF528" s="4"/>
      <c r="AG528" s="4"/>
      <c r="AH528" s="4"/>
      <c r="AI528" s="4"/>
      <c r="AJ528" s="4"/>
      <c r="AK528" s="4"/>
      <c r="AL528" s="4"/>
      <c r="AM528" s="4"/>
      <c r="AN528" s="4"/>
      <c r="AO528" s="4"/>
      <c r="AP528" s="4"/>
      <c r="AQ528" s="4"/>
      <c r="AR528" s="4"/>
      <c r="AS528" s="4"/>
      <c r="AT528" s="4"/>
      <c r="AU528" s="4"/>
      <c r="AV528" s="4"/>
      <c r="AW528" s="4"/>
      <c r="AX528" s="4"/>
      <c r="AY528" s="4"/>
      <c r="AZ528" s="4"/>
      <c r="BA528" s="4"/>
      <c r="BB528" s="4"/>
      <c r="BC528" s="4"/>
      <c r="BD528" s="4"/>
      <c r="BE528" s="4"/>
      <c r="BF528" s="4"/>
      <c r="BG528" s="4"/>
      <c r="BH528" s="4"/>
      <c r="BI528" s="4"/>
      <c r="BJ528" s="4"/>
      <c r="BK528" s="4"/>
      <c r="BL528" s="4"/>
      <c r="BM528" s="4"/>
      <c r="BN528" s="4"/>
      <c r="BO528" s="4"/>
      <c r="BP528" s="4"/>
      <c r="BQ528" s="4"/>
      <c r="BR528" s="4"/>
      <c r="BS528" s="4"/>
      <c r="BT528" s="4"/>
      <c r="BU528" s="4"/>
      <c r="BV528" s="4"/>
      <c r="BW528" s="4"/>
      <c r="BX528" s="4"/>
      <c r="BY528" s="4"/>
      <c r="BZ528" s="4"/>
      <c r="CA528" s="4"/>
      <c r="CB528" s="4"/>
      <c r="CC528" s="4"/>
      <c r="CD528" s="4"/>
      <c r="CE528" s="4"/>
      <c r="CF528" s="4"/>
      <c r="CG528" s="4"/>
      <c r="CH528" s="4"/>
      <c r="CI528" s="4"/>
    </row>
    <row r="529" ht="14.25" customHeight="1" spans="1:87" x14ac:dyDescent="0.25">
      <c r="A529" s="4"/>
      <c r="B529" s="4"/>
      <c r="C529" s="4"/>
      <c r="D529" s="4"/>
      <c r="E529" s="4"/>
      <c r="F529" s="4"/>
      <c r="G529" s="4"/>
      <c r="H529" s="4"/>
      <c r="I529" s="4"/>
      <c r="J529" s="4"/>
      <c r="K529" s="242"/>
      <c r="L529" s="4"/>
      <c r="M529" s="4"/>
      <c r="N529" s="4"/>
      <c r="O529" s="4"/>
      <c r="P529" s="4"/>
      <c r="Q529" s="4"/>
      <c r="R529" s="4"/>
      <c r="S529" s="4"/>
      <c r="T529" s="4"/>
      <c r="U529" s="4"/>
      <c r="V529" s="4"/>
      <c r="W529" s="4"/>
      <c r="X529" s="4"/>
      <c r="Y529" s="4"/>
      <c r="Z529" s="4"/>
      <c r="AA529" s="4"/>
      <c r="AB529" s="4"/>
      <c r="AC529" s="4"/>
      <c r="AD529" s="4"/>
      <c r="AE529" s="4"/>
      <c r="AF529" s="4"/>
      <c r="AG529" s="4"/>
      <c r="AH529" s="4"/>
      <c r="AI529" s="4"/>
      <c r="AJ529" s="4"/>
      <c r="AK529" s="4"/>
      <c r="AL529" s="4"/>
      <c r="AM529" s="4"/>
      <c r="AN529" s="4"/>
      <c r="AO529" s="4"/>
      <c r="AP529" s="4"/>
      <c r="AQ529" s="4"/>
      <c r="AR529" s="4"/>
      <c r="AS529" s="4"/>
      <c r="AT529" s="4"/>
      <c r="AU529" s="4"/>
      <c r="AV529" s="4"/>
      <c r="AW529" s="4"/>
      <c r="AX529" s="4"/>
      <c r="AY529" s="4"/>
      <c r="AZ529" s="4"/>
      <c r="BA529" s="4"/>
      <c r="BB529" s="4"/>
      <c r="BC529" s="4"/>
      <c r="BD529" s="4"/>
      <c r="BE529" s="4"/>
      <c r="BF529" s="4"/>
      <c r="BG529" s="4"/>
      <c r="BH529" s="4"/>
      <c r="BI529" s="4"/>
      <c r="BJ529" s="4"/>
      <c r="BK529" s="4"/>
      <c r="BL529" s="4"/>
      <c r="BM529" s="4"/>
      <c r="BN529" s="4"/>
      <c r="BO529" s="4"/>
      <c r="BP529" s="4"/>
      <c r="BQ529" s="4"/>
      <c r="BR529" s="4"/>
      <c r="BS529" s="4"/>
      <c r="BT529" s="4"/>
      <c r="BU529" s="4"/>
      <c r="BV529" s="4"/>
      <c r="BW529" s="4"/>
      <c r="BX529" s="4"/>
      <c r="BY529" s="4"/>
      <c r="BZ529" s="4"/>
      <c r="CA529" s="4"/>
      <c r="CB529" s="4"/>
      <c r="CC529" s="4"/>
      <c r="CD529" s="4"/>
      <c r="CE529" s="4"/>
      <c r="CF529" s="4"/>
      <c r="CG529" s="4"/>
      <c r="CH529" s="4"/>
      <c r="CI529" s="4"/>
    </row>
    <row r="530" ht="14.25" customHeight="1" spans="1:87" x14ac:dyDescent="0.25">
      <c r="A530" s="4"/>
      <c r="B530" s="4"/>
      <c r="C530" s="4"/>
      <c r="D530" s="4"/>
      <c r="E530" s="4"/>
      <c r="F530" s="4"/>
      <c r="G530" s="4"/>
      <c r="H530" s="4"/>
      <c r="I530" s="4"/>
      <c r="J530" s="4"/>
      <c r="K530" s="242"/>
      <c r="L530" s="4"/>
      <c r="M530" s="4"/>
      <c r="N530" s="4"/>
      <c r="O530" s="4"/>
      <c r="P530" s="4"/>
      <c r="Q530" s="4"/>
      <c r="R530" s="4"/>
      <c r="S530" s="4"/>
      <c r="T530" s="4"/>
      <c r="U530" s="4"/>
      <c r="V530" s="4"/>
      <c r="W530" s="4"/>
      <c r="X530" s="4"/>
      <c r="Y530" s="4"/>
      <c r="Z530" s="4"/>
      <c r="AA530" s="4"/>
      <c r="AB530" s="4"/>
      <c r="AC530" s="4"/>
      <c r="AD530" s="4"/>
      <c r="AE530" s="4"/>
      <c r="AF530" s="4"/>
      <c r="AG530" s="4"/>
      <c r="AH530" s="4"/>
      <c r="AI530" s="4"/>
      <c r="AJ530" s="4"/>
      <c r="AK530" s="4"/>
      <c r="AL530" s="4"/>
      <c r="AM530" s="4"/>
      <c r="AN530" s="4"/>
      <c r="AO530" s="4"/>
      <c r="AP530" s="4"/>
      <c r="AQ530" s="4"/>
      <c r="AR530" s="4"/>
      <c r="AS530" s="4"/>
      <c r="AT530" s="4"/>
      <c r="AU530" s="4"/>
      <c r="AV530" s="4"/>
      <c r="AW530" s="4"/>
      <c r="AX530" s="4"/>
      <c r="AY530" s="4"/>
      <c r="AZ530" s="4"/>
      <c r="BA530" s="4"/>
      <c r="BB530" s="4"/>
      <c r="BC530" s="4"/>
      <c r="BD530" s="4"/>
      <c r="BE530" s="4"/>
      <c r="BF530" s="4"/>
      <c r="BG530" s="4"/>
      <c r="BH530" s="4"/>
      <c r="BI530" s="4"/>
      <c r="BJ530" s="4"/>
      <c r="BK530" s="4"/>
      <c r="BL530" s="4"/>
      <c r="BM530" s="4"/>
      <c r="BN530" s="4"/>
      <c r="BO530" s="4"/>
      <c r="BP530" s="4"/>
      <c r="BQ530" s="4"/>
      <c r="BR530" s="4"/>
      <c r="BS530" s="4"/>
      <c r="BT530" s="4"/>
      <c r="BU530" s="4"/>
      <c r="BV530" s="4"/>
      <c r="BW530" s="4"/>
      <c r="BX530" s="4"/>
      <c r="BY530" s="4"/>
      <c r="BZ530" s="4"/>
      <c r="CA530" s="4"/>
      <c r="CB530" s="4"/>
      <c r="CC530" s="4"/>
      <c r="CD530" s="4"/>
      <c r="CE530" s="4"/>
      <c r="CF530" s="4"/>
      <c r="CG530" s="4"/>
      <c r="CH530" s="4"/>
      <c r="CI530" s="4"/>
    </row>
    <row r="531" ht="14.25" customHeight="1" spans="1:87" x14ac:dyDescent="0.25">
      <c r="A531" s="4"/>
      <c r="B531" s="4"/>
      <c r="C531" s="4"/>
      <c r="D531" s="4"/>
      <c r="E531" s="4"/>
      <c r="F531" s="4"/>
      <c r="G531" s="4"/>
      <c r="H531" s="4"/>
      <c r="I531" s="4"/>
      <c r="J531" s="4"/>
      <c r="K531" s="242"/>
      <c r="L531" s="4"/>
      <c r="M531" s="4"/>
      <c r="N531" s="4"/>
      <c r="O531" s="4"/>
      <c r="P531" s="4"/>
      <c r="Q531" s="4"/>
      <c r="R531" s="4"/>
      <c r="S531" s="4"/>
      <c r="T531" s="4"/>
      <c r="U531" s="4"/>
      <c r="V531" s="4"/>
      <c r="W531" s="4"/>
      <c r="X531" s="4"/>
      <c r="Y531" s="4"/>
      <c r="Z531" s="4"/>
      <c r="AA531" s="4"/>
      <c r="AB531" s="4"/>
      <c r="AC531" s="4"/>
      <c r="AD531" s="4"/>
      <c r="AE531" s="4"/>
      <c r="AF531" s="4"/>
      <c r="AG531" s="4"/>
      <c r="AH531" s="4"/>
      <c r="AI531" s="4"/>
      <c r="AJ531" s="4"/>
      <c r="AK531" s="4"/>
      <c r="AL531" s="4"/>
      <c r="AM531" s="4"/>
      <c r="AN531" s="4"/>
      <c r="AO531" s="4"/>
      <c r="AP531" s="4"/>
      <c r="AQ531" s="4"/>
      <c r="AR531" s="4"/>
      <c r="AS531" s="4"/>
      <c r="AT531" s="4"/>
      <c r="AU531" s="4"/>
      <c r="AV531" s="4"/>
      <c r="AW531" s="4"/>
      <c r="AX531" s="4"/>
      <c r="AY531" s="4"/>
      <c r="AZ531" s="4"/>
      <c r="BA531" s="4"/>
      <c r="BB531" s="4"/>
      <c r="BC531" s="4"/>
      <c r="BD531" s="4"/>
      <c r="BE531" s="4"/>
      <c r="BF531" s="4"/>
      <c r="BG531" s="4"/>
      <c r="BH531" s="4"/>
      <c r="BI531" s="4"/>
      <c r="BJ531" s="4"/>
      <c r="BK531" s="4"/>
      <c r="BL531" s="4"/>
      <c r="BM531" s="4"/>
      <c r="BN531" s="4"/>
      <c r="BO531" s="4"/>
      <c r="BP531" s="4"/>
      <c r="BQ531" s="4"/>
      <c r="BR531" s="4"/>
      <c r="BS531" s="4"/>
      <c r="BT531" s="4"/>
      <c r="BU531" s="4"/>
      <c r="BV531" s="4"/>
      <c r="BW531" s="4"/>
      <c r="BX531" s="4"/>
      <c r="BY531" s="4"/>
      <c r="BZ531" s="4"/>
      <c r="CA531" s="4"/>
      <c r="CB531" s="4"/>
      <c r="CC531" s="4"/>
      <c r="CD531" s="4"/>
      <c r="CE531" s="4"/>
      <c r="CF531" s="4"/>
      <c r="CG531" s="4"/>
      <c r="CH531" s="4"/>
      <c r="CI531" s="4"/>
    </row>
    <row r="532" ht="14.25" customHeight="1" spans="1:87" x14ac:dyDescent="0.25">
      <c r="A532" s="4"/>
      <c r="B532" s="4"/>
      <c r="C532" s="4"/>
      <c r="D532" s="4"/>
      <c r="E532" s="4"/>
      <c r="F532" s="4"/>
      <c r="G532" s="4"/>
      <c r="H532" s="4"/>
      <c r="I532" s="4"/>
      <c r="J532" s="4"/>
      <c r="K532" s="242"/>
      <c r="L532" s="4"/>
      <c r="M532" s="4"/>
      <c r="N532" s="4"/>
      <c r="O532" s="4"/>
      <c r="P532" s="4"/>
      <c r="Q532" s="4"/>
      <c r="R532" s="4"/>
      <c r="S532" s="4"/>
      <c r="T532" s="4"/>
      <c r="U532" s="4"/>
      <c r="V532" s="4"/>
      <c r="W532" s="4"/>
      <c r="X532" s="4"/>
      <c r="Y532" s="4"/>
      <c r="Z532" s="4"/>
      <c r="AA532" s="4"/>
      <c r="AB532" s="4"/>
      <c r="AC532" s="4"/>
      <c r="AD532" s="4"/>
      <c r="AE532" s="4"/>
      <c r="AF532" s="4"/>
      <c r="AG532" s="4"/>
      <c r="AH532" s="4"/>
      <c r="AI532" s="4"/>
      <c r="AJ532" s="4"/>
      <c r="AK532" s="4"/>
      <c r="AL532" s="4"/>
      <c r="AM532" s="4"/>
      <c r="AN532" s="4"/>
      <c r="AO532" s="4"/>
      <c r="AP532" s="4"/>
      <c r="AQ532" s="4"/>
      <c r="AR532" s="4"/>
      <c r="AS532" s="4"/>
      <c r="AT532" s="4"/>
      <c r="AU532" s="4"/>
      <c r="AV532" s="4"/>
      <c r="AW532" s="4"/>
      <c r="AX532" s="4"/>
      <c r="AY532" s="4"/>
      <c r="AZ532" s="4"/>
      <c r="BA532" s="4"/>
      <c r="BB532" s="4"/>
      <c r="BC532" s="4"/>
      <c r="BD532" s="4"/>
      <c r="BE532" s="4"/>
      <c r="BF532" s="4"/>
      <c r="BG532" s="4"/>
      <c r="BH532" s="4"/>
      <c r="BI532" s="4"/>
      <c r="BJ532" s="4"/>
      <c r="BK532" s="4"/>
      <c r="BL532" s="4"/>
      <c r="BM532" s="4"/>
      <c r="BN532" s="4"/>
      <c r="BO532" s="4"/>
      <c r="BP532" s="4"/>
      <c r="BQ532" s="4"/>
      <c r="BR532" s="4"/>
      <c r="BS532" s="4"/>
      <c r="BT532" s="4"/>
      <c r="BU532" s="4"/>
      <c r="BV532" s="4"/>
      <c r="BW532" s="4"/>
      <c r="BX532" s="4"/>
      <c r="BY532" s="4"/>
      <c r="BZ532" s="4"/>
      <c r="CA532" s="4"/>
      <c r="CB532" s="4"/>
      <c r="CC532" s="4"/>
      <c r="CD532" s="4"/>
      <c r="CE532" s="4"/>
      <c r="CF532" s="4"/>
      <c r="CG532" s="4"/>
      <c r="CH532" s="4"/>
      <c r="CI532" s="4"/>
    </row>
    <row r="533" ht="14.25" customHeight="1" spans="1:87" x14ac:dyDescent="0.25">
      <c r="A533" s="4"/>
      <c r="B533" s="4"/>
      <c r="C533" s="4"/>
      <c r="D533" s="4"/>
      <c r="E533" s="4"/>
      <c r="F533" s="4"/>
      <c r="G533" s="4"/>
      <c r="H533" s="4"/>
      <c r="I533" s="4"/>
      <c r="J533" s="4"/>
      <c r="K533" s="242"/>
      <c r="L533" s="4"/>
      <c r="M533" s="4"/>
      <c r="N533" s="4"/>
      <c r="O533" s="4"/>
      <c r="P533" s="4"/>
      <c r="Q533" s="4"/>
      <c r="R533" s="4"/>
      <c r="S533" s="4"/>
      <c r="T533" s="4"/>
      <c r="U533" s="4"/>
      <c r="V533" s="4"/>
      <c r="W533" s="4"/>
      <c r="X533" s="4"/>
      <c r="Y533" s="4"/>
      <c r="Z533" s="4"/>
      <c r="AA533" s="4"/>
      <c r="AB533" s="4"/>
      <c r="AC533" s="4"/>
      <c r="AD533" s="4"/>
      <c r="AE533" s="4"/>
      <c r="AF533" s="4"/>
      <c r="AG533" s="4"/>
      <c r="AH533" s="4"/>
      <c r="AI533" s="4"/>
      <c r="AJ533" s="4"/>
      <c r="AK533" s="4"/>
      <c r="AL533" s="4"/>
      <c r="AM533" s="4"/>
      <c r="AN533" s="4"/>
      <c r="AO533" s="4"/>
      <c r="AP533" s="4"/>
      <c r="AQ533" s="4"/>
      <c r="AR533" s="4"/>
      <c r="AS533" s="4"/>
      <c r="AT533" s="4"/>
      <c r="AU533" s="4"/>
      <c r="AV533" s="4"/>
      <c r="AW533" s="4"/>
      <c r="AX533" s="4"/>
      <c r="AY533" s="4"/>
      <c r="AZ533" s="4"/>
      <c r="BA533" s="4"/>
      <c r="BB533" s="4"/>
      <c r="BC533" s="4"/>
      <c r="BD533" s="4"/>
      <c r="BE533" s="4"/>
      <c r="BF533" s="4"/>
      <c r="BG533" s="4"/>
      <c r="BH533" s="4"/>
      <c r="BI533" s="4"/>
      <c r="BJ533" s="4"/>
      <c r="BK533" s="4"/>
      <c r="BL533" s="4"/>
      <c r="BM533" s="4"/>
      <c r="BN533" s="4"/>
      <c r="BO533" s="4"/>
      <c r="BP533" s="4"/>
      <c r="BQ533" s="4"/>
      <c r="BR533" s="4"/>
      <c r="BS533" s="4"/>
      <c r="BT533" s="4"/>
      <c r="BU533" s="4"/>
      <c r="BV533" s="4"/>
      <c r="BW533" s="4"/>
      <c r="BX533" s="4"/>
      <c r="BY533" s="4"/>
      <c r="BZ533" s="4"/>
      <c r="CA533" s="4"/>
      <c r="CB533" s="4"/>
      <c r="CC533" s="4"/>
      <c r="CD533" s="4"/>
      <c r="CE533" s="4"/>
      <c r="CF533" s="4"/>
      <c r="CG533" s="4"/>
      <c r="CH533" s="4"/>
      <c r="CI533" s="4"/>
    </row>
    <row r="534" ht="14.25" customHeight="1" spans="1:87" x14ac:dyDescent="0.25">
      <c r="A534" s="4"/>
      <c r="B534" s="4"/>
      <c r="C534" s="4"/>
      <c r="D534" s="4"/>
      <c r="E534" s="4"/>
      <c r="F534" s="4"/>
      <c r="G534" s="4"/>
      <c r="H534" s="4"/>
      <c r="I534" s="4"/>
      <c r="J534" s="4"/>
      <c r="K534" s="242"/>
      <c r="L534" s="4"/>
      <c r="M534" s="4"/>
      <c r="N534" s="4"/>
      <c r="O534" s="4"/>
      <c r="P534" s="4"/>
      <c r="Q534" s="4"/>
      <c r="R534" s="4"/>
      <c r="S534" s="4"/>
      <c r="T534" s="4"/>
      <c r="U534" s="4"/>
      <c r="V534" s="4"/>
      <c r="W534" s="4"/>
      <c r="X534" s="4"/>
      <c r="Y534" s="4"/>
      <c r="Z534" s="4"/>
      <c r="AA534" s="4"/>
      <c r="AB534" s="4"/>
      <c r="AC534" s="4"/>
      <c r="AD534" s="4"/>
      <c r="AE534" s="4"/>
      <c r="AF534" s="4"/>
      <c r="AG534" s="4"/>
      <c r="AH534" s="4"/>
      <c r="AI534" s="4"/>
      <c r="AJ534" s="4"/>
      <c r="AK534" s="4"/>
      <c r="AL534" s="4"/>
      <c r="AM534" s="4"/>
      <c r="AN534" s="4"/>
      <c r="AO534" s="4"/>
      <c r="AP534" s="4"/>
      <c r="AQ534" s="4"/>
      <c r="AR534" s="4"/>
      <c r="AS534" s="4"/>
      <c r="AT534" s="4"/>
      <c r="AU534" s="4"/>
      <c r="AV534" s="4"/>
      <c r="AW534" s="4"/>
      <c r="AX534" s="4"/>
      <c r="AY534" s="4"/>
      <c r="AZ534" s="4"/>
      <c r="BA534" s="4"/>
      <c r="BB534" s="4"/>
      <c r="BC534" s="4"/>
      <c r="BD534" s="4"/>
      <c r="BE534" s="4"/>
      <c r="BF534" s="4"/>
      <c r="BG534" s="4"/>
      <c r="BH534" s="4"/>
      <c r="BI534" s="4"/>
      <c r="BJ534" s="4"/>
      <c r="BK534" s="4"/>
      <c r="BL534" s="4"/>
      <c r="BM534" s="4"/>
      <c r="BN534" s="4"/>
      <c r="BO534" s="4"/>
      <c r="BP534" s="4"/>
      <c r="BQ534" s="4"/>
      <c r="BR534" s="4"/>
      <c r="BS534" s="4"/>
      <c r="BT534" s="4"/>
      <c r="BU534" s="4"/>
      <c r="BV534" s="4"/>
      <c r="BW534" s="4"/>
      <c r="BX534" s="4"/>
      <c r="BY534" s="4"/>
      <c r="BZ534" s="4"/>
      <c r="CA534" s="4"/>
      <c r="CB534" s="4"/>
      <c r="CC534" s="4"/>
      <c r="CD534" s="4"/>
      <c r="CE534" s="4"/>
      <c r="CF534" s="4"/>
      <c r="CG534" s="4"/>
      <c r="CH534" s="4"/>
      <c r="CI534" s="4"/>
    </row>
    <row r="535" ht="14.25" customHeight="1" spans="1:87" x14ac:dyDescent="0.25">
      <c r="A535" s="4"/>
      <c r="B535" s="4"/>
      <c r="C535" s="4"/>
      <c r="D535" s="4"/>
      <c r="E535" s="4"/>
      <c r="F535" s="4"/>
      <c r="G535" s="4"/>
      <c r="H535" s="4"/>
      <c r="I535" s="4"/>
      <c r="J535" s="4"/>
      <c r="K535" s="242"/>
      <c r="L535" s="4"/>
      <c r="M535" s="4"/>
      <c r="N535" s="4"/>
      <c r="O535" s="4"/>
      <c r="P535" s="4"/>
      <c r="Q535" s="4"/>
      <c r="R535" s="4"/>
      <c r="S535" s="4"/>
      <c r="T535" s="4"/>
      <c r="U535" s="4"/>
      <c r="V535" s="4"/>
      <c r="W535" s="4"/>
      <c r="X535" s="4"/>
      <c r="Y535" s="4"/>
      <c r="Z535" s="4"/>
      <c r="AA535" s="4"/>
      <c r="AB535" s="4"/>
      <c r="AC535" s="4"/>
      <c r="AD535" s="4"/>
      <c r="AE535" s="4"/>
      <c r="AF535" s="4"/>
      <c r="AG535" s="4"/>
      <c r="AH535" s="4"/>
      <c r="AI535" s="4"/>
      <c r="AJ535" s="4"/>
      <c r="AK535" s="4"/>
      <c r="AL535" s="4"/>
      <c r="AM535" s="4"/>
      <c r="AN535" s="4"/>
      <c r="AO535" s="4"/>
      <c r="AP535" s="4"/>
      <c r="AQ535" s="4"/>
      <c r="AR535" s="4"/>
      <c r="AS535" s="4"/>
      <c r="AT535" s="4"/>
      <c r="AU535" s="4"/>
      <c r="AV535" s="4"/>
      <c r="AW535" s="4"/>
      <c r="AX535" s="4"/>
      <c r="AY535" s="4"/>
      <c r="AZ535" s="4"/>
      <c r="BA535" s="4"/>
      <c r="BB535" s="4"/>
      <c r="BC535" s="4"/>
      <c r="BD535" s="4"/>
      <c r="BE535" s="4"/>
      <c r="BF535" s="4"/>
      <c r="BG535" s="4"/>
      <c r="BH535" s="4"/>
      <c r="BI535" s="4"/>
      <c r="BJ535" s="4"/>
      <c r="BK535" s="4"/>
      <c r="BL535" s="4"/>
      <c r="BM535" s="4"/>
      <c r="BN535" s="4"/>
      <c r="BO535" s="4"/>
      <c r="BP535" s="4"/>
      <c r="BQ535" s="4"/>
      <c r="BR535" s="4"/>
      <c r="BS535" s="4"/>
      <c r="BT535" s="4"/>
      <c r="BU535" s="4"/>
      <c r="BV535" s="4"/>
      <c r="BW535" s="4"/>
      <c r="BX535" s="4"/>
      <c r="BY535" s="4"/>
      <c r="BZ535" s="4"/>
      <c r="CA535" s="4"/>
      <c r="CB535" s="4"/>
      <c r="CC535" s="4"/>
      <c r="CD535" s="4"/>
      <c r="CE535" s="4"/>
      <c r="CF535" s="4"/>
      <c r="CG535" s="4"/>
      <c r="CH535" s="4"/>
      <c r="CI535" s="4"/>
    </row>
    <row r="536" ht="14.25" customHeight="1" spans="1:87" x14ac:dyDescent="0.25">
      <c r="A536" s="4"/>
      <c r="B536" s="4"/>
      <c r="C536" s="4"/>
      <c r="D536" s="4"/>
      <c r="E536" s="4"/>
      <c r="F536" s="4"/>
      <c r="G536" s="4"/>
      <c r="H536" s="4"/>
      <c r="I536" s="4"/>
      <c r="J536" s="4"/>
      <c r="K536" s="242"/>
      <c r="L536" s="4"/>
      <c r="M536" s="4"/>
      <c r="N536" s="4"/>
      <c r="O536" s="4"/>
      <c r="P536" s="4"/>
      <c r="Q536" s="4"/>
      <c r="R536" s="4"/>
      <c r="S536" s="4"/>
      <c r="T536" s="4"/>
      <c r="U536" s="4"/>
      <c r="V536" s="4"/>
      <c r="W536" s="4"/>
      <c r="X536" s="4"/>
      <c r="Y536" s="4"/>
      <c r="Z536" s="4"/>
      <c r="AA536" s="4"/>
      <c r="AB536" s="4"/>
      <c r="AC536" s="4"/>
      <c r="AD536" s="4"/>
      <c r="AE536" s="4"/>
      <c r="AF536" s="4"/>
      <c r="AG536" s="4"/>
      <c r="AH536" s="4"/>
      <c r="AI536" s="4"/>
      <c r="AJ536" s="4"/>
      <c r="AK536" s="4"/>
      <c r="AL536" s="4"/>
      <c r="AM536" s="4"/>
      <c r="AN536" s="4"/>
      <c r="AO536" s="4"/>
      <c r="AP536" s="4"/>
      <c r="AQ536" s="4"/>
      <c r="AR536" s="4"/>
      <c r="AS536" s="4"/>
      <c r="AT536" s="4"/>
      <c r="AU536" s="4"/>
      <c r="AV536" s="4"/>
      <c r="AW536" s="4"/>
      <c r="AX536" s="4"/>
      <c r="AY536" s="4"/>
      <c r="AZ536" s="4"/>
      <c r="BA536" s="4"/>
      <c r="BB536" s="4"/>
      <c r="BC536" s="4"/>
      <c r="BD536" s="4"/>
      <c r="BE536" s="4"/>
      <c r="BF536" s="4"/>
      <c r="BG536" s="4"/>
      <c r="BH536" s="4"/>
      <c r="BI536" s="4"/>
      <c r="BJ536" s="4"/>
      <c r="BK536" s="4"/>
      <c r="BL536" s="4"/>
      <c r="BM536" s="4"/>
      <c r="BN536" s="4"/>
      <c r="BO536" s="4"/>
      <c r="BP536" s="4"/>
      <c r="BQ536" s="4"/>
      <c r="BR536" s="4"/>
      <c r="BS536" s="4"/>
      <c r="BT536" s="4"/>
      <c r="BU536" s="4"/>
      <c r="BV536" s="4"/>
      <c r="BW536" s="4"/>
      <c r="BX536" s="4"/>
      <c r="BY536" s="4"/>
      <c r="BZ536" s="4"/>
      <c r="CA536" s="4"/>
      <c r="CB536" s="4"/>
      <c r="CC536" s="4"/>
      <c r="CD536" s="4"/>
      <c r="CE536" s="4"/>
      <c r="CF536" s="4"/>
      <c r="CG536" s="4"/>
      <c r="CH536" s="4"/>
      <c r="CI536" s="4"/>
    </row>
    <row r="537" ht="14.25" customHeight="1" spans="1:87" x14ac:dyDescent="0.25">
      <c r="A537" s="4"/>
      <c r="B537" s="4"/>
      <c r="C537" s="4"/>
      <c r="D537" s="4"/>
      <c r="E537" s="4"/>
      <c r="F537" s="4"/>
      <c r="G537" s="4"/>
      <c r="H537" s="4"/>
      <c r="I537" s="4"/>
      <c r="J537" s="4"/>
      <c r="K537" s="242"/>
      <c r="L537" s="4"/>
      <c r="M537" s="4"/>
      <c r="N537" s="4"/>
      <c r="O537" s="4"/>
      <c r="P537" s="4"/>
      <c r="Q537" s="4"/>
      <c r="R537" s="4"/>
      <c r="S537" s="4"/>
      <c r="T537" s="4"/>
      <c r="U537" s="4"/>
      <c r="V537" s="4"/>
      <c r="W537" s="4"/>
      <c r="X537" s="4"/>
      <c r="Y537" s="4"/>
      <c r="Z537" s="4"/>
      <c r="AA537" s="4"/>
      <c r="AB537" s="4"/>
      <c r="AC537" s="4"/>
      <c r="AD537" s="4"/>
      <c r="AE537" s="4"/>
      <c r="AF537" s="4"/>
      <c r="AG537" s="4"/>
      <c r="AH537" s="4"/>
      <c r="AI537" s="4"/>
      <c r="AJ537" s="4"/>
      <c r="AK537" s="4"/>
      <c r="AL537" s="4"/>
      <c r="AM537" s="4"/>
      <c r="AN537" s="4"/>
      <c r="AO537" s="4"/>
      <c r="AP537" s="4"/>
      <c r="AQ537" s="4"/>
      <c r="AR537" s="4"/>
      <c r="AS537" s="4"/>
      <c r="AT537" s="4"/>
      <c r="AU537" s="4"/>
      <c r="AV537" s="4"/>
      <c r="AW537" s="4"/>
      <c r="AX537" s="4"/>
      <c r="AY537" s="4"/>
      <c r="AZ537" s="4"/>
      <c r="BA537" s="4"/>
      <c r="BB537" s="4"/>
      <c r="BC537" s="4"/>
      <c r="BD537" s="4"/>
      <c r="BE537" s="4"/>
      <c r="BF537" s="4"/>
      <c r="BG537" s="4"/>
      <c r="BH537" s="4"/>
      <c r="BI537" s="4"/>
      <c r="BJ537" s="4"/>
      <c r="BK537" s="4"/>
      <c r="BL537" s="4"/>
      <c r="BM537" s="4"/>
      <c r="BN537" s="4"/>
      <c r="BO537" s="4"/>
      <c r="BP537" s="4"/>
      <c r="BQ537" s="4"/>
      <c r="BR537" s="4"/>
      <c r="BS537" s="4"/>
      <c r="BT537" s="4"/>
      <c r="BU537" s="4"/>
      <c r="BV537" s="4"/>
      <c r="BW537" s="4"/>
      <c r="BX537" s="4"/>
      <c r="BY537" s="4"/>
      <c r="BZ537" s="4"/>
      <c r="CA537" s="4"/>
      <c r="CB537" s="4"/>
      <c r="CC537" s="4"/>
      <c r="CD537" s="4"/>
      <c r="CE537" s="4"/>
      <c r="CF537" s="4"/>
      <c r="CG537" s="4"/>
      <c r="CH537" s="4"/>
      <c r="CI537" s="4"/>
    </row>
    <row r="538" ht="14.25" customHeight="1" spans="1:87" x14ac:dyDescent="0.25">
      <c r="A538" s="4"/>
      <c r="B538" s="4"/>
      <c r="C538" s="4"/>
      <c r="D538" s="4"/>
      <c r="E538" s="4"/>
      <c r="F538" s="4"/>
      <c r="G538" s="4"/>
      <c r="H538" s="4"/>
      <c r="I538" s="4"/>
      <c r="J538" s="4"/>
      <c r="K538" s="242"/>
      <c r="L538" s="4"/>
      <c r="M538" s="4"/>
      <c r="N538" s="4"/>
      <c r="O538" s="4"/>
      <c r="P538" s="4"/>
      <c r="Q538" s="4"/>
      <c r="R538" s="4"/>
      <c r="S538" s="4"/>
      <c r="T538" s="4"/>
      <c r="U538" s="4"/>
      <c r="V538" s="4"/>
      <c r="W538" s="4"/>
      <c r="X538" s="4"/>
      <c r="Y538" s="4"/>
      <c r="Z538" s="4"/>
      <c r="AA538" s="4"/>
      <c r="AB538" s="4"/>
      <c r="AC538" s="4"/>
      <c r="AD538" s="4"/>
      <c r="AE538" s="4"/>
      <c r="AF538" s="4"/>
      <c r="AG538" s="4"/>
      <c r="AH538" s="4"/>
      <c r="AI538" s="4"/>
      <c r="AJ538" s="4"/>
      <c r="AK538" s="4"/>
      <c r="AL538" s="4"/>
      <c r="AM538" s="4"/>
      <c r="AN538" s="4"/>
      <c r="AO538" s="4"/>
      <c r="AP538" s="4"/>
      <c r="AQ538" s="4"/>
      <c r="AR538" s="4"/>
      <c r="AS538" s="4"/>
      <c r="AT538" s="4"/>
      <c r="AU538" s="4"/>
      <c r="AV538" s="4"/>
      <c r="AW538" s="4"/>
      <c r="AX538" s="4"/>
      <c r="AY538" s="4"/>
      <c r="AZ538" s="4"/>
      <c r="BA538" s="4"/>
      <c r="BB538" s="4"/>
      <c r="BC538" s="4"/>
      <c r="BD538" s="4"/>
      <c r="BE538" s="4"/>
      <c r="BF538" s="4"/>
      <c r="BG538" s="4"/>
      <c r="BH538" s="4"/>
      <c r="BI538" s="4"/>
      <c r="BJ538" s="4"/>
      <c r="BK538" s="4"/>
      <c r="BL538" s="4"/>
      <c r="BM538" s="4"/>
      <c r="BN538" s="4"/>
      <c r="BO538" s="4"/>
      <c r="BP538" s="4"/>
      <c r="BQ538" s="4"/>
      <c r="BR538" s="4"/>
      <c r="BS538" s="4"/>
      <c r="BT538" s="4"/>
      <c r="BU538" s="4"/>
      <c r="BV538" s="4"/>
      <c r="BW538" s="4"/>
      <c r="BX538" s="4"/>
      <c r="BY538" s="4"/>
      <c r="BZ538" s="4"/>
      <c r="CA538" s="4"/>
      <c r="CB538" s="4"/>
      <c r="CC538" s="4"/>
      <c r="CD538" s="4"/>
      <c r="CE538" s="4"/>
      <c r="CF538" s="4"/>
      <c r="CG538" s="4"/>
      <c r="CH538" s="4"/>
      <c r="CI538" s="4"/>
    </row>
    <row r="539" ht="14.25" customHeight="1" spans="1:87" x14ac:dyDescent="0.25">
      <c r="A539" s="4"/>
      <c r="B539" s="4"/>
      <c r="C539" s="4"/>
      <c r="D539" s="4"/>
      <c r="E539" s="4"/>
      <c r="F539" s="4"/>
      <c r="G539" s="4"/>
      <c r="H539" s="4"/>
      <c r="I539" s="4"/>
      <c r="J539" s="4"/>
      <c r="K539" s="242"/>
      <c r="L539" s="4"/>
      <c r="M539" s="4"/>
      <c r="N539" s="4"/>
      <c r="O539" s="4"/>
      <c r="P539" s="4"/>
      <c r="Q539" s="4"/>
      <c r="R539" s="4"/>
      <c r="S539" s="4"/>
      <c r="T539" s="4"/>
      <c r="U539" s="4"/>
      <c r="V539" s="4"/>
      <c r="W539" s="4"/>
      <c r="X539" s="4"/>
      <c r="Y539" s="4"/>
      <c r="Z539" s="4"/>
      <c r="AA539" s="4"/>
      <c r="AB539" s="4"/>
      <c r="AC539" s="4"/>
      <c r="AD539" s="4"/>
      <c r="AE539" s="4"/>
      <c r="AF539" s="4"/>
      <c r="AG539" s="4"/>
      <c r="AH539" s="4"/>
      <c r="AI539" s="4"/>
      <c r="AJ539" s="4"/>
      <c r="AK539" s="4"/>
      <c r="AL539" s="4"/>
      <c r="AM539" s="4"/>
      <c r="AN539" s="4"/>
      <c r="AO539" s="4"/>
      <c r="AP539" s="4"/>
      <c r="AQ539" s="4"/>
      <c r="AR539" s="4"/>
      <c r="AS539" s="4"/>
      <c r="AT539" s="4"/>
      <c r="AU539" s="4"/>
      <c r="AV539" s="4"/>
      <c r="AW539" s="4"/>
      <c r="AX539" s="4"/>
      <c r="AY539" s="4"/>
      <c r="AZ539" s="4"/>
      <c r="BA539" s="4"/>
      <c r="BB539" s="4"/>
      <c r="BC539" s="4"/>
      <c r="BD539" s="4"/>
      <c r="BE539" s="4"/>
      <c r="BF539" s="4"/>
      <c r="BG539" s="4"/>
      <c r="BH539" s="4"/>
      <c r="BI539" s="4"/>
      <c r="BJ539" s="4"/>
      <c r="BK539" s="4"/>
      <c r="BL539" s="4"/>
      <c r="BM539" s="4"/>
      <c r="BN539" s="4"/>
      <c r="BO539" s="4"/>
      <c r="BP539" s="4"/>
      <c r="BQ539" s="4"/>
      <c r="BR539" s="4"/>
      <c r="BS539" s="4"/>
      <c r="BT539" s="4"/>
      <c r="BU539" s="4"/>
      <c r="BV539" s="4"/>
      <c r="BW539" s="4"/>
      <c r="BX539" s="4"/>
      <c r="BY539" s="4"/>
      <c r="BZ539" s="4"/>
      <c r="CA539" s="4"/>
      <c r="CB539" s="4"/>
      <c r="CC539" s="4"/>
      <c r="CD539" s="4"/>
      <c r="CE539" s="4"/>
      <c r="CF539" s="4"/>
      <c r="CG539" s="4"/>
      <c r="CH539" s="4"/>
      <c r="CI539" s="4"/>
    </row>
    <row r="540" ht="14.25" customHeight="1" spans="1:87" x14ac:dyDescent="0.25">
      <c r="A540" s="4"/>
      <c r="B540" s="4"/>
      <c r="C540" s="4"/>
      <c r="D540" s="4"/>
      <c r="E540" s="4"/>
      <c r="F540" s="4"/>
      <c r="G540" s="4"/>
      <c r="H540" s="4"/>
      <c r="I540" s="4"/>
      <c r="J540" s="4"/>
      <c r="K540" s="242"/>
      <c r="L540" s="4"/>
      <c r="M540" s="4"/>
      <c r="N540" s="4"/>
      <c r="O540" s="4"/>
      <c r="P540" s="4"/>
      <c r="Q540" s="4"/>
      <c r="R540" s="4"/>
      <c r="S540" s="4"/>
      <c r="T540" s="4"/>
      <c r="U540" s="4"/>
      <c r="V540" s="4"/>
      <c r="W540" s="4"/>
      <c r="X540" s="4"/>
      <c r="Y540" s="4"/>
      <c r="Z540" s="4"/>
      <c r="AA540" s="4"/>
      <c r="AB540" s="4"/>
      <c r="AC540" s="4"/>
      <c r="AD540" s="4"/>
      <c r="AE540" s="4"/>
      <c r="AF540" s="4"/>
      <c r="AG540" s="4"/>
      <c r="AH540" s="4"/>
      <c r="AI540" s="4"/>
      <c r="AJ540" s="4"/>
      <c r="AK540" s="4"/>
      <c r="AL540" s="4"/>
      <c r="AM540" s="4"/>
      <c r="AN540" s="4"/>
      <c r="AO540" s="4"/>
      <c r="AP540" s="4"/>
      <c r="AQ540" s="4"/>
      <c r="AR540" s="4"/>
      <c r="AS540" s="4"/>
      <c r="AT540" s="4"/>
      <c r="AU540" s="4"/>
      <c r="AV540" s="4"/>
      <c r="AW540" s="4"/>
      <c r="AX540" s="4"/>
      <c r="AY540" s="4"/>
      <c r="AZ540" s="4"/>
      <c r="BA540" s="4"/>
      <c r="BB540" s="4"/>
      <c r="BC540" s="4"/>
      <c r="BD540" s="4"/>
      <c r="BE540" s="4"/>
      <c r="BF540" s="4"/>
      <c r="BG540" s="4"/>
      <c r="BH540" s="4"/>
      <c r="BI540" s="4"/>
      <c r="BJ540" s="4"/>
      <c r="BK540" s="4"/>
      <c r="BL540" s="4"/>
      <c r="BM540" s="4"/>
      <c r="BN540" s="4"/>
      <c r="BO540" s="4"/>
      <c r="BP540" s="4"/>
      <c r="BQ540" s="4"/>
      <c r="BR540" s="4"/>
      <c r="BS540" s="4"/>
      <c r="BT540" s="4"/>
      <c r="BU540" s="4"/>
      <c r="BV540" s="4"/>
      <c r="BW540" s="4"/>
      <c r="BX540" s="4"/>
      <c r="BY540" s="4"/>
      <c r="BZ540" s="4"/>
      <c r="CA540" s="4"/>
      <c r="CB540" s="4"/>
      <c r="CC540" s="4"/>
      <c r="CD540" s="4"/>
      <c r="CE540" s="4"/>
      <c r="CF540" s="4"/>
      <c r="CG540" s="4"/>
      <c r="CH540" s="4"/>
      <c r="CI540" s="4"/>
    </row>
    <row r="541" ht="14.25" customHeight="1" spans="1:87" x14ac:dyDescent="0.25">
      <c r="A541" s="4"/>
      <c r="B541" s="4"/>
      <c r="C541" s="4"/>
      <c r="D541" s="4"/>
      <c r="E541" s="4"/>
      <c r="F541" s="4"/>
      <c r="G541" s="4"/>
      <c r="H541" s="4"/>
      <c r="I541" s="4"/>
      <c r="J541" s="4"/>
      <c r="K541" s="242"/>
      <c r="L541" s="4"/>
      <c r="M541" s="4"/>
      <c r="N541" s="4"/>
      <c r="O541" s="4"/>
      <c r="P541" s="4"/>
      <c r="Q541" s="4"/>
      <c r="R541" s="4"/>
      <c r="S541" s="4"/>
      <c r="T541" s="4"/>
      <c r="U541" s="4"/>
      <c r="V541" s="4"/>
      <c r="W541" s="4"/>
      <c r="X541" s="4"/>
      <c r="Y541" s="4"/>
      <c r="Z541" s="4"/>
      <c r="AA541" s="4"/>
      <c r="AB541" s="4"/>
      <c r="AC541" s="4"/>
      <c r="AD541" s="4"/>
      <c r="AE541" s="4"/>
      <c r="AF541" s="4"/>
      <c r="AG541" s="4"/>
      <c r="AH541" s="4"/>
      <c r="AI541" s="4"/>
      <c r="AJ541" s="4"/>
      <c r="AK541" s="4"/>
      <c r="AL541" s="4"/>
      <c r="AM541" s="4"/>
      <c r="AN541" s="4"/>
      <c r="AO541" s="4"/>
      <c r="AP541" s="4"/>
      <c r="AQ541" s="4"/>
      <c r="AR541" s="4"/>
      <c r="AS541" s="4"/>
      <c r="AT541" s="4"/>
      <c r="AU541" s="4"/>
      <c r="AV541" s="4"/>
      <c r="AW541" s="4"/>
      <c r="AX541" s="4"/>
      <c r="AY541" s="4"/>
      <c r="AZ541" s="4"/>
      <c r="BA541" s="4"/>
      <c r="BB541" s="4"/>
      <c r="BC541" s="4"/>
      <c r="BD541" s="4"/>
      <c r="BE541" s="4"/>
      <c r="BF541" s="4"/>
      <c r="BG541" s="4"/>
      <c r="BH541" s="4"/>
      <c r="BI541" s="4"/>
      <c r="BJ541" s="4"/>
      <c r="BK541" s="4"/>
      <c r="BL541" s="4"/>
      <c r="BM541" s="4"/>
      <c r="BN541" s="4"/>
      <c r="BO541" s="4"/>
      <c r="BP541" s="4"/>
      <c r="BQ541" s="4"/>
      <c r="BR541" s="4"/>
      <c r="BS541" s="4"/>
      <c r="BT541" s="4"/>
      <c r="BU541" s="4"/>
      <c r="BV541" s="4"/>
      <c r="BW541" s="4"/>
      <c r="BX541" s="4"/>
      <c r="BY541" s="4"/>
      <c r="BZ541" s="4"/>
      <c r="CA541" s="4"/>
      <c r="CB541" s="4"/>
      <c r="CC541" s="4"/>
      <c r="CD541" s="4"/>
      <c r="CE541" s="4"/>
      <c r="CF541" s="4"/>
      <c r="CG541" s="4"/>
      <c r="CH541" s="4"/>
      <c r="CI541" s="4"/>
    </row>
    <row r="542" ht="14.25" customHeight="1" spans="1:87" x14ac:dyDescent="0.25">
      <c r="A542" s="4"/>
      <c r="B542" s="4"/>
      <c r="C542" s="4"/>
      <c r="D542" s="4"/>
      <c r="E542" s="4"/>
      <c r="F542" s="4"/>
      <c r="G542" s="4"/>
      <c r="H542" s="4"/>
      <c r="I542" s="4"/>
      <c r="J542" s="4"/>
      <c r="K542" s="242"/>
      <c r="L542" s="4"/>
      <c r="M542" s="4"/>
      <c r="N542" s="4"/>
      <c r="O542" s="4"/>
      <c r="P542" s="4"/>
      <c r="Q542" s="4"/>
      <c r="R542" s="4"/>
      <c r="S542" s="4"/>
      <c r="T542" s="4"/>
      <c r="U542" s="4"/>
      <c r="V542" s="4"/>
      <c r="W542" s="4"/>
      <c r="X542" s="4"/>
      <c r="Y542" s="4"/>
      <c r="Z542" s="4"/>
      <c r="AA542" s="4"/>
      <c r="AB542" s="4"/>
      <c r="AC542" s="4"/>
      <c r="AD542" s="4"/>
      <c r="AE542" s="4"/>
      <c r="AF542" s="4"/>
      <c r="AG542" s="4"/>
      <c r="AH542" s="4"/>
      <c r="AI542" s="4"/>
      <c r="AJ542" s="4"/>
      <c r="AK542" s="4"/>
      <c r="AL542" s="4"/>
      <c r="AM542" s="4"/>
      <c r="AN542" s="4"/>
      <c r="AO542" s="4"/>
      <c r="AP542" s="4"/>
      <c r="AQ542" s="4"/>
      <c r="AR542" s="4"/>
      <c r="AS542" s="4"/>
      <c r="AT542" s="4"/>
      <c r="AU542" s="4"/>
      <c r="AV542" s="4"/>
      <c r="AW542" s="4"/>
      <c r="AX542" s="4"/>
      <c r="AY542" s="4"/>
      <c r="AZ542" s="4"/>
      <c r="BA542" s="4"/>
      <c r="BB542" s="4"/>
      <c r="BC542" s="4"/>
      <c r="BD542" s="4"/>
      <c r="BE542" s="4"/>
      <c r="BF542" s="4"/>
      <c r="BG542" s="4"/>
      <c r="BH542" s="4"/>
      <c r="BI542" s="4"/>
      <c r="BJ542" s="4"/>
      <c r="BK542" s="4"/>
      <c r="BL542" s="4"/>
      <c r="BM542" s="4"/>
      <c r="BN542" s="4"/>
      <c r="BO542" s="4"/>
      <c r="BP542" s="4"/>
      <c r="BQ542" s="4"/>
      <c r="BR542" s="4"/>
      <c r="BS542" s="4"/>
      <c r="BT542" s="4"/>
      <c r="BU542" s="4"/>
      <c r="BV542" s="4"/>
      <c r="BW542" s="4"/>
      <c r="BX542" s="4"/>
      <c r="BY542" s="4"/>
      <c r="BZ542" s="4"/>
      <c r="CA542" s="4"/>
      <c r="CB542" s="4"/>
      <c r="CC542" s="4"/>
      <c r="CD542" s="4"/>
      <c r="CE542" s="4"/>
      <c r="CF542" s="4"/>
      <c r="CG542" s="4"/>
      <c r="CH542" s="4"/>
      <c r="CI542" s="4"/>
    </row>
    <row r="543" ht="14.25" customHeight="1" spans="1:87" x14ac:dyDescent="0.25">
      <c r="A543" s="4"/>
      <c r="B543" s="4"/>
      <c r="C543" s="4"/>
      <c r="D543" s="4"/>
      <c r="E543" s="4"/>
      <c r="F543" s="4"/>
      <c r="G543" s="4"/>
      <c r="H543" s="4"/>
      <c r="I543" s="4"/>
      <c r="J543" s="4"/>
      <c r="K543" s="242"/>
      <c r="L543" s="4"/>
      <c r="M543" s="4"/>
      <c r="N543" s="4"/>
      <c r="O543" s="4"/>
      <c r="P543" s="4"/>
      <c r="Q543" s="4"/>
      <c r="R543" s="4"/>
      <c r="S543" s="4"/>
      <c r="T543" s="4"/>
      <c r="U543" s="4"/>
      <c r="V543" s="4"/>
      <c r="W543" s="4"/>
      <c r="X543" s="4"/>
      <c r="Y543" s="4"/>
      <c r="Z543" s="4"/>
      <c r="AA543" s="4"/>
      <c r="AB543" s="4"/>
      <c r="AC543" s="4"/>
      <c r="AD543" s="4"/>
      <c r="AE543" s="4"/>
      <c r="AF543" s="4"/>
      <c r="AG543" s="4"/>
      <c r="AH543" s="4"/>
      <c r="AI543" s="4"/>
      <c r="AJ543" s="4"/>
      <c r="AK543" s="4"/>
      <c r="AL543" s="4"/>
      <c r="AM543" s="4"/>
      <c r="AN543" s="4"/>
      <c r="AO543" s="4"/>
      <c r="AP543" s="4"/>
      <c r="AQ543" s="4"/>
      <c r="AR543" s="4"/>
      <c r="AS543" s="4"/>
      <c r="AT543" s="4"/>
      <c r="AU543" s="4"/>
      <c r="AV543" s="4"/>
      <c r="AW543" s="4"/>
      <c r="AX543" s="4"/>
      <c r="AY543" s="4"/>
      <c r="AZ543" s="4"/>
      <c r="BA543" s="4"/>
      <c r="BB543" s="4"/>
      <c r="BC543" s="4"/>
      <c r="BD543" s="4"/>
      <c r="BE543" s="4"/>
      <c r="BF543" s="4"/>
      <c r="BG543" s="4"/>
      <c r="BH543" s="4"/>
      <c r="BI543" s="4"/>
      <c r="BJ543" s="4"/>
      <c r="BK543" s="4"/>
      <c r="BL543" s="4"/>
      <c r="BM543" s="4"/>
      <c r="BN543" s="4"/>
      <c r="BO543" s="4"/>
      <c r="BP543" s="4"/>
      <c r="BQ543" s="4"/>
      <c r="BR543" s="4"/>
      <c r="BS543" s="4"/>
      <c r="BT543" s="4"/>
      <c r="BU543" s="4"/>
      <c r="BV543" s="4"/>
      <c r="BW543" s="4"/>
      <c r="BX543" s="4"/>
      <c r="BY543" s="4"/>
      <c r="BZ543" s="4"/>
      <c r="CA543" s="4"/>
      <c r="CB543" s="4"/>
      <c r="CC543" s="4"/>
      <c r="CD543" s="4"/>
      <c r="CE543" s="4"/>
      <c r="CF543" s="4"/>
      <c r="CG543" s="4"/>
      <c r="CH543" s="4"/>
      <c r="CI543" s="4"/>
    </row>
    <row r="544" ht="14.25" customHeight="1" spans="1:87" x14ac:dyDescent="0.25">
      <c r="A544" s="4"/>
      <c r="B544" s="4"/>
      <c r="C544" s="4"/>
      <c r="D544" s="4"/>
      <c r="E544" s="4"/>
      <c r="F544" s="4"/>
      <c r="G544" s="4"/>
      <c r="H544" s="4"/>
      <c r="I544" s="4"/>
      <c r="J544" s="4"/>
      <c r="K544" s="242"/>
      <c r="L544" s="4"/>
      <c r="M544" s="4"/>
      <c r="N544" s="4"/>
      <c r="O544" s="4"/>
      <c r="P544" s="4"/>
      <c r="Q544" s="4"/>
      <c r="R544" s="4"/>
      <c r="S544" s="4"/>
      <c r="T544" s="4"/>
      <c r="U544" s="4"/>
      <c r="V544" s="4"/>
      <c r="W544" s="4"/>
      <c r="X544" s="4"/>
      <c r="Y544" s="4"/>
      <c r="Z544" s="4"/>
      <c r="AA544" s="4"/>
      <c r="AB544" s="4"/>
      <c r="AC544" s="4"/>
      <c r="AD544" s="4"/>
      <c r="AE544" s="4"/>
      <c r="AF544" s="4"/>
      <c r="AG544" s="4"/>
      <c r="AH544" s="4"/>
      <c r="AI544" s="4"/>
      <c r="AJ544" s="4"/>
      <c r="AK544" s="4"/>
      <c r="AL544" s="4"/>
      <c r="AM544" s="4"/>
      <c r="AN544" s="4"/>
      <c r="AO544" s="4"/>
      <c r="AP544" s="4"/>
      <c r="AQ544" s="4"/>
      <c r="AR544" s="4"/>
      <c r="AS544" s="4"/>
      <c r="AT544" s="4"/>
      <c r="AU544" s="4"/>
      <c r="AV544" s="4"/>
      <c r="AW544" s="4"/>
      <c r="AX544" s="4"/>
      <c r="AY544" s="4"/>
      <c r="AZ544" s="4"/>
      <c r="BA544" s="4"/>
      <c r="BB544" s="4"/>
      <c r="BC544" s="4"/>
      <c r="BD544" s="4"/>
      <c r="BE544" s="4"/>
      <c r="BF544" s="4"/>
      <c r="BG544" s="4"/>
      <c r="BH544" s="4"/>
      <c r="BI544" s="4"/>
      <c r="BJ544" s="4"/>
      <c r="BK544" s="4"/>
      <c r="BL544" s="4"/>
      <c r="BM544" s="4"/>
      <c r="BN544" s="4"/>
      <c r="BO544" s="4"/>
      <c r="BP544" s="4"/>
      <c r="BQ544" s="4"/>
      <c r="BR544" s="4"/>
      <c r="BS544" s="4"/>
      <c r="BT544" s="4"/>
      <c r="BU544" s="4"/>
      <c r="BV544" s="4"/>
      <c r="BW544" s="4"/>
      <c r="BX544" s="4"/>
      <c r="BY544" s="4"/>
      <c r="BZ544" s="4"/>
      <c r="CA544" s="4"/>
      <c r="CB544" s="4"/>
      <c r="CC544" s="4"/>
      <c r="CD544" s="4"/>
      <c r="CE544" s="4"/>
      <c r="CF544" s="4"/>
      <c r="CG544" s="4"/>
      <c r="CH544" s="4"/>
      <c r="CI544" s="4"/>
    </row>
    <row r="545" ht="14.25" customHeight="1" spans="1:87" x14ac:dyDescent="0.25">
      <c r="A545" s="4"/>
      <c r="B545" s="4"/>
      <c r="C545" s="4"/>
      <c r="D545" s="4"/>
      <c r="E545" s="4"/>
      <c r="F545" s="4"/>
      <c r="G545" s="4"/>
      <c r="H545" s="4"/>
      <c r="I545" s="4"/>
      <c r="J545" s="4"/>
      <c r="K545" s="242"/>
      <c r="L545" s="4"/>
      <c r="M545" s="4"/>
      <c r="N545" s="4"/>
      <c r="O545" s="4"/>
      <c r="P545" s="4"/>
      <c r="Q545" s="4"/>
      <c r="R545" s="4"/>
      <c r="S545" s="4"/>
      <c r="T545" s="4"/>
      <c r="U545" s="4"/>
      <c r="V545" s="4"/>
      <c r="W545" s="4"/>
      <c r="X545" s="4"/>
      <c r="Y545" s="4"/>
      <c r="Z545" s="4"/>
      <c r="AA545" s="4"/>
      <c r="AB545" s="4"/>
      <c r="AC545" s="4"/>
      <c r="AD545" s="4"/>
      <c r="AE545" s="4"/>
      <c r="AF545" s="4"/>
      <c r="AG545" s="4"/>
      <c r="AH545" s="4"/>
      <c r="AI545" s="4"/>
      <c r="AJ545" s="4"/>
      <c r="AK545" s="4"/>
      <c r="AL545" s="4"/>
      <c r="AM545" s="4"/>
      <c r="AN545" s="4"/>
      <c r="AO545" s="4"/>
      <c r="AP545" s="4"/>
      <c r="AQ545" s="4"/>
      <c r="AR545" s="4"/>
      <c r="AS545" s="4"/>
      <c r="AT545" s="4"/>
      <c r="AU545" s="4"/>
      <c r="AV545" s="4"/>
      <c r="AW545" s="4"/>
      <c r="AX545" s="4"/>
      <c r="AY545" s="4"/>
      <c r="AZ545" s="4"/>
      <c r="BA545" s="4"/>
      <c r="BB545" s="4"/>
      <c r="BC545" s="4"/>
      <c r="BD545" s="4"/>
      <c r="BE545" s="4"/>
      <c r="BF545" s="4"/>
      <c r="BG545" s="4"/>
      <c r="BH545" s="4"/>
      <c r="BI545" s="4"/>
      <c r="BJ545" s="4"/>
      <c r="BK545" s="4"/>
      <c r="BL545" s="4"/>
      <c r="BM545" s="4"/>
      <c r="BN545" s="4"/>
      <c r="BO545" s="4"/>
      <c r="BP545" s="4"/>
      <c r="BQ545" s="4"/>
      <c r="BR545" s="4"/>
      <c r="BS545" s="4"/>
      <c r="BT545" s="4"/>
      <c r="BU545" s="4"/>
      <c r="BV545" s="4"/>
      <c r="BW545" s="4"/>
      <c r="BX545" s="4"/>
      <c r="BY545" s="4"/>
      <c r="BZ545" s="4"/>
      <c r="CA545" s="4"/>
      <c r="CB545" s="4"/>
      <c r="CC545" s="4"/>
      <c r="CD545" s="4"/>
      <c r="CE545" s="4"/>
      <c r="CF545" s="4"/>
      <c r="CG545" s="4"/>
      <c r="CH545" s="4"/>
      <c r="CI545" s="4"/>
    </row>
    <row r="546" ht="14.25" customHeight="1" spans="1:87" x14ac:dyDescent="0.25">
      <c r="A546" s="4"/>
      <c r="B546" s="4"/>
      <c r="C546" s="4"/>
      <c r="D546" s="4"/>
      <c r="E546" s="4"/>
      <c r="F546" s="4"/>
      <c r="G546" s="4"/>
      <c r="H546" s="4"/>
      <c r="I546" s="4"/>
      <c r="J546" s="4"/>
      <c r="K546" s="242"/>
      <c r="L546" s="4"/>
      <c r="M546" s="4"/>
      <c r="N546" s="4"/>
      <c r="O546" s="4"/>
      <c r="P546" s="4"/>
      <c r="Q546" s="4"/>
      <c r="R546" s="4"/>
      <c r="S546" s="4"/>
      <c r="T546" s="4"/>
      <c r="U546" s="4"/>
      <c r="V546" s="4"/>
      <c r="W546" s="4"/>
      <c r="X546" s="4"/>
      <c r="Y546" s="4"/>
      <c r="Z546" s="4"/>
      <c r="AA546" s="4"/>
      <c r="AB546" s="4"/>
      <c r="AC546" s="4"/>
      <c r="AD546" s="4"/>
      <c r="AE546" s="4"/>
      <c r="AF546" s="4"/>
      <c r="AG546" s="4"/>
      <c r="AH546" s="4"/>
      <c r="AI546" s="4"/>
      <c r="AJ546" s="4"/>
      <c r="AK546" s="4"/>
      <c r="AL546" s="4"/>
      <c r="AM546" s="4"/>
      <c r="AN546" s="4"/>
      <c r="AO546" s="4"/>
      <c r="AP546" s="4"/>
      <c r="AQ546" s="4"/>
      <c r="AR546" s="4"/>
      <c r="AS546" s="4"/>
      <c r="AT546" s="4"/>
      <c r="AU546" s="4"/>
      <c r="AV546" s="4"/>
      <c r="AW546" s="4"/>
      <c r="AX546" s="4"/>
      <c r="AY546" s="4"/>
      <c r="AZ546" s="4"/>
      <c r="BA546" s="4"/>
      <c r="BB546" s="4"/>
      <c r="BC546" s="4"/>
      <c r="BD546" s="4"/>
      <c r="BE546" s="4"/>
      <c r="BF546" s="4"/>
      <c r="BG546" s="4"/>
      <c r="BH546" s="4"/>
      <c r="BI546" s="4"/>
      <c r="BJ546" s="4"/>
      <c r="BK546" s="4"/>
      <c r="BL546" s="4"/>
      <c r="BM546" s="4"/>
      <c r="BN546" s="4"/>
      <c r="BO546" s="4"/>
      <c r="BP546" s="4"/>
      <c r="BQ546" s="4"/>
      <c r="BR546" s="4"/>
      <c r="BS546" s="4"/>
      <c r="BT546" s="4"/>
      <c r="BU546" s="4"/>
      <c r="BV546" s="4"/>
      <c r="BW546" s="4"/>
      <c r="BX546" s="4"/>
      <c r="BY546" s="4"/>
      <c r="BZ546" s="4"/>
      <c r="CA546" s="4"/>
      <c r="CB546" s="4"/>
      <c r="CC546" s="4"/>
      <c r="CD546" s="4"/>
      <c r="CE546" s="4"/>
      <c r="CF546" s="4"/>
      <c r="CG546" s="4"/>
      <c r="CH546" s="4"/>
      <c r="CI546" s="4"/>
    </row>
    <row r="547" ht="14.25" customHeight="1" spans="1:87" x14ac:dyDescent="0.25">
      <c r="A547" s="4"/>
      <c r="B547" s="4"/>
      <c r="C547" s="4"/>
      <c r="D547" s="4"/>
      <c r="E547" s="4"/>
      <c r="F547" s="4"/>
      <c r="G547" s="4"/>
      <c r="H547" s="4"/>
      <c r="I547" s="4"/>
      <c r="J547" s="4"/>
      <c r="K547" s="242"/>
      <c r="L547" s="4"/>
      <c r="M547" s="4"/>
      <c r="N547" s="4"/>
      <c r="O547" s="4"/>
      <c r="P547" s="4"/>
      <c r="Q547" s="4"/>
      <c r="R547" s="4"/>
      <c r="S547" s="4"/>
      <c r="T547" s="4"/>
      <c r="U547" s="4"/>
      <c r="V547" s="4"/>
      <c r="W547" s="4"/>
      <c r="X547" s="4"/>
      <c r="Y547" s="4"/>
      <c r="Z547" s="4"/>
      <c r="AA547" s="4"/>
      <c r="AB547" s="4"/>
      <c r="AC547" s="4"/>
      <c r="AD547" s="4"/>
      <c r="AE547" s="4"/>
      <c r="AF547" s="4"/>
      <c r="AG547" s="4"/>
      <c r="AH547" s="4"/>
      <c r="AI547" s="4"/>
      <c r="AJ547" s="4"/>
      <c r="AK547" s="4"/>
      <c r="AL547" s="4"/>
      <c r="AM547" s="4"/>
      <c r="AN547" s="4"/>
      <c r="AO547" s="4"/>
      <c r="AP547" s="4"/>
      <c r="AQ547" s="4"/>
      <c r="AR547" s="4"/>
      <c r="AS547" s="4"/>
      <c r="AT547" s="4"/>
      <c r="AU547" s="4"/>
      <c r="AV547" s="4"/>
      <c r="AW547" s="4"/>
      <c r="AX547" s="4"/>
      <c r="AY547" s="4"/>
      <c r="AZ547" s="4"/>
      <c r="BA547" s="4"/>
      <c r="BB547" s="4"/>
      <c r="BC547" s="4"/>
      <c r="BD547" s="4"/>
      <c r="BE547" s="4"/>
      <c r="BF547" s="4"/>
      <c r="BG547" s="4"/>
      <c r="BH547" s="4"/>
      <c r="BI547" s="4"/>
      <c r="BJ547" s="4"/>
      <c r="BK547" s="4"/>
      <c r="BL547" s="4"/>
      <c r="BM547" s="4"/>
      <c r="BN547" s="4"/>
      <c r="BO547" s="4"/>
      <c r="BP547" s="4"/>
      <c r="BQ547" s="4"/>
      <c r="BR547" s="4"/>
      <c r="BS547" s="4"/>
      <c r="BT547" s="4"/>
      <c r="BU547" s="4"/>
      <c r="BV547" s="4"/>
      <c r="BW547" s="4"/>
      <c r="BX547" s="4"/>
      <c r="BY547" s="4"/>
      <c r="BZ547" s="4"/>
      <c r="CA547" s="4"/>
      <c r="CB547" s="4"/>
      <c r="CC547" s="4"/>
      <c r="CD547" s="4"/>
      <c r="CE547" s="4"/>
      <c r="CF547" s="4"/>
      <c r="CG547" s="4"/>
      <c r="CH547" s="4"/>
      <c r="CI547" s="4"/>
    </row>
    <row r="548" ht="14.25" customHeight="1" spans="1:87" x14ac:dyDescent="0.25">
      <c r="A548" s="4"/>
      <c r="B548" s="4"/>
      <c r="C548" s="4"/>
      <c r="D548" s="4"/>
      <c r="E548" s="4"/>
      <c r="F548" s="4"/>
      <c r="G548" s="4"/>
      <c r="H548" s="4"/>
      <c r="I548" s="4"/>
      <c r="J548" s="4"/>
      <c r="K548" s="242"/>
      <c r="L548" s="4"/>
      <c r="M548" s="4"/>
      <c r="N548" s="4"/>
      <c r="O548" s="4"/>
      <c r="P548" s="4"/>
      <c r="Q548" s="4"/>
      <c r="R548" s="4"/>
      <c r="S548" s="4"/>
      <c r="T548" s="4"/>
      <c r="U548" s="4"/>
      <c r="V548" s="4"/>
      <c r="W548" s="4"/>
      <c r="X548" s="4"/>
      <c r="Y548" s="4"/>
      <c r="Z548" s="4"/>
      <c r="AA548" s="4"/>
      <c r="AB548" s="4"/>
      <c r="AC548" s="4"/>
      <c r="AD548" s="4"/>
      <c r="AE548" s="4"/>
      <c r="AF548" s="4"/>
      <c r="AG548" s="4"/>
      <c r="AH548" s="4"/>
      <c r="AI548" s="4"/>
      <c r="AJ548" s="4"/>
      <c r="AK548" s="4"/>
      <c r="AL548" s="4"/>
      <c r="AM548" s="4"/>
      <c r="AN548" s="4"/>
      <c r="AO548" s="4"/>
      <c r="AP548" s="4"/>
      <c r="AQ548" s="4"/>
      <c r="AR548" s="4"/>
      <c r="AS548" s="4"/>
      <c r="AT548" s="4"/>
      <c r="AU548" s="4"/>
      <c r="AV548" s="4"/>
      <c r="AW548" s="4"/>
      <c r="AX548" s="4"/>
      <c r="AY548" s="4"/>
      <c r="AZ548" s="4"/>
      <c r="BA548" s="4"/>
      <c r="BB548" s="4"/>
      <c r="BC548" s="4"/>
      <c r="BD548" s="4"/>
      <c r="BE548" s="4"/>
      <c r="BF548" s="4"/>
      <c r="BG548" s="4"/>
      <c r="BH548" s="4"/>
      <c r="BI548" s="4"/>
      <c r="BJ548" s="4"/>
      <c r="BK548" s="4"/>
      <c r="BL548" s="4"/>
      <c r="BM548" s="4"/>
      <c r="BN548" s="4"/>
      <c r="BO548" s="4"/>
      <c r="BP548" s="4"/>
      <c r="BQ548" s="4"/>
      <c r="BR548" s="4"/>
      <c r="BS548" s="4"/>
      <c r="BT548" s="4"/>
      <c r="BU548" s="4"/>
      <c r="BV548" s="4"/>
      <c r="BW548" s="4"/>
      <c r="BX548" s="4"/>
      <c r="BY548" s="4"/>
      <c r="BZ548" s="4"/>
      <c r="CA548" s="4"/>
      <c r="CB548" s="4"/>
      <c r="CC548" s="4"/>
      <c r="CD548" s="4"/>
      <c r="CE548" s="4"/>
      <c r="CF548" s="4"/>
      <c r="CG548" s="4"/>
      <c r="CH548" s="4"/>
      <c r="CI548" s="4"/>
    </row>
    <row r="549" ht="14.25" customHeight="1" spans="1:87" x14ac:dyDescent="0.25">
      <c r="A549" s="4"/>
      <c r="B549" s="4"/>
      <c r="C549" s="4"/>
      <c r="D549" s="4"/>
      <c r="E549" s="4"/>
      <c r="F549" s="4"/>
      <c r="G549" s="4"/>
      <c r="H549" s="4"/>
      <c r="I549" s="4"/>
      <c r="J549" s="4"/>
      <c r="K549" s="242"/>
      <c r="L549" s="4"/>
      <c r="M549" s="4"/>
      <c r="N549" s="4"/>
      <c r="O549" s="4"/>
      <c r="P549" s="4"/>
      <c r="Q549" s="4"/>
      <c r="R549" s="4"/>
      <c r="S549" s="4"/>
      <c r="T549" s="4"/>
      <c r="U549" s="4"/>
      <c r="V549" s="4"/>
      <c r="W549" s="4"/>
      <c r="X549" s="4"/>
      <c r="Y549" s="4"/>
      <c r="Z549" s="4"/>
      <c r="AA549" s="4"/>
      <c r="AB549" s="4"/>
      <c r="AC549" s="4"/>
      <c r="AD549" s="4"/>
      <c r="AE549" s="4"/>
      <c r="AF549" s="4"/>
      <c r="AG549" s="4"/>
      <c r="AH549" s="4"/>
      <c r="AI549" s="4"/>
      <c r="AJ549" s="4"/>
      <c r="AK549" s="4"/>
      <c r="AL549" s="4"/>
      <c r="AM549" s="4"/>
      <c r="AN549" s="4"/>
      <c r="AO549" s="4"/>
      <c r="AP549" s="4"/>
      <c r="AQ549" s="4"/>
      <c r="AR549" s="4"/>
      <c r="AS549" s="4"/>
      <c r="AT549" s="4"/>
      <c r="AU549" s="4"/>
      <c r="AV549" s="4"/>
      <c r="AW549" s="4"/>
      <c r="AX549" s="4"/>
      <c r="AY549" s="4"/>
      <c r="AZ549" s="4"/>
      <c r="BA549" s="4"/>
      <c r="BB549" s="4"/>
      <c r="BC549" s="4"/>
      <c r="BD549" s="4"/>
      <c r="BE549" s="4"/>
      <c r="BF549" s="4"/>
      <c r="BG549" s="4"/>
      <c r="BH549" s="4"/>
      <c r="BI549" s="4"/>
      <c r="BJ549" s="4"/>
      <c r="BK549" s="4"/>
      <c r="BL549" s="4"/>
      <c r="BM549" s="4"/>
      <c r="BN549" s="4"/>
      <c r="BO549" s="4"/>
      <c r="BP549" s="4"/>
      <c r="BQ549" s="4"/>
      <c r="BR549" s="4"/>
      <c r="BS549" s="4"/>
      <c r="BT549" s="4"/>
      <c r="BU549" s="4"/>
      <c r="BV549" s="4"/>
      <c r="BW549" s="4"/>
      <c r="BX549" s="4"/>
      <c r="BY549" s="4"/>
      <c r="BZ549" s="4"/>
      <c r="CA549" s="4"/>
      <c r="CB549" s="4"/>
      <c r="CC549" s="4"/>
      <c r="CD549" s="4"/>
      <c r="CE549" s="4"/>
      <c r="CF549" s="4"/>
      <c r="CG549" s="4"/>
      <c r="CH549" s="4"/>
      <c r="CI549" s="4"/>
    </row>
    <row r="550" ht="14.25" customHeight="1" spans="1:87" x14ac:dyDescent="0.25">
      <c r="A550" s="4"/>
      <c r="B550" s="4"/>
      <c r="C550" s="4"/>
      <c r="D550" s="4"/>
      <c r="E550" s="4"/>
      <c r="F550" s="4"/>
      <c r="G550" s="4"/>
      <c r="H550" s="4"/>
      <c r="I550" s="4"/>
      <c r="J550" s="4"/>
      <c r="K550" s="242"/>
      <c r="L550" s="4"/>
      <c r="M550" s="4"/>
      <c r="N550" s="4"/>
      <c r="O550" s="4"/>
      <c r="P550" s="4"/>
      <c r="Q550" s="4"/>
      <c r="R550" s="4"/>
      <c r="S550" s="4"/>
      <c r="T550" s="4"/>
      <c r="U550" s="4"/>
      <c r="V550" s="4"/>
      <c r="W550" s="4"/>
      <c r="X550" s="4"/>
      <c r="Y550" s="4"/>
      <c r="Z550" s="4"/>
      <c r="AA550" s="4"/>
      <c r="AB550" s="4"/>
      <c r="AC550" s="4"/>
      <c r="AD550" s="4"/>
      <c r="AE550" s="4"/>
      <c r="AF550" s="4"/>
      <c r="AG550" s="4"/>
      <c r="AH550" s="4"/>
      <c r="AI550" s="4"/>
      <c r="AJ550" s="4"/>
      <c r="AK550" s="4"/>
      <c r="AL550" s="4"/>
      <c r="AM550" s="4"/>
      <c r="AN550" s="4"/>
      <c r="AO550" s="4"/>
      <c r="AP550" s="4"/>
      <c r="AQ550" s="4"/>
      <c r="AR550" s="4"/>
      <c r="AS550" s="4"/>
      <c r="AT550" s="4"/>
      <c r="AU550" s="4"/>
      <c r="AV550" s="4"/>
      <c r="AW550" s="4"/>
      <c r="AX550" s="4"/>
      <c r="AY550" s="4"/>
      <c r="AZ550" s="4"/>
      <c r="BA550" s="4"/>
      <c r="BB550" s="4"/>
      <c r="BC550" s="4"/>
      <c r="BD550" s="4"/>
      <c r="BE550" s="4"/>
      <c r="BF550" s="4"/>
      <c r="BG550" s="4"/>
      <c r="BH550" s="4"/>
      <c r="BI550" s="4"/>
      <c r="BJ550" s="4"/>
      <c r="BK550" s="4"/>
      <c r="BL550" s="4"/>
      <c r="BM550" s="4"/>
      <c r="BN550" s="4"/>
      <c r="BO550" s="4"/>
      <c r="BP550" s="4"/>
      <c r="BQ550" s="4"/>
      <c r="BR550" s="4"/>
      <c r="BS550" s="4"/>
      <c r="BT550" s="4"/>
      <c r="BU550" s="4"/>
      <c r="BV550" s="4"/>
      <c r="BW550" s="4"/>
      <c r="BX550" s="4"/>
      <c r="BY550" s="4"/>
      <c r="BZ550" s="4"/>
      <c r="CA550" s="4"/>
      <c r="CB550" s="4"/>
      <c r="CC550" s="4"/>
      <c r="CD550" s="4"/>
      <c r="CE550" s="4"/>
      <c r="CF550" s="4"/>
      <c r="CG550" s="4"/>
      <c r="CH550" s="4"/>
      <c r="CI550" s="4"/>
    </row>
    <row r="551" ht="14.25" customHeight="1" spans="1:87" x14ac:dyDescent="0.25">
      <c r="A551" s="4"/>
      <c r="B551" s="4"/>
      <c r="C551" s="4"/>
      <c r="D551" s="4"/>
      <c r="E551" s="4"/>
      <c r="F551" s="4"/>
      <c r="G551" s="4"/>
      <c r="H551" s="4"/>
      <c r="I551" s="4"/>
      <c r="J551" s="4"/>
      <c r="K551" s="242"/>
      <c r="L551" s="4"/>
      <c r="M551" s="4"/>
      <c r="N551" s="4"/>
      <c r="O551" s="4"/>
      <c r="P551" s="4"/>
      <c r="Q551" s="4"/>
      <c r="R551" s="4"/>
      <c r="S551" s="4"/>
      <c r="T551" s="4"/>
      <c r="U551" s="4"/>
      <c r="V551" s="4"/>
      <c r="W551" s="4"/>
      <c r="X551" s="4"/>
      <c r="Y551" s="4"/>
      <c r="Z551" s="4"/>
      <c r="AA551" s="4"/>
      <c r="AB551" s="4"/>
      <c r="AC551" s="4"/>
      <c r="AD551" s="4"/>
      <c r="AE551" s="4"/>
      <c r="AF551" s="4"/>
      <c r="AG551" s="4"/>
      <c r="AH551" s="4"/>
      <c r="AI551" s="4"/>
      <c r="AJ551" s="4"/>
      <c r="AK551" s="4"/>
      <c r="AL551" s="4"/>
      <c r="AM551" s="4"/>
      <c r="AN551" s="4"/>
      <c r="AO551" s="4"/>
      <c r="AP551" s="4"/>
      <c r="AQ551" s="4"/>
      <c r="AR551" s="4"/>
      <c r="AS551" s="4"/>
      <c r="AT551" s="4"/>
      <c r="AU551" s="4"/>
      <c r="AV551" s="4"/>
      <c r="AW551" s="4"/>
      <c r="AX551" s="4"/>
      <c r="AY551" s="4"/>
      <c r="AZ551" s="4"/>
      <c r="BA551" s="4"/>
      <c r="BB551" s="4"/>
      <c r="BC551" s="4"/>
      <c r="BD551" s="4"/>
      <c r="BE551" s="4"/>
      <c r="BF551" s="4"/>
      <c r="BG551" s="4"/>
      <c r="BH551" s="4"/>
      <c r="BI551" s="4"/>
      <c r="BJ551" s="4"/>
      <c r="BK551" s="4"/>
      <c r="BL551" s="4"/>
      <c r="BM551" s="4"/>
      <c r="BN551" s="4"/>
      <c r="BO551" s="4"/>
      <c r="BP551" s="4"/>
      <c r="BQ551" s="4"/>
      <c r="BR551" s="4"/>
      <c r="BS551" s="4"/>
      <c r="BT551" s="4"/>
      <c r="BU551" s="4"/>
      <c r="BV551" s="4"/>
      <c r="BW551" s="4"/>
      <c r="BX551" s="4"/>
      <c r="BY551" s="4"/>
      <c r="BZ551" s="4"/>
      <c r="CA551" s="4"/>
      <c r="CB551" s="4"/>
      <c r="CC551" s="4"/>
      <c r="CD551" s="4"/>
      <c r="CE551" s="4"/>
      <c r="CF551" s="4"/>
      <c r="CG551" s="4"/>
      <c r="CH551" s="4"/>
      <c r="CI551" s="4"/>
    </row>
    <row r="552" ht="14.25" customHeight="1" spans="1:87" x14ac:dyDescent="0.25">
      <c r="A552" s="4"/>
      <c r="B552" s="4"/>
      <c r="C552" s="4"/>
      <c r="D552" s="4"/>
      <c r="E552" s="4"/>
      <c r="F552" s="4"/>
      <c r="G552" s="4"/>
      <c r="H552" s="4"/>
      <c r="I552" s="4"/>
      <c r="J552" s="4"/>
      <c r="K552" s="242"/>
      <c r="L552" s="4"/>
      <c r="M552" s="4"/>
      <c r="N552" s="4"/>
      <c r="O552" s="4"/>
      <c r="P552" s="4"/>
      <c r="Q552" s="4"/>
      <c r="R552" s="4"/>
      <c r="S552" s="4"/>
      <c r="T552" s="4"/>
      <c r="U552" s="4"/>
      <c r="V552" s="4"/>
      <c r="W552" s="4"/>
      <c r="X552" s="4"/>
      <c r="Y552" s="4"/>
      <c r="Z552" s="4"/>
      <c r="AA552" s="4"/>
      <c r="AB552" s="4"/>
      <c r="AC552" s="4"/>
      <c r="AD552" s="4"/>
      <c r="AE552" s="4"/>
      <c r="AF552" s="4"/>
      <c r="AG552" s="4"/>
      <c r="AH552" s="4"/>
      <c r="AI552" s="4"/>
      <c r="AJ552" s="4"/>
      <c r="AK552" s="4"/>
      <c r="AL552" s="4"/>
      <c r="AM552" s="4"/>
      <c r="AN552" s="4"/>
      <c r="AO552" s="4"/>
      <c r="AP552" s="4"/>
      <c r="AQ552" s="4"/>
      <c r="AR552" s="4"/>
      <c r="AS552" s="4"/>
      <c r="AT552" s="4"/>
      <c r="AU552" s="4"/>
      <c r="AV552" s="4"/>
      <c r="AW552" s="4"/>
      <c r="AX552" s="4"/>
      <c r="AY552" s="4"/>
      <c r="AZ552" s="4"/>
      <c r="BA552" s="4"/>
      <c r="BB552" s="4"/>
      <c r="BC552" s="4"/>
      <c r="BD552" s="4"/>
      <c r="BE552" s="4"/>
      <c r="BF552" s="4"/>
      <c r="BG552" s="4"/>
      <c r="BH552" s="4"/>
      <c r="BI552" s="4"/>
      <c r="BJ552" s="4"/>
      <c r="BK552" s="4"/>
      <c r="BL552" s="4"/>
      <c r="BM552" s="4"/>
      <c r="BN552" s="4"/>
      <c r="BO552" s="4"/>
      <c r="BP552" s="4"/>
      <c r="BQ552" s="4"/>
      <c r="BR552" s="4"/>
      <c r="BS552" s="4"/>
      <c r="BT552" s="4"/>
      <c r="BU552" s="4"/>
      <c r="BV552" s="4"/>
      <c r="BW552" s="4"/>
      <c r="BX552" s="4"/>
      <c r="BY552" s="4"/>
      <c r="BZ552" s="4"/>
      <c r="CA552" s="4"/>
      <c r="CB552" s="4"/>
      <c r="CC552" s="4"/>
      <c r="CD552" s="4"/>
      <c r="CE552" s="4"/>
      <c r="CF552" s="4"/>
      <c r="CG552" s="4"/>
      <c r="CH552" s="4"/>
      <c r="CI552" s="4"/>
    </row>
    <row r="553" ht="14.25" customHeight="1" spans="1:87" x14ac:dyDescent="0.25">
      <c r="A553" s="4"/>
      <c r="B553" s="4"/>
      <c r="C553" s="4"/>
      <c r="D553" s="4"/>
      <c r="E553" s="4"/>
      <c r="F553" s="4"/>
      <c r="G553" s="4"/>
      <c r="H553" s="4"/>
      <c r="I553" s="4"/>
      <c r="J553" s="4"/>
      <c r="K553" s="242"/>
      <c r="L553" s="4"/>
      <c r="M553" s="4"/>
      <c r="N553" s="4"/>
      <c r="O553" s="4"/>
      <c r="P553" s="4"/>
      <c r="Q553" s="4"/>
      <c r="R553" s="4"/>
      <c r="S553" s="4"/>
      <c r="T553" s="4"/>
      <c r="U553" s="4"/>
      <c r="V553" s="4"/>
      <c r="W553" s="4"/>
      <c r="X553" s="4"/>
      <c r="Y553" s="4"/>
      <c r="Z553" s="4"/>
      <c r="AA553" s="4"/>
      <c r="AB553" s="4"/>
      <c r="AC553" s="4"/>
      <c r="AD553" s="4"/>
      <c r="AE553" s="4"/>
      <c r="AF553" s="4"/>
      <c r="AG553" s="4"/>
      <c r="AH553" s="4"/>
      <c r="AI553" s="4"/>
      <c r="AJ553" s="4"/>
      <c r="AK553" s="4"/>
      <c r="AL553" s="4"/>
      <c r="AM553" s="4"/>
      <c r="AN553" s="4"/>
      <c r="AO553" s="4"/>
      <c r="AP553" s="4"/>
      <c r="AQ553" s="4"/>
      <c r="AR553" s="4"/>
      <c r="AS553" s="4"/>
      <c r="AT553" s="4"/>
      <c r="AU553" s="4"/>
      <c r="AV553" s="4"/>
      <c r="AW553" s="4"/>
      <c r="AX553" s="4"/>
      <c r="AY553" s="4"/>
      <c r="AZ553" s="4"/>
      <c r="BA553" s="4"/>
      <c r="BB553" s="4"/>
      <c r="BC553" s="4"/>
      <c r="BD553" s="4"/>
      <c r="BE553" s="4"/>
      <c r="BF553" s="4"/>
      <c r="BG553" s="4"/>
      <c r="BH553" s="4"/>
      <c r="BI553" s="4"/>
      <c r="BJ553" s="4"/>
      <c r="BK553" s="4"/>
      <c r="BL553" s="4"/>
      <c r="BM553" s="4"/>
      <c r="BN553" s="4"/>
      <c r="BO553" s="4"/>
      <c r="BP553" s="4"/>
      <c r="BQ553" s="4"/>
      <c r="BR553" s="4"/>
      <c r="BS553" s="4"/>
      <c r="BT553" s="4"/>
      <c r="BU553" s="4"/>
      <c r="BV553" s="4"/>
      <c r="BW553" s="4"/>
      <c r="BX553" s="4"/>
      <c r="BY553" s="4"/>
      <c r="BZ553" s="4"/>
      <c r="CA553" s="4"/>
      <c r="CB553" s="4"/>
      <c r="CC553" s="4"/>
      <c r="CD553" s="4"/>
      <c r="CE553" s="4"/>
      <c r="CF553" s="4"/>
      <c r="CG553" s="4"/>
      <c r="CH553" s="4"/>
      <c r="CI553" s="4"/>
    </row>
    <row r="554" ht="14.25" customHeight="1" spans="1:87" x14ac:dyDescent="0.25">
      <c r="A554" s="4"/>
      <c r="B554" s="4"/>
      <c r="C554" s="4"/>
      <c r="D554" s="4"/>
      <c r="E554" s="4"/>
      <c r="F554" s="4"/>
      <c r="G554" s="4"/>
      <c r="H554" s="4"/>
      <c r="I554" s="4"/>
      <c r="J554" s="4"/>
      <c r="K554" s="242"/>
      <c r="L554" s="4"/>
      <c r="M554" s="4"/>
      <c r="N554" s="4"/>
      <c r="O554" s="4"/>
      <c r="P554" s="4"/>
      <c r="Q554" s="4"/>
      <c r="R554" s="4"/>
      <c r="S554" s="4"/>
      <c r="T554" s="4"/>
      <c r="U554" s="4"/>
      <c r="V554" s="4"/>
      <c r="W554" s="4"/>
      <c r="X554" s="4"/>
      <c r="Y554" s="4"/>
      <c r="Z554" s="4"/>
      <c r="AA554" s="4"/>
      <c r="AB554" s="4"/>
      <c r="AC554" s="4"/>
      <c r="AD554" s="4"/>
      <c r="AE554" s="4"/>
      <c r="AF554" s="4"/>
      <c r="AG554" s="4"/>
      <c r="AH554" s="4"/>
      <c r="AI554" s="4"/>
      <c r="AJ554" s="4"/>
      <c r="AK554" s="4"/>
      <c r="AL554" s="4"/>
      <c r="AM554" s="4"/>
      <c r="AN554" s="4"/>
      <c r="AO554" s="4"/>
      <c r="AP554" s="4"/>
      <c r="AQ554" s="4"/>
      <c r="AR554" s="4"/>
      <c r="AS554" s="4"/>
      <c r="AT554" s="4"/>
      <c r="AU554" s="4"/>
      <c r="AV554" s="4"/>
      <c r="AW554" s="4"/>
      <c r="AX554" s="4"/>
      <c r="AY554" s="4"/>
      <c r="AZ554" s="4"/>
      <c r="BA554" s="4"/>
      <c r="BB554" s="4"/>
      <c r="BC554" s="4"/>
      <c r="BD554" s="4"/>
      <c r="BE554" s="4"/>
      <c r="BF554" s="4"/>
      <c r="BG554" s="4"/>
      <c r="BH554" s="4"/>
      <c r="BI554" s="4"/>
      <c r="BJ554" s="4"/>
      <c r="BK554" s="4"/>
      <c r="BL554" s="4"/>
      <c r="BM554" s="4"/>
      <c r="BN554" s="4"/>
      <c r="BO554" s="4"/>
      <c r="BP554" s="4"/>
      <c r="BQ554" s="4"/>
      <c r="BR554" s="4"/>
      <c r="BS554" s="4"/>
      <c r="BT554" s="4"/>
      <c r="BU554" s="4"/>
      <c r="BV554" s="4"/>
      <c r="BW554" s="4"/>
      <c r="BX554" s="4"/>
      <c r="BY554" s="4"/>
      <c r="BZ554" s="4"/>
      <c r="CA554" s="4"/>
      <c r="CB554" s="4"/>
      <c r="CC554" s="4"/>
      <c r="CD554" s="4"/>
      <c r="CE554" s="4"/>
      <c r="CF554" s="4"/>
      <c r="CG554" s="4"/>
      <c r="CH554" s="4"/>
      <c r="CI554" s="4"/>
    </row>
    <row r="555" ht="14.25" customHeight="1" spans="1:87" x14ac:dyDescent="0.25">
      <c r="A555" s="4"/>
      <c r="B555" s="4"/>
      <c r="C555" s="4"/>
      <c r="D555" s="4"/>
      <c r="E555" s="4"/>
      <c r="F555" s="4"/>
      <c r="G555" s="4"/>
      <c r="H555" s="4"/>
      <c r="I555" s="4"/>
      <c r="J555" s="4"/>
      <c r="K555" s="242"/>
      <c r="L555" s="4"/>
      <c r="M555" s="4"/>
      <c r="N555" s="4"/>
      <c r="O555" s="4"/>
      <c r="P555" s="4"/>
      <c r="Q555" s="4"/>
      <c r="R555" s="4"/>
      <c r="S555" s="4"/>
      <c r="T555" s="4"/>
      <c r="U555" s="4"/>
      <c r="V555" s="4"/>
      <c r="W555" s="4"/>
      <c r="X555" s="4"/>
      <c r="Y555" s="4"/>
      <c r="Z555" s="4"/>
      <c r="AA555" s="4"/>
      <c r="AB555" s="4"/>
      <c r="AC555" s="4"/>
      <c r="AD555" s="4"/>
      <c r="AE555" s="4"/>
      <c r="AF555" s="4"/>
      <c r="AG555" s="4"/>
      <c r="AH555" s="4"/>
      <c r="AI555" s="4"/>
      <c r="AJ555" s="4"/>
      <c r="AK555" s="4"/>
      <c r="AL555" s="4"/>
      <c r="AM555" s="4"/>
      <c r="AN555" s="4"/>
      <c r="AO555" s="4"/>
      <c r="AP555" s="4"/>
      <c r="AQ555" s="4"/>
      <c r="AR555" s="4"/>
      <c r="AS555" s="4"/>
      <c r="AT555" s="4"/>
      <c r="AU555" s="4"/>
      <c r="AV555" s="4"/>
      <c r="AW555" s="4"/>
      <c r="AX555" s="4"/>
      <c r="AY555" s="4"/>
      <c r="AZ555" s="4"/>
      <c r="BA555" s="4"/>
      <c r="BB555" s="4"/>
      <c r="BC555" s="4"/>
      <c r="BD555" s="4"/>
      <c r="BE555" s="4"/>
      <c r="BF555" s="4"/>
      <c r="BG555" s="4"/>
      <c r="BH555" s="4"/>
      <c r="BI555" s="4"/>
      <c r="BJ555" s="4"/>
      <c r="BK555" s="4"/>
      <c r="BL555" s="4"/>
      <c r="BM555" s="4"/>
      <c r="BN555" s="4"/>
      <c r="BO555" s="4"/>
      <c r="BP555" s="4"/>
      <c r="BQ555" s="4"/>
      <c r="BR555" s="4"/>
      <c r="BS555" s="4"/>
      <c r="BT555" s="4"/>
      <c r="BU555" s="4"/>
      <c r="BV555" s="4"/>
      <c r="BW555" s="4"/>
      <c r="BX555" s="4"/>
      <c r="BY555" s="4"/>
      <c r="BZ555" s="4"/>
      <c r="CA555" s="4"/>
      <c r="CB555" s="4"/>
      <c r="CC555" s="4"/>
      <c r="CD555" s="4"/>
      <c r="CE555" s="4"/>
      <c r="CF555" s="4"/>
      <c r="CG555" s="4"/>
      <c r="CH555" s="4"/>
      <c r="CI555" s="4"/>
    </row>
    <row r="556" ht="14.25" customHeight="1" spans="1:87" x14ac:dyDescent="0.25">
      <c r="A556" s="4"/>
      <c r="B556" s="4"/>
      <c r="C556" s="4"/>
      <c r="D556" s="4"/>
      <c r="E556" s="4"/>
      <c r="F556" s="4"/>
      <c r="G556" s="4"/>
      <c r="H556" s="4"/>
      <c r="I556" s="4"/>
      <c r="J556" s="4"/>
      <c r="K556" s="242"/>
      <c r="L556" s="4"/>
      <c r="M556" s="4"/>
      <c r="N556" s="4"/>
      <c r="O556" s="4"/>
      <c r="P556" s="4"/>
      <c r="Q556" s="4"/>
      <c r="R556" s="4"/>
      <c r="S556" s="4"/>
      <c r="T556" s="4"/>
      <c r="U556" s="4"/>
      <c r="V556" s="4"/>
      <c r="W556" s="4"/>
      <c r="X556" s="4"/>
      <c r="Y556" s="4"/>
      <c r="Z556" s="4"/>
      <c r="AA556" s="4"/>
      <c r="AB556" s="4"/>
      <c r="AC556" s="4"/>
      <c r="AD556" s="4"/>
      <c r="AE556" s="4"/>
      <c r="AF556" s="4"/>
      <c r="AG556" s="4"/>
      <c r="AH556" s="4"/>
      <c r="AI556" s="4"/>
      <c r="AJ556" s="4"/>
      <c r="AK556" s="4"/>
      <c r="AL556" s="4"/>
      <c r="AM556" s="4"/>
      <c r="AN556" s="4"/>
      <c r="AO556" s="4"/>
      <c r="AP556" s="4"/>
      <c r="AQ556" s="4"/>
      <c r="AR556" s="4"/>
      <c r="AS556" s="4"/>
      <c r="AT556" s="4"/>
      <c r="AU556" s="4"/>
      <c r="AV556" s="4"/>
      <c r="AW556" s="4"/>
      <c r="AX556" s="4"/>
      <c r="AY556" s="4"/>
      <c r="AZ556" s="4"/>
      <c r="BA556" s="4"/>
      <c r="BB556" s="4"/>
      <c r="BC556" s="4"/>
      <c r="BD556" s="4"/>
      <c r="BE556" s="4"/>
      <c r="BF556" s="4"/>
      <c r="BG556" s="4"/>
      <c r="BH556" s="4"/>
      <c r="BI556" s="4"/>
      <c r="BJ556" s="4"/>
      <c r="BK556" s="4"/>
      <c r="BL556" s="4"/>
      <c r="BM556" s="4"/>
      <c r="BN556" s="4"/>
      <c r="BO556" s="4"/>
      <c r="BP556" s="4"/>
      <c r="BQ556" s="4"/>
      <c r="BR556" s="4"/>
      <c r="BS556" s="4"/>
      <c r="BT556" s="4"/>
      <c r="BU556" s="4"/>
      <c r="BV556" s="4"/>
      <c r="BW556" s="4"/>
      <c r="BX556" s="4"/>
      <c r="BY556" s="4"/>
      <c r="BZ556" s="4"/>
      <c r="CA556" s="4"/>
      <c r="CB556" s="4"/>
      <c r="CC556" s="4"/>
      <c r="CD556" s="4"/>
      <c r="CE556" s="4"/>
      <c r="CF556" s="4"/>
      <c r="CG556" s="4"/>
      <c r="CH556" s="4"/>
      <c r="CI556" s="4"/>
    </row>
    <row r="557" ht="14.25" customHeight="1" spans="1:87" x14ac:dyDescent="0.25">
      <c r="A557" s="4"/>
      <c r="B557" s="4"/>
      <c r="C557" s="4"/>
      <c r="D557" s="4"/>
      <c r="E557" s="4"/>
      <c r="F557" s="4"/>
      <c r="G557" s="4"/>
      <c r="H557" s="4"/>
      <c r="I557" s="4"/>
      <c r="J557" s="4"/>
      <c r="K557" s="242"/>
      <c r="L557" s="4"/>
      <c r="M557" s="4"/>
      <c r="N557" s="4"/>
      <c r="O557" s="4"/>
      <c r="P557" s="4"/>
      <c r="Q557" s="4"/>
      <c r="R557" s="4"/>
      <c r="S557" s="4"/>
      <c r="T557" s="4"/>
      <c r="U557" s="4"/>
      <c r="V557" s="4"/>
      <c r="W557" s="4"/>
      <c r="X557" s="4"/>
      <c r="Y557" s="4"/>
      <c r="Z557" s="4"/>
      <c r="AA557" s="4"/>
      <c r="AB557" s="4"/>
      <c r="AC557" s="4"/>
      <c r="AD557" s="4"/>
      <c r="AE557" s="4"/>
      <c r="AF557" s="4"/>
      <c r="AG557" s="4"/>
      <c r="AH557" s="4"/>
      <c r="AI557" s="4"/>
      <c r="AJ557" s="4"/>
      <c r="AK557" s="4"/>
      <c r="AL557" s="4"/>
      <c r="AM557" s="4"/>
      <c r="AN557" s="4"/>
      <c r="AO557" s="4"/>
      <c r="AP557" s="4"/>
      <c r="AQ557" s="4"/>
      <c r="AR557" s="4"/>
      <c r="AS557" s="4"/>
      <c r="AT557" s="4"/>
      <c r="AU557" s="4"/>
      <c r="AV557" s="4"/>
      <c r="AW557" s="4"/>
      <c r="AX557" s="4"/>
      <c r="AY557" s="4"/>
      <c r="AZ557" s="4"/>
      <c r="BA557" s="4"/>
      <c r="BB557" s="4"/>
      <c r="BC557" s="4"/>
      <c r="BD557" s="4"/>
      <c r="BE557" s="4"/>
      <c r="BF557" s="4"/>
      <c r="BG557" s="4"/>
      <c r="BH557" s="4"/>
      <c r="BI557" s="4"/>
      <c r="BJ557" s="4"/>
      <c r="BK557" s="4"/>
      <c r="BL557" s="4"/>
      <c r="BM557" s="4"/>
      <c r="BN557" s="4"/>
      <c r="BO557" s="4"/>
      <c r="BP557" s="4"/>
      <c r="BQ557" s="4"/>
      <c r="BR557" s="4"/>
      <c r="BS557" s="4"/>
      <c r="BT557" s="4"/>
      <c r="BU557" s="4"/>
      <c r="BV557" s="4"/>
      <c r="BW557" s="4"/>
      <c r="BX557" s="4"/>
      <c r="BY557" s="4"/>
      <c r="BZ557" s="4"/>
      <c r="CA557" s="4"/>
      <c r="CB557" s="4"/>
      <c r="CC557" s="4"/>
      <c r="CD557" s="4"/>
      <c r="CE557" s="4"/>
      <c r="CF557" s="4"/>
      <c r="CG557" s="4"/>
      <c r="CH557" s="4"/>
      <c r="CI557" s="4"/>
    </row>
    <row r="558" ht="14.25" customHeight="1" spans="1:87" x14ac:dyDescent="0.25">
      <c r="A558" s="4"/>
      <c r="B558" s="4"/>
      <c r="C558" s="4"/>
      <c r="D558" s="4"/>
      <c r="E558" s="4"/>
      <c r="F558" s="4"/>
      <c r="G558" s="4"/>
      <c r="H558" s="4"/>
      <c r="I558" s="4"/>
      <c r="J558" s="4"/>
      <c r="K558" s="242"/>
      <c r="L558" s="4"/>
      <c r="M558" s="4"/>
      <c r="N558" s="4"/>
      <c r="O558" s="4"/>
      <c r="P558" s="4"/>
      <c r="Q558" s="4"/>
      <c r="R558" s="4"/>
      <c r="S558" s="4"/>
      <c r="T558" s="4"/>
      <c r="U558" s="4"/>
      <c r="V558" s="4"/>
      <c r="W558" s="4"/>
      <c r="X558" s="4"/>
      <c r="Y558" s="4"/>
      <c r="Z558" s="4"/>
      <c r="AA558" s="4"/>
      <c r="AB558" s="4"/>
      <c r="AC558" s="4"/>
      <c r="AD558" s="4"/>
      <c r="AE558" s="4"/>
      <c r="AF558" s="4"/>
      <c r="AG558" s="4"/>
      <c r="AH558" s="4"/>
      <c r="AI558" s="4"/>
      <c r="AJ558" s="4"/>
      <c r="AK558" s="4"/>
      <c r="AL558" s="4"/>
      <c r="AM558" s="4"/>
      <c r="AN558" s="4"/>
      <c r="AO558" s="4"/>
      <c r="AP558" s="4"/>
      <c r="AQ558" s="4"/>
      <c r="AR558" s="4"/>
      <c r="AS558" s="4"/>
      <c r="AT558" s="4"/>
      <c r="AU558" s="4"/>
      <c r="AV558" s="4"/>
      <c r="AW558" s="4"/>
      <c r="AX558" s="4"/>
      <c r="AY558" s="4"/>
      <c r="AZ558" s="4"/>
      <c r="BA558" s="4"/>
      <c r="BB558" s="4"/>
      <c r="BC558" s="4"/>
      <c r="BD558" s="4"/>
      <c r="BE558" s="4"/>
      <c r="BF558" s="4"/>
      <c r="BG558" s="4"/>
      <c r="BH558" s="4"/>
      <c r="BI558" s="4"/>
      <c r="BJ558" s="4"/>
      <c r="BK558" s="4"/>
      <c r="BL558" s="4"/>
      <c r="BM558" s="4"/>
      <c r="BN558" s="4"/>
      <c r="BO558" s="4"/>
      <c r="BP558" s="4"/>
      <c r="BQ558" s="4"/>
      <c r="BR558" s="4"/>
      <c r="BS558" s="4"/>
      <c r="BT558" s="4"/>
      <c r="BU558" s="4"/>
      <c r="BV558" s="4"/>
      <c r="BW558" s="4"/>
      <c r="BX558" s="4"/>
      <c r="BY558" s="4"/>
      <c r="BZ558" s="4"/>
      <c r="CA558" s="4"/>
      <c r="CB558" s="4"/>
      <c r="CC558" s="4"/>
      <c r="CD558" s="4"/>
      <c r="CE558" s="4"/>
      <c r="CF558" s="4"/>
      <c r="CG558" s="4"/>
      <c r="CH558" s="4"/>
      <c r="CI558" s="4"/>
    </row>
    <row r="559" ht="14.25" customHeight="1" spans="1:87" x14ac:dyDescent="0.25">
      <c r="A559" s="4"/>
      <c r="B559" s="4"/>
      <c r="C559" s="4"/>
      <c r="D559" s="4"/>
      <c r="E559" s="4"/>
      <c r="F559" s="4"/>
      <c r="G559" s="4"/>
      <c r="H559" s="4"/>
      <c r="I559" s="4"/>
      <c r="J559" s="4"/>
      <c r="K559" s="242"/>
      <c r="L559" s="4"/>
      <c r="M559" s="4"/>
      <c r="N559" s="4"/>
      <c r="O559" s="4"/>
      <c r="P559" s="4"/>
      <c r="Q559" s="4"/>
      <c r="R559" s="4"/>
      <c r="S559" s="4"/>
      <c r="T559" s="4"/>
      <c r="U559" s="4"/>
      <c r="V559" s="4"/>
      <c r="W559" s="4"/>
      <c r="X559" s="4"/>
      <c r="Y559" s="4"/>
      <c r="Z559" s="4"/>
      <c r="AA559" s="4"/>
      <c r="AB559" s="4"/>
      <c r="AC559" s="4"/>
      <c r="AD559" s="4"/>
      <c r="AE559" s="4"/>
      <c r="AF559" s="4"/>
      <c r="AG559" s="4"/>
      <c r="AH559" s="4"/>
      <c r="AI559" s="4"/>
      <c r="AJ559" s="4"/>
      <c r="AK559" s="4"/>
      <c r="AL559" s="4"/>
      <c r="AM559" s="4"/>
      <c r="AN559" s="4"/>
      <c r="AO559" s="4"/>
      <c r="AP559" s="4"/>
      <c r="AQ559" s="4"/>
      <c r="AR559" s="4"/>
      <c r="AS559" s="4"/>
      <c r="AT559" s="4"/>
      <c r="AU559" s="4"/>
      <c r="AV559" s="4"/>
      <c r="AW559" s="4"/>
      <c r="AX559" s="4"/>
      <c r="AY559" s="4"/>
      <c r="AZ559" s="4"/>
      <c r="BA559" s="4"/>
      <c r="BB559" s="4"/>
      <c r="BC559" s="4"/>
      <c r="BD559" s="4"/>
      <c r="BE559" s="4"/>
      <c r="BF559" s="4"/>
      <c r="BG559" s="4"/>
      <c r="BH559" s="4"/>
      <c r="BI559" s="4"/>
      <c r="BJ559" s="4"/>
      <c r="BK559" s="4"/>
      <c r="BL559" s="4"/>
      <c r="BM559" s="4"/>
      <c r="BN559" s="4"/>
      <c r="BO559" s="4"/>
      <c r="BP559" s="4"/>
      <c r="BQ559" s="4"/>
      <c r="BR559" s="4"/>
      <c r="BS559" s="4"/>
      <c r="BT559" s="4"/>
      <c r="BU559" s="4"/>
      <c r="BV559" s="4"/>
      <c r="BW559" s="4"/>
      <c r="BX559" s="4"/>
      <c r="BY559" s="4"/>
      <c r="BZ559" s="4"/>
      <c r="CA559" s="4"/>
      <c r="CB559" s="4"/>
      <c r="CC559" s="4"/>
      <c r="CD559" s="4"/>
      <c r="CE559" s="4"/>
      <c r="CF559" s="4"/>
      <c r="CG559" s="4"/>
      <c r="CH559" s="4"/>
      <c r="CI559" s="4"/>
    </row>
    <row r="560" ht="14.25" customHeight="1" spans="1:87" x14ac:dyDescent="0.25">
      <c r="A560" s="4"/>
      <c r="B560" s="4"/>
      <c r="C560" s="4"/>
      <c r="D560" s="4"/>
      <c r="E560" s="4"/>
      <c r="F560" s="4"/>
      <c r="G560" s="4"/>
      <c r="H560" s="4"/>
      <c r="I560" s="4"/>
      <c r="J560" s="4"/>
      <c r="K560" s="242"/>
      <c r="L560" s="4"/>
      <c r="M560" s="4"/>
      <c r="N560" s="4"/>
      <c r="O560" s="4"/>
      <c r="P560" s="4"/>
      <c r="Q560" s="4"/>
      <c r="R560" s="4"/>
      <c r="S560" s="4"/>
      <c r="T560" s="4"/>
      <c r="U560" s="4"/>
      <c r="V560" s="4"/>
      <c r="W560" s="4"/>
      <c r="X560" s="4"/>
      <c r="Y560" s="4"/>
      <c r="Z560" s="4"/>
      <c r="AA560" s="4"/>
      <c r="AB560" s="4"/>
      <c r="AC560" s="4"/>
      <c r="AD560" s="4"/>
      <c r="AE560" s="4"/>
      <c r="AF560" s="4"/>
      <c r="AG560" s="4"/>
      <c r="AH560" s="4"/>
      <c r="AI560" s="4"/>
      <c r="AJ560" s="4"/>
      <c r="AK560" s="4"/>
      <c r="AL560" s="4"/>
      <c r="AM560" s="4"/>
      <c r="AN560" s="4"/>
      <c r="AO560" s="4"/>
      <c r="AP560" s="4"/>
      <c r="AQ560" s="4"/>
      <c r="AR560" s="4"/>
      <c r="AS560" s="4"/>
      <c r="AT560" s="4"/>
      <c r="AU560" s="4"/>
      <c r="AV560" s="4"/>
      <c r="AW560" s="4"/>
      <c r="AX560" s="4"/>
      <c r="AY560" s="4"/>
      <c r="AZ560" s="4"/>
      <c r="BA560" s="4"/>
      <c r="BB560" s="4"/>
      <c r="BC560" s="4"/>
      <c r="BD560" s="4"/>
      <c r="BE560" s="4"/>
      <c r="BF560" s="4"/>
      <c r="BG560" s="4"/>
      <c r="BH560" s="4"/>
      <c r="BI560" s="4"/>
      <c r="BJ560" s="4"/>
      <c r="BK560" s="4"/>
      <c r="BL560" s="4"/>
      <c r="BM560" s="4"/>
      <c r="BN560" s="4"/>
      <c r="BO560" s="4"/>
      <c r="BP560" s="4"/>
      <c r="BQ560" s="4"/>
      <c r="BR560" s="4"/>
      <c r="BS560" s="4"/>
      <c r="BT560" s="4"/>
      <c r="BU560" s="4"/>
      <c r="BV560" s="4"/>
      <c r="BW560" s="4"/>
      <c r="BX560" s="4"/>
      <c r="BY560" s="4"/>
      <c r="BZ560" s="4"/>
      <c r="CA560" s="4"/>
      <c r="CB560" s="4"/>
      <c r="CC560" s="4"/>
      <c r="CD560" s="4"/>
      <c r="CE560" s="4"/>
      <c r="CF560" s="4"/>
      <c r="CG560" s="4"/>
      <c r="CH560" s="4"/>
      <c r="CI560" s="4"/>
    </row>
    <row r="561" ht="14.25" customHeight="1" spans="1:87" x14ac:dyDescent="0.25">
      <c r="A561" s="4"/>
      <c r="B561" s="4"/>
      <c r="C561" s="4"/>
      <c r="D561" s="4"/>
      <c r="E561" s="4"/>
      <c r="F561" s="4"/>
      <c r="G561" s="4"/>
      <c r="H561" s="4"/>
      <c r="I561" s="4"/>
      <c r="J561" s="4"/>
      <c r="K561" s="242"/>
      <c r="L561" s="4"/>
      <c r="M561" s="4"/>
      <c r="N561" s="4"/>
      <c r="O561" s="4"/>
      <c r="P561" s="4"/>
      <c r="Q561" s="4"/>
      <c r="R561" s="4"/>
      <c r="S561" s="4"/>
      <c r="T561" s="4"/>
      <c r="U561" s="4"/>
      <c r="V561" s="4"/>
      <c r="W561" s="4"/>
      <c r="X561" s="4"/>
      <c r="Y561" s="4"/>
      <c r="Z561" s="4"/>
      <c r="AA561" s="4"/>
      <c r="AB561" s="4"/>
      <c r="AC561" s="4"/>
      <c r="AD561" s="4"/>
      <c r="AE561" s="4"/>
      <c r="AF561" s="4"/>
      <c r="AG561" s="4"/>
      <c r="AH561" s="4"/>
      <c r="AI561" s="4"/>
      <c r="AJ561" s="4"/>
      <c r="AK561" s="4"/>
      <c r="AL561" s="4"/>
      <c r="AM561" s="4"/>
      <c r="AN561" s="4"/>
      <c r="AO561" s="4"/>
      <c r="AP561" s="4"/>
      <c r="AQ561" s="4"/>
      <c r="AR561" s="4"/>
      <c r="AS561" s="4"/>
      <c r="AT561" s="4"/>
      <c r="AU561" s="4"/>
      <c r="AV561" s="4"/>
      <c r="AW561" s="4"/>
      <c r="AX561" s="4"/>
      <c r="AY561" s="4"/>
      <c r="AZ561" s="4"/>
      <c r="BA561" s="4"/>
      <c r="BB561" s="4"/>
      <c r="BC561" s="4"/>
      <c r="BD561" s="4"/>
      <c r="BE561" s="4"/>
      <c r="BF561" s="4"/>
      <c r="BG561" s="4"/>
      <c r="BH561" s="4"/>
      <c r="BI561" s="4"/>
      <c r="BJ561" s="4"/>
      <c r="BK561" s="4"/>
      <c r="BL561" s="4"/>
      <c r="BM561" s="4"/>
      <c r="BN561" s="4"/>
      <c r="BO561" s="4"/>
      <c r="BP561" s="4"/>
      <c r="BQ561" s="4"/>
      <c r="BR561" s="4"/>
      <c r="BS561" s="4"/>
      <c r="BT561" s="4"/>
      <c r="BU561" s="4"/>
      <c r="BV561" s="4"/>
      <c r="BW561" s="4"/>
      <c r="BX561" s="4"/>
      <c r="BY561" s="4"/>
      <c r="BZ561" s="4"/>
      <c r="CA561" s="4"/>
      <c r="CB561" s="4"/>
      <c r="CC561" s="4"/>
      <c r="CD561" s="4"/>
      <c r="CE561" s="4"/>
      <c r="CF561" s="4"/>
      <c r="CG561" s="4"/>
      <c r="CH561" s="4"/>
      <c r="CI561" s="4"/>
    </row>
    <row r="562" ht="14.25" customHeight="1" spans="1:87" x14ac:dyDescent="0.25">
      <c r="A562" s="4"/>
      <c r="B562" s="4"/>
      <c r="C562" s="4"/>
      <c r="D562" s="4"/>
      <c r="E562" s="4"/>
      <c r="F562" s="4"/>
      <c r="G562" s="4"/>
      <c r="H562" s="4"/>
      <c r="I562" s="4"/>
      <c r="J562" s="4"/>
      <c r="K562" s="242"/>
      <c r="L562" s="4"/>
      <c r="M562" s="4"/>
      <c r="N562" s="4"/>
      <c r="O562" s="4"/>
      <c r="P562" s="4"/>
      <c r="Q562" s="4"/>
      <c r="R562" s="4"/>
      <c r="S562" s="4"/>
      <c r="T562" s="4"/>
      <c r="U562" s="4"/>
      <c r="V562" s="4"/>
      <c r="W562" s="4"/>
      <c r="X562" s="4"/>
      <c r="Y562" s="4"/>
      <c r="Z562" s="4"/>
      <c r="AA562" s="4"/>
      <c r="AB562" s="4"/>
      <c r="AC562" s="4"/>
      <c r="AD562" s="4"/>
      <c r="AE562" s="4"/>
      <c r="AF562" s="4"/>
      <c r="AG562" s="4"/>
      <c r="AH562" s="4"/>
      <c r="AI562" s="4"/>
      <c r="AJ562" s="4"/>
      <c r="AK562" s="4"/>
      <c r="AL562" s="4"/>
      <c r="AM562" s="4"/>
      <c r="AN562" s="4"/>
      <c r="AO562" s="4"/>
      <c r="AP562" s="4"/>
      <c r="AQ562" s="4"/>
      <c r="AR562" s="4"/>
      <c r="AS562" s="4"/>
      <c r="AT562" s="4"/>
      <c r="AU562" s="4"/>
      <c r="AV562" s="4"/>
      <c r="AW562" s="4"/>
      <c r="AX562" s="4"/>
      <c r="AY562" s="4"/>
      <c r="AZ562" s="4"/>
      <c r="BA562" s="4"/>
      <c r="BB562" s="4"/>
      <c r="BC562" s="4"/>
      <c r="BD562" s="4"/>
      <c r="BE562" s="4"/>
      <c r="BF562" s="4"/>
      <c r="BG562" s="4"/>
      <c r="BH562" s="4"/>
      <c r="BI562" s="4"/>
      <c r="BJ562" s="4"/>
      <c r="BK562" s="4"/>
      <c r="BL562" s="4"/>
      <c r="BM562" s="4"/>
      <c r="BN562" s="4"/>
      <c r="BO562" s="4"/>
      <c r="BP562" s="4"/>
      <c r="BQ562" s="4"/>
      <c r="BR562" s="4"/>
      <c r="BS562" s="4"/>
      <c r="BT562" s="4"/>
      <c r="BU562" s="4"/>
      <c r="BV562" s="4"/>
      <c r="BW562" s="4"/>
      <c r="BX562" s="4"/>
      <c r="BY562" s="4"/>
      <c r="BZ562" s="4"/>
      <c r="CA562" s="4"/>
      <c r="CB562" s="4"/>
      <c r="CC562" s="4"/>
      <c r="CD562" s="4"/>
      <c r="CE562" s="4"/>
      <c r="CF562" s="4"/>
      <c r="CG562" s="4"/>
      <c r="CH562" s="4"/>
      <c r="CI562" s="4"/>
    </row>
    <row r="563" ht="14.25" customHeight="1" spans="1:87" x14ac:dyDescent="0.25">
      <c r="A563" s="4"/>
      <c r="B563" s="4"/>
      <c r="C563" s="4"/>
      <c r="D563" s="4"/>
      <c r="E563" s="4"/>
      <c r="F563" s="4"/>
      <c r="G563" s="4"/>
      <c r="H563" s="4"/>
      <c r="I563" s="4"/>
      <c r="J563" s="4"/>
      <c r="K563" s="242"/>
      <c r="L563" s="4"/>
      <c r="M563" s="4"/>
      <c r="N563" s="4"/>
      <c r="O563" s="4"/>
      <c r="P563" s="4"/>
      <c r="Q563" s="4"/>
      <c r="R563" s="4"/>
      <c r="S563" s="4"/>
      <c r="T563" s="4"/>
      <c r="U563" s="4"/>
      <c r="V563" s="4"/>
      <c r="W563" s="4"/>
      <c r="X563" s="4"/>
      <c r="Y563" s="4"/>
      <c r="Z563" s="4"/>
      <c r="AA563" s="4"/>
      <c r="AB563" s="4"/>
      <c r="AC563" s="4"/>
      <c r="AD563" s="4"/>
      <c r="AE563" s="4"/>
      <c r="AF563" s="4"/>
      <c r="AG563" s="4"/>
      <c r="AH563" s="4"/>
      <c r="AI563" s="4"/>
      <c r="AJ563" s="4"/>
      <c r="AK563" s="4"/>
      <c r="AL563" s="4"/>
      <c r="AM563" s="4"/>
      <c r="AN563" s="4"/>
      <c r="AO563" s="4"/>
      <c r="AP563" s="4"/>
      <c r="AQ563" s="4"/>
      <c r="AR563" s="4"/>
      <c r="AS563" s="4"/>
      <c r="AT563" s="4"/>
      <c r="AU563" s="4"/>
      <c r="AV563" s="4"/>
      <c r="AW563" s="4"/>
      <c r="AX563" s="4"/>
      <c r="AY563" s="4"/>
      <c r="AZ563" s="4"/>
      <c r="BA563" s="4"/>
      <c r="BB563" s="4"/>
      <c r="BC563" s="4"/>
      <c r="BD563" s="4"/>
      <c r="BE563" s="4"/>
      <c r="BF563" s="4"/>
      <c r="BG563" s="4"/>
      <c r="BH563" s="4"/>
      <c r="BI563" s="4"/>
      <c r="BJ563" s="4"/>
      <c r="BK563" s="4"/>
      <c r="BL563" s="4"/>
      <c r="BM563" s="4"/>
      <c r="BN563" s="4"/>
      <c r="BO563" s="4"/>
      <c r="BP563" s="4"/>
      <c r="BQ563" s="4"/>
      <c r="BR563" s="4"/>
      <c r="BS563" s="4"/>
      <c r="BT563" s="4"/>
      <c r="BU563" s="4"/>
      <c r="BV563" s="4"/>
      <c r="BW563" s="4"/>
      <c r="BX563" s="4"/>
      <c r="BY563" s="4"/>
      <c r="BZ563" s="4"/>
      <c r="CA563" s="4"/>
      <c r="CB563" s="4"/>
      <c r="CC563" s="4"/>
      <c r="CD563" s="4"/>
      <c r="CE563" s="4"/>
      <c r="CF563" s="4"/>
      <c r="CG563" s="4"/>
      <c r="CH563" s="4"/>
      <c r="CI563" s="4"/>
    </row>
    <row r="564" ht="14.25" customHeight="1" spans="1:87" x14ac:dyDescent="0.25">
      <c r="A564" s="4"/>
      <c r="B564" s="4"/>
      <c r="C564" s="4"/>
      <c r="D564" s="4"/>
      <c r="E564" s="4"/>
      <c r="F564" s="4"/>
      <c r="G564" s="4"/>
      <c r="H564" s="4"/>
      <c r="I564" s="4"/>
      <c r="J564" s="4"/>
      <c r="K564" s="242"/>
      <c r="L564" s="4"/>
      <c r="M564" s="4"/>
      <c r="N564" s="4"/>
      <c r="O564" s="4"/>
      <c r="P564" s="4"/>
      <c r="Q564" s="4"/>
      <c r="R564" s="4"/>
      <c r="S564" s="4"/>
      <c r="T564" s="4"/>
      <c r="U564" s="4"/>
      <c r="V564" s="4"/>
      <c r="W564" s="4"/>
      <c r="X564" s="4"/>
      <c r="Y564" s="4"/>
      <c r="Z564" s="4"/>
      <c r="AA564" s="4"/>
      <c r="AB564" s="4"/>
      <c r="AC564" s="4"/>
      <c r="AD564" s="4"/>
      <c r="AE564" s="4"/>
      <c r="AF564" s="4"/>
      <c r="AG564" s="4"/>
      <c r="AH564" s="4"/>
      <c r="AI564" s="4"/>
      <c r="AJ564" s="4"/>
      <c r="AK564" s="4"/>
      <c r="AL564" s="4"/>
      <c r="AM564" s="4"/>
      <c r="AN564" s="4"/>
      <c r="AO564" s="4"/>
      <c r="AP564" s="4"/>
      <c r="AQ564" s="4"/>
      <c r="AR564" s="4"/>
      <c r="AS564" s="4"/>
      <c r="AT564" s="4"/>
      <c r="AU564" s="4"/>
      <c r="AV564" s="4"/>
      <c r="AW564" s="4"/>
      <c r="AX564" s="4"/>
      <c r="AY564" s="4"/>
      <c r="AZ564" s="4"/>
      <c r="BA564" s="4"/>
      <c r="BB564" s="4"/>
      <c r="BC564" s="4"/>
      <c r="BD564" s="4"/>
      <c r="BE564" s="4"/>
      <c r="BF564" s="4"/>
      <c r="BG564" s="4"/>
      <c r="BH564" s="4"/>
      <c r="BI564" s="4"/>
      <c r="BJ564" s="4"/>
      <c r="BK564" s="4"/>
      <c r="BL564" s="4"/>
      <c r="BM564" s="4"/>
      <c r="BN564" s="4"/>
      <c r="BO564" s="4"/>
      <c r="BP564" s="4"/>
      <c r="BQ564" s="4"/>
      <c r="BR564" s="4"/>
      <c r="BS564" s="4"/>
      <c r="BT564" s="4"/>
      <c r="BU564" s="4"/>
      <c r="BV564" s="4"/>
      <c r="BW564" s="4"/>
      <c r="BX564" s="4"/>
      <c r="BY564" s="4"/>
      <c r="BZ564" s="4"/>
      <c r="CA564" s="4"/>
      <c r="CB564" s="4"/>
      <c r="CC564" s="4"/>
      <c r="CD564" s="4"/>
      <c r="CE564" s="4"/>
      <c r="CF564" s="4"/>
      <c r="CG564" s="4"/>
      <c r="CH564" s="4"/>
      <c r="CI564" s="4"/>
    </row>
    <row r="565" ht="14.25" customHeight="1" spans="1:87" x14ac:dyDescent="0.25">
      <c r="A565" s="4"/>
      <c r="B565" s="4"/>
      <c r="C565" s="4"/>
      <c r="D565" s="4"/>
      <c r="E565" s="4"/>
      <c r="F565" s="4"/>
      <c r="G565" s="4"/>
      <c r="H565" s="4"/>
      <c r="I565" s="4"/>
      <c r="J565" s="4"/>
      <c r="K565" s="242"/>
      <c r="L565" s="4"/>
      <c r="M565" s="4"/>
      <c r="N565" s="4"/>
      <c r="O565" s="4"/>
      <c r="P565" s="4"/>
      <c r="Q565" s="4"/>
      <c r="R565" s="4"/>
      <c r="S565" s="4"/>
      <c r="T565" s="4"/>
      <c r="U565" s="4"/>
      <c r="V565" s="4"/>
      <c r="W565" s="4"/>
      <c r="X565" s="4"/>
      <c r="Y565" s="4"/>
      <c r="Z565" s="4"/>
      <c r="AA565" s="4"/>
      <c r="AB565" s="4"/>
      <c r="AC565" s="4"/>
      <c r="AD565" s="4"/>
      <c r="AE565" s="4"/>
      <c r="AF565" s="4"/>
      <c r="AG565" s="4"/>
      <c r="AH565" s="4"/>
      <c r="AI565" s="4"/>
      <c r="AJ565" s="4"/>
      <c r="AK565" s="4"/>
      <c r="AL565" s="4"/>
      <c r="AM565" s="4"/>
      <c r="AN565" s="4"/>
      <c r="AO565" s="4"/>
      <c r="AP565" s="4"/>
      <c r="AQ565" s="4"/>
      <c r="AR565" s="4"/>
      <c r="AS565" s="4"/>
      <c r="AT565" s="4"/>
      <c r="AU565" s="4"/>
      <c r="AV565" s="4"/>
      <c r="AW565" s="4"/>
      <c r="AX565" s="4"/>
      <c r="AY565" s="4"/>
      <c r="AZ565" s="4"/>
      <c r="BA565" s="4"/>
      <c r="BB565" s="4"/>
      <c r="BC565" s="4"/>
      <c r="BD565" s="4"/>
      <c r="BE565" s="4"/>
      <c r="BF565" s="4"/>
      <c r="BG565" s="4"/>
      <c r="BH565" s="4"/>
      <c r="BI565" s="4"/>
      <c r="BJ565" s="4"/>
      <c r="BK565" s="4"/>
      <c r="BL565" s="4"/>
      <c r="BM565" s="4"/>
      <c r="BN565" s="4"/>
      <c r="BO565" s="4"/>
      <c r="BP565" s="4"/>
      <c r="BQ565" s="4"/>
      <c r="BR565" s="4"/>
      <c r="BS565" s="4"/>
      <c r="BT565" s="4"/>
      <c r="BU565" s="4"/>
      <c r="BV565" s="4"/>
      <c r="BW565" s="4"/>
      <c r="BX565" s="4"/>
      <c r="BY565" s="4"/>
      <c r="BZ565" s="4"/>
      <c r="CA565" s="4"/>
      <c r="CB565" s="4"/>
      <c r="CC565" s="4"/>
      <c r="CD565" s="4"/>
      <c r="CE565" s="4"/>
      <c r="CF565" s="4"/>
      <c r="CG565" s="4"/>
      <c r="CH565" s="4"/>
      <c r="CI565" s="4"/>
    </row>
    <row r="566" ht="14.25" customHeight="1" spans="1:87" x14ac:dyDescent="0.25">
      <c r="A566" s="4"/>
      <c r="B566" s="4"/>
      <c r="C566" s="4"/>
      <c r="D566" s="4"/>
      <c r="E566" s="4"/>
      <c r="F566" s="4"/>
      <c r="G566" s="4"/>
      <c r="H566" s="4"/>
      <c r="I566" s="4"/>
      <c r="J566" s="4"/>
      <c r="K566" s="242"/>
      <c r="L566" s="4"/>
      <c r="M566" s="4"/>
      <c r="N566" s="4"/>
      <c r="O566" s="4"/>
      <c r="P566" s="4"/>
      <c r="Q566" s="4"/>
      <c r="R566" s="4"/>
      <c r="S566" s="4"/>
      <c r="T566" s="4"/>
      <c r="U566" s="4"/>
      <c r="V566" s="4"/>
      <c r="W566" s="4"/>
      <c r="X566" s="4"/>
      <c r="Y566" s="4"/>
      <c r="Z566" s="4"/>
      <c r="AA566" s="4"/>
      <c r="AB566" s="4"/>
      <c r="AC566" s="4"/>
      <c r="AD566" s="4"/>
      <c r="AE566" s="4"/>
      <c r="AF566" s="4"/>
      <c r="AG566" s="4"/>
      <c r="AH566" s="4"/>
      <c r="AI566" s="4"/>
      <c r="AJ566" s="4"/>
      <c r="AK566" s="4"/>
      <c r="AL566" s="4"/>
      <c r="AM566" s="4"/>
      <c r="AN566" s="4"/>
      <c r="AO566" s="4"/>
      <c r="AP566" s="4"/>
      <c r="AQ566" s="4"/>
      <c r="AR566" s="4"/>
      <c r="AS566" s="4"/>
      <c r="AT566" s="4"/>
      <c r="AU566" s="4"/>
      <c r="AV566" s="4"/>
      <c r="AW566" s="4"/>
      <c r="AX566" s="4"/>
      <c r="AY566" s="4"/>
      <c r="AZ566" s="4"/>
      <c r="BA566" s="4"/>
      <c r="BB566" s="4"/>
      <c r="BC566" s="4"/>
      <c r="BD566" s="4"/>
      <c r="BE566" s="4"/>
      <c r="BF566" s="4"/>
      <c r="BG566" s="4"/>
      <c r="BH566" s="4"/>
      <c r="BI566" s="4"/>
      <c r="BJ566" s="4"/>
      <c r="BK566" s="4"/>
      <c r="BL566" s="4"/>
      <c r="BM566" s="4"/>
      <c r="BN566" s="4"/>
      <c r="BO566" s="4"/>
      <c r="BP566" s="4"/>
      <c r="BQ566" s="4"/>
      <c r="BR566" s="4"/>
      <c r="BS566" s="4"/>
      <c r="BT566" s="4"/>
      <c r="BU566" s="4"/>
      <c r="BV566" s="4"/>
      <c r="BW566" s="4"/>
      <c r="BX566" s="4"/>
      <c r="BY566" s="4"/>
      <c r="BZ566" s="4"/>
      <c r="CA566" s="4"/>
      <c r="CB566" s="4"/>
      <c r="CC566" s="4"/>
      <c r="CD566" s="4"/>
      <c r="CE566" s="4"/>
      <c r="CF566" s="4"/>
      <c r="CG566" s="4"/>
      <c r="CH566" s="4"/>
      <c r="CI566" s="4"/>
    </row>
    <row r="567" ht="14.25" customHeight="1" spans="1:87" x14ac:dyDescent="0.25">
      <c r="A567" s="4"/>
      <c r="B567" s="4"/>
      <c r="C567" s="4"/>
      <c r="D567" s="4"/>
      <c r="E567" s="4"/>
      <c r="F567" s="4"/>
      <c r="G567" s="4"/>
      <c r="H567" s="4"/>
      <c r="I567" s="4"/>
      <c r="J567" s="4"/>
      <c r="K567" s="242"/>
      <c r="L567" s="4"/>
      <c r="M567" s="4"/>
      <c r="N567" s="4"/>
      <c r="O567" s="4"/>
      <c r="P567" s="4"/>
      <c r="Q567" s="4"/>
      <c r="R567" s="4"/>
      <c r="S567" s="4"/>
      <c r="T567" s="4"/>
      <c r="U567" s="4"/>
      <c r="V567" s="4"/>
      <c r="W567" s="4"/>
      <c r="X567" s="4"/>
      <c r="Y567" s="4"/>
      <c r="Z567" s="4"/>
      <c r="AA567" s="4"/>
      <c r="AB567" s="4"/>
      <c r="AC567" s="4"/>
      <c r="AD567" s="4"/>
      <c r="AE567" s="4"/>
      <c r="AF567" s="4"/>
      <c r="AG567" s="4"/>
      <c r="AH567" s="4"/>
      <c r="AI567" s="4"/>
      <c r="AJ567" s="4"/>
      <c r="AK567" s="4"/>
      <c r="AL567" s="4"/>
      <c r="AM567" s="4"/>
      <c r="AN567" s="4"/>
      <c r="AO567" s="4"/>
      <c r="AP567" s="4"/>
      <c r="AQ567" s="4"/>
      <c r="AR567" s="4"/>
      <c r="AS567" s="4"/>
      <c r="AT567" s="4"/>
      <c r="AU567" s="4"/>
      <c r="AV567" s="4"/>
      <c r="AW567" s="4"/>
      <c r="AX567" s="4"/>
      <c r="AY567" s="4"/>
      <c r="AZ567" s="4"/>
      <c r="BA567" s="4"/>
      <c r="BB567" s="4"/>
      <c r="BC567" s="4"/>
      <c r="BD567" s="4"/>
      <c r="BE567" s="4"/>
      <c r="BF567" s="4"/>
      <c r="BG567" s="4"/>
      <c r="BH567" s="4"/>
      <c r="BI567" s="4"/>
      <c r="BJ567" s="4"/>
      <c r="BK567" s="4"/>
      <c r="BL567" s="4"/>
      <c r="BM567" s="4"/>
      <c r="BN567" s="4"/>
      <c r="BO567" s="4"/>
      <c r="BP567" s="4"/>
      <c r="BQ567" s="4"/>
      <c r="BR567" s="4"/>
      <c r="BS567" s="4"/>
      <c r="BT567" s="4"/>
      <c r="BU567" s="4"/>
      <c r="BV567" s="4"/>
      <c r="BW567" s="4"/>
      <c r="BX567" s="4"/>
      <c r="BY567" s="4"/>
      <c r="BZ567" s="4"/>
      <c r="CA567" s="4"/>
      <c r="CB567" s="4"/>
      <c r="CC567" s="4"/>
      <c r="CD567" s="4"/>
      <c r="CE567" s="4"/>
      <c r="CF567" s="4"/>
      <c r="CG567" s="4"/>
      <c r="CH567" s="4"/>
      <c r="CI567" s="4"/>
    </row>
    <row r="568" ht="14.25" customHeight="1" spans="1:87" x14ac:dyDescent="0.25">
      <c r="A568" s="4"/>
      <c r="B568" s="4"/>
      <c r="C568" s="4"/>
      <c r="D568" s="4"/>
      <c r="E568" s="4"/>
      <c r="F568" s="4"/>
      <c r="G568" s="4"/>
      <c r="H568" s="4"/>
      <c r="I568" s="4"/>
      <c r="J568" s="4"/>
      <c r="K568" s="242"/>
      <c r="L568" s="4"/>
      <c r="M568" s="4"/>
      <c r="N568" s="4"/>
      <c r="O568" s="4"/>
      <c r="P568" s="4"/>
      <c r="Q568" s="4"/>
      <c r="R568" s="4"/>
      <c r="S568" s="4"/>
      <c r="T568" s="4"/>
      <c r="U568" s="4"/>
      <c r="V568" s="4"/>
      <c r="W568" s="4"/>
      <c r="X568" s="4"/>
      <c r="Y568" s="4"/>
      <c r="Z568" s="4"/>
      <c r="AA568" s="4"/>
      <c r="AB568" s="4"/>
      <c r="AC568" s="4"/>
      <c r="AD568" s="4"/>
      <c r="AE568" s="4"/>
      <c r="AF568" s="4"/>
      <c r="AG568" s="4"/>
      <c r="AH568" s="4"/>
      <c r="AI568" s="4"/>
      <c r="AJ568" s="4"/>
      <c r="AK568" s="4"/>
      <c r="AL568" s="4"/>
      <c r="AM568" s="4"/>
      <c r="AN568" s="4"/>
      <c r="AO568" s="4"/>
      <c r="AP568" s="4"/>
      <c r="AQ568" s="4"/>
      <c r="AR568" s="4"/>
      <c r="AS568" s="4"/>
      <c r="AT568" s="4"/>
      <c r="AU568" s="4"/>
      <c r="AV568" s="4"/>
      <c r="AW568" s="4"/>
      <c r="AX568" s="4"/>
      <c r="AY568" s="4"/>
      <c r="AZ568" s="4"/>
      <c r="BA568" s="4"/>
      <c r="BB568" s="4"/>
      <c r="BC568" s="4"/>
      <c r="BD568" s="4"/>
      <c r="BE568" s="4"/>
      <c r="BF568" s="4"/>
      <c r="BG568" s="4"/>
      <c r="BH568" s="4"/>
      <c r="BI568" s="4"/>
      <c r="BJ568" s="4"/>
      <c r="BK568" s="4"/>
      <c r="BL568" s="4"/>
      <c r="BM568" s="4"/>
      <c r="BN568" s="4"/>
      <c r="BO568" s="4"/>
      <c r="BP568" s="4"/>
      <c r="BQ568" s="4"/>
      <c r="BR568" s="4"/>
      <c r="BS568" s="4"/>
      <c r="BT568" s="4"/>
      <c r="BU568" s="4"/>
      <c r="BV568" s="4"/>
      <c r="BW568" s="4"/>
      <c r="BX568" s="4"/>
      <c r="BY568" s="4"/>
      <c r="BZ568" s="4"/>
      <c r="CA568" s="4"/>
      <c r="CB568" s="4"/>
      <c r="CC568" s="4"/>
      <c r="CD568" s="4"/>
      <c r="CE568" s="4"/>
      <c r="CF568" s="4"/>
      <c r="CG568" s="4"/>
      <c r="CH568" s="4"/>
      <c r="CI568" s="4"/>
    </row>
    <row r="569" ht="14.25" customHeight="1" spans="1:87" x14ac:dyDescent="0.25">
      <c r="A569" s="4"/>
      <c r="B569" s="4"/>
      <c r="C569" s="4"/>
      <c r="D569" s="4"/>
      <c r="E569" s="4"/>
      <c r="F569" s="4"/>
      <c r="G569" s="4"/>
      <c r="H569" s="4"/>
      <c r="I569" s="4"/>
      <c r="J569" s="4"/>
      <c r="K569" s="242"/>
      <c r="L569" s="4"/>
      <c r="M569" s="4"/>
      <c r="N569" s="4"/>
      <c r="O569" s="4"/>
      <c r="P569" s="4"/>
      <c r="Q569" s="4"/>
      <c r="R569" s="4"/>
      <c r="S569" s="4"/>
      <c r="T569" s="4"/>
      <c r="U569" s="4"/>
      <c r="V569" s="4"/>
      <c r="W569" s="4"/>
      <c r="X569" s="4"/>
      <c r="Y569" s="4"/>
      <c r="Z569" s="4"/>
      <c r="AA569" s="4"/>
      <c r="AB569" s="4"/>
      <c r="AC569" s="4"/>
      <c r="AD569" s="4"/>
      <c r="AE569" s="4"/>
      <c r="AF569" s="4"/>
      <c r="AG569" s="4"/>
      <c r="AH569" s="4"/>
      <c r="AI569" s="4"/>
      <c r="AJ569" s="4"/>
      <c r="AK569" s="4"/>
      <c r="AL569" s="4"/>
      <c r="AM569" s="4"/>
      <c r="AN569" s="4"/>
      <c r="AO569" s="4"/>
      <c r="AP569" s="4"/>
      <c r="AQ569" s="4"/>
      <c r="AR569" s="4"/>
      <c r="AS569" s="4"/>
      <c r="AT569" s="4"/>
      <c r="AU569" s="4"/>
      <c r="AV569" s="4"/>
      <c r="AW569" s="4"/>
      <c r="AX569" s="4"/>
      <c r="AY569" s="4"/>
      <c r="AZ569" s="4"/>
      <c r="BA569" s="4"/>
      <c r="BB569" s="4"/>
      <c r="BC569" s="4"/>
      <c r="BD569" s="4"/>
      <c r="BE569" s="4"/>
      <c r="BF569" s="4"/>
      <c r="BG569" s="4"/>
      <c r="BH569" s="4"/>
      <c r="BI569" s="4"/>
      <c r="BJ569" s="4"/>
      <c r="BK569" s="4"/>
      <c r="BL569" s="4"/>
      <c r="BM569" s="4"/>
      <c r="BN569" s="4"/>
      <c r="BO569" s="4"/>
      <c r="BP569" s="4"/>
      <c r="BQ569" s="4"/>
      <c r="BR569" s="4"/>
      <c r="BS569" s="4"/>
      <c r="BT569" s="4"/>
      <c r="BU569" s="4"/>
      <c r="BV569" s="4"/>
      <c r="BW569" s="4"/>
      <c r="BX569" s="4"/>
      <c r="BY569" s="4"/>
      <c r="BZ569" s="4"/>
      <c r="CA569" s="4"/>
      <c r="CB569" s="4"/>
      <c r="CC569" s="4"/>
      <c r="CD569" s="4"/>
      <c r="CE569" s="4"/>
      <c r="CF569" s="4"/>
      <c r="CG569" s="4"/>
      <c r="CH569" s="4"/>
      <c r="CI569" s="4"/>
    </row>
    <row r="570" ht="14.25" customHeight="1" spans="1:87" x14ac:dyDescent="0.25">
      <c r="A570" s="4"/>
      <c r="B570" s="4"/>
      <c r="C570" s="4"/>
      <c r="D570" s="4"/>
      <c r="E570" s="4"/>
      <c r="F570" s="4"/>
      <c r="G570" s="4"/>
      <c r="H570" s="4"/>
      <c r="I570" s="4"/>
      <c r="J570" s="4"/>
      <c r="K570" s="242"/>
      <c r="L570" s="4"/>
      <c r="M570" s="4"/>
      <c r="N570" s="4"/>
      <c r="O570" s="4"/>
      <c r="P570" s="4"/>
      <c r="Q570" s="4"/>
      <c r="R570" s="4"/>
      <c r="S570" s="4"/>
      <c r="T570" s="4"/>
      <c r="U570" s="4"/>
      <c r="V570" s="4"/>
      <c r="W570" s="4"/>
      <c r="X570" s="4"/>
      <c r="Y570" s="4"/>
      <c r="Z570" s="4"/>
      <c r="AA570" s="4"/>
      <c r="AB570" s="4"/>
      <c r="AC570" s="4"/>
      <c r="AD570" s="4"/>
      <c r="AE570" s="4"/>
      <c r="AF570" s="4"/>
      <c r="AG570" s="4"/>
      <c r="AH570" s="4"/>
      <c r="AI570" s="4"/>
      <c r="AJ570" s="4"/>
      <c r="AK570" s="4"/>
      <c r="AL570" s="4"/>
      <c r="AM570" s="4"/>
      <c r="AN570" s="4"/>
      <c r="AO570" s="4"/>
      <c r="AP570" s="4"/>
      <c r="AQ570" s="4"/>
      <c r="AR570" s="4"/>
      <c r="AS570" s="4"/>
      <c r="AT570" s="4"/>
      <c r="AU570" s="4"/>
      <c r="AV570" s="4"/>
      <c r="AW570" s="4"/>
      <c r="AX570" s="4"/>
      <c r="AY570" s="4"/>
      <c r="AZ570" s="4"/>
      <c r="BA570" s="4"/>
      <c r="BB570" s="4"/>
      <c r="BC570" s="4"/>
      <c r="BD570" s="4"/>
      <c r="BE570" s="4"/>
      <c r="BF570" s="4"/>
      <c r="BG570" s="4"/>
      <c r="BH570" s="4"/>
      <c r="BI570" s="4"/>
      <c r="BJ570" s="4"/>
      <c r="BK570" s="4"/>
      <c r="BL570" s="4"/>
      <c r="BM570" s="4"/>
      <c r="BN570" s="4"/>
      <c r="BO570" s="4"/>
      <c r="BP570" s="4"/>
      <c r="BQ570" s="4"/>
      <c r="BR570" s="4"/>
      <c r="BS570" s="4"/>
      <c r="BT570" s="4"/>
      <c r="BU570" s="4"/>
      <c r="BV570" s="4"/>
      <c r="BW570" s="4"/>
      <c r="BX570" s="4"/>
      <c r="BY570" s="4"/>
      <c r="BZ570" s="4"/>
      <c r="CA570" s="4"/>
      <c r="CB570" s="4"/>
      <c r="CC570" s="4"/>
      <c r="CD570" s="4"/>
      <c r="CE570" s="4"/>
      <c r="CF570" s="4"/>
      <c r="CG570" s="4"/>
      <c r="CH570" s="4"/>
      <c r="CI570" s="4"/>
    </row>
    <row r="571" ht="14.25" customHeight="1" spans="1:87" x14ac:dyDescent="0.25">
      <c r="A571" s="4"/>
      <c r="B571" s="4"/>
      <c r="C571" s="4"/>
      <c r="D571" s="4"/>
      <c r="E571" s="4"/>
      <c r="F571" s="4"/>
      <c r="G571" s="4"/>
      <c r="H571" s="4"/>
      <c r="I571" s="4"/>
      <c r="J571" s="4"/>
      <c r="K571" s="242"/>
      <c r="L571" s="4"/>
      <c r="M571" s="4"/>
      <c r="N571" s="4"/>
      <c r="O571" s="4"/>
      <c r="P571" s="4"/>
      <c r="Q571" s="4"/>
      <c r="R571" s="4"/>
      <c r="S571" s="4"/>
      <c r="T571" s="4"/>
      <c r="U571" s="4"/>
      <c r="V571" s="4"/>
      <c r="W571" s="4"/>
      <c r="X571" s="4"/>
      <c r="Y571" s="4"/>
      <c r="Z571" s="4"/>
      <c r="AA571" s="4"/>
      <c r="AB571" s="4"/>
      <c r="AC571" s="4"/>
      <c r="AD571" s="4"/>
      <c r="AE571" s="4"/>
      <c r="AF571" s="4"/>
      <c r="AG571" s="4"/>
      <c r="AH571" s="4"/>
      <c r="AI571" s="4"/>
      <c r="AJ571" s="4"/>
      <c r="AK571" s="4"/>
      <c r="AL571" s="4"/>
      <c r="AM571" s="4"/>
      <c r="AN571" s="4"/>
      <c r="AO571" s="4"/>
      <c r="AP571" s="4"/>
      <c r="AQ571" s="4"/>
      <c r="AR571" s="4"/>
      <c r="AS571" s="4"/>
      <c r="AT571" s="4"/>
      <c r="AU571" s="4"/>
      <c r="AV571" s="4"/>
      <c r="AW571" s="4"/>
      <c r="AX571" s="4"/>
      <c r="AY571" s="4"/>
      <c r="AZ571" s="4"/>
      <c r="BA571" s="4"/>
      <c r="BB571" s="4"/>
      <c r="BC571" s="4"/>
      <c r="BD571" s="4"/>
      <c r="BE571" s="4"/>
      <c r="BF571" s="4"/>
      <c r="BG571" s="4"/>
      <c r="BH571" s="4"/>
      <c r="BI571" s="4"/>
      <c r="BJ571" s="4"/>
      <c r="BK571" s="4"/>
      <c r="BL571" s="4"/>
      <c r="BM571" s="4"/>
      <c r="BN571" s="4"/>
      <c r="BO571" s="4"/>
      <c r="BP571" s="4"/>
      <c r="BQ571" s="4"/>
      <c r="BR571" s="4"/>
      <c r="BS571" s="4"/>
      <c r="BT571" s="4"/>
      <c r="BU571" s="4"/>
      <c r="BV571" s="4"/>
      <c r="BW571" s="4"/>
      <c r="BX571" s="4"/>
      <c r="BY571" s="4"/>
      <c r="BZ571" s="4"/>
      <c r="CA571" s="4"/>
      <c r="CB571" s="4"/>
      <c r="CC571" s="4"/>
      <c r="CD571" s="4"/>
      <c r="CE571" s="4"/>
      <c r="CF571" s="4"/>
      <c r="CG571" s="4"/>
      <c r="CH571" s="4"/>
      <c r="CI571" s="4"/>
    </row>
    <row r="572" ht="14.25" customHeight="1" spans="1:87" x14ac:dyDescent="0.25">
      <c r="A572" s="4"/>
      <c r="B572" s="4"/>
      <c r="C572" s="4"/>
      <c r="D572" s="4"/>
      <c r="E572" s="4"/>
      <c r="F572" s="4"/>
      <c r="G572" s="4"/>
      <c r="H572" s="4"/>
      <c r="I572" s="4"/>
      <c r="J572" s="4"/>
      <c r="K572" s="242"/>
      <c r="L572" s="4"/>
      <c r="M572" s="4"/>
      <c r="N572" s="4"/>
      <c r="O572" s="4"/>
      <c r="P572" s="4"/>
      <c r="Q572" s="4"/>
      <c r="R572" s="4"/>
      <c r="S572" s="4"/>
      <c r="T572" s="4"/>
      <c r="U572" s="4"/>
      <c r="V572" s="4"/>
      <c r="W572" s="4"/>
      <c r="X572" s="4"/>
      <c r="Y572" s="4"/>
      <c r="Z572" s="4"/>
      <c r="AA572" s="4"/>
      <c r="AB572" s="4"/>
      <c r="AC572" s="4"/>
      <c r="AD572" s="4"/>
      <c r="AE572" s="4"/>
      <c r="AF572" s="4"/>
      <c r="AG572" s="4"/>
      <c r="AH572" s="4"/>
      <c r="AI572" s="4"/>
      <c r="AJ572" s="4"/>
      <c r="AK572" s="4"/>
      <c r="AL572" s="4"/>
      <c r="AM572" s="4"/>
      <c r="AN572" s="4"/>
      <c r="AO572" s="4"/>
      <c r="AP572" s="4"/>
      <c r="AQ572" s="4"/>
      <c r="AR572" s="4"/>
      <c r="AS572" s="4"/>
      <c r="AT572" s="4"/>
      <c r="AU572" s="4"/>
      <c r="AV572" s="4"/>
      <c r="AW572" s="4"/>
      <c r="AX572" s="4"/>
      <c r="AY572" s="4"/>
      <c r="AZ572" s="4"/>
      <c r="BA572" s="4"/>
      <c r="BB572" s="4"/>
      <c r="BC572" s="4"/>
      <c r="BD572" s="4"/>
      <c r="BE572" s="4"/>
      <c r="BF572" s="4"/>
      <c r="BG572" s="4"/>
      <c r="BH572" s="4"/>
      <c r="BI572" s="4"/>
      <c r="BJ572" s="4"/>
      <c r="BK572" s="4"/>
      <c r="BL572" s="4"/>
      <c r="BM572" s="4"/>
      <c r="BN572" s="4"/>
      <c r="BO572" s="4"/>
      <c r="BP572" s="4"/>
      <c r="BQ572" s="4"/>
      <c r="BR572" s="4"/>
      <c r="BS572" s="4"/>
      <c r="BT572" s="4"/>
      <c r="BU572" s="4"/>
      <c r="BV572" s="4"/>
      <c r="BW572" s="4"/>
      <c r="BX572" s="4"/>
      <c r="BY572" s="4"/>
      <c r="BZ572" s="4"/>
      <c r="CA572" s="4"/>
      <c r="CB572" s="4"/>
      <c r="CC572" s="4"/>
      <c r="CD572" s="4"/>
      <c r="CE572" s="4"/>
      <c r="CF572" s="4"/>
      <c r="CG572" s="4"/>
      <c r="CH572" s="4"/>
      <c r="CI572" s="4"/>
    </row>
    <row r="573" ht="14.25" customHeight="1" spans="1:87" x14ac:dyDescent="0.25">
      <c r="A573" s="4"/>
      <c r="B573" s="4"/>
      <c r="C573" s="4"/>
      <c r="D573" s="4"/>
      <c r="E573" s="4"/>
      <c r="F573" s="4"/>
      <c r="G573" s="4"/>
      <c r="H573" s="4"/>
      <c r="I573" s="4"/>
      <c r="J573" s="4"/>
      <c r="K573" s="242"/>
      <c r="L573" s="4"/>
      <c r="M573" s="4"/>
      <c r="N573" s="4"/>
      <c r="O573" s="4"/>
      <c r="P573" s="4"/>
      <c r="Q573" s="4"/>
      <c r="R573" s="4"/>
      <c r="S573" s="4"/>
      <c r="T573" s="4"/>
      <c r="U573" s="4"/>
      <c r="V573" s="4"/>
      <c r="W573" s="4"/>
      <c r="X573" s="4"/>
      <c r="Y573" s="4"/>
      <c r="Z573" s="4"/>
      <c r="AA573" s="4"/>
      <c r="AB573" s="4"/>
      <c r="AC573" s="4"/>
      <c r="AD573" s="4"/>
      <c r="AE573" s="4"/>
      <c r="AF573" s="4"/>
      <c r="AG573" s="4"/>
      <c r="AH573" s="4"/>
      <c r="AI573" s="4"/>
      <c r="AJ573" s="4"/>
      <c r="AK573" s="4"/>
      <c r="AL573" s="4"/>
      <c r="AM573" s="4"/>
      <c r="AN573" s="4"/>
      <c r="AO573" s="4"/>
      <c r="AP573" s="4"/>
      <c r="AQ573" s="4"/>
      <c r="AR573" s="4"/>
      <c r="AS573" s="4"/>
      <c r="AT573" s="4"/>
      <c r="AU573" s="4"/>
      <c r="AV573" s="4"/>
      <c r="AW573" s="4"/>
      <c r="AX573" s="4"/>
      <c r="AY573" s="4"/>
      <c r="AZ573" s="4"/>
      <c r="BA573" s="4"/>
      <c r="BB573" s="4"/>
      <c r="BC573" s="4"/>
      <c r="BD573" s="4"/>
      <c r="BE573" s="4"/>
      <c r="BF573" s="4"/>
      <c r="BG573" s="4"/>
      <c r="BH573" s="4"/>
      <c r="BI573" s="4"/>
      <c r="BJ573" s="4"/>
      <c r="BK573" s="4"/>
      <c r="BL573" s="4"/>
      <c r="BM573" s="4"/>
      <c r="BN573" s="4"/>
      <c r="BO573" s="4"/>
      <c r="BP573" s="4"/>
      <c r="BQ573" s="4"/>
      <c r="BR573" s="4"/>
      <c r="BS573" s="4"/>
      <c r="BT573" s="4"/>
      <c r="BU573" s="4"/>
      <c r="BV573" s="4"/>
      <c r="BW573" s="4"/>
      <c r="BX573" s="4"/>
      <c r="BY573" s="4"/>
      <c r="BZ573" s="4"/>
      <c r="CA573" s="4"/>
      <c r="CB573" s="4"/>
      <c r="CC573" s="4"/>
      <c r="CD573" s="4"/>
      <c r="CE573" s="4"/>
      <c r="CF573" s="4"/>
      <c r="CG573" s="4"/>
      <c r="CH573" s="4"/>
      <c r="CI573" s="4"/>
    </row>
    <row r="574" ht="14.25" customHeight="1" spans="1:87" x14ac:dyDescent="0.25">
      <c r="A574" s="4"/>
      <c r="B574" s="4"/>
      <c r="C574" s="4"/>
      <c r="D574" s="4"/>
      <c r="E574" s="4"/>
      <c r="F574" s="4"/>
      <c r="G574" s="4"/>
      <c r="H574" s="4"/>
      <c r="I574" s="4"/>
      <c r="J574" s="4"/>
      <c r="K574" s="242"/>
      <c r="L574" s="4"/>
      <c r="M574" s="4"/>
      <c r="N574" s="4"/>
      <c r="O574" s="4"/>
      <c r="P574" s="4"/>
      <c r="Q574" s="4"/>
      <c r="R574" s="4"/>
      <c r="S574" s="4"/>
      <c r="T574" s="4"/>
      <c r="U574" s="4"/>
      <c r="V574" s="4"/>
      <c r="W574" s="4"/>
      <c r="X574" s="4"/>
      <c r="Y574" s="4"/>
      <c r="Z574" s="4"/>
      <c r="AA574" s="4"/>
      <c r="AB574" s="4"/>
      <c r="AC574" s="4"/>
      <c r="AD574" s="4"/>
      <c r="AE574" s="4"/>
      <c r="AF574" s="4"/>
      <c r="AG574" s="4"/>
      <c r="AH574" s="4"/>
      <c r="AI574" s="4"/>
      <c r="AJ574" s="4"/>
      <c r="AK574" s="4"/>
      <c r="AL574" s="4"/>
      <c r="AM574" s="4"/>
      <c r="AN574" s="4"/>
      <c r="AO574" s="4"/>
      <c r="AP574" s="4"/>
      <c r="AQ574" s="4"/>
      <c r="AR574" s="4"/>
      <c r="AS574" s="4"/>
      <c r="AT574" s="4"/>
      <c r="AU574" s="4"/>
      <c r="AV574" s="4"/>
      <c r="AW574" s="4"/>
      <c r="AX574" s="4"/>
      <c r="AY574" s="4"/>
      <c r="AZ574" s="4"/>
      <c r="BA574" s="4"/>
      <c r="BB574" s="4"/>
      <c r="BC574" s="4"/>
      <c r="BD574" s="4"/>
      <c r="BE574" s="4"/>
      <c r="BF574" s="4"/>
      <c r="BG574" s="4"/>
      <c r="BH574" s="4"/>
      <c r="BI574" s="4"/>
      <c r="BJ574" s="4"/>
      <c r="BK574" s="4"/>
      <c r="BL574" s="4"/>
      <c r="BM574" s="4"/>
      <c r="BN574" s="4"/>
      <c r="BO574" s="4"/>
      <c r="BP574" s="4"/>
      <c r="BQ574" s="4"/>
      <c r="BR574" s="4"/>
      <c r="BS574" s="4"/>
      <c r="BT574" s="4"/>
      <c r="BU574" s="4"/>
      <c r="BV574" s="4"/>
      <c r="BW574" s="4"/>
      <c r="BX574" s="4"/>
      <c r="BY574" s="4"/>
      <c r="BZ574" s="4"/>
      <c r="CA574" s="4"/>
      <c r="CB574" s="4"/>
      <c r="CC574" s="4"/>
      <c r="CD574" s="4"/>
      <c r="CE574" s="4"/>
      <c r="CF574" s="4"/>
      <c r="CG574" s="4"/>
      <c r="CH574" s="4"/>
      <c r="CI574" s="4"/>
    </row>
    <row r="575" ht="14.25" customHeight="1" spans="1:87" x14ac:dyDescent="0.25">
      <c r="A575" s="4"/>
      <c r="B575" s="4"/>
      <c r="C575" s="4"/>
      <c r="D575" s="4"/>
      <c r="E575" s="4"/>
      <c r="F575" s="4"/>
      <c r="G575" s="4"/>
      <c r="H575" s="4"/>
      <c r="I575" s="4"/>
      <c r="J575" s="4"/>
      <c r="K575" s="242"/>
      <c r="L575" s="4"/>
      <c r="M575" s="4"/>
      <c r="N575" s="4"/>
      <c r="O575" s="4"/>
      <c r="P575" s="4"/>
      <c r="Q575" s="4"/>
      <c r="R575" s="4"/>
      <c r="S575" s="4"/>
      <c r="T575" s="4"/>
      <c r="U575" s="4"/>
      <c r="V575" s="4"/>
      <c r="W575" s="4"/>
      <c r="X575" s="4"/>
      <c r="Y575" s="4"/>
      <c r="Z575" s="4"/>
      <c r="AA575" s="4"/>
      <c r="AB575" s="4"/>
      <c r="AC575" s="4"/>
      <c r="AD575" s="4"/>
      <c r="AE575" s="4"/>
      <c r="AF575" s="4"/>
      <c r="AG575" s="4"/>
      <c r="AH575" s="4"/>
      <c r="AI575" s="4"/>
      <c r="AJ575" s="4"/>
      <c r="AK575" s="4"/>
      <c r="AL575" s="4"/>
      <c r="AM575" s="4"/>
      <c r="AN575" s="4"/>
      <c r="AO575" s="4"/>
      <c r="AP575" s="4"/>
      <c r="AQ575" s="4"/>
      <c r="AR575" s="4"/>
      <c r="AS575" s="4"/>
      <c r="AT575" s="4"/>
      <c r="AU575" s="4"/>
      <c r="AV575" s="4"/>
      <c r="AW575" s="4"/>
      <c r="AX575" s="4"/>
      <c r="AY575" s="4"/>
      <c r="AZ575" s="4"/>
      <c r="BA575" s="4"/>
      <c r="BB575" s="4"/>
      <c r="BC575" s="4"/>
      <c r="BD575" s="4"/>
      <c r="BE575" s="4"/>
      <c r="BF575" s="4"/>
      <c r="BG575" s="4"/>
      <c r="BH575" s="4"/>
      <c r="BI575" s="4"/>
      <c r="BJ575" s="4"/>
      <c r="BK575" s="4"/>
      <c r="BL575" s="4"/>
      <c r="BM575" s="4"/>
      <c r="BN575" s="4"/>
      <c r="BO575" s="4"/>
      <c r="BP575" s="4"/>
      <c r="BQ575" s="4"/>
      <c r="BR575" s="4"/>
      <c r="BS575" s="4"/>
      <c r="BT575" s="4"/>
      <c r="BU575" s="4"/>
      <c r="BV575" s="4"/>
      <c r="BW575" s="4"/>
      <c r="BX575" s="4"/>
      <c r="BY575" s="4"/>
      <c r="BZ575" s="4"/>
      <c r="CA575" s="4"/>
      <c r="CB575" s="4"/>
      <c r="CC575" s="4"/>
      <c r="CD575" s="4"/>
      <c r="CE575" s="4"/>
      <c r="CF575" s="4"/>
      <c r="CG575" s="4"/>
      <c r="CH575" s="4"/>
      <c r="CI575" s="4"/>
    </row>
    <row r="576" ht="14.25" customHeight="1" spans="1:87" x14ac:dyDescent="0.25">
      <c r="A576" s="4"/>
      <c r="B576" s="4"/>
      <c r="C576" s="4"/>
      <c r="D576" s="4"/>
      <c r="E576" s="4"/>
      <c r="F576" s="4"/>
      <c r="G576" s="4"/>
      <c r="H576" s="4"/>
      <c r="I576" s="4"/>
      <c r="J576" s="4"/>
      <c r="K576" s="242"/>
      <c r="L576" s="4"/>
      <c r="M576" s="4"/>
      <c r="N576" s="4"/>
      <c r="O576" s="4"/>
      <c r="P576" s="4"/>
      <c r="Q576" s="4"/>
      <c r="R576" s="4"/>
      <c r="S576" s="4"/>
      <c r="T576" s="4"/>
      <c r="U576" s="4"/>
      <c r="V576" s="4"/>
      <c r="W576" s="4"/>
      <c r="X576" s="4"/>
      <c r="Y576" s="4"/>
      <c r="Z576" s="4"/>
      <c r="AA576" s="4"/>
      <c r="AB576" s="4"/>
      <c r="AC576" s="4"/>
      <c r="AD576" s="4"/>
      <c r="AE576" s="4"/>
      <c r="AF576" s="4"/>
      <c r="AG576" s="4"/>
      <c r="AH576" s="4"/>
      <c r="AI576" s="4"/>
      <c r="AJ576" s="4"/>
      <c r="AK576" s="4"/>
      <c r="AL576" s="4"/>
      <c r="AM576" s="4"/>
      <c r="AN576" s="4"/>
      <c r="AO576" s="4"/>
      <c r="AP576" s="4"/>
      <c r="AQ576" s="4"/>
      <c r="AR576" s="4"/>
      <c r="AS576" s="4"/>
      <c r="AT576" s="4"/>
      <c r="AU576" s="4"/>
      <c r="AV576" s="4"/>
      <c r="AW576" s="4"/>
      <c r="AX576" s="4"/>
      <c r="AY576" s="4"/>
      <c r="AZ576" s="4"/>
      <c r="BA576" s="4"/>
      <c r="BB576" s="4"/>
      <c r="BC576" s="4"/>
      <c r="BD576" s="4"/>
      <c r="BE576" s="4"/>
      <c r="BF576" s="4"/>
      <c r="BG576" s="4"/>
      <c r="BH576" s="4"/>
      <c r="BI576" s="4"/>
      <c r="BJ576" s="4"/>
      <c r="BK576" s="4"/>
      <c r="BL576" s="4"/>
      <c r="BM576" s="4"/>
      <c r="BN576" s="4"/>
      <c r="BO576" s="4"/>
      <c r="BP576" s="4"/>
      <c r="BQ576" s="4"/>
      <c r="BR576" s="4"/>
      <c r="BS576" s="4"/>
      <c r="BT576" s="4"/>
      <c r="BU576" s="4"/>
      <c r="BV576" s="4"/>
      <c r="BW576" s="4"/>
      <c r="BX576" s="4"/>
      <c r="BY576" s="4"/>
      <c r="BZ576" s="4"/>
      <c r="CA576" s="4"/>
      <c r="CB576" s="4"/>
      <c r="CC576" s="4"/>
      <c r="CD576" s="4"/>
      <c r="CE576" s="4"/>
      <c r="CF576" s="4"/>
      <c r="CG576" s="4"/>
      <c r="CH576" s="4"/>
      <c r="CI576" s="4"/>
    </row>
    <row r="577" ht="14.25" customHeight="1" spans="1:87" x14ac:dyDescent="0.25">
      <c r="A577" s="4"/>
      <c r="B577" s="4"/>
      <c r="C577" s="4"/>
      <c r="D577" s="4"/>
      <c r="E577" s="4"/>
      <c r="F577" s="4"/>
      <c r="G577" s="4"/>
      <c r="H577" s="4"/>
      <c r="I577" s="4"/>
      <c r="J577" s="4"/>
      <c r="K577" s="242"/>
      <c r="L577" s="4"/>
      <c r="M577" s="4"/>
      <c r="N577" s="4"/>
      <c r="O577" s="4"/>
      <c r="P577" s="4"/>
      <c r="Q577" s="4"/>
      <c r="R577" s="4"/>
      <c r="S577" s="4"/>
      <c r="T577" s="4"/>
      <c r="U577" s="4"/>
      <c r="V577" s="4"/>
      <c r="W577" s="4"/>
      <c r="X577" s="4"/>
      <c r="Y577" s="4"/>
      <c r="Z577" s="4"/>
      <c r="AA577" s="4"/>
      <c r="AB577" s="4"/>
      <c r="AC577" s="4"/>
      <c r="AD577" s="4"/>
      <c r="AE577" s="4"/>
      <c r="AF577" s="4"/>
      <c r="AG577" s="4"/>
      <c r="AH577" s="4"/>
      <c r="AI577" s="4"/>
      <c r="AJ577" s="4"/>
      <c r="AK577" s="4"/>
      <c r="AL577" s="4"/>
      <c r="AM577" s="4"/>
      <c r="AN577" s="4"/>
      <c r="AO577" s="4"/>
      <c r="AP577" s="4"/>
      <c r="AQ577" s="4"/>
      <c r="AR577" s="4"/>
      <c r="AS577" s="4"/>
      <c r="AT577" s="4"/>
      <c r="AU577" s="4"/>
      <c r="AV577" s="4"/>
      <c r="AW577" s="4"/>
      <c r="AX577" s="4"/>
      <c r="AY577" s="4"/>
      <c r="AZ577" s="4"/>
      <c r="BA577" s="4"/>
      <c r="BB577" s="4"/>
      <c r="BC577" s="4"/>
      <c r="BD577" s="4"/>
      <c r="BE577" s="4"/>
      <c r="BF577" s="4"/>
      <c r="BG577" s="4"/>
      <c r="BH577" s="4"/>
      <c r="BI577" s="4"/>
      <c r="BJ577" s="4"/>
      <c r="BK577" s="4"/>
      <c r="BL577" s="4"/>
      <c r="BM577" s="4"/>
      <c r="BN577" s="4"/>
      <c r="BO577" s="4"/>
      <c r="BP577" s="4"/>
      <c r="BQ577" s="4"/>
      <c r="BR577" s="4"/>
      <c r="BS577" s="4"/>
      <c r="BT577" s="4"/>
      <c r="BU577" s="4"/>
      <c r="BV577" s="4"/>
      <c r="BW577" s="4"/>
      <c r="BX577" s="4"/>
      <c r="BY577" s="4"/>
      <c r="BZ577" s="4"/>
      <c r="CA577" s="4"/>
      <c r="CB577" s="4"/>
      <c r="CC577" s="4"/>
      <c r="CD577" s="4"/>
      <c r="CE577" s="4"/>
      <c r="CF577" s="4"/>
      <c r="CG577" s="4"/>
      <c r="CH577" s="4"/>
      <c r="CI577" s="4"/>
    </row>
    <row r="578" ht="14.25" customHeight="1" spans="1:87" x14ac:dyDescent="0.25">
      <c r="A578" s="4"/>
      <c r="B578" s="4"/>
      <c r="C578" s="4"/>
      <c r="D578" s="4"/>
      <c r="E578" s="4"/>
      <c r="F578" s="4"/>
      <c r="G578" s="4"/>
      <c r="H578" s="4"/>
      <c r="I578" s="4"/>
      <c r="J578" s="4"/>
      <c r="K578" s="242"/>
      <c r="L578" s="4"/>
      <c r="M578" s="4"/>
      <c r="N578" s="4"/>
      <c r="O578" s="4"/>
      <c r="P578" s="4"/>
      <c r="Q578" s="4"/>
      <c r="R578" s="4"/>
      <c r="S578" s="4"/>
      <c r="T578" s="4"/>
      <c r="U578" s="4"/>
      <c r="V578" s="4"/>
      <c r="W578" s="4"/>
      <c r="X578" s="4"/>
      <c r="Y578" s="4"/>
      <c r="Z578" s="4"/>
      <c r="AA578" s="4"/>
      <c r="AB578" s="4"/>
      <c r="AC578" s="4"/>
      <c r="AD578" s="4"/>
      <c r="AE578" s="4"/>
      <c r="AF578" s="4"/>
      <c r="AG578" s="4"/>
      <c r="AH578" s="4"/>
      <c r="AI578" s="4"/>
      <c r="AJ578" s="4"/>
      <c r="AK578" s="4"/>
      <c r="AL578" s="4"/>
      <c r="AM578" s="4"/>
      <c r="AN578" s="4"/>
      <c r="AO578" s="4"/>
      <c r="AP578" s="4"/>
      <c r="AQ578" s="4"/>
      <c r="AR578" s="4"/>
      <c r="AS578" s="4"/>
      <c r="AT578" s="4"/>
      <c r="AU578" s="4"/>
      <c r="AV578" s="4"/>
      <c r="AW578" s="4"/>
      <c r="AX578" s="4"/>
      <c r="AY578" s="4"/>
      <c r="AZ578" s="4"/>
      <c r="BA578" s="4"/>
      <c r="BB578" s="4"/>
      <c r="BC578" s="4"/>
      <c r="BD578" s="4"/>
      <c r="BE578" s="4"/>
      <c r="BF578" s="4"/>
      <c r="BG578" s="4"/>
      <c r="BH578" s="4"/>
      <c r="BI578" s="4"/>
      <c r="BJ578" s="4"/>
      <c r="BK578" s="4"/>
      <c r="BL578" s="4"/>
      <c r="BM578" s="4"/>
      <c r="BN578" s="4"/>
      <c r="BO578" s="4"/>
      <c r="BP578" s="4"/>
      <c r="BQ578" s="4"/>
      <c r="BR578" s="4"/>
      <c r="BS578" s="4"/>
      <c r="BT578" s="4"/>
      <c r="BU578" s="4"/>
      <c r="BV578" s="4"/>
      <c r="BW578" s="4"/>
      <c r="BX578" s="4"/>
      <c r="BY578" s="4"/>
      <c r="BZ578" s="4"/>
      <c r="CA578" s="4"/>
      <c r="CB578" s="4"/>
      <c r="CC578" s="4"/>
      <c r="CD578" s="4"/>
      <c r="CE578" s="4"/>
      <c r="CF578" s="4"/>
      <c r="CG578" s="4"/>
      <c r="CH578" s="4"/>
      <c r="CI578" s="4"/>
    </row>
    <row r="579" ht="14.25" customHeight="1" spans="1:87" x14ac:dyDescent="0.25">
      <c r="A579" s="4"/>
      <c r="B579" s="4"/>
      <c r="C579" s="4"/>
      <c r="D579" s="4"/>
      <c r="E579" s="4"/>
      <c r="F579" s="4"/>
      <c r="G579" s="4"/>
      <c r="H579" s="4"/>
      <c r="I579" s="4"/>
      <c r="J579" s="4"/>
      <c r="K579" s="242"/>
      <c r="L579" s="4"/>
      <c r="M579" s="4"/>
      <c r="N579" s="4"/>
      <c r="O579" s="4"/>
      <c r="P579" s="4"/>
      <c r="Q579" s="4"/>
      <c r="R579" s="4"/>
      <c r="S579" s="4"/>
      <c r="T579" s="4"/>
      <c r="U579" s="4"/>
      <c r="V579" s="4"/>
      <c r="W579" s="4"/>
      <c r="X579" s="4"/>
      <c r="Y579" s="4"/>
      <c r="Z579" s="4"/>
      <c r="AA579" s="4"/>
      <c r="AB579" s="4"/>
      <c r="AC579" s="4"/>
      <c r="AD579" s="4"/>
      <c r="AE579" s="4"/>
      <c r="AF579" s="4"/>
      <c r="AG579" s="4"/>
      <c r="AH579" s="4"/>
      <c r="AI579" s="4"/>
      <c r="AJ579" s="4"/>
      <c r="AK579" s="4"/>
      <c r="AL579" s="4"/>
      <c r="AM579" s="4"/>
      <c r="AN579" s="4"/>
      <c r="AO579" s="4"/>
      <c r="AP579" s="4"/>
      <c r="AQ579" s="4"/>
      <c r="AR579" s="4"/>
      <c r="AS579" s="4"/>
      <c r="AT579" s="4"/>
      <c r="AU579" s="4"/>
      <c r="AV579" s="4"/>
      <c r="AW579" s="4"/>
      <c r="AX579" s="4"/>
      <c r="AY579" s="4"/>
      <c r="AZ579" s="4"/>
      <c r="BA579" s="4"/>
      <c r="BB579" s="4"/>
      <c r="BC579" s="4"/>
      <c r="BD579" s="4"/>
      <c r="BE579" s="4"/>
      <c r="BF579" s="4"/>
      <c r="BG579" s="4"/>
      <c r="BH579" s="4"/>
      <c r="BI579" s="4"/>
      <c r="BJ579" s="4"/>
      <c r="BK579" s="4"/>
      <c r="BL579" s="4"/>
      <c r="BM579" s="4"/>
      <c r="BN579" s="4"/>
      <c r="BO579" s="4"/>
      <c r="BP579" s="4"/>
      <c r="BQ579" s="4"/>
      <c r="BR579" s="4"/>
      <c r="BS579" s="4"/>
      <c r="BT579" s="4"/>
      <c r="BU579" s="4"/>
      <c r="BV579" s="4"/>
      <c r="BW579" s="4"/>
      <c r="BX579" s="4"/>
      <c r="BY579" s="4"/>
      <c r="BZ579" s="4"/>
      <c r="CA579" s="4"/>
      <c r="CB579" s="4"/>
      <c r="CC579" s="4"/>
      <c r="CD579" s="4"/>
      <c r="CE579" s="4"/>
      <c r="CF579" s="4"/>
      <c r="CG579" s="4"/>
      <c r="CH579" s="4"/>
      <c r="CI579" s="4"/>
    </row>
    <row r="580" ht="14.25" customHeight="1" spans="1:87" x14ac:dyDescent="0.25">
      <c r="A580" s="4"/>
      <c r="B580" s="4"/>
      <c r="C580" s="4"/>
      <c r="D580" s="4"/>
      <c r="E580" s="4"/>
      <c r="F580" s="4"/>
      <c r="G580" s="4"/>
      <c r="H580" s="4"/>
      <c r="I580" s="4"/>
      <c r="J580" s="4"/>
      <c r="K580" s="242"/>
      <c r="L580" s="4"/>
      <c r="M580" s="4"/>
      <c r="N580" s="4"/>
      <c r="O580" s="4"/>
      <c r="P580" s="4"/>
      <c r="Q580" s="4"/>
      <c r="R580" s="4"/>
      <c r="S580" s="4"/>
      <c r="T580" s="4"/>
      <c r="U580" s="4"/>
      <c r="V580" s="4"/>
      <c r="W580" s="4"/>
      <c r="X580" s="4"/>
      <c r="Y580" s="4"/>
      <c r="Z580" s="4"/>
      <c r="AA580" s="4"/>
      <c r="AB580" s="4"/>
      <c r="AC580" s="4"/>
      <c r="AD580" s="4"/>
      <c r="AE580" s="4"/>
      <c r="AF580" s="4"/>
      <c r="AG580" s="4"/>
      <c r="AH580" s="4"/>
      <c r="AI580" s="4"/>
      <c r="AJ580" s="4"/>
      <c r="AK580" s="4"/>
      <c r="AL580" s="4"/>
      <c r="AM580" s="4"/>
      <c r="AN580" s="4"/>
      <c r="AO580" s="4"/>
      <c r="AP580" s="4"/>
      <c r="AQ580" s="4"/>
      <c r="AR580" s="4"/>
      <c r="AS580" s="4"/>
      <c r="AT580" s="4"/>
      <c r="AU580" s="4"/>
      <c r="AV580" s="4"/>
      <c r="AW580" s="4"/>
      <c r="AX580" s="4"/>
      <c r="AY580" s="4"/>
      <c r="AZ580" s="4"/>
      <c r="BA580" s="4"/>
      <c r="BB580" s="4"/>
      <c r="BC580" s="4"/>
      <c r="BD580" s="4"/>
      <c r="BE580" s="4"/>
      <c r="BF580" s="4"/>
      <c r="BG580" s="4"/>
      <c r="BH580" s="4"/>
      <c r="BI580" s="4"/>
      <c r="BJ580" s="4"/>
      <c r="BK580" s="4"/>
      <c r="BL580" s="4"/>
      <c r="BM580" s="4"/>
      <c r="BN580" s="4"/>
      <c r="BO580" s="4"/>
      <c r="BP580" s="4"/>
      <c r="BQ580" s="4"/>
      <c r="BR580" s="4"/>
      <c r="BS580" s="4"/>
      <c r="BT580" s="4"/>
      <c r="BU580" s="4"/>
      <c r="BV580" s="4"/>
      <c r="BW580" s="4"/>
      <c r="BX580" s="4"/>
      <c r="BY580" s="4"/>
      <c r="BZ580" s="4"/>
      <c r="CA580" s="4"/>
      <c r="CB580" s="4"/>
      <c r="CC580" s="4"/>
      <c r="CD580" s="4"/>
      <c r="CE580" s="4"/>
      <c r="CF580" s="4"/>
      <c r="CG580" s="4"/>
      <c r="CH580" s="4"/>
      <c r="CI580" s="4"/>
    </row>
    <row r="581" ht="14.25" customHeight="1" spans="1:87" x14ac:dyDescent="0.25">
      <c r="A581" s="4"/>
      <c r="B581" s="4"/>
      <c r="C581" s="4"/>
      <c r="D581" s="4"/>
      <c r="E581" s="4"/>
      <c r="F581" s="4"/>
      <c r="G581" s="4"/>
      <c r="H581" s="4"/>
      <c r="I581" s="4"/>
      <c r="J581" s="4"/>
      <c r="K581" s="242"/>
      <c r="L581" s="4"/>
      <c r="M581" s="4"/>
      <c r="N581" s="4"/>
      <c r="O581" s="4"/>
      <c r="P581" s="4"/>
      <c r="Q581" s="4"/>
      <c r="R581" s="4"/>
      <c r="S581" s="4"/>
      <c r="T581" s="4"/>
      <c r="U581" s="4"/>
      <c r="V581" s="4"/>
      <c r="W581" s="4"/>
      <c r="X581" s="4"/>
      <c r="Y581" s="4"/>
      <c r="Z581" s="4"/>
      <c r="AA581" s="4"/>
      <c r="AB581" s="4"/>
      <c r="AC581" s="4"/>
      <c r="AD581" s="4"/>
      <c r="AE581" s="4"/>
      <c r="AF581" s="4"/>
      <c r="AG581" s="4"/>
      <c r="AH581" s="4"/>
      <c r="AI581" s="4"/>
      <c r="AJ581" s="4"/>
      <c r="AK581" s="4"/>
      <c r="AL581" s="4"/>
      <c r="AM581" s="4"/>
      <c r="AN581" s="4"/>
      <c r="AO581" s="4"/>
      <c r="AP581" s="4"/>
      <c r="AQ581" s="4"/>
      <c r="AR581" s="4"/>
      <c r="AS581" s="4"/>
      <c r="AT581" s="4"/>
      <c r="AU581" s="4"/>
      <c r="AV581" s="4"/>
      <c r="AW581" s="4"/>
      <c r="AX581" s="4"/>
      <c r="AY581" s="4"/>
      <c r="AZ581" s="4"/>
      <c r="BA581" s="4"/>
      <c r="BB581" s="4"/>
      <c r="BC581" s="4"/>
      <c r="BD581" s="4"/>
      <c r="BE581" s="4"/>
      <c r="BF581" s="4"/>
      <c r="BG581" s="4"/>
      <c r="BH581" s="4"/>
      <c r="BI581" s="4"/>
      <c r="BJ581" s="4"/>
      <c r="BK581" s="4"/>
      <c r="BL581" s="4"/>
      <c r="BM581" s="4"/>
      <c r="BN581" s="4"/>
      <c r="BO581" s="4"/>
      <c r="BP581" s="4"/>
      <c r="BQ581" s="4"/>
      <c r="BR581" s="4"/>
      <c r="BS581" s="4"/>
      <c r="BT581" s="4"/>
      <c r="BU581" s="4"/>
      <c r="BV581" s="4"/>
      <c r="BW581" s="4"/>
      <c r="BX581" s="4"/>
      <c r="BY581" s="4"/>
      <c r="BZ581" s="4"/>
      <c r="CA581" s="4"/>
      <c r="CB581" s="4"/>
      <c r="CC581" s="4"/>
      <c r="CD581" s="4"/>
      <c r="CE581" s="4"/>
      <c r="CF581" s="4"/>
      <c r="CG581" s="4"/>
      <c r="CH581" s="4"/>
      <c r="CI581" s="4"/>
    </row>
    <row r="582" ht="14.25" customHeight="1" spans="1:87" x14ac:dyDescent="0.25">
      <c r="A582" s="4"/>
      <c r="B582" s="4"/>
      <c r="C582" s="4"/>
      <c r="D582" s="4"/>
      <c r="E582" s="4"/>
      <c r="F582" s="4"/>
      <c r="G582" s="4"/>
      <c r="H582" s="4"/>
      <c r="I582" s="4"/>
      <c r="J582" s="4"/>
      <c r="K582" s="242"/>
      <c r="L582" s="4"/>
      <c r="M582" s="4"/>
      <c r="N582" s="4"/>
      <c r="O582" s="4"/>
      <c r="P582" s="4"/>
      <c r="Q582" s="4"/>
      <c r="R582" s="4"/>
      <c r="S582" s="4"/>
      <c r="T582" s="4"/>
      <c r="U582" s="4"/>
      <c r="V582" s="4"/>
      <c r="W582" s="4"/>
      <c r="X582" s="4"/>
      <c r="Y582" s="4"/>
      <c r="Z582" s="4"/>
      <c r="AA582" s="4"/>
      <c r="AB582" s="4"/>
      <c r="AC582" s="4"/>
      <c r="AD582" s="4"/>
      <c r="AE582" s="4"/>
      <c r="AF582" s="4"/>
      <c r="AG582" s="4"/>
      <c r="AH582" s="4"/>
      <c r="AI582" s="4"/>
      <c r="AJ582" s="4"/>
      <c r="AK582" s="4"/>
      <c r="AL582" s="4"/>
      <c r="AM582" s="4"/>
      <c r="AN582" s="4"/>
      <c r="AO582" s="4"/>
      <c r="AP582" s="4"/>
      <c r="AQ582" s="4"/>
      <c r="AR582" s="4"/>
      <c r="AS582" s="4"/>
      <c r="AT582" s="4"/>
      <c r="AU582" s="4"/>
      <c r="AV582" s="4"/>
      <c r="AW582" s="4"/>
      <c r="AX582" s="4"/>
      <c r="AY582" s="4"/>
      <c r="AZ582" s="4"/>
      <c r="BA582" s="4"/>
      <c r="BB582" s="4"/>
      <c r="BC582" s="4"/>
      <c r="BD582" s="4"/>
      <c r="BE582" s="4"/>
      <c r="BF582" s="4"/>
      <c r="BG582" s="4"/>
      <c r="BH582" s="4"/>
      <c r="BI582" s="4"/>
      <c r="BJ582" s="4"/>
      <c r="BK582" s="4"/>
      <c r="BL582" s="4"/>
      <c r="BM582" s="4"/>
      <c r="BN582" s="4"/>
      <c r="BO582" s="4"/>
      <c r="BP582" s="4"/>
      <c r="BQ582" s="4"/>
      <c r="BR582" s="4"/>
      <c r="BS582" s="4"/>
      <c r="BT582" s="4"/>
      <c r="BU582" s="4"/>
      <c r="BV582" s="4"/>
      <c r="BW582" s="4"/>
      <c r="BX582" s="4"/>
      <c r="BY582" s="4"/>
      <c r="BZ582" s="4"/>
      <c r="CA582" s="4"/>
      <c r="CB582" s="4"/>
      <c r="CC582" s="4"/>
      <c r="CD582" s="4"/>
      <c r="CE582" s="4"/>
      <c r="CF582" s="4"/>
      <c r="CG582" s="4"/>
      <c r="CH582" s="4"/>
      <c r="CI582" s="4"/>
    </row>
    <row r="583" ht="14.25" customHeight="1" spans="1:87" x14ac:dyDescent="0.25">
      <c r="A583" s="4"/>
      <c r="B583" s="4"/>
      <c r="C583" s="4"/>
      <c r="D583" s="4"/>
      <c r="E583" s="4"/>
      <c r="F583" s="4"/>
      <c r="G583" s="4"/>
      <c r="H583" s="4"/>
      <c r="I583" s="4"/>
      <c r="J583" s="4"/>
      <c r="K583" s="242"/>
      <c r="L583" s="4"/>
      <c r="M583" s="4"/>
      <c r="N583" s="4"/>
      <c r="O583" s="4"/>
      <c r="P583" s="4"/>
      <c r="Q583" s="4"/>
      <c r="R583" s="4"/>
      <c r="S583" s="4"/>
      <c r="T583" s="4"/>
      <c r="U583" s="4"/>
      <c r="V583" s="4"/>
      <c r="W583" s="4"/>
      <c r="X583" s="4"/>
      <c r="Y583" s="4"/>
      <c r="Z583" s="4"/>
      <c r="AA583" s="4"/>
      <c r="AB583" s="4"/>
      <c r="AC583" s="4"/>
      <c r="AD583" s="4"/>
      <c r="AE583" s="4"/>
      <c r="AF583" s="4"/>
      <c r="AG583" s="4"/>
      <c r="AH583" s="4"/>
      <c r="AI583" s="4"/>
      <c r="AJ583" s="4"/>
      <c r="AK583" s="4"/>
      <c r="AL583" s="4"/>
      <c r="AM583" s="4"/>
      <c r="AN583" s="4"/>
      <c r="AO583" s="4"/>
      <c r="AP583" s="4"/>
      <c r="AQ583" s="4"/>
      <c r="AR583" s="4"/>
      <c r="AS583" s="4"/>
      <c r="AT583" s="4"/>
      <c r="AU583" s="4"/>
      <c r="AV583" s="4"/>
      <c r="AW583" s="4"/>
      <c r="AX583" s="4"/>
      <c r="AY583" s="4"/>
      <c r="AZ583" s="4"/>
      <c r="BA583" s="4"/>
      <c r="BB583" s="4"/>
      <c r="BC583" s="4"/>
      <c r="BD583" s="4"/>
      <c r="BE583" s="4"/>
      <c r="BF583" s="4"/>
      <c r="BG583" s="4"/>
      <c r="BH583" s="4"/>
      <c r="BI583" s="4"/>
      <c r="BJ583" s="4"/>
      <c r="BK583" s="4"/>
      <c r="BL583" s="4"/>
      <c r="BM583" s="4"/>
      <c r="BN583" s="4"/>
      <c r="BO583" s="4"/>
      <c r="BP583" s="4"/>
      <c r="BQ583" s="4"/>
      <c r="BR583" s="4"/>
      <c r="BS583" s="4"/>
      <c r="BT583" s="4"/>
      <c r="BU583" s="4"/>
      <c r="BV583" s="4"/>
      <c r="BW583" s="4"/>
      <c r="BX583" s="4"/>
      <c r="BY583" s="4"/>
      <c r="BZ583" s="4"/>
      <c r="CA583" s="4"/>
      <c r="CB583" s="4"/>
      <c r="CC583" s="4"/>
      <c r="CD583" s="4"/>
      <c r="CE583" s="4"/>
      <c r="CF583" s="4"/>
      <c r="CG583" s="4"/>
      <c r="CH583" s="4"/>
      <c r="CI583" s="4"/>
    </row>
    <row r="584" ht="14.25" customHeight="1" spans="1:87" x14ac:dyDescent="0.25">
      <c r="A584" s="4"/>
      <c r="B584" s="4"/>
      <c r="C584" s="4"/>
      <c r="D584" s="4"/>
      <c r="E584" s="4"/>
      <c r="F584" s="4"/>
      <c r="G584" s="4"/>
      <c r="H584" s="4"/>
      <c r="I584" s="4"/>
      <c r="J584" s="4"/>
      <c r="K584" s="242"/>
      <c r="L584" s="4"/>
      <c r="M584" s="4"/>
      <c r="N584" s="4"/>
      <c r="O584" s="4"/>
      <c r="P584" s="4"/>
      <c r="Q584" s="4"/>
      <c r="R584" s="4"/>
      <c r="S584" s="4"/>
      <c r="T584" s="4"/>
      <c r="U584" s="4"/>
      <c r="V584" s="4"/>
      <c r="W584" s="4"/>
      <c r="X584" s="4"/>
      <c r="Y584" s="4"/>
      <c r="Z584" s="4"/>
      <c r="AA584" s="4"/>
      <c r="AB584" s="4"/>
      <c r="AC584" s="4"/>
      <c r="AD584" s="4"/>
      <c r="AE584" s="4"/>
      <c r="AF584" s="4"/>
      <c r="AG584" s="4"/>
      <c r="AH584" s="4"/>
      <c r="AI584" s="4"/>
      <c r="AJ584" s="4"/>
      <c r="AK584" s="4"/>
      <c r="AL584" s="4"/>
      <c r="AM584" s="4"/>
      <c r="AN584" s="4"/>
      <c r="AO584" s="4"/>
      <c r="AP584" s="4"/>
      <c r="AQ584" s="4"/>
      <c r="AR584" s="4"/>
      <c r="AS584" s="4"/>
      <c r="AT584" s="4"/>
      <c r="AU584" s="4"/>
      <c r="AV584" s="4"/>
      <c r="AW584" s="4"/>
      <c r="AX584" s="4"/>
      <c r="AY584" s="4"/>
      <c r="AZ584" s="4"/>
      <c r="BA584" s="4"/>
      <c r="BB584" s="4"/>
      <c r="BC584" s="4"/>
      <c r="BD584" s="4"/>
      <c r="BE584" s="4"/>
      <c r="BF584" s="4"/>
      <c r="BG584" s="4"/>
      <c r="BH584" s="4"/>
      <c r="BI584" s="4"/>
      <c r="BJ584" s="4"/>
      <c r="BK584" s="4"/>
      <c r="BL584" s="4"/>
      <c r="BM584" s="4"/>
      <c r="BN584" s="4"/>
      <c r="BO584" s="4"/>
      <c r="BP584" s="4"/>
      <c r="BQ584" s="4"/>
      <c r="BR584" s="4"/>
      <c r="BS584" s="4"/>
      <c r="BT584" s="4"/>
      <c r="BU584" s="4"/>
      <c r="BV584" s="4"/>
      <c r="BW584" s="4"/>
      <c r="BX584" s="4"/>
      <c r="BY584" s="4"/>
      <c r="BZ584" s="4"/>
      <c r="CA584" s="4"/>
      <c r="CB584" s="4"/>
      <c r="CC584" s="4"/>
      <c r="CD584" s="4"/>
      <c r="CE584" s="4"/>
      <c r="CF584" s="4"/>
      <c r="CG584" s="4"/>
      <c r="CH584" s="4"/>
      <c r="CI584" s="4"/>
    </row>
    <row r="585" ht="14.25" customHeight="1" spans="1:87" x14ac:dyDescent="0.25">
      <c r="A585" s="4"/>
      <c r="B585" s="4"/>
      <c r="C585" s="4"/>
      <c r="D585" s="4"/>
      <c r="E585" s="4"/>
      <c r="F585" s="4"/>
      <c r="G585" s="4"/>
      <c r="H585" s="4"/>
      <c r="I585" s="4"/>
      <c r="J585" s="4"/>
      <c r="K585" s="242"/>
      <c r="L585" s="4"/>
      <c r="M585" s="4"/>
      <c r="N585" s="4"/>
      <c r="O585" s="4"/>
      <c r="P585" s="4"/>
      <c r="Q585" s="4"/>
      <c r="R585" s="4"/>
      <c r="S585" s="4"/>
      <c r="T585" s="4"/>
      <c r="U585" s="4"/>
      <c r="V585" s="4"/>
      <c r="W585" s="4"/>
      <c r="X585" s="4"/>
      <c r="Y585" s="4"/>
      <c r="Z585" s="4"/>
      <c r="AA585" s="4"/>
      <c r="AB585" s="4"/>
      <c r="AC585" s="4"/>
      <c r="AD585" s="4"/>
      <c r="AE585" s="4"/>
      <c r="AF585" s="4"/>
      <c r="AG585" s="4"/>
      <c r="AH585" s="4"/>
      <c r="AI585" s="4"/>
      <c r="AJ585" s="4"/>
      <c r="AK585" s="4"/>
      <c r="AL585" s="4"/>
      <c r="AM585" s="4"/>
      <c r="AN585" s="4"/>
      <c r="AO585" s="4"/>
      <c r="AP585" s="4"/>
      <c r="AQ585" s="4"/>
      <c r="AR585" s="4"/>
      <c r="AS585" s="4"/>
      <c r="AT585" s="4"/>
      <c r="AU585" s="4"/>
      <c r="AV585" s="4"/>
      <c r="AW585" s="4"/>
      <c r="AX585" s="4"/>
      <c r="AY585" s="4"/>
      <c r="AZ585" s="4"/>
      <c r="BA585" s="4"/>
      <c r="BB585" s="4"/>
      <c r="BC585" s="4"/>
      <c r="BD585" s="4"/>
      <c r="BE585" s="4"/>
      <c r="BF585" s="4"/>
      <c r="BG585" s="4"/>
      <c r="BH585" s="4"/>
      <c r="BI585" s="4"/>
      <c r="BJ585" s="4"/>
      <c r="BK585" s="4"/>
      <c r="BL585" s="4"/>
      <c r="BM585" s="4"/>
      <c r="BN585" s="4"/>
      <c r="BO585" s="4"/>
      <c r="BP585" s="4"/>
      <c r="BQ585" s="4"/>
      <c r="BR585" s="4"/>
      <c r="BS585" s="4"/>
      <c r="BT585" s="4"/>
      <c r="BU585" s="4"/>
      <c r="BV585" s="4"/>
      <c r="BW585" s="4"/>
      <c r="BX585" s="4"/>
      <c r="BY585" s="4"/>
      <c r="BZ585" s="4"/>
      <c r="CA585" s="4"/>
      <c r="CB585" s="4"/>
      <c r="CC585" s="4"/>
      <c r="CD585" s="4"/>
      <c r="CE585" s="4"/>
      <c r="CF585" s="4"/>
      <c r="CG585" s="4"/>
      <c r="CH585" s="4"/>
      <c r="CI585" s="4"/>
    </row>
    <row r="586" ht="14.25" customHeight="1" spans="1:87" x14ac:dyDescent="0.25">
      <c r="A586" s="4"/>
      <c r="B586" s="4"/>
      <c r="C586" s="4"/>
      <c r="D586" s="4"/>
      <c r="E586" s="4"/>
      <c r="F586" s="4"/>
      <c r="G586" s="4"/>
      <c r="H586" s="4"/>
      <c r="I586" s="4"/>
      <c r="J586" s="4"/>
      <c r="K586" s="242"/>
      <c r="L586" s="4"/>
      <c r="M586" s="4"/>
      <c r="N586" s="4"/>
      <c r="O586" s="4"/>
      <c r="P586" s="4"/>
      <c r="Q586" s="4"/>
      <c r="R586" s="4"/>
      <c r="S586" s="4"/>
      <c r="T586" s="4"/>
      <c r="U586" s="4"/>
      <c r="V586" s="4"/>
      <c r="W586" s="4"/>
      <c r="X586" s="4"/>
      <c r="Y586" s="4"/>
      <c r="Z586" s="4"/>
      <c r="AA586" s="4"/>
      <c r="AB586" s="4"/>
      <c r="AC586" s="4"/>
      <c r="AD586" s="4"/>
      <c r="AE586" s="4"/>
      <c r="AF586" s="4"/>
      <c r="AG586" s="4"/>
      <c r="AH586" s="4"/>
      <c r="AI586" s="4"/>
      <c r="AJ586" s="4"/>
      <c r="AK586" s="4"/>
      <c r="AL586" s="4"/>
      <c r="AM586" s="4"/>
      <c r="AN586" s="4"/>
      <c r="AO586" s="4"/>
      <c r="AP586" s="4"/>
      <c r="AQ586" s="4"/>
      <c r="AR586" s="4"/>
      <c r="AS586" s="4"/>
      <c r="AT586" s="4"/>
      <c r="AU586" s="4"/>
      <c r="AV586" s="4"/>
      <c r="AW586" s="4"/>
      <c r="AX586" s="4"/>
      <c r="AY586" s="4"/>
      <c r="AZ586" s="4"/>
      <c r="BA586" s="4"/>
      <c r="BB586" s="4"/>
      <c r="BC586" s="4"/>
      <c r="BD586" s="4"/>
      <c r="BE586" s="4"/>
      <c r="BF586" s="4"/>
      <c r="BG586" s="4"/>
      <c r="BH586" s="4"/>
      <c r="BI586" s="4"/>
      <c r="BJ586" s="4"/>
      <c r="BK586" s="4"/>
      <c r="BL586" s="4"/>
      <c r="BM586" s="4"/>
      <c r="BN586" s="4"/>
      <c r="BO586" s="4"/>
      <c r="BP586" s="4"/>
      <c r="BQ586" s="4"/>
      <c r="BR586" s="4"/>
      <c r="BS586" s="4"/>
      <c r="BT586" s="4"/>
      <c r="BU586" s="4"/>
      <c r="BV586" s="4"/>
      <c r="BW586" s="4"/>
      <c r="BX586" s="4"/>
      <c r="BY586" s="4"/>
      <c r="BZ586" s="4"/>
      <c r="CA586" s="4"/>
      <c r="CB586" s="4"/>
      <c r="CC586" s="4"/>
      <c r="CD586" s="4"/>
      <c r="CE586" s="4"/>
      <c r="CF586" s="4"/>
      <c r="CG586" s="4"/>
      <c r="CH586" s="4"/>
      <c r="CI586" s="4"/>
    </row>
    <row r="587" ht="14.25" customHeight="1" spans="1:87" x14ac:dyDescent="0.25">
      <c r="A587" s="4"/>
      <c r="B587" s="4"/>
      <c r="C587" s="4"/>
      <c r="D587" s="4"/>
      <c r="E587" s="4"/>
      <c r="F587" s="4"/>
      <c r="G587" s="4"/>
      <c r="H587" s="4"/>
      <c r="I587" s="4"/>
      <c r="J587" s="4"/>
      <c r="K587" s="242"/>
      <c r="L587" s="4"/>
      <c r="M587" s="4"/>
      <c r="N587" s="4"/>
      <c r="O587" s="4"/>
      <c r="P587" s="4"/>
      <c r="Q587" s="4"/>
      <c r="R587" s="4"/>
      <c r="S587" s="4"/>
      <c r="T587" s="4"/>
      <c r="U587" s="4"/>
      <c r="V587" s="4"/>
      <c r="W587" s="4"/>
      <c r="X587" s="4"/>
      <c r="Y587" s="4"/>
      <c r="Z587" s="4"/>
      <c r="AA587" s="4"/>
      <c r="AB587" s="4"/>
      <c r="AC587" s="4"/>
      <c r="AD587" s="4"/>
      <c r="AE587" s="4"/>
      <c r="AF587" s="4"/>
      <c r="AG587" s="4"/>
      <c r="AH587" s="4"/>
      <c r="AI587" s="4"/>
      <c r="AJ587" s="4"/>
      <c r="AK587" s="4"/>
      <c r="AL587" s="4"/>
      <c r="AM587" s="4"/>
      <c r="AN587" s="4"/>
      <c r="AO587" s="4"/>
      <c r="AP587" s="4"/>
      <c r="AQ587" s="4"/>
      <c r="AR587" s="4"/>
      <c r="AS587" s="4"/>
      <c r="AT587" s="4"/>
      <c r="AU587" s="4"/>
      <c r="AV587" s="4"/>
      <c r="AW587" s="4"/>
      <c r="AX587" s="4"/>
      <c r="AY587" s="4"/>
      <c r="AZ587" s="4"/>
      <c r="BA587" s="4"/>
      <c r="BB587" s="4"/>
      <c r="BC587" s="4"/>
      <c r="BD587" s="4"/>
      <c r="BE587" s="4"/>
      <c r="BF587" s="4"/>
      <c r="BG587" s="4"/>
      <c r="BH587" s="4"/>
      <c r="BI587" s="4"/>
      <c r="BJ587" s="4"/>
      <c r="BK587" s="4"/>
      <c r="BL587" s="4"/>
      <c r="BM587" s="4"/>
      <c r="BN587" s="4"/>
      <c r="BO587" s="4"/>
      <c r="BP587" s="4"/>
      <c r="BQ587" s="4"/>
      <c r="BR587" s="4"/>
      <c r="BS587" s="4"/>
      <c r="BT587" s="4"/>
      <c r="BU587" s="4"/>
      <c r="BV587" s="4"/>
      <c r="BW587" s="4"/>
      <c r="BX587" s="4"/>
      <c r="BY587" s="4"/>
      <c r="BZ587" s="4"/>
      <c r="CA587" s="4"/>
      <c r="CB587" s="4"/>
      <c r="CC587" s="4"/>
      <c r="CD587" s="4"/>
      <c r="CE587" s="4"/>
      <c r="CF587" s="4"/>
      <c r="CG587" s="4"/>
      <c r="CH587" s="4"/>
      <c r="CI587" s="4"/>
    </row>
    <row r="588" ht="14.25" customHeight="1" spans="1:87" x14ac:dyDescent="0.25">
      <c r="A588" s="4"/>
      <c r="B588" s="4"/>
      <c r="C588" s="4"/>
      <c r="D588" s="4"/>
      <c r="E588" s="4"/>
      <c r="F588" s="4"/>
      <c r="G588" s="4"/>
      <c r="H588" s="4"/>
      <c r="I588" s="4"/>
      <c r="J588" s="4"/>
      <c r="K588" s="242"/>
      <c r="L588" s="4"/>
      <c r="M588" s="4"/>
      <c r="N588" s="4"/>
      <c r="O588" s="4"/>
      <c r="P588" s="4"/>
      <c r="Q588" s="4"/>
      <c r="R588" s="4"/>
      <c r="S588" s="4"/>
      <c r="T588" s="4"/>
      <c r="U588" s="4"/>
      <c r="V588" s="4"/>
      <c r="W588" s="4"/>
      <c r="X588" s="4"/>
      <c r="Y588" s="4"/>
      <c r="Z588" s="4"/>
      <c r="AA588" s="4"/>
      <c r="AB588" s="4"/>
      <c r="AC588" s="4"/>
      <c r="AD588" s="4"/>
      <c r="AE588" s="4"/>
      <c r="AF588" s="4"/>
      <c r="AG588" s="4"/>
      <c r="AH588" s="4"/>
      <c r="AI588" s="4"/>
      <c r="AJ588" s="4"/>
      <c r="AK588" s="4"/>
      <c r="AL588" s="4"/>
      <c r="AM588" s="4"/>
      <c r="AN588" s="4"/>
      <c r="AO588" s="4"/>
      <c r="AP588" s="4"/>
      <c r="AQ588" s="4"/>
      <c r="AR588" s="4"/>
      <c r="AS588" s="4"/>
      <c r="AT588" s="4"/>
      <c r="AU588" s="4"/>
      <c r="AV588" s="4"/>
      <c r="AW588" s="4"/>
      <c r="AX588" s="4"/>
      <c r="AY588" s="4"/>
      <c r="AZ588" s="4"/>
      <c r="BA588" s="4"/>
      <c r="BB588" s="4"/>
      <c r="BC588" s="4"/>
      <c r="BD588" s="4"/>
      <c r="BE588" s="4"/>
      <c r="BF588" s="4"/>
      <c r="BG588" s="4"/>
      <c r="BH588" s="4"/>
      <c r="BI588" s="4"/>
      <c r="BJ588" s="4"/>
      <c r="BK588" s="4"/>
      <c r="BL588" s="4"/>
      <c r="BM588" s="4"/>
      <c r="BN588" s="4"/>
      <c r="BO588" s="4"/>
      <c r="BP588" s="4"/>
      <c r="BQ588" s="4"/>
      <c r="BR588" s="4"/>
      <c r="BS588" s="4"/>
      <c r="BT588" s="4"/>
      <c r="BU588" s="4"/>
      <c r="BV588" s="4"/>
      <c r="BW588" s="4"/>
      <c r="BX588" s="4"/>
      <c r="BY588" s="4"/>
      <c r="BZ588" s="4"/>
      <c r="CA588" s="4"/>
      <c r="CB588" s="4"/>
      <c r="CC588" s="4"/>
      <c r="CD588" s="4"/>
      <c r="CE588" s="4"/>
      <c r="CF588" s="4"/>
      <c r="CG588" s="4"/>
      <c r="CH588" s="4"/>
      <c r="CI588" s="4"/>
    </row>
    <row r="589" ht="14.25" customHeight="1" spans="1:87" x14ac:dyDescent="0.25">
      <c r="A589" s="4"/>
      <c r="B589" s="4"/>
      <c r="C589" s="4"/>
      <c r="D589" s="4"/>
      <c r="E589" s="4"/>
      <c r="F589" s="4"/>
      <c r="G589" s="4"/>
      <c r="H589" s="4"/>
      <c r="I589" s="4"/>
      <c r="J589" s="4"/>
      <c r="K589" s="242"/>
      <c r="L589" s="4"/>
      <c r="M589" s="4"/>
      <c r="N589" s="4"/>
      <c r="O589" s="4"/>
      <c r="P589" s="4"/>
      <c r="Q589" s="4"/>
      <c r="R589" s="4"/>
      <c r="S589" s="4"/>
      <c r="T589" s="4"/>
      <c r="U589" s="4"/>
      <c r="V589" s="4"/>
      <c r="W589" s="4"/>
      <c r="X589" s="4"/>
      <c r="Y589" s="4"/>
      <c r="Z589" s="4"/>
      <c r="AA589" s="4"/>
      <c r="AB589" s="4"/>
      <c r="AC589" s="4"/>
      <c r="AD589" s="4"/>
      <c r="AE589" s="4"/>
      <c r="AF589" s="4"/>
      <c r="AG589" s="4"/>
      <c r="AH589" s="4"/>
      <c r="AI589" s="4"/>
      <c r="AJ589" s="4"/>
      <c r="AK589" s="4"/>
      <c r="AL589" s="4"/>
      <c r="AM589" s="4"/>
      <c r="AN589" s="4"/>
      <c r="AO589" s="4"/>
      <c r="AP589" s="4"/>
      <c r="AQ589" s="4"/>
      <c r="AR589" s="4"/>
      <c r="AS589" s="4"/>
      <c r="AT589" s="4"/>
      <c r="AU589" s="4"/>
      <c r="AV589" s="4"/>
      <c r="AW589" s="4"/>
      <c r="AX589" s="4"/>
      <c r="AY589" s="4"/>
      <c r="AZ589" s="4"/>
      <c r="BA589" s="4"/>
      <c r="BB589" s="4"/>
      <c r="BC589" s="4"/>
      <c r="BD589" s="4"/>
      <c r="BE589" s="4"/>
      <c r="BF589" s="4"/>
      <c r="BG589" s="4"/>
      <c r="BH589" s="4"/>
      <c r="BI589" s="4"/>
      <c r="BJ589" s="4"/>
      <c r="BK589" s="4"/>
      <c r="BL589" s="4"/>
      <c r="BM589" s="4"/>
      <c r="BN589" s="4"/>
      <c r="BO589" s="4"/>
      <c r="BP589" s="4"/>
      <c r="BQ589" s="4"/>
      <c r="BR589" s="4"/>
      <c r="BS589" s="4"/>
      <c r="BT589" s="4"/>
      <c r="BU589" s="4"/>
      <c r="BV589" s="4"/>
      <c r="BW589" s="4"/>
      <c r="BX589" s="4"/>
      <c r="BY589" s="4"/>
      <c r="BZ589" s="4"/>
      <c r="CA589" s="4"/>
      <c r="CB589" s="4"/>
      <c r="CC589" s="4"/>
      <c r="CD589" s="4"/>
      <c r="CE589" s="4"/>
      <c r="CF589" s="4"/>
      <c r="CG589" s="4"/>
      <c r="CH589" s="4"/>
      <c r="CI589" s="4"/>
    </row>
    <row r="590" ht="14.25" customHeight="1" spans="1:87" x14ac:dyDescent="0.25">
      <c r="A590" s="4"/>
      <c r="B590" s="4"/>
      <c r="C590" s="4"/>
      <c r="D590" s="4"/>
      <c r="E590" s="4"/>
      <c r="F590" s="4"/>
      <c r="G590" s="4"/>
      <c r="H590" s="4"/>
      <c r="I590" s="4"/>
      <c r="J590" s="4"/>
      <c r="K590" s="242"/>
      <c r="L590" s="4"/>
      <c r="M590" s="4"/>
      <c r="N590" s="4"/>
      <c r="O590" s="4"/>
      <c r="P590" s="4"/>
      <c r="Q590" s="4"/>
      <c r="R590" s="4"/>
      <c r="S590" s="4"/>
      <c r="T590" s="4"/>
      <c r="U590" s="4"/>
      <c r="V590" s="4"/>
      <c r="W590" s="4"/>
      <c r="X590" s="4"/>
      <c r="Y590" s="4"/>
      <c r="Z590" s="4"/>
      <c r="AA590" s="4"/>
      <c r="AB590" s="4"/>
      <c r="AC590" s="4"/>
      <c r="AD590" s="4"/>
      <c r="AE590" s="4"/>
      <c r="AF590" s="4"/>
      <c r="AG590" s="4"/>
      <c r="AH590" s="4"/>
      <c r="AI590" s="4"/>
      <c r="AJ590" s="4"/>
      <c r="AK590" s="4"/>
      <c r="AL590" s="4"/>
      <c r="AM590" s="4"/>
      <c r="AN590" s="4"/>
      <c r="AO590" s="4"/>
      <c r="AP590" s="4"/>
      <c r="AQ590" s="4"/>
      <c r="AR590" s="4"/>
      <c r="AS590" s="4"/>
      <c r="AT590" s="4"/>
      <c r="AU590" s="4"/>
      <c r="AV590" s="4"/>
      <c r="AW590" s="4"/>
      <c r="AX590" s="4"/>
      <c r="AY590" s="4"/>
      <c r="AZ590" s="4"/>
      <c r="BA590" s="4"/>
      <c r="BB590" s="4"/>
      <c r="BC590" s="4"/>
      <c r="BD590" s="4"/>
      <c r="BE590" s="4"/>
      <c r="BF590" s="4"/>
      <c r="BG590" s="4"/>
      <c r="BH590" s="4"/>
      <c r="BI590" s="4"/>
      <c r="BJ590" s="4"/>
      <c r="BK590" s="4"/>
      <c r="BL590" s="4"/>
      <c r="BM590" s="4"/>
      <c r="BN590" s="4"/>
      <c r="BO590" s="4"/>
      <c r="BP590" s="4"/>
      <c r="BQ590" s="4"/>
      <c r="BR590" s="4"/>
      <c r="BS590" s="4"/>
      <c r="BT590" s="4"/>
      <c r="BU590" s="4"/>
      <c r="BV590" s="4"/>
      <c r="BW590" s="4"/>
      <c r="BX590" s="4"/>
      <c r="BY590" s="4"/>
      <c r="BZ590" s="4"/>
      <c r="CA590" s="4"/>
      <c r="CB590" s="4"/>
      <c r="CC590" s="4"/>
      <c r="CD590" s="4"/>
      <c r="CE590" s="4"/>
      <c r="CF590" s="4"/>
      <c r="CG590" s="4"/>
      <c r="CH590" s="4"/>
      <c r="CI590" s="4"/>
    </row>
    <row r="591" ht="14.25" customHeight="1" spans="1:87" x14ac:dyDescent="0.25">
      <c r="A591" s="4"/>
      <c r="B591" s="4"/>
      <c r="C591" s="4"/>
      <c r="D591" s="4"/>
      <c r="E591" s="4"/>
      <c r="F591" s="4"/>
      <c r="G591" s="4"/>
      <c r="H591" s="4"/>
      <c r="I591" s="4"/>
      <c r="J591" s="4"/>
      <c r="K591" s="242"/>
      <c r="L591" s="4"/>
      <c r="M591" s="4"/>
      <c r="N591" s="4"/>
      <c r="O591" s="4"/>
      <c r="P591" s="4"/>
      <c r="Q591" s="4"/>
      <c r="R591" s="4"/>
      <c r="S591" s="4"/>
      <c r="T591" s="4"/>
      <c r="U591" s="4"/>
      <c r="V591" s="4"/>
      <c r="W591" s="4"/>
      <c r="X591" s="4"/>
      <c r="Y591" s="4"/>
      <c r="Z591" s="4"/>
      <c r="AA591" s="4"/>
      <c r="AB591" s="4"/>
      <c r="AC591" s="4"/>
      <c r="AD591" s="4"/>
      <c r="AE591" s="4"/>
      <c r="AF591" s="4"/>
      <c r="AG591" s="4"/>
      <c r="AH591" s="4"/>
      <c r="AI591" s="4"/>
      <c r="AJ591" s="4"/>
      <c r="AK591" s="4"/>
      <c r="AL591" s="4"/>
      <c r="AM591" s="4"/>
      <c r="AN591" s="4"/>
      <c r="AO591" s="4"/>
      <c r="AP591" s="4"/>
      <c r="AQ591" s="4"/>
      <c r="AR591" s="4"/>
      <c r="AS591" s="4"/>
      <c r="AT591" s="4"/>
      <c r="AU591" s="4"/>
      <c r="AV591" s="4"/>
      <c r="AW591" s="4"/>
      <c r="AX591" s="4"/>
      <c r="AY591" s="4"/>
      <c r="AZ591" s="4"/>
      <c r="BA591" s="4"/>
      <c r="BB591" s="4"/>
      <c r="BC591" s="4"/>
      <c r="BD591" s="4"/>
      <c r="BE591" s="4"/>
      <c r="BF591" s="4"/>
      <c r="BG591" s="4"/>
      <c r="BH591" s="4"/>
      <c r="BI591" s="4"/>
      <c r="BJ591" s="4"/>
      <c r="BK591" s="4"/>
      <c r="BL591" s="4"/>
      <c r="BM591" s="4"/>
      <c r="BN591" s="4"/>
      <c r="BO591" s="4"/>
      <c r="BP591" s="4"/>
      <c r="BQ591" s="4"/>
      <c r="BR591" s="4"/>
      <c r="BS591" s="4"/>
      <c r="BT591" s="4"/>
      <c r="BU591" s="4"/>
      <c r="BV591" s="4"/>
      <c r="BW591" s="4"/>
      <c r="BX591" s="4"/>
      <c r="BY591" s="4"/>
      <c r="BZ591" s="4"/>
      <c r="CA591" s="4"/>
      <c r="CB591" s="4"/>
      <c r="CC591" s="4"/>
      <c r="CD591" s="4"/>
      <c r="CE591" s="4"/>
      <c r="CF591" s="4"/>
      <c r="CG591" s="4"/>
      <c r="CH591" s="4"/>
      <c r="CI591" s="4"/>
    </row>
    <row r="592" ht="14.25" customHeight="1" spans="1:87" x14ac:dyDescent="0.25">
      <c r="A592" s="4"/>
      <c r="B592" s="4"/>
      <c r="C592" s="4"/>
      <c r="D592" s="4"/>
      <c r="E592" s="4"/>
      <c r="F592" s="4"/>
      <c r="G592" s="4"/>
      <c r="H592" s="4"/>
      <c r="I592" s="4"/>
      <c r="J592" s="4"/>
      <c r="K592" s="242"/>
      <c r="L592" s="4"/>
      <c r="M592" s="4"/>
      <c r="N592" s="4"/>
      <c r="O592" s="4"/>
      <c r="P592" s="4"/>
      <c r="Q592" s="4"/>
      <c r="R592" s="4"/>
      <c r="S592" s="4"/>
      <c r="T592" s="4"/>
      <c r="U592" s="4"/>
      <c r="V592" s="4"/>
      <c r="W592" s="4"/>
      <c r="X592" s="4"/>
      <c r="Y592" s="4"/>
      <c r="Z592" s="4"/>
      <c r="AA592" s="4"/>
      <c r="AB592" s="4"/>
      <c r="AC592" s="4"/>
      <c r="AD592" s="4"/>
      <c r="AE592" s="4"/>
      <c r="AF592" s="4"/>
      <c r="AG592" s="4"/>
      <c r="AH592" s="4"/>
      <c r="AI592" s="4"/>
      <c r="AJ592" s="4"/>
      <c r="AK592" s="4"/>
      <c r="AL592" s="4"/>
      <c r="AM592" s="4"/>
      <c r="AN592" s="4"/>
      <c r="AO592" s="4"/>
      <c r="AP592" s="4"/>
      <c r="AQ592" s="4"/>
      <c r="AR592" s="4"/>
      <c r="AS592" s="4"/>
      <c r="AT592" s="4"/>
      <c r="AU592" s="4"/>
      <c r="AV592" s="4"/>
      <c r="AW592" s="4"/>
      <c r="AX592" s="4"/>
      <c r="AY592" s="4"/>
      <c r="AZ592" s="4"/>
      <c r="BA592" s="4"/>
      <c r="BB592" s="4"/>
      <c r="BC592" s="4"/>
      <c r="BD592" s="4"/>
      <c r="BE592" s="4"/>
      <c r="BF592" s="4"/>
      <c r="BG592" s="4"/>
      <c r="BH592" s="4"/>
      <c r="BI592" s="4"/>
      <c r="BJ592" s="4"/>
      <c r="BK592" s="4"/>
      <c r="BL592" s="4"/>
      <c r="BM592" s="4"/>
      <c r="BN592" s="4"/>
      <c r="BO592" s="4"/>
      <c r="BP592" s="4"/>
      <c r="BQ592" s="4"/>
      <c r="BR592" s="4"/>
      <c r="BS592" s="4"/>
      <c r="BT592" s="4"/>
      <c r="BU592" s="4"/>
      <c r="BV592" s="4"/>
      <c r="BW592" s="4"/>
      <c r="BX592" s="4"/>
      <c r="BY592" s="4"/>
      <c r="BZ592" s="4"/>
      <c r="CA592" s="4"/>
      <c r="CB592" s="4"/>
      <c r="CC592" s="4"/>
      <c r="CD592" s="4"/>
      <c r="CE592" s="4"/>
      <c r="CF592" s="4"/>
      <c r="CG592" s="4"/>
      <c r="CH592" s="4"/>
      <c r="CI592" s="4"/>
    </row>
    <row r="593" ht="14.25" customHeight="1" spans="1:87" x14ac:dyDescent="0.25">
      <c r="A593" s="4"/>
      <c r="B593" s="4"/>
      <c r="C593" s="4"/>
      <c r="D593" s="4"/>
      <c r="E593" s="4"/>
      <c r="F593" s="4"/>
      <c r="G593" s="4"/>
      <c r="H593" s="4"/>
      <c r="I593" s="4"/>
      <c r="J593" s="4"/>
      <c r="K593" s="242"/>
      <c r="L593" s="4"/>
      <c r="M593" s="4"/>
      <c r="N593" s="4"/>
      <c r="O593" s="4"/>
      <c r="P593" s="4"/>
      <c r="Q593" s="4"/>
      <c r="R593" s="4"/>
      <c r="S593" s="4"/>
      <c r="T593" s="4"/>
      <c r="U593" s="4"/>
      <c r="V593" s="4"/>
      <c r="W593" s="4"/>
      <c r="X593" s="4"/>
      <c r="Y593" s="4"/>
      <c r="Z593" s="4"/>
      <c r="AA593" s="4"/>
      <c r="AB593" s="4"/>
      <c r="AC593" s="4"/>
      <c r="AD593" s="4"/>
      <c r="AE593" s="4"/>
      <c r="AF593" s="4"/>
      <c r="AG593" s="4"/>
      <c r="AH593" s="4"/>
      <c r="AI593" s="4"/>
      <c r="AJ593" s="4"/>
      <c r="AK593" s="4"/>
      <c r="AL593" s="4"/>
      <c r="AM593" s="4"/>
      <c r="AN593" s="4"/>
      <c r="AO593" s="4"/>
      <c r="AP593" s="4"/>
      <c r="AQ593" s="4"/>
      <c r="AR593" s="4"/>
      <c r="AS593" s="4"/>
      <c r="AT593" s="4"/>
      <c r="AU593" s="4"/>
      <c r="AV593" s="4"/>
      <c r="AW593" s="4"/>
      <c r="AX593" s="4"/>
      <c r="AY593" s="4"/>
      <c r="AZ593" s="4"/>
      <c r="BA593" s="4"/>
      <c r="BB593" s="4"/>
      <c r="BC593" s="4"/>
      <c r="BD593" s="4"/>
      <c r="BE593" s="4"/>
      <c r="BF593" s="4"/>
      <c r="BG593" s="4"/>
      <c r="BH593" s="4"/>
      <c r="BI593" s="4"/>
      <c r="BJ593" s="4"/>
      <c r="BK593" s="4"/>
      <c r="BL593" s="4"/>
      <c r="BM593" s="4"/>
      <c r="BN593" s="4"/>
      <c r="BO593" s="4"/>
      <c r="BP593" s="4"/>
      <c r="BQ593" s="4"/>
      <c r="BR593" s="4"/>
      <c r="BS593" s="4"/>
      <c r="BT593" s="4"/>
      <c r="BU593" s="4"/>
      <c r="BV593" s="4"/>
      <c r="BW593" s="4"/>
      <c r="BX593" s="4"/>
      <c r="BY593" s="4"/>
      <c r="BZ593" s="4"/>
      <c r="CA593" s="4"/>
      <c r="CB593" s="4"/>
      <c r="CC593" s="4"/>
      <c r="CD593" s="4"/>
      <c r="CE593" s="4"/>
      <c r="CF593" s="4"/>
      <c r="CG593" s="4"/>
      <c r="CH593" s="4"/>
      <c r="CI593" s="4"/>
    </row>
    <row r="594" ht="14.25" customHeight="1" spans="1:87" x14ac:dyDescent="0.25">
      <c r="A594" s="4"/>
      <c r="B594" s="4"/>
      <c r="C594" s="4"/>
      <c r="D594" s="4"/>
      <c r="E594" s="4"/>
      <c r="F594" s="4"/>
      <c r="G594" s="4"/>
      <c r="H594" s="4"/>
      <c r="I594" s="4"/>
      <c r="J594" s="4"/>
      <c r="K594" s="242"/>
      <c r="L594" s="4"/>
      <c r="M594" s="4"/>
      <c r="N594" s="4"/>
      <c r="O594" s="4"/>
      <c r="P594" s="4"/>
      <c r="Q594" s="4"/>
      <c r="R594" s="4"/>
      <c r="S594" s="4"/>
      <c r="T594" s="4"/>
      <c r="U594" s="4"/>
      <c r="V594" s="4"/>
      <c r="W594" s="4"/>
      <c r="X594" s="4"/>
      <c r="Y594" s="4"/>
      <c r="Z594" s="4"/>
      <c r="AA594" s="4"/>
      <c r="AB594" s="4"/>
      <c r="AC594" s="4"/>
      <c r="AD594" s="4"/>
      <c r="AE594" s="4"/>
      <c r="AF594" s="4"/>
      <c r="AG594" s="4"/>
      <c r="AH594" s="4"/>
      <c r="AI594" s="4"/>
      <c r="AJ594" s="4"/>
      <c r="AK594" s="4"/>
      <c r="AL594" s="4"/>
      <c r="AM594" s="4"/>
      <c r="AN594" s="4"/>
      <c r="AO594" s="4"/>
      <c r="AP594" s="4"/>
      <c r="AQ594" s="4"/>
      <c r="AR594" s="4"/>
      <c r="AS594" s="4"/>
      <c r="AT594" s="4"/>
      <c r="AU594" s="4"/>
      <c r="AV594" s="4"/>
      <c r="AW594" s="4"/>
      <c r="AX594" s="4"/>
      <c r="AY594" s="4"/>
      <c r="AZ594" s="4"/>
      <c r="BA594" s="4"/>
      <c r="BB594" s="4"/>
      <c r="BC594" s="4"/>
      <c r="BD594" s="4"/>
      <c r="BE594" s="4"/>
      <c r="BF594" s="4"/>
      <c r="BG594" s="4"/>
      <c r="BH594" s="4"/>
      <c r="BI594" s="4"/>
      <c r="BJ594" s="4"/>
      <c r="BK594" s="4"/>
      <c r="BL594" s="4"/>
      <c r="BM594" s="4"/>
      <c r="BN594" s="4"/>
      <c r="BO594" s="4"/>
      <c r="BP594" s="4"/>
      <c r="BQ594" s="4"/>
      <c r="BR594" s="4"/>
      <c r="BS594" s="4"/>
      <c r="BT594" s="4"/>
      <c r="BU594" s="4"/>
      <c r="BV594" s="4"/>
      <c r="BW594" s="4"/>
      <c r="BX594" s="4"/>
      <c r="BY594" s="4"/>
      <c r="BZ594" s="4"/>
      <c r="CA594" s="4"/>
      <c r="CB594" s="4"/>
      <c r="CC594" s="4"/>
      <c r="CD594" s="4"/>
      <c r="CE594" s="4"/>
      <c r="CF594" s="4"/>
      <c r="CG594" s="4"/>
      <c r="CH594" s="4"/>
      <c r="CI594" s="4"/>
    </row>
    <row r="595" ht="14.25" customHeight="1" spans="1:87" x14ac:dyDescent="0.25">
      <c r="A595" s="4"/>
      <c r="B595" s="4"/>
      <c r="C595" s="4"/>
      <c r="D595" s="4"/>
      <c r="E595" s="4"/>
      <c r="F595" s="4"/>
      <c r="G595" s="4"/>
      <c r="H595" s="4"/>
      <c r="I595" s="4"/>
      <c r="J595" s="4"/>
      <c r="K595" s="242"/>
      <c r="L595" s="4"/>
      <c r="M595" s="4"/>
      <c r="N595" s="4"/>
      <c r="O595" s="4"/>
      <c r="P595" s="4"/>
      <c r="Q595" s="4"/>
      <c r="R595" s="4"/>
      <c r="S595" s="4"/>
      <c r="T595" s="4"/>
      <c r="U595" s="4"/>
      <c r="V595" s="4"/>
      <c r="W595" s="4"/>
      <c r="X595" s="4"/>
      <c r="Y595" s="4"/>
      <c r="Z595" s="4"/>
      <c r="AA595" s="4"/>
      <c r="AB595" s="4"/>
      <c r="AC595" s="4"/>
      <c r="AD595" s="4"/>
      <c r="AE595" s="4"/>
      <c r="AF595" s="4"/>
      <c r="AG595" s="4"/>
      <c r="AH595" s="4"/>
      <c r="AI595" s="4"/>
      <c r="AJ595" s="4"/>
      <c r="AK595" s="4"/>
      <c r="AL595" s="4"/>
      <c r="AM595" s="4"/>
      <c r="AN595" s="4"/>
      <c r="AO595" s="4"/>
      <c r="AP595" s="4"/>
      <c r="AQ595" s="4"/>
      <c r="AR595" s="4"/>
      <c r="AS595" s="4"/>
      <c r="AT595" s="4"/>
      <c r="AU595" s="4"/>
      <c r="AV595" s="4"/>
      <c r="AW595" s="4"/>
      <c r="AX595" s="4"/>
      <c r="AY595" s="4"/>
      <c r="AZ595" s="4"/>
      <c r="BA595" s="4"/>
      <c r="BB595" s="4"/>
      <c r="BC595" s="4"/>
      <c r="BD595" s="4"/>
      <c r="BE595" s="4"/>
      <c r="BF595" s="4"/>
      <c r="BG595" s="4"/>
      <c r="BH595" s="4"/>
      <c r="BI595" s="4"/>
      <c r="BJ595" s="4"/>
      <c r="BK595" s="4"/>
      <c r="BL595" s="4"/>
      <c r="BM595" s="4"/>
      <c r="BN595" s="4"/>
      <c r="BO595" s="4"/>
      <c r="BP595" s="4"/>
      <c r="BQ595" s="4"/>
      <c r="BR595" s="4"/>
      <c r="BS595" s="4"/>
      <c r="BT595" s="4"/>
      <c r="BU595" s="4"/>
      <c r="BV595" s="4"/>
      <c r="BW595" s="4"/>
      <c r="BX595" s="4"/>
      <c r="BY595" s="4"/>
      <c r="BZ595" s="4"/>
      <c r="CA595" s="4"/>
      <c r="CB595" s="4"/>
      <c r="CC595" s="4"/>
      <c r="CD595" s="4"/>
      <c r="CE595" s="4"/>
      <c r="CF595" s="4"/>
      <c r="CG595" s="4"/>
      <c r="CH595" s="4"/>
      <c r="CI595" s="4"/>
    </row>
    <row r="596" ht="14.25" customHeight="1" spans="1:87" x14ac:dyDescent="0.25">
      <c r="A596" s="4"/>
      <c r="B596" s="4"/>
      <c r="C596" s="4"/>
      <c r="D596" s="4"/>
      <c r="E596" s="4"/>
      <c r="F596" s="4"/>
      <c r="G596" s="4"/>
      <c r="H596" s="4"/>
      <c r="I596" s="4"/>
      <c r="J596" s="4"/>
      <c r="K596" s="242"/>
      <c r="L596" s="4"/>
      <c r="M596" s="4"/>
      <c r="N596" s="4"/>
      <c r="O596" s="4"/>
      <c r="P596" s="4"/>
      <c r="Q596" s="4"/>
      <c r="R596" s="4"/>
      <c r="S596" s="4"/>
      <c r="T596" s="4"/>
      <c r="U596" s="4"/>
      <c r="V596" s="4"/>
      <c r="W596" s="4"/>
      <c r="X596" s="4"/>
      <c r="Y596" s="4"/>
      <c r="Z596" s="4"/>
      <c r="AA596" s="4"/>
      <c r="AB596" s="4"/>
      <c r="AC596" s="4"/>
      <c r="AD596" s="4"/>
      <c r="AE596" s="4"/>
      <c r="AF596" s="4"/>
      <c r="AG596" s="4"/>
      <c r="AH596" s="4"/>
      <c r="AI596" s="4"/>
      <c r="AJ596" s="4"/>
      <c r="AK596" s="4"/>
      <c r="AL596" s="4"/>
      <c r="AM596" s="4"/>
      <c r="AN596" s="4"/>
      <c r="AO596" s="4"/>
      <c r="AP596" s="4"/>
      <c r="AQ596" s="4"/>
      <c r="AR596" s="4"/>
      <c r="AS596" s="4"/>
      <c r="AT596" s="4"/>
      <c r="AU596" s="4"/>
      <c r="AV596" s="4"/>
      <c r="AW596" s="4"/>
      <c r="AX596" s="4"/>
      <c r="AY596" s="4"/>
      <c r="AZ596" s="4"/>
      <c r="BA596" s="4"/>
      <c r="BB596" s="4"/>
      <c r="BC596" s="4"/>
      <c r="BD596" s="4"/>
      <c r="BE596" s="4"/>
      <c r="BF596" s="4"/>
      <c r="BG596" s="4"/>
      <c r="BH596" s="4"/>
      <c r="BI596" s="4"/>
      <c r="BJ596" s="4"/>
      <c r="BK596" s="4"/>
      <c r="BL596" s="4"/>
      <c r="BM596" s="4"/>
      <c r="BN596" s="4"/>
      <c r="BO596" s="4"/>
      <c r="BP596" s="4"/>
      <c r="BQ596" s="4"/>
      <c r="BR596" s="4"/>
      <c r="BS596" s="4"/>
      <c r="BT596" s="4"/>
      <c r="BU596" s="4"/>
      <c r="BV596" s="4"/>
      <c r="BW596" s="4"/>
      <c r="BX596" s="4"/>
      <c r="BY596" s="4"/>
      <c r="BZ596" s="4"/>
      <c r="CA596" s="4"/>
      <c r="CB596" s="4"/>
      <c r="CC596" s="4"/>
      <c r="CD596" s="4"/>
      <c r="CE596" s="4"/>
      <c r="CF596" s="4"/>
      <c r="CG596" s="4"/>
      <c r="CH596" s="4"/>
      <c r="CI596" s="4"/>
    </row>
    <row r="597" ht="14.25" customHeight="1" spans="1:87" x14ac:dyDescent="0.25">
      <c r="A597" s="4"/>
      <c r="B597" s="4"/>
      <c r="C597" s="4"/>
      <c r="D597" s="4"/>
      <c r="E597" s="4"/>
      <c r="F597" s="4"/>
      <c r="G597" s="4"/>
      <c r="H597" s="4"/>
      <c r="I597" s="4"/>
      <c r="J597" s="4"/>
      <c r="K597" s="242"/>
      <c r="L597" s="4"/>
      <c r="M597" s="4"/>
      <c r="N597" s="4"/>
      <c r="O597" s="4"/>
      <c r="P597" s="4"/>
      <c r="Q597" s="4"/>
      <c r="R597" s="4"/>
      <c r="S597" s="4"/>
      <c r="T597" s="4"/>
      <c r="U597" s="4"/>
      <c r="V597" s="4"/>
      <c r="W597" s="4"/>
      <c r="X597" s="4"/>
      <c r="Y597" s="4"/>
      <c r="Z597" s="4"/>
      <c r="AA597" s="4"/>
      <c r="AB597" s="4"/>
      <c r="AC597" s="4"/>
      <c r="AD597" s="4"/>
      <c r="AE597" s="4"/>
      <c r="AF597" s="4"/>
      <c r="AG597" s="4"/>
      <c r="AH597" s="4"/>
      <c r="AI597" s="4"/>
      <c r="AJ597" s="4"/>
      <c r="AK597" s="4"/>
      <c r="AL597" s="4"/>
      <c r="AM597" s="4"/>
      <c r="AN597" s="4"/>
      <c r="AO597" s="4"/>
      <c r="AP597" s="4"/>
      <c r="AQ597" s="4"/>
      <c r="AR597" s="4"/>
      <c r="AS597" s="4"/>
      <c r="AT597" s="4"/>
      <c r="AU597" s="4"/>
      <c r="AV597" s="4"/>
      <c r="AW597" s="4"/>
      <c r="AX597" s="4"/>
      <c r="AY597" s="4"/>
      <c r="AZ597" s="4"/>
      <c r="BA597" s="4"/>
      <c r="BB597" s="4"/>
      <c r="BC597" s="4"/>
      <c r="BD597" s="4"/>
      <c r="BE597" s="4"/>
      <c r="BF597" s="4"/>
      <c r="BG597" s="4"/>
      <c r="BH597" s="4"/>
      <c r="BI597" s="4"/>
      <c r="BJ597" s="4"/>
      <c r="BK597" s="4"/>
      <c r="BL597" s="4"/>
      <c r="BM597" s="4"/>
      <c r="BN597" s="4"/>
      <c r="BO597" s="4"/>
      <c r="BP597" s="4"/>
      <c r="BQ597" s="4"/>
      <c r="BR597" s="4"/>
      <c r="BS597" s="4"/>
      <c r="BT597" s="4"/>
      <c r="BU597" s="4"/>
      <c r="BV597" s="4"/>
      <c r="BW597" s="4"/>
      <c r="BX597" s="4"/>
      <c r="BY597" s="4"/>
      <c r="BZ597" s="4"/>
      <c r="CA597" s="4"/>
      <c r="CB597" s="4"/>
      <c r="CC597" s="4"/>
      <c r="CD597" s="4"/>
      <c r="CE597" s="4"/>
      <c r="CF597" s="4"/>
      <c r="CG597" s="4"/>
      <c r="CH597" s="4"/>
      <c r="CI597" s="4"/>
    </row>
    <row r="598" ht="14.25" customHeight="1" spans="1:87" x14ac:dyDescent="0.25">
      <c r="A598" s="4"/>
      <c r="B598" s="4"/>
      <c r="C598" s="4"/>
      <c r="D598" s="4"/>
      <c r="E598" s="4"/>
      <c r="F598" s="4"/>
      <c r="G598" s="4"/>
      <c r="H598" s="4"/>
      <c r="I598" s="4"/>
      <c r="J598" s="4"/>
      <c r="K598" s="242"/>
      <c r="L598" s="4"/>
      <c r="M598" s="4"/>
      <c r="N598" s="4"/>
      <c r="O598" s="4"/>
      <c r="P598" s="4"/>
      <c r="Q598" s="4"/>
      <c r="R598" s="4"/>
      <c r="S598" s="4"/>
      <c r="T598" s="4"/>
      <c r="U598" s="4"/>
      <c r="V598" s="4"/>
      <c r="W598" s="4"/>
      <c r="X598" s="4"/>
      <c r="Y598" s="4"/>
      <c r="Z598" s="4"/>
      <c r="AA598" s="4"/>
      <c r="AB598" s="4"/>
      <c r="AC598" s="4"/>
      <c r="AD598" s="4"/>
      <c r="AE598" s="4"/>
      <c r="AF598" s="4"/>
      <c r="AG598" s="4"/>
      <c r="AH598" s="4"/>
      <c r="AI598" s="4"/>
      <c r="AJ598" s="4"/>
      <c r="AK598" s="4"/>
      <c r="AL598" s="4"/>
      <c r="AM598" s="4"/>
      <c r="AN598" s="4"/>
      <c r="AO598" s="4"/>
      <c r="AP598" s="4"/>
      <c r="AQ598" s="4"/>
      <c r="AR598" s="4"/>
      <c r="AS598" s="4"/>
      <c r="AT598" s="4"/>
      <c r="AU598" s="4"/>
      <c r="AV598" s="4"/>
      <c r="AW598" s="4"/>
      <c r="AX598" s="4"/>
      <c r="AY598" s="4"/>
      <c r="AZ598" s="4"/>
      <c r="BA598" s="4"/>
      <c r="BB598" s="4"/>
      <c r="BC598" s="4"/>
      <c r="BD598" s="4"/>
      <c r="BE598" s="4"/>
      <c r="BF598" s="4"/>
      <c r="BG598" s="4"/>
      <c r="BH598" s="4"/>
      <c r="BI598" s="4"/>
      <c r="BJ598" s="4"/>
      <c r="BK598" s="4"/>
      <c r="BL598" s="4"/>
      <c r="BM598" s="4"/>
      <c r="BN598" s="4"/>
      <c r="BO598" s="4"/>
      <c r="BP598" s="4"/>
      <c r="BQ598" s="4"/>
      <c r="BR598" s="4"/>
      <c r="BS598" s="4"/>
      <c r="BT598" s="4"/>
      <c r="BU598" s="4"/>
      <c r="BV598" s="4"/>
      <c r="BW598" s="4"/>
      <c r="BX598" s="4"/>
      <c r="BY598" s="4"/>
      <c r="BZ598" s="4"/>
      <c r="CA598" s="4"/>
      <c r="CB598" s="4"/>
      <c r="CC598" s="4"/>
      <c r="CD598" s="4"/>
      <c r="CE598" s="4"/>
      <c r="CF598" s="4"/>
      <c r="CG598" s="4"/>
      <c r="CH598" s="4"/>
      <c r="CI598" s="4"/>
    </row>
    <row r="599" ht="14.25" customHeight="1" spans="1:87" x14ac:dyDescent="0.25">
      <c r="A599" s="4"/>
      <c r="B599" s="4"/>
      <c r="C599" s="4"/>
      <c r="D599" s="4"/>
      <c r="E599" s="4"/>
      <c r="F599" s="4"/>
      <c r="G599" s="4"/>
      <c r="H599" s="4"/>
      <c r="I599" s="4"/>
      <c r="J599" s="4"/>
      <c r="K599" s="242"/>
      <c r="L599" s="4"/>
      <c r="M599" s="4"/>
      <c r="N599" s="4"/>
      <c r="O599" s="4"/>
      <c r="P599" s="4"/>
      <c r="Q599" s="4"/>
      <c r="R599" s="4"/>
      <c r="S599" s="4"/>
      <c r="T599" s="4"/>
      <c r="U599" s="4"/>
      <c r="V599" s="4"/>
      <c r="W599" s="4"/>
      <c r="X599" s="4"/>
      <c r="Y599" s="4"/>
      <c r="Z599" s="4"/>
      <c r="AA599" s="4"/>
      <c r="AB599" s="4"/>
      <c r="AC599" s="4"/>
      <c r="AD599" s="4"/>
      <c r="AE599" s="4"/>
      <c r="AF599" s="4"/>
      <c r="AG599" s="4"/>
      <c r="AH599" s="4"/>
      <c r="AI599" s="4"/>
      <c r="AJ599" s="4"/>
      <c r="AK599" s="4"/>
      <c r="AL599" s="4"/>
      <c r="AM599" s="4"/>
      <c r="AN599" s="4"/>
      <c r="AO599" s="4"/>
      <c r="AP599" s="4"/>
      <c r="AQ599" s="4"/>
      <c r="AR599" s="4"/>
      <c r="AS599" s="4"/>
      <c r="AT599" s="4"/>
      <c r="AU599" s="4"/>
      <c r="AV599" s="4"/>
      <c r="AW599" s="4"/>
      <c r="AX599" s="4"/>
      <c r="AY599" s="4"/>
      <c r="AZ599" s="4"/>
      <c r="BA599" s="4"/>
      <c r="BB599" s="4"/>
      <c r="BC599" s="4"/>
      <c r="BD599" s="4"/>
      <c r="BE599" s="4"/>
      <c r="BF599" s="4"/>
      <c r="BG599" s="4"/>
      <c r="BH599" s="4"/>
      <c r="BI599" s="4"/>
      <c r="BJ599" s="4"/>
      <c r="BK599" s="4"/>
      <c r="BL599" s="4"/>
      <c r="BM599" s="4"/>
      <c r="BN599" s="4"/>
      <c r="BO599" s="4"/>
      <c r="BP599" s="4"/>
      <c r="BQ599" s="4"/>
      <c r="BR599" s="4"/>
      <c r="BS599" s="4"/>
      <c r="BT599" s="4"/>
      <c r="BU599" s="4"/>
      <c r="BV599" s="4"/>
      <c r="BW599" s="4"/>
      <c r="BX599" s="4"/>
      <c r="BY599" s="4"/>
      <c r="BZ599" s="4"/>
      <c r="CA599" s="4"/>
      <c r="CB599" s="4"/>
      <c r="CC599" s="4"/>
      <c r="CD599" s="4"/>
      <c r="CE599" s="4"/>
      <c r="CF599" s="4"/>
      <c r="CG599" s="4"/>
      <c r="CH599" s="4"/>
      <c r="CI599" s="4"/>
    </row>
    <row r="600" ht="14.25" customHeight="1" spans="1:87" x14ac:dyDescent="0.25">
      <c r="A600" s="4"/>
      <c r="B600" s="4"/>
      <c r="C600" s="4"/>
      <c r="D600" s="4"/>
      <c r="E600" s="4"/>
      <c r="F600" s="4"/>
      <c r="G600" s="4"/>
      <c r="H600" s="4"/>
      <c r="I600" s="4"/>
      <c r="J600" s="4"/>
      <c r="K600" s="242"/>
      <c r="L600" s="4"/>
      <c r="M600" s="4"/>
      <c r="N600" s="4"/>
      <c r="O600" s="4"/>
      <c r="P600" s="4"/>
      <c r="Q600" s="4"/>
      <c r="R600" s="4"/>
      <c r="S600" s="4"/>
      <c r="T600" s="4"/>
      <c r="U600" s="4"/>
      <c r="V600" s="4"/>
      <c r="W600" s="4"/>
      <c r="X600" s="4"/>
      <c r="Y600" s="4"/>
      <c r="Z600" s="4"/>
      <c r="AA600" s="4"/>
      <c r="AB600" s="4"/>
      <c r="AC600" s="4"/>
      <c r="AD600" s="4"/>
      <c r="AE600" s="4"/>
      <c r="AF600" s="4"/>
      <c r="AG600" s="4"/>
      <c r="AH600" s="4"/>
      <c r="AI600" s="4"/>
      <c r="AJ600" s="4"/>
      <c r="AK600" s="4"/>
      <c r="AL600" s="4"/>
      <c r="AM600" s="4"/>
      <c r="AN600" s="4"/>
      <c r="AO600" s="4"/>
      <c r="AP600" s="4"/>
      <c r="AQ600" s="4"/>
      <c r="AR600" s="4"/>
      <c r="AS600" s="4"/>
      <c r="AT600" s="4"/>
      <c r="AU600" s="4"/>
      <c r="AV600" s="4"/>
      <c r="AW600" s="4"/>
      <c r="AX600" s="4"/>
      <c r="AY600" s="4"/>
      <c r="AZ600" s="4"/>
      <c r="BA600" s="4"/>
      <c r="BB600" s="4"/>
      <c r="BC600" s="4"/>
      <c r="BD600" s="4"/>
      <c r="BE600" s="4"/>
      <c r="BF600" s="4"/>
      <c r="BG600" s="4"/>
      <c r="BH600" s="4"/>
      <c r="BI600" s="4"/>
      <c r="BJ600" s="4"/>
      <c r="BK600" s="4"/>
      <c r="BL600" s="4"/>
      <c r="BM600" s="4"/>
      <c r="BN600" s="4"/>
      <c r="BO600" s="4"/>
      <c r="BP600" s="4"/>
      <c r="BQ600" s="4"/>
      <c r="BR600" s="4"/>
      <c r="BS600" s="4"/>
      <c r="BT600" s="4"/>
      <c r="BU600" s="4"/>
      <c r="BV600" s="4"/>
      <c r="BW600" s="4"/>
      <c r="BX600" s="4"/>
      <c r="BY600" s="4"/>
      <c r="BZ600" s="4"/>
      <c r="CA600" s="4"/>
      <c r="CB600" s="4"/>
      <c r="CC600" s="4"/>
      <c r="CD600" s="4"/>
      <c r="CE600" s="4"/>
      <c r="CF600" s="4"/>
      <c r="CG600" s="4"/>
      <c r="CH600" s="4"/>
      <c r="CI600" s="4"/>
    </row>
    <row r="601" ht="14.25" customHeight="1" spans="1:87" x14ac:dyDescent="0.25">
      <c r="A601" s="4"/>
      <c r="B601" s="4"/>
      <c r="C601" s="4"/>
      <c r="D601" s="4"/>
      <c r="E601" s="4"/>
      <c r="F601" s="4"/>
      <c r="G601" s="4"/>
      <c r="H601" s="4"/>
      <c r="I601" s="4"/>
      <c r="J601" s="4"/>
      <c r="K601" s="242"/>
      <c r="L601" s="4"/>
      <c r="M601" s="4"/>
      <c r="N601" s="4"/>
      <c r="O601" s="4"/>
      <c r="P601" s="4"/>
      <c r="Q601" s="4"/>
      <c r="R601" s="4"/>
      <c r="S601" s="4"/>
      <c r="T601" s="4"/>
      <c r="U601" s="4"/>
      <c r="V601" s="4"/>
      <c r="W601" s="4"/>
      <c r="X601" s="4"/>
      <c r="Y601" s="4"/>
      <c r="Z601" s="4"/>
      <c r="AA601" s="4"/>
      <c r="AB601" s="4"/>
      <c r="AC601" s="4"/>
      <c r="AD601" s="4"/>
      <c r="AE601" s="4"/>
      <c r="AF601" s="4"/>
      <c r="AG601" s="4"/>
      <c r="AH601" s="4"/>
      <c r="AI601" s="4"/>
      <c r="AJ601" s="4"/>
      <c r="AK601" s="4"/>
      <c r="AL601" s="4"/>
      <c r="AM601" s="4"/>
      <c r="AN601" s="4"/>
      <c r="AO601" s="4"/>
      <c r="AP601" s="4"/>
      <c r="AQ601" s="4"/>
      <c r="AR601" s="4"/>
      <c r="AS601" s="4"/>
      <c r="AT601" s="4"/>
      <c r="AU601" s="4"/>
      <c r="AV601" s="4"/>
      <c r="AW601" s="4"/>
      <c r="AX601" s="4"/>
      <c r="AY601" s="4"/>
      <c r="AZ601" s="4"/>
      <c r="BA601" s="4"/>
      <c r="BB601" s="4"/>
      <c r="BC601" s="4"/>
      <c r="BD601" s="4"/>
      <c r="BE601" s="4"/>
      <c r="BF601" s="4"/>
      <c r="BG601" s="4"/>
      <c r="BH601" s="4"/>
      <c r="BI601" s="4"/>
      <c r="BJ601" s="4"/>
      <c r="BK601" s="4"/>
      <c r="BL601" s="4"/>
      <c r="BM601" s="4"/>
      <c r="BN601" s="4"/>
      <c r="BO601" s="4"/>
      <c r="BP601" s="4"/>
      <c r="BQ601" s="4"/>
      <c r="BR601" s="4"/>
      <c r="BS601" s="4"/>
      <c r="BT601" s="4"/>
      <c r="BU601" s="4"/>
      <c r="BV601" s="4"/>
      <c r="BW601" s="4"/>
      <c r="BX601" s="4"/>
      <c r="BY601" s="4"/>
      <c r="BZ601" s="4"/>
      <c r="CA601" s="4"/>
      <c r="CB601" s="4"/>
      <c r="CC601" s="4"/>
      <c r="CD601" s="4"/>
      <c r="CE601" s="4"/>
      <c r="CF601" s="4"/>
      <c r="CG601" s="4"/>
      <c r="CH601" s="4"/>
      <c r="CI601" s="4"/>
    </row>
    <row r="602" ht="14.25" customHeight="1" spans="1:87" x14ac:dyDescent="0.25">
      <c r="A602" s="4"/>
      <c r="B602" s="4"/>
      <c r="C602" s="4"/>
      <c r="D602" s="4"/>
      <c r="E602" s="4"/>
      <c r="F602" s="4"/>
      <c r="G602" s="4"/>
      <c r="H602" s="4"/>
      <c r="I602" s="4"/>
      <c r="J602" s="4"/>
      <c r="K602" s="242"/>
      <c r="L602" s="4"/>
      <c r="M602" s="4"/>
      <c r="N602" s="4"/>
      <c r="O602" s="4"/>
      <c r="P602" s="4"/>
      <c r="Q602" s="4"/>
      <c r="R602" s="4"/>
      <c r="S602" s="4"/>
      <c r="T602" s="4"/>
      <c r="U602" s="4"/>
      <c r="V602" s="4"/>
      <c r="W602" s="4"/>
      <c r="X602" s="4"/>
      <c r="Y602" s="4"/>
      <c r="Z602" s="4"/>
      <c r="AA602" s="4"/>
      <c r="AB602" s="4"/>
      <c r="AC602" s="4"/>
      <c r="AD602" s="4"/>
      <c r="AE602" s="4"/>
      <c r="AF602" s="4"/>
      <c r="AG602" s="4"/>
      <c r="AH602" s="4"/>
      <c r="AI602" s="4"/>
      <c r="AJ602" s="4"/>
      <c r="AK602" s="4"/>
      <c r="AL602" s="4"/>
      <c r="AM602" s="4"/>
      <c r="AN602" s="4"/>
      <c r="AO602" s="4"/>
      <c r="AP602" s="4"/>
      <c r="AQ602" s="4"/>
      <c r="AR602" s="4"/>
      <c r="AS602" s="4"/>
      <c r="AT602" s="4"/>
      <c r="AU602" s="4"/>
      <c r="AV602" s="4"/>
      <c r="AW602" s="4"/>
      <c r="AX602" s="4"/>
      <c r="AY602" s="4"/>
      <c r="AZ602" s="4"/>
      <c r="BA602" s="4"/>
      <c r="BB602" s="4"/>
      <c r="BC602" s="4"/>
      <c r="BD602" s="4"/>
      <c r="BE602" s="4"/>
      <c r="BF602" s="4"/>
      <c r="BG602" s="4"/>
      <c r="BH602" s="4"/>
      <c r="BI602" s="4"/>
      <c r="BJ602" s="4"/>
      <c r="BK602" s="4"/>
      <c r="BL602" s="4"/>
      <c r="BM602" s="4"/>
      <c r="BN602" s="4"/>
      <c r="BO602" s="4"/>
      <c r="BP602" s="4"/>
      <c r="BQ602" s="4"/>
      <c r="BR602" s="4"/>
      <c r="BS602" s="4"/>
      <c r="BT602" s="4"/>
      <c r="BU602" s="4"/>
      <c r="BV602" s="4"/>
      <c r="BW602" s="4"/>
      <c r="BX602" s="4"/>
      <c r="BY602" s="4"/>
      <c r="BZ602" s="4"/>
      <c r="CA602" s="4"/>
      <c r="CB602" s="4"/>
      <c r="CC602" s="4"/>
      <c r="CD602" s="4"/>
      <c r="CE602" s="4"/>
      <c r="CF602" s="4"/>
      <c r="CG602" s="4"/>
      <c r="CH602" s="4"/>
      <c r="CI602" s="4"/>
    </row>
    <row r="603" ht="14.25" customHeight="1" spans="1:87" x14ac:dyDescent="0.25">
      <c r="A603" s="4"/>
      <c r="B603" s="4"/>
      <c r="C603" s="4"/>
      <c r="D603" s="4"/>
      <c r="E603" s="4"/>
      <c r="F603" s="4"/>
      <c r="G603" s="4"/>
      <c r="H603" s="4"/>
      <c r="I603" s="4"/>
      <c r="J603" s="4"/>
      <c r="K603" s="242"/>
      <c r="L603" s="4"/>
      <c r="M603" s="4"/>
      <c r="N603" s="4"/>
      <c r="O603" s="4"/>
      <c r="P603" s="4"/>
      <c r="Q603" s="4"/>
      <c r="R603" s="4"/>
      <c r="S603" s="4"/>
      <c r="T603" s="4"/>
      <c r="U603" s="4"/>
      <c r="V603" s="4"/>
      <c r="W603" s="4"/>
      <c r="X603" s="4"/>
      <c r="Y603" s="4"/>
      <c r="Z603" s="4"/>
      <c r="AA603" s="4"/>
      <c r="AB603" s="4"/>
      <c r="AC603" s="4"/>
      <c r="AD603" s="4"/>
      <c r="AE603" s="4"/>
      <c r="AF603" s="4"/>
      <c r="AG603" s="4"/>
      <c r="AH603" s="4"/>
      <c r="AI603" s="4"/>
      <c r="AJ603" s="4"/>
      <c r="AK603" s="4"/>
      <c r="AL603" s="4"/>
      <c r="AM603" s="4"/>
      <c r="AN603" s="4"/>
      <c r="AO603" s="4"/>
      <c r="AP603" s="4"/>
      <c r="AQ603" s="4"/>
      <c r="AR603" s="4"/>
      <c r="AS603" s="4"/>
      <c r="AT603" s="4"/>
      <c r="AU603" s="4"/>
      <c r="AV603" s="4"/>
      <c r="AW603" s="4"/>
      <c r="AX603" s="4"/>
      <c r="AY603" s="4"/>
      <c r="AZ603" s="4"/>
      <c r="BA603" s="4"/>
      <c r="BB603" s="4"/>
      <c r="BC603" s="4"/>
      <c r="BD603" s="4"/>
      <c r="BE603" s="4"/>
      <c r="BF603" s="4"/>
      <c r="BG603" s="4"/>
      <c r="BH603" s="4"/>
      <c r="BI603" s="4"/>
      <c r="BJ603" s="4"/>
      <c r="BK603" s="4"/>
      <c r="BL603" s="4"/>
      <c r="BM603" s="4"/>
      <c r="BN603" s="4"/>
      <c r="BO603" s="4"/>
      <c r="BP603" s="4"/>
      <c r="BQ603" s="4"/>
      <c r="BR603" s="4"/>
      <c r="BS603" s="4"/>
      <c r="BT603" s="4"/>
      <c r="BU603" s="4"/>
      <c r="BV603" s="4"/>
      <c r="BW603" s="4"/>
      <c r="BX603" s="4"/>
      <c r="BY603" s="4"/>
      <c r="BZ603" s="4"/>
      <c r="CA603" s="4"/>
      <c r="CB603" s="4"/>
      <c r="CC603" s="4"/>
      <c r="CD603" s="4"/>
      <c r="CE603" s="4"/>
      <c r="CF603" s="4"/>
      <c r="CG603" s="4"/>
      <c r="CH603" s="4"/>
      <c r="CI603" s="4"/>
    </row>
    <row r="604" ht="14.25" customHeight="1" spans="1:87" x14ac:dyDescent="0.25">
      <c r="A604" s="4"/>
      <c r="B604" s="4"/>
      <c r="C604" s="4"/>
      <c r="D604" s="4"/>
      <c r="E604" s="4"/>
      <c r="F604" s="4"/>
      <c r="G604" s="4"/>
      <c r="H604" s="4"/>
      <c r="I604" s="4"/>
      <c r="J604" s="4"/>
      <c r="K604" s="242"/>
      <c r="L604" s="4"/>
      <c r="M604" s="4"/>
      <c r="N604" s="4"/>
      <c r="O604" s="4"/>
      <c r="P604" s="4"/>
      <c r="Q604" s="4"/>
      <c r="R604" s="4"/>
      <c r="S604" s="4"/>
      <c r="T604" s="4"/>
      <c r="U604" s="4"/>
      <c r="V604" s="4"/>
      <c r="W604" s="4"/>
      <c r="X604" s="4"/>
      <c r="Y604" s="4"/>
      <c r="Z604" s="4"/>
      <c r="AA604" s="4"/>
      <c r="AB604" s="4"/>
      <c r="AC604" s="4"/>
      <c r="AD604" s="4"/>
      <c r="AE604" s="4"/>
      <c r="AF604" s="4"/>
      <c r="AG604" s="4"/>
      <c r="AH604" s="4"/>
      <c r="AI604" s="4"/>
      <c r="AJ604" s="4"/>
      <c r="AK604" s="4"/>
      <c r="AL604" s="4"/>
      <c r="AM604" s="4"/>
      <c r="AN604" s="4"/>
      <c r="AO604" s="4"/>
      <c r="AP604" s="4"/>
      <c r="AQ604" s="4"/>
      <c r="AR604" s="4"/>
      <c r="AS604" s="4"/>
      <c r="AT604" s="4"/>
      <c r="AU604" s="4"/>
      <c r="AV604" s="4"/>
      <c r="AW604" s="4"/>
      <c r="AX604" s="4"/>
      <c r="AY604" s="4"/>
      <c r="AZ604" s="4"/>
      <c r="BA604" s="4"/>
      <c r="BB604" s="4"/>
      <c r="BC604" s="4"/>
      <c r="BD604" s="4"/>
      <c r="BE604" s="4"/>
      <c r="BF604" s="4"/>
      <c r="BG604" s="4"/>
      <c r="BH604" s="4"/>
      <c r="BI604" s="4"/>
      <c r="BJ604" s="4"/>
      <c r="BK604" s="4"/>
      <c r="BL604" s="4"/>
      <c r="BM604" s="4"/>
      <c r="BN604" s="4"/>
      <c r="BO604" s="4"/>
      <c r="BP604" s="4"/>
      <c r="BQ604" s="4"/>
      <c r="BR604" s="4"/>
      <c r="BS604" s="4"/>
      <c r="BT604" s="4"/>
      <c r="BU604" s="4"/>
      <c r="BV604" s="4"/>
      <c r="BW604" s="4"/>
      <c r="BX604" s="4"/>
      <c r="BY604" s="4"/>
      <c r="BZ604" s="4"/>
      <c r="CA604" s="4"/>
      <c r="CB604" s="4"/>
      <c r="CC604" s="4"/>
      <c r="CD604" s="4"/>
      <c r="CE604" s="4"/>
      <c r="CF604" s="4"/>
      <c r="CG604" s="4"/>
      <c r="CH604" s="4"/>
      <c r="CI604" s="4"/>
    </row>
    <row r="605" ht="14.25" customHeight="1" spans="1:87" x14ac:dyDescent="0.25">
      <c r="A605" s="4"/>
      <c r="B605" s="4"/>
      <c r="C605" s="4"/>
      <c r="D605" s="4"/>
      <c r="E605" s="4"/>
      <c r="F605" s="4"/>
      <c r="G605" s="4"/>
      <c r="H605" s="4"/>
      <c r="I605" s="4"/>
      <c r="J605" s="4"/>
      <c r="K605" s="242"/>
      <c r="L605" s="4"/>
      <c r="M605" s="4"/>
      <c r="N605" s="4"/>
      <c r="O605" s="4"/>
      <c r="P605" s="4"/>
      <c r="Q605" s="4"/>
      <c r="R605" s="4"/>
      <c r="S605" s="4"/>
      <c r="T605" s="4"/>
      <c r="U605" s="4"/>
      <c r="V605" s="4"/>
      <c r="W605" s="4"/>
      <c r="X605" s="4"/>
      <c r="Y605" s="4"/>
      <c r="Z605" s="4"/>
      <c r="AA605" s="4"/>
      <c r="AB605" s="4"/>
      <c r="AC605" s="4"/>
      <c r="AD605" s="4"/>
      <c r="AE605" s="4"/>
      <c r="AF605" s="4"/>
      <c r="AG605" s="4"/>
      <c r="AH605" s="4"/>
      <c r="AI605" s="4"/>
      <c r="AJ605" s="4"/>
      <c r="AK605" s="4"/>
      <c r="AL605" s="4"/>
      <c r="AM605" s="4"/>
      <c r="AN605" s="4"/>
      <c r="AO605" s="4"/>
      <c r="AP605" s="4"/>
      <c r="AQ605" s="4"/>
      <c r="AR605" s="4"/>
      <c r="AS605" s="4"/>
      <c r="AT605" s="4"/>
      <c r="AU605" s="4"/>
      <c r="AV605" s="4"/>
      <c r="AW605" s="4"/>
      <c r="AX605" s="4"/>
      <c r="AY605" s="4"/>
      <c r="AZ605" s="4"/>
      <c r="BA605" s="4"/>
      <c r="BB605" s="4"/>
      <c r="BC605" s="4"/>
      <c r="BD605" s="4"/>
      <c r="BE605" s="4"/>
      <c r="BF605" s="4"/>
      <c r="BG605" s="4"/>
      <c r="BH605" s="4"/>
      <c r="BI605" s="4"/>
      <c r="BJ605" s="4"/>
      <c r="BK605" s="4"/>
      <c r="BL605" s="4"/>
      <c r="BM605" s="4"/>
      <c r="BN605" s="4"/>
      <c r="BO605" s="4"/>
      <c r="BP605" s="4"/>
      <c r="BQ605" s="4"/>
      <c r="BR605" s="4"/>
      <c r="BS605" s="4"/>
      <c r="BT605" s="4"/>
      <c r="BU605" s="4"/>
      <c r="BV605" s="4"/>
      <c r="BW605" s="4"/>
      <c r="BX605" s="4"/>
      <c r="BY605" s="4"/>
      <c r="BZ605" s="4"/>
      <c r="CA605" s="4"/>
      <c r="CB605" s="4"/>
      <c r="CC605" s="4"/>
      <c r="CD605" s="4"/>
      <c r="CE605" s="4"/>
      <c r="CF605" s="4"/>
      <c r="CG605" s="4"/>
      <c r="CH605" s="4"/>
      <c r="CI605" s="4"/>
    </row>
    <row r="606" ht="14.25" customHeight="1" spans="1:87" x14ac:dyDescent="0.25">
      <c r="A606" s="4"/>
      <c r="B606" s="4"/>
      <c r="C606" s="4"/>
      <c r="D606" s="4"/>
      <c r="E606" s="4"/>
      <c r="F606" s="4"/>
      <c r="G606" s="4"/>
      <c r="H606" s="4"/>
      <c r="I606" s="4"/>
      <c r="J606" s="4"/>
      <c r="K606" s="242"/>
      <c r="L606" s="4"/>
      <c r="M606" s="4"/>
      <c r="N606" s="4"/>
      <c r="O606" s="4"/>
      <c r="P606" s="4"/>
      <c r="Q606" s="4"/>
      <c r="R606" s="4"/>
      <c r="S606" s="4"/>
      <c r="T606" s="4"/>
      <c r="U606" s="4"/>
      <c r="V606" s="4"/>
      <c r="W606" s="4"/>
      <c r="X606" s="4"/>
      <c r="Y606" s="4"/>
      <c r="Z606" s="4"/>
      <c r="AA606" s="4"/>
      <c r="AB606" s="4"/>
      <c r="AC606" s="4"/>
      <c r="AD606" s="4"/>
      <c r="AE606" s="4"/>
      <c r="AF606" s="4"/>
      <c r="AG606" s="4"/>
      <c r="AH606" s="4"/>
      <c r="AI606" s="4"/>
      <c r="AJ606" s="4"/>
      <c r="AK606" s="4"/>
      <c r="AL606" s="4"/>
      <c r="AM606" s="4"/>
      <c r="AN606" s="4"/>
      <c r="AO606" s="4"/>
      <c r="AP606" s="4"/>
      <c r="AQ606" s="4"/>
      <c r="AR606" s="4"/>
      <c r="AS606" s="4"/>
      <c r="AT606" s="4"/>
      <c r="AU606" s="4"/>
      <c r="AV606" s="4"/>
      <c r="AW606" s="4"/>
      <c r="AX606" s="4"/>
      <c r="AY606" s="4"/>
      <c r="AZ606" s="4"/>
      <c r="BA606" s="4"/>
      <c r="BB606" s="4"/>
      <c r="BC606" s="4"/>
      <c r="BD606" s="4"/>
      <c r="BE606" s="4"/>
      <c r="BF606" s="4"/>
      <c r="BG606" s="4"/>
      <c r="BH606" s="4"/>
      <c r="BI606" s="4"/>
      <c r="BJ606" s="4"/>
      <c r="BK606" s="4"/>
      <c r="BL606" s="4"/>
      <c r="BM606" s="4"/>
      <c r="BN606" s="4"/>
      <c r="BO606" s="4"/>
      <c r="BP606" s="4"/>
      <c r="BQ606" s="4"/>
      <c r="BR606" s="4"/>
      <c r="BS606" s="4"/>
      <c r="BT606" s="4"/>
      <c r="BU606" s="4"/>
      <c r="BV606" s="4"/>
      <c r="BW606" s="4"/>
      <c r="BX606" s="4"/>
      <c r="BY606" s="4"/>
      <c r="BZ606" s="4"/>
      <c r="CA606" s="4"/>
      <c r="CB606" s="4"/>
      <c r="CC606" s="4"/>
      <c r="CD606" s="4"/>
      <c r="CE606" s="4"/>
      <c r="CF606" s="4"/>
      <c r="CG606" s="4"/>
      <c r="CH606" s="4"/>
      <c r="CI606" s="4"/>
    </row>
    <row r="607" ht="14.25" customHeight="1" spans="1:87" x14ac:dyDescent="0.25">
      <c r="A607" s="4"/>
      <c r="B607" s="4"/>
      <c r="C607" s="4"/>
      <c r="D607" s="4"/>
      <c r="E607" s="4"/>
      <c r="F607" s="4"/>
      <c r="G607" s="4"/>
      <c r="H607" s="4"/>
      <c r="I607" s="4"/>
      <c r="J607" s="4"/>
      <c r="K607" s="242"/>
      <c r="L607" s="4"/>
      <c r="M607" s="4"/>
      <c r="N607" s="4"/>
      <c r="O607" s="4"/>
      <c r="P607" s="4"/>
      <c r="Q607" s="4"/>
      <c r="R607" s="4"/>
      <c r="S607" s="4"/>
      <c r="T607" s="4"/>
      <c r="U607" s="4"/>
      <c r="V607" s="4"/>
      <c r="W607" s="4"/>
      <c r="X607" s="4"/>
      <c r="Y607" s="4"/>
      <c r="Z607" s="4"/>
      <c r="AA607" s="4"/>
      <c r="AB607" s="4"/>
      <c r="AC607" s="4"/>
      <c r="AD607" s="4"/>
      <c r="AE607" s="4"/>
      <c r="AF607" s="4"/>
      <c r="AG607" s="4"/>
      <c r="AH607" s="4"/>
      <c r="AI607" s="4"/>
      <c r="AJ607" s="4"/>
      <c r="AK607" s="4"/>
      <c r="AL607" s="4"/>
      <c r="AM607" s="4"/>
      <c r="AN607" s="4"/>
      <c r="AO607" s="4"/>
      <c r="AP607" s="4"/>
      <c r="AQ607" s="4"/>
      <c r="AR607" s="4"/>
      <c r="AS607" s="4"/>
      <c r="AT607" s="4"/>
      <c r="AU607" s="4"/>
      <c r="AV607" s="4"/>
      <c r="AW607" s="4"/>
      <c r="AX607" s="4"/>
      <c r="AY607" s="4"/>
      <c r="AZ607" s="4"/>
      <c r="BA607" s="4"/>
      <c r="BB607" s="4"/>
      <c r="BC607" s="4"/>
      <c r="BD607" s="4"/>
      <c r="BE607" s="4"/>
      <c r="BF607" s="4"/>
      <c r="BG607" s="4"/>
      <c r="BH607" s="4"/>
      <c r="BI607" s="4"/>
      <c r="BJ607" s="4"/>
      <c r="BK607" s="4"/>
      <c r="BL607" s="4"/>
      <c r="BM607" s="4"/>
      <c r="BN607" s="4"/>
      <c r="BO607" s="4"/>
      <c r="BP607" s="4"/>
      <c r="BQ607" s="4"/>
      <c r="BR607" s="4"/>
      <c r="BS607" s="4"/>
      <c r="BT607" s="4"/>
      <c r="BU607" s="4"/>
      <c r="BV607" s="4"/>
      <c r="BW607" s="4"/>
      <c r="BX607" s="4"/>
      <c r="BY607" s="4"/>
      <c r="BZ607" s="4"/>
      <c r="CA607" s="4"/>
      <c r="CB607" s="4"/>
      <c r="CC607" s="4"/>
      <c r="CD607" s="4"/>
      <c r="CE607" s="4"/>
      <c r="CF607" s="4"/>
      <c r="CG607" s="4"/>
      <c r="CH607" s="4"/>
      <c r="CI607" s="4"/>
    </row>
    <row r="608" ht="14.25" customHeight="1" spans="1:87" x14ac:dyDescent="0.25">
      <c r="A608" s="4"/>
      <c r="B608" s="4"/>
      <c r="C608" s="4"/>
      <c r="D608" s="4"/>
      <c r="E608" s="4"/>
      <c r="F608" s="4"/>
      <c r="G608" s="4"/>
      <c r="H608" s="4"/>
      <c r="I608" s="4"/>
      <c r="J608" s="4"/>
      <c r="K608" s="242"/>
      <c r="L608" s="4"/>
      <c r="M608" s="4"/>
      <c r="N608" s="4"/>
      <c r="O608" s="4"/>
      <c r="P608" s="4"/>
      <c r="Q608" s="4"/>
      <c r="R608" s="4"/>
      <c r="S608" s="4"/>
      <c r="T608" s="4"/>
      <c r="U608" s="4"/>
      <c r="V608" s="4"/>
      <c r="W608" s="4"/>
      <c r="X608" s="4"/>
      <c r="Y608" s="4"/>
      <c r="Z608" s="4"/>
      <c r="AA608" s="4"/>
      <c r="AB608" s="4"/>
      <c r="AC608" s="4"/>
      <c r="AD608" s="4"/>
      <c r="AE608" s="4"/>
      <c r="AF608" s="4"/>
      <c r="AG608" s="4"/>
      <c r="AH608" s="4"/>
      <c r="AI608" s="4"/>
      <c r="AJ608" s="4"/>
      <c r="AK608" s="4"/>
      <c r="AL608" s="4"/>
      <c r="AM608" s="4"/>
      <c r="AN608" s="4"/>
      <c r="AO608" s="4"/>
      <c r="AP608" s="4"/>
      <c r="AQ608" s="4"/>
      <c r="AR608" s="4"/>
      <c r="AS608" s="4"/>
      <c r="AT608" s="4"/>
      <c r="AU608" s="4"/>
      <c r="AV608" s="4"/>
      <c r="AW608" s="4"/>
      <c r="AX608" s="4"/>
      <c r="AY608" s="4"/>
      <c r="AZ608" s="4"/>
      <c r="BA608" s="4"/>
      <c r="BB608" s="4"/>
      <c r="BC608" s="4"/>
      <c r="BD608" s="4"/>
      <c r="BE608" s="4"/>
      <c r="BF608" s="4"/>
      <c r="BG608" s="4"/>
      <c r="BH608" s="4"/>
      <c r="BI608" s="4"/>
      <c r="BJ608" s="4"/>
      <c r="BK608" s="4"/>
      <c r="BL608" s="4"/>
      <c r="BM608" s="4"/>
      <c r="BN608" s="4"/>
      <c r="BO608" s="4"/>
      <c r="BP608" s="4"/>
      <c r="BQ608" s="4"/>
      <c r="BR608" s="4"/>
      <c r="BS608" s="4"/>
      <c r="BT608" s="4"/>
      <c r="BU608" s="4"/>
      <c r="BV608" s="4"/>
      <c r="BW608" s="4"/>
      <c r="BX608" s="4"/>
      <c r="BY608" s="4"/>
      <c r="BZ608" s="4"/>
      <c r="CA608" s="4"/>
      <c r="CB608" s="4"/>
      <c r="CC608" s="4"/>
      <c r="CD608" s="4"/>
      <c r="CE608" s="4"/>
      <c r="CF608" s="4"/>
      <c r="CG608" s="4"/>
      <c r="CH608" s="4"/>
      <c r="CI608" s="4"/>
    </row>
    <row r="609" ht="14.25" customHeight="1" spans="1:87" x14ac:dyDescent="0.25">
      <c r="A609" s="4"/>
      <c r="B609" s="4"/>
      <c r="C609" s="4"/>
      <c r="D609" s="4"/>
      <c r="E609" s="4"/>
      <c r="F609" s="4"/>
      <c r="G609" s="4"/>
      <c r="H609" s="4"/>
      <c r="I609" s="4"/>
      <c r="J609" s="4"/>
      <c r="K609" s="242"/>
      <c r="L609" s="4"/>
      <c r="M609" s="4"/>
      <c r="N609" s="4"/>
      <c r="O609" s="4"/>
      <c r="P609" s="4"/>
      <c r="Q609" s="4"/>
      <c r="R609" s="4"/>
      <c r="S609" s="4"/>
      <c r="T609" s="4"/>
      <c r="U609" s="4"/>
      <c r="V609" s="4"/>
      <c r="W609" s="4"/>
      <c r="X609" s="4"/>
      <c r="Y609" s="4"/>
      <c r="Z609" s="4"/>
      <c r="AA609" s="4"/>
      <c r="AB609" s="4"/>
      <c r="AC609" s="4"/>
      <c r="AD609" s="4"/>
      <c r="AE609" s="4"/>
      <c r="AF609" s="4"/>
      <c r="AG609" s="4"/>
      <c r="AH609" s="4"/>
      <c r="AI609" s="4"/>
      <c r="AJ609" s="4"/>
      <c r="AK609" s="4"/>
      <c r="AL609" s="4"/>
      <c r="AM609" s="4"/>
      <c r="AN609" s="4"/>
      <c r="AO609" s="4"/>
      <c r="AP609" s="4"/>
      <c r="AQ609" s="4"/>
      <c r="AR609" s="4"/>
      <c r="AS609" s="4"/>
      <c r="AT609" s="4"/>
      <c r="AU609" s="4"/>
      <c r="AV609" s="4"/>
      <c r="AW609" s="4"/>
      <c r="AX609" s="4"/>
      <c r="AY609" s="4"/>
      <c r="AZ609" s="4"/>
      <c r="BA609" s="4"/>
      <c r="BB609" s="4"/>
      <c r="BC609" s="4"/>
      <c r="BD609" s="4"/>
      <c r="BE609" s="4"/>
      <c r="BF609" s="4"/>
      <c r="BG609" s="4"/>
      <c r="BH609" s="4"/>
      <c r="BI609" s="4"/>
      <c r="BJ609" s="4"/>
      <c r="BK609" s="4"/>
      <c r="BL609" s="4"/>
      <c r="BM609" s="4"/>
      <c r="BN609" s="4"/>
      <c r="BO609" s="4"/>
      <c r="BP609" s="4"/>
      <c r="BQ609" s="4"/>
      <c r="BR609" s="4"/>
      <c r="BS609" s="4"/>
      <c r="BT609" s="4"/>
      <c r="BU609" s="4"/>
      <c r="BV609" s="4"/>
      <c r="BW609" s="4"/>
      <c r="BX609" s="4"/>
      <c r="BY609" s="4"/>
      <c r="BZ609" s="4"/>
      <c r="CA609" s="4"/>
      <c r="CB609" s="4"/>
      <c r="CC609" s="4"/>
      <c r="CD609" s="4"/>
      <c r="CE609" s="4"/>
      <c r="CF609" s="4"/>
      <c r="CG609" s="4"/>
      <c r="CH609" s="4"/>
      <c r="CI609" s="4"/>
    </row>
    <row r="610" ht="14.25" customHeight="1" spans="1:87" x14ac:dyDescent="0.25">
      <c r="A610" s="4"/>
      <c r="B610" s="4"/>
      <c r="C610" s="4"/>
      <c r="D610" s="4"/>
      <c r="E610" s="4"/>
      <c r="F610" s="4"/>
      <c r="G610" s="4"/>
      <c r="H610" s="4"/>
      <c r="I610" s="4"/>
      <c r="J610" s="4"/>
      <c r="K610" s="242"/>
      <c r="L610" s="4"/>
      <c r="M610" s="4"/>
      <c r="N610" s="4"/>
      <c r="O610" s="4"/>
      <c r="P610" s="4"/>
      <c r="Q610" s="4"/>
      <c r="R610" s="4"/>
      <c r="S610" s="4"/>
      <c r="T610" s="4"/>
      <c r="U610" s="4"/>
      <c r="V610" s="4"/>
      <c r="W610" s="4"/>
      <c r="X610" s="4"/>
      <c r="Y610" s="4"/>
      <c r="Z610" s="4"/>
      <c r="AA610" s="4"/>
      <c r="AB610" s="4"/>
      <c r="AC610" s="4"/>
      <c r="AD610" s="4"/>
      <c r="AE610" s="4"/>
      <c r="AF610" s="4"/>
      <c r="AG610" s="4"/>
      <c r="AH610" s="4"/>
      <c r="AI610" s="4"/>
      <c r="AJ610" s="4"/>
      <c r="AK610" s="4"/>
      <c r="AL610" s="4"/>
      <c r="AM610" s="4"/>
      <c r="AN610" s="4"/>
      <c r="AO610" s="4"/>
      <c r="AP610" s="4"/>
      <c r="AQ610" s="4"/>
      <c r="AR610" s="4"/>
      <c r="AS610" s="4"/>
      <c r="AT610" s="4"/>
      <c r="AU610" s="4"/>
      <c r="AV610" s="4"/>
      <c r="AW610" s="4"/>
      <c r="AX610" s="4"/>
      <c r="AY610" s="4"/>
      <c r="AZ610" s="4"/>
      <c r="BA610" s="4"/>
      <c r="BB610" s="4"/>
      <c r="BC610" s="4"/>
      <c r="BD610" s="4"/>
      <c r="BE610" s="4"/>
      <c r="BF610" s="4"/>
      <c r="BG610" s="4"/>
      <c r="BH610" s="4"/>
      <c r="BI610" s="4"/>
      <c r="BJ610" s="4"/>
      <c r="BK610" s="4"/>
      <c r="BL610" s="4"/>
      <c r="BM610" s="4"/>
      <c r="BN610" s="4"/>
      <c r="BO610" s="4"/>
      <c r="BP610" s="4"/>
      <c r="BQ610" s="4"/>
      <c r="BR610" s="4"/>
      <c r="BS610" s="4"/>
      <c r="BT610" s="4"/>
      <c r="BU610" s="4"/>
      <c r="BV610" s="4"/>
      <c r="BW610" s="4"/>
      <c r="BX610" s="4"/>
      <c r="BY610" s="4"/>
      <c r="BZ610" s="4"/>
      <c r="CA610" s="4"/>
      <c r="CB610" s="4"/>
      <c r="CC610" s="4"/>
      <c r="CD610" s="4"/>
      <c r="CE610" s="4"/>
      <c r="CF610" s="4"/>
      <c r="CG610" s="4"/>
      <c r="CH610" s="4"/>
      <c r="CI610" s="4"/>
    </row>
    <row r="611" ht="14.25" customHeight="1" spans="1:87" x14ac:dyDescent="0.25">
      <c r="A611" s="4"/>
      <c r="B611" s="4"/>
      <c r="C611" s="4"/>
      <c r="D611" s="4"/>
      <c r="E611" s="4"/>
      <c r="F611" s="4"/>
      <c r="G611" s="4"/>
      <c r="H611" s="4"/>
      <c r="I611" s="4"/>
      <c r="J611" s="4"/>
      <c r="K611" s="242"/>
      <c r="L611" s="4"/>
      <c r="M611" s="4"/>
      <c r="N611" s="4"/>
      <c r="O611" s="4"/>
      <c r="P611" s="4"/>
      <c r="Q611" s="4"/>
      <c r="R611" s="4"/>
      <c r="S611" s="4"/>
      <c r="T611" s="4"/>
      <c r="U611" s="4"/>
      <c r="V611" s="4"/>
      <c r="W611" s="4"/>
      <c r="X611" s="4"/>
      <c r="Y611" s="4"/>
      <c r="Z611" s="4"/>
      <c r="AA611" s="4"/>
      <c r="AB611" s="4"/>
      <c r="AC611" s="4"/>
      <c r="AD611" s="4"/>
      <c r="AE611" s="4"/>
      <c r="AF611" s="4"/>
      <c r="AG611" s="4"/>
      <c r="AH611" s="4"/>
      <c r="AI611" s="4"/>
      <c r="AJ611" s="4"/>
      <c r="AK611" s="4"/>
      <c r="AL611" s="4"/>
      <c r="AM611" s="4"/>
      <c r="AN611" s="4"/>
      <c r="AO611" s="4"/>
      <c r="AP611" s="4"/>
      <c r="AQ611" s="4"/>
      <c r="AR611" s="4"/>
      <c r="AS611" s="4"/>
      <c r="AT611" s="4"/>
      <c r="AU611" s="4"/>
      <c r="AV611" s="4"/>
      <c r="AW611" s="4"/>
      <c r="AX611" s="4"/>
      <c r="AY611" s="4"/>
      <c r="AZ611" s="4"/>
      <c r="BA611" s="4"/>
      <c r="BB611" s="4"/>
      <c r="BC611" s="4"/>
      <c r="BD611" s="4"/>
      <c r="BE611" s="4"/>
      <c r="BF611" s="4"/>
      <c r="BG611" s="4"/>
      <c r="BH611" s="4"/>
      <c r="BI611" s="4"/>
      <c r="BJ611" s="4"/>
      <c r="BK611" s="4"/>
      <c r="BL611" s="4"/>
      <c r="BM611" s="4"/>
      <c r="BN611" s="4"/>
      <c r="BO611" s="4"/>
      <c r="BP611" s="4"/>
      <c r="BQ611" s="4"/>
      <c r="BR611" s="4"/>
      <c r="BS611" s="4"/>
      <c r="BT611" s="4"/>
      <c r="BU611" s="4"/>
      <c r="BV611" s="4"/>
      <c r="BW611" s="4"/>
      <c r="BX611" s="4"/>
      <c r="BY611" s="4"/>
      <c r="BZ611" s="4"/>
      <c r="CA611" s="4"/>
      <c r="CB611" s="4"/>
      <c r="CC611" s="4"/>
      <c r="CD611" s="4"/>
      <c r="CE611" s="4"/>
      <c r="CF611" s="4"/>
      <c r="CG611" s="4"/>
      <c r="CH611" s="4"/>
      <c r="CI611" s="4"/>
    </row>
    <row r="612" ht="14.25" customHeight="1" spans="1:87" x14ac:dyDescent="0.25">
      <c r="A612" s="4"/>
      <c r="B612" s="4"/>
      <c r="C612" s="4"/>
      <c r="D612" s="4"/>
      <c r="E612" s="4"/>
      <c r="F612" s="4"/>
      <c r="G612" s="4"/>
      <c r="H612" s="4"/>
      <c r="I612" s="4"/>
      <c r="J612" s="4"/>
      <c r="K612" s="242"/>
      <c r="L612" s="4"/>
      <c r="M612" s="4"/>
      <c r="N612" s="4"/>
      <c r="O612" s="4"/>
      <c r="P612" s="4"/>
      <c r="Q612" s="4"/>
      <c r="R612" s="4"/>
      <c r="S612" s="4"/>
      <c r="T612" s="4"/>
      <c r="U612" s="4"/>
      <c r="V612" s="4"/>
      <c r="W612" s="4"/>
      <c r="X612" s="4"/>
      <c r="Y612" s="4"/>
      <c r="Z612" s="4"/>
      <c r="AA612" s="4"/>
      <c r="AB612" s="4"/>
      <c r="AC612" s="4"/>
      <c r="AD612" s="4"/>
      <c r="AE612" s="4"/>
      <c r="AF612" s="4"/>
      <c r="AG612" s="4"/>
      <c r="AH612" s="4"/>
      <c r="AI612" s="4"/>
      <c r="AJ612" s="4"/>
      <c r="AK612" s="4"/>
      <c r="AL612" s="4"/>
      <c r="AM612" s="4"/>
      <c r="AN612" s="4"/>
      <c r="AO612" s="4"/>
      <c r="AP612" s="4"/>
      <c r="AQ612" s="4"/>
      <c r="AR612" s="4"/>
      <c r="AS612" s="4"/>
      <c r="AT612" s="4"/>
      <c r="AU612" s="4"/>
      <c r="AV612" s="4"/>
      <c r="AW612" s="4"/>
      <c r="AX612" s="4"/>
      <c r="AY612" s="4"/>
      <c r="AZ612" s="4"/>
      <c r="BA612" s="4"/>
      <c r="BB612" s="4"/>
      <c r="BC612" s="4"/>
      <c r="BD612" s="4"/>
      <c r="BE612" s="4"/>
      <c r="BF612" s="4"/>
      <c r="BG612" s="4"/>
      <c r="BH612" s="4"/>
      <c r="BI612" s="4"/>
      <c r="BJ612" s="4"/>
      <c r="BK612" s="4"/>
      <c r="BL612" s="4"/>
      <c r="BM612" s="4"/>
      <c r="BN612" s="4"/>
      <c r="BO612" s="4"/>
      <c r="BP612" s="4"/>
      <c r="BQ612" s="4"/>
      <c r="BR612" s="4"/>
      <c r="BS612" s="4"/>
      <c r="BT612" s="4"/>
      <c r="BU612" s="4"/>
      <c r="BV612" s="4"/>
      <c r="BW612" s="4"/>
      <c r="BX612" s="4"/>
      <c r="BY612" s="4"/>
      <c r="BZ612" s="4"/>
      <c r="CA612" s="4"/>
      <c r="CB612" s="4"/>
      <c r="CC612" s="4"/>
      <c r="CD612" s="4"/>
      <c r="CE612" s="4"/>
      <c r="CF612" s="4"/>
      <c r="CG612" s="4"/>
      <c r="CH612" s="4"/>
      <c r="CI612" s="4"/>
    </row>
    <row r="613" ht="14.25" customHeight="1" spans="1:87" x14ac:dyDescent="0.25">
      <c r="A613" s="4"/>
      <c r="B613" s="4"/>
      <c r="C613" s="4"/>
      <c r="D613" s="4"/>
      <c r="E613" s="4"/>
      <c r="F613" s="4"/>
      <c r="G613" s="4"/>
      <c r="H613" s="4"/>
      <c r="I613" s="4"/>
      <c r="J613" s="4"/>
      <c r="K613" s="242"/>
      <c r="L613" s="4"/>
      <c r="M613" s="4"/>
      <c r="N613" s="4"/>
      <c r="O613" s="4"/>
      <c r="P613" s="4"/>
      <c r="Q613" s="4"/>
      <c r="R613" s="4"/>
      <c r="S613" s="4"/>
      <c r="T613" s="4"/>
      <c r="U613" s="4"/>
      <c r="V613" s="4"/>
      <c r="W613" s="4"/>
      <c r="X613" s="4"/>
      <c r="Y613" s="4"/>
      <c r="Z613" s="4"/>
      <c r="AA613" s="4"/>
      <c r="AB613" s="4"/>
      <c r="AC613" s="4"/>
      <c r="AD613" s="4"/>
      <c r="AE613" s="4"/>
      <c r="AF613" s="4"/>
      <c r="AG613" s="4"/>
      <c r="AH613" s="4"/>
      <c r="AI613" s="4"/>
      <c r="AJ613" s="4"/>
      <c r="AK613" s="4"/>
      <c r="AL613" s="4"/>
      <c r="AM613" s="4"/>
      <c r="AN613" s="4"/>
      <c r="AO613" s="4"/>
      <c r="AP613" s="4"/>
      <c r="AQ613" s="4"/>
      <c r="AR613" s="4"/>
      <c r="AS613" s="4"/>
      <c r="AT613" s="4"/>
      <c r="AU613" s="4"/>
      <c r="AV613" s="4"/>
      <c r="AW613" s="4"/>
      <c r="AX613" s="4"/>
      <c r="AY613" s="4"/>
      <c r="AZ613" s="4"/>
      <c r="BA613" s="4"/>
      <c r="BB613" s="4"/>
      <c r="BC613" s="4"/>
      <c r="BD613" s="4"/>
      <c r="BE613" s="4"/>
      <c r="BF613" s="4"/>
      <c r="BG613" s="4"/>
      <c r="BH613" s="4"/>
      <c r="BI613" s="4"/>
      <c r="BJ613" s="4"/>
      <c r="BK613" s="4"/>
      <c r="BL613" s="4"/>
      <c r="BM613" s="4"/>
      <c r="BN613" s="4"/>
      <c r="BO613" s="4"/>
      <c r="BP613" s="4"/>
      <c r="BQ613" s="4"/>
      <c r="BR613" s="4"/>
      <c r="BS613" s="4"/>
      <c r="BT613" s="4"/>
      <c r="BU613" s="4"/>
      <c r="BV613" s="4"/>
      <c r="BW613" s="4"/>
      <c r="BX613" s="4"/>
      <c r="BY613" s="4"/>
      <c r="BZ613" s="4"/>
      <c r="CA613" s="4"/>
      <c r="CB613" s="4"/>
      <c r="CC613" s="4"/>
      <c r="CD613" s="4"/>
      <c r="CE613" s="4"/>
      <c r="CF613" s="4"/>
      <c r="CG613" s="4"/>
      <c r="CH613" s="4"/>
      <c r="CI613" s="4"/>
    </row>
    <row r="614" ht="14.25" customHeight="1" spans="1:87" x14ac:dyDescent="0.25">
      <c r="A614" s="4"/>
      <c r="B614" s="4"/>
      <c r="C614" s="4"/>
      <c r="D614" s="4"/>
      <c r="E614" s="4"/>
      <c r="F614" s="4"/>
      <c r="G614" s="4"/>
      <c r="H614" s="4"/>
      <c r="I614" s="4"/>
      <c r="J614" s="4"/>
      <c r="K614" s="242"/>
      <c r="L614" s="4"/>
      <c r="M614" s="4"/>
      <c r="N614" s="4"/>
      <c r="O614" s="4"/>
      <c r="P614" s="4"/>
      <c r="Q614" s="4"/>
      <c r="R614" s="4"/>
      <c r="S614" s="4"/>
      <c r="T614" s="4"/>
      <c r="U614" s="4"/>
      <c r="V614" s="4"/>
      <c r="W614" s="4"/>
      <c r="X614" s="4"/>
      <c r="Y614" s="4"/>
      <c r="Z614" s="4"/>
      <c r="AA614" s="4"/>
      <c r="AB614" s="4"/>
      <c r="AC614" s="4"/>
      <c r="AD614" s="4"/>
      <c r="AE614" s="4"/>
      <c r="AF614" s="4"/>
      <c r="AG614" s="4"/>
      <c r="AH614" s="4"/>
      <c r="AI614" s="4"/>
      <c r="AJ614" s="4"/>
      <c r="AK614" s="4"/>
      <c r="AL614" s="4"/>
      <c r="AM614" s="4"/>
      <c r="AN614" s="4"/>
      <c r="AO614" s="4"/>
      <c r="AP614" s="4"/>
      <c r="AQ614" s="4"/>
      <c r="AR614" s="4"/>
      <c r="AS614" s="4"/>
      <c r="AT614" s="4"/>
      <c r="AU614" s="4"/>
      <c r="AV614" s="4"/>
      <c r="AW614" s="4"/>
      <c r="AX614" s="4"/>
      <c r="AY614" s="4"/>
      <c r="AZ614" s="4"/>
      <c r="BA614" s="4"/>
      <c r="BB614" s="4"/>
      <c r="BC614" s="4"/>
      <c r="BD614" s="4"/>
      <c r="BE614" s="4"/>
      <c r="BF614" s="4"/>
      <c r="BG614" s="4"/>
      <c r="BH614" s="4"/>
      <c r="BI614" s="4"/>
      <c r="BJ614" s="4"/>
      <c r="BK614" s="4"/>
      <c r="BL614" s="4"/>
      <c r="BM614" s="4"/>
      <c r="BN614" s="4"/>
      <c r="BO614" s="4"/>
      <c r="BP614" s="4"/>
      <c r="BQ614" s="4"/>
      <c r="BR614" s="4"/>
      <c r="BS614" s="4"/>
      <c r="BT614" s="4"/>
      <c r="BU614" s="4"/>
      <c r="BV614" s="4"/>
      <c r="BW614" s="4"/>
      <c r="BX614" s="4"/>
      <c r="BY614" s="4"/>
      <c r="BZ614" s="4"/>
      <c r="CA614" s="4"/>
      <c r="CB614" s="4"/>
      <c r="CC614" s="4"/>
      <c r="CD614" s="4"/>
      <c r="CE614" s="4"/>
      <c r="CF614" s="4"/>
      <c r="CG614" s="4"/>
      <c r="CH614" s="4"/>
      <c r="CI614" s="4"/>
    </row>
    <row r="615" ht="14.25" customHeight="1" spans="1:87" x14ac:dyDescent="0.25">
      <c r="A615" s="4"/>
      <c r="B615" s="4"/>
      <c r="C615" s="4"/>
      <c r="D615" s="4"/>
      <c r="E615" s="4"/>
      <c r="F615" s="4"/>
      <c r="G615" s="4"/>
      <c r="H615" s="4"/>
      <c r="I615" s="4"/>
      <c r="J615" s="4"/>
      <c r="K615" s="242"/>
      <c r="L615" s="4"/>
      <c r="M615" s="4"/>
      <c r="N615" s="4"/>
      <c r="O615" s="4"/>
      <c r="P615" s="4"/>
      <c r="Q615" s="4"/>
      <c r="R615" s="4"/>
      <c r="S615" s="4"/>
      <c r="T615" s="4"/>
      <c r="U615" s="4"/>
      <c r="V615" s="4"/>
      <c r="W615" s="4"/>
      <c r="X615" s="4"/>
      <c r="Y615" s="4"/>
      <c r="Z615" s="4"/>
      <c r="AA615" s="4"/>
      <c r="AB615" s="4"/>
      <c r="AC615" s="4"/>
      <c r="AD615" s="4"/>
      <c r="AE615" s="4"/>
      <c r="AF615" s="4"/>
      <c r="AG615" s="4"/>
      <c r="AH615" s="4"/>
      <c r="AI615" s="4"/>
      <c r="AJ615" s="4"/>
      <c r="AK615" s="4"/>
      <c r="AL615" s="4"/>
      <c r="AM615" s="4"/>
      <c r="AN615" s="4"/>
      <c r="AO615" s="4"/>
      <c r="AP615" s="4"/>
      <c r="AQ615" s="4"/>
      <c r="AR615" s="4"/>
      <c r="AS615" s="4"/>
      <c r="AT615" s="4"/>
      <c r="AU615" s="4"/>
      <c r="AV615" s="4"/>
      <c r="AW615" s="4"/>
      <c r="AX615" s="4"/>
      <c r="AY615" s="4"/>
      <c r="AZ615" s="4"/>
      <c r="BA615" s="4"/>
      <c r="BB615" s="4"/>
      <c r="BC615" s="4"/>
      <c r="BD615" s="4"/>
      <c r="BE615" s="4"/>
      <c r="BF615" s="4"/>
      <c r="BG615" s="4"/>
      <c r="BH615" s="4"/>
      <c r="BI615" s="4"/>
      <c r="BJ615" s="4"/>
      <c r="BK615" s="4"/>
      <c r="BL615" s="4"/>
      <c r="BM615" s="4"/>
      <c r="BN615" s="4"/>
      <c r="BO615" s="4"/>
      <c r="BP615" s="4"/>
      <c r="BQ615" s="4"/>
      <c r="BR615" s="4"/>
      <c r="BS615" s="4"/>
      <c r="BT615" s="4"/>
      <c r="BU615" s="4"/>
      <c r="BV615" s="4"/>
      <c r="BW615" s="4"/>
      <c r="BX615" s="4"/>
      <c r="BY615" s="4"/>
      <c r="BZ615" s="4"/>
      <c r="CA615" s="4"/>
      <c r="CB615" s="4"/>
      <c r="CC615" s="4"/>
      <c r="CD615" s="4"/>
      <c r="CE615" s="4"/>
      <c r="CF615" s="4"/>
      <c r="CG615" s="4"/>
      <c r="CH615" s="4"/>
      <c r="CI615" s="4"/>
    </row>
    <row r="616" ht="14.25" customHeight="1" spans="1:87" x14ac:dyDescent="0.25">
      <c r="A616" s="4"/>
      <c r="B616" s="4"/>
      <c r="C616" s="4"/>
      <c r="D616" s="4"/>
      <c r="E616" s="4"/>
      <c r="F616" s="4"/>
      <c r="G616" s="4"/>
      <c r="H616" s="4"/>
      <c r="I616" s="4"/>
      <c r="J616" s="4"/>
      <c r="K616" s="242"/>
      <c r="L616" s="4"/>
      <c r="M616" s="4"/>
      <c r="N616" s="4"/>
      <c r="O616" s="4"/>
      <c r="P616" s="4"/>
      <c r="Q616" s="4"/>
      <c r="R616" s="4"/>
      <c r="S616" s="4"/>
      <c r="T616" s="4"/>
      <c r="U616" s="4"/>
      <c r="V616" s="4"/>
      <c r="W616" s="4"/>
      <c r="X616" s="4"/>
      <c r="Y616" s="4"/>
      <c r="Z616" s="4"/>
      <c r="AA616" s="4"/>
      <c r="AB616" s="4"/>
      <c r="AC616" s="4"/>
      <c r="AD616" s="4"/>
      <c r="AE616" s="4"/>
      <c r="AF616" s="4"/>
      <c r="AG616" s="4"/>
      <c r="AH616" s="4"/>
      <c r="AI616" s="4"/>
      <c r="AJ616" s="4"/>
      <c r="AK616" s="4"/>
      <c r="AL616" s="4"/>
      <c r="AM616" s="4"/>
      <c r="AN616" s="4"/>
      <c r="AO616" s="4"/>
      <c r="AP616" s="4"/>
      <c r="AQ616" s="4"/>
      <c r="AR616" s="4"/>
      <c r="AS616" s="4"/>
      <c r="AT616" s="4"/>
      <c r="AU616" s="4"/>
      <c r="AV616" s="4"/>
      <c r="AW616" s="4"/>
      <c r="AX616" s="4"/>
      <c r="AY616" s="4"/>
      <c r="AZ616" s="4"/>
      <c r="BA616" s="4"/>
      <c r="BB616" s="4"/>
      <c r="BC616" s="4"/>
      <c r="BD616" s="4"/>
      <c r="BE616" s="4"/>
      <c r="BF616" s="4"/>
      <c r="BG616" s="4"/>
      <c r="BH616" s="4"/>
      <c r="BI616" s="4"/>
      <c r="BJ616" s="4"/>
      <c r="BK616" s="4"/>
      <c r="BL616" s="4"/>
      <c r="BM616" s="4"/>
      <c r="BN616" s="4"/>
      <c r="BO616" s="4"/>
      <c r="BP616" s="4"/>
      <c r="BQ616" s="4"/>
      <c r="BR616" s="4"/>
      <c r="BS616" s="4"/>
      <c r="BT616" s="4"/>
      <c r="BU616" s="4"/>
      <c r="BV616" s="4"/>
      <c r="BW616" s="4"/>
      <c r="BX616" s="4"/>
      <c r="BY616" s="4"/>
      <c r="BZ616" s="4"/>
      <c r="CA616" s="4"/>
      <c r="CB616" s="4"/>
      <c r="CC616" s="4"/>
      <c r="CD616" s="4"/>
      <c r="CE616" s="4"/>
      <c r="CF616" s="4"/>
      <c r="CG616" s="4"/>
      <c r="CH616" s="4"/>
      <c r="CI616" s="4"/>
    </row>
    <row r="617" ht="14.25" customHeight="1" spans="1:87" x14ac:dyDescent="0.25">
      <c r="A617" s="4"/>
      <c r="B617" s="4"/>
      <c r="C617" s="4"/>
      <c r="D617" s="4"/>
      <c r="E617" s="4"/>
      <c r="F617" s="4"/>
      <c r="G617" s="4"/>
      <c r="H617" s="4"/>
      <c r="I617" s="4"/>
      <c r="J617" s="4"/>
      <c r="K617" s="242"/>
      <c r="L617" s="4"/>
      <c r="M617" s="4"/>
      <c r="N617" s="4"/>
      <c r="O617" s="4"/>
      <c r="P617" s="4"/>
      <c r="Q617" s="4"/>
      <c r="R617" s="4"/>
      <c r="S617" s="4"/>
      <c r="T617" s="4"/>
      <c r="U617" s="4"/>
      <c r="V617" s="4"/>
      <c r="W617" s="4"/>
      <c r="X617" s="4"/>
      <c r="Y617" s="4"/>
      <c r="Z617" s="4"/>
      <c r="AA617" s="4"/>
      <c r="AB617" s="4"/>
      <c r="AC617" s="4"/>
      <c r="AD617" s="4"/>
      <c r="AE617" s="4"/>
      <c r="AF617" s="4"/>
      <c r="AG617" s="4"/>
      <c r="AH617" s="4"/>
      <c r="AI617" s="4"/>
      <c r="AJ617" s="4"/>
      <c r="AK617" s="4"/>
      <c r="AL617" s="4"/>
      <c r="AM617" s="4"/>
      <c r="AN617" s="4"/>
      <c r="AO617" s="4"/>
      <c r="AP617" s="4"/>
      <c r="AQ617" s="4"/>
      <c r="AR617" s="4"/>
      <c r="AS617" s="4"/>
      <c r="AT617" s="4"/>
      <c r="AU617" s="4"/>
      <c r="AV617" s="4"/>
      <c r="AW617" s="4"/>
      <c r="AX617" s="4"/>
      <c r="AY617" s="4"/>
      <c r="AZ617" s="4"/>
      <c r="BA617" s="4"/>
      <c r="BB617" s="4"/>
      <c r="BC617" s="4"/>
      <c r="BD617" s="4"/>
      <c r="BE617" s="4"/>
      <c r="BF617" s="4"/>
      <c r="BG617" s="4"/>
      <c r="BH617" s="4"/>
      <c r="BI617" s="4"/>
      <c r="BJ617" s="4"/>
      <c r="BK617" s="4"/>
      <c r="BL617" s="4"/>
      <c r="BM617" s="4"/>
      <c r="BN617" s="4"/>
      <c r="BO617" s="4"/>
      <c r="BP617" s="4"/>
      <c r="BQ617" s="4"/>
      <c r="BR617" s="4"/>
      <c r="BS617" s="4"/>
      <c r="BT617" s="4"/>
      <c r="BU617" s="4"/>
      <c r="BV617" s="4"/>
      <c r="BW617" s="4"/>
      <c r="BX617" s="4"/>
      <c r="BY617" s="4"/>
      <c r="BZ617" s="4"/>
      <c r="CA617" s="4"/>
      <c r="CB617" s="4"/>
      <c r="CC617" s="4"/>
      <c r="CD617" s="4"/>
      <c r="CE617" s="4"/>
      <c r="CF617" s="4"/>
      <c r="CG617" s="4"/>
      <c r="CH617" s="4"/>
      <c r="CI617" s="4"/>
    </row>
    <row r="618" ht="14.25" customHeight="1" spans="1:87" x14ac:dyDescent="0.25">
      <c r="A618" s="4"/>
      <c r="B618" s="4"/>
      <c r="C618" s="4"/>
      <c r="D618" s="4"/>
      <c r="E618" s="4"/>
      <c r="F618" s="4"/>
      <c r="G618" s="4"/>
      <c r="H618" s="4"/>
      <c r="I618" s="4"/>
      <c r="J618" s="4"/>
      <c r="K618" s="242"/>
      <c r="L618" s="4"/>
      <c r="M618" s="4"/>
      <c r="N618" s="4"/>
      <c r="O618" s="4"/>
      <c r="P618" s="4"/>
      <c r="Q618" s="4"/>
      <c r="R618" s="4"/>
      <c r="S618" s="4"/>
      <c r="T618" s="4"/>
      <c r="U618" s="4"/>
      <c r="V618" s="4"/>
      <c r="W618" s="4"/>
      <c r="X618" s="4"/>
      <c r="Y618" s="4"/>
      <c r="Z618" s="4"/>
      <c r="AA618" s="4"/>
      <c r="AB618" s="4"/>
      <c r="AC618" s="4"/>
      <c r="AD618" s="4"/>
      <c r="AE618" s="4"/>
      <c r="AF618" s="4"/>
      <c r="AG618" s="4"/>
      <c r="AH618" s="4"/>
      <c r="AI618" s="4"/>
      <c r="AJ618" s="4"/>
      <c r="AK618" s="4"/>
      <c r="AL618" s="4"/>
      <c r="AM618" s="4"/>
      <c r="AN618" s="4"/>
      <c r="AO618" s="4"/>
      <c r="AP618" s="4"/>
      <c r="AQ618" s="4"/>
      <c r="AR618" s="4"/>
      <c r="AS618" s="4"/>
      <c r="AT618" s="4"/>
      <c r="AU618" s="4"/>
      <c r="AV618" s="4"/>
      <c r="AW618" s="4"/>
      <c r="AX618" s="4"/>
      <c r="AY618" s="4"/>
      <c r="AZ618" s="4"/>
      <c r="BA618" s="4"/>
      <c r="BB618" s="4"/>
      <c r="BC618" s="4"/>
      <c r="BD618" s="4"/>
      <c r="BE618" s="4"/>
      <c r="BF618" s="4"/>
      <c r="BG618" s="4"/>
      <c r="BH618" s="4"/>
      <c r="BI618" s="4"/>
      <c r="BJ618" s="4"/>
      <c r="BK618" s="4"/>
      <c r="BL618" s="4"/>
      <c r="BM618" s="4"/>
      <c r="BN618" s="4"/>
      <c r="BO618" s="4"/>
      <c r="BP618" s="4"/>
      <c r="BQ618" s="4"/>
      <c r="BR618" s="4"/>
      <c r="BS618" s="4"/>
      <c r="BT618" s="4"/>
      <c r="BU618" s="4"/>
      <c r="BV618" s="4"/>
      <c r="BW618" s="4"/>
      <c r="BX618" s="4"/>
      <c r="BY618" s="4"/>
      <c r="BZ618" s="4"/>
      <c r="CA618" s="4"/>
      <c r="CB618" s="4"/>
      <c r="CC618" s="4"/>
      <c r="CD618" s="4"/>
      <c r="CE618" s="4"/>
      <c r="CF618" s="4"/>
      <c r="CG618" s="4"/>
      <c r="CH618" s="4"/>
      <c r="CI618" s="4"/>
    </row>
    <row r="619" ht="14.25" customHeight="1" spans="1:87" x14ac:dyDescent="0.25">
      <c r="A619" s="4"/>
      <c r="B619" s="4"/>
      <c r="C619" s="4"/>
      <c r="D619" s="4"/>
      <c r="E619" s="4"/>
      <c r="F619" s="4"/>
      <c r="G619" s="4"/>
      <c r="H619" s="4"/>
      <c r="I619" s="4"/>
      <c r="J619" s="4"/>
      <c r="K619" s="242"/>
      <c r="L619" s="4"/>
      <c r="M619" s="4"/>
      <c r="N619" s="4"/>
      <c r="O619" s="4"/>
      <c r="P619" s="4"/>
      <c r="Q619" s="4"/>
      <c r="R619" s="4"/>
      <c r="S619" s="4"/>
      <c r="T619" s="4"/>
      <c r="U619" s="4"/>
      <c r="V619" s="4"/>
      <c r="W619" s="4"/>
      <c r="X619" s="4"/>
      <c r="Y619" s="4"/>
      <c r="Z619" s="4"/>
      <c r="AA619" s="4"/>
      <c r="AB619" s="4"/>
      <c r="AC619" s="4"/>
      <c r="AD619" s="4"/>
      <c r="AE619" s="4"/>
      <c r="AF619" s="4"/>
      <c r="AG619" s="4"/>
      <c r="AH619" s="4"/>
      <c r="AI619" s="4"/>
      <c r="AJ619" s="4"/>
      <c r="AK619" s="4"/>
      <c r="AL619" s="4"/>
      <c r="AM619" s="4"/>
      <c r="AN619" s="4"/>
      <c r="AO619" s="4"/>
      <c r="AP619" s="4"/>
      <c r="AQ619" s="4"/>
      <c r="AR619" s="4"/>
      <c r="AS619" s="4"/>
      <c r="AT619" s="4"/>
      <c r="AU619" s="4"/>
      <c r="AV619" s="4"/>
      <c r="AW619" s="4"/>
      <c r="AX619" s="4"/>
      <c r="AY619" s="4"/>
      <c r="AZ619" s="4"/>
      <c r="BA619" s="4"/>
      <c r="BB619" s="4"/>
      <c r="BC619" s="4"/>
      <c r="BD619" s="4"/>
      <c r="BE619" s="4"/>
      <c r="BF619" s="4"/>
      <c r="BG619" s="4"/>
      <c r="BH619" s="4"/>
      <c r="BI619" s="4"/>
      <c r="BJ619" s="4"/>
      <c r="BK619" s="4"/>
      <c r="BL619" s="4"/>
      <c r="BM619" s="4"/>
      <c r="BN619" s="4"/>
      <c r="BO619" s="4"/>
      <c r="BP619" s="4"/>
      <c r="BQ619" s="4"/>
      <c r="BR619" s="4"/>
      <c r="BS619" s="4"/>
      <c r="BT619" s="4"/>
      <c r="BU619" s="4"/>
      <c r="BV619" s="4"/>
      <c r="BW619" s="4"/>
      <c r="BX619" s="4"/>
      <c r="BY619" s="4"/>
      <c r="BZ619" s="4"/>
      <c r="CA619" s="4"/>
      <c r="CB619" s="4"/>
      <c r="CC619" s="4"/>
      <c r="CD619" s="4"/>
      <c r="CE619" s="4"/>
      <c r="CF619" s="4"/>
      <c r="CG619" s="4"/>
      <c r="CH619" s="4"/>
      <c r="CI619" s="4"/>
    </row>
    <row r="620" ht="14.25" customHeight="1" spans="1:87" x14ac:dyDescent="0.25">
      <c r="A620" s="4"/>
      <c r="B620" s="4"/>
      <c r="C620" s="4"/>
      <c r="D620" s="4"/>
      <c r="E620" s="4"/>
      <c r="F620" s="4"/>
      <c r="G620" s="4"/>
      <c r="H620" s="4"/>
      <c r="I620" s="4"/>
      <c r="J620" s="4"/>
      <c r="K620" s="242"/>
      <c r="L620" s="4"/>
      <c r="M620" s="4"/>
      <c r="N620" s="4"/>
      <c r="O620" s="4"/>
      <c r="P620" s="4"/>
      <c r="Q620" s="4"/>
      <c r="R620" s="4"/>
      <c r="S620" s="4"/>
      <c r="T620" s="4"/>
      <c r="U620" s="4"/>
      <c r="V620" s="4"/>
      <c r="W620" s="4"/>
      <c r="X620" s="4"/>
      <c r="Y620" s="4"/>
      <c r="Z620" s="4"/>
      <c r="AA620" s="4"/>
      <c r="AB620" s="4"/>
      <c r="AC620" s="4"/>
      <c r="AD620" s="4"/>
      <c r="AE620" s="4"/>
      <c r="AF620" s="4"/>
      <c r="AG620" s="4"/>
      <c r="AH620" s="4"/>
      <c r="AI620" s="4"/>
      <c r="AJ620" s="4"/>
      <c r="AK620" s="4"/>
      <c r="AL620" s="4"/>
      <c r="AM620" s="4"/>
      <c r="AN620" s="4"/>
      <c r="AO620" s="4"/>
      <c r="AP620" s="4"/>
      <c r="AQ620" s="4"/>
      <c r="AR620" s="4"/>
      <c r="AS620" s="4"/>
      <c r="AT620" s="4"/>
      <c r="AU620" s="4"/>
      <c r="AV620" s="4"/>
      <c r="AW620" s="4"/>
      <c r="AX620" s="4"/>
      <c r="AY620" s="4"/>
      <c r="AZ620" s="4"/>
      <c r="BA620" s="4"/>
      <c r="BB620" s="4"/>
      <c r="BC620" s="4"/>
      <c r="BD620" s="4"/>
      <c r="BE620" s="4"/>
      <c r="BF620" s="4"/>
      <c r="BG620" s="4"/>
      <c r="BH620" s="4"/>
      <c r="BI620" s="4"/>
      <c r="BJ620" s="4"/>
      <c r="BK620" s="4"/>
      <c r="BL620" s="4"/>
      <c r="BM620" s="4"/>
      <c r="BN620" s="4"/>
      <c r="BO620" s="4"/>
      <c r="BP620" s="4"/>
      <c r="BQ620" s="4"/>
      <c r="BR620" s="4"/>
      <c r="BS620" s="4"/>
      <c r="BT620" s="4"/>
      <c r="BU620" s="4"/>
      <c r="BV620" s="4"/>
      <c r="BW620" s="4"/>
      <c r="BX620" s="4"/>
      <c r="BY620" s="4"/>
      <c r="BZ620" s="4"/>
      <c r="CA620" s="4"/>
      <c r="CB620" s="4"/>
      <c r="CC620" s="4"/>
      <c r="CD620" s="4"/>
      <c r="CE620" s="4"/>
      <c r="CF620" s="4"/>
      <c r="CG620" s="4"/>
      <c r="CH620" s="4"/>
      <c r="CI620" s="4"/>
    </row>
    <row r="621" ht="14.25" customHeight="1" spans="1:87" x14ac:dyDescent="0.25">
      <c r="A621" s="4"/>
      <c r="B621" s="4"/>
      <c r="C621" s="4"/>
      <c r="D621" s="4"/>
      <c r="E621" s="4"/>
      <c r="F621" s="4"/>
      <c r="G621" s="4"/>
      <c r="H621" s="4"/>
      <c r="I621" s="4"/>
      <c r="J621" s="4"/>
      <c r="K621" s="242"/>
      <c r="L621" s="4"/>
      <c r="M621" s="4"/>
      <c r="N621" s="4"/>
      <c r="O621" s="4"/>
      <c r="P621" s="4"/>
      <c r="Q621" s="4"/>
      <c r="R621" s="4"/>
      <c r="S621" s="4"/>
      <c r="T621" s="4"/>
      <c r="U621" s="4"/>
      <c r="V621" s="4"/>
      <c r="W621" s="4"/>
      <c r="X621" s="4"/>
      <c r="Y621" s="4"/>
      <c r="Z621" s="4"/>
      <c r="AA621" s="4"/>
      <c r="AB621" s="4"/>
      <c r="AC621" s="4"/>
      <c r="AD621" s="4"/>
      <c r="AE621" s="4"/>
      <c r="AF621" s="4"/>
      <c r="AG621" s="4"/>
      <c r="AH621" s="4"/>
      <c r="AI621" s="4"/>
      <c r="AJ621" s="4"/>
      <c r="AK621" s="4"/>
      <c r="AL621" s="4"/>
      <c r="AM621" s="4"/>
      <c r="AN621" s="4"/>
      <c r="AO621" s="4"/>
      <c r="AP621" s="4"/>
      <c r="AQ621" s="4"/>
      <c r="AR621" s="4"/>
      <c r="AS621" s="4"/>
      <c r="AT621" s="4"/>
      <c r="AU621" s="4"/>
      <c r="AV621" s="4"/>
      <c r="AW621" s="4"/>
      <c r="AX621" s="4"/>
      <c r="AY621" s="4"/>
      <c r="AZ621" s="4"/>
      <c r="BA621" s="4"/>
      <c r="BB621" s="4"/>
      <c r="BC621" s="4"/>
      <c r="BD621" s="4"/>
      <c r="BE621" s="4"/>
      <c r="BF621" s="4"/>
      <c r="BG621" s="4"/>
      <c r="BH621" s="4"/>
      <c r="BI621" s="4"/>
      <c r="BJ621" s="4"/>
      <c r="BK621" s="4"/>
      <c r="BL621" s="4"/>
      <c r="BM621" s="4"/>
      <c r="BN621" s="4"/>
      <c r="BO621" s="4"/>
      <c r="BP621" s="4"/>
      <c r="BQ621" s="4"/>
      <c r="BR621" s="4"/>
      <c r="BS621" s="4"/>
      <c r="BT621" s="4"/>
      <c r="BU621" s="4"/>
      <c r="BV621" s="4"/>
      <c r="BW621" s="4"/>
      <c r="BX621" s="4"/>
      <c r="BY621" s="4"/>
      <c r="BZ621" s="4"/>
      <c r="CA621" s="4"/>
      <c r="CB621" s="4"/>
      <c r="CC621" s="4"/>
      <c r="CD621" s="4"/>
      <c r="CE621" s="4"/>
      <c r="CF621" s="4"/>
      <c r="CG621" s="4"/>
      <c r="CH621" s="4"/>
      <c r="CI621" s="4"/>
    </row>
    <row r="622" ht="14.25" customHeight="1" spans="1:87" x14ac:dyDescent="0.25">
      <c r="A622" s="4"/>
      <c r="B622" s="4"/>
      <c r="C622" s="4"/>
      <c r="D622" s="4"/>
      <c r="E622" s="4"/>
      <c r="F622" s="4"/>
      <c r="G622" s="4"/>
      <c r="H622" s="4"/>
      <c r="I622" s="4"/>
      <c r="J622" s="4"/>
      <c r="K622" s="242"/>
      <c r="L622" s="4"/>
      <c r="M622" s="4"/>
      <c r="N622" s="4"/>
      <c r="O622" s="4"/>
      <c r="P622" s="4"/>
      <c r="Q622" s="4"/>
      <c r="R622" s="4"/>
      <c r="S622" s="4"/>
      <c r="T622" s="4"/>
      <c r="U622" s="4"/>
      <c r="V622" s="4"/>
      <c r="W622" s="4"/>
      <c r="X622" s="4"/>
      <c r="Y622" s="4"/>
      <c r="Z622" s="4"/>
      <c r="AA622" s="4"/>
      <c r="AB622" s="4"/>
      <c r="AC622" s="4"/>
      <c r="AD622" s="4"/>
      <c r="AE622" s="4"/>
      <c r="AF622" s="4"/>
      <c r="AG622" s="4"/>
      <c r="AH622" s="4"/>
      <c r="AI622" s="4"/>
      <c r="AJ622" s="4"/>
      <c r="AK622" s="4"/>
      <c r="AL622" s="4"/>
      <c r="AM622" s="4"/>
      <c r="AN622" s="4"/>
      <c r="AO622" s="4"/>
      <c r="AP622" s="4"/>
      <c r="AQ622" s="4"/>
      <c r="AR622" s="4"/>
      <c r="AS622" s="4"/>
      <c r="AT622" s="4"/>
      <c r="AU622" s="4"/>
      <c r="AV622" s="4"/>
      <c r="AW622" s="4"/>
      <c r="AX622" s="4"/>
      <c r="AY622" s="4"/>
      <c r="AZ622" s="4"/>
      <c r="BA622" s="4"/>
      <c r="BB622" s="4"/>
      <c r="BC622" s="4"/>
      <c r="BD622" s="4"/>
      <c r="BE622" s="4"/>
      <c r="BF622" s="4"/>
      <c r="BG622" s="4"/>
      <c r="BH622" s="4"/>
      <c r="BI622" s="4"/>
      <c r="BJ622" s="4"/>
      <c r="BK622" s="4"/>
      <c r="BL622" s="4"/>
      <c r="BM622" s="4"/>
      <c r="BN622" s="4"/>
      <c r="BO622" s="4"/>
      <c r="BP622" s="4"/>
      <c r="BQ622" s="4"/>
      <c r="BR622" s="4"/>
      <c r="BS622" s="4"/>
      <c r="BT622" s="4"/>
      <c r="BU622" s="4"/>
      <c r="BV622" s="4"/>
      <c r="BW622" s="4"/>
      <c r="BX622" s="4"/>
      <c r="BY622" s="4"/>
      <c r="BZ622" s="4"/>
      <c r="CA622" s="4"/>
      <c r="CB622" s="4"/>
      <c r="CC622" s="4"/>
      <c r="CD622" s="4"/>
      <c r="CE622" s="4"/>
      <c r="CF622" s="4"/>
      <c r="CG622" s="4"/>
      <c r="CH622" s="4"/>
      <c r="CI622" s="4"/>
    </row>
    <row r="623" ht="14.25" customHeight="1" spans="1:87" x14ac:dyDescent="0.25">
      <c r="A623" s="4"/>
      <c r="B623" s="4"/>
      <c r="C623" s="4"/>
      <c r="D623" s="4"/>
      <c r="E623" s="4"/>
      <c r="F623" s="4"/>
      <c r="G623" s="4"/>
      <c r="H623" s="4"/>
      <c r="I623" s="4"/>
      <c r="J623" s="4"/>
      <c r="K623" s="242"/>
      <c r="L623" s="4"/>
      <c r="M623" s="4"/>
      <c r="N623" s="4"/>
      <c r="O623" s="4"/>
      <c r="P623" s="4"/>
      <c r="Q623" s="4"/>
      <c r="R623" s="4"/>
      <c r="S623" s="4"/>
      <c r="T623" s="4"/>
      <c r="U623" s="4"/>
      <c r="V623" s="4"/>
      <c r="W623" s="4"/>
      <c r="X623" s="4"/>
      <c r="Y623" s="4"/>
      <c r="Z623" s="4"/>
      <c r="AA623" s="4"/>
      <c r="AB623" s="4"/>
      <c r="AC623" s="4"/>
      <c r="AD623" s="4"/>
      <c r="AE623" s="4"/>
      <c r="AF623" s="4"/>
      <c r="AG623" s="4"/>
      <c r="AH623" s="4"/>
      <c r="AI623" s="4"/>
      <c r="AJ623" s="4"/>
      <c r="AK623" s="4"/>
      <c r="AL623" s="4"/>
      <c r="AM623" s="4"/>
      <c r="AN623" s="4"/>
      <c r="AO623" s="4"/>
      <c r="AP623" s="4"/>
      <c r="AQ623" s="4"/>
      <c r="AR623" s="4"/>
      <c r="AS623" s="4"/>
      <c r="AT623" s="4"/>
      <c r="AU623" s="4"/>
      <c r="AV623" s="4"/>
      <c r="AW623" s="4"/>
      <c r="AX623" s="4"/>
      <c r="AY623" s="4"/>
      <c r="AZ623" s="4"/>
      <c r="BA623" s="4"/>
      <c r="BB623" s="4"/>
      <c r="BC623" s="4"/>
      <c r="BD623" s="4"/>
      <c r="BE623" s="4"/>
      <c r="BF623" s="4"/>
      <c r="BG623" s="4"/>
      <c r="BH623" s="4"/>
      <c r="BI623" s="4"/>
      <c r="BJ623" s="4"/>
      <c r="BK623" s="4"/>
      <c r="BL623" s="4"/>
      <c r="BM623" s="4"/>
      <c r="BN623" s="4"/>
      <c r="BO623" s="4"/>
      <c r="BP623" s="4"/>
      <c r="BQ623" s="4"/>
      <c r="BR623" s="4"/>
      <c r="BS623" s="4"/>
      <c r="BT623" s="4"/>
      <c r="BU623" s="4"/>
      <c r="BV623" s="4"/>
      <c r="BW623" s="4"/>
      <c r="BX623" s="4"/>
      <c r="BY623" s="4"/>
      <c r="BZ623" s="4"/>
      <c r="CA623" s="4"/>
      <c r="CB623" s="4"/>
      <c r="CC623" s="4"/>
      <c r="CD623" s="4"/>
      <c r="CE623" s="4"/>
      <c r="CF623" s="4"/>
      <c r="CG623" s="4"/>
      <c r="CH623" s="4"/>
      <c r="CI623" s="4"/>
    </row>
    <row r="624" ht="14.25" customHeight="1" spans="1:87" x14ac:dyDescent="0.25">
      <c r="A624" s="4"/>
      <c r="B624" s="4"/>
      <c r="C624" s="4"/>
      <c r="D624" s="4"/>
      <c r="E624" s="4"/>
      <c r="F624" s="4"/>
      <c r="G624" s="4"/>
      <c r="H624" s="4"/>
      <c r="I624" s="4"/>
      <c r="J624" s="4"/>
      <c r="K624" s="242"/>
      <c r="L624" s="4"/>
      <c r="M624" s="4"/>
      <c r="N624" s="4"/>
      <c r="O624" s="4"/>
      <c r="P624" s="4"/>
      <c r="Q624" s="4"/>
      <c r="R624" s="4"/>
      <c r="S624" s="4"/>
      <c r="T624" s="4"/>
      <c r="U624" s="4"/>
      <c r="V624" s="4"/>
      <c r="W624" s="4"/>
      <c r="X624" s="4"/>
      <c r="Y624" s="4"/>
      <c r="Z624" s="4"/>
      <c r="AA624" s="4"/>
      <c r="AB624" s="4"/>
      <c r="AC624" s="4"/>
      <c r="AD624" s="4"/>
      <c r="AE624" s="4"/>
      <c r="AF624" s="4"/>
      <c r="AG624" s="4"/>
      <c r="AH624" s="4"/>
      <c r="AI624" s="4"/>
      <c r="AJ624" s="4"/>
      <c r="AK624" s="4"/>
      <c r="AL624" s="4"/>
      <c r="AM624" s="4"/>
      <c r="AN624" s="4"/>
      <c r="AO624" s="4"/>
      <c r="AP624" s="4"/>
      <c r="AQ624" s="4"/>
      <c r="AR624" s="4"/>
      <c r="AS624" s="4"/>
      <c r="AT624" s="4"/>
      <c r="AU624" s="4"/>
      <c r="AV624" s="4"/>
      <c r="AW624" s="4"/>
      <c r="AX624" s="4"/>
      <c r="AY624" s="4"/>
      <c r="AZ624" s="4"/>
      <c r="BA624" s="4"/>
      <c r="BB624" s="4"/>
      <c r="BC624" s="4"/>
      <c r="BD624" s="4"/>
      <c r="BE624" s="4"/>
      <c r="BF624" s="4"/>
      <c r="BG624" s="4"/>
      <c r="BH624" s="4"/>
      <c r="BI624" s="4"/>
      <c r="BJ624" s="4"/>
      <c r="BK624" s="4"/>
      <c r="BL624" s="4"/>
      <c r="BM624" s="4"/>
      <c r="BN624" s="4"/>
      <c r="BO624" s="4"/>
      <c r="BP624" s="4"/>
      <c r="BQ624" s="4"/>
      <c r="BR624" s="4"/>
      <c r="BS624" s="4"/>
      <c r="BT624" s="4"/>
      <c r="BU624" s="4"/>
      <c r="BV624" s="4"/>
      <c r="BW624" s="4"/>
      <c r="BX624" s="4"/>
      <c r="BY624" s="4"/>
      <c r="BZ624" s="4"/>
      <c r="CA624" s="4"/>
      <c r="CB624" s="4"/>
      <c r="CC624" s="4"/>
      <c r="CD624" s="4"/>
      <c r="CE624" s="4"/>
      <c r="CF624" s="4"/>
      <c r="CG624" s="4"/>
      <c r="CH624" s="4"/>
      <c r="CI624" s="4"/>
    </row>
    <row r="625" ht="14.25" customHeight="1" spans="1:87" x14ac:dyDescent="0.25">
      <c r="A625" s="4"/>
      <c r="B625" s="4"/>
      <c r="C625" s="4"/>
      <c r="D625" s="4"/>
      <c r="E625" s="4"/>
      <c r="F625" s="4"/>
      <c r="G625" s="4"/>
      <c r="H625" s="4"/>
      <c r="I625" s="4"/>
      <c r="J625" s="4"/>
      <c r="K625" s="242"/>
      <c r="L625" s="4"/>
      <c r="M625" s="4"/>
      <c r="N625" s="4"/>
      <c r="O625" s="4"/>
      <c r="P625" s="4"/>
      <c r="Q625" s="4"/>
      <c r="R625" s="4"/>
      <c r="S625" s="4"/>
      <c r="T625" s="4"/>
      <c r="U625" s="4"/>
      <c r="V625" s="4"/>
      <c r="W625" s="4"/>
      <c r="X625" s="4"/>
      <c r="Y625" s="4"/>
      <c r="Z625" s="4"/>
      <c r="AA625" s="4"/>
      <c r="AB625" s="4"/>
      <c r="AC625" s="4"/>
      <c r="AD625" s="4"/>
      <c r="AE625" s="4"/>
      <c r="AF625" s="4"/>
      <c r="AG625" s="4"/>
      <c r="AH625" s="4"/>
      <c r="AI625" s="4"/>
      <c r="AJ625" s="4"/>
      <c r="AK625" s="4"/>
      <c r="AL625" s="4"/>
      <c r="AM625" s="4"/>
      <c r="AN625" s="4"/>
      <c r="AO625" s="4"/>
      <c r="AP625" s="4"/>
      <c r="AQ625" s="4"/>
      <c r="AR625" s="4"/>
      <c r="AS625" s="4"/>
      <c r="AT625" s="4"/>
      <c r="AU625" s="4"/>
      <c r="AV625" s="4"/>
      <c r="AW625" s="4"/>
      <c r="AX625" s="4"/>
      <c r="AY625" s="4"/>
      <c r="AZ625" s="4"/>
      <c r="BA625" s="4"/>
      <c r="BB625" s="4"/>
      <c r="BC625" s="4"/>
      <c r="BD625" s="4"/>
      <c r="BE625" s="4"/>
      <c r="BF625" s="4"/>
      <c r="BG625" s="4"/>
      <c r="BH625" s="4"/>
      <c r="BI625" s="4"/>
      <c r="BJ625" s="4"/>
      <c r="BK625" s="4"/>
      <c r="BL625" s="4"/>
      <c r="BM625" s="4"/>
      <c r="BN625" s="4"/>
      <c r="BO625" s="4"/>
      <c r="BP625" s="4"/>
      <c r="BQ625" s="4"/>
      <c r="BR625" s="4"/>
      <c r="BS625" s="4"/>
      <c r="BT625" s="4"/>
      <c r="BU625" s="4"/>
      <c r="BV625" s="4"/>
      <c r="BW625" s="4"/>
      <c r="BX625" s="4"/>
      <c r="BY625" s="4"/>
      <c r="BZ625" s="4"/>
      <c r="CA625" s="4"/>
      <c r="CB625" s="4"/>
      <c r="CC625" s="4"/>
      <c r="CD625" s="4"/>
      <c r="CE625" s="4"/>
      <c r="CF625" s="4"/>
      <c r="CG625" s="4"/>
      <c r="CH625" s="4"/>
      <c r="CI625" s="4"/>
    </row>
    <row r="626" ht="14.25" customHeight="1" spans="1:87" x14ac:dyDescent="0.25">
      <c r="A626" s="4"/>
      <c r="B626" s="4"/>
      <c r="C626" s="4"/>
      <c r="D626" s="4"/>
      <c r="E626" s="4"/>
      <c r="F626" s="4"/>
      <c r="G626" s="4"/>
      <c r="H626" s="4"/>
      <c r="I626" s="4"/>
      <c r="J626" s="4"/>
      <c r="K626" s="242"/>
      <c r="L626" s="4"/>
      <c r="M626" s="4"/>
      <c r="N626" s="4"/>
      <c r="O626" s="4"/>
      <c r="P626" s="4"/>
      <c r="Q626" s="4"/>
      <c r="R626" s="4"/>
      <c r="S626" s="4"/>
      <c r="T626" s="4"/>
      <c r="U626" s="4"/>
      <c r="V626" s="4"/>
      <c r="W626" s="4"/>
      <c r="X626" s="4"/>
      <c r="Y626" s="4"/>
      <c r="Z626" s="4"/>
      <c r="AA626" s="4"/>
      <c r="AB626" s="4"/>
      <c r="AC626" s="4"/>
      <c r="AD626" s="4"/>
      <c r="AE626" s="4"/>
      <c r="AF626" s="4"/>
      <c r="AG626" s="4"/>
      <c r="AH626" s="4"/>
      <c r="AI626" s="4"/>
      <c r="AJ626" s="4"/>
      <c r="AK626" s="4"/>
      <c r="AL626" s="4"/>
      <c r="AM626" s="4"/>
      <c r="AN626" s="4"/>
      <c r="AO626" s="4"/>
      <c r="AP626" s="4"/>
      <c r="AQ626" s="4"/>
      <c r="AR626" s="4"/>
      <c r="AS626" s="4"/>
      <c r="AT626" s="4"/>
      <c r="AU626" s="4"/>
      <c r="AV626" s="4"/>
      <c r="AW626" s="4"/>
      <c r="AX626" s="4"/>
      <c r="AY626" s="4"/>
      <c r="AZ626" s="4"/>
      <c r="BA626" s="4"/>
      <c r="BB626" s="4"/>
      <c r="BC626" s="4"/>
      <c r="BD626" s="4"/>
      <c r="BE626" s="4"/>
      <c r="BF626" s="4"/>
      <c r="BG626" s="4"/>
      <c r="BH626" s="4"/>
      <c r="BI626" s="4"/>
      <c r="BJ626" s="4"/>
      <c r="BK626" s="4"/>
      <c r="BL626" s="4"/>
      <c r="BM626" s="4"/>
      <c r="BN626" s="4"/>
      <c r="BO626" s="4"/>
      <c r="BP626" s="4"/>
      <c r="BQ626" s="4"/>
      <c r="BR626" s="4"/>
      <c r="BS626" s="4"/>
      <c r="BT626" s="4"/>
      <c r="BU626" s="4"/>
      <c r="BV626" s="4"/>
      <c r="BW626" s="4"/>
      <c r="BX626" s="4"/>
      <c r="BY626" s="4"/>
      <c r="BZ626" s="4"/>
      <c r="CA626" s="4"/>
      <c r="CB626" s="4"/>
      <c r="CC626" s="4"/>
      <c r="CD626" s="4"/>
      <c r="CE626" s="4"/>
      <c r="CF626" s="4"/>
      <c r="CG626" s="4"/>
      <c r="CH626" s="4"/>
      <c r="CI626" s="4"/>
    </row>
    <row r="627" ht="14.25" customHeight="1" spans="1:87" x14ac:dyDescent="0.25">
      <c r="A627" s="4"/>
      <c r="B627" s="4"/>
      <c r="C627" s="4"/>
      <c r="D627" s="4"/>
      <c r="E627" s="4"/>
      <c r="F627" s="4"/>
      <c r="G627" s="4"/>
      <c r="H627" s="4"/>
      <c r="I627" s="4"/>
      <c r="J627" s="4"/>
      <c r="K627" s="242"/>
      <c r="L627" s="4"/>
      <c r="M627" s="4"/>
      <c r="N627" s="4"/>
      <c r="O627" s="4"/>
      <c r="P627" s="4"/>
      <c r="Q627" s="4"/>
      <c r="R627" s="4"/>
      <c r="S627" s="4"/>
      <c r="T627" s="4"/>
      <c r="U627" s="4"/>
      <c r="V627" s="4"/>
      <c r="W627" s="4"/>
      <c r="X627" s="4"/>
      <c r="Y627" s="4"/>
      <c r="Z627" s="4"/>
      <c r="AA627" s="4"/>
      <c r="AB627" s="4"/>
      <c r="AC627" s="4"/>
      <c r="AD627" s="4"/>
      <c r="AE627" s="4"/>
      <c r="AF627" s="4"/>
      <c r="AG627" s="4"/>
      <c r="AH627" s="4"/>
      <c r="AI627" s="4"/>
      <c r="AJ627" s="4"/>
      <c r="AK627" s="4"/>
      <c r="AL627" s="4"/>
      <c r="AM627" s="4"/>
      <c r="AN627" s="4"/>
      <c r="AO627" s="4"/>
      <c r="AP627" s="4"/>
      <c r="AQ627" s="4"/>
      <c r="AR627" s="4"/>
      <c r="AS627" s="4"/>
      <c r="AT627" s="4"/>
      <c r="AU627" s="4"/>
      <c r="AV627" s="4"/>
      <c r="AW627" s="4"/>
      <c r="AX627" s="4"/>
      <c r="AY627" s="4"/>
      <c r="AZ627" s="4"/>
      <c r="BA627" s="4"/>
      <c r="BB627" s="4"/>
      <c r="BC627" s="4"/>
      <c r="BD627" s="4"/>
      <c r="BE627" s="4"/>
      <c r="BF627" s="4"/>
      <c r="BG627" s="4"/>
      <c r="BH627" s="4"/>
      <c r="BI627" s="4"/>
      <c r="BJ627" s="4"/>
      <c r="BK627" s="4"/>
      <c r="BL627" s="4"/>
      <c r="BM627" s="4"/>
      <c r="BN627" s="4"/>
      <c r="BO627" s="4"/>
      <c r="BP627" s="4"/>
      <c r="BQ627" s="4"/>
      <c r="BR627" s="4"/>
      <c r="BS627" s="4"/>
      <c r="BT627" s="4"/>
      <c r="BU627" s="4"/>
      <c r="BV627" s="4"/>
      <c r="BW627" s="4"/>
      <c r="BX627" s="4"/>
      <c r="BY627" s="4"/>
      <c r="BZ627" s="4"/>
      <c r="CA627" s="4"/>
      <c r="CB627" s="4"/>
      <c r="CC627" s="4"/>
      <c r="CD627" s="4"/>
      <c r="CE627" s="4"/>
      <c r="CF627" s="4"/>
      <c r="CG627" s="4"/>
      <c r="CH627" s="4"/>
      <c r="CI627" s="4"/>
    </row>
    <row r="628" ht="14.25" customHeight="1" spans="1:87" x14ac:dyDescent="0.25">
      <c r="A628" s="4"/>
      <c r="B628" s="4"/>
      <c r="C628" s="4"/>
      <c r="D628" s="4"/>
      <c r="E628" s="4"/>
      <c r="F628" s="4"/>
      <c r="G628" s="4"/>
      <c r="H628" s="4"/>
      <c r="I628" s="4"/>
      <c r="J628" s="4"/>
      <c r="K628" s="242"/>
      <c r="L628" s="4"/>
      <c r="M628" s="4"/>
      <c r="N628" s="4"/>
      <c r="O628" s="4"/>
      <c r="P628" s="4"/>
      <c r="Q628" s="4"/>
      <c r="R628" s="4"/>
      <c r="S628" s="4"/>
      <c r="T628" s="4"/>
      <c r="U628" s="4"/>
      <c r="V628" s="4"/>
      <c r="W628" s="4"/>
      <c r="X628" s="4"/>
      <c r="Y628" s="4"/>
      <c r="Z628" s="4"/>
      <c r="AA628" s="4"/>
      <c r="AB628" s="4"/>
      <c r="AC628" s="4"/>
      <c r="AD628" s="4"/>
      <c r="AE628" s="4"/>
      <c r="AF628" s="4"/>
      <c r="AG628" s="4"/>
      <c r="AH628" s="4"/>
      <c r="AI628" s="4"/>
      <c r="AJ628" s="4"/>
      <c r="AK628" s="4"/>
      <c r="AL628" s="4"/>
      <c r="AM628" s="4"/>
      <c r="AN628" s="4"/>
      <c r="AO628" s="4"/>
      <c r="AP628" s="4"/>
      <c r="AQ628" s="4"/>
      <c r="AR628" s="4"/>
      <c r="AS628" s="4"/>
      <c r="AT628" s="4"/>
      <c r="AU628" s="4"/>
      <c r="AV628" s="4"/>
      <c r="AW628" s="4"/>
      <c r="AX628" s="4"/>
      <c r="AY628" s="4"/>
      <c r="AZ628" s="4"/>
      <c r="BA628" s="4"/>
      <c r="BB628" s="4"/>
      <c r="BC628" s="4"/>
      <c r="BD628" s="4"/>
      <c r="BE628" s="4"/>
      <c r="BF628" s="4"/>
      <c r="BG628" s="4"/>
      <c r="BH628" s="4"/>
      <c r="BI628" s="4"/>
      <c r="BJ628" s="4"/>
      <c r="BK628" s="4"/>
      <c r="BL628" s="4"/>
      <c r="BM628" s="4"/>
      <c r="BN628" s="4"/>
      <c r="BO628" s="4"/>
      <c r="BP628" s="4"/>
      <c r="BQ628" s="4"/>
      <c r="BR628" s="4"/>
      <c r="BS628" s="4"/>
      <c r="BT628" s="4"/>
      <c r="BU628" s="4"/>
      <c r="BV628" s="4"/>
      <c r="BW628" s="4"/>
      <c r="BX628" s="4"/>
      <c r="BY628" s="4"/>
      <c r="BZ628" s="4"/>
      <c r="CA628" s="4"/>
      <c r="CB628" s="4"/>
      <c r="CC628" s="4"/>
      <c r="CD628" s="4"/>
      <c r="CE628" s="4"/>
      <c r="CF628" s="4"/>
      <c r="CG628" s="4"/>
      <c r="CH628" s="4"/>
      <c r="CI628" s="4"/>
    </row>
    <row r="629" ht="14.25" customHeight="1" spans="1:87" x14ac:dyDescent="0.25">
      <c r="A629" s="4"/>
      <c r="B629" s="4"/>
      <c r="C629" s="4"/>
      <c r="D629" s="4"/>
      <c r="E629" s="4"/>
      <c r="F629" s="4"/>
      <c r="G629" s="4"/>
      <c r="H629" s="4"/>
      <c r="I629" s="4"/>
      <c r="J629" s="4"/>
      <c r="K629" s="242"/>
      <c r="L629" s="4"/>
      <c r="M629" s="4"/>
      <c r="N629" s="4"/>
      <c r="O629" s="4"/>
      <c r="P629" s="4"/>
      <c r="Q629" s="4"/>
      <c r="R629" s="4"/>
      <c r="S629" s="4"/>
      <c r="T629" s="4"/>
      <c r="U629" s="4"/>
      <c r="V629" s="4"/>
      <c r="W629" s="4"/>
      <c r="X629" s="4"/>
      <c r="Y629" s="4"/>
      <c r="Z629" s="4"/>
      <c r="AA629" s="4"/>
      <c r="AB629" s="4"/>
      <c r="AC629" s="4"/>
      <c r="AD629" s="4"/>
      <c r="AE629" s="4"/>
      <c r="AF629" s="4"/>
      <c r="AG629" s="4"/>
      <c r="AH629" s="4"/>
      <c r="AI629" s="4"/>
      <c r="AJ629" s="4"/>
      <c r="AK629" s="4"/>
      <c r="AL629" s="4"/>
      <c r="AM629" s="4"/>
      <c r="AN629" s="4"/>
      <c r="AO629" s="4"/>
      <c r="AP629" s="4"/>
      <c r="AQ629" s="4"/>
      <c r="AR629" s="4"/>
      <c r="AS629" s="4"/>
      <c r="AT629" s="4"/>
      <c r="AU629" s="4"/>
      <c r="AV629" s="4"/>
      <c r="AW629" s="4"/>
      <c r="AX629" s="4"/>
      <c r="AY629" s="4"/>
      <c r="AZ629" s="4"/>
      <c r="BA629" s="4"/>
      <c r="BB629" s="4"/>
      <c r="BC629" s="4"/>
      <c r="BD629" s="4"/>
      <c r="BE629" s="4"/>
      <c r="BF629" s="4"/>
      <c r="BG629" s="4"/>
      <c r="BH629" s="4"/>
      <c r="BI629" s="4"/>
      <c r="BJ629" s="4"/>
      <c r="BK629" s="4"/>
      <c r="BL629" s="4"/>
      <c r="BM629" s="4"/>
      <c r="BN629" s="4"/>
      <c r="BO629" s="4"/>
      <c r="BP629" s="4"/>
      <c r="BQ629" s="4"/>
      <c r="BR629" s="4"/>
      <c r="BS629" s="4"/>
      <c r="BT629" s="4"/>
      <c r="BU629" s="4"/>
      <c r="BV629" s="4"/>
      <c r="BW629" s="4"/>
      <c r="BX629" s="4"/>
      <c r="BY629" s="4"/>
      <c r="BZ629" s="4"/>
      <c r="CA629" s="4"/>
      <c r="CB629" s="4"/>
      <c r="CC629" s="4"/>
      <c r="CD629" s="4"/>
      <c r="CE629" s="4"/>
      <c r="CF629" s="4"/>
      <c r="CG629" s="4"/>
      <c r="CH629" s="4"/>
      <c r="CI629" s="4"/>
    </row>
    <row r="630" ht="14.25" customHeight="1" spans="1:87" x14ac:dyDescent="0.25">
      <c r="A630" s="4"/>
      <c r="B630" s="4"/>
      <c r="C630" s="4"/>
      <c r="D630" s="4"/>
      <c r="E630" s="4"/>
      <c r="F630" s="4"/>
      <c r="G630" s="4"/>
      <c r="H630" s="4"/>
      <c r="I630" s="4"/>
      <c r="J630" s="4"/>
      <c r="K630" s="242"/>
      <c r="L630" s="4"/>
      <c r="M630" s="4"/>
      <c r="N630" s="4"/>
      <c r="O630" s="4"/>
      <c r="P630" s="4"/>
      <c r="Q630" s="4"/>
      <c r="R630" s="4"/>
      <c r="S630" s="4"/>
      <c r="T630" s="4"/>
      <c r="U630" s="4"/>
      <c r="V630" s="4"/>
      <c r="W630" s="4"/>
      <c r="X630" s="4"/>
      <c r="Y630" s="4"/>
      <c r="Z630" s="4"/>
      <c r="AA630" s="4"/>
      <c r="AB630" s="4"/>
      <c r="AC630" s="4"/>
      <c r="AD630" s="4"/>
      <c r="AE630" s="4"/>
      <c r="AF630" s="4"/>
      <c r="AG630" s="4"/>
      <c r="AH630" s="4"/>
      <c r="AI630" s="4"/>
      <c r="AJ630" s="4"/>
      <c r="AK630" s="4"/>
      <c r="AL630" s="4"/>
      <c r="AM630" s="4"/>
      <c r="AN630" s="4"/>
      <c r="AO630" s="4"/>
      <c r="AP630" s="4"/>
      <c r="AQ630" s="4"/>
      <c r="AR630" s="4"/>
      <c r="AS630" s="4"/>
      <c r="AT630" s="4"/>
      <c r="AU630" s="4"/>
      <c r="AV630" s="4"/>
      <c r="AW630" s="4"/>
      <c r="AX630" s="4"/>
      <c r="AY630" s="4"/>
      <c r="AZ630" s="4"/>
      <c r="BA630" s="4"/>
      <c r="BB630" s="4"/>
      <c r="BC630" s="4"/>
      <c r="BD630" s="4"/>
      <c r="BE630" s="4"/>
      <c r="BF630" s="4"/>
      <c r="BG630" s="4"/>
      <c r="BH630" s="4"/>
      <c r="BI630" s="4"/>
      <c r="BJ630" s="4"/>
      <c r="BK630" s="4"/>
      <c r="BL630" s="4"/>
      <c r="BM630" s="4"/>
      <c r="BN630" s="4"/>
      <c r="BO630" s="4"/>
      <c r="BP630" s="4"/>
      <c r="BQ630" s="4"/>
      <c r="BR630" s="4"/>
      <c r="BS630" s="4"/>
      <c r="BT630" s="4"/>
      <c r="BU630" s="4"/>
      <c r="BV630" s="4"/>
      <c r="BW630" s="4"/>
      <c r="BX630" s="4"/>
      <c r="BY630" s="4"/>
      <c r="BZ630" s="4"/>
      <c r="CA630" s="4"/>
      <c r="CB630" s="4"/>
      <c r="CC630" s="4"/>
      <c r="CD630" s="4"/>
      <c r="CE630" s="4"/>
      <c r="CF630" s="4"/>
      <c r="CG630" s="4"/>
      <c r="CH630" s="4"/>
      <c r="CI630" s="4"/>
    </row>
    <row r="631" ht="14.25" customHeight="1" spans="1:87" x14ac:dyDescent="0.25">
      <c r="A631" s="4"/>
      <c r="B631" s="4"/>
      <c r="C631" s="4"/>
      <c r="D631" s="4"/>
      <c r="E631" s="4"/>
      <c r="F631" s="4"/>
      <c r="G631" s="4"/>
      <c r="H631" s="4"/>
      <c r="I631" s="4"/>
      <c r="J631" s="4"/>
      <c r="K631" s="242"/>
      <c r="L631" s="4"/>
      <c r="M631" s="4"/>
      <c r="N631" s="4"/>
      <c r="O631" s="4"/>
      <c r="P631" s="4"/>
      <c r="Q631" s="4"/>
      <c r="R631" s="4"/>
      <c r="S631" s="4"/>
      <c r="T631" s="4"/>
      <c r="U631" s="4"/>
      <c r="V631" s="4"/>
      <c r="W631" s="4"/>
      <c r="X631" s="4"/>
      <c r="Y631" s="4"/>
      <c r="Z631" s="4"/>
      <c r="AA631" s="4"/>
      <c r="AB631" s="4"/>
      <c r="AC631" s="4"/>
      <c r="AD631" s="4"/>
      <c r="AE631" s="4"/>
      <c r="AF631" s="4"/>
      <c r="AG631" s="4"/>
      <c r="AH631" s="4"/>
      <c r="AI631" s="4"/>
      <c r="AJ631" s="4"/>
      <c r="AK631" s="4"/>
      <c r="AL631" s="4"/>
      <c r="AM631" s="4"/>
      <c r="AN631" s="4"/>
      <c r="AO631" s="4"/>
      <c r="AP631" s="4"/>
      <c r="AQ631" s="4"/>
      <c r="AR631" s="4"/>
      <c r="AS631" s="4"/>
      <c r="AT631" s="4"/>
      <c r="AU631" s="4"/>
      <c r="AV631" s="4"/>
      <c r="AW631" s="4"/>
      <c r="AX631" s="4"/>
      <c r="AY631" s="4"/>
      <c r="AZ631" s="4"/>
      <c r="BA631" s="4"/>
      <c r="BB631" s="4"/>
      <c r="BC631" s="4"/>
      <c r="BD631" s="4"/>
      <c r="BE631" s="4"/>
      <c r="BF631" s="4"/>
      <c r="BG631" s="4"/>
      <c r="BH631" s="4"/>
      <c r="BI631" s="4"/>
      <c r="BJ631" s="4"/>
      <c r="BK631" s="4"/>
      <c r="BL631" s="4"/>
      <c r="BM631" s="4"/>
      <c r="BN631" s="4"/>
      <c r="BO631" s="4"/>
      <c r="BP631" s="4"/>
      <c r="BQ631" s="4"/>
      <c r="BR631" s="4"/>
      <c r="BS631" s="4"/>
      <c r="BT631" s="4"/>
      <c r="BU631" s="4"/>
      <c r="BV631" s="4"/>
      <c r="BW631" s="4"/>
      <c r="BX631" s="4"/>
      <c r="BY631" s="4"/>
      <c r="BZ631" s="4"/>
      <c r="CA631" s="4"/>
      <c r="CB631" s="4"/>
      <c r="CC631" s="4"/>
      <c r="CD631" s="4"/>
      <c r="CE631" s="4"/>
      <c r="CF631" s="4"/>
      <c r="CG631" s="4"/>
      <c r="CH631" s="4"/>
      <c r="CI631" s="4"/>
    </row>
    <row r="632" ht="14.25" customHeight="1" spans="1:87" x14ac:dyDescent="0.25">
      <c r="A632" s="4"/>
      <c r="B632" s="4"/>
      <c r="C632" s="4"/>
      <c r="D632" s="4"/>
      <c r="E632" s="4"/>
      <c r="F632" s="4"/>
      <c r="G632" s="4"/>
      <c r="H632" s="4"/>
      <c r="I632" s="4"/>
      <c r="J632" s="4"/>
      <c r="K632" s="242"/>
      <c r="L632" s="4"/>
      <c r="M632" s="4"/>
      <c r="N632" s="4"/>
      <c r="O632" s="4"/>
      <c r="P632" s="4"/>
      <c r="Q632" s="4"/>
      <c r="R632" s="4"/>
      <c r="S632" s="4"/>
      <c r="T632" s="4"/>
      <c r="U632" s="4"/>
      <c r="V632" s="4"/>
      <c r="W632" s="4"/>
      <c r="X632" s="4"/>
      <c r="Y632" s="4"/>
      <c r="Z632" s="4"/>
      <c r="AA632" s="4"/>
      <c r="AB632" s="4"/>
      <c r="AC632" s="4"/>
      <c r="AD632" s="4"/>
      <c r="AE632" s="4"/>
      <c r="AF632" s="4"/>
      <c r="AG632" s="4"/>
      <c r="AH632" s="4"/>
      <c r="AI632" s="4"/>
      <c r="AJ632" s="4"/>
      <c r="AK632" s="4"/>
      <c r="AL632" s="4"/>
      <c r="AM632" s="4"/>
      <c r="AN632" s="4"/>
      <c r="AO632" s="4"/>
      <c r="AP632" s="4"/>
      <c r="AQ632" s="4"/>
      <c r="AR632" s="4"/>
      <c r="AS632" s="4"/>
      <c r="AT632" s="4"/>
      <c r="AU632" s="4"/>
      <c r="AV632" s="4"/>
      <c r="AW632" s="4"/>
      <c r="AX632" s="4"/>
      <c r="AY632" s="4"/>
      <c r="AZ632" s="4"/>
      <c r="BA632" s="4"/>
      <c r="BB632" s="4"/>
      <c r="BC632" s="4"/>
      <c r="BD632" s="4"/>
      <c r="BE632" s="4"/>
      <c r="BF632" s="4"/>
      <c r="BG632" s="4"/>
      <c r="BH632" s="4"/>
      <c r="BI632" s="4"/>
      <c r="BJ632" s="4"/>
      <c r="BK632" s="4"/>
      <c r="BL632" s="4"/>
      <c r="BM632" s="4"/>
      <c r="BN632" s="4"/>
      <c r="BO632" s="4"/>
      <c r="BP632" s="4"/>
      <c r="BQ632" s="4"/>
      <c r="BR632" s="4"/>
      <c r="BS632" s="4"/>
      <c r="BT632" s="4"/>
      <c r="BU632" s="4"/>
      <c r="BV632" s="4"/>
      <c r="BW632" s="4"/>
      <c r="BX632" s="4"/>
      <c r="BY632" s="4"/>
      <c r="BZ632" s="4"/>
      <c r="CA632" s="4"/>
      <c r="CB632" s="4"/>
      <c r="CC632" s="4"/>
      <c r="CD632" s="4"/>
      <c r="CE632" s="4"/>
      <c r="CF632" s="4"/>
      <c r="CG632" s="4"/>
      <c r="CH632" s="4"/>
      <c r="CI632" s="4"/>
    </row>
    <row r="633" ht="14.25" customHeight="1" spans="1:87" x14ac:dyDescent="0.25">
      <c r="A633" s="4"/>
      <c r="B633" s="4"/>
      <c r="C633" s="4"/>
      <c r="D633" s="4"/>
      <c r="E633" s="4"/>
      <c r="F633" s="4"/>
      <c r="G633" s="4"/>
      <c r="H633" s="4"/>
      <c r="I633" s="4"/>
      <c r="J633" s="4"/>
      <c r="K633" s="242"/>
      <c r="L633" s="4"/>
      <c r="M633" s="4"/>
      <c r="N633" s="4"/>
      <c r="O633" s="4"/>
      <c r="P633" s="4"/>
      <c r="Q633" s="4"/>
      <c r="R633" s="4"/>
      <c r="S633" s="4"/>
      <c r="T633" s="4"/>
      <c r="U633" s="4"/>
      <c r="V633" s="4"/>
      <c r="W633" s="4"/>
      <c r="X633" s="4"/>
      <c r="Y633" s="4"/>
      <c r="Z633" s="4"/>
      <c r="AA633" s="4"/>
      <c r="AB633" s="4"/>
      <c r="AC633" s="4"/>
      <c r="AD633" s="4"/>
      <c r="AE633" s="4"/>
      <c r="AF633" s="4"/>
      <c r="AG633" s="4"/>
      <c r="AH633" s="4"/>
      <c r="AI633" s="4"/>
      <c r="AJ633" s="4"/>
      <c r="AK633" s="4"/>
      <c r="AL633" s="4"/>
      <c r="AM633" s="4"/>
      <c r="AN633" s="4"/>
      <c r="AO633" s="4"/>
      <c r="AP633" s="4"/>
      <c r="AQ633" s="4"/>
      <c r="AR633" s="4"/>
      <c r="AS633" s="4"/>
      <c r="AT633" s="4"/>
      <c r="AU633" s="4"/>
      <c r="AV633" s="4"/>
      <c r="AW633" s="4"/>
      <c r="AX633" s="4"/>
      <c r="AY633" s="4"/>
      <c r="AZ633" s="4"/>
      <c r="BA633" s="4"/>
      <c r="BB633" s="4"/>
      <c r="BC633" s="4"/>
      <c r="BD633" s="4"/>
      <c r="BE633" s="4"/>
      <c r="BF633" s="4"/>
      <c r="BG633" s="4"/>
      <c r="BH633" s="4"/>
      <c r="BI633" s="4"/>
      <c r="BJ633" s="4"/>
      <c r="BK633" s="4"/>
      <c r="BL633" s="4"/>
      <c r="BM633" s="4"/>
      <c r="BN633" s="4"/>
      <c r="BO633" s="4"/>
      <c r="BP633" s="4"/>
      <c r="BQ633" s="4"/>
      <c r="BR633" s="4"/>
      <c r="BS633" s="4"/>
      <c r="BT633" s="4"/>
      <c r="BU633" s="4"/>
      <c r="BV633" s="4"/>
      <c r="BW633" s="4"/>
      <c r="BX633" s="4"/>
      <c r="BY633" s="4"/>
      <c r="BZ633" s="4"/>
      <c r="CA633" s="4"/>
      <c r="CB633" s="4"/>
      <c r="CC633" s="4"/>
      <c r="CD633" s="4"/>
      <c r="CE633" s="4"/>
      <c r="CF633" s="4"/>
      <c r="CG633" s="4"/>
      <c r="CH633" s="4"/>
      <c r="CI633" s="4"/>
    </row>
    <row r="634" ht="14.25" customHeight="1" spans="1:87" x14ac:dyDescent="0.25">
      <c r="A634" s="4"/>
      <c r="B634" s="4"/>
      <c r="C634" s="4"/>
      <c r="D634" s="4"/>
      <c r="E634" s="4"/>
      <c r="F634" s="4"/>
      <c r="G634" s="4"/>
      <c r="H634" s="4"/>
      <c r="I634" s="4"/>
      <c r="J634" s="4"/>
      <c r="K634" s="242"/>
      <c r="L634" s="4"/>
      <c r="M634" s="4"/>
      <c r="N634" s="4"/>
      <c r="O634" s="4"/>
      <c r="P634" s="4"/>
      <c r="Q634" s="4"/>
      <c r="R634" s="4"/>
      <c r="S634" s="4"/>
      <c r="T634" s="4"/>
      <c r="U634" s="4"/>
      <c r="V634" s="4"/>
      <c r="W634" s="4"/>
      <c r="X634" s="4"/>
      <c r="Y634" s="4"/>
      <c r="Z634" s="4"/>
      <c r="AA634" s="4"/>
      <c r="AB634" s="4"/>
      <c r="AC634" s="4"/>
      <c r="AD634" s="4"/>
      <c r="AE634" s="4"/>
      <c r="AF634" s="4"/>
      <c r="AG634" s="4"/>
      <c r="AH634" s="4"/>
      <c r="AI634" s="4"/>
      <c r="AJ634" s="4"/>
      <c r="AK634" s="4"/>
      <c r="AL634" s="4"/>
      <c r="AM634" s="4"/>
      <c r="AN634" s="4"/>
      <c r="AO634" s="4"/>
      <c r="AP634" s="4"/>
      <c r="AQ634" s="4"/>
      <c r="AR634" s="4"/>
      <c r="AS634" s="4"/>
      <c r="AT634" s="4"/>
      <c r="AU634" s="4"/>
      <c r="AV634" s="4"/>
      <c r="AW634" s="4"/>
      <c r="AX634" s="4"/>
      <c r="AY634" s="4"/>
      <c r="AZ634" s="4"/>
      <c r="BA634" s="4"/>
      <c r="BB634" s="4"/>
      <c r="BC634" s="4"/>
      <c r="BD634" s="4"/>
      <c r="BE634" s="4"/>
      <c r="BF634" s="4"/>
      <c r="BG634" s="4"/>
      <c r="BH634" s="4"/>
      <c r="BI634" s="4"/>
      <c r="BJ634" s="4"/>
      <c r="BK634" s="4"/>
      <c r="BL634" s="4"/>
      <c r="BM634" s="4"/>
      <c r="BN634" s="4"/>
      <c r="BO634" s="4"/>
      <c r="BP634" s="4"/>
      <c r="BQ634" s="4"/>
      <c r="BR634" s="4"/>
      <c r="BS634" s="4"/>
      <c r="BT634" s="4"/>
      <c r="BU634" s="4"/>
      <c r="BV634" s="4"/>
      <c r="BW634" s="4"/>
      <c r="BX634" s="4"/>
      <c r="BY634" s="4"/>
      <c r="BZ634" s="4"/>
      <c r="CA634" s="4"/>
      <c r="CB634" s="4"/>
      <c r="CC634" s="4"/>
      <c r="CD634" s="4"/>
      <c r="CE634" s="4"/>
      <c r="CF634" s="4"/>
      <c r="CG634" s="4"/>
      <c r="CH634" s="4"/>
      <c r="CI634" s="4"/>
    </row>
    <row r="635" ht="14.25" customHeight="1" spans="1:87" x14ac:dyDescent="0.25">
      <c r="A635" s="4"/>
      <c r="B635" s="4"/>
      <c r="C635" s="4"/>
      <c r="D635" s="4"/>
      <c r="E635" s="4"/>
      <c r="F635" s="4"/>
      <c r="G635" s="4"/>
      <c r="H635" s="4"/>
      <c r="I635" s="4"/>
      <c r="J635" s="4"/>
      <c r="K635" s="242"/>
      <c r="L635" s="4"/>
      <c r="M635" s="4"/>
      <c r="N635" s="4"/>
      <c r="O635" s="4"/>
      <c r="P635" s="4"/>
      <c r="Q635" s="4"/>
      <c r="R635" s="4"/>
      <c r="S635" s="4"/>
      <c r="T635" s="4"/>
      <c r="U635" s="4"/>
      <c r="V635" s="4"/>
      <c r="W635" s="4"/>
      <c r="X635" s="4"/>
      <c r="Y635" s="4"/>
      <c r="Z635" s="4"/>
      <c r="AA635" s="4"/>
      <c r="AB635" s="4"/>
      <c r="AC635" s="4"/>
      <c r="AD635" s="4"/>
      <c r="AE635" s="4"/>
      <c r="AF635" s="4"/>
      <c r="AG635" s="4"/>
      <c r="AH635" s="4"/>
      <c r="AI635" s="4"/>
      <c r="AJ635" s="4"/>
      <c r="AK635" s="4"/>
      <c r="AL635" s="4"/>
      <c r="AM635" s="4"/>
      <c r="AN635" s="4"/>
      <c r="AO635" s="4"/>
      <c r="AP635" s="4"/>
      <c r="AQ635" s="4"/>
      <c r="AR635" s="4"/>
      <c r="AS635" s="4"/>
      <c r="AT635" s="4"/>
      <c r="AU635" s="4"/>
      <c r="AV635" s="4"/>
      <c r="AW635" s="4"/>
      <c r="AX635" s="4"/>
      <c r="AY635" s="4"/>
      <c r="AZ635" s="4"/>
      <c r="BA635" s="4"/>
      <c r="BB635" s="4"/>
      <c r="BC635" s="4"/>
      <c r="BD635" s="4"/>
      <c r="BE635" s="4"/>
      <c r="BF635" s="4"/>
      <c r="BG635" s="4"/>
      <c r="BH635" s="4"/>
      <c r="BI635" s="4"/>
      <c r="BJ635" s="4"/>
      <c r="BK635" s="4"/>
      <c r="BL635" s="4"/>
      <c r="BM635" s="4"/>
      <c r="BN635" s="4"/>
      <c r="BO635" s="4"/>
      <c r="BP635" s="4"/>
      <c r="BQ635" s="4"/>
      <c r="BR635" s="4"/>
      <c r="BS635" s="4"/>
      <c r="BT635" s="4"/>
      <c r="BU635" s="4"/>
      <c r="BV635" s="4"/>
      <c r="BW635" s="4"/>
      <c r="BX635" s="4"/>
      <c r="BY635" s="4"/>
      <c r="BZ635" s="4"/>
      <c r="CA635" s="4"/>
      <c r="CB635" s="4"/>
      <c r="CC635" s="4"/>
      <c r="CD635" s="4"/>
      <c r="CE635" s="4"/>
      <c r="CF635" s="4"/>
      <c r="CG635" s="4"/>
      <c r="CH635" s="4"/>
      <c r="CI635" s="4"/>
    </row>
    <row r="636" ht="14.25" customHeight="1" spans="1:87" x14ac:dyDescent="0.25">
      <c r="A636" s="4"/>
      <c r="B636" s="4"/>
      <c r="C636" s="4"/>
      <c r="D636" s="4"/>
      <c r="E636" s="4"/>
      <c r="F636" s="4"/>
      <c r="G636" s="4"/>
      <c r="H636" s="4"/>
      <c r="I636" s="4"/>
      <c r="J636" s="4"/>
      <c r="K636" s="242"/>
      <c r="L636" s="4"/>
      <c r="M636" s="4"/>
      <c r="N636" s="4"/>
      <c r="O636" s="4"/>
      <c r="P636" s="4"/>
      <c r="Q636" s="4"/>
      <c r="R636" s="4"/>
      <c r="S636" s="4"/>
      <c r="T636" s="4"/>
      <c r="U636" s="4"/>
      <c r="V636" s="4"/>
      <c r="W636" s="4"/>
      <c r="X636" s="4"/>
      <c r="Y636" s="4"/>
      <c r="Z636" s="4"/>
      <c r="AA636" s="4"/>
      <c r="AB636" s="4"/>
      <c r="AC636" s="4"/>
      <c r="AD636" s="4"/>
      <c r="AE636" s="4"/>
      <c r="AF636" s="4"/>
      <c r="AG636" s="4"/>
      <c r="AH636" s="4"/>
      <c r="AI636" s="4"/>
      <c r="AJ636" s="4"/>
      <c r="AK636" s="4"/>
      <c r="AL636" s="4"/>
      <c r="AM636" s="4"/>
      <c r="AN636" s="4"/>
      <c r="AO636" s="4"/>
      <c r="AP636" s="4"/>
      <c r="AQ636" s="4"/>
      <c r="AR636" s="4"/>
      <c r="AS636" s="4"/>
      <c r="AT636" s="4"/>
      <c r="AU636" s="4"/>
      <c r="AV636" s="4"/>
      <c r="AW636" s="4"/>
      <c r="AX636" s="4"/>
      <c r="AY636" s="4"/>
      <c r="AZ636" s="4"/>
      <c r="BA636" s="4"/>
      <c r="BB636" s="4"/>
      <c r="BC636" s="4"/>
      <c r="BD636" s="4"/>
      <c r="BE636" s="4"/>
      <c r="BF636" s="4"/>
      <c r="BG636" s="4"/>
      <c r="BH636" s="4"/>
      <c r="BI636" s="4"/>
      <c r="BJ636" s="4"/>
      <c r="BK636" s="4"/>
      <c r="BL636" s="4"/>
      <c r="BM636" s="4"/>
      <c r="BN636" s="4"/>
      <c r="BO636" s="4"/>
      <c r="BP636" s="4"/>
      <c r="BQ636" s="4"/>
      <c r="BR636" s="4"/>
      <c r="BS636" s="4"/>
      <c r="BT636" s="4"/>
      <c r="BU636" s="4"/>
      <c r="BV636" s="4"/>
      <c r="BW636" s="4"/>
      <c r="BX636" s="4"/>
      <c r="BY636" s="4"/>
      <c r="BZ636" s="4"/>
      <c r="CA636" s="4"/>
      <c r="CB636" s="4"/>
      <c r="CC636" s="4"/>
      <c r="CD636" s="4"/>
      <c r="CE636" s="4"/>
      <c r="CF636" s="4"/>
      <c r="CG636" s="4"/>
      <c r="CH636" s="4"/>
      <c r="CI636" s="4"/>
    </row>
    <row r="637" ht="14.25" customHeight="1" spans="1:87" x14ac:dyDescent="0.25">
      <c r="A637" s="4"/>
      <c r="B637" s="4"/>
      <c r="C637" s="4"/>
      <c r="D637" s="4"/>
      <c r="E637" s="4"/>
      <c r="F637" s="4"/>
      <c r="G637" s="4"/>
      <c r="H637" s="4"/>
      <c r="I637" s="4"/>
      <c r="J637" s="4"/>
      <c r="K637" s="242"/>
      <c r="L637" s="4"/>
      <c r="M637" s="4"/>
      <c r="N637" s="4"/>
      <c r="O637" s="4"/>
      <c r="P637" s="4"/>
      <c r="Q637" s="4"/>
      <c r="R637" s="4"/>
      <c r="S637" s="4"/>
      <c r="T637" s="4"/>
      <c r="U637" s="4"/>
      <c r="V637" s="4"/>
      <c r="W637" s="4"/>
      <c r="X637" s="4"/>
      <c r="Y637" s="4"/>
      <c r="Z637" s="4"/>
      <c r="AA637" s="4"/>
      <c r="AB637" s="4"/>
      <c r="AC637" s="4"/>
      <c r="AD637" s="4"/>
      <c r="AE637" s="4"/>
      <c r="AF637" s="4"/>
      <c r="AG637" s="4"/>
      <c r="AH637" s="4"/>
      <c r="AI637" s="4"/>
      <c r="AJ637" s="4"/>
      <c r="AK637" s="4"/>
      <c r="AL637" s="4"/>
      <c r="AM637" s="4"/>
      <c r="AN637" s="4"/>
      <c r="AO637" s="4"/>
      <c r="AP637" s="4"/>
      <c r="AQ637" s="4"/>
      <c r="AR637" s="4"/>
      <c r="AS637" s="4"/>
      <c r="AT637" s="4"/>
      <c r="AU637" s="4"/>
      <c r="AV637" s="4"/>
      <c r="AW637" s="4"/>
      <c r="AX637" s="4"/>
      <c r="AY637" s="4"/>
      <c r="AZ637" s="4"/>
      <c r="BA637" s="4"/>
      <c r="BB637" s="4"/>
      <c r="BC637" s="4"/>
      <c r="BD637" s="4"/>
      <c r="BE637" s="4"/>
      <c r="BF637" s="4"/>
      <c r="BG637" s="4"/>
      <c r="BH637" s="4"/>
      <c r="BI637" s="4"/>
      <c r="BJ637" s="4"/>
      <c r="BK637" s="4"/>
      <c r="BL637" s="4"/>
      <c r="BM637" s="4"/>
      <c r="BN637" s="4"/>
      <c r="BO637" s="4"/>
      <c r="BP637" s="4"/>
      <c r="BQ637" s="4"/>
      <c r="BR637" s="4"/>
      <c r="BS637" s="4"/>
      <c r="BT637" s="4"/>
      <c r="BU637" s="4"/>
      <c r="BV637" s="4"/>
      <c r="BW637" s="4"/>
      <c r="BX637" s="4"/>
      <c r="BY637" s="4"/>
      <c r="BZ637" s="4"/>
      <c r="CA637" s="4"/>
      <c r="CB637" s="4"/>
      <c r="CC637" s="4"/>
      <c r="CD637" s="4"/>
      <c r="CE637" s="4"/>
      <c r="CF637" s="4"/>
      <c r="CG637" s="4"/>
      <c r="CH637" s="4"/>
      <c r="CI637" s="4"/>
    </row>
    <row r="638" ht="14.25" customHeight="1" spans="1:87" x14ac:dyDescent="0.25">
      <c r="A638" s="4"/>
      <c r="B638" s="4"/>
      <c r="C638" s="4"/>
      <c r="D638" s="4"/>
      <c r="E638" s="4"/>
      <c r="F638" s="4"/>
      <c r="G638" s="4"/>
      <c r="H638" s="4"/>
      <c r="I638" s="4"/>
      <c r="J638" s="4"/>
      <c r="K638" s="242"/>
      <c r="L638" s="4"/>
      <c r="M638" s="4"/>
      <c r="N638" s="4"/>
      <c r="O638" s="4"/>
      <c r="P638" s="4"/>
      <c r="Q638" s="4"/>
      <c r="R638" s="4"/>
      <c r="S638" s="4"/>
      <c r="T638" s="4"/>
      <c r="U638" s="4"/>
      <c r="V638" s="4"/>
      <c r="W638" s="4"/>
      <c r="X638" s="4"/>
      <c r="Y638" s="4"/>
      <c r="Z638" s="4"/>
      <c r="AA638" s="4"/>
      <c r="AB638" s="4"/>
      <c r="AC638" s="4"/>
      <c r="AD638" s="4"/>
      <c r="AE638" s="4"/>
      <c r="AF638" s="4"/>
      <c r="AG638" s="4"/>
      <c r="AH638" s="4"/>
      <c r="AI638" s="4"/>
      <c r="AJ638" s="4"/>
      <c r="AK638" s="4"/>
      <c r="AL638" s="4"/>
      <c r="AM638" s="4"/>
      <c r="AN638" s="4"/>
      <c r="AO638" s="4"/>
      <c r="AP638" s="4"/>
      <c r="AQ638" s="4"/>
      <c r="AR638" s="4"/>
      <c r="AS638" s="4"/>
      <c r="AT638" s="4"/>
      <c r="AU638" s="4"/>
      <c r="AV638" s="4"/>
      <c r="AW638" s="4"/>
      <c r="AX638" s="4"/>
      <c r="AY638" s="4"/>
      <c r="AZ638" s="4"/>
      <c r="BA638" s="4"/>
      <c r="BB638" s="4"/>
      <c r="BC638" s="4"/>
      <c r="BD638" s="4"/>
      <c r="BE638" s="4"/>
      <c r="BF638" s="4"/>
      <c r="BG638" s="4"/>
      <c r="BH638" s="4"/>
      <c r="BI638" s="4"/>
      <c r="BJ638" s="4"/>
      <c r="BK638" s="4"/>
      <c r="BL638" s="4"/>
      <c r="BM638" s="4"/>
      <c r="BN638" s="4"/>
      <c r="BO638" s="4"/>
      <c r="BP638" s="4"/>
      <c r="BQ638" s="4"/>
      <c r="BR638" s="4"/>
      <c r="BS638" s="4"/>
      <c r="BT638" s="4"/>
      <c r="BU638" s="4"/>
      <c r="BV638" s="4"/>
      <c r="BW638" s="4"/>
      <c r="BX638" s="4"/>
      <c r="BY638" s="4"/>
      <c r="BZ638" s="4"/>
      <c r="CA638" s="4"/>
      <c r="CB638" s="4"/>
      <c r="CC638" s="4"/>
      <c r="CD638" s="4"/>
      <c r="CE638" s="4"/>
      <c r="CF638" s="4"/>
      <c r="CG638" s="4"/>
      <c r="CH638" s="4"/>
      <c r="CI638" s="4"/>
    </row>
    <row r="639" ht="14.25" customHeight="1" spans="1:87" x14ac:dyDescent="0.25">
      <c r="A639" s="4"/>
      <c r="B639" s="4"/>
      <c r="C639" s="4"/>
      <c r="D639" s="4"/>
      <c r="E639" s="4"/>
      <c r="F639" s="4"/>
      <c r="G639" s="4"/>
      <c r="H639" s="4"/>
      <c r="I639" s="4"/>
      <c r="J639" s="4"/>
      <c r="K639" s="242"/>
      <c r="L639" s="4"/>
      <c r="M639" s="4"/>
      <c r="N639" s="4"/>
      <c r="O639" s="4"/>
      <c r="P639" s="4"/>
      <c r="Q639" s="4"/>
      <c r="R639" s="4"/>
      <c r="S639" s="4"/>
      <c r="T639" s="4"/>
      <c r="U639" s="4"/>
      <c r="V639" s="4"/>
      <c r="W639" s="4"/>
      <c r="X639" s="4"/>
      <c r="Y639" s="4"/>
      <c r="Z639" s="4"/>
      <c r="AA639" s="4"/>
      <c r="AB639" s="4"/>
      <c r="AC639" s="4"/>
      <c r="AD639" s="4"/>
      <c r="AE639" s="4"/>
      <c r="AF639" s="4"/>
      <c r="AG639" s="4"/>
      <c r="AH639" s="4"/>
      <c r="AI639" s="4"/>
      <c r="AJ639" s="4"/>
      <c r="AK639" s="4"/>
      <c r="AL639" s="4"/>
      <c r="AM639" s="4"/>
      <c r="AN639" s="4"/>
      <c r="AO639" s="4"/>
      <c r="AP639" s="4"/>
      <c r="AQ639" s="4"/>
      <c r="AR639" s="4"/>
      <c r="AS639" s="4"/>
      <c r="AT639" s="4"/>
      <c r="AU639" s="4"/>
      <c r="AV639" s="4"/>
      <c r="AW639" s="4"/>
      <c r="AX639" s="4"/>
      <c r="AY639" s="4"/>
      <c r="AZ639" s="4"/>
      <c r="BA639" s="4"/>
      <c r="BB639" s="4"/>
      <c r="BC639" s="4"/>
      <c r="BD639" s="4"/>
      <c r="BE639" s="4"/>
      <c r="BF639" s="4"/>
      <c r="BG639" s="4"/>
      <c r="BH639" s="4"/>
      <c r="BI639" s="4"/>
      <c r="BJ639" s="4"/>
      <c r="BK639" s="4"/>
      <c r="BL639" s="4"/>
      <c r="BM639" s="4"/>
      <c r="BN639" s="4"/>
      <c r="BO639" s="4"/>
      <c r="BP639" s="4"/>
      <c r="BQ639" s="4"/>
      <c r="BR639" s="4"/>
      <c r="BS639" s="4"/>
      <c r="BT639" s="4"/>
      <c r="BU639" s="4"/>
      <c r="BV639" s="4"/>
      <c r="BW639" s="4"/>
      <c r="BX639" s="4"/>
      <c r="BY639" s="4"/>
      <c r="BZ639" s="4"/>
      <c r="CA639" s="4"/>
      <c r="CB639" s="4"/>
      <c r="CC639" s="4"/>
      <c r="CD639" s="4"/>
      <c r="CE639" s="4"/>
      <c r="CF639" s="4"/>
      <c r="CG639" s="4"/>
      <c r="CH639" s="4"/>
      <c r="CI639" s="4"/>
    </row>
    <row r="640" ht="14.25" customHeight="1" spans="1:87" x14ac:dyDescent="0.25">
      <c r="A640" s="4"/>
      <c r="B640" s="4"/>
      <c r="C640" s="4"/>
      <c r="D640" s="4"/>
      <c r="E640" s="4"/>
      <c r="F640" s="4"/>
      <c r="G640" s="4"/>
      <c r="H640" s="4"/>
      <c r="I640" s="4"/>
      <c r="J640" s="4"/>
      <c r="K640" s="242"/>
      <c r="L640" s="4"/>
      <c r="M640" s="4"/>
      <c r="N640" s="4"/>
      <c r="O640" s="4"/>
      <c r="P640" s="4"/>
      <c r="Q640" s="4"/>
      <c r="R640" s="4"/>
      <c r="S640" s="4"/>
      <c r="T640" s="4"/>
      <c r="U640" s="4"/>
      <c r="V640" s="4"/>
      <c r="W640" s="4"/>
      <c r="X640" s="4"/>
      <c r="Y640" s="4"/>
      <c r="Z640" s="4"/>
      <c r="AA640" s="4"/>
      <c r="AB640" s="4"/>
      <c r="AC640" s="4"/>
      <c r="AD640" s="4"/>
      <c r="AE640" s="4"/>
      <c r="AF640" s="4"/>
      <c r="AG640" s="4"/>
      <c r="AH640" s="4"/>
      <c r="AI640" s="4"/>
      <c r="AJ640" s="4"/>
      <c r="AK640" s="4"/>
      <c r="AL640" s="4"/>
      <c r="AM640" s="4"/>
      <c r="AN640" s="4"/>
      <c r="AO640" s="4"/>
      <c r="AP640" s="4"/>
      <c r="AQ640" s="4"/>
      <c r="AR640" s="4"/>
      <c r="AS640" s="4"/>
      <c r="AT640" s="4"/>
      <c r="AU640" s="4"/>
      <c r="AV640" s="4"/>
      <c r="AW640" s="4"/>
      <c r="AX640" s="4"/>
      <c r="AY640" s="4"/>
      <c r="AZ640" s="4"/>
      <c r="BA640" s="4"/>
      <c r="BB640" s="4"/>
      <c r="BC640" s="4"/>
      <c r="BD640" s="4"/>
      <c r="BE640" s="4"/>
      <c r="BF640" s="4"/>
      <c r="BG640" s="4"/>
      <c r="BH640" s="4"/>
      <c r="BI640" s="4"/>
      <c r="BJ640" s="4"/>
      <c r="BK640" s="4"/>
      <c r="BL640" s="4"/>
      <c r="BM640" s="4"/>
      <c r="BN640" s="4"/>
      <c r="BO640" s="4"/>
      <c r="BP640" s="4"/>
      <c r="BQ640" s="4"/>
      <c r="BR640" s="4"/>
      <c r="BS640" s="4"/>
      <c r="BT640" s="4"/>
      <c r="BU640" s="4"/>
      <c r="BV640" s="4"/>
      <c r="BW640" s="4"/>
      <c r="BX640" s="4"/>
      <c r="BY640" s="4"/>
      <c r="BZ640" s="4"/>
      <c r="CA640" s="4"/>
      <c r="CB640" s="4"/>
      <c r="CC640" s="4"/>
      <c r="CD640" s="4"/>
      <c r="CE640" s="4"/>
      <c r="CF640" s="4"/>
      <c r="CG640" s="4"/>
      <c r="CH640" s="4"/>
      <c r="CI640" s="4"/>
    </row>
    <row r="641" ht="14.25" customHeight="1" spans="1:87" x14ac:dyDescent="0.25">
      <c r="A641" s="4"/>
      <c r="B641" s="4"/>
      <c r="C641" s="4"/>
      <c r="D641" s="4"/>
      <c r="E641" s="4"/>
      <c r="F641" s="4"/>
      <c r="G641" s="4"/>
      <c r="H641" s="4"/>
      <c r="I641" s="4"/>
      <c r="J641" s="4"/>
      <c r="K641" s="242"/>
      <c r="L641" s="4"/>
      <c r="M641" s="4"/>
      <c r="N641" s="4"/>
      <c r="O641" s="4"/>
      <c r="P641" s="4"/>
      <c r="Q641" s="4"/>
      <c r="R641" s="4"/>
      <c r="S641" s="4"/>
      <c r="T641" s="4"/>
      <c r="U641" s="4"/>
      <c r="V641" s="4"/>
      <c r="W641" s="4"/>
      <c r="X641" s="4"/>
      <c r="Y641" s="4"/>
      <c r="Z641" s="4"/>
      <c r="AA641" s="4"/>
      <c r="AB641" s="4"/>
      <c r="AC641" s="4"/>
      <c r="AD641" s="4"/>
      <c r="AE641" s="4"/>
      <c r="AF641" s="4"/>
      <c r="AG641" s="4"/>
      <c r="AH641" s="4"/>
      <c r="AI641" s="4"/>
      <c r="AJ641" s="4"/>
      <c r="AK641" s="4"/>
      <c r="AL641" s="4"/>
      <c r="AM641" s="4"/>
      <c r="AN641" s="4"/>
      <c r="AO641" s="4"/>
      <c r="AP641" s="4"/>
      <c r="AQ641" s="4"/>
      <c r="AR641" s="4"/>
      <c r="AS641" s="4"/>
      <c r="AT641" s="4"/>
      <c r="AU641" s="4"/>
      <c r="AV641" s="4"/>
      <c r="AW641" s="4"/>
      <c r="AX641" s="4"/>
      <c r="AY641" s="4"/>
      <c r="AZ641" s="4"/>
      <c r="BA641" s="4"/>
      <c r="BB641" s="4"/>
      <c r="BC641" s="4"/>
      <c r="BD641" s="4"/>
      <c r="BE641" s="4"/>
      <c r="BF641" s="4"/>
      <c r="BG641" s="4"/>
      <c r="BH641" s="4"/>
      <c r="BI641" s="4"/>
      <c r="BJ641" s="4"/>
      <c r="BK641" s="4"/>
      <c r="BL641" s="4"/>
      <c r="BM641" s="4"/>
      <c r="BN641" s="4"/>
      <c r="BO641" s="4"/>
      <c r="BP641" s="4"/>
      <c r="BQ641" s="4"/>
      <c r="BR641" s="4"/>
      <c r="BS641" s="4"/>
      <c r="BT641" s="4"/>
      <c r="BU641" s="4"/>
      <c r="BV641" s="4"/>
      <c r="BW641" s="4"/>
      <c r="BX641" s="4"/>
      <c r="BY641" s="4"/>
      <c r="BZ641" s="4"/>
      <c r="CA641" s="4"/>
      <c r="CB641" s="4"/>
      <c r="CC641" s="4"/>
      <c r="CD641" s="4"/>
      <c r="CE641" s="4"/>
      <c r="CF641" s="4"/>
      <c r="CG641" s="4"/>
      <c r="CH641" s="4"/>
      <c r="CI641" s="4"/>
    </row>
    <row r="642" ht="14.25" customHeight="1" spans="1:87" x14ac:dyDescent="0.25">
      <c r="A642" s="4"/>
      <c r="B642" s="4"/>
      <c r="C642" s="4"/>
      <c r="D642" s="4"/>
      <c r="E642" s="4"/>
      <c r="F642" s="4"/>
      <c r="G642" s="4"/>
      <c r="H642" s="4"/>
      <c r="I642" s="4"/>
      <c r="J642" s="4"/>
      <c r="K642" s="242"/>
      <c r="L642" s="4"/>
      <c r="M642" s="4"/>
      <c r="N642" s="4"/>
      <c r="O642" s="4"/>
      <c r="P642" s="4"/>
      <c r="Q642" s="4"/>
      <c r="R642" s="4"/>
      <c r="S642" s="4"/>
      <c r="T642" s="4"/>
      <c r="U642" s="4"/>
      <c r="V642" s="4"/>
      <c r="W642" s="4"/>
      <c r="X642" s="4"/>
      <c r="Y642" s="4"/>
      <c r="Z642" s="4"/>
      <c r="AA642" s="4"/>
      <c r="AB642" s="4"/>
      <c r="AC642" s="4"/>
      <c r="AD642" s="4"/>
      <c r="AE642" s="4"/>
      <c r="AF642" s="4"/>
      <c r="AG642" s="4"/>
      <c r="AH642" s="4"/>
      <c r="AI642" s="4"/>
      <c r="AJ642" s="4"/>
      <c r="AK642" s="4"/>
      <c r="AL642" s="4"/>
      <c r="AM642" s="4"/>
      <c r="AN642" s="4"/>
      <c r="AO642" s="4"/>
      <c r="AP642" s="4"/>
      <c r="AQ642" s="4"/>
      <c r="AR642" s="4"/>
      <c r="AS642" s="4"/>
      <c r="AT642" s="4"/>
      <c r="AU642" s="4"/>
      <c r="AV642" s="4"/>
      <c r="AW642" s="4"/>
      <c r="AX642" s="4"/>
      <c r="AY642" s="4"/>
      <c r="AZ642" s="4"/>
      <c r="BA642" s="4"/>
      <c r="BB642" s="4"/>
      <c r="BC642" s="4"/>
      <c r="BD642" s="4"/>
      <c r="BE642" s="4"/>
      <c r="BF642" s="4"/>
      <c r="BG642" s="4"/>
      <c r="BH642" s="4"/>
      <c r="BI642" s="4"/>
      <c r="BJ642" s="4"/>
      <c r="BK642" s="4"/>
      <c r="BL642" s="4"/>
      <c r="BM642" s="4"/>
      <c r="BN642" s="4"/>
      <c r="BO642" s="4"/>
      <c r="BP642" s="4"/>
      <c r="BQ642" s="4"/>
      <c r="BR642" s="4"/>
      <c r="BS642" s="4"/>
      <c r="BT642" s="4"/>
      <c r="BU642" s="4"/>
      <c r="BV642" s="4"/>
      <c r="BW642" s="4"/>
      <c r="BX642" s="4"/>
      <c r="BY642" s="4"/>
      <c r="BZ642" s="4"/>
      <c r="CA642" s="4"/>
      <c r="CB642" s="4"/>
      <c r="CC642" s="4"/>
      <c r="CD642" s="4"/>
      <c r="CE642" s="4"/>
      <c r="CF642" s="4"/>
      <c r="CG642" s="4"/>
      <c r="CH642" s="4"/>
      <c r="CI642" s="4"/>
    </row>
    <row r="643" ht="14.25" customHeight="1" spans="1:87" x14ac:dyDescent="0.25">
      <c r="A643" s="4"/>
      <c r="B643" s="4"/>
      <c r="C643" s="4"/>
      <c r="D643" s="4"/>
      <c r="E643" s="4"/>
      <c r="F643" s="4"/>
      <c r="G643" s="4"/>
      <c r="H643" s="4"/>
      <c r="I643" s="4"/>
      <c r="J643" s="4"/>
      <c r="K643" s="242"/>
      <c r="L643" s="4"/>
      <c r="M643" s="4"/>
      <c r="N643" s="4"/>
      <c r="O643" s="4"/>
      <c r="P643" s="4"/>
      <c r="Q643" s="4"/>
      <c r="R643" s="4"/>
      <c r="S643" s="4"/>
      <c r="T643" s="4"/>
      <c r="U643" s="4"/>
      <c r="V643" s="4"/>
      <c r="W643" s="4"/>
      <c r="X643" s="4"/>
      <c r="Y643" s="4"/>
      <c r="Z643" s="4"/>
      <c r="AA643" s="4"/>
      <c r="AB643" s="4"/>
      <c r="AC643" s="4"/>
      <c r="AD643" s="4"/>
      <c r="AE643" s="4"/>
      <c r="AF643" s="4"/>
      <c r="AG643" s="4"/>
      <c r="AH643" s="4"/>
      <c r="AI643" s="4"/>
      <c r="AJ643" s="4"/>
      <c r="AK643" s="4"/>
      <c r="AL643" s="4"/>
      <c r="AM643" s="4"/>
      <c r="AN643" s="4"/>
      <c r="AO643" s="4"/>
      <c r="AP643" s="4"/>
      <c r="AQ643" s="4"/>
      <c r="AR643" s="4"/>
      <c r="AS643" s="4"/>
      <c r="AT643" s="4"/>
      <c r="AU643" s="4"/>
      <c r="AV643" s="4"/>
      <c r="AW643" s="4"/>
      <c r="AX643" s="4"/>
      <c r="AY643" s="4"/>
      <c r="AZ643" s="4"/>
      <c r="BA643" s="4"/>
      <c r="BB643" s="4"/>
      <c r="BC643" s="4"/>
      <c r="BD643" s="4"/>
      <c r="BE643" s="4"/>
      <c r="BF643" s="4"/>
      <c r="BG643" s="4"/>
      <c r="BH643" s="4"/>
      <c r="BI643" s="4"/>
      <c r="BJ643" s="4"/>
      <c r="BK643" s="4"/>
      <c r="BL643" s="4"/>
      <c r="BM643" s="4"/>
      <c r="BN643" s="4"/>
      <c r="BO643" s="4"/>
      <c r="BP643" s="4"/>
      <c r="BQ643" s="4"/>
      <c r="BR643" s="4"/>
      <c r="BS643" s="4"/>
      <c r="BT643" s="4"/>
      <c r="BU643" s="4"/>
      <c r="BV643" s="4"/>
      <c r="BW643" s="4"/>
      <c r="BX643" s="4"/>
      <c r="BY643" s="4"/>
      <c r="BZ643" s="4"/>
      <c r="CA643" s="4"/>
      <c r="CB643" s="4"/>
      <c r="CC643" s="4"/>
      <c r="CD643" s="4"/>
      <c r="CE643" s="4"/>
      <c r="CF643" s="4"/>
      <c r="CG643" s="4"/>
      <c r="CH643" s="4"/>
      <c r="CI643" s="4"/>
    </row>
    <row r="644" ht="14.25" customHeight="1" spans="1:87" x14ac:dyDescent="0.25">
      <c r="A644" s="4"/>
      <c r="B644" s="4"/>
      <c r="C644" s="4"/>
      <c r="D644" s="4"/>
      <c r="E644" s="4"/>
      <c r="F644" s="4"/>
      <c r="G644" s="4"/>
      <c r="H644" s="4"/>
      <c r="I644" s="4"/>
      <c r="J644" s="4"/>
      <c r="K644" s="242"/>
      <c r="L644" s="4"/>
      <c r="M644" s="4"/>
      <c r="N644" s="4"/>
      <c r="O644" s="4"/>
      <c r="P644" s="4"/>
      <c r="Q644" s="4"/>
      <c r="R644" s="4"/>
      <c r="S644" s="4"/>
      <c r="T644" s="4"/>
      <c r="U644" s="4"/>
      <c r="V644" s="4"/>
      <c r="W644" s="4"/>
      <c r="X644" s="4"/>
      <c r="Y644" s="4"/>
      <c r="Z644" s="4"/>
      <c r="AA644" s="4"/>
      <c r="AB644" s="4"/>
      <c r="AC644" s="4"/>
      <c r="AD644" s="4"/>
      <c r="AE644" s="4"/>
      <c r="AF644" s="4"/>
      <c r="AG644" s="4"/>
      <c r="AH644" s="4"/>
      <c r="AI644" s="4"/>
      <c r="AJ644" s="4"/>
      <c r="AK644" s="4"/>
      <c r="AL644" s="4"/>
      <c r="AM644" s="4"/>
      <c r="AN644" s="4"/>
      <c r="AO644" s="4"/>
      <c r="AP644" s="4"/>
      <c r="AQ644" s="4"/>
      <c r="AR644" s="4"/>
      <c r="AS644" s="4"/>
      <c r="AT644" s="4"/>
      <c r="AU644" s="4"/>
      <c r="AV644" s="4"/>
      <c r="AW644" s="4"/>
      <c r="AX644" s="4"/>
      <c r="AY644" s="4"/>
      <c r="AZ644" s="4"/>
      <c r="BA644" s="4"/>
      <c r="BB644" s="4"/>
      <c r="BC644" s="4"/>
      <c r="BD644" s="4"/>
      <c r="BE644" s="4"/>
      <c r="BF644" s="4"/>
      <c r="BG644" s="4"/>
      <c r="BH644" s="4"/>
      <c r="BI644" s="4"/>
      <c r="BJ644" s="4"/>
      <c r="BK644" s="4"/>
      <c r="BL644" s="4"/>
      <c r="BM644" s="4"/>
      <c r="BN644" s="4"/>
      <c r="BO644" s="4"/>
      <c r="BP644" s="4"/>
      <c r="BQ644" s="4"/>
      <c r="BR644" s="4"/>
      <c r="BS644" s="4"/>
      <c r="BT644" s="4"/>
      <c r="BU644" s="4"/>
      <c r="BV644" s="4"/>
      <c r="BW644" s="4"/>
      <c r="BX644" s="4"/>
      <c r="BY644" s="4"/>
      <c r="BZ644" s="4"/>
      <c r="CA644" s="4"/>
      <c r="CB644" s="4"/>
      <c r="CC644" s="4"/>
      <c r="CD644" s="4"/>
      <c r="CE644" s="4"/>
      <c r="CF644" s="4"/>
      <c r="CG644" s="4"/>
      <c r="CH644" s="4"/>
      <c r="CI644" s="4"/>
    </row>
    <row r="645" ht="14.25" customHeight="1" spans="1:87" x14ac:dyDescent="0.25">
      <c r="A645" s="4"/>
      <c r="B645" s="4"/>
      <c r="C645" s="4"/>
      <c r="D645" s="4"/>
      <c r="E645" s="4"/>
      <c r="F645" s="4"/>
      <c r="G645" s="4"/>
      <c r="H645" s="4"/>
      <c r="I645" s="4"/>
      <c r="J645" s="4"/>
      <c r="K645" s="242"/>
      <c r="L645" s="4"/>
      <c r="M645" s="4"/>
      <c r="N645" s="4"/>
      <c r="O645" s="4"/>
      <c r="P645" s="4"/>
      <c r="Q645" s="4"/>
      <c r="R645" s="4"/>
      <c r="S645" s="4"/>
      <c r="T645" s="4"/>
      <c r="U645" s="4"/>
      <c r="V645" s="4"/>
      <c r="W645" s="4"/>
      <c r="X645" s="4"/>
      <c r="Y645" s="4"/>
      <c r="Z645" s="4"/>
      <c r="AA645" s="4"/>
      <c r="AB645" s="4"/>
      <c r="AC645" s="4"/>
      <c r="AD645" s="4"/>
      <c r="AE645" s="4"/>
      <c r="AF645" s="4"/>
      <c r="AG645" s="4"/>
      <c r="AH645" s="4"/>
      <c r="AI645" s="4"/>
      <c r="AJ645" s="4"/>
      <c r="AK645" s="4"/>
      <c r="AL645" s="4"/>
      <c r="AM645" s="4"/>
      <c r="AN645" s="4"/>
      <c r="AO645" s="4"/>
      <c r="AP645" s="4"/>
      <c r="AQ645" s="4"/>
      <c r="AR645" s="4"/>
      <c r="AS645" s="4"/>
      <c r="AT645" s="4"/>
      <c r="AU645" s="4"/>
      <c r="AV645" s="4"/>
      <c r="AW645" s="4"/>
      <c r="AX645" s="4"/>
      <c r="AY645" s="4"/>
      <c r="AZ645" s="4"/>
      <c r="BA645" s="4"/>
      <c r="BB645" s="4"/>
      <c r="BC645" s="4"/>
      <c r="BD645" s="4"/>
      <c r="BE645" s="4"/>
      <c r="BF645" s="4"/>
      <c r="BG645" s="4"/>
      <c r="BH645" s="4"/>
      <c r="BI645" s="4"/>
      <c r="BJ645" s="4"/>
      <c r="BK645" s="4"/>
      <c r="BL645" s="4"/>
      <c r="BM645" s="4"/>
      <c r="BN645" s="4"/>
      <c r="BO645" s="4"/>
      <c r="BP645" s="4"/>
      <c r="BQ645" s="4"/>
      <c r="BR645" s="4"/>
      <c r="BS645" s="4"/>
      <c r="BT645" s="4"/>
      <c r="BU645" s="4"/>
      <c r="BV645" s="4"/>
      <c r="BW645" s="4"/>
      <c r="BX645" s="4"/>
      <c r="BY645" s="4"/>
      <c r="BZ645" s="4"/>
      <c r="CA645" s="4"/>
      <c r="CB645" s="4"/>
      <c r="CC645" s="4"/>
      <c r="CD645" s="4"/>
      <c r="CE645" s="4"/>
      <c r="CF645" s="4"/>
      <c r="CG645" s="4"/>
      <c r="CH645" s="4"/>
      <c r="CI645" s="4"/>
    </row>
    <row r="646" ht="14.25" customHeight="1" spans="1:87" x14ac:dyDescent="0.25">
      <c r="A646" s="4"/>
      <c r="B646" s="4"/>
      <c r="C646" s="4"/>
      <c r="D646" s="4"/>
      <c r="E646" s="4"/>
      <c r="F646" s="4"/>
      <c r="G646" s="4"/>
      <c r="H646" s="4"/>
      <c r="I646" s="4"/>
      <c r="J646" s="4"/>
      <c r="K646" s="242"/>
      <c r="L646" s="4"/>
      <c r="M646" s="4"/>
      <c r="N646" s="4"/>
      <c r="O646" s="4"/>
      <c r="P646" s="4"/>
      <c r="Q646" s="4"/>
      <c r="R646" s="4"/>
      <c r="S646" s="4"/>
      <c r="T646" s="4"/>
      <c r="U646" s="4"/>
      <c r="V646" s="4"/>
      <c r="W646" s="4"/>
      <c r="X646" s="4"/>
      <c r="Y646" s="4"/>
      <c r="Z646" s="4"/>
      <c r="AA646" s="4"/>
      <c r="AB646" s="4"/>
      <c r="AC646" s="4"/>
      <c r="AD646" s="4"/>
      <c r="AE646" s="4"/>
      <c r="AF646" s="4"/>
      <c r="AG646" s="4"/>
      <c r="AH646" s="4"/>
      <c r="AI646" s="4"/>
      <c r="AJ646" s="4"/>
      <c r="AK646" s="4"/>
      <c r="AL646" s="4"/>
      <c r="AM646" s="4"/>
      <c r="AN646" s="4"/>
      <c r="AO646" s="4"/>
      <c r="AP646" s="4"/>
      <c r="AQ646" s="4"/>
      <c r="AR646" s="4"/>
      <c r="AS646" s="4"/>
      <c r="AT646" s="4"/>
      <c r="AU646" s="4"/>
      <c r="AV646" s="4"/>
      <c r="AW646" s="4"/>
      <c r="AX646" s="4"/>
      <c r="AY646" s="4"/>
      <c r="AZ646" s="4"/>
      <c r="BA646" s="4"/>
      <c r="BB646" s="4"/>
      <c r="BC646" s="4"/>
      <c r="BD646" s="4"/>
      <c r="BE646" s="4"/>
      <c r="BF646" s="4"/>
      <c r="BG646" s="4"/>
      <c r="BH646" s="4"/>
      <c r="BI646" s="4"/>
      <c r="BJ646" s="4"/>
      <c r="BK646" s="4"/>
      <c r="BL646" s="4"/>
      <c r="BM646" s="4"/>
      <c r="BN646" s="4"/>
      <c r="BO646" s="4"/>
      <c r="BP646" s="4"/>
      <c r="BQ646" s="4"/>
      <c r="BR646" s="4"/>
      <c r="BS646" s="4"/>
      <c r="BT646" s="4"/>
      <c r="BU646" s="4"/>
      <c r="BV646" s="4"/>
      <c r="BW646" s="4"/>
      <c r="BX646" s="4"/>
      <c r="BY646" s="4"/>
      <c r="BZ646" s="4"/>
      <c r="CA646" s="4"/>
      <c r="CB646" s="4"/>
      <c r="CC646" s="4"/>
      <c r="CD646" s="4"/>
      <c r="CE646" s="4"/>
      <c r="CF646" s="4"/>
      <c r="CG646" s="4"/>
      <c r="CH646" s="4"/>
      <c r="CI646" s="4"/>
    </row>
    <row r="647" ht="14.25" customHeight="1" spans="1:87" x14ac:dyDescent="0.25">
      <c r="A647" s="4"/>
      <c r="B647" s="4"/>
      <c r="C647" s="4"/>
      <c r="D647" s="4"/>
      <c r="E647" s="4"/>
      <c r="F647" s="4"/>
      <c r="G647" s="4"/>
      <c r="H647" s="4"/>
      <c r="I647" s="4"/>
      <c r="J647" s="4"/>
      <c r="K647" s="242"/>
      <c r="L647" s="4"/>
      <c r="M647" s="4"/>
      <c r="N647" s="4"/>
      <c r="O647" s="4"/>
      <c r="P647" s="4"/>
      <c r="Q647" s="4"/>
      <c r="R647" s="4"/>
      <c r="S647" s="4"/>
      <c r="T647" s="4"/>
      <c r="U647" s="4"/>
      <c r="V647" s="4"/>
      <c r="W647" s="4"/>
      <c r="X647" s="4"/>
      <c r="Y647" s="4"/>
      <c r="Z647" s="4"/>
      <c r="AA647" s="4"/>
      <c r="AB647" s="4"/>
      <c r="AC647" s="4"/>
      <c r="AD647" s="4"/>
      <c r="AE647" s="4"/>
      <c r="AF647" s="4"/>
      <c r="AG647" s="4"/>
      <c r="AH647" s="4"/>
      <c r="AI647" s="4"/>
      <c r="AJ647" s="4"/>
      <c r="AK647" s="4"/>
      <c r="AL647" s="4"/>
      <c r="AM647" s="4"/>
      <c r="AN647" s="4"/>
      <c r="AO647" s="4"/>
      <c r="AP647" s="4"/>
      <c r="AQ647" s="4"/>
      <c r="AR647" s="4"/>
      <c r="AS647" s="4"/>
      <c r="AT647" s="4"/>
      <c r="AU647" s="4"/>
      <c r="AV647" s="4"/>
      <c r="AW647" s="4"/>
      <c r="AX647" s="4"/>
      <c r="AY647" s="4"/>
      <c r="AZ647" s="4"/>
      <c r="BA647" s="4"/>
      <c r="BB647" s="4"/>
      <c r="BC647" s="4"/>
      <c r="BD647" s="4"/>
      <c r="BE647" s="4"/>
      <c r="BF647" s="4"/>
      <c r="BG647" s="4"/>
      <c r="BH647" s="4"/>
      <c r="BI647" s="4"/>
      <c r="BJ647" s="4"/>
      <c r="BK647" s="4"/>
      <c r="BL647" s="4"/>
      <c r="BM647" s="4"/>
      <c r="BN647" s="4"/>
      <c r="BO647" s="4"/>
      <c r="BP647" s="4"/>
      <c r="BQ647" s="4"/>
      <c r="BR647" s="4"/>
      <c r="BS647" s="4"/>
      <c r="BT647" s="4"/>
      <c r="BU647" s="4"/>
      <c r="BV647" s="4"/>
      <c r="BW647" s="4"/>
      <c r="BX647" s="4"/>
      <c r="BY647" s="4"/>
      <c r="BZ647" s="4"/>
      <c r="CA647" s="4"/>
      <c r="CB647" s="4"/>
      <c r="CC647" s="4"/>
      <c r="CD647" s="4"/>
      <c r="CE647" s="4"/>
      <c r="CF647" s="4"/>
      <c r="CG647" s="4"/>
      <c r="CH647" s="4"/>
      <c r="CI647" s="4"/>
    </row>
    <row r="648" ht="14.25" customHeight="1" spans="1:87" x14ac:dyDescent="0.25">
      <c r="A648" s="4"/>
      <c r="B648" s="4"/>
      <c r="C648" s="4"/>
      <c r="D648" s="4"/>
      <c r="E648" s="4"/>
      <c r="F648" s="4"/>
      <c r="G648" s="4"/>
      <c r="H648" s="4"/>
      <c r="I648" s="4"/>
      <c r="J648" s="4"/>
      <c r="K648" s="242"/>
      <c r="L648" s="4"/>
      <c r="M648" s="4"/>
      <c r="N648" s="4"/>
      <c r="O648" s="4"/>
      <c r="P648" s="4"/>
      <c r="Q648" s="4"/>
      <c r="R648" s="4"/>
      <c r="S648" s="4"/>
      <c r="T648" s="4"/>
      <c r="U648" s="4"/>
      <c r="V648" s="4"/>
      <c r="W648" s="4"/>
      <c r="X648" s="4"/>
      <c r="Y648" s="4"/>
      <c r="Z648" s="4"/>
      <c r="AA648" s="4"/>
      <c r="AB648" s="4"/>
      <c r="AC648" s="4"/>
      <c r="AD648" s="4"/>
      <c r="AE648" s="4"/>
      <c r="AF648" s="4"/>
      <c r="AG648" s="4"/>
      <c r="AH648" s="4"/>
      <c r="AI648" s="4"/>
      <c r="AJ648" s="4"/>
      <c r="AK648" s="4"/>
      <c r="AL648" s="4"/>
      <c r="AM648" s="4"/>
      <c r="AN648" s="4"/>
      <c r="AO648" s="4"/>
      <c r="AP648" s="4"/>
      <c r="AQ648" s="4"/>
      <c r="AR648" s="4"/>
      <c r="AS648" s="4"/>
      <c r="AT648" s="4"/>
      <c r="AU648" s="4"/>
      <c r="AV648" s="4"/>
      <c r="AW648" s="4"/>
      <c r="AX648" s="4"/>
      <c r="AY648" s="4"/>
      <c r="AZ648" s="4"/>
      <c r="BA648" s="4"/>
      <c r="BB648" s="4"/>
      <c r="BC648" s="4"/>
      <c r="BD648" s="4"/>
      <c r="BE648" s="4"/>
      <c r="BF648" s="4"/>
      <c r="BG648" s="4"/>
      <c r="BH648" s="4"/>
      <c r="BI648" s="4"/>
      <c r="BJ648" s="4"/>
      <c r="BK648" s="4"/>
      <c r="BL648" s="4"/>
      <c r="BM648" s="4"/>
      <c r="BN648" s="4"/>
      <c r="BO648" s="4"/>
      <c r="BP648" s="4"/>
      <c r="BQ648" s="4"/>
      <c r="BR648" s="4"/>
      <c r="BS648" s="4"/>
      <c r="BT648" s="4"/>
      <c r="BU648" s="4"/>
      <c r="BV648" s="4"/>
      <c r="BW648" s="4"/>
      <c r="BX648" s="4"/>
      <c r="BY648" s="4"/>
      <c r="BZ648" s="4"/>
      <c r="CA648" s="4"/>
      <c r="CB648" s="4"/>
      <c r="CC648" s="4"/>
      <c r="CD648" s="4"/>
      <c r="CE648" s="4"/>
      <c r="CF648" s="4"/>
      <c r="CG648" s="4"/>
      <c r="CH648" s="4"/>
      <c r="CI648" s="4"/>
    </row>
    <row r="649" ht="14.25" customHeight="1" spans="1:87" x14ac:dyDescent="0.25">
      <c r="A649" s="4"/>
      <c r="B649" s="4"/>
      <c r="C649" s="4"/>
      <c r="D649" s="4"/>
      <c r="E649" s="4"/>
      <c r="F649" s="4"/>
      <c r="G649" s="4"/>
      <c r="H649" s="4"/>
      <c r="I649" s="4"/>
      <c r="J649" s="4"/>
      <c r="K649" s="242"/>
      <c r="L649" s="4"/>
      <c r="M649" s="4"/>
      <c r="N649" s="4"/>
      <c r="O649" s="4"/>
      <c r="P649" s="4"/>
      <c r="Q649" s="4"/>
      <c r="R649" s="4"/>
      <c r="S649" s="4"/>
      <c r="T649" s="4"/>
      <c r="U649" s="4"/>
      <c r="V649" s="4"/>
      <c r="W649" s="4"/>
      <c r="X649" s="4"/>
      <c r="Y649" s="4"/>
      <c r="Z649" s="4"/>
      <c r="AA649" s="4"/>
      <c r="AB649" s="4"/>
      <c r="AC649" s="4"/>
      <c r="AD649" s="4"/>
      <c r="AE649" s="4"/>
      <c r="AF649" s="4"/>
      <c r="AG649" s="4"/>
      <c r="AH649" s="4"/>
      <c r="AI649" s="4"/>
      <c r="AJ649" s="4"/>
      <c r="AK649" s="4"/>
      <c r="AL649" s="4"/>
      <c r="AM649" s="4"/>
      <c r="AN649" s="4"/>
      <c r="AO649" s="4"/>
      <c r="AP649" s="4"/>
      <c r="AQ649" s="4"/>
      <c r="AR649" s="4"/>
      <c r="AS649" s="4"/>
      <c r="AT649" s="4"/>
      <c r="AU649" s="4"/>
      <c r="AV649" s="4"/>
      <c r="AW649" s="4"/>
      <c r="AX649" s="4"/>
      <c r="AY649" s="4"/>
      <c r="AZ649" s="4"/>
      <c r="BA649" s="4"/>
      <c r="BB649" s="4"/>
      <c r="BC649" s="4"/>
      <c r="BD649" s="4"/>
      <c r="BE649" s="4"/>
      <c r="BF649" s="4"/>
      <c r="BG649" s="4"/>
      <c r="BH649" s="4"/>
      <c r="BI649" s="4"/>
      <c r="BJ649" s="4"/>
      <c r="BK649" s="4"/>
      <c r="BL649" s="4"/>
      <c r="BM649" s="4"/>
      <c r="BN649" s="4"/>
      <c r="BO649" s="4"/>
      <c r="BP649" s="4"/>
      <c r="BQ649" s="4"/>
      <c r="BR649" s="4"/>
      <c r="BS649" s="4"/>
      <c r="BT649" s="4"/>
      <c r="BU649" s="4"/>
      <c r="BV649" s="4"/>
      <c r="BW649" s="4"/>
      <c r="BX649" s="4"/>
      <c r="BY649" s="4"/>
      <c r="BZ649" s="4"/>
      <c r="CA649" s="4"/>
      <c r="CB649" s="4"/>
      <c r="CC649" s="4"/>
      <c r="CD649" s="4"/>
      <c r="CE649" s="4"/>
      <c r="CF649" s="4"/>
      <c r="CG649" s="4"/>
      <c r="CH649" s="4"/>
      <c r="CI649" s="4"/>
    </row>
    <row r="650" ht="14.25" customHeight="1" spans="1:87" x14ac:dyDescent="0.25">
      <c r="A650" s="4"/>
      <c r="B650" s="4"/>
      <c r="C650" s="4"/>
      <c r="D650" s="4"/>
      <c r="E650" s="4"/>
      <c r="F650" s="4"/>
      <c r="G650" s="4"/>
      <c r="H650" s="4"/>
      <c r="I650" s="4"/>
      <c r="J650" s="4"/>
      <c r="K650" s="242"/>
      <c r="L650" s="4"/>
      <c r="M650" s="4"/>
      <c r="N650" s="4"/>
      <c r="O650" s="4"/>
      <c r="P650" s="4"/>
      <c r="Q650" s="4"/>
      <c r="R650" s="4"/>
      <c r="S650" s="4"/>
      <c r="T650" s="4"/>
      <c r="U650" s="4"/>
      <c r="V650" s="4"/>
      <c r="W650" s="4"/>
      <c r="X650" s="4"/>
      <c r="Y650" s="4"/>
      <c r="Z650" s="4"/>
      <c r="AA650" s="4"/>
      <c r="AB650" s="4"/>
      <c r="AC650" s="4"/>
      <c r="AD650" s="4"/>
      <c r="AE650" s="4"/>
      <c r="AF650" s="4"/>
      <c r="AG650" s="4"/>
      <c r="AH650" s="4"/>
      <c r="AI650" s="4"/>
      <c r="AJ650" s="4"/>
      <c r="AK650" s="4"/>
      <c r="AL650" s="4"/>
      <c r="AM650" s="4"/>
      <c r="AN650" s="4"/>
      <c r="AO650" s="4"/>
      <c r="AP650" s="4"/>
      <c r="AQ650" s="4"/>
      <c r="AR650" s="4"/>
      <c r="AS650" s="4"/>
      <c r="AT650" s="4"/>
      <c r="AU650" s="4"/>
      <c r="AV650" s="4"/>
      <c r="AW650" s="4"/>
      <c r="AX650" s="4"/>
      <c r="AY650" s="4"/>
      <c r="AZ650" s="4"/>
      <c r="BA650" s="4"/>
      <c r="BB650" s="4"/>
      <c r="BC650" s="4"/>
      <c r="BD650" s="4"/>
      <c r="BE650" s="4"/>
      <c r="BF650" s="4"/>
      <c r="BG650" s="4"/>
      <c r="BH650" s="4"/>
      <c r="BI650" s="4"/>
      <c r="BJ650" s="4"/>
      <c r="BK650" s="4"/>
      <c r="BL650" s="4"/>
      <c r="BM650" s="4"/>
      <c r="BN650" s="4"/>
      <c r="BO650" s="4"/>
      <c r="BP650" s="4"/>
      <c r="BQ650" s="4"/>
      <c r="BR650" s="4"/>
      <c r="BS650" s="4"/>
      <c r="BT650" s="4"/>
      <c r="BU650" s="4"/>
      <c r="BV650" s="4"/>
      <c r="BW650" s="4"/>
      <c r="BX650" s="4"/>
      <c r="BY650" s="4"/>
      <c r="BZ650" s="4"/>
      <c r="CA650" s="4"/>
      <c r="CB650" s="4"/>
      <c r="CC650" s="4"/>
      <c r="CD650" s="4"/>
      <c r="CE650" s="4"/>
      <c r="CF650" s="4"/>
      <c r="CG650" s="4"/>
      <c r="CH650" s="4"/>
      <c r="CI650" s="4"/>
    </row>
    <row r="651" ht="14.25" customHeight="1" spans="1:87" x14ac:dyDescent="0.25">
      <c r="A651" s="4"/>
      <c r="B651" s="4"/>
      <c r="C651" s="4"/>
      <c r="D651" s="4"/>
      <c r="E651" s="4"/>
      <c r="F651" s="4"/>
      <c r="G651" s="4"/>
      <c r="H651" s="4"/>
      <c r="I651" s="4"/>
      <c r="J651" s="4"/>
      <c r="K651" s="242"/>
      <c r="L651" s="4"/>
      <c r="M651" s="4"/>
      <c r="N651" s="4"/>
      <c r="O651" s="4"/>
      <c r="P651" s="4"/>
      <c r="Q651" s="4"/>
      <c r="R651" s="4"/>
      <c r="S651" s="4"/>
      <c r="T651" s="4"/>
      <c r="U651" s="4"/>
      <c r="V651" s="4"/>
      <c r="W651" s="4"/>
      <c r="X651" s="4"/>
      <c r="Y651" s="4"/>
      <c r="Z651" s="4"/>
      <c r="AA651" s="4"/>
      <c r="AB651" s="4"/>
      <c r="AC651" s="4"/>
      <c r="AD651" s="4"/>
      <c r="AE651" s="4"/>
      <c r="AF651" s="4"/>
      <c r="AG651" s="4"/>
      <c r="AH651" s="4"/>
      <c r="AI651" s="4"/>
      <c r="AJ651" s="4"/>
      <c r="AK651" s="4"/>
      <c r="AL651" s="4"/>
      <c r="AM651" s="4"/>
      <c r="AN651" s="4"/>
      <c r="AO651" s="4"/>
      <c r="AP651" s="4"/>
      <c r="AQ651" s="4"/>
      <c r="AR651" s="4"/>
      <c r="AS651" s="4"/>
      <c r="AT651" s="4"/>
      <c r="AU651" s="4"/>
      <c r="AV651" s="4"/>
      <c r="AW651" s="4"/>
      <c r="AX651" s="4"/>
      <c r="AY651" s="4"/>
      <c r="AZ651" s="4"/>
      <c r="BA651" s="4"/>
      <c r="BB651" s="4"/>
      <c r="BC651" s="4"/>
      <c r="BD651" s="4"/>
      <c r="BE651" s="4"/>
      <c r="BF651" s="4"/>
      <c r="BG651" s="4"/>
      <c r="BH651" s="4"/>
      <c r="BI651" s="4"/>
      <c r="BJ651" s="4"/>
      <c r="BK651" s="4"/>
      <c r="BL651" s="4"/>
      <c r="BM651" s="4"/>
      <c r="BN651" s="4"/>
      <c r="BO651" s="4"/>
      <c r="BP651" s="4"/>
      <c r="BQ651" s="4"/>
      <c r="BR651" s="4"/>
      <c r="BS651" s="4"/>
      <c r="BT651" s="4"/>
      <c r="BU651" s="4"/>
      <c r="BV651" s="4"/>
      <c r="BW651" s="4"/>
      <c r="BX651" s="4"/>
      <c r="BY651" s="4"/>
      <c r="BZ651" s="4"/>
      <c r="CA651" s="4"/>
      <c r="CB651" s="4"/>
      <c r="CC651" s="4"/>
      <c r="CD651" s="4"/>
      <c r="CE651" s="4"/>
      <c r="CF651" s="4"/>
      <c r="CG651" s="4"/>
      <c r="CH651" s="4"/>
      <c r="CI651" s="4"/>
    </row>
    <row r="652" ht="14.25" customHeight="1" spans="1:87" x14ac:dyDescent="0.25">
      <c r="A652" s="4"/>
      <c r="B652" s="4"/>
      <c r="C652" s="4"/>
      <c r="D652" s="4"/>
      <c r="E652" s="4"/>
      <c r="F652" s="4"/>
      <c r="G652" s="4"/>
      <c r="H652" s="4"/>
      <c r="I652" s="4"/>
      <c r="J652" s="4"/>
      <c r="K652" s="242"/>
      <c r="L652" s="4"/>
      <c r="M652" s="4"/>
      <c r="N652" s="4"/>
      <c r="O652" s="4"/>
      <c r="P652" s="4"/>
      <c r="Q652" s="4"/>
      <c r="R652" s="4"/>
      <c r="S652" s="4"/>
      <c r="T652" s="4"/>
      <c r="U652" s="4"/>
      <c r="V652" s="4"/>
      <c r="W652" s="4"/>
      <c r="X652" s="4"/>
      <c r="Y652" s="4"/>
      <c r="Z652" s="4"/>
      <c r="AA652" s="4"/>
      <c r="AB652" s="4"/>
      <c r="AC652" s="4"/>
      <c r="AD652" s="4"/>
      <c r="AE652" s="4"/>
      <c r="AF652" s="4"/>
      <c r="AG652" s="4"/>
      <c r="AH652" s="4"/>
      <c r="AI652" s="4"/>
      <c r="AJ652" s="4"/>
      <c r="AK652" s="4"/>
      <c r="AL652" s="4"/>
      <c r="AM652" s="4"/>
      <c r="AN652" s="4"/>
      <c r="AO652" s="4"/>
      <c r="AP652" s="4"/>
      <c r="AQ652" s="4"/>
      <c r="AR652" s="4"/>
      <c r="AS652" s="4"/>
      <c r="AT652" s="4"/>
      <c r="AU652" s="4"/>
      <c r="AV652" s="4"/>
      <c r="AW652" s="4"/>
      <c r="AX652" s="4"/>
      <c r="AY652" s="4"/>
      <c r="AZ652" s="4"/>
      <c r="BA652" s="4"/>
      <c r="BB652" s="4"/>
      <c r="BC652" s="4"/>
      <c r="BD652" s="4"/>
      <c r="BE652" s="4"/>
      <c r="BF652" s="4"/>
      <c r="BG652" s="4"/>
      <c r="BH652" s="4"/>
      <c r="BI652" s="4"/>
      <c r="BJ652" s="4"/>
      <c r="BK652" s="4"/>
      <c r="BL652" s="4"/>
      <c r="BM652" s="4"/>
      <c r="BN652" s="4"/>
      <c r="BO652" s="4"/>
      <c r="BP652" s="4"/>
      <c r="BQ652" s="4"/>
      <c r="BR652" s="4"/>
      <c r="BS652" s="4"/>
      <c r="BT652" s="4"/>
      <c r="BU652" s="4"/>
      <c r="BV652" s="4"/>
      <c r="BW652" s="4"/>
      <c r="BX652" s="4"/>
      <c r="BY652" s="4"/>
      <c r="BZ652" s="4"/>
      <c r="CA652" s="4"/>
      <c r="CB652" s="4"/>
      <c r="CC652" s="4"/>
      <c r="CD652" s="4"/>
      <c r="CE652" s="4"/>
      <c r="CF652" s="4"/>
      <c r="CG652" s="4"/>
      <c r="CH652" s="4"/>
      <c r="CI652" s="4"/>
    </row>
    <row r="653" ht="14.25" customHeight="1" spans="1:87" x14ac:dyDescent="0.25">
      <c r="A653" s="4"/>
      <c r="B653" s="4"/>
      <c r="C653" s="4"/>
      <c r="D653" s="4"/>
      <c r="E653" s="4"/>
      <c r="F653" s="4"/>
      <c r="G653" s="4"/>
      <c r="H653" s="4"/>
      <c r="I653" s="4"/>
      <c r="J653" s="4"/>
      <c r="K653" s="242"/>
      <c r="L653" s="4"/>
      <c r="M653" s="4"/>
      <c r="N653" s="4"/>
      <c r="O653" s="4"/>
      <c r="P653" s="4"/>
      <c r="Q653" s="4"/>
      <c r="R653" s="4"/>
      <c r="S653" s="4"/>
      <c r="T653" s="4"/>
      <c r="U653" s="4"/>
      <c r="V653" s="4"/>
      <c r="W653" s="4"/>
      <c r="X653" s="4"/>
      <c r="Y653" s="4"/>
      <c r="Z653" s="4"/>
      <c r="AA653" s="4"/>
      <c r="AB653" s="4"/>
      <c r="AC653" s="4"/>
      <c r="AD653" s="4"/>
      <c r="AE653" s="4"/>
      <c r="AF653" s="4"/>
      <c r="AG653" s="4"/>
      <c r="AH653" s="4"/>
      <c r="AI653" s="4"/>
      <c r="AJ653" s="4"/>
      <c r="AK653" s="4"/>
      <c r="AL653" s="4"/>
      <c r="AM653" s="4"/>
      <c r="AN653" s="4"/>
      <c r="AO653" s="4"/>
      <c r="AP653" s="4"/>
      <c r="AQ653" s="4"/>
      <c r="AR653" s="4"/>
      <c r="AS653" s="4"/>
      <c r="AT653" s="4"/>
      <c r="AU653" s="4"/>
      <c r="AV653" s="4"/>
      <c r="AW653" s="4"/>
      <c r="AX653" s="4"/>
      <c r="AY653" s="4"/>
      <c r="AZ653" s="4"/>
      <c r="BA653" s="4"/>
      <c r="BB653" s="4"/>
      <c r="BC653" s="4"/>
      <c r="BD653" s="4"/>
      <c r="BE653" s="4"/>
      <c r="BF653" s="4"/>
      <c r="BG653" s="4"/>
      <c r="BH653" s="4"/>
      <c r="BI653" s="4"/>
      <c r="BJ653" s="4"/>
      <c r="BK653" s="4"/>
      <c r="BL653" s="4"/>
      <c r="BM653" s="4"/>
      <c r="BN653" s="4"/>
      <c r="BO653" s="4"/>
      <c r="BP653" s="4"/>
      <c r="BQ653" s="4"/>
      <c r="BR653" s="4"/>
      <c r="BS653" s="4"/>
      <c r="BT653" s="4"/>
      <c r="BU653" s="4"/>
      <c r="BV653" s="4"/>
      <c r="BW653" s="4"/>
      <c r="BX653" s="4"/>
      <c r="BY653" s="4"/>
      <c r="BZ653" s="4"/>
      <c r="CA653" s="4"/>
      <c r="CB653" s="4"/>
      <c r="CC653" s="4"/>
      <c r="CD653" s="4"/>
      <c r="CE653" s="4"/>
      <c r="CF653" s="4"/>
      <c r="CG653" s="4"/>
      <c r="CH653" s="4"/>
      <c r="CI653" s="4"/>
    </row>
    <row r="654" ht="14.25" customHeight="1" spans="1:87" x14ac:dyDescent="0.25">
      <c r="A654" s="4"/>
      <c r="B654" s="4"/>
      <c r="C654" s="4"/>
      <c r="D654" s="4"/>
      <c r="E654" s="4"/>
      <c r="F654" s="4"/>
      <c r="G654" s="4"/>
      <c r="H654" s="4"/>
      <c r="I654" s="4"/>
      <c r="J654" s="4"/>
      <c r="K654" s="242"/>
      <c r="L654" s="4"/>
      <c r="M654" s="4"/>
      <c r="N654" s="4"/>
      <c r="O654" s="4"/>
      <c r="P654" s="4"/>
      <c r="Q654" s="4"/>
      <c r="R654" s="4"/>
      <c r="S654" s="4"/>
      <c r="T654" s="4"/>
      <c r="U654" s="4"/>
      <c r="V654" s="4"/>
      <c r="W654" s="4"/>
      <c r="X654" s="4"/>
      <c r="Y654" s="4"/>
      <c r="Z654" s="4"/>
      <c r="AA654" s="4"/>
      <c r="AB654" s="4"/>
      <c r="AC654" s="4"/>
      <c r="AD654" s="4"/>
      <c r="AE654" s="4"/>
      <c r="AF654" s="4"/>
      <c r="AG654" s="4"/>
      <c r="AH654" s="4"/>
      <c r="AI654" s="4"/>
      <c r="AJ654" s="4"/>
      <c r="AK654" s="4"/>
      <c r="AL654" s="4"/>
      <c r="AM654" s="4"/>
      <c r="AN654" s="4"/>
      <c r="AO654" s="4"/>
      <c r="AP654" s="4"/>
      <c r="AQ654" s="4"/>
      <c r="AR654" s="4"/>
      <c r="AS654" s="4"/>
      <c r="AT654" s="4"/>
      <c r="AU654" s="4"/>
      <c r="AV654" s="4"/>
      <c r="AW654" s="4"/>
      <c r="AX654" s="4"/>
      <c r="AY654" s="4"/>
      <c r="AZ654" s="4"/>
      <c r="BA654" s="4"/>
      <c r="BB654" s="4"/>
      <c r="BC654" s="4"/>
      <c r="BD654" s="4"/>
      <c r="BE654" s="4"/>
      <c r="BF654" s="4"/>
      <c r="BG654" s="4"/>
      <c r="BH654" s="4"/>
      <c r="BI654" s="4"/>
      <c r="BJ654" s="4"/>
      <c r="BK654" s="4"/>
      <c r="BL654" s="4"/>
      <c r="BM654" s="4"/>
      <c r="BN654" s="4"/>
      <c r="BO654" s="4"/>
      <c r="BP654" s="4"/>
      <c r="BQ654" s="4"/>
      <c r="BR654" s="4"/>
      <c r="BS654" s="4"/>
      <c r="BT654" s="4"/>
      <c r="BU654" s="4"/>
      <c r="BV654" s="4"/>
      <c r="BW654" s="4"/>
      <c r="BX654" s="4"/>
      <c r="BY654" s="4"/>
      <c r="BZ654" s="4"/>
      <c r="CA654" s="4"/>
      <c r="CB654" s="4"/>
      <c r="CC654" s="4"/>
      <c r="CD654" s="4"/>
      <c r="CE654" s="4"/>
      <c r="CF654" s="4"/>
      <c r="CG654" s="4"/>
      <c r="CH654" s="4"/>
      <c r="CI654" s="4"/>
    </row>
    <row r="655" ht="14.25" customHeight="1" spans="1:87" x14ac:dyDescent="0.25">
      <c r="A655" s="4"/>
      <c r="B655" s="4"/>
      <c r="C655" s="4"/>
      <c r="D655" s="4"/>
      <c r="E655" s="4"/>
      <c r="F655" s="4"/>
      <c r="G655" s="4"/>
      <c r="H655" s="4"/>
      <c r="I655" s="4"/>
      <c r="J655" s="4"/>
      <c r="K655" s="242"/>
      <c r="L655" s="4"/>
      <c r="M655" s="4"/>
      <c r="N655" s="4"/>
      <c r="O655" s="4"/>
      <c r="P655" s="4"/>
      <c r="Q655" s="4"/>
      <c r="R655" s="4"/>
      <c r="S655" s="4"/>
      <c r="T655" s="4"/>
      <c r="U655" s="4"/>
      <c r="V655" s="4"/>
      <c r="W655" s="4"/>
      <c r="X655" s="4"/>
      <c r="Y655" s="4"/>
      <c r="Z655" s="4"/>
      <c r="AA655" s="4"/>
      <c r="AB655" s="4"/>
      <c r="AC655" s="4"/>
      <c r="AD655" s="4"/>
      <c r="AE655" s="4"/>
      <c r="AF655" s="4"/>
      <c r="AG655" s="4"/>
      <c r="AH655" s="4"/>
      <c r="AI655" s="4"/>
      <c r="AJ655" s="4"/>
      <c r="AK655" s="4"/>
      <c r="AL655" s="4"/>
      <c r="AM655" s="4"/>
      <c r="AN655" s="4"/>
      <c r="AO655" s="4"/>
      <c r="AP655" s="4"/>
      <c r="AQ655" s="4"/>
      <c r="AR655" s="4"/>
      <c r="AS655" s="4"/>
      <c r="AT655" s="4"/>
      <c r="AU655" s="4"/>
      <c r="AV655" s="4"/>
      <c r="AW655" s="4"/>
      <c r="AX655" s="4"/>
      <c r="AY655" s="4"/>
      <c r="AZ655" s="4"/>
      <c r="BA655" s="4"/>
      <c r="BB655" s="4"/>
      <c r="BC655" s="4"/>
      <c r="BD655" s="4"/>
      <c r="BE655" s="4"/>
      <c r="BF655" s="4"/>
      <c r="BG655" s="4"/>
      <c r="BH655" s="4"/>
      <c r="BI655" s="4"/>
      <c r="BJ655" s="4"/>
      <c r="BK655" s="4"/>
      <c r="BL655" s="4"/>
      <c r="BM655" s="4"/>
      <c r="BN655" s="4"/>
      <c r="BO655" s="4"/>
      <c r="BP655" s="4"/>
      <c r="BQ655" s="4"/>
      <c r="BR655" s="4"/>
      <c r="BS655" s="4"/>
      <c r="BT655" s="4"/>
      <c r="BU655" s="4"/>
      <c r="BV655" s="4"/>
      <c r="BW655" s="4"/>
      <c r="BX655" s="4"/>
      <c r="BY655" s="4"/>
      <c r="BZ655" s="4"/>
      <c r="CA655" s="4"/>
      <c r="CB655" s="4"/>
      <c r="CC655" s="4"/>
      <c r="CD655" s="4"/>
      <c r="CE655" s="4"/>
      <c r="CF655" s="4"/>
      <c r="CG655" s="4"/>
      <c r="CH655" s="4"/>
      <c r="CI655" s="4"/>
    </row>
    <row r="656" ht="14.25" customHeight="1" spans="1:87" x14ac:dyDescent="0.25">
      <c r="A656" s="4"/>
      <c r="B656" s="4"/>
      <c r="C656" s="4"/>
      <c r="D656" s="4"/>
      <c r="E656" s="4"/>
      <c r="F656" s="4"/>
      <c r="G656" s="4"/>
      <c r="H656" s="4"/>
      <c r="I656" s="4"/>
      <c r="J656" s="4"/>
      <c r="K656" s="242"/>
      <c r="L656" s="4"/>
      <c r="M656" s="4"/>
      <c r="N656" s="4"/>
      <c r="O656" s="4"/>
      <c r="P656" s="4"/>
      <c r="Q656" s="4"/>
      <c r="R656" s="4"/>
      <c r="S656" s="4"/>
      <c r="T656" s="4"/>
      <c r="U656" s="4"/>
      <c r="V656" s="4"/>
      <c r="W656" s="4"/>
      <c r="X656" s="4"/>
      <c r="Y656" s="4"/>
      <c r="Z656" s="4"/>
      <c r="AA656" s="4"/>
      <c r="AB656" s="4"/>
      <c r="AC656" s="4"/>
      <c r="AD656" s="4"/>
      <c r="AE656" s="4"/>
      <c r="AF656" s="4"/>
      <c r="AG656" s="4"/>
      <c r="AH656" s="4"/>
      <c r="AI656" s="4"/>
      <c r="AJ656" s="4"/>
      <c r="AK656" s="4"/>
      <c r="AL656" s="4"/>
      <c r="AM656" s="4"/>
      <c r="AN656" s="4"/>
      <c r="AO656" s="4"/>
      <c r="AP656" s="4"/>
      <c r="AQ656" s="4"/>
      <c r="AR656" s="4"/>
      <c r="AS656" s="4"/>
      <c r="AT656" s="4"/>
      <c r="AU656" s="4"/>
      <c r="AV656" s="4"/>
      <c r="AW656" s="4"/>
      <c r="AX656" s="4"/>
      <c r="AY656" s="4"/>
      <c r="AZ656" s="4"/>
      <c r="BA656" s="4"/>
      <c r="BB656" s="4"/>
      <c r="BC656" s="4"/>
      <c r="BD656" s="4"/>
      <c r="BE656" s="4"/>
      <c r="BF656" s="4"/>
      <c r="BG656" s="4"/>
      <c r="BH656" s="4"/>
      <c r="BI656" s="4"/>
      <c r="BJ656" s="4"/>
      <c r="BK656" s="4"/>
      <c r="BL656" s="4"/>
      <c r="BM656" s="4"/>
      <c r="BN656" s="4"/>
      <c r="BO656" s="4"/>
      <c r="BP656" s="4"/>
      <c r="BQ656" s="4"/>
      <c r="BR656" s="4"/>
      <c r="BS656" s="4"/>
      <c r="BT656" s="4"/>
      <c r="BU656" s="4"/>
      <c r="BV656" s="4"/>
      <c r="BW656" s="4"/>
      <c r="BX656" s="4"/>
      <c r="BY656" s="4"/>
      <c r="BZ656" s="4"/>
      <c r="CA656" s="4"/>
      <c r="CB656" s="4"/>
      <c r="CC656" s="4"/>
      <c r="CD656" s="4"/>
      <c r="CE656" s="4"/>
      <c r="CF656" s="4"/>
      <c r="CG656" s="4"/>
      <c r="CH656" s="4"/>
      <c r="CI656" s="4"/>
    </row>
    <row r="657" ht="14.25" customHeight="1" spans="1:87" x14ac:dyDescent="0.25">
      <c r="A657" s="4"/>
      <c r="B657" s="4"/>
      <c r="C657" s="4"/>
      <c r="D657" s="4"/>
      <c r="E657" s="4"/>
      <c r="F657" s="4"/>
      <c r="G657" s="4"/>
      <c r="H657" s="4"/>
      <c r="I657" s="4"/>
      <c r="J657" s="4"/>
      <c r="K657" s="242"/>
      <c r="L657" s="4"/>
      <c r="M657" s="4"/>
      <c r="N657" s="4"/>
      <c r="O657" s="4"/>
      <c r="P657" s="4"/>
      <c r="Q657" s="4"/>
      <c r="R657" s="4"/>
      <c r="S657" s="4"/>
      <c r="T657" s="4"/>
      <c r="U657" s="4"/>
      <c r="V657" s="4"/>
      <c r="W657" s="4"/>
      <c r="X657" s="4"/>
      <c r="Y657" s="4"/>
      <c r="Z657" s="4"/>
      <c r="AA657" s="4"/>
      <c r="AB657" s="4"/>
      <c r="AC657" s="4"/>
      <c r="AD657" s="4"/>
      <c r="AE657" s="4"/>
      <c r="AF657" s="4"/>
      <c r="AG657" s="4"/>
      <c r="AH657" s="4"/>
      <c r="AI657" s="4"/>
      <c r="AJ657" s="4"/>
      <c r="AK657" s="4"/>
      <c r="AL657" s="4"/>
      <c r="AM657" s="4"/>
      <c r="AN657" s="4"/>
      <c r="AO657" s="4"/>
      <c r="AP657" s="4"/>
      <c r="AQ657" s="4"/>
      <c r="AR657" s="4"/>
      <c r="AS657" s="4"/>
      <c r="AT657" s="4"/>
      <c r="AU657" s="4"/>
      <c r="AV657" s="4"/>
      <c r="AW657" s="4"/>
      <c r="AX657" s="4"/>
      <c r="AY657" s="4"/>
      <c r="AZ657" s="4"/>
      <c r="BA657" s="4"/>
      <c r="BB657" s="4"/>
      <c r="BC657" s="4"/>
      <c r="BD657" s="4"/>
      <c r="BE657" s="4"/>
      <c r="BF657" s="4"/>
      <c r="BG657" s="4"/>
      <c r="BH657" s="4"/>
      <c r="BI657" s="4"/>
      <c r="BJ657" s="4"/>
      <c r="BK657" s="4"/>
      <c r="BL657" s="4"/>
      <c r="BM657" s="4"/>
      <c r="BN657" s="4"/>
      <c r="BO657" s="4"/>
      <c r="BP657" s="4"/>
      <c r="BQ657" s="4"/>
      <c r="BR657" s="4"/>
      <c r="BS657" s="4"/>
      <c r="BT657" s="4"/>
      <c r="BU657" s="4"/>
      <c r="BV657" s="4"/>
      <c r="BW657" s="4"/>
      <c r="BX657" s="4"/>
      <c r="BY657" s="4"/>
      <c r="BZ657" s="4"/>
      <c r="CA657" s="4"/>
      <c r="CB657" s="4"/>
      <c r="CC657" s="4"/>
      <c r="CD657" s="4"/>
      <c r="CE657" s="4"/>
      <c r="CF657" s="4"/>
      <c r="CG657" s="4"/>
      <c r="CH657" s="4"/>
      <c r="CI657" s="4"/>
    </row>
    <row r="658" ht="14.25" customHeight="1" spans="1:87" x14ac:dyDescent="0.25">
      <c r="A658" s="4"/>
      <c r="B658" s="4"/>
      <c r="C658" s="4"/>
      <c r="D658" s="4"/>
      <c r="E658" s="4"/>
      <c r="F658" s="4"/>
      <c r="G658" s="4"/>
      <c r="H658" s="4"/>
      <c r="I658" s="4"/>
      <c r="J658" s="4"/>
      <c r="K658" s="242"/>
      <c r="L658" s="4"/>
      <c r="M658" s="4"/>
      <c r="N658" s="4"/>
      <c r="O658" s="4"/>
      <c r="P658" s="4"/>
      <c r="Q658" s="4"/>
      <c r="R658" s="4"/>
      <c r="S658" s="4"/>
      <c r="T658" s="4"/>
      <c r="U658" s="4"/>
      <c r="V658" s="4"/>
      <c r="W658" s="4"/>
      <c r="X658" s="4"/>
      <c r="Y658" s="4"/>
      <c r="Z658" s="4"/>
      <c r="AA658" s="4"/>
      <c r="AB658" s="4"/>
      <c r="AC658" s="4"/>
      <c r="AD658" s="4"/>
      <c r="AE658" s="4"/>
      <c r="AF658" s="4"/>
      <c r="AG658" s="4"/>
      <c r="AH658" s="4"/>
      <c r="AI658" s="4"/>
      <c r="AJ658" s="4"/>
      <c r="AK658" s="4"/>
      <c r="AL658" s="4"/>
      <c r="AM658" s="4"/>
      <c r="AN658" s="4"/>
      <c r="AO658" s="4"/>
      <c r="AP658" s="4"/>
      <c r="AQ658" s="4"/>
      <c r="AR658" s="4"/>
      <c r="AS658" s="4"/>
      <c r="AT658" s="4"/>
      <c r="AU658" s="4"/>
      <c r="AV658" s="4"/>
      <c r="AW658" s="4"/>
      <c r="AX658" s="4"/>
      <c r="AY658" s="4"/>
      <c r="AZ658" s="4"/>
      <c r="BA658" s="4"/>
      <c r="BB658" s="4"/>
      <c r="BC658" s="4"/>
      <c r="BD658" s="4"/>
      <c r="BE658" s="4"/>
      <c r="BF658" s="4"/>
      <c r="BG658" s="4"/>
      <c r="BH658" s="4"/>
      <c r="BI658" s="4"/>
      <c r="BJ658" s="4"/>
      <c r="BK658" s="4"/>
      <c r="BL658" s="4"/>
      <c r="BM658" s="4"/>
      <c r="BN658" s="4"/>
      <c r="BO658" s="4"/>
      <c r="BP658" s="4"/>
      <c r="BQ658" s="4"/>
      <c r="BR658" s="4"/>
      <c r="BS658" s="4"/>
      <c r="BT658" s="4"/>
      <c r="BU658" s="4"/>
      <c r="BV658" s="4"/>
      <c r="BW658" s="4"/>
      <c r="BX658" s="4"/>
      <c r="BY658" s="4"/>
      <c r="BZ658" s="4"/>
      <c r="CA658" s="4"/>
      <c r="CB658" s="4"/>
      <c r="CC658" s="4"/>
      <c r="CD658" s="4"/>
      <c r="CE658" s="4"/>
      <c r="CF658" s="4"/>
      <c r="CG658" s="4"/>
      <c r="CH658" s="4"/>
      <c r="CI658" s="4"/>
    </row>
    <row r="659" ht="14.25" customHeight="1" spans="1:87" x14ac:dyDescent="0.25">
      <c r="A659" s="4"/>
      <c r="B659" s="4"/>
      <c r="C659" s="4"/>
      <c r="D659" s="4"/>
      <c r="E659" s="4"/>
      <c r="F659" s="4"/>
      <c r="G659" s="4"/>
      <c r="H659" s="4"/>
      <c r="I659" s="4"/>
      <c r="J659" s="4"/>
      <c r="K659" s="242"/>
      <c r="L659" s="4"/>
      <c r="M659" s="4"/>
      <c r="N659" s="4"/>
      <c r="O659" s="4"/>
      <c r="P659" s="4"/>
      <c r="Q659" s="4"/>
      <c r="R659" s="4"/>
      <c r="S659" s="4"/>
      <c r="T659" s="4"/>
      <c r="U659" s="4"/>
      <c r="V659" s="4"/>
      <c r="W659" s="4"/>
      <c r="X659" s="4"/>
      <c r="Y659" s="4"/>
      <c r="Z659" s="4"/>
      <c r="AA659" s="4"/>
      <c r="AB659" s="4"/>
      <c r="AC659" s="4"/>
      <c r="AD659" s="4"/>
      <c r="AE659" s="4"/>
      <c r="AF659" s="4"/>
      <c r="AG659" s="4"/>
      <c r="AH659" s="4"/>
      <c r="AI659" s="4"/>
      <c r="AJ659" s="4"/>
      <c r="AK659" s="4"/>
      <c r="AL659" s="4"/>
      <c r="AM659" s="4"/>
      <c r="AN659" s="4"/>
      <c r="AO659" s="4"/>
      <c r="AP659" s="4"/>
      <c r="AQ659" s="4"/>
      <c r="AR659" s="4"/>
      <c r="AS659" s="4"/>
      <c r="AT659" s="4"/>
      <c r="AU659" s="4"/>
      <c r="AV659" s="4"/>
      <c r="AW659" s="4"/>
      <c r="AX659" s="4"/>
      <c r="AY659" s="4"/>
      <c r="AZ659" s="4"/>
      <c r="BA659" s="4"/>
      <c r="BB659" s="4"/>
      <c r="BC659" s="4"/>
      <c r="BD659" s="4"/>
      <c r="BE659" s="4"/>
      <c r="BF659" s="4"/>
      <c r="BG659" s="4"/>
      <c r="BH659" s="4"/>
      <c r="BI659" s="4"/>
      <c r="BJ659" s="4"/>
      <c r="BK659" s="4"/>
      <c r="BL659" s="4"/>
      <c r="BM659" s="4"/>
      <c r="BN659" s="4"/>
      <c r="BO659" s="4"/>
      <c r="BP659" s="4"/>
      <c r="BQ659" s="4"/>
      <c r="BR659" s="4"/>
      <c r="BS659" s="4"/>
      <c r="BT659" s="4"/>
      <c r="BU659" s="4"/>
      <c r="BV659" s="4"/>
      <c r="BW659" s="4"/>
      <c r="BX659" s="4"/>
      <c r="BY659" s="4"/>
      <c r="BZ659" s="4"/>
      <c r="CA659" s="4"/>
      <c r="CB659" s="4"/>
      <c r="CC659" s="4"/>
      <c r="CD659" s="4"/>
      <c r="CE659" s="4"/>
      <c r="CF659" s="4"/>
      <c r="CG659" s="4"/>
      <c r="CH659" s="4"/>
      <c r="CI659" s="4"/>
    </row>
    <row r="660" ht="14.25" customHeight="1" spans="1:87" x14ac:dyDescent="0.25">
      <c r="A660" s="4"/>
      <c r="B660" s="4"/>
      <c r="C660" s="4"/>
      <c r="D660" s="4"/>
      <c r="E660" s="4"/>
      <c r="F660" s="4"/>
      <c r="G660" s="4"/>
      <c r="H660" s="4"/>
      <c r="I660" s="4"/>
      <c r="J660" s="4"/>
      <c r="K660" s="242"/>
      <c r="L660" s="4"/>
      <c r="M660" s="4"/>
      <c r="N660" s="4"/>
      <c r="O660" s="4"/>
      <c r="P660" s="4"/>
      <c r="Q660" s="4"/>
      <c r="R660" s="4"/>
      <c r="S660" s="4"/>
      <c r="T660" s="4"/>
      <c r="U660" s="4"/>
      <c r="V660" s="4"/>
      <c r="W660" s="4"/>
      <c r="X660" s="4"/>
      <c r="Y660" s="4"/>
      <c r="Z660" s="4"/>
      <c r="AA660" s="4"/>
      <c r="AB660" s="4"/>
      <c r="AC660" s="4"/>
      <c r="AD660" s="4"/>
      <c r="AE660" s="4"/>
      <c r="AF660" s="4"/>
      <c r="AG660" s="4"/>
      <c r="AH660" s="4"/>
      <c r="AI660" s="4"/>
      <c r="AJ660" s="4"/>
      <c r="AK660" s="4"/>
      <c r="AL660" s="4"/>
      <c r="AM660" s="4"/>
      <c r="AN660" s="4"/>
      <c r="AO660" s="4"/>
      <c r="AP660" s="4"/>
      <c r="AQ660" s="4"/>
      <c r="AR660" s="4"/>
      <c r="AS660" s="4"/>
      <c r="AT660" s="4"/>
      <c r="AU660" s="4"/>
      <c r="AV660" s="4"/>
      <c r="AW660" s="4"/>
      <c r="AX660" s="4"/>
      <c r="AY660" s="4"/>
      <c r="AZ660" s="4"/>
      <c r="BA660" s="4"/>
      <c r="BB660" s="4"/>
      <c r="BC660" s="4"/>
      <c r="BD660" s="4"/>
      <c r="BE660" s="4"/>
      <c r="BF660" s="4"/>
      <c r="BG660" s="4"/>
      <c r="BH660" s="4"/>
      <c r="BI660" s="4"/>
      <c r="BJ660" s="4"/>
      <c r="BK660" s="4"/>
      <c r="BL660" s="4"/>
      <c r="BM660" s="4"/>
      <c r="BN660" s="4"/>
      <c r="BO660" s="4"/>
      <c r="BP660" s="4"/>
      <c r="BQ660" s="4"/>
      <c r="BR660" s="4"/>
      <c r="BS660" s="4"/>
      <c r="BT660" s="4"/>
      <c r="BU660" s="4"/>
      <c r="BV660" s="4"/>
      <c r="BW660" s="4"/>
      <c r="BX660" s="4"/>
      <c r="BY660" s="4"/>
      <c r="BZ660" s="4"/>
      <c r="CA660" s="4"/>
      <c r="CB660" s="4"/>
      <c r="CC660" s="4"/>
      <c r="CD660" s="4"/>
      <c r="CE660" s="4"/>
      <c r="CF660" s="4"/>
      <c r="CG660" s="4"/>
      <c r="CH660" s="4"/>
      <c r="CI660" s="4"/>
    </row>
    <row r="661" ht="14.25" customHeight="1" spans="1:87" x14ac:dyDescent="0.25">
      <c r="A661" s="4"/>
      <c r="B661" s="4"/>
      <c r="C661" s="4"/>
      <c r="D661" s="4"/>
      <c r="E661" s="4"/>
      <c r="F661" s="4"/>
      <c r="G661" s="4"/>
      <c r="H661" s="4"/>
      <c r="I661" s="4"/>
      <c r="J661" s="4"/>
      <c r="K661" s="242"/>
      <c r="L661" s="4"/>
      <c r="M661" s="4"/>
      <c r="N661" s="4"/>
      <c r="O661" s="4"/>
      <c r="P661" s="4"/>
      <c r="Q661" s="4"/>
      <c r="R661" s="4"/>
      <c r="S661" s="4"/>
      <c r="T661" s="4"/>
      <c r="U661" s="4"/>
      <c r="V661" s="4"/>
      <c r="W661" s="4"/>
      <c r="X661" s="4"/>
      <c r="Y661" s="4"/>
      <c r="Z661" s="4"/>
      <c r="AA661" s="4"/>
      <c r="AB661" s="4"/>
      <c r="AC661" s="4"/>
      <c r="AD661" s="4"/>
      <c r="AE661" s="4"/>
      <c r="AF661" s="4"/>
      <c r="AG661" s="4"/>
      <c r="AH661" s="4"/>
      <c r="AI661" s="4"/>
      <c r="AJ661" s="4"/>
      <c r="AK661" s="4"/>
      <c r="AL661" s="4"/>
      <c r="AM661" s="4"/>
      <c r="AN661" s="4"/>
      <c r="AO661" s="4"/>
      <c r="AP661" s="4"/>
      <c r="AQ661" s="4"/>
      <c r="AR661" s="4"/>
      <c r="AS661" s="4"/>
      <c r="AT661" s="4"/>
      <c r="AU661" s="4"/>
      <c r="AV661" s="4"/>
      <c r="AW661" s="4"/>
      <c r="AX661" s="4"/>
      <c r="AY661" s="4"/>
      <c r="AZ661" s="4"/>
      <c r="BA661" s="4"/>
      <c r="BB661" s="4"/>
      <c r="BC661" s="4"/>
      <c r="BD661" s="4"/>
      <c r="BE661" s="4"/>
      <c r="BF661" s="4"/>
      <c r="BG661" s="4"/>
      <c r="BH661" s="4"/>
      <c r="BI661" s="4"/>
      <c r="BJ661" s="4"/>
      <c r="BK661" s="4"/>
      <c r="BL661" s="4"/>
      <c r="BM661" s="4"/>
      <c r="BN661" s="4"/>
      <c r="BO661" s="4"/>
      <c r="BP661" s="4"/>
      <c r="BQ661" s="4"/>
      <c r="BR661" s="4"/>
      <c r="BS661" s="4"/>
      <c r="BT661" s="4"/>
      <c r="BU661" s="4"/>
      <c r="BV661" s="4"/>
      <c r="BW661" s="4"/>
      <c r="BX661" s="4"/>
      <c r="BY661" s="4"/>
      <c r="BZ661" s="4"/>
      <c r="CA661" s="4"/>
      <c r="CB661" s="4"/>
      <c r="CC661" s="4"/>
      <c r="CD661" s="4"/>
      <c r="CE661" s="4"/>
      <c r="CF661" s="4"/>
      <c r="CG661" s="4"/>
      <c r="CH661" s="4"/>
      <c r="CI661" s="4"/>
    </row>
    <row r="662" ht="14.25" customHeight="1" spans="1:87" x14ac:dyDescent="0.25">
      <c r="A662" s="4"/>
      <c r="B662" s="4"/>
      <c r="C662" s="4"/>
      <c r="D662" s="4"/>
      <c r="E662" s="4"/>
      <c r="F662" s="4"/>
      <c r="G662" s="4"/>
      <c r="H662" s="4"/>
      <c r="I662" s="4"/>
      <c r="J662" s="4"/>
      <c r="K662" s="242"/>
      <c r="L662" s="4"/>
      <c r="M662" s="4"/>
      <c r="N662" s="4"/>
      <c r="O662" s="4"/>
      <c r="P662" s="4"/>
      <c r="Q662" s="4"/>
      <c r="R662" s="4"/>
      <c r="S662" s="4"/>
      <c r="T662" s="4"/>
      <c r="U662" s="4"/>
      <c r="V662" s="4"/>
      <c r="W662" s="4"/>
      <c r="X662" s="4"/>
      <c r="Y662" s="4"/>
      <c r="Z662" s="4"/>
      <c r="AA662" s="4"/>
      <c r="AB662" s="4"/>
      <c r="AC662" s="4"/>
      <c r="AD662" s="4"/>
      <c r="AE662" s="4"/>
      <c r="AF662" s="4"/>
      <c r="AG662" s="4"/>
      <c r="AH662" s="4"/>
      <c r="AI662" s="4"/>
      <c r="AJ662" s="4"/>
      <c r="AK662" s="4"/>
      <c r="AL662" s="4"/>
      <c r="AM662" s="4"/>
      <c r="AN662" s="4"/>
      <c r="AO662" s="4"/>
      <c r="AP662" s="4"/>
      <c r="AQ662" s="4"/>
      <c r="AR662" s="4"/>
      <c r="AS662" s="4"/>
      <c r="AT662" s="4"/>
      <c r="AU662" s="4"/>
      <c r="AV662" s="4"/>
      <c r="AW662" s="4"/>
      <c r="AX662" s="4"/>
      <c r="AY662" s="4"/>
      <c r="AZ662" s="4"/>
      <c r="BA662" s="4"/>
      <c r="BB662" s="4"/>
      <c r="BC662" s="4"/>
      <c r="BD662" s="4"/>
      <c r="BE662" s="4"/>
      <c r="BF662" s="4"/>
      <c r="BG662" s="4"/>
      <c r="BH662" s="4"/>
      <c r="BI662" s="4"/>
      <c r="BJ662" s="4"/>
      <c r="BK662" s="4"/>
      <c r="BL662" s="4"/>
      <c r="BM662" s="4"/>
      <c r="BN662" s="4"/>
      <c r="BO662" s="4"/>
      <c r="BP662" s="4"/>
      <c r="BQ662" s="4"/>
      <c r="BR662" s="4"/>
      <c r="BS662" s="4"/>
      <c r="BT662" s="4"/>
      <c r="BU662" s="4"/>
      <c r="BV662" s="4"/>
      <c r="BW662" s="4"/>
      <c r="BX662" s="4"/>
      <c r="BY662" s="4"/>
      <c r="BZ662" s="4"/>
      <c r="CA662" s="4"/>
      <c r="CB662" s="4"/>
      <c r="CC662" s="4"/>
      <c r="CD662" s="4"/>
      <c r="CE662" s="4"/>
      <c r="CF662" s="4"/>
      <c r="CG662" s="4"/>
      <c r="CH662" s="4"/>
      <c r="CI662" s="4"/>
    </row>
    <row r="663" ht="14.25" customHeight="1" spans="1:87" x14ac:dyDescent="0.25">
      <c r="A663" s="4"/>
      <c r="B663" s="4"/>
      <c r="C663" s="4"/>
      <c r="D663" s="4"/>
      <c r="E663" s="4"/>
      <c r="F663" s="4"/>
      <c r="G663" s="4"/>
      <c r="H663" s="4"/>
      <c r="I663" s="4"/>
      <c r="J663" s="4"/>
      <c r="K663" s="242"/>
      <c r="L663" s="4"/>
      <c r="M663" s="4"/>
      <c r="N663" s="4"/>
      <c r="O663" s="4"/>
      <c r="P663" s="4"/>
      <c r="Q663" s="4"/>
      <c r="R663" s="4"/>
      <c r="S663" s="4"/>
      <c r="T663" s="4"/>
      <c r="U663" s="4"/>
      <c r="V663" s="4"/>
      <c r="W663" s="4"/>
      <c r="X663" s="4"/>
      <c r="Y663" s="4"/>
      <c r="Z663" s="4"/>
      <c r="AA663" s="4"/>
      <c r="AB663" s="4"/>
      <c r="AC663" s="4"/>
      <c r="AD663" s="4"/>
      <c r="AE663" s="4"/>
      <c r="AF663" s="4"/>
      <c r="AG663" s="4"/>
      <c r="AH663" s="4"/>
      <c r="AI663" s="4"/>
      <c r="AJ663" s="4"/>
      <c r="AK663" s="4"/>
      <c r="AL663" s="4"/>
      <c r="AM663" s="4"/>
      <c r="AN663" s="4"/>
      <c r="AO663" s="4"/>
      <c r="AP663" s="4"/>
      <c r="AQ663" s="4"/>
      <c r="AR663" s="4"/>
      <c r="AS663" s="4"/>
      <c r="AT663" s="4"/>
      <c r="AU663" s="4"/>
      <c r="AV663" s="4"/>
      <c r="AW663" s="4"/>
      <c r="AX663" s="4"/>
      <c r="AY663" s="4"/>
      <c r="AZ663" s="4"/>
      <c r="BA663" s="4"/>
      <c r="BB663" s="4"/>
      <c r="BC663" s="4"/>
      <c r="BD663" s="4"/>
      <c r="BE663" s="4"/>
      <c r="BF663" s="4"/>
      <c r="BG663" s="4"/>
      <c r="BH663" s="4"/>
      <c r="BI663" s="4"/>
      <c r="BJ663" s="4"/>
      <c r="BK663" s="4"/>
      <c r="BL663" s="4"/>
      <c r="BM663" s="4"/>
      <c r="BN663" s="4"/>
      <c r="BO663" s="4"/>
      <c r="BP663" s="4"/>
      <c r="BQ663" s="4"/>
      <c r="BR663" s="4"/>
      <c r="BS663" s="4"/>
      <c r="BT663" s="4"/>
      <c r="BU663" s="4"/>
      <c r="BV663" s="4"/>
      <c r="BW663" s="4"/>
      <c r="BX663" s="4"/>
      <c r="BY663" s="4"/>
      <c r="BZ663" s="4"/>
      <c r="CA663" s="4"/>
      <c r="CB663" s="4"/>
      <c r="CC663" s="4"/>
      <c r="CD663" s="4"/>
      <c r="CE663" s="4"/>
      <c r="CF663" s="4"/>
      <c r="CG663" s="4"/>
      <c r="CH663" s="4"/>
      <c r="CI663" s="4"/>
    </row>
    <row r="664" ht="14.25" customHeight="1" spans="1:87" x14ac:dyDescent="0.25">
      <c r="A664" s="4"/>
      <c r="B664" s="4"/>
      <c r="C664" s="4"/>
      <c r="D664" s="4"/>
      <c r="E664" s="4"/>
      <c r="F664" s="4"/>
      <c r="G664" s="4"/>
      <c r="H664" s="4"/>
      <c r="I664" s="4"/>
      <c r="J664" s="4"/>
      <c r="K664" s="242"/>
      <c r="L664" s="4"/>
      <c r="M664" s="4"/>
      <c r="N664" s="4"/>
      <c r="O664" s="4"/>
      <c r="P664" s="4"/>
      <c r="Q664" s="4"/>
      <c r="R664" s="4"/>
      <c r="S664" s="4"/>
      <c r="T664" s="4"/>
      <c r="U664" s="4"/>
      <c r="V664" s="4"/>
      <c r="W664" s="4"/>
      <c r="X664" s="4"/>
      <c r="Y664" s="4"/>
      <c r="Z664" s="4"/>
      <c r="AA664" s="4"/>
      <c r="AB664" s="4"/>
      <c r="AC664" s="4"/>
      <c r="AD664" s="4"/>
      <c r="AE664" s="4"/>
      <c r="AF664" s="4"/>
      <c r="AG664" s="4"/>
      <c r="AH664" s="4"/>
      <c r="AI664" s="4"/>
      <c r="AJ664" s="4"/>
      <c r="AK664" s="4"/>
      <c r="AL664" s="4"/>
      <c r="AM664" s="4"/>
      <c r="AN664" s="4"/>
      <c r="AO664" s="4"/>
      <c r="AP664" s="4"/>
      <c r="AQ664" s="4"/>
      <c r="AR664" s="4"/>
      <c r="AS664" s="4"/>
      <c r="AT664" s="4"/>
      <c r="AU664" s="4"/>
      <c r="AV664" s="4"/>
      <c r="AW664" s="4"/>
      <c r="AX664" s="4"/>
      <c r="AY664" s="4"/>
      <c r="AZ664" s="4"/>
      <c r="BA664" s="4"/>
      <c r="BB664" s="4"/>
      <c r="BC664" s="4"/>
      <c r="BD664" s="4"/>
      <c r="BE664" s="4"/>
      <c r="BF664" s="4"/>
      <c r="BG664" s="4"/>
      <c r="BH664" s="4"/>
      <c r="BI664" s="4"/>
      <c r="BJ664" s="4"/>
      <c r="BK664" s="4"/>
      <c r="BL664" s="4"/>
      <c r="BM664" s="4"/>
      <c r="BN664" s="4"/>
      <c r="BO664" s="4"/>
      <c r="BP664" s="4"/>
      <c r="BQ664" s="4"/>
      <c r="BR664" s="4"/>
      <c r="BS664" s="4"/>
      <c r="BT664" s="4"/>
      <c r="BU664" s="4"/>
      <c r="BV664" s="4"/>
      <c r="BW664" s="4"/>
      <c r="BX664" s="4"/>
      <c r="BY664" s="4"/>
      <c r="BZ664" s="4"/>
      <c r="CA664" s="4"/>
      <c r="CB664" s="4"/>
      <c r="CC664" s="4"/>
      <c r="CD664" s="4"/>
      <c r="CE664" s="4"/>
      <c r="CF664" s="4"/>
      <c r="CG664" s="4"/>
      <c r="CH664" s="4"/>
      <c r="CI664" s="4"/>
    </row>
    <row r="665" ht="14.25" customHeight="1" spans="1:87" x14ac:dyDescent="0.25">
      <c r="A665" s="4"/>
      <c r="B665" s="4"/>
      <c r="C665" s="4"/>
      <c r="D665" s="4"/>
      <c r="E665" s="4"/>
      <c r="F665" s="4"/>
      <c r="G665" s="4"/>
      <c r="H665" s="4"/>
      <c r="I665" s="4"/>
      <c r="J665" s="4"/>
      <c r="K665" s="242"/>
      <c r="L665" s="4"/>
      <c r="M665" s="4"/>
      <c r="N665" s="4"/>
      <c r="O665" s="4"/>
      <c r="P665" s="4"/>
      <c r="Q665" s="4"/>
      <c r="R665" s="4"/>
      <c r="S665" s="4"/>
      <c r="T665" s="4"/>
      <c r="U665" s="4"/>
      <c r="V665" s="4"/>
      <c r="W665" s="4"/>
      <c r="X665" s="4"/>
      <c r="Y665" s="4"/>
      <c r="Z665" s="4"/>
      <c r="AA665" s="4"/>
      <c r="AB665" s="4"/>
      <c r="AC665" s="4"/>
      <c r="AD665" s="4"/>
      <c r="AE665" s="4"/>
      <c r="AF665" s="4"/>
      <c r="AG665" s="4"/>
      <c r="AH665" s="4"/>
      <c r="AI665" s="4"/>
      <c r="AJ665" s="4"/>
      <c r="AK665" s="4"/>
      <c r="AL665" s="4"/>
      <c r="AM665" s="4"/>
      <c r="AN665" s="4"/>
      <c r="AO665" s="4"/>
      <c r="AP665" s="4"/>
      <c r="AQ665" s="4"/>
      <c r="AR665" s="4"/>
      <c r="AS665" s="4"/>
      <c r="AT665" s="4"/>
      <c r="AU665" s="4"/>
      <c r="AV665" s="4"/>
      <c r="AW665" s="4"/>
      <c r="AX665" s="4"/>
      <c r="AY665" s="4"/>
      <c r="AZ665" s="4"/>
      <c r="BA665" s="4"/>
      <c r="BB665" s="4"/>
      <c r="BC665" s="4"/>
      <c r="BD665" s="4"/>
      <c r="BE665" s="4"/>
      <c r="BF665" s="4"/>
      <c r="BG665" s="4"/>
      <c r="BH665" s="4"/>
      <c r="BI665" s="4"/>
      <c r="BJ665" s="4"/>
      <c r="BK665" s="4"/>
      <c r="BL665" s="4"/>
      <c r="BM665" s="4"/>
      <c r="BN665" s="4"/>
      <c r="BO665" s="4"/>
      <c r="BP665" s="4"/>
      <c r="BQ665" s="4"/>
      <c r="BR665" s="4"/>
      <c r="BS665" s="4"/>
      <c r="BT665" s="4"/>
      <c r="BU665" s="4"/>
      <c r="BV665" s="4"/>
      <c r="BW665" s="4"/>
      <c r="BX665" s="4"/>
      <c r="BY665" s="4"/>
      <c r="BZ665" s="4"/>
      <c r="CA665" s="4"/>
      <c r="CB665" s="4"/>
      <c r="CC665" s="4"/>
      <c r="CD665" s="4"/>
      <c r="CE665" s="4"/>
      <c r="CF665" s="4"/>
      <c r="CG665" s="4"/>
      <c r="CH665" s="4"/>
      <c r="CI665" s="4"/>
    </row>
    <row r="666" ht="14.25" customHeight="1" spans="1:87" x14ac:dyDescent="0.25">
      <c r="A666" s="4"/>
      <c r="B666" s="4"/>
      <c r="C666" s="4"/>
      <c r="D666" s="4"/>
      <c r="E666" s="4"/>
      <c r="F666" s="4"/>
      <c r="G666" s="4"/>
      <c r="H666" s="4"/>
      <c r="I666" s="4"/>
      <c r="J666" s="4"/>
      <c r="K666" s="242"/>
      <c r="L666" s="4"/>
      <c r="M666" s="4"/>
      <c r="N666" s="4"/>
      <c r="O666" s="4"/>
      <c r="P666" s="4"/>
      <c r="Q666" s="4"/>
      <c r="R666" s="4"/>
      <c r="S666" s="4"/>
      <c r="T666" s="4"/>
      <c r="U666" s="4"/>
      <c r="V666" s="4"/>
      <c r="W666" s="4"/>
      <c r="X666" s="4"/>
      <c r="Y666" s="4"/>
      <c r="Z666" s="4"/>
      <c r="AA666" s="4"/>
      <c r="AB666" s="4"/>
      <c r="AC666" s="4"/>
      <c r="AD666" s="4"/>
      <c r="AE666" s="4"/>
      <c r="AF666" s="4"/>
      <c r="AG666" s="4"/>
      <c r="AH666" s="4"/>
      <c r="AI666" s="4"/>
      <c r="AJ666" s="4"/>
      <c r="AK666" s="4"/>
      <c r="AL666" s="4"/>
      <c r="AM666" s="4"/>
      <c r="AN666" s="4"/>
      <c r="AO666" s="4"/>
      <c r="AP666" s="4"/>
      <c r="AQ666" s="4"/>
      <c r="AR666" s="4"/>
      <c r="AS666" s="4"/>
      <c r="AT666" s="4"/>
      <c r="AU666" s="4"/>
      <c r="AV666" s="4"/>
      <c r="AW666" s="4"/>
      <c r="AX666" s="4"/>
      <c r="AY666" s="4"/>
      <c r="AZ666" s="4"/>
      <c r="BA666" s="4"/>
      <c r="BB666" s="4"/>
      <c r="BC666" s="4"/>
      <c r="BD666" s="4"/>
      <c r="BE666" s="4"/>
      <c r="BF666" s="4"/>
      <c r="BG666" s="4"/>
      <c r="BH666" s="4"/>
      <c r="BI666" s="4"/>
      <c r="BJ666" s="4"/>
      <c r="BK666" s="4"/>
      <c r="BL666" s="4"/>
      <c r="BM666" s="4"/>
      <c r="BN666" s="4"/>
      <c r="BO666" s="4"/>
      <c r="BP666" s="4"/>
      <c r="BQ666" s="4"/>
      <c r="BR666" s="4"/>
      <c r="BS666" s="4"/>
      <c r="BT666" s="4"/>
      <c r="BU666" s="4"/>
      <c r="BV666" s="4"/>
      <c r="BW666" s="4"/>
      <c r="BX666" s="4"/>
      <c r="BY666" s="4"/>
      <c r="BZ666" s="4"/>
      <c r="CA666" s="4"/>
      <c r="CB666" s="4"/>
      <c r="CC666" s="4"/>
      <c r="CD666" s="4"/>
      <c r="CE666" s="4"/>
      <c r="CF666" s="4"/>
      <c r="CG666" s="4"/>
      <c r="CH666" s="4"/>
      <c r="CI666" s="4"/>
    </row>
    <row r="667" ht="14.25" customHeight="1" spans="1:87" x14ac:dyDescent="0.25">
      <c r="A667" s="4"/>
      <c r="B667" s="4"/>
      <c r="C667" s="4"/>
      <c r="D667" s="4"/>
      <c r="E667" s="4"/>
      <c r="F667" s="4"/>
      <c r="G667" s="4"/>
      <c r="H667" s="4"/>
      <c r="I667" s="4"/>
      <c r="J667" s="4"/>
      <c r="K667" s="242"/>
      <c r="L667" s="4"/>
      <c r="M667" s="4"/>
      <c r="N667" s="4"/>
      <c r="O667" s="4"/>
      <c r="P667" s="4"/>
      <c r="Q667" s="4"/>
      <c r="R667" s="4"/>
      <c r="S667" s="4"/>
      <c r="T667" s="4"/>
      <c r="U667" s="4"/>
      <c r="V667" s="4"/>
      <c r="W667" s="4"/>
      <c r="X667" s="4"/>
      <c r="Y667" s="4"/>
      <c r="Z667" s="4"/>
      <c r="AA667" s="4"/>
      <c r="AB667" s="4"/>
      <c r="AC667" s="4"/>
      <c r="AD667" s="4"/>
      <c r="AE667" s="4"/>
      <c r="AF667" s="4"/>
      <c r="AG667" s="4"/>
      <c r="AH667" s="4"/>
      <c r="AI667" s="4"/>
      <c r="AJ667" s="4"/>
      <c r="AK667" s="4"/>
      <c r="AL667" s="4"/>
      <c r="AM667" s="4"/>
      <c r="AN667" s="4"/>
      <c r="AO667" s="4"/>
      <c r="AP667" s="4"/>
      <c r="AQ667" s="4"/>
      <c r="AR667" s="4"/>
      <c r="AS667" s="4"/>
      <c r="AT667" s="4"/>
      <c r="AU667" s="4"/>
      <c r="AV667" s="4"/>
      <c r="AW667" s="4"/>
      <c r="AX667" s="4"/>
      <c r="AY667" s="4"/>
      <c r="AZ667" s="4"/>
      <c r="BA667" s="4"/>
      <c r="BB667" s="4"/>
      <c r="BC667" s="4"/>
      <c r="BD667" s="4"/>
      <c r="BE667" s="4"/>
      <c r="BF667" s="4"/>
      <c r="BG667" s="4"/>
      <c r="BH667" s="4"/>
      <c r="BI667" s="4"/>
      <c r="BJ667" s="4"/>
      <c r="BK667" s="4"/>
      <c r="BL667" s="4"/>
      <c r="BM667" s="4"/>
      <c r="BN667" s="4"/>
      <c r="BO667" s="4"/>
      <c r="BP667" s="4"/>
      <c r="BQ667" s="4"/>
      <c r="BR667" s="4"/>
      <c r="BS667" s="4"/>
      <c r="BT667" s="4"/>
      <c r="BU667" s="4"/>
      <c r="BV667" s="4"/>
      <c r="BW667" s="4"/>
      <c r="BX667" s="4"/>
      <c r="BY667" s="4"/>
      <c r="BZ667" s="4"/>
      <c r="CA667" s="4"/>
      <c r="CB667" s="4"/>
      <c r="CC667" s="4"/>
      <c r="CD667" s="4"/>
      <c r="CE667" s="4"/>
      <c r="CF667" s="4"/>
      <c r="CG667" s="4"/>
      <c r="CH667" s="4"/>
      <c r="CI667" s="4"/>
    </row>
    <row r="668" ht="14.25" customHeight="1" spans="1:87" x14ac:dyDescent="0.25">
      <c r="A668" s="4"/>
      <c r="B668" s="4"/>
      <c r="C668" s="4"/>
      <c r="D668" s="4"/>
      <c r="E668" s="4"/>
      <c r="F668" s="4"/>
      <c r="G668" s="4"/>
      <c r="H668" s="4"/>
      <c r="I668" s="4"/>
      <c r="J668" s="4"/>
      <c r="K668" s="242"/>
      <c r="L668" s="4"/>
      <c r="M668" s="4"/>
      <c r="N668" s="4"/>
      <c r="O668" s="4"/>
      <c r="P668" s="4"/>
      <c r="Q668" s="4"/>
      <c r="R668" s="4"/>
      <c r="S668" s="4"/>
      <c r="T668" s="4"/>
      <c r="U668" s="4"/>
      <c r="V668" s="4"/>
      <c r="W668" s="4"/>
      <c r="X668" s="4"/>
      <c r="Y668" s="4"/>
      <c r="Z668" s="4"/>
      <c r="AA668" s="4"/>
      <c r="AB668" s="4"/>
      <c r="AC668" s="4"/>
      <c r="AD668" s="4"/>
      <c r="AE668" s="4"/>
      <c r="AF668" s="4"/>
      <c r="AG668" s="4"/>
      <c r="AH668" s="4"/>
      <c r="AI668" s="4"/>
      <c r="AJ668" s="4"/>
      <c r="AK668" s="4"/>
      <c r="AL668" s="4"/>
      <c r="AM668" s="4"/>
      <c r="AN668" s="4"/>
      <c r="AO668" s="4"/>
      <c r="AP668" s="4"/>
      <c r="AQ668" s="4"/>
      <c r="AR668" s="4"/>
      <c r="AS668" s="4"/>
      <c r="AT668" s="4"/>
      <c r="AU668" s="4"/>
      <c r="AV668" s="4"/>
      <c r="AW668" s="4"/>
      <c r="AX668" s="4"/>
      <c r="AY668" s="4"/>
      <c r="AZ668" s="4"/>
      <c r="BA668" s="4"/>
      <c r="BB668" s="4"/>
      <c r="BC668" s="4"/>
      <c r="BD668" s="4"/>
      <c r="BE668" s="4"/>
      <c r="BF668" s="4"/>
      <c r="BG668" s="4"/>
      <c r="BH668" s="4"/>
      <c r="BI668" s="4"/>
      <c r="BJ668" s="4"/>
      <c r="BK668" s="4"/>
      <c r="BL668" s="4"/>
      <c r="BM668" s="4"/>
      <c r="BN668" s="4"/>
      <c r="BO668" s="4"/>
      <c r="BP668" s="4"/>
      <c r="BQ668" s="4"/>
      <c r="BR668" s="4"/>
      <c r="BS668" s="4"/>
      <c r="BT668" s="4"/>
      <c r="BU668" s="4"/>
      <c r="BV668" s="4"/>
      <c r="BW668" s="4"/>
      <c r="BX668" s="4"/>
      <c r="BY668" s="4"/>
      <c r="BZ668" s="4"/>
      <c r="CA668" s="4"/>
      <c r="CB668" s="4"/>
      <c r="CC668" s="4"/>
      <c r="CD668" s="4"/>
      <c r="CE668" s="4"/>
      <c r="CF668" s="4"/>
      <c r="CG668" s="4"/>
      <c r="CH668" s="4"/>
      <c r="CI668" s="4"/>
    </row>
    <row r="669" ht="14.25" customHeight="1" spans="1:87" x14ac:dyDescent="0.25">
      <c r="A669" s="4"/>
      <c r="B669" s="4"/>
      <c r="C669" s="4"/>
      <c r="D669" s="4"/>
      <c r="E669" s="4"/>
      <c r="F669" s="4"/>
      <c r="G669" s="4"/>
      <c r="H669" s="4"/>
      <c r="I669" s="4"/>
      <c r="J669" s="4"/>
      <c r="K669" s="242"/>
      <c r="L669" s="4"/>
      <c r="M669" s="4"/>
      <c r="N669" s="4"/>
      <c r="O669" s="4"/>
      <c r="P669" s="4"/>
      <c r="Q669" s="4"/>
      <c r="R669" s="4"/>
      <c r="S669" s="4"/>
      <c r="T669" s="4"/>
      <c r="U669" s="4"/>
      <c r="V669" s="4"/>
      <c r="W669" s="4"/>
      <c r="X669" s="4"/>
      <c r="Y669" s="4"/>
      <c r="Z669" s="4"/>
      <c r="AA669" s="4"/>
      <c r="AB669" s="4"/>
      <c r="AC669" s="4"/>
      <c r="AD669" s="4"/>
      <c r="AE669" s="4"/>
      <c r="AF669" s="4"/>
      <c r="AG669" s="4"/>
      <c r="AH669" s="4"/>
      <c r="AI669" s="4"/>
      <c r="AJ669" s="4"/>
      <c r="AK669" s="4"/>
      <c r="AL669" s="4"/>
      <c r="AM669" s="4"/>
      <c r="AN669" s="4"/>
      <c r="AO669" s="4"/>
      <c r="AP669" s="4"/>
      <c r="AQ669" s="4"/>
      <c r="AR669" s="4"/>
      <c r="AS669" s="4"/>
      <c r="AT669" s="4"/>
      <c r="AU669" s="4"/>
      <c r="AV669" s="4"/>
      <c r="AW669" s="4"/>
      <c r="AX669" s="4"/>
      <c r="AY669" s="4"/>
      <c r="AZ669" s="4"/>
      <c r="BA669" s="4"/>
      <c r="BB669" s="4"/>
      <c r="BC669" s="4"/>
      <c r="BD669" s="4"/>
      <c r="BE669" s="4"/>
      <c r="BF669" s="4"/>
      <c r="BG669" s="4"/>
      <c r="BH669" s="4"/>
      <c r="BI669" s="4"/>
      <c r="BJ669" s="4"/>
      <c r="BK669" s="4"/>
      <c r="BL669" s="4"/>
      <c r="BM669" s="4"/>
      <c r="BN669" s="4"/>
      <c r="BO669" s="4"/>
      <c r="BP669" s="4"/>
      <c r="BQ669" s="4"/>
      <c r="BR669" s="4"/>
      <c r="BS669" s="4"/>
      <c r="BT669" s="4"/>
      <c r="BU669" s="4"/>
      <c r="BV669" s="4"/>
      <c r="BW669" s="4"/>
      <c r="BX669" s="4"/>
      <c r="BY669" s="4"/>
      <c r="BZ669" s="4"/>
      <c r="CA669" s="4"/>
      <c r="CB669" s="4"/>
      <c r="CC669" s="4"/>
      <c r="CD669" s="4"/>
      <c r="CE669" s="4"/>
      <c r="CF669" s="4"/>
      <c r="CG669" s="4"/>
      <c r="CH669" s="4"/>
      <c r="CI669" s="4"/>
    </row>
    <row r="670" ht="14.25" customHeight="1" spans="1:87" x14ac:dyDescent="0.25">
      <c r="A670" s="4"/>
      <c r="B670" s="4"/>
      <c r="C670" s="4"/>
      <c r="D670" s="4"/>
      <c r="E670" s="4"/>
      <c r="F670" s="4"/>
      <c r="G670" s="4"/>
      <c r="H670" s="4"/>
      <c r="I670" s="4"/>
      <c r="J670" s="4"/>
      <c r="K670" s="242"/>
      <c r="L670" s="4"/>
      <c r="M670" s="4"/>
      <c r="N670" s="4"/>
      <c r="O670" s="4"/>
      <c r="P670" s="4"/>
      <c r="Q670" s="4"/>
      <c r="R670" s="4"/>
      <c r="S670" s="4"/>
      <c r="T670" s="4"/>
      <c r="U670" s="4"/>
      <c r="V670" s="4"/>
      <c r="W670" s="4"/>
      <c r="X670" s="4"/>
      <c r="Y670" s="4"/>
      <c r="Z670" s="4"/>
      <c r="AA670" s="4"/>
      <c r="AB670" s="4"/>
      <c r="AC670" s="4"/>
      <c r="AD670" s="4"/>
      <c r="AE670" s="4"/>
      <c r="AF670" s="4"/>
      <c r="AG670" s="4"/>
      <c r="AH670" s="4"/>
      <c r="AI670" s="4"/>
      <c r="AJ670" s="4"/>
      <c r="AK670" s="4"/>
      <c r="AL670" s="4"/>
      <c r="AM670" s="4"/>
      <c r="AN670" s="4"/>
      <c r="AO670" s="4"/>
      <c r="AP670" s="4"/>
      <c r="AQ670" s="4"/>
      <c r="AR670" s="4"/>
      <c r="AS670" s="4"/>
      <c r="AT670" s="4"/>
      <c r="AU670" s="4"/>
      <c r="AV670" s="4"/>
      <c r="AW670" s="4"/>
      <c r="AX670" s="4"/>
      <c r="AY670" s="4"/>
      <c r="AZ670" s="4"/>
      <c r="BA670" s="4"/>
      <c r="BB670" s="4"/>
      <c r="BC670" s="4"/>
      <c r="BD670" s="4"/>
      <c r="BE670" s="4"/>
      <c r="BF670" s="4"/>
      <c r="BG670" s="4"/>
      <c r="BH670" s="4"/>
      <c r="BI670" s="4"/>
      <c r="BJ670" s="4"/>
      <c r="BK670" s="4"/>
      <c r="BL670" s="4"/>
      <c r="BM670" s="4"/>
      <c r="BN670" s="4"/>
      <c r="BO670" s="4"/>
      <c r="BP670" s="4"/>
      <c r="BQ670" s="4"/>
      <c r="BR670" s="4"/>
      <c r="BS670" s="4"/>
      <c r="BT670" s="4"/>
      <c r="BU670" s="4"/>
      <c r="BV670" s="4"/>
      <c r="BW670" s="4"/>
      <c r="BX670" s="4"/>
      <c r="BY670" s="4"/>
      <c r="BZ670" s="4"/>
      <c r="CA670" s="4"/>
      <c r="CB670" s="4"/>
      <c r="CC670" s="4"/>
      <c r="CD670" s="4"/>
      <c r="CE670" s="4"/>
      <c r="CF670" s="4"/>
      <c r="CG670" s="4"/>
      <c r="CH670" s="4"/>
      <c r="CI670" s="4"/>
    </row>
    <row r="671" ht="14.25" customHeight="1" spans="1:87" x14ac:dyDescent="0.25">
      <c r="A671" s="4"/>
      <c r="B671" s="4"/>
      <c r="C671" s="4"/>
      <c r="D671" s="4"/>
      <c r="E671" s="4"/>
      <c r="F671" s="4"/>
      <c r="G671" s="4"/>
      <c r="H671" s="4"/>
      <c r="I671" s="4"/>
      <c r="J671" s="4"/>
      <c r="K671" s="242"/>
      <c r="L671" s="4"/>
      <c r="M671" s="4"/>
      <c r="N671" s="4"/>
      <c r="O671" s="4"/>
      <c r="P671" s="4"/>
      <c r="Q671" s="4"/>
      <c r="R671" s="4"/>
      <c r="S671" s="4"/>
      <c r="T671" s="4"/>
      <c r="U671" s="4"/>
      <c r="V671" s="4"/>
      <c r="W671" s="4"/>
      <c r="X671" s="4"/>
      <c r="Y671" s="4"/>
      <c r="Z671" s="4"/>
      <c r="AA671" s="4"/>
      <c r="AB671" s="4"/>
      <c r="AC671" s="4"/>
      <c r="AD671" s="4"/>
      <c r="AE671" s="4"/>
      <c r="AF671" s="4"/>
      <c r="AG671" s="4"/>
      <c r="AH671" s="4"/>
      <c r="AI671" s="4"/>
      <c r="AJ671" s="4"/>
      <c r="AK671" s="4"/>
      <c r="AL671" s="4"/>
      <c r="AM671" s="4"/>
      <c r="AN671" s="4"/>
      <c r="AO671" s="4"/>
      <c r="AP671" s="4"/>
      <c r="AQ671" s="4"/>
      <c r="AR671" s="4"/>
      <c r="AS671" s="4"/>
      <c r="AT671" s="4"/>
      <c r="AU671" s="4"/>
      <c r="AV671" s="4"/>
      <c r="AW671" s="4"/>
      <c r="AX671" s="4"/>
      <c r="AY671" s="4"/>
      <c r="AZ671" s="4"/>
      <c r="BA671" s="4"/>
      <c r="BB671" s="4"/>
      <c r="BC671" s="4"/>
      <c r="BD671" s="4"/>
      <c r="BE671" s="4"/>
      <c r="BF671" s="4"/>
      <c r="BG671" s="4"/>
      <c r="BH671" s="4"/>
      <c r="BI671" s="4"/>
      <c r="BJ671" s="4"/>
      <c r="BK671" s="4"/>
      <c r="BL671" s="4"/>
      <c r="BM671" s="4"/>
      <c r="BN671" s="4"/>
      <c r="BO671" s="4"/>
      <c r="BP671" s="4"/>
      <c r="BQ671" s="4"/>
      <c r="BR671" s="4"/>
      <c r="BS671" s="4"/>
      <c r="BT671" s="4"/>
      <c r="BU671" s="4"/>
      <c r="BV671" s="4"/>
      <c r="BW671" s="4"/>
      <c r="BX671" s="4"/>
      <c r="BY671" s="4"/>
      <c r="BZ671" s="4"/>
      <c r="CA671" s="4"/>
      <c r="CB671" s="4"/>
      <c r="CC671" s="4"/>
      <c r="CD671" s="4"/>
      <c r="CE671" s="4"/>
      <c r="CF671" s="4"/>
      <c r="CG671" s="4"/>
      <c r="CH671" s="4"/>
      <c r="CI671" s="4"/>
    </row>
    <row r="672" ht="14.25" customHeight="1" spans="1:87" x14ac:dyDescent="0.25">
      <c r="A672" s="4"/>
      <c r="B672" s="4"/>
      <c r="C672" s="4"/>
      <c r="D672" s="4"/>
      <c r="E672" s="4"/>
      <c r="F672" s="4"/>
      <c r="G672" s="4"/>
      <c r="H672" s="4"/>
      <c r="I672" s="4"/>
      <c r="J672" s="4"/>
      <c r="K672" s="242"/>
      <c r="L672" s="4"/>
      <c r="M672" s="4"/>
      <c r="N672" s="4"/>
      <c r="O672" s="4"/>
      <c r="P672" s="4"/>
      <c r="Q672" s="4"/>
      <c r="R672" s="4"/>
      <c r="S672" s="4"/>
      <c r="T672" s="4"/>
      <c r="U672" s="4"/>
      <c r="V672" s="4"/>
      <c r="W672" s="4"/>
      <c r="X672" s="4"/>
      <c r="Y672" s="4"/>
      <c r="Z672" s="4"/>
      <c r="AA672" s="4"/>
      <c r="AB672" s="4"/>
      <c r="AC672" s="4"/>
      <c r="AD672" s="4"/>
      <c r="AE672" s="4"/>
      <c r="AF672" s="4"/>
      <c r="AG672" s="4"/>
      <c r="AH672" s="4"/>
      <c r="AI672" s="4"/>
      <c r="AJ672" s="4"/>
      <c r="AK672" s="4"/>
      <c r="AL672" s="4"/>
      <c r="AM672" s="4"/>
      <c r="AN672" s="4"/>
      <c r="AO672" s="4"/>
      <c r="AP672" s="4"/>
      <c r="AQ672" s="4"/>
      <c r="AR672" s="4"/>
      <c r="AS672" s="4"/>
      <c r="AT672" s="4"/>
      <c r="AU672" s="4"/>
      <c r="AV672" s="4"/>
      <c r="AW672" s="4"/>
      <c r="AX672" s="4"/>
      <c r="AY672" s="4"/>
      <c r="AZ672" s="4"/>
      <c r="BA672" s="4"/>
      <c r="BB672" s="4"/>
      <c r="BC672" s="4"/>
      <c r="BD672" s="4"/>
      <c r="BE672" s="4"/>
      <c r="BF672" s="4"/>
      <c r="BG672" s="4"/>
      <c r="BH672" s="4"/>
      <c r="BI672" s="4"/>
      <c r="BJ672" s="4"/>
      <c r="BK672" s="4"/>
      <c r="BL672" s="4"/>
      <c r="BM672" s="4"/>
      <c r="BN672" s="4"/>
      <c r="BO672" s="4"/>
      <c r="BP672" s="4"/>
      <c r="BQ672" s="4"/>
      <c r="BR672" s="4"/>
      <c r="BS672" s="4"/>
      <c r="BT672" s="4"/>
      <c r="BU672" s="4"/>
      <c r="BV672" s="4"/>
      <c r="BW672" s="4"/>
      <c r="BX672" s="4"/>
      <c r="BY672" s="4"/>
      <c r="BZ672" s="4"/>
      <c r="CA672" s="4"/>
      <c r="CB672" s="4"/>
      <c r="CC672" s="4"/>
      <c r="CD672" s="4"/>
      <c r="CE672" s="4"/>
      <c r="CF672" s="4"/>
      <c r="CG672" s="4"/>
      <c r="CH672" s="4"/>
      <c r="CI672" s="4"/>
    </row>
    <row r="673" ht="14.25" customHeight="1" spans="1:87" x14ac:dyDescent="0.25">
      <c r="A673" s="4"/>
      <c r="B673" s="4"/>
      <c r="C673" s="4"/>
      <c r="D673" s="4"/>
      <c r="E673" s="4"/>
      <c r="F673" s="4"/>
      <c r="G673" s="4"/>
      <c r="H673" s="4"/>
      <c r="I673" s="4"/>
      <c r="J673" s="4"/>
      <c r="K673" s="242"/>
      <c r="L673" s="4"/>
      <c r="M673" s="4"/>
      <c r="N673" s="4"/>
      <c r="O673" s="4"/>
      <c r="P673" s="4"/>
      <c r="Q673" s="4"/>
      <c r="R673" s="4"/>
      <c r="S673" s="4"/>
      <c r="T673" s="4"/>
      <c r="U673" s="4"/>
      <c r="V673" s="4"/>
      <c r="W673" s="4"/>
      <c r="X673" s="4"/>
      <c r="Y673" s="4"/>
      <c r="Z673" s="4"/>
      <c r="AA673" s="4"/>
      <c r="AB673" s="4"/>
      <c r="AC673" s="4"/>
      <c r="AD673" s="4"/>
      <c r="AE673" s="4"/>
      <c r="AF673" s="4"/>
      <c r="AG673" s="4"/>
      <c r="AH673" s="4"/>
      <c r="AI673" s="4"/>
      <c r="AJ673" s="4"/>
      <c r="AK673" s="4"/>
      <c r="AL673" s="4"/>
      <c r="AM673" s="4"/>
      <c r="AN673" s="4"/>
      <c r="AO673" s="4"/>
      <c r="AP673" s="4"/>
      <c r="AQ673" s="4"/>
      <c r="AR673" s="4"/>
      <c r="AS673" s="4"/>
      <c r="AT673" s="4"/>
      <c r="AU673" s="4"/>
      <c r="AV673" s="4"/>
      <c r="AW673" s="4"/>
      <c r="AX673" s="4"/>
      <c r="AY673" s="4"/>
      <c r="AZ673" s="4"/>
      <c r="BA673" s="4"/>
      <c r="BB673" s="4"/>
      <c r="BC673" s="4"/>
      <c r="BD673" s="4"/>
      <c r="BE673" s="4"/>
      <c r="BF673" s="4"/>
      <c r="BG673" s="4"/>
      <c r="BH673" s="4"/>
      <c r="BI673" s="4"/>
      <c r="BJ673" s="4"/>
      <c r="BK673" s="4"/>
      <c r="BL673" s="4"/>
      <c r="BM673" s="4"/>
      <c r="BN673" s="4"/>
      <c r="BO673" s="4"/>
      <c r="BP673" s="4"/>
      <c r="BQ673" s="4"/>
      <c r="BR673" s="4"/>
      <c r="BS673" s="4"/>
      <c r="BT673" s="4"/>
      <c r="BU673" s="4"/>
      <c r="BV673" s="4"/>
      <c r="BW673" s="4"/>
      <c r="BX673" s="4"/>
      <c r="BY673" s="4"/>
      <c r="BZ673" s="4"/>
      <c r="CA673" s="4"/>
      <c r="CB673" s="4"/>
      <c r="CC673" s="4"/>
      <c r="CD673" s="4"/>
      <c r="CE673" s="4"/>
      <c r="CF673" s="4"/>
      <c r="CG673" s="4"/>
      <c r="CH673" s="4"/>
      <c r="CI673" s="4"/>
    </row>
    <row r="674" ht="14.25" customHeight="1" spans="1:87" x14ac:dyDescent="0.25">
      <c r="A674" s="4"/>
      <c r="B674" s="4"/>
      <c r="C674" s="4"/>
      <c r="D674" s="4"/>
      <c r="E674" s="4"/>
      <c r="F674" s="4"/>
      <c r="G674" s="4"/>
      <c r="H674" s="4"/>
      <c r="I674" s="4"/>
      <c r="J674" s="4"/>
      <c r="K674" s="242"/>
      <c r="L674" s="4"/>
      <c r="M674" s="4"/>
      <c r="N674" s="4"/>
      <c r="O674" s="4"/>
      <c r="P674" s="4"/>
      <c r="Q674" s="4"/>
      <c r="R674" s="4"/>
      <c r="S674" s="4"/>
      <c r="T674" s="4"/>
      <c r="U674" s="4"/>
      <c r="V674" s="4"/>
      <c r="W674" s="4"/>
      <c r="X674" s="4"/>
      <c r="Y674" s="4"/>
      <c r="Z674" s="4"/>
      <c r="AA674" s="4"/>
      <c r="AB674" s="4"/>
      <c r="AC674" s="4"/>
      <c r="AD674" s="4"/>
      <c r="AE674" s="4"/>
      <c r="AF674" s="4"/>
      <c r="AG674" s="4"/>
      <c r="AH674" s="4"/>
      <c r="AI674" s="4"/>
      <c r="AJ674" s="4"/>
      <c r="AK674" s="4"/>
      <c r="AL674" s="4"/>
      <c r="AM674" s="4"/>
      <c r="AN674" s="4"/>
      <c r="AO674" s="4"/>
      <c r="AP674" s="4"/>
      <c r="AQ674" s="4"/>
      <c r="AR674" s="4"/>
      <c r="AS674" s="4"/>
      <c r="AT674" s="4"/>
      <c r="AU674" s="4"/>
      <c r="AV674" s="4"/>
      <c r="AW674" s="4"/>
      <c r="AX674" s="4"/>
      <c r="AY674" s="4"/>
      <c r="AZ674" s="4"/>
      <c r="BA674" s="4"/>
      <c r="BB674" s="4"/>
      <c r="BC674" s="4"/>
      <c r="BD674" s="4"/>
      <c r="BE674" s="4"/>
      <c r="BF674" s="4"/>
      <c r="BG674" s="4"/>
      <c r="BH674" s="4"/>
      <c r="BI674" s="4"/>
      <c r="BJ674" s="4"/>
      <c r="BK674" s="4"/>
      <c r="BL674" s="4"/>
      <c r="BM674" s="4"/>
      <c r="BN674" s="4"/>
      <c r="BO674" s="4"/>
      <c r="BP674" s="4"/>
      <c r="BQ674" s="4"/>
      <c r="BR674" s="4"/>
      <c r="BS674" s="4"/>
      <c r="BT674" s="4"/>
      <c r="BU674" s="4"/>
      <c r="BV674" s="4"/>
      <c r="BW674" s="4"/>
      <c r="BX674" s="4"/>
      <c r="BY674" s="4"/>
      <c r="BZ674" s="4"/>
      <c r="CA674" s="4"/>
      <c r="CB674" s="4"/>
      <c r="CC674" s="4"/>
      <c r="CD674" s="4"/>
      <c r="CE674" s="4"/>
      <c r="CF674" s="4"/>
      <c r="CG674" s="4"/>
      <c r="CH674" s="4"/>
      <c r="CI674" s="4"/>
    </row>
    <row r="675" ht="14.25" customHeight="1" spans="1:87" x14ac:dyDescent="0.25">
      <c r="A675" s="4"/>
      <c r="B675" s="4"/>
      <c r="C675" s="4"/>
      <c r="D675" s="4"/>
      <c r="E675" s="4"/>
      <c r="F675" s="4"/>
      <c r="G675" s="4"/>
      <c r="H675" s="4"/>
      <c r="I675" s="4"/>
      <c r="J675" s="4"/>
      <c r="K675" s="242"/>
      <c r="L675" s="4"/>
      <c r="M675" s="4"/>
      <c r="N675" s="4"/>
      <c r="O675" s="4"/>
      <c r="P675" s="4"/>
      <c r="Q675" s="4"/>
      <c r="R675" s="4"/>
      <c r="S675" s="4"/>
      <c r="T675" s="4"/>
      <c r="U675" s="4"/>
      <c r="V675" s="4"/>
      <c r="W675" s="4"/>
      <c r="X675" s="4"/>
      <c r="Y675" s="4"/>
      <c r="Z675" s="4"/>
      <c r="AA675" s="4"/>
      <c r="AB675" s="4"/>
      <c r="AC675" s="4"/>
      <c r="AD675" s="4"/>
      <c r="AE675" s="4"/>
      <c r="AF675" s="4"/>
      <c r="AG675" s="4"/>
      <c r="AH675" s="4"/>
      <c r="AI675" s="4"/>
      <c r="AJ675" s="4"/>
      <c r="AK675" s="4"/>
      <c r="AL675" s="4"/>
      <c r="AM675" s="4"/>
      <c r="AN675" s="4"/>
      <c r="AO675" s="4"/>
      <c r="AP675" s="4"/>
      <c r="AQ675" s="4"/>
      <c r="AR675" s="4"/>
      <c r="AS675" s="4"/>
      <c r="AT675" s="4"/>
      <c r="AU675" s="4"/>
      <c r="AV675" s="4"/>
      <c r="AW675" s="4"/>
      <c r="AX675" s="4"/>
      <c r="AY675" s="4"/>
      <c r="AZ675" s="4"/>
      <c r="BA675" s="4"/>
      <c r="BB675" s="4"/>
      <c r="BC675" s="4"/>
      <c r="BD675" s="4"/>
      <c r="BE675" s="4"/>
      <c r="BF675" s="4"/>
      <c r="BG675" s="4"/>
      <c r="BH675" s="4"/>
      <c r="BI675" s="4"/>
      <c r="BJ675" s="4"/>
      <c r="BK675" s="4"/>
      <c r="BL675" s="4"/>
      <c r="BM675" s="4"/>
      <c r="BN675" s="4"/>
      <c r="BO675" s="4"/>
      <c r="BP675" s="4"/>
      <c r="BQ675" s="4"/>
      <c r="BR675" s="4"/>
      <c r="BS675" s="4"/>
      <c r="BT675" s="4"/>
      <c r="BU675" s="4"/>
      <c r="BV675" s="4"/>
      <c r="BW675" s="4"/>
      <c r="BX675" s="4"/>
      <c r="BY675" s="4"/>
      <c r="BZ675" s="4"/>
      <c r="CA675" s="4"/>
      <c r="CB675" s="4"/>
      <c r="CC675" s="4"/>
      <c r="CD675" s="4"/>
      <c r="CE675" s="4"/>
      <c r="CF675" s="4"/>
      <c r="CG675" s="4"/>
      <c r="CH675" s="4"/>
      <c r="CI675" s="4"/>
    </row>
    <row r="676" ht="14.25" customHeight="1" spans="1:87" x14ac:dyDescent="0.25">
      <c r="A676" s="4"/>
      <c r="B676" s="4"/>
      <c r="C676" s="4"/>
      <c r="D676" s="4"/>
      <c r="E676" s="4"/>
      <c r="F676" s="4"/>
      <c r="G676" s="4"/>
      <c r="H676" s="4"/>
      <c r="I676" s="4"/>
      <c r="J676" s="4"/>
      <c r="K676" s="242"/>
      <c r="L676" s="4"/>
      <c r="M676" s="4"/>
      <c r="N676" s="4"/>
      <c r="O676" s="4"/>
      <c r="P676" s="4"/>
      <c r="Q676" s="4"/>
      <c r="R676" s="4"/>
      <c r="S676" s="4"/>
      <c r="T676" s="4"/>
      <c r="U676" s="4"/>
      <c r="V676" s="4"/>
      <c r="W676" s="4"/>
      <c r="X676" s="4"/>
      <c r="Y676" s="4"/>
      <c r="Z676" s="4"/>
      <c r="AA676" s="4"/>
      <c r="AB676" s="4"/>
      <c r="AC676" s="4"/>
      <c r="AD676" s="4"/>
      <c r="AE676" s="4"/>
      <c r="AF676" s="4"/>
      <c r="AG676" s="4"/>
      <c r="AH676" s="4"/>
      <c r="AI676" s="4"/>
      <c r="AJ676" s="4"/>
      <c r="AK676" s="4"/>
      <c r="AL676" s="4"/>
      <c r="AM676" s="4"/>
      <c r="AN676" s="4"/>
      <c r="AO676" s="4"/>
      <c r="AP676" s="4"/>
      <c r="AQ676" s="4"/>
      <c r="AR676" s="4"/>
      <c r="AS676" s="4"/>
      <c r="AT676" s="4"/>
      <c r="AU676" s="4"/>
      <c r="AV676" s="4"/>
      <c r="AW676" s="4"/>
      <c r="AX676" s="4"/>
      <c r="AY676" s="4"/>
      <c r="AZ676" s="4"/>
      <c r="BA676" s="4"/>
      <c r="BB676" s="4"/>
      <c r="BC676" s="4"/>
      <c r="BD676" s="4"/>
      <c r="BE676" s="4"/>
      <c r="BF676" s="4"/>
      <c r="BG676" s="4"/>
      <c r="BH676" s="4"/>
      <c r="BI676" s="4"/>
      <c r="BJ676" s="4"/>
      <c r="BK676" s="4"/>
      <c r="BL676" s="4"/>
      <c r="BM676" s="4"/>
      <c r="BN676" s="4"/>
      <c r="BO676" s="4"/>
      <c r="BP676" s="4"/>
      <c r="BQ676" s="4"/>
      <c r="BR676" s="4"/>
      <c r="BS676" s="4"/>
      <c r="BT676" s="4"/>
      <c r="BU676" s="4"/>
      <c r="BV676" s="4"/>
      <c r="BW676" s="4"/>
      <c r="BX676" s="4"/>
      <c r="BY676" s="4"/>
      <c r="BZ676" s="4"/>
      <c r="CA676" s="4"/>
      <c r="CB676" s="4"/>
      <c r="CC676" s="4"/>
      <c r="CD676" s="4"/>
      <c r="CE676" s="4"/>
      <c r="CF676" s="4"/>
      <c r="CG676" s="4"/>
      <c r="CH676" s="4"/>
      <c r="CI676" s="4"/>
    </row>
    <row r="677" ht="14.25" customHeight="1" spans="1:87" x14ac:dyDescent="0.25">
      <c r="A677" s="4"/>
      <c r="B677" s="4"/>
      <c r="C677" s="4"/>
      <c r="D677" s="4"/>
      <c r="E677" s="4"/>
      <c r="F677" s="4"/>
      <c r="G677" s="4"/>
      <c r="H677" s="4"/>
      <c r="I677" s="4"/>
      <c r="J677" s="4"/>
      <c r="K677" s="242"/>
      <c r="L677" s="4"/>
      <c r="M677" s="4"/>
      <c r="N677" s="4"/>
      <c r="O677" s="4"/>
      <c r="P677" s="4"/>
      <c r="Q677" s="4"/>
      <c r="R677" s="4"/>
      <c r="S677" s="4"/>
      <c r="T677" s="4"/>
      <c r="U677" s="4"/>
      <c r="V677" s="4"/>
      <c r="W677" s="4"/>
      <c r="X677" s="4"/>
      <c r="Y677" s="4"/>
      <c r="Z677" s="4"/>
      <c r="AA677" s="4"/>
      <c r="AB677" s="4"/>
      <c r="AC677" s="4"/>
      <c r="AD677" s="4"/>
      <c r="AE677" s="4"/>
      <c r="AF677" s="4"/>
      <c r="AG677" s="4"/>
      <c r="AH677" s="4"/>
      <c r="AI677" s="4"/>
      <c r="AJ677" s="4"/>
      <c r="AK677" s="4"/>
      <c r="AL677" s="4"/>
      <c r="AM677" s="4"/>
      <c r="AN677" s="4"/>
      <c r="AO677" s="4"/>
      <c r="AP677" s="4"/>
      <c r="AQ677" s="4"/>
      <c r="AR677" s="4"/>
      <c r="AS677" s="4"/>
      <c r="AT677" s="4"/>
      <c r="AU677" s="4"/>
      <c r="AV677" s="4"/>
      <c r="AW677" s="4"/>
      <c r="AX677" s="4"/>
      <c r="AY677" s="4"/>
      <c r="AZ677" s="4"/>
      <c r="BA677" s="4"/>
      <c r="BB677" s="4"/>
      <c r="BC677" s="4"/>
      <c r="BD677" s="4"/>
      <c r="BE677" s="4"/>
      <c r="BF677" s="4"/>
      <c r="BG677" s="4"/>
      <c r="BH677" s="4"/>
      <c r="BI677" s="4"/>
      <c r="BJ677" s="4"/>
      <c r="BK677" s="4"/>
      <c r="BL677" s="4"/>
      <c r="BM677" s="4"/>
      <c r="BN677" s="4"/>
      <c r="BO677" s="4"/>
      <c r="BP677" s="4"/>
      <c r="BQ677" s="4"/>
      <c r="BR677" s="4"/>
      <c r="BS677" s="4"/>
      <c r="BT677" s="4"/>
      <c r="BU677" s="4"/>
      <c r="BV677" s="4"/>
      <c r="BW677" s="4"/>
      <c r="BX677" s="4"/>
      <c r="BY677" s="4"/>
      <c r="BZ677" s="4"/>
      <c r="CA677" s="4"/>
      <c r="CB677" s="4"/>
      <c r="CC677" s="4"/>
      <c r="CD677" s="4"/>
      <c r="CE677" s="4"/>
      <c r="CF677" s="4"/>
      <c r="CG677" s="4"/>
      <c r="CH677" s="4"/>
      <c r="CI677" s="4"/>
    </row>
    <row r="678" ht="14.25" customHeight="1" spans="1:87" x14ac:dyDescent="0.25">
      <c r="A678" s="4"/>
      <c r="B678" s="4"/>
      <c r="C678" s="4"/>
      <c r="D678" s="4"/>
      <c r="E678" s="4"/>
      <c r="F678" s="4"/>
      <c r="G678" s="4"/>
      <c r="H678" s="4"/>
      <c r="I678" s="4"/>
      <c r="J678" s="4"/>
      <c r="K678" s="242"/>
      <c r="L678" s="4"/>
      <c r="M678" s="4"/>
      <c r="N678" s="4"/>
      <c r="O678" s="4"/>
      <c r="P678" s="4"/>
      <c r="Q678" s="4"/>
      <c r="R678" s="4"/>
      <c r="S678" s="4"/>
      <c r="T678" s="4"/>
      <c r="U678" s="4"/>
      <c r="V678" s="4"/>
      <c r="W678" s="4"/>
      <c r="X678" s="4"/>
      <c r="Y678" s="4"/>
      <c r="Z678" s="4"/>
      <c r="AA678" s="4"/>
      <c r="AB678" s="4"/>
      <c r="AC678" s="4"/>
      <c r="AD678" s="4"/>
      <c r="AE678" s="4"/>
      <c r="AF678" s="4"/>
      <c r="AG678" s="4"/>
      <c r="AH678" s="4"/>
      <c r="AI678" s="4"/>
      <c r="AJ678" s="4"/>
      <c r="AK678" s="4"/>
      <c r="AL678" s="4"/>
      <c r="AM678" s="4"/>
      <c r="AN678" s="4"/>
      <c r="AO678" s="4"/>
      <c r="AP678" s="4"/>
      <c r="AQ678" s="4"/>
      <c r="AR678" s="4"/>
      <c r="AS678" s="4"/>
      <c r="AT678" s="4"/>
      <c r="AU678" s="4"/>
      <c r="AV678" s="4"/>
      <c r="AW678" s="4"/>
      <c r="AX678" s="4"/>
      <c r="AY678" s="4"/>
      <c r="AZ678" s="4"/>
      <c r="BA678" s="4"/>
      <c r="BB678" s="4"/>
      <c r="BC678" s="4"/>
      <c r="BD678" s="4"/>
      <c r="BE678" s="4"/>
      <c r="BF678" s="4"/>
      <c r="BG678" s="4"/>
      <c r="BH678" s="4"/>
      <c r="BI678" s="4"/>
      <c r="BJ678" s="4"/>
      <c r="BK678" s="4"/>
      <c r="BL678" s="4"/>
      <c r="BM678" s="4"/>
      <c r="BN678" s="4"/>
      <c r="BO678" s="4"/>
      <c r="BP678" s="4"/>
      <c r="BQ678" s="4"/>
      <c r="BR678" s="4"/>
      <c r="BS678" s="4"/>
      <c r="BT678" s="4"/>
      <c r="BU678" s="4"/>
      <c r="BV678" s="4"/>
      <c r="BW678" s="4"/>
      <c r="BX678" s="4"/>
      <c r="BY678" s="4"/>
      <c r="BZ678" s="4"/>
      <c r="CA678" s="4"/>
      <c r="CB678" s="4"/>
      <c r="CC678" s="4"/>
      <c r="CD678" s="4"/>
      <c r="CE678" s="4"/>
      <c r="CF678" s="4"/>
      <c r="CG678" s="4"/>
      <c r="CH678" s="4"/>
      <c r="CI678" s="4"/>
    </row>
    <row r="679" ht="14.25" customHeight="1" spans="1:87" x14ac:dyDescent="0.25">
      <c r="A679" s="4"/>
      <c r="B679" s="4"/>
      <c r="C679" s="4"/>
      <c r="D679" s="4"/>
      <c r="E679" s="4"/>
      <c r="F679" s="4"/>
      <c r="G679" s="4"/>
      <c r="H679" s="4"/>
      <c r="I679" s="4"/>
      <c r="J679" s="4"/>
      <c r="K679" s="242"/>
      <c r="L679" s="4"/>
      <c r="M679" s="4"/>
      <c r="N679" s="4"/>
      <c r="O679" s="4"/>
      <c r="P679" s="4"/>
      <c r="Q679" s="4"/>
      <c r="R679" s="4"/>
      <c r="S679" s="4"/>
      <c r="T679" s="4"/>
      <c r="U679" s="4"/>
      <c r="V679" s="4"/>
      <c r="W679" s="4"/>
      <c r="X679" s="4"/>
      <c r="Y679" s="4"/>
      <c r="Z679" s="4"/>
      <c r="AA679" s="4"/>
      <c r="AB679" s="4"/>
      <c r="AC679" s="4"/>
      <c r="AD679" s="4"/>
      <c r="AE679" s="4"/>
      <c r="AF679" s="4"/>
      <c r="AG679" s="4"/>
      <c r="AH679" s="4"/>
      <c r="AI679" s="4"/>
      <c r="AJ679" s="4"/>
      <c r="AK679" s="4"/>
      <c r="AL679" s="4"/>
      <c r="AM679" s="4"/>
      <c r="AN679" s="4"/>
      <c r="AO679" s="4"/>
      <c r="AP679" s="4"/>
      <c r="AQ679" s="4"/>
      <c r="AR679" s="4"/>
      <c r="AS679" s="4"/>
      <c r="AT679" s="4"/>
      <c r="AU679" s="4"/>
      <c r="AV679" s="4"/>
      <c r="AW679" s="4"/>
      <c r="AX679" s="4"/>
      <c r="AY679" s="4"/>
      <c r="AZ679" s="4"/>
      <c r="BA679" s="4"/>
      <c r="BB679" s="4"/>
      <c r="BC679" s="4"/>
      <c r="BD679" s="4"/>
      <c r="BE679" s="4"/>
      <c r="BF679" s="4"/>
      <c r="BG679" s="4"/>
      <c r="BH679" s="4"/>
      <c r="BI679" s="4"/>
      <c r="BJ679" s="4"/>
      <c r="BK679" s="4"/>
      <c r="BL679" s="4"/>
      <c r="BM679" s="4"/>
      <c r="BN679" s="4"/>
      <c r="BO679" s="4"/>
      <c r="BP679" s="4"/>
      <c r="BQ679" s="4"/>
      <c r="BR679" s="4"/>
      <c r="BS679" s="4"/>
      <c r="BT679" s="4"/>
      <c r="BU679" s="4"/>
      <c r="BV679" s="4"/>
      <c r="BW679" s="4"/>
      <c r="BX679" s="4"/>
      <c r="BY679" s="4"/>
      <c r="BZ679" s="4"/>
      <c r="CA679" s="4"/>
      <c r="CB679" s="4"/>
      <c r="CC679" s="4"/>
      <c r="CD679" s="4"/>
      <c r="CE679" s="4"/>
      <c r="CF679" s="4"/>
      <c r="CG679" s="4"/>
      <c r="CH679" s="4"/>
      <c r="CI679" s="4"/>
    </row>
    <row r="680" ht="14.25" customHeight="1" spans="1:87" x14ac:dyDescent="0.25">
      <c r="A680" s="4"/>
      <c r="B680" s="4"/>
      <c r="C680" s="4"/>
      <c r="D680" s="4"/>
      <c r="E680" s="4"/>
      <c r="F680" s="4"/>
      <c r="G680" s="4"/>
      <c r="H680" s="4"/>
      <c r="I680" s="4"/>
      <c r="J680" s="4"/>
      <c r="K680" s="242"/>
      <c r="L680" s="4"/>
      <c r="M680" s="4"/>
      <c r="N680" s="4"/>
      <c r="O680" s="4"/>
      <c r="P680" s="4"/>
      <c r="Q680" s="4"/>
      <c r="R680" s="4"/>
      <c r="S680" s="4"/>
      <c r="T680" s="4"/>
      <c r="U680" s="4"/>
      <c r="V680" s="4"/>
      <c r="W680" s="4"/>
      <c r="X680" s="4"/>
      <c r="Y680" s="4"/>
      <c r="Z680" s="4"/>
      <c r="AA680" s="4"/>
      <c r="AB680" s="4"/>
      <c r="AC680" s="4"/>
      <c r="AD680" s="4"/>
      <c r="AE680" s="4"/>
      <c r="AF680" s="4"/>
      <c r="AG680" s="4"/>
      <c r="AH680" s="4"/>
      <c r="AI680" s="4"/>
      <c r="AJ680" s="4"/>
      <c r="AK680" s="4"/>
      <c r="AL680" s="4"/>
      <c r="AM680" s="4"/>
      <c r="AN680" s="4"/>
      <c r="AO680" s="4"/>
      <c r="AP680" s="4"/>
      <c r="AQ680" s="4"/>
      <c r="AR680" s="4"/>
      <c r="AS680" s="4"/>
      <c r="AT680" s="4"/>
      <c r="AU680" s="4"/>
      <c r="AV680" s="4"/>
      <c r="AW680" s="4"/>
      <c r="AX680" s="4"/>
      <c r="AY680" s="4"/>
      <c r="AZ680" s="4"/>
      <c r="BA680" s="4"/>
      <c r="BB680" s="4"/>
      <c r="BC680" s="4"/>
      <c r="BD680" s="4"/>
      <c r="BE680" s="4"/>
      <c r="BF680" s="4"/>
      <c r="BG680" s="4"/>
      <c r="BH680" s="4"/>
      <c r="BI680" s="4"/>
      <c r="BJ680" s="4"/>
      <c r="BK680" s="4"/>
      <c r="BL680" s="4"/>
      <c r="BM680" s="4"/>
      <c r="BN680" s="4"/>
      <c r="BO680" s="4"/>
      <c r="BP680" s="4"/>
      <c r="BQ680" s="4"/>
      <c r="BR680" s="4"/>
      <c r="BS680" s="4"/>
      <c r="BT680" s="4"/>
      <c r="BU680" s="4"/>
      <c r="BV680" s="4"/>
      <c r="BW680" s="4"/>
      <c r="BX680" s="4"/>
      <c r="BY680" s="4"/>
      <c r="BZ680" s="4"/>
      <c r="CA680" s="4"/>
      <c r="CB680" s="4"/>
      <c r="CC680" s="4"/>
      <c r="CD680" s="4"/>
      <c r="CE680" s="4"/>
      <c r="CF680" s="4"/>
      <c r="CG680" s="4"/>
      <c r="CH680" s="4"/>
      <c r="CI680" s="4"/>
    </row>
    <row r="681" ht="14.25" customHeight="1" spans="1:87" x14ac:dyDescent="0.25">
      <c r="A681" s="4"/>
      <c r="B681" s="4"/>
      <c r="C681" s="4"/>
      <c r="D681" s="4"/>
      <c r="E681" s="4"/>
      <c r="F681" s="4"/>
      <c r="G681" s="4"/>
      <c r="H681" s="4"/>
      <c r="I681" s="4"/>
      <c r="J681" s="4"/>
      <c r="K681" s="242"/>
      <c r="L681" s="4"/>
      <c r="M681" s="4"/>
      <c r="N681" s="4"/>
      <c r="O681" s="4"/>
      <c r="P681" s="4"/>
      <c r="Q681" s="4"/>
      <c r="R681" s="4"/>
      <c r="S681" s="4"/>
      <c r="T681" s="4"/>
      <c r="U681" s="4"/>
      <c r="V681" s="4"/>
      <c r="W681" s="4"/>
      <c r="X681" s="4"/>
      <c r="Y681" s="4"/>
      <c r="Z681" s="4"/>
      <c r="AA681" s="4"/>
      <c r="AB681" s="4"/>
      <c r="AC681" s="4"/>
      <c r="AD681" s="4"/>
      <c r="AE681" s="4"/>
      <c r="AF681" s="4"/>
      <c r="AG681" s="4"/>
      <c r="AH681" s="4"/>
      <c r="AI681" s="4"/>
      <c r="AJ681" s="4"/>
      <c r="AK681" s="4"/>
      <c r="AL681" s="4"/>
      <c r="AM681" s="4"/>
      <c r="AN681" s="4"/>
      <c r="AO681" s="4"/>
      <c r="AP681" s="4"/>
      <c r="AQ681" s="4"/>
      <c r="AR681" s="4"/>
      <c r="AS681" s="4"/>
      <c r="AT681" s="4"/>
      <c r="AU681" s="4"/>
      <c r="AV681" s="4"/>
      <c r="AW681" s="4"/>
      <c r="AX681" s="4"/>
      <c r="AY681" s="4"/>
      <c r="AZ681" s="4"/>
      <c r="BA681" s="4"/>
      <c r="BB681" s="4"/>
      <c r="BC681" s="4"/>
      <c r="BD681" s="4"/>
      <c r="BE681" s="4"/>
      <c r="BF681" s="4"/>
      <c r="BG681" s="4"/>
      <c r="BH681" s="4"/>
      <c r="BI681" s="4"/>
      <c r="BJ681" s="4"/>
      <c r="BK681" s="4"/>
      <c r="BL681" s="4"/>
      <c r="BM681" s="4"/>
      <c r="BN681" s="4"/>
      <c r="BO681" s="4"/>
      <c r="BP681" s="4"/>
      <c r="BQ681" s="4"/>
      <c r="BR681" s="4"/>
      <c r="BS681" s="4"/>
      <c r="BT681" s="4"/>
      <c r="BU681" s="4"/>
      <c r="BV681" s="4"/>
      <c r="BW681" s="4"/>
      <c r="BX681" s="4"/>
      <c r="BY681" s="4"/>
      <c r="BZ681" s="4"/>
      <c r="CA681" s="4"/>
      <c r="CB681" s="4"/>
      <c r="CC681" s="4"/>
      <c r="CD681" s="4"/>
      <c r="CE681" s="4"/>
      <c r="CF681" s="4"/>
      <c r="CG681" s="4"/>
      <c r="CH681" s="4"/>
      <c r="CI681" s="4"/>
    </row>
    <row r="682" ht="14.25" customHeight="1" spans="1:87" x14ac:dyDescent="0.25">
      <c r="A682" s="4"/>
      <c r="B682" s="4"/>
      <c r="C682" s="4"/>
      <c r="D682" s="4"/>
      <c r="E682" s="4"/>
      <c r="F682" s="4"/>
      <c r="G682" s="4"/>
      <c r="H682" s="4"/>
      <c r="I682" s="4"/>
      <c r="J682" s="4"/>
      <c r="K682" s="242"/>
      <c r="L682" s="4"/>
      <c r="M682" s="4"/>
      <c r="N682" s="4"/>
      <c r="O682" s="4"/>
      <c r="P682" s="4"/>
      <c r="Q682" s="4"/>
      <c r="R682" s="4"/>
      <c r="S682" s="4"/>
      <c r="T682" s="4"/>
      <c r="U682" s="4"/>
      <c r="V682" s="4"/>
      <c r="W682" s="4"/>
      <c r="X682" s="4"/>
      <c r="Y682" s="4"/>
      <c r="Z682" s="4"/>
      <c r="AA682" s="4"/>
      <c r="AB682" s="4"/>
      <c r="AC682" s="4"/>
      <c r="AD682" s="4"/>
      <c r="AE682" s="4"/>
      <c r="AF682" s="4"/>
      <c r="AG682" s="4"/>
      <c r="AH682" s="4"/>
      <c r="AI682" s="4"/>
      <c r="AJ682" s="4"/>
      <c r="AK682" s="4"/>
      <c r="AL682" s="4"/>
      <c r="AM682" s="4"/>
      <c r="AN682" s="4"/>
      <c r="AO682" s="4"/>
      <c r="AP682" s="4"/>
      <c r="AQ682" s="4"/>
      <c r="AR682" s="4"/>
      <c r="AS682" s="4"/>
      <c r="AT682" s="4"/>
      <c r="AU682" s="4"/>
      <c r="AV682" s="4"/>
      <c r="AW682" s="4"/>
      <c r="AX682" s="4"/>
      <c r="AY682" s="4"/>
      <c r="AZ682" s="4"/>
      <c r="BA682" s="4"/>
      <c r="BB682" s="4"/>
      <c r="BC682" s="4"/>
      <c r="BD682" s="4"/>
      <c r="BE682" s="4"/>
      <c r="BF682" s="4"/>
      <c r="BG682" s="4"/>
      <c r="BH682" s="4"/>
      <c r="BI682" s="4"/>
      <c r="BJ682" s="4"/>
      <c r="BK682" s="4"/>
      <c r="BL682" s="4"/>
      <c r="BM682" s="4"/>
      <c r="BN682" s="4"/>
      <c r="BO682" s="4"/>
      <c r="BP682" s="4"/>
      <c r="BQ682" s="4"/>
      <c r="BR682" s="4"/>
      <c r="BS682" s="4"/>
      <c r="BT682" s="4"/>
      <c r="BU682" s="4"/>
      <c r="BV682" s="4"/>
      <c r="BW682" s="4"/>
      <c r="BX682" s="4"/>
      <c r="BY682" s="4"/>
      <c r="BZ682" s="4"/>
      <c r="CA682" s="4"/>
      <c r="CB682" s="4"/>
      <c r="CC682" s="4"/>
      <c r="CD682" s="4"/>
      <c r="CE682" s="4"/>
      <c r="CF682" s="4"/>
      <c r="CG682" s="4"/>
      <c r="CH682" s="4"/>
      <c r="CI682" s="4"/>
    </row>
    <row r="683" ht="14.25" customHeight="1" spans="1:87" x14ac:dyDescent="0.25">
      <c r="A683" s="4"/>
      <c r="B683" s="4"/>
      <c r="C683" s="4"/>
      <c r="D683" s="4"/>
      <c r="E683" s="4"/>
      <c r="F683" s="4"/>
      <c r="G683" s="4"/>
      <c r="H683" s="4"/>
      <c r="I683" s="4"/>
      <c r="J683" s="4"/>
      <c r="K683" s="242"/>
      <c r="L683" s="4"/>
      <c r="M683" s="4"/>
      <c r="N683" s="4"/>
      <c r="O683" s="4"/>
      <c r="P683" s="4"/>
      <c r="Q683" s="4"/>
      <c r="R683" s="4"/>
      <c r="S683" s="4"/>
      <c r="T683" s="4"/>
      <c r="U683" s="4"/>
      <c r="V683" s="4"/>
      <c r="W683" s="4"/>
      <c r="X683" s="4"/>
      <c r="Y683" s="4"/>
      <c r="Z683" s="4"/>
      <c r="AA683" s="4"/>
      <c r="AB683" s="4"/>
      <c r="AC683" s="4"/>
      <c r="AD683" s="4"/>
      <c r="AE683" s="4"/>
      <c r="AF683" s="4"/>
      <c r="AG683" s="4"/>
      <c r="AH683" s="4"/>
      <c r="AI683" s="4"/>
      <c r="AJ683" s="4"/>
      <c r="AK683" s="4"/>
      <c r="AL683" s="4"/>
      <c r="AM683" s="4"/>
      <c r="AN683" s="4"/>
      <c r="AO683" s="4"/>
      <c r="AP683" s="4"/>
      <c r="AQ683" s="4"/>
      <c r="AR683" s="4"/>
      <c r="AS683" s="4"/>
      <c r="AT683" s="4"/>
      <c r="AU683" s="4"/>
      <c r="AV683" s="4"/>
      <c r="AW683" s="4"/>
      <c r="AX683" s="4"/>
      <c r="AY683" s="4"/>
      <c r="AZ683" s="4"/>
      <c r="BA683" s="4"/>
      <c r="BB683" s="4"/>
      <c r="BC683" s="4"/>
      <c r="BD683" s="4"/>
      <c r="BE683" s="4"/>
      <c r="BF683" s="4"/>
      <c r="BG683" s="4"/>
      <c r="BH683" s="4"/>
      <c r="BI683" s="4"/>
      <c r="BJ683" s="4"/>
      <c r="BK683" s="4"/>
      <c r="BL683" s="4"/>
      <c r="BM683" s="4"/>
      <c r="BN683" s="4"/>
      <c r="BO683" s="4"/>
      <c r="BP683" s="4"/>
      <c r="BQ683" s="4"/>
      <c r="BR683" s="4"/>
      <c r="BS683" s="4"/>
      <c r="BT683" s="4"/>
      <c r="BU683" s="4"/>
      <c r="BV683" s="4"/>
      <c r="BW683" s="4"/>
      <c r="BX683" s="4"/>
      <c r="BY683" s="4"/>
      <c r="BZ683" s="4"/>
      <c r="CA683" s="4"/>
      <c r="CB683" s="4"/>
      <c r="CC683" s="4"/>
      <c r="CD683" s="4"/>
      <c r="CE683" s="4"/>
      <c r="CF683" s="4"/>
      <c r="CG683" s="4"/>
      <c r="CH683" s="4"/>
      <c r="CI683" s="4"/>
    </row>
    <row r="684" ht="14.25" customHeight="1" spans="1:87" x14ac:dyDescent="0.25">
      <c r="A684" s="4"/>
      <c r="B684" s="4"/>
      <c r="C684" s="4"/>
      <c r="D684" s="4"/>
      <c r="E684" s="4"/>
      <c r="F684" s="4"/>
      <c r="G684" s="4"/>
      <c r="H684" s="4"/>
      <c r="I684" s="4"/>
      <c r="J684" s="4"/>
      <c r="K684" s="242"/>
      <c r="L684" s="4"/>
      <c r="M684" s="4"/>
      <c r="N684" s="4"/>
      <c r="O684" s="4"/>
      <c r="P684" s="4"/>
      <c r="Q684" s="4"/>
      <c r="R684" s="4"/>
      <c r="S684" s="4"/>
      <c r="T684" s="4"/>
      <c r="U684" s="4"/>
      <c r="V684" s="4"/>
      <c r="W684" s="4"/>
      <c r="X684" s="4"/>
      <c r="Y684" s="4"/>
      <c r="Z684" s="4"/>
      <c r="AA684" s="4"/>
      <c r="AB684" s="4"/>
      <c r="AC684" s="4"/>
      <c r="AD684" s="4"/>
      <c r="AE684" s="4"/>
      <c r="AF684" s="4"/>
      <c r="AG684" s="4"/>
      <c r="AH684" s="4"/>
      <c r="AI684" s="4"/>
      <c r="AJ684" s="4"/>
      <c r="AK684" s="4"/>
      <c r="AL684" s="4"/>
      <c r="AM684" s="4"/>
      <c r="AN684" s="4"/>
      <c r="AO684" s="4"/>
      <c r="AP684" s="4"/>
      <c r="AQ684" s="4"/>
      <c r="AR684" s="4"/>
      <c r="AS684" s="4"/>
      <c r="AT684" s="4"/>
      <c r="AU684" s="4"/>
      <c r="AV684" s="4"/>
      <c r="AW684" s="4"/>
      <c r="AX684" s="4"/>
      <c r="AY684" s="4"/>
      <c r="AZ684" s="4"/>
      <c r="BA684" s="4"/>
      <c r="BB684" s="4"/>
      <c r="BC684" s="4"/>
      <c r="BD684" s="4"/>
      <c r="BE684" s="4"/>
      <c r="BF684" s="4"/>
      <c r="BG684" s="4"/>
      <c r="BH684" s="4"/>
      <c r="BI684" s="4"/>
      <c r="BJ684" s="4"/>
      <c r="BK684" s="4"/>
      <c r="BL684" s="4"/>
      <c r="BM684" s="4"/>
      <c r="BN684" s="4"/>
      <c r="BO684" s="4"/>
      <c r="BP684" s="4"/>
      <c r="BQ684" s="4"/>
      <c r="BR684" s="4"/>
      <c r="BS684" s="4"/>
      <c r="BT684" s="4"/>
      <c r="BU684" s="4"/>
      <c r="BV684" s="4"/>
      <c r="BW684" s="4"/>
      <c r="BX684" s="4"/>
      <c r="BY684" s="4"/>
      <c r="BZ684" s="4"/>
      <c r="CA684" s="4"/>
      <c r="CB684" s="4"/>
      <c r="CC684" s="4"/>
      <c r="CD684" s="4"/>
      <c r="CE684" s="4"/>
      <c r="CF684" s="4"/>
      <c r="CG684" s="4"/>
      <c r="CH684" s="4"/>
      <c r="CI684" s="4"/>
    </row>
    <row r="685" ht="14.25" customHeight="1" spans="1:87" x14ac:dyDescent="0.25">
      <c r="A685" s="4"/>
      <c r="B685" s="4"/>
      <c r="C685" s="4"/>
      <c r="D685" s="4"/>
      <c r="E685" s="4"/>
      <c r="F685" s="4"/>
      <c r="G685" s="4"/>
      <c r="H685" s="4"/>
      <c r="I685" s="4"/>
      <c r="J685" s="4"/>
      <c r="K685" s="242"/>
      <c r="L685" s="4"/>
      <c r="M685" s="4"/>
      <c r="N685" s="4"/>
      <c r="O685" s="4"/>
      <c r="P685" s="4"/>
      <c r="Q685" s="4"/>
      <c r="R685" s="4"/>
      <c r="S685" s="4"/>
      <c r="T685" s="4"/>
      <c r="U685" s="4"/>
      <c r="V685" s="4"/>
      <c r="W685" s="4"/>
      <c r="X685" s="4"/>
      <c r="Y685" s="4"/>
      <c r="Z685" s="4"/>
      <c r="AA685" s="4"/>
      <c r="AB685" s="4"/>
      <c r="AC685" s="4"/>
      <c r="AD685" s="4"/>
      <c r="AE685" s="4"/>
      <c r="AF685" s="4"/>
      <c r="AG685" s="4"/>
      <c r="AH685" s="4"/>
      <c r="AI685" s="4"/>
      <c r="AJ685" s="4"/>
      <c r="AK685" s="4"/>
      <c r="AL685" s="4"/>
      <c r="AM685" s="4"/>
      <c r="AN685" s="4"/>
      <c r="AO685" s="4"/>
      <c r="AP685" s="4"/>
      <c r="AQ685" s="4"/>
      <c r="AR685" s="4"/>
      <c r="AS685" s="4"/>
      <c r="AT685" s="4"/>
      <c r="AU685" s="4"/>
      <c r="AV685" s="4"/>
      <c r="AW685" s="4"/>
      <c r="AX685" s="4"/>
      <c r="AY685" s="4"/>
      <c r="AZ685" s="4"/>
      <c r="BA685" s="4"/>
      <c r="BB685" s="4"/>
      <c r="BC685" s="4"/>
      <c r="BD685" s="4"/>
      <c r="BE685" s="4"/>
      <c r="BF685" s="4"/>
      <c r="BG685" s="4"/>
      <c r="BH685" s="4"/>
      <c r="BI685" s="4"/>
      <c r="BJ685" s="4"/>
      <c r="BK685" s="4"/>
      <c r="BL685" s="4"/>
      <c r="BM685" s="4"/>
      <c r="BN685" s="4"/>
      <c r="BO685" s="4"/>
      <c r="BP685" s="4"/>
      <c r="BQ685" s="4"/>
      <c r="BR685" s="4"/>
      <c r="BS685" s="4"/>
      <c r="BT685" s="4"/>
      <c r="BU685" s="4"/>
      <c r="BV685" s="4"/>
      <c r="BW685" s="4"/>
      <c r="BX685" s="4"/>
      <c r="BY685" s="4"/>
      <c r="BZ685" s="4"/>
      <c r="CA685" s="4"/>
      <c r="CB685" s="4"/>
      <c r="CC685" s="4"/>
      <c r="CD685" s="4"/>
      <c r="CE685" s="4"/>
      <c r="CF685" s="4"/>
      <c r="CG685" s="4"/>
      <c r="CH685" s="4"/>
      <c r="CI685" s="4"/>
    </row>
    <row r="686" ht="14.25" customHeight="1" spans="1:87" x14ac:dyDescent="0.25">
      <c r="A686" s="4"/>
      <c r="B686" s="4"/>
      <c r="C686" s="4"/>
      <c r="D686" s="4"/>
      <c r="E686" s="4"/>
      <c r="F686" s="4"/>
      <c r="G686" s="4"/>
      <c r="H686" s="4"/>
      <c r="I686" s="4"/>
      <c r="J686" s="4"/>
      <c r="K686" s="242"/>
      <c r="L686" s="4"/>
      <c r="M686" s="4"/>
      <c r="N686" s="4"/>
      <c r="O686" s="4"/>
      <c r="P686" s="4"/>
      <c r="Q686" s="4"/>
      <c r="R686" s="4"/>
      <c r="S686" s="4"/>
      <c r="T686" s="4"/>
      <c r="U686" s="4"/>
      <c r="V686" s="4"/>
      <c r="W686" s="4"/>
      <c r="X686" s="4"/>
      <c r="Y686" s="4"/>
      <c r="Z686" s="4"/>
      <c r="AA686" s="4"/>
      <c r="AB686" s="4"/>
      <c r="AC686" s="4"/>
      <c r="AD686" s="4"/>
      <c r="AE686" s="4"/>
      <c r="AF686" s="4"/>
      <c r="AG686" s="4"/>
      <c r="AH686" s="4"/>
      <c r="AI686" s="4"/>
      <c r="AJ686" s="4"/>
      <c r="AK686" s="4"/>
      <c r="AL686" s="4"/>
      <c r="AM686" s="4"/>
      <c r="AN686" s="4"/>
      <c r="AO686" s="4"/>
      <c r="AP686" s="4"/>
      <c r="AQ686" s="4"/>
      <c r="AR686" s="4"/>
      <c r="AS686" s="4"/>
      <c r="AT686" s="4"/>
      <c r="AU686" s="4"/>
      <c r="AV686" s="4"/>
      <c r="AW686" s="4"/>
      <c r="AX686" s="4"/>
      <c r="AY686" s="4"/>
      <c r="AZ686" s="4"/>
      <c r="BA686" s="4"/>
      <c r="BB686" s="4"/>
      <c r="BC686" s="4"/>
      <c r="BD686" s="4"/>
      <c r="BE686" s="4"/>
      <c r="BF686" s="4"/>
      <c r="BG686" s="4"/>
      <c r="BH686" s="4"/>
      <c r="BI686" s="4"/>
      <c r="BJ686" s="4"/>
      <c r="BK686" s="4"/>
      <c r="BL686" s="4"/>
      <c r="BM686" s="4"/>
      <c r="BN686" s="4"/>
      <c r="BO686" s="4"/>
      <c r="BP686" s="4"/>
      <c r="BQ686" s="4"/>
      <c r="BR686" s="4"/>
      <c r="BS686" s="4"/>
      <c r="BT686" s="4"/>
      <c r="BU686" s="4"/>
      <c r="BV686" s="4"/>
      <c r="BW686" s="4"/>
      <c r="BX686" s="4"/>
      <c r="BY686" s="4"/>
      <c r="BZ686" s="4"/>
      <c r="CA686" s="4"/>
      <c r="CB686" s="4"/>
      <c r="CC686" s="4"/>
      <c r="CD686" s="4"/>
      <c r="CE686" s="4"/>
      <c r="CF686" s="4"/>
      <c r="CG686" s="4"/>
      <c r="CH686" s="4"/>
      <c r="CI686" s="4"/>
    </row>
    <row r="687" ht="14.25" customHeight="1" spans="1:87" x14ac:dyDescent="0.25">
      <c r="A687" s="4"/>
      <c r="B687" s="4"/>
      <c r="C687" s="4"/>
      <c r="D687" s="4"/>
      <c r="E687" s="4"/>
      <c r="F687" s="4"/>
      <c r="G687" s="4"/>
      <c r="H687" s="4"/>
      <c r="I687" s="4"/>
      <c r="J687" s="4"/>
      <c r="K687" s="242"/>
      <c r="L687" s="4"/>
      <c r="M687" s="4"/>
      <c r="N687" s="4"/>
      <c r="O687" s="4"/>
      <c r="P687" s="4"/>
      <c r="Q687" s="4"/>
      <c r="R687" s="4"/>
      <c r="S687" s="4"/>
      <c r="T687" s="4"/>
      <c r="U687" s="4"/>
      <c r="V687" s="4"/>
      <c r="W687" s="4"/>
      <c r="X687" s="4"/>
      <c r="Y687" s="4"/>
      <c r="Z687" s="4"/>
      <c r="AA687" s="4"/>
      <c r="AB687" s="4"/>
      <c r="AC687" s="4"/>
      <c r="AD687" s="4"/>
      <c r="AE687" s="4"/>
      <c r="AF687" s="4"/>
      <c r="AG687" s="4"/>
      <c r="AH687" s="4"/>
      <c r="AI687" s="4"/>
      <c r="AJ687" s="4"/>
      <c r="AK687" s="4"/>
      <c r="AL687" s="4"/>
      <c r="AM687" s="4"/>
      <c r="AN687" s="4"/>
      <c r="AO687" s="4"/>
      <c r="AP687" s="4"/>
      <c r="AQ687" s="4"/>
      <c r="AR687" s="4"/>
      <c r="AS687" s="4"/>
      <c r="AT687" s="4"/>
      <c r="AU687" s="4"/>
      <c r="AV687" s="4"/>
      <c r="AW687" s="4"/>
      <c r="AX687" s="4"/>
      <c r="AY687" s="4"/>
      <c r="AZ687" s="4"/>
      <c r="BA687" s="4"/>
      <c r="BB687" s="4"/>
      <c r="BC687" s="4"/>
      <c r="BD687" s="4"/>
      <c r="BE687" s="4"/>
      <c r="BF687" s="4"/>
      <c r="BG687" s="4"/>
      <c r="BH687" s="4"/>
      <c r="BI687" s="4"/>
      <c r="BJ687" s="4"/>
      <c r="BK687" s="4"/>
      <c r="BL687" s="4"/>
      <c r="BM687" s="4"/>
      <c r="BN687" s="4"/>
      <c r="BO687" s="4"/>
      <c r="BP687" s="4"/>
      <c r="BQ687" s="4"/>
      <c r="BR687" s="4"/>
      <c r="BS687" s="4"/>
      <c r="BT687" s="4"/>
      <c r="BU687" s="4"/>
      <c r="BV687" s="4"/>
      <c r="BW687" s="4"/>
      <c r="BX687" s="4"/>
      <c r="BY687" s="4"/>
      <c r="BZ687" s="4"/>
      <c r="CA687" s="4"/>
      <c r="CB687" s="4"/>
      <c r="CC687" s="4"/>
      <c r="CD687" s="4"/>
      <c r="CE687" s="4"/>
      <c r="CF687" s="4"/>
      <c r="CG687" s="4"/>
      <c r="CH687" s="4"/>
      <c r="CI687" s="4"/>
    </row>
    <row r="688" ht="14.25" customHeight="1" spans="1:87" x14ac:dyDescent="0.25">
      <c r="A688" s="4"/>
      <c r="B688" s="4"/>
      <c r="C688" s="4"/>
      <c r="D688" s="4"/>
      <c r="E688" s="4"/>
      <c r="F688" s="4"/>
      <c r="G688" s="4"/>
      <c r="H688" s="4"/>
      <c r="I688" s="4"/>
      <c r="J688" s="4"/>
      <c r="K688" s="242"/>
      <c r="L688" s="4"/>
      <c r="M688" s="4"/>
      <c r="N688" s="4"/>
      <c r="O688" s="4"/>
      <c r="P688" s="4"/>
      <c r="Q688" s="4"/>
      <c r="R688" s="4"/>
      <c r="S688" s="4"/>
      <c r="T688" s="4"/>
      <c r="U688" s="4"/>
      <c r="V688" s="4"/>
      <c r="W688" s="4"/>
      <c r="X688" s="4"/>
      <c r="Y688" s="4"/>
      <c r="Z688" s="4"/>
      <c r="AA688" s="4"/>
      <c r="AB688" s="4"/>
      <c r="AC688" s="4"/>
      <c r="AD688" s="4"/>
      <c r="AE688" s="4"/>
      <c r="AF688" s="4"/>
      <c r="AG688" s="4"/>
      <c r="AH688" s="4"/>
      <c r="AI688" s="4"/>
      <c r="AJ688" s="4"/>
      <c r="AK688" s="4"/>
      <c r="AL688" s="4"/>
      <c r="AM688" s="4"/>
      <c r="AN688" s="4"/>
      <c r="AO688" s="4"/>
      <c r="AP688" s="4"/>
      <c r="AQ688" s="4"/>
      <c r="AR688" s="4"/>
      <c r="AS688" s="4"/>
      <c r="AT688" s="4"/>
      <c r="AU688" s="4"/>
      <c r="AV688" s="4"/>
      <c r="AW688" s="4"/>
      <c r="AX688" s="4"/>
      <c r="AY688" s="4"/>
      <c r="AZ688" s="4"/>
      <c r="BA688" s="4"/>
      <c r="BB688" s="4"/>
      <c r="BC688" s="4"/>
      <c r="BD688" s="4"/>
      <c r="BE688" s="4"/>
      <c r="BF688" s="4"/>
      <c r="BG688" s="4"/>
      <c r="BH688" s="4"/>
      <c r="BI688" s="4"/>
      <c r="BJ688" s="4"/>
      <c r="BK688" s="4"/>
      <c r="BL688" s="4"/>
      <c r="BM688" s="4"/>
      <c r="BN688" s="4"/>
      <c r="BO688" s="4"/>
      <c r="BP688" s="4"/>
      <c r="BQ688" s="4"/>
      <c r="BR688" s="4"/>
      <c r="BS688" s="4"/>
      <c r="BT688" s="4"/>
      <c r="BU688" s="4"/>
      <c r="BV688" s="4"/>
      <c r="BW688" s="4"/>
      <c r="BX688" s="4"/>
      <c r="BY688" s="4"/>
      <c r="BZ688" s="4"/>
      <c r="CA688" s="4"/>
      <c r="CB688" s="4"/>
      <c r="CC688" s="4"/>
      <c r="CD688" s="4"/>
      <c r="CE688" s="4"/>
      <c r="CF688" s="4"/>
      <c r="CG688" s="4"/>
      <c r="CH688" s="4"/>
      <c r="CI688" s="4"/>
    </row>
    <row r="689" ht="14.25" customHeight="1" spans="1:87" x14ac:dyDescent="0.25">
      <c r="A689" s="4"/>
      <c r="B689" s="4"/>
      <c r="C689" s="4"/>
      <c r="D689" s="4"/>
      <c r="E689" s="4"/>
      <c r="F689" s="4"/>
      <c r="G689" s="4"/>
      <c r="H689" s="4"/>
      <c r="I689" s="4"/>
      <c r="J689" s="4"/>
      <c r="K689" s="242"/>
      <c r="L689" s="4"/>
      <c r="M689" s="4"/>
      <c r="N689" s="4"/>
      <c r="O689" s="4"/>
      <c r="P689" s="4"/>
      <c r="Q689" s="4"/>
      <c r="R689" s="4"/>
      <c r="S689" s="4"/>
      <c r="T689" s="4"/>
      <c r="U689" s="4"/>
      <c r="V689" s="4"/>
      <c r="W689" s="4"/>
      <c r="X689" s="4"/>
      <c r="Y689" s="4"/>
      <c r="Z689" s="4"/>
      <c r="AA689" s="4"/>
      <c r="AB689" s="4"/>
      <c r="AC689" s="4"/>
      <c r="AD689" s="4"/>
      <c r="AE689" s="4"/>
      <c r="AF689" s="4"/>
      <c r="AG689" s="4"/>
      <c r="AH689" s="4"/>
      <c r="AI689" s="4"/>
      <c r="AJ689" s="4"/>
      <c r="AK689" s="4"/>
      <c r="AL689" s="4"/>
      <c r="AM689" s="4"/>
      <c r="AN689" s="4"/>
      <c r="AO689" s="4"/>
      <c r="AP689" s="4"/>
      <c r="AQ689" s="4"/>
      <c r="AR689" s="4"/>
      <c r="AS689" s="4"/>
      <c r="AT689" s="4"/>
      <c r="AU689" s="4"/>
      <c r="AV689" s="4"/>
      <c r="AW689" s="4"/>
      <c r="AX689" s="4"/>
      <c r="AY689" s="4"/>
      <c r="AZ689" s="4"/>
      <c r="BA689" s="4"/>
      <c r="BB689" s="4"/>
      <c r="BC689" s="4"/>
      <c r="BD689" s="4"/>
      <c r="BE689" s="4"/>
      <c r="BF689" s="4"/>
      <c r="BG689" s="4"/>
      <c r="BH689" s="4"/>
      <c r="BI689" s="4"/>
      <c r="BJ689" s="4"/>
      <c r="BK689" s="4"/>
      <c r="BL689" s="4"/>
      <c r="BM689" s="4"/>
      <c r="BN689" s="4"/>
      <c r="BO689" s="4"/>
      <c r="BP689" s="4"/>
      <c r="BQ689" s="4"/>
      <c r="BR689" s="4"/>
      <c r="BS689" s="4"/>
      <c r="BT689" s="4"/>
      <c r="BU689" s="4"/>
      <c r="BV689" s="4"/>
      <c r="BW689" s="4"/>
      <c r="BX689" s="4"/>
      <c r="BY689" s="4"/>
      <c r="BZ689" s="4"/>
      <c r="CA689" s="4"/>
      <c r="CB689" s="4"/>
      <c r="CC689" s="4"/>
      <c r="CD689" s="4"/>
      <c r="CE689" s="4"/>
      <c r="CF689" s="4"/>
      <c r="CG689" s="4"/>
      <c r="CH689" s="4"/>
      <c r="CI689" s="4"/>
    </row>
    <row r="690" ht="14.25" customHeight="1" spans="1:87" x14ac:dyDescent="0.25">
      <c r="A690" s="4"/>
      <c r="B690" s="4"/>
      <c r="C690" s="4"/>
      <c r="D690" s="4"/>
      <c r="E690" s="4"/>
      <c r="F690" s="4"/>
      <c r="G690" s="4"/>
      <c r="H690" s="4"/>
      <c r="I690" s="4"/>
      <c r="J690" s="4"/>
      <c r="K690" s="242"/>
      <c r="L690" s="4"/>
      <c r="M690" s="4"/>
      <c r="N690" s="4"/>
      <c r="O690" s="4"/>
      <c r="P690" s="4"/>
      <c r="Q690" s="4"/>
      <c r="R690" s="4"/>
      <c r="S690" s="4"/>
      <c r="T690" s="4"/>
      <c r="U690" s="4"/>
      <c r="V690" s="4"/>
      <c r="W690" s="4"/>
      <c r="X690" s="4"/>
      <c r="Y690" s="4"/>
      <c r="Z690" s="4"/>
      <c r="AA690" s="4"/>
      <c r="AB690" s="4"/>
      <c r="AC690" s="4"/>
      <c r="AD690" s="4"/>
      <c r="AE690" s="4"/>
      <c r="AF690" s="4"/>
      <c r="AG690" s="4"/>
      <c r="AH690" s="4"/>
      <c r="AI690" s="4"/>
      <c r="AJ690" s="4"/>
      <c r="AK690" s="4"/>
      <c r="AL690" s="4"/>
      <c r="AM690" s="4"/>
      <c r="AN690" s="4"/>
      <c r="AO690" s="4"/>
      <c r="AP690" s="4"/>
      <c r="AQ690" s="4"/>
      <c r="AR690" s="4"/>
      <c r="AS690" s="4"/>
      <c r="AT690" s="4"/>
      <c r="AU690" s="4"/>
      <c r="AV690" s="4"/>
      <c r="AW690" s="4"/>
      <c r="AX690" s="4"/>
      <c r="AY690" s="4"/>
      <c r="AZ690" s="4"/>
      <c r="BA690" s="4"/>
      <c r="BB690" s="4"/>
      <c r="BC690" s="4"/>
      <c r="BD690" s="4"/>
      <c r="BE690" s="4"/>
      <c r="BF690" s="4"/>
      <c r="BG690" s="4"/>
      <c r="BH690" s="4"/>
      <c r="BI690" s="4"/>
      <c r="BJ690" s="4"/>
      <c r="BK690" s="4"/>
      <c r="BL690" s="4"/>
      <c r="BM690" s="4"/>
      <c r="BN690" s="4"/>
      <c r="BO690" s="4"/>
      <c r="BP690" s="4"/>
      <c r="BQ690" s="4"/>
      <c r="BR690" s="4"/>
      <c r="BS690" s="4"/>
      <c r="BT690" s="4"/>
      <c r="BU690" s="4"/>
      <c r="BV690" s="4"/>
      <c r="BW690" s="4"/>
      <c r="BX690" s="4"/>
      <c r="BY690" s="4"/>
      <c r="BZ690" s="4"/>
      <c r="CA690" s="4"/>
      <c r="CB690" s="4"/>
      <c r="CC690" s="4"/>
      <c r="CD690" s="4"/>
      <c r="CE690" s="4"/>
      <c r="CF690" s="4"/>
      <c r="CG690" s="4"/>
      <c r="CH690" s="4"/>
      <c r="CI690" s="4"/>
    </row>
    <row r="691" ht="14.25" customHeight="1" spans="1:87" x14ac:dyDescent="0.25">
      <c r="A691" s="4"/>
      <c r="B691" s="4"/>
      <c r="C691" s="4"/>
      <c r="D691" s="4"/>
      <c r="E691" s="4"/>
      <c r="F691" s="4"/>
      <c r="G691" s="4"/>
      <c r="H691" s="4"/>
      <c r="I691" s="4"/>
      <c r="J691" s="4"/>
      <c r="K691" s="242"/>
      <c r="L691" s="4"/>
      <c r="M691" s="4"/>
      <c r="N691" s="4"/>
      <c r="O691" s="4"/>
      <c r="P691" s="4"/>
      <c r="Q691" s="4"/>
      <c r="R691" s="4"/>
      <c r="S691" s="4"/>
      <c r="T691" s="4"/>
      <c r="U691" s="4"/>
      <c r="V691" s="4"/>
      <c r="W691" s="4"/>
      <c r="X691" s="4"/>
      <c r="Y691" s="4"/>
      <c r="Z691" s="4"/>
      <c r="AA691" s="4"/>
      <c r="AB691" s="4"/>
      <c r="AC691" s="4"/>
      <c r="AD691" s="4"/>
      <c r="AE691" s="4"/>
      <c r="AF691" s="4"/>
      <c r="AG691" s="4"/>
      <c r="AH691" s="4"/>
      <c r="AI691" s="4"/>
      <c r="AJ691" s="4"/>
      <c r="AK691" s="4"/>
      <c r="AL691" s="4"/>
      <c r="AM691" s="4"/>
      <c r="AN691" s="4"/>
      <c r="AO691" s="4"/>
      <c r="AP691" s="4"/>
      <c r="AQ691" s="4"/>
      <c r="AR691" s="4"/>
      <c r="AS691" s="4"/>
      <c r="AT691" s="4"/>
      <c r="AU691" s="4"/>
      <c r="AV691" s="4"/>
      <c r="AW691" s="4"/>
      <c r="AX691" s="4"/>
      <c r="AY691" s="4"/>
      <c r="AZ691" s="4"/>
      <c r="BA691" s="4"/>
      <c r="BB691" s="4"/>
      <c r="BC691" s="4"/>
      <c r="BD691" s="4"/>
      <c r="BE691" s="4"/>
      <c r="BF691" s="4"/>
      <c r="BG691" s="4"/>
      <c r="BH691" s="4"/>
      <c r="BI691" s="4"/>
      <c r="BJ691" s="4"/>
      <c r="BK691" s="4"/>
      <c r="BL691" s="4"/>
      <c r="BM691" s="4"/>
      <c r="BN691" s="4"/>
      <c r="BO691" s="4"/>
      <c r="BP691" s="4"/>
      <c r="BQ691" s="4"/>
      <c r="BR691" s="4"/>
      <c r="BS691" s="4"/>
      <c r="BT691" s="4"/>
      <c r="BU691" s="4"/>
      <c r="BV691" s="4"/>
      <c r="BW691" s="4"/>
      <c r="BX691" s="4"/>
      <c r="BY691" s="4"/>
      <c r="BZ691" s="4"/>
      <c r="CA691" s="4"/>
      <c r="CB691" s="4"/>
      <c r="CC691" s="4"/>
      <c r="CD691" s="4"/>
      <c r="CE691" s="4"/>
      <c r="CF691" s="4"/>
      <c r="CG691" s="4"/>
      <c r="CH691" s="4"/>
      <c r="CI691" s="4"/>
    </row>
    <row r="692" ht="14.25" customHeight="1" spans="1:87" x14ac:dyDescent="0.25">
      <c r="A692" s="4"/>
      <c r="B692" s="4"/>
      <c r="C692" s="4"/>
      <c r="D692" s="4"/>
      <c r="E692" s="4"/>
      <c r="F692" s="4"/>
      <c r="G692" s="4"/>
      <c r="H692" s="4"/>
      <c r="I692" s="4"/>
      <c r="J692" s="4"/>
      <c r="K692" s="242"/>
      <c r="L692" s="4"/>
      <c r="M692" s="4"/>
      <c r="N692" s="4"/>
      <c r="O692" s="4"/>
      <c r="P692" s="4"/>
      <c r="Q692" s="4"/>
      <c r="R692" s="4"/>
      <c r="S692" s="4"/>
      <c r="T692" s="4"/>
      <c r="U692" s="4"/>
      <c r="V692" s="4"/>
      <c r="W692" s="4"/>
      <c r="X692" s="4"/>
      <c r="Y692" s="4"/>
      <c r="Z692" s="4"/>
      <c r="AA692" s="4"/>
      <c r="AB692" s="4"/>
      <c r="AC692" s="4"/>
      <c r="AD692" s="4"/>
      <c r="AE692" s="4"/>
      <c r="AF692" s="4"/>
      <c r="AG692" s="4"/>
      <c r="AH692" s="4"/>
      <c r="AI692" s="4"/>
      <c r="AJ692" s="4"/>
      <c r="AK692" s="4"/>
      <c r="AL692" s="4"/>
      <c r="AM692" s="4"/>
      <c r="AN692" s="4"/>
      <c r="AO692" s="4"/>
      <c r="AP692" s="4"/>
      <c r="AQ692" s="4"/>
      <c r="AR692" s="4"/>
      <c r="AS692" s="4"/>
      <c r="AT692" s="4"/>
      <c r="AU692" s="4"/>
      <c r="AV692" s="4"/>
      <c r="AW692" s="4"/>
      <c r="AX692" s="4"/>
      <c r="AY692" s="4"/>
      <c r="AZ692" s="4"/>
      <c r="BA692" s="4"/>
      <c r="BB692" s="4"/>
      <c r="BC692" s="4"/>
      <c r="BD692" s="4"/>
      <c r="BE692" s="4"/>
      <c r="BF692" s="4"/>
      <c r="BG692" s="4"/>
      <c r="BH692" s="4"/>
      <c r="BI692" s="4"/>
      <c r="BJ692" s="4"/>
      <c r="BK692" s="4"/>
      <c r="BL692" s="4"/>
      <c r="BM692" s="4"/>
      <c r="BN692" s="4"/>
      <c r="BO692" s="4"/>
      <c r="BP692" s="4"/>
      <c r="BQ692" s="4"/>
      <c r="BR692" s="4"/>
      <c r="BS692" s="4"/>
      <c r="BT692" s="4"/>
      <c r="BU692" s="4"/>
      <c r="BV692" s="4"/>
      <c r="BW692" s="4"/>
      <c r="BX692" s="4"/>
      <c r="BY692" s="4"/>
      <c r="BZ692" s="4"/>
      <c r="CA692" s="4"/>
      <c r="CB692" s="4"/>
      <c r="CC692" s="4"/>
      <c r="CD692" s="4"/>
      <c r="CE692" s="4"/>
      <c r="CF692" s="4"/>
      <c r="CG692" s="4"/>
      <c r="CH692" s="4"/>
      <c r="CI692" s="4"/>
    </row>
    <row r="693" ht="14.25" customHeight="1" spans="1:87" x14ac:dyDescent="0.25">
      <c r="A693" s="4"/>
      <c r="B693" s="4"/>
      <c r="C693" s="4"/>
      <c r="D693" s="4"/>
      <c r="E693" s="4"/>
      <c r="F693" s="4"/>
      <c r="G693" s="4"/>
      <c r="H693" s="4"/>
      <c r="I693" s="4"/>
      <c r="J693" s="4"/>
      <c r="K693" s="242"/>
      <c r="L693" s="4"/>
      <c r="M693" s="4"/>
      <c r="N693" s="4"/>
      <c r="O693" s="4"/>
      <c r="P693" s="4"/>
      <c r="Q693" s="4"/>
      <c r="R693" s="4"/>
      <c r="S693" s="4"/>
      <c r="T693" s="4"/>
      <c r="U693" s="4"/>
      <c r="V693" s="4"/>
      <c r="W693" s="4"/>
      <c r="X693" s="4"/>
      <c r="Y693" s="4"/>
      <c r="Z693" s="4"/>
      <c r="AA693" s="4"/>
      <c r="AB693" s="4"/>
      <c r="AC693" s="4"/>
      <c r="AD693" s="4"/>
      <c r="AE693" s="4"/>
      <c r="AF693" s="4"/>
      <c r="AG693" s="4"/>
      <c r="AH693" s="4"/>
      <c r="AI693" s="4"/>
      <c r="AJ693" s="4"/>
      <c r="AK693" s="4"/>
      <c r="AL693" s="4"/>
      <c r="AM693" s="4"/>
      <c r="AN693" s="4"/>
      <c r="AO693" s="4"/>
      <c r="AP693" s="4"/>
      <c r="AQ693" s="4"/>
      <c r="AR693" s="4"/>
      <c r="AS693" s="4"/>
      <c r="AT693" s="4"/>
      <c r="AU693" s="4"/>
      <c r="AV693" s="4"/>
      <c r="AW693" s="4"/>
      <c r="AX693" s="4"/>
      <c r="AY693" s="4"/>
      <c r="AZ693" s="4"/>
      <c r="BA693" s="4"/>
      <c r="BB693" s="4"/>
      <c r="BC693" s="4"/>
      <c r="BD693" s="4"/>
      <c r="BE693" s="4"/>
      <c r="BF693" s="4"/>
      <c r="BG693" s="4"/>
      <c r="BH693" s="4"/>
      <c r="BI693" s="4"/>
      <c r="BJ693" s="4"/>
      <c r="BK693" s="4"/>
      <c r="BL693" s="4"/>
      <c r="BM693" s="4"/>
      <c r="BN693" s="4"/>
      <c r="BO693" s="4"/>
      <c r="BP693" s="4"/>
      <c r="BQ693" s="4"/>
      <c r="BR693" s="4"/>
      <c r="BS693" s="4"/>
      <c r="BT693" s="4"/>
      <c r="BU693" s="4"/>
      <c r="BV693" s="4"/>
      <c r="BW693" s="4"/>
      <c r="BX693" s="4"/>
      <c r="BY693" s="4"/>
      <c r="BZ693" s="4"/>
      <c r="CA693" s="4"/>
      <c r="CB693" s="4"/>
      <c r="CC693" s="4"/>
      <c r="CD693" s="4"/>
      <c r="CE693" s="4"/>
      <c r="CF693" s="4"/>
      <c r="CG693" s="4"/>
      <c r="CH693" s="4"/>
      <c r="CI693" s="4"/>
    </row>
    <row r="694" ht="14.25" customHeight="1" spans="1:87" x14ac:dyDescent="0.25">
      <c r="A694" s="4"/>
      <c r="B694" s="4"/>
      <c r="C694" s="4"/>
      <c r="D694" s="4"/>
      <c r="E694" s="4"/>
      <c r="F694" s="4"/>
      <c r="G694" s="4"/>
      <c r="H694" s="4"/>
      <c r="I694" s="4"/>
      <c r="J694" s="4"/>
      <c r="K694" s="242"/>
      <c r="L694" s="4"/>
      <c r="M694" s="4"/>
      <c r="N694" s="4"/>
      <c r="O694" s="4"/>
      <c r="P694" s="4"/>
      <c r="Q694" s="4"/>
      <c r="R694" s="4"/>
      <c r="S694" s="4"/>
      <c r="T694" s="4"/>
      <c r="U694" s="4"/>
      <c r="V694" s="4"/>
      <c r="W694" s="4"/>
      <c r="X694" s="4"/>
      <c r="Y694" s="4"/>
      <c r="Z694" s="4"/>
      <c r="AA694" s="4"/>
      <c r="AB694" s="4"/>
      <c r="AC694" s="4"/>
      <c r="AD694" s="4"/>
      <c r="AE694" s="4"/>
      <c r="AF694" s="4"/>
      <c r="AG694" s="4"/>
      <c r="AH694" s="4"/>
      <c r="AI694" s="4"/>
      <c r="AJ694" s="4"/>
      <c r="AK694" s="4"/>
      <c r="AL694" s="4"/>
      <c r="AM694" s="4"/>
      <c r="AN694" s="4"/>
      <c r="AO694" s="4"/>
      <c r="AP694" s="4"/>
      <c r="AQ694" s="4"/>
      <c r="AR694" s="4"/>
      <c r="AS694" s="4"/>
      <c r="AT694" s="4"/>
      <c r="AU694" s="4"/>
      <c r="AV694" s="4"/>
      <c r="AW694" s="4"/>
      <c r="AX694" s="4"/>
      <c r="AY694" s="4"/>
      <c r="AZ694" s="4"/>
      <c r="BA694" s="4"/>
      <c r="BB694" s="4"/>
      <c r="BC694" s="4"/>
      <c r="BD694" s="4"/>
      <c r="BE694" s="4"/>
      <c r="BF694" s="4"/>
      <c r="BG694" s="4"/>
      <c r="BH694" s="4"/>
      <c r="BI694" s="4"/>
      <c r="BJ694" s="4"/>
      <c r="BK694" s="4"/>
      <c r="BL694" s="4"/>
      <c r="BM694" s="4"/>
      <c r="BN694" s="4"/>
      <c r="BO694" s="4"/>
      <c r="BP694" s="4"/>
      <c r="BQ694" s="4"/>
      <c r="BR694" s="4"/>
      <c r="BS694" s="4"/>
      <c r="BT694" s="4"/>
      <c r="BU694" s="4"/>
      <c r="BV694" s="4"/>
      <c r="BW694" s="4"/>
      <c r="BX694" s="4"/>
      <c r="BY694" s="4"/>
      <c r="BZ694" s="4"/>
      <c r="CA694" s="4"/>
      <c r="CB694" s="4"/>
      <c r="CC694" s="4"/>
      <c r="CD694" s="4"/>
      <c r="CE694" s="4"/>
      <c r="CF694" s="4"/>
      <c r="CG694" s="4"/>
      <c r="CH694" s="4"/>
      <c r="CI694" s="4"/>
    </row>
    <row r="695" ht="14.25" customHeight="1" spans="1:87" x14ac:dyDescent="0.25">
      <c r="A695" s="4"/>
      <c r="B695" s="4"/>
      <c r="C695" s="4"/>
      <c r="D695" s="4"/>
      <c r="E695" s="4"/>
      <c r="F695" s="4"/>
      <c r="G695" s="4"/>
      <c r="H695" s="4"/>
      <c r="I695" s="4"/>
      <c r="J695" s="4"/>
      <c r="K695" s="242"/>
      <c r="L695" s="4"/>
      <c r="M695" s="4"/>
      <c r="N695" s="4"/>
      <c r="O695" s="4"/>
      <c r="P695" s="4"/>
      <c r="Q695" s="4"/>
      <c r="R695" s="4"/>
      <c r="S695" s="4"/>
      <c r="T695" s="4"/>
      <c r="U695" s="4"/>
      <c r="V695" s="4"/>
      <c r="W695" s="4"/>
      <c r="X695" s="4"/>
      <c r="Y695" s="4"/>
      <c r="Z695" s="4"/>
      <c r="AA695" s="4"/>
      <c r="AB695" s="4"/>
      <c r="AC695" s="4"/>
      <c r="AD695" s="4"/>
      <c r="AE695" s="4"/>
      <c r="AF695" s="4"/>
      <c r="AG695" s="4"/>
      <c r="AH695" s="4"/>
      <c r="AI695" s="4"/>
      <c r="AJ695" s="4"/>
      <c r="AK695" s="4"/>
      <c r="AL695" s="4"/>
      <c r="AM695" s="4"/>
      <c r="AN695" s="4"/>
      <c r="AO695" s="4"/>
      <c r="AP695" s="4"/>
      <c r="AQ695" s="4"/>
      <c r="AR695" s="4"/>
      <c r="AS695" s="4"/>
      <c r="AT695" s="4"/>
      <c r="AU695" s="4"/>
      <c r="AV695" s="4"/>
      <c r="AW695" s="4"/>
      <c r="AX695" s="4"/>
      <c r="AY695" s="4"/>
      <c r="AZ695" s="4"/>
      <c r="BA695" s="4"/>
      <c r="BB695" s="4"/>
      <c r="BC695" s="4"/>
      <c r="BD695" s="4"/>
      <c r="BE695" s="4"/>
      <c r="BF695" s="4"/>
      <c r="BG695" s="4"/>
      <c r="BH695" s="4"/>
      <c r="BI695" s="4"/>
      <c r="BJ695" s="4"/>
      <c r="BK695" s="4"/>
      <c r="BL695" s="4"/>
      <c r="BM695" s="4"/>
      <c r="BN695" s="4"/>
      <c r="BO695" s="4"/>
      <c r="BP695" s="4"/>
      <c r="BQ695" s="4"/>
      <c r="BR695" s="4"/>
      <c r="BS695" s="4"/>
      <c r="BT695" s="4"/>
      <c r="BU695" s="4"/>
      <c r="BV695" s="4"/>
      <c r="BW695" s="4"/>
      <c r="BX695" s="4"/>
      <c r="BY695" s="4"/>
      <c r="BZ695" s="4"/>
      <c r="CA695" s="4"/>
      <c r="CB695" s="4"/>
      <c r="CC695" s="4"/>
      <c r="CD695" s="4"/>
      <c r="CE695" s="4"/>
      <c r="CF695" s="4"/>
      <c r="CG695" s="4"/>
      <c r="CH695" s="4"/>
      <c r="CI695" s="4"/>
    </row>
    <row r="696" ht="14.25" customHeight="1" spans="1:87" x14ac:dyDescent="0.25">
      <c r="A696" s="4"/>
      <c r="B696" s="4"/>
      <c r="C696" s="4"/>
      <c r="D696" s="4"/>
      <c r="E696" s="4"/>
      <c r="F696" s="4"/>
      <c r="G696" s="4"/>
      <c r="H696" s="4"/>
      <c r="I696" s="4"/>
      <c r="J696" s="4"/>
      <c r="K696" s="242"/>
      <c r="L696" s="4"/>
      <c r="M696" s="4"/>
      <c r="N696" s="4"/>
      <c r="O696" s="4"/>
      <c r="P696" s="4"/>
      <c r="Q696" s="4"/>
      <c r="R696" s="4"/>
      <c r="S696" s="4"/>
      <c r="T696" s="4"/>
      <c r="U696" s="4"/>
      <c r="V696" s="4"/>
      <c r="W696" s="4"/>
      <c r="X696" s="4"/>
      <c r="Y696" s="4"/>
      <c r="Z696" s="4"/>
      <c r="AA696" s="4"/>
      <c r="AB696" s="4"/>
      <c r="AC696" s="4"/>
      <c r="AD696" s="4"/>
      <c r="AE696" s="4"/>
      <c r="AF696" s="4"/>
      <c r="AG696" s="4"/>
      <c r="AH696" s="4"/>
      <c r="AI696" s="4"/>
      <c r="AJ696" s="4"/>
      <c r="AK696" s="4"/>
      <c r="AL696" s="4"/>
      <c r="AM696" s="4"/>
      <c r="AN696" s="4"/>
      <c r="AO696" s="4"/>
      <c r="AP696" s="4"/>
      <c r="AQ696" s="4"/>
      <c r="AR696" s="4"/>
      <c r="AS696" s="4"/>
      <c r="AT696" s="4"/>
      <c r="AU696" s="4"/>
      <c r="AV696" s="4"/>
      <c r="AW696" s="4"/>
      <c r="AX696" s="4"/>
      <c r="AY696" s="4"/>
      <c r="AZ696" s="4"/>
      <c r="BA696" s="4"/>
      <c r="BB696" s="4"/>
      <c r="BC696" s="4"/>
      <c r="BD696" s="4"/>
      <c r="BE696" s="4"/>
      <c r="BF696" s="4"/>
      <c r="BG696" s="4"/>
      <c r="BH696" s="4"/>
      <c r="BI696" s="4"/>
      <c r="BJ696" s="4"/>
      <c r="BK696" s="4"/>
      <c r="BL696" s="4"/>
      <c r="BM696" s="4"/>
      <c r="BN696" s="4"/>
      <c r="BO696" s="4"/>
      <c r="BP696" s="4"/>
      <c r="BQ696" s="4"/>
      <c r="BR696" s="4"/>
      <c r="BS696" s="4"/>
      <c r="BT696" s="4"/>
      <c r="BU696" s="4"/>
      <c r="BV696" s="4"/>
      <c r="BW696" s="4"/>
      <c r="BX696" s="4"/>
      <c r="BY696" s="4"/>
      <c r="BZ696" s="4"/>
      <c r="CA696" s="4"/>
      <c r="CB696" s="4"/>
      <c r="CC696" s="4"/>
      <c r="CD696" s="4"/>
      <c r="CE696" s="4"/>
      <c r="CF696" s="4"/>
      <c r="CG696" s="4"/>
      <c r="CH696" s="4"/>
      <c r="CI696" s="4"/>
    </row>
    <row r="697" ht="14.25" customHeight="1" spans="1:87" x14ac:dyDescent="0.25">
      <c r="A697" s="4"/>
      <c r="B697" s="4"/>
      <c r="C697" s="4"/>
      <c r="D697" s="4"/>
      <c r="E697" s="4"/>
      <c r="F697" s="4"/>
      <c r="G697" s="4"/>
      <c r="H697" s="4"/>
      <c r="I697" s="4"/>
      <c r="J697" s="4"/>
      <c r="K697" s="242"/>
      <c r="L697" s="4"/>
      <c r="M697" s="4"/>
      <c r="N697" s="4"/>
      <c r="O697" s="4"/>
      <c r="P697" s="4"/>
      <c r="Q697" s="4"/>
      <c r="R697" s="4"/>
      <c r="S697" s="4"/>
      <c r="T697" s="4"/>
      <c r="U697" s="4"/>
      <c r="V697" s="4"/>
      <c r="W697" s="4"/>
      <c r="X697" s="4"/>
      <c r="Y697" s="4"/>
      <c r="Z697" s="4"/>
      <c r="AA697" s="4"/>
      <c r="AB697" s="4"/>
      <c r="AC697" s="4"/>
      <c r="AD697" s="4"/>
      <c r="AE697" s="4"/>
      <c r="AF697" s="4"/>
      <c r="AG697" s="4"/>
      <c r="AH697" s="4"/>
      <c r="AI697" s="4"/>
      <c r="AJ697" s="4"/>
      <c r="AK697" s="4"/>
      <c r="AL697" s="4"/>
      <c r="AM697" s="4"/>
      <c r="AN697" s="4"/>
      <c r="AO697" s="4"/>
      <c r="AP697" s="4"/>
      <c r="AQ697" s="4"/>
      <c r="AR697" s="4"/>
      <c r="AS697" s="4"/>
      <c r="AT697" s="4"/>
      <c r="AU697" s="4"/>
      <c r="AV697" s="4"/>
      <c r="AW697" s="4"/>
      <c r="AX697" s="4"/>
      <c r="AY697" s="4"/>
      <c r="AZ697" s="4"/>
      <c r="BA697" s="4"/>
      <c r="BB697" s="4"/>
      <c r="BC697" s="4"/>
      <c r="BD697" s="4"/>
      <c r="BE697" s="4"/>
      <c r="BF697" s="4"/>
      <c r="BG697" s="4"/>
      <c r="BH697" s="4"/>
      <c r="BI697" s="4"/>
      <c r="BJ697" s="4"/>
      <c r="BK697" s="4"/>
      <c r="BL697" s="4"/>
      <c r="BM697" s="4"/>
      <c r="BN697" s="4"/>
      <c r="BO697" s="4"/>
      <c r="BP697" s="4"/>
      <c r="BQ697" s="4"/>
      <c r="BR697" s="4"/>
      <c r="BS697" s="4"/>
      <c r="BT697" s="4"/>
      <c r="BU697" s="4"/>
      <c r="BV697" s="4"/>
      <c r="BW697" s="4"/>
      <c r="BX697" s="4"/>
      <c r="BY697" s="4"/>
      <c r="BZ697" s="4"/>
      <c r="CA697" s="4"/>
      <c r="CB697" s="4"/>
      <c r="CC697" s="4"/>
      <c r="CD697" s="4"/>
      <c r="CE697" s="4"/>
      <c r="CF697" s="4"/>
      <c r="CG697" s="4"/>
      <c r="CH697" s="4"/>
      <c r="CI697" s="4"/>
    </row>
    <row r="698" ht="14.25" customHeight="1" spans="1:87" x14ac:dyDescent="0.25">
      <c r="A698" s="4"/>
      <c r="B698" s="4"/>
      <c r="C698" s="4"/>
      <c r="D698" s="4"/>
      <c r="E698" s="4"/>
      <c r="F698" s="4"/>
      <c r="G698" s="4"/>
      <c r="H698" s="4"/>
      <c r="I698" s="4"/>
      <c r="J698" s="4"/>
      <c r="K698" s="242"/>
      <c r="L698" s="4"/>
      <c r="M698" s="4"/>
      <c r="N698" s="4"/>
      <c r="O698" s="4"/>
      <c r="P698" s="4"/>
      <c r="Q698" s="4"/>
      <c r="R698" s="4"/>
      <c r="S698" s="4"/>
      <c r="T698" s="4"/>
      <c r="U698" s="4"/>
      <c r="V698" s="4"/>
      <c r="W698" s="4"/>
      <c r="X698" s="4"/>
      <c r="Y698" s="4"/>
      <c r="Z698" s="4"/>
      <c r="AA698" s="4"/>
      <c r="AB698" s="4"/>
      <c r="AC698" s="4"/>
      <c r="AD698" s="4"/>
      <c r="AE698" s="4"/>
      <c r="AF698" s="4"/>
      <c r="AG698" s="4"/>
      <c r="AH698" s="4"/>
      <c r="AI698" s="4"/>
      <c r="AJ698" s="4"/>
      <c r="AK698" s="4"/>
      <c r="AL698" s="4"/>
      <c r="AM698" s="4"/>
      <c r="AN698" s="4"/>
      <c r="AO698" s="4"/>
      <c r="AP698" s="4"/>
      <c r="AQ698" s="4"/>
      <c r="AR698" s="4"/>
      <c r="AS698" s="4"/>
      <c r="AT698" s="4"/>
      <c r="AU698" s="4"/>
      <c r="AV698" s="4"/>
      <c r="AW698" s="4"/>
      <c r="AX698" s="4"/>
      <c r="AY698" s="4"/>
      <c r="AZ698" s="4"/>
      <c r="BA698" s="4"/>
      <c r="BB698" s="4"/>
      <c r="BC698" s="4"/>
      <c r="BD698" s="4"/>
      <c r="BE698" s="4"/>
      <c r="BF698" s="4"/>
      <c r="BG698" s="4"/>
      <c r="BH698" s="4"/>
      <c r="BI698" s="4"/>
      <c r="BJ698" s="4"/>
      <c r="BK698" s="4"/>
      <c r="BL698" s="4"/>
      <c r="BM698" s="4"/>
      <c r="BN698" s="4"/>
      <c r="BO698" s="4"/>
      <c r="BP698" s="4"/>
      <c r="BQ698" s="4"/>
      <c r="BR698" s="4"/>
      <c r="BS698" s="4"/>
      <c r="BT698" s="4"/>
      <c r="BU698" s="4"/>
      <c r="BV698" s="4"/>
      <c r="BW698" s="4"/>
      <c r="BX698" s="4"/>
      <c r="BY698" s="4"/>
      <c r="BZ698" s="4"/>
      <c r="CA698" s="4"/>
      <c r="CB698" s="4"/>
      <c r="CC698" s="4"/>
      <c r="CD698" s="4"/>
      <c r="CE698" s="4"/>
      <c r="CF698" s="4"/>
      <c r="CG698" s="4"/>
      <c r="CH698" s="4"/>
      <c r="CI698" s="4"/>
    </row>
    <row r="699" ht="14.25" customHeight="1" spans="1:87" x14ac:dyDescent="0.25">
      <c r="A699" s="4"/>
      <c r="B699" s="4"/>
      <c r="C699" s="4"/>
      <c r="D699" s="4"/>
      <c r="E699" s="4"/>
      <c r="F699" s="4"/>
      <c r="G699" s="4"/>
      <c r="H699" s="4"/>
      <c r="I699" s="4"/>
      <c r="J699" s="4"/>
      <c r="K699" s="242"/>
      <c r="L699" s="4"/>
      <c r="M699" s="4"/>
      <c r="N699" s="4"/>
      <c r="O699" s="4"/>
      <c r="P699" s="4"/>
      <c r="Q699" s="4"/>
      <c r="R699" s="4"/>
      <c r="S699" s="4"/>
      <c r="T699" s="4"/>
      <c r="U699" s="4"/>
      <c r="V699" s="4"/>
      <c r="W699" s="4"/>
      <c r="X699" s="4"/>
      <c r="Y699" s="4"/>
      <c r="Z699" s="4"/>
      <c r="AA699" s="4"/>
      <c r="AB699" s="4"/>
      <c r="AC699" s="4"/>
      <c r="AD699" s="4"/>
      <c r="AE699" s="4"/>
      <c r="AF699" s="4"/>
      <c r="AG699" s="4"/>
      <c r="AH699" s="4"/>
      <c r="AI699" s="4"/>
      <c r="AJ699" s="4"/>
      <c r="AK699" s="4"/>
      <c r="AL699" s="4"/>
      <c r="AM699" s="4"/>
      <c r="AN699" s="4"/>
      <c r="AO699" s="4"/>
      <c r="AP699" s="4"/>
      <c r="AQ699" s="4"/>
      <c r="AR699" s="4"/>
      <c r="AS699" s="4"/>
      <c r="AT699" s="4"/>
      <c r="AU699" s="4"/>
      <c r="AV699" s="4"/>
      <c r="AW699" s="4"/>
      <c r="AX699" s="4"/>
      <c r="AY699" s="4"/>
      <c r="AZ699" s="4"/>
      <c r="BA699" s="4"/>
      <c r="BB699" s="4"/>
      <c r="BC699" s="4"/>
      <c r="BD699" s="4"/>
      <c r="BE699" s="4"/>
      <c r="BF699" s="4"/>
      <c r="BG699" s="4"/>
      <c r="BH699" s="4"/>
      <c r="BI699" s="4"/>
      <c r="BJ699" s="4"/>
      <c r="BK699" s="4"/>
      <c r="BL699" s="4"/>
      <c r="BM699" s="4"/>
      <c r="BN699" s="4"/>
      <c r="BO699" s="4"/>
      <c r="BP699" s="4"/>
      <c r="BQ699" s="4"/>
      <c r="BR699" s="4"/>
      <c r="BS699" s="4"/>
      <c r="BT699" s="4"/>
      <c r="BU699" s="4"/>
      <c r="BV699" s="4"/>
      <c r="BW699" s="4"/>
      <c r="BX699" s="4"/>
      <c r="BY699" s="4"/>
      <c r="BZ699" s="4"/>
      <c r="CA699" s="4"/>
      <c r="CB699" s="4"/>
      <c r="CC699" s="4"/>
      <c r="CD699" s="4"/>
      <c r="CE699" s="4"/>
      <c r="CF699" s="4"/>
      <c r="CG699" s="4"/>
      <c r="CH699" s="4"/>
      <c r="CI699" s="4"/>
    </row>
    <row r="700" ht="14.25" customHeight="1" spans="1:87" x14ac:dyDescent="0.25">
      <c r="A700" s="4"/>
      <c r="B700" s="4"/>
      <c r="C700" s="4"/>
      <c r="D700" s="4"/>
      <c r="E700" s="4"/>
      <c r="F700" s="4"/>
      <c r="G700" s="4"/>
      <c r="H700" s="4"/>
      <c r="I700" s="4"/>
      <c r="J700" s="4"/>
      <c r="K700" s="242"/>
      <c r="L700" s="4"/>
      <c r="M700" s="4"/>
      <c r="N700" s="4"/>
      <c r="O700" s="4"/>
      <c r="P700" s="4"/>
      <c r="Q700" s="4"/>
      <c r="R700" s="4"/>
      <c r="S700" s="4"/>
      <c r="T700" s="4"/>
      <c r="U700" s="4"/>
      <c r="V700" s="4"/>
      <c r="W700" s="4"/>
      <c r="X700" s="4"/>
      <c r="Y700" s="4"/>
      <c r="Z700" s="4"/>
      <c r="AA700" s="4"/>
      <c r="AB700" s="4"/>
      <c r="AC700" s="4"/>
      <c r="AD700" s="4"/>
      <c r="AE700" s="4"/>
      <c r="AF700" s="4"/>
      <c r="AG700" s="4"/>
      <c r="AH700" s="4"/>
      <c r="AI700" s="4"/>
      <c r="AJ700" s="4"/>
      <c r="AK700" s="4"/>
      <c r="AL700" s="4"/>
      <c r="AM700" s="4"/>
      <c r="AN700" s="4"/>
      <c r="AO700" s="4"/>
      <c r="AP700" s="4"/>
      <c r="AQ700" s="4"/>
      <c r="AR700" s="4"/>
      <c r="AS700" s="4"/>
      <c r="AT700" s="4"/>
      <c r="AU700" s="4"/>
      <c r="AV700" s="4"/>
      <c r="AW700" s="4"/>
      <c r="AX700" s="4"/>
      <c r="AY700" s="4"/>
      <c r="AZ700" s="4"/>
      <c r="BA700" s="4"/>
      <c r="BB700" s="4"/>
      <c r="BC700" s="4"/>
      <c r="BD700" s="4"/>
      <c r="BE700" s="4"/>
      <c r="BF700" s="4"/>
      <c r="BG700" s="4"/>
      <c r="BH700" s="4"/>
      <c r="BI700" s="4"/>
      <c r="BJ700" s="4"/>
      <c r="BK700" s="4"/>
      <c r="BL700" s="4"/>
      <c r="BM700" s="4"/>
      <c r="BN700" s="4"/>
      <c r="BO700" s="4"/>
      <c r="BP700" s="4"/>
      <c r="BQ700" s="4"/>
      <c r="BR700" s="4"/>
      <c r="BS700" s="4"/>
      <c r="BT700" s="4"/>
      <c r="BU700" s="4"/>
      <c r="BV700" s="4"/>
      <c r="BW700" s="4"/>
      <c r="BX700" s="4"/>
      <c r="BY700" s="4"/>
      <c r="BZ700" s="4"/>
      <c r="CA700" s="4"/>
      <c r="CB700" s="4"/>
      <c r="CC700" s="4"/>
      <c r="CD700" s="4"/>
      <c r="CE700" s="4"/>
      <c r="CF700" s="4"/>
      <c r="CG700" s="4"/>
      <c r="CH700" s="4"/>
      <c r="CI700" s="4"/>
    </row>
    <row r="701" ht="14.25" customHeight="1" spans="1:87" x14ac:dyDescent="0.25">
      <c r="A701" s="4"/>
      <c r="B701" s="4"/>
      <c r="C701" s="4"/>
      <c r="D701" s="4"/>
      <c r="E701" s="4"/>
      <c r="F701" s="4"/>
      <c r="G701" s="4"/>
      <c r="H701" s="4"/>
      <c r="I701" s="4"/>
      <c r="J701" s="4"/>
      <c r="K701" s="242"/>
      <c r="L701" s="4"/>
      <c r="M701" s="4"/>
      <c r="N701" s="4"/>
      <c r="O701" s="4"/>
      <c r="P701" s="4"/>
      <c r="Q701" s="4"/>
      <c r="R701" s="4"/>
      <c r="S701" s="4"/>
      <c r="T701" s="4"/>
      <c r="U701" s="4"/>
      <c r="V701" s="4"/>
      <c r="W701" s="4"/>
      <c r="X701" s="4"/>
      <c r="Y701" s="4"/>
      <c r="Z701" s="4"/>
      <c r="AA701" s="4"/>
      <c r="AB701" s="4"/>
      <c r="AC701" s="4"/>
      <c r="AD701" s="4"/>
      <c r="AE701" s="4"/>
      <c r="AF701" s="4"/>
      <c r="AG701" s="4"/>
      <c r="AH701" s="4"/>
      <c r="AI701" s="4"/>
      <c r="AJ701" s="4"/>
      <c r="AK701" s="4"/>
      <c r="AL701" s="4"/>
      <c r="AM701" s="4"/>
      <c r="AN701" s="4"/>
      <c r="AO701" s="4"/>
      <c r="AP701" s="4"/>
      <c r="AQ701" s="4"/>
      <c r="AR701" s="4"/>
      <c r="AS701" s="4"/>
      <c r="AT701" s="4"/>
      <c r="AU701" s="4"/>
      <c r="AV701" s="4"/>
      <c r="AW701" s="4"/>
      <c r="AX701" s="4"/>
      <c r="AY701" s="4"/>
      <c r="AZ701" s="4"/>
      <c r="BA701" s="4"/>
      <c r="BB701" s="4"/>
      <c r="BC701" s="4"/>
      <c r="BD701" s="4"/>
      <c r="BE701" s="4"/>
      <c r="BF701" s="4"/>
      <c r="BG701" s="4"/>
      <c r="BH701" s="4"/>
      <c r="BI701" s="4"/>
      <c r="BJ701" s="4"/>
      <c r="BK701" s="4"/>
      <c r="BL701" s="4"/>
      <c r="BM701" s="4"/>
      <c r="BN701" s="4"/>
      <c r="BO701" s="4"/>
      <c r="BP701" s="4"/>
      <c r="BQ701" s="4"/>
      <c r="BR701" s="4"/>
      <c r="BS701" s="4"/>
      <c r="BT701" s="4"/>
      <c r="BU701" s="4"/>
      <c r="BV701" s="4"/>
      <c r="BW701" s="4"/>
      <c r="BX701" s="4"/>
      <c r="BY701" s="4"/>
      <c r="BZ701" s="4"/>
      <c r="CA701" s="4"/>
      <c r="CB701" s="4"/>
      <c r="CC701" s="4"/>
      <c r="CD701" s="4"/>
      <c r="CE701" s="4"/>
      <c r="CF701" s="4"/>
      <c r="CG701" s="4"/>
      <c r="CH701" s="4"/>
      <c r="CI701" s="4"/>
    </row>
    <row r="702" ht="14.25" customHeight="1" spans="1:87" x14ac:dyDescent="0.25">
      <c r="A702" s="4"/>
      <c r="B702" s="4"/>
      <c r="C702" s="4"/>
      <c r="D702" s="4"/>
      <c r="E702" s="4"/>
      <c r="F702" s="4"/>
      <c r="G702" s="4"/>
      <c r="H702" s="4"/>
      <c r="I702" s="4"/>
      <c r="J702" s="4"/>
      <c r="K702" s="242"/>
      <c r="L702" s="4"/>
      <c r="M702" s="4"/>
      <c r="N702" s="4"/>
      <c r="O702" s="4"/>
      <c r="P702" s="4"/>
      <c r="Q702" s="4"/>
      <c r="R702" s="4"/>
      <c r="S702" s="4"/>
      <c r="T702" s="4"/>
      <c r="U702" s="4"/>
      <c r="V702" s="4"/>
      <c r="W702" s="4"/>
      <c r="X702" s="4"/>
      <c r="Y702" s="4"/>
      <c r="Z702" s="4"/>
      <c r="AA702" s="4"/>
      <c r="AB702" s="4"/>
      <c r="AC702" s="4"/>
      <c r="AD702" s="4"/>
      <c r="AE702" s="4"/>
      <c r="AF702" s="4"/>
      <c r="AG702" s="4"/>
      <c r="AH702" s="4"/>
      <c r="AI702" s="4"/>
      <c r="AJ702" s="4"/>
      <c r="AK702" s="4"/>
      <c r="AL702" s="4"/>
      <c r="AM702" s="4"/>
      <c r="AN702" s="4"/>
      <c r="AO702" s="4"/>
      <c r="AP702" s="4"/>
      <c r="AQ702" s="4"/>
      <c r="AR702" s="4"/>
      <c r="AS702" s="4"/>
      <c r="AT702" s="4"/>
      <c r="AU702" s="4"/>
      <c r="AV702" s="4"/>
      <c r="AW702" s="4"/>
      <c r="AX702" s="4"/>
      <c r="AY702" s="4"/>
      <c r="AZ702" s="4"/>
      <c r="BA702" s="4"/>
      <c r="BB702" s="4"/>
      <c r="BC702" s="4"/>
      <c r="BD702" s="4"/>
      <c r="BE702" s="4"/>
      <c r="BF702" s="4"/>
      <c r="BG702" s="4"/>
      <c r="BH702" s="4"/>
      <c r="BI702" s="4"/>
      <c r="BJ702" s="4"/>
      <c r="BK702" s="4"/>
      <c r="BL702" s="4"/>
      <c r="BM702" s="4"/>
      <c r="BN702" s="4"/>
      <c r="BO702" s="4"/>
      <c r="BP702" s="4"/>
      <c r="BQ702" s="4"/>
      <c r="BR702" s="4"/>
      <c r="BS702" s="4"/>
      <c r="BT702" s="4"/>
      <c r="BU702" s="4"/>
      <c r="BV702" s="4"/>
      <c r="BW702" s="4"/>
      <c r="BX702" s="4"/>
      <c r="BY702" s="4"/>
      <c r="BZ702" s="4"/>
      <c r="CA702" s="4"/>
      <c r="CB702" s="4"/>
      <c r="CC702" s="4"/>
      <c r="CD702" s="4"/>
      <c r="CE702" s="4"/>
      <c r="CF702" s="4"/>
      <c r="CG702" s="4"/>
      <c r="CH702" s="4"/>
      <c r="CI702" s="4"/>
    </row>
    <row r="703" ht="14.25" customHeight="1" spans="1:87" x14ac:dyDescent="0.25">
      <c r="A703" s="4"/>
      <c r="B703" s="4"/>
      <c r="C703" s="4"/>
      <c r="D703" s="4"/>
      <c r="E703" s="4"/>
      <c r="F703" s="4"/>
      <c r="G703" s="4"/>
      <c r="H703" s="4"/>
      <c r="I703" s="4"/>
      <c r="J703" s="4"/>
      <c r="K703" s="242"/>
      <c r="L703" s="4"/>
      <c r="M703" s="4"/>
      <c r="N703" s="4"/>
      <c r="O703" s="4"/>
      <c r="P703" s="4"/>
      <c r="Q703" s="4"/>
      <c r="R703" s="4"/>
      <c r="S703" s="4"/>
      <c r="T703" s="4"/>
      <c r="U703" s="4"/>
      <c r="V703" s="4"/>
      <c r="W703" s="4"/>
      <c r="X703" s="4"/>
      <c r="Y703" s="4"/>
      <c r="Z703" s="4"/>
      <c r="AA703" s="4"/>
      <c r="AB703" s="4"/>
      <c r="AC703" s="4"/>
      <c r="AD703" s="4"/>
      <c r="AE703" s="4"/>
      <c r="AF703" s="4"/>
      <c r="AG703" s="4"/>
      <c r="AH703" s="4"/>
      <c r="AI703" s="4"/>
      <c r="AJ703" s="4"/>
      <c r="AK703" s="4"/>
      <c r="AL703" s="4"/>
      <c r="AM703" s="4"/>
      <c r="AN703" s="4"/>
      <c r="AO703" s="4"/>
      <c r="AP703" s="4"/>
      <c r="AQ703" s="4"/>
      <c r="AR703" s="4"/>
      <c r="AS703" s="4"/>
      <c r="AT703" s="4"/>
      <c r="AU703" s="4"/>
      <c r="AV703" s="4"/>
      <c r="AW703" s="4"/>
      <c r="AX703" s="4"/>
      <c r="AY703" s="4"/>
      <c r="AZ703" s="4"/>
      <c r="BA703" s="4"/>
      <c r="BB703" s="4"/>
      <c r="BC703" s="4"/>
      <c r="BD703" s="4"/>
      <c r="BE703" s="4"/>
      <c r="BF703" s="4"/>
      <c r="BG703" s="4"/>
      <c r="BH703" s="4"/>
      <c r="BI703" s="4"/>
      <c r="BJ703" s="4"/>
      <c r="BK703" s="4"/>
      <c r="BL703" s="4"/>
      <c r="BM703" s="4"/>
      <c r="BN703" s="4"/>
      <c r="BO703" s="4"/>
      <c r="BP703" s="4"/>
      <c r="BQ703" s="4"/>
      <c r="BR703" s="4"/>
      <c r="BS703" s="4"/>
      <c r="BT703" s="4"/>
      <c r="BU703" s="4"/>
      <c r="BV703" s="4"/>
      <c r="BW703" s="4"/>
      <c r="BX703" s="4"/>
      <c r="BY703" s="4"/>
      <c r="BZ703" s="4"/>
      <c r="CA703" s="4"/>
      <c r="CB703" s="4"/>
      <c r="CC703" s="4"/>
      <c r="CD703" s="4"/>
      <c r="CE703" s="4"/>
      <c r="CF703" s="4"/>
      <c r="CG703" s="4"/>
      <c r="CH703" s="4"/>
      <c r="CI703" s="4"/>
    </row>
    <row r="704" ht="14.25" customHeight="1" spans="1:87" x14ac:dyDescent="0.25">
      <c r="A704" s="4"/>
      <c r="B704" s="4"/>
      <c r="C704" s="4"/>
      <c r="D704" s="4"/>
      <c r="E704" s="4"/>
      <c r="F704" s="4"/>
      <c r="G704" s="4"/>
      <c r="H704" s="4"/>
      <c r="I704" s="4"/>
      <c r="J704" s="4"/>
      <c r="K704" s="242"/>
      <c r="L704" s="4"/>
      <c r="M704" s="4"/>
      <c r="N704" s="4"/>
      <c r="O704" s="4"/>
      <c r="P704" s="4"/>
      <c r="Q704" s="4"/>
      <c r="R704" s="4"/>
      <c r="S704" s="4"/>
      <c r="T704" s="4"/>
      <c r="U704" s="4"/>
      <c r="V704" s="4"/>
      <c r="W704" s="4"/>
      <c r="X704" s="4"/>
      <c r="Y704" s="4"/>
      <c r="Z704" s="4"/>
      <c r="AA704" s="4"/>
      <c r="AB704" s="4"/>
      <c r="AC704" s="4"/>
      <c r="AD704" s="4"/>
      <c r="AE704" s="4"/>
      <c r="AF704" s="4"/>
      <c r="AG704" s="4"/>
      <c r="AH704" s="4"/>
      <c r="AI704" s="4"/>
      <c r="AJ704" s="4"/>
      <c r="AK704" s="4"/>
      <c r="AL704" s="4"/>
      <c r="AM704" s="4"/>
      <c r="AN704" s="4"/>
      <c r="AO704" s="4"/>
      <c r="AP704" s="4"/>
      <c r="AQ704" s="4"/>
      <c r="AR704" s="4"/>
      <c r="AS704" s="4"/>
      <c r="AT704" s="4"/>
      <c r="AU704" s="4"/>
      <c r="AV704" s="4"/>
      <c r="AW704" s="4"/>
      <c r="AX704" s="4"/>
      <c r="AY704" s="4"/>
      <c r="AZ704" s="4"/>
      <c r="BA704" s="4"/>
      <c r="BB704" s="4"/>
      <c r="BC704" s="4"/>
      <c r="BD704" s="4"/>
      <c r="BE704" s="4"/>
      <c r="BF704" s="4"/>
      <c r="BG704" s="4"/>
      <c r="BH704" s="4"/>
      <c r="BI704" s="4"/>
      <c r="BJ704" s="4"/>
      <c r="BK704" s="4"/>
      <c r="BL704" s="4"/>
      <c r="BM704" s="4"/>
      <c r="BN704" s="4"/>
      <c r="BO704" s="4"/>
      <c r="BP704" s="4"/>
      <c r="BQ704" s="4"/>
      <c r="BR704" s="4"/>
      <c r="BS704" s="4"/>
      <c r="BT704" s="4"/>
      <c r="BU704" s="4"/>
      <c r="BV704" s="4"/>
      <c r="BW704" s="4"/>
      <c r="BX704" s="4"/>
      <c r="BY704" s="4"/>
      <c r="BZ704" s="4"/>
      <c r="CA704" s="4"/>
      <c r="CB704" s="4"/>
      <c r="CC704" s="4"/>
      <c r="CD704" s="4"/>
      <c r="CE704" s="4"/>
      <c r="CF704" s="4"/>
      <c r="CG704" s="4"/>
      <c r="CH704" s="4"/>
      <c r="CI704" s="4"/>
    </row>
    <row r="705" ht="14.25" customHeight="1" spans="1:87" x14ac:dyDescent="0.25">
      <c r="A705" s="4"/>
      <c r="B705" s="4"/>
      <c r="C705" s="4"/>
      <c r="D705" s="4"/>
      <c r="E705" s="4"/>
      <c r="F705" s="4"/>
      <c r="G705" s="4"/>
      <c r="H705" s="4"/>
      <c r="I705" s="4"/>
      <c r="J705" s="4"/>
      <c r="K705" s="242"/>
      <c r="L705" s="4"/>
      <c r="M705" s="4"/>
      <c r="N705" s="4"/>
      <c r="O705" s="4"/>
      <c r="P705" s="4"/>
      <c r="Q705" s="4"/>
      <c r="R705" s="4"/>
      <c r="S705" s="4"/>
      <c r="T705" s="4"/>
      <c r="U705" s="4"/>
      <c r="V705" s="4"/>
      <c r="W705" s="4"/>
      <c r="X705" s="4"/>
      <c r="Y705" s="4"/>
      <c r="Z705" s="4"/>
      <c r="AA705" s="4"/>
      <c r="AB705" s="4"/>
      <c r="AC705" s="4"/>
      <c r="AD705" s="4"/>
      <c r="AE705" s="4"/>
      <c r="AF705" s="4"/>
      <c r="AG705" s="4"/>
      <c r="AH705" s="4"/>
      <c r="AI705" s="4"/>
      <c r="AJ705" s="4"/>
      <c r="AK705" s="4"/>
      <c r="AL705" s="4"/>
      <c r="AM705" s="4"/>
      <c r="AN705" s="4"/>
      <c r="AO705" s="4"/>
      <c r="AP705" s="4"/>
      <c r="AQ705" s="4"/>
      <c r="AR705" s="4"/>
      <c r="AS705" s="4"/>
      <c r="AT705" s="4"/>
      <c r="AU705" s="4"/>
      <c r="AV705" s="4"/>
      <c r="AW705" s="4"/>
      <c r="AX705" s="4"/>
      <c r="AY705" s="4"/>
      <c r="AZ705" s="4"/>
      <c r="BA705" s="4"/>
      <c r="BB705" s="4"/>
      <c r="BC705" s="4"/>
      <c r="BD705" s="4"/>
      <c r="BE705" s="4"/>
      <c r="BF705" s="4"/>
      <c r="BG705" s="4"/>
      <c r="BH705" s="4"/>
      <c r="BI705" s="4"/>
      <c r="BJ705" s="4"/>
      <c r="BK705" s="4"/>
      <c r="BL705" s="4"/>
      <c r="BM705" s="4"/>
      <c r="BN705" s="4"/>
      <c r="BO705" s="4"/>
      <c r="BP705" s="4"/>
      <c r="BQ705" s="4"/>
      <c r="BR705" s="4"/>
      <c r="BS705" s="4"/>
      <c r="BT705" s="4"/>
      <c r="BU705" s="4"/>
      <c r="BV705" s="4"/>
      <c r="BW705" s="4"/>
      <c r="BX705" s="4"/>
      <c r="BY705" s="4"/>
      <c r="BZ705" s="4"/>
      <c r="CA705" s="4"/>
      <c r="CB705" s="4"/>
      <c r="CC705" s="4"/>
      <c r="CD705" s="4"/>
      <c r="CE705" s="4"/>
      <c r="CF705" s="4"/>
      <c r="CG705" s="4"/>
      <c r="CH705" s="4"/>
      <c r="CI705" s="4"/>
    </row>
    <row r="706" ht="14.25" customHeight="1" spans="1:87" x14ac:dyDescent="0.25">
      <c r="A706" s="4"/>
      <c r="B706" s="4"/>
      <c r="C706" s="4"/>
      <c r="D706" s="4"/>
      <c r="E706" s="4"/>
      <c r="F706" s="4"/>
      <c r="G706" s="4"/>
      <c r="H706" s="4"/>
      <c r="I706" s="4"/>
      <c r="J706" s="4"/>
      <c r="K706" s="242"/>
      <c r="L706" s="4"/>
      <c r="M706" s="4"/>
      <c r="N706" s="4"/>
      <c r="O706" s="4"/>
      <c r="P706" s="4"/>
      <c r="Q706" s="4"/>
      <c r="R706" s="4"/>
      <c r="S706" s="4"/>
      <c r="T706" s="4"/>
      <c r="U706" s="4"/>
      <c r="V706" s="4"/>
      <c r="W706" s="4"/>
      <c r="X706" s="4"/>
      <c r="Y706" s="4"/>
      <c r="Z706" s="4"/>
      <c r="AA706" s="4"/>
      <c r="AB706" s="4"/>
      <c r="AC706" s="4"/>
      <c r="AD706" s="4"/>
      <c r="AE706" s="4"/>
      <c r="AF706" s="4"/>
      <c r="AG706" s="4"/>
      <c r="AH706" s="4"/>
      <c r="AI706" s="4"/>
      <c r="AJ706" s="4"/>
      <c r="AK706" s="4"/>
      <c r="AL706" s="4"/>
      <c r="AM706" s="4"/>
      <c r="AN706" s="4"/>
      <c r="AO706" s="4"/>
      <c r="AP706" s="4"/>
      <c r="AQ706" s="4"/>
      <c r="AR706" s="4"/>
      <c r="AS706" s="4"/>
      <c r="AT706" s="4"/>
      <c r="AU706" s="4"/>
      <c r="AV706" s="4"/>
      <c r="AW706" s="4"/>
      <c r="AX706" s="4"/>
      <c r="AY706" s="4"/>
      <c r="AZ706" s="4"/>
      <c r="BA706" s="4"/>
      <c r="BB706" s="4"/>
      <c r="BC706" s="4"/>
      <c r="BD706" s="4"/>
      <c r="BE706" s="4"/>
      <c r="BF706" s="4"/>
      <c r="BG706" s="4"/>
      <c r="BH706" s="4"/>
      <c r="BI706" s="4"/>
      <c r="BJ706" s="4"/>
      <c r="BK706" s="4"/>
      <c r="BL706" s="4"/>
      <c r="BM706" s="4"/>
      <c r="BN706" s="4"/>
      <c r="BO706" s="4"/>
      <c r="BP706" s="4"/>
      <c r="BQ706" s="4"/>
      <c r="BR706" s="4"/>
      <c r="BS706" s="4"/>
      <c r="BT706" s="4"/>
      <c r="BU706" s="4"/>
      <c r="BV706" s="4"/>
      <c r="BW706" s="4"/>
      <c r="BX706" s="4"/>
      <c r="BY706" s="4"/>
      <c r="BZ706" s="4"/>
      <c r="CA706" s="4"/>
      <c r="CB706" s="4"/>
      <c r="CC706" s="4"/>
      <c r="CD706" s="4"/>
      <c r="CE706" s="4"/>
      <c r="CF706" s="4"/>
      <c r="CG706" s="4"/>
      <c r="CH706" s="4"/>
      <c r="CI706" s="4"/>
    </row>
    <row r="707" ht="14.25" customHeight="1" spans="1:87" x14ac:dyDescent="0.25">
      <c r="A707" s="4"/>
      <c r="B707" s="4"/>
      <c r="C707" s="4"/>
      <c r="D707" s="4"/>
      <c r="E707" s="4"/>
      <c r="F707" s="4"/>
      <c r="G707" s="4"/>
      <c r="H707" s="4"/>
      <c r="I707" s="4"/>
      <c r="J707" s="4"/>
      <c r="K707" s="242"/>
      <c r="L707" s="4"/>
      <c r="M707" s="4"/>
      <c r="N707" s="4"/>
      <c r="O707" s="4"/>
      <c r="P707" s="4"/>
      <c r="Q707" s="4"/>
      <c r="R707" s="4"/>
      <c r="S707" s="4"/>
      <c r="T707" s="4"/>
      <c r="U707" s="4"/>
      <c r="V707" s="4"/>
      <c r="W707" s="4"/>
      <c r="X707" s="4"/>
      <c r="Y707" s="4"/>
      <c r="Z707" s="4"/>
      <c r="AA707" s="4"/>
      <c r="AB707" s="4"/>
      <c r="AC707" s="4"/>
      <c r="AD707" s="4"/>
      <c r="AE707" s="4"/>
      <c r="AF707" s="4"/>
      <c r="AG707" s="4"/>
      <c r="AH707" s="4"/>
      <c r="AI707" s="4"/>
      <c r="AJ707" s="4"/>
      <c r="AK707" s="4"/>
      <c r="AL707" s="4"/>
      <c r="AM707" s="4"/>
      <c r="AN707" s="4"/>
      <c r="AO707" s="4"/>
      <c r="AP707" s="4"/>
      <c r="AQ707" s="4"/>
      <c r="AR707" s="4"/>
      <c r="AS707" s="4"/>
      <c r="AT707" s="4"/>
      <c r="AU707" s="4"/>
      <c r="AV707" s="4"/>
      <c r="AW707" s="4"/>
      <c r="AX707" s="4"/>
      <c r="AY707" s="4"/>
      <c r="AZ707" s="4"/>
      <c r="BA707" s="4"/>
      <c r="BB707" s="4"/>
      <c r="BC707" s="4"/>
      <c r="BD707" s="4"/>
      <c r="BE707" s="4"/>
      <c r="BF707" s="4"/>
      <c r="BG707" s="4"/>
      <c r="BH707" s="4"/>
      <c r="BI707" s="4"/>
      <c r="BJ707" s="4"/>
      <c r="BK707" s="4"/>
      <c r="BL707" s="4"/>
      <c r="BM707" s="4"/>
      <c r="BN707" s="4"/>
      <c r="BO707" s="4"/>
      <c r="BP707" s="4"/>
      <c r="BQ707" s="4"/>
      <c r="BR707" s="4"/>
      <c r="BS707" s="4"/>
      <c r="BT707" s="4"/>
      <c r="BU707" s="4"/>
      <c r="BV707" s="4"/>
      <c r="BW707" s="4"/>
      <c r="BX707" s="4"/>
      <c r="BY707" s="4"/>
      <c r="BZ707" s="4"/>
      <c r="CA707" s="4"/>
      <c r="CB707" s="4"/>
      <c r="CC707" s="4"/>
      <c r="CD707" s="4"/>
      <c r="CE707" s="4"/>
      <c r="CF707" s="4"/>
      <c r="CG707" s="4"/>
      <c r="CH707" s="4"/>
      <c r="CI707" s="4"/>
    </row>
    <row r="708" ht="14.25" customHeight="1" spans="1:87" x14ac:dyDescent="0.25">
      <c r="A708" s="4"/>
      <c r="B708" s="4"/>
      <c r="C708" s="4"/>
      <c r="D708" s="4"/>
      <c r="E708" s="4"/>
      <c r="F708" s="4"/>
      <c r="G708" s="4"/>
      <c r="H708" s="4"/>
      <c r="I708" s="4"/>
      <c r="J708" s="4"/>
      <c r="K708" s="242"/>
      <c r="L708" s="4"/>
      <c r="M708" s="4"/>
      <c r="N708" s="4"/>
      <c r="O708" s="4"/>
      <c r="P708" s="4"/>
      <c r="Q708" s="4"/>
      <c r="R708" s="4"/>
      <c r="S708" s="4"/>
      <c r="T708" s="4"/>
      <c r="U708" s="4"/>
      <c r="V708" s="4"/>
      <c r="W708" s="4"/>
      <c r="X708" s="4"/>
      <c r="Y708" s="4"/>
      <c r="Z708" s="4"/>
      <c r="AA708" s="4"/>
      <c r="AB708" s="4"/>
      <c r="AC708" s="4"/>
      <c r="AD708" s="4"/>
      <c r="AE708" s="4"/>
      <c r="AF708" s="4"/>
      <c r="AG708" s="4"/>
      <c r="AH708" s="4"/>
      <c r="AI708" s="4"/>
      <c r="AJ708" s="4"/>
      <c r="AK708" s="4"/>
      <c r="AL708" s="4"/>
      <c r="AM708" s="4"/>
      <c r="AN708" s="4"/>
      <c r="AO708" s="4"/>
      <c r="AP708" s="4"/>
      <c r="AQ708" s="4"/>
      <c r="AR708" s="4"/>
      <c r="AS708" s="4"/>
      <c r="AT708" s="4"/>
      <c r="AU708" s="4"/>
      <c r="AV708" s="4"/>
      <c r="AW708" s="4"/>
      <c r="AX708" s="4"/>
      <c r="AY708" s="4"/>
      <c r="AZ708" s="4"/>
      <c r="BA708" s="4"/>
      <c r="BB708" s="4"/>
      <c r="BC708" s="4"/>
      <c r="BD708" s="4"/>
      <c r="BE708" s="4"/>
      <c r="BF708" s="4"/>
      <c r="BG708" s="4"/>
      <c r="BH708" s="4"/>
      <c r="BI708" s="4"/>
      <c r="BJ708" s="4"/>
      <c r="BK708" s="4"/>
      <c r="BL708" s="4"/>
      <c r="BM708" s="4"/>
      <c r="BN708" s="4"/>
      <c r="BO708" s="4"/>
      <c r="BP708" s="4"/>
      <c r="BQ708" s="4"/>
      <c r="BR708" s="4"/>
      <c r="BS708" s="4"/>
      <c r="BT708" s="4"/>
      <c r="BU708" s="4"/>
      <c r="BV708" s="4"/>
      <c r="BW708" s="4"/>
      <c r="BX708" s="4"/>
      <c r="BY708" s="4"/>
      <c r="BZ708" s="4"/>
      <c r="CA708" s="4"/>
      <c r="CB708" s="4"/>
      <c r="CC708" s="4"/>
      <c r="CD708" s="4"/>
      <c r="CE708" s="4"/>
      <c r="CF708" s="4"/>
      <c r="CG708" s="4"/>
      <c r="CH708" s="4"/>
      <c r="CI708" s="4"/>
    </row>
    <row r="709" ht="14.25" customHeight="1" spans="1:87" x14ac:dyDescent="0.25">
      <c r="A709" s="4"/>
      <c r="B709" s="4"/>
      <c r="C709" s="4"/>
      <c r="D709" s="4"/>
      <c r="E709" s="4"/>
      <c r="F709" s="4"/>
      <c r="G709" s="4"/>
      <c r="H709" s="4"/>
      <c r="I709" s="4"/>
      <c r="J709" s="4"/>
      <c r="K709" s="242"/>
      <c r="L709" s="4"/>
      <c r="M709" s="4"/>
      <c r="N709" s="4"/>
      <c r="O709" s="4"/>
      <c r="P709" s="4"/>
      <c r="Q709" s="4"/>
      <c r="R709" s="4"/>
      <c r="S709" s="4"/>
      <c r="T709" s="4"/>
      <c r="U709" s="4"/>
      <c r="V709" s="4"/>
      <c r="W709" s="4"/>
      <c r="X709" s="4"/>
      <c r="Y709" s="4"/>
      <c r="Z709" s="4"/>
      <c r="AA709" s="4"/>
      <c r="AB709" s="4"/>
      <c r="AC709" s="4"/>
      <c r="AD709" s="4"/>
      <c r="AE709" s="4"/>
      <c r="AF709" s="4"/>
      <c r="AG709" s="4"/>
      <c r="AH709" s="4"/>
      <c r="AI709" s="4"/>
      <c r="AJ709" s="4"/>
      <c r="AK709" s="4"/>
      <c r="AL709" s="4"/>
      <c r="AM709" s="4"/>
      <c r="AN709" s="4"/>
      <c r="AO709" s="4"/>
      <c r="AP709" s="4"/>
      <c r="AQ709" s="4"/>
      <c r="AR709" s="4"/>
      <c r="AS709" s="4"/>
      <c r="AT709" s="4"/>
      <c r="AU709" s="4"/>
      <c r="AV709" s="4"/>
      <c r="AW709" s="4"/>
      <c r="AX709" s="4"/>
      <c r="AY709" s="4"/>
      <c r="AZ709" s="4"/>
      <c r="BA709" s="4"/>
      <c r="BB709" s="4"/>
      <c r="BC709" s="4"/>
      <c r="BD709" s="4"/>
      <c r="BE709" s="4"/>
      <c r="BF709" s="4"/>
      <c r="BG709" s="4"/>
      <c r="BH709" s="4"/>
      <c r="BI709" s="4"/>
      <c r="BJ709" s="4"/>
      <c r="BK709" s="4"/>
      <c r="BL709" s="4"/>
      <c r="BM709" s="4"/>
      <c r="BN709" s="4"/>
      <c r="BO709" s="4"/>
      <c r="BP709" s="4"/>
      <c r="BQ709" s="4"/>
      <c r="BR709" s="4"/>
      <c r="BS709" s="4"/>
      <c r="BT709" s="4"/>
      <c r="BU709" s="4"/>
      <c r="BV709" s="4"/>
      <c r="BW709" s="4"/>
      <c r="BX709" s="4"/>
      <c r="BY709" s="4"/>
      <c r="BZ709" s="4"/>
      <c r="CA709" s="4"/>
      <c r="CB709" s="4"/>
      <c r="CC709" s="4"/>
      <c r="CD709" s="4"/>
      <c r="CE709" s="4"/>
      <c r="CF709" s="4"/>
      <c r="CG709" s="4"/>
      <c r="CH709" s="4"/>
      <c r="CI709" s="4"/>
    </row>
    <row r="710" ht="14.25" customHeight="1" spans="1:87" x14ac:dyDescent="0.25">
      <c r="A710" s="4"/>
      <c r="B710" s="4"/>
      <c r="C710" s="4"/>
      <c r="D710" s="4"/>
      <c r="E710" s="4"/>
      <c r="F710" s="4"/>
      <c r="G710" s="4"/>
      <c r="H710" s="4"/>
      <c r="I710" s="4"/>
      <c r="J710" s="4"/>
      <c r="K710" s="242"/>
      <c r="L710" s="4"/>
      <c r="M710" s="4"/>
      <c r="N710" s="4"/>
      <c r="O710" s="4"/>
      <c r="P710" s="4"/>
      <c r="Q710" s="4"/>
      <c r="R710" s="4"/>
      <c r="S710" s="4"/>
      <c r="T710" s="4"/>
      <c r="U710" s="4"/>
      <c r="V710" s="4"/>
      <c r="W710" s="4"/>
      <c r="X710" s="4"/>
      <c r="Y710" s="4"/>
      <c r="Z710" s="4"/>
      <c r="AA710" s="4"/>
      <c r="AB710" s="4"/>
      <c r="AC710" s="4"/>
      <c r="AD710" s="4"/>
      <c r="AE710" s="4"/>
      <c r="AF710" s="4"/>
      <c r="AG710" s="4"/>
      <c r="AH710" s="4"/>
      <c r="AI710" s="4"/>
      <c r="AJ710" s="4"/>
      <c r="AK710" s="4"/>
      <c r="AL710" s="4"/>
      <c r="AM710" s="4"/>
      <c r="AN710" s="4"/>
      <c r="AO710" s="4"/>
      <c r="AP710" s="4"/>
      <c r="AQ710" s="4"/>
      <c r="AR710" s="4"/>
      <c r="AS710" s="4"/>
      <c r="AT710" s="4"/>
      <c r="AU710" s="4"/>
      <c r="AV710" s="4"/>
      <c r="AW710" s="4"/>
      <c r="AX710" s="4"/>
      <c r="AY710" s="4"/>
      <c r="AZ710" s="4"/>
      <c r="BA710" s="4"/>
      <c r="BB710" s="4"/>
      <c r="BC710" s="4"/>
      <c r="BD710" s="4"/>
      <c r="BE710" s="4"/>
      <c r="BF710" s="4"/>
      <c r="BG710" s="4"/>
      <c r="BH710" s="4"/>
      <c r="BI710" s="4"/>
      <c r="BJ710" s="4"/>
      <c r="BK710" s="4"/>
      <c r="BL710" s="4"/>
      <c r="BM710" s="4"/>
      <c r="BN710" s="4"/>
      <c r="BO710" s="4"/>
      <c r="BP710" s="4"/>
      <c r="BQ710" s="4"/>
      <c r="BR710" s="4"/>
      <c r="BS710" s="4"/>
      <c r="BT710" s="4"/>
      <c r="BU710" s="4"/>
      <c r="BV710" s="4"/>
      <c r="BW710" s="4"/>
      <c r="BX710" s="4"/>
      <c r="BY710" s="4"/>
      <c r="BZ710" s="4"/>
      <c r="CA710" s="4"/>
      <c r="CB710" s="4"/>
      <c r="CC710" s="4"/>
      <c r="CD710" s="4"/>
      <c r="CE710" s="4"/>
      <c r="CF710" s="4"/>
      <c r="CG710" s="4"/>
      <c r="CH710" s="4"/>
      <c r="CI710" s="4"/>
    </row>
    <row r="711" ht="14.25" customHeight="1" spans="1:87" x14ac:dyDescent="0.25">
      <c r="A711" s="4"/>
      <c r="B711" s="4"/>
      <c r="C711" s="4"/>
      <c r="D711" s="4"/>
      <c r="E711" s="4"/>
      <c r="F711" s="4"/>
      <c r="G711" s="4"/>
      <c r="H711" s="4"/>
      <c r="I711" s="4"/>
      <c r="J711" s="4"/>
      <c r="K711" s="242"/>
      <c r="L711" s="4"/>
      <c r="M711" s="4"/>
      <c r="N711" s="4"/>
      <c r="O711" s="4"/>
      <c r="P711" s="4"/>
      <c r="Q711" s="4"/>
      <c r="R711" s="4"/>
      <c r="S711" s="4"/>
      <c r="T711" s="4"/>
      <c r="U711" s="4"/>
      <c r="V711" s="4"/>
      <c r="W711" s="4"/>
      <c r="X711" s="4"/>
      <c r="Y711" s="4"/>
      <c r="Z711" s="4"/>
      <c r="AA711" s="4"/>
      <c r="AB711" s="4"/>
      <c r="AC711" s="4"/>
      <c r="AD711" s="4"/>
      <c r="AE711" s="4"/>
      <c r="AF711" s="4"/>
      <c r="AG711" s="4"/>
      <c r="AH711" s="4"/>
      <c r="AI711" s="4"/>
      <c r="AJ711" s="4"/>
      <c r="AK711" s="4"/>
      <c r="AL711" s="4"/>
      <c r="AM711" s="4"/>
      <c r="AN711" s="4"/>
      <c r="AO711" s="4"/>
      <c r="AP711" s="4"/>
      <c r="AQ711" s="4"/>
      <c r="AR711" s="4"/>
      <c r="AS711" s="4"/>
      <c r="AT711" s="4"/>
      <c r="AU711" s="4"/>
      <c r="AV711" s="4"/>
      <c r="AW711" s="4"/>
      <c r="AX711" s="4"/>
      <c r="AY711" s="4"/>
      <c r="AZ711" s="4"/>
      <c r="BA711" s="4"/>
      <c r="BB711" s="4"/>
      <c r="BC711" s="4"/>
      <c r="BD711" s="4"/>
      <c r="BE711" s="4"/>
      <c r="BF711" s="4"/>
      <c r="BG711" s="4"/>
      <c r="BH711" s="4"/>
      <c r="BI711" s="4"/>
      <c r="BJ711" s="4"/>
      <c r="BK711" s="4"/>
      <c r="BL711" s="4"/>
      <c r="BM711" s="4"/>
      <c r="BN711" s="4"/>
      <c r="BO711" s="4"/>
      <c r="BP711" s="4"/>
      <c r="BQ711" s="4"/>
      <c r="BR711" s="4"/>
      <c r="BS711" s="4"/>
      <c r="BT711" s="4"/>
      <c r="BU711" s="4"/>
      <c r="BV711" s="4"/>
      <c r="BW711" s="4"/>
      <c r="BX711" s="4"/>
      <c r="BY711" s="4"/>
      <c r="BZ711" s="4"/>
      <c r="CA711" s="4"/>
      <c r="CB711" s="4"/>
      <c r="CC711" s="4"/>
      <c r="CD711" s="4"/>
      <c r="CE711" s="4"/>
      <c r="CF711" s="4"/>
      <c r="CG711" s="4"/>
      <c r="CH711" s="4"/>
      <c r="CI711" s="4"/>
    </row>
    <row r="712" ht="14.25" customHeight="1" spans="1:87" x14ac:dyDescent="0.25">
      <c r="A712" s="4"/>
      <c r="B712" s="4"/>
      <c r="C712" s="4"/>
      <c r="D712" s="4"/>
      <c r="E712" s="4"/>
      <c r="F712" s="4"/>
      <c r="G712" s="4"/>
      <c r="H712" s="4"/>
      <c r="I712" s="4"/>
      <c r="J712" s="4"/>
      <c r="K712" s="242"/>
      <c r="L712" s="4"/>
      <c r="M712" s="4"/>
      <c r="N712" s="4"/>
      <c r="O712" s="4"/>
      <c r="P712" s="4"/>
      <c r="Q712" s="4"/>
      <c r="R712" s="4"/>
      <c r="S712" s="4"/>
      <c r="T712" s="4"/>
      <c r="U712" s="4"/>
      <c r="V712" s="4"/>
      <c r="W712" s="4"/>
      <c r="X712" s="4"/>
      <c r="Y712" s="4"/>
      <c r="Z712" s="4"/>
      <c r="AA712" s="4"/>
      <c r="AB712" s="4"/>
      <c r="AC712" s="4"/>
      <c r="AD712" s="4"/>
      <c r="AE712" s="4"/>
      <c r="AF712" s="4"/>
      <c r="AG712" s="4"/>
      <c r="AH712" s="4"/>
      <c r="AI712" s="4"/>
      <c r="AJ712" s="4"/>
      <c r="AK712" s="4"/>
      <c r="AL712" s="4"/>
      <c r="AM712" s="4"/>
      <c r="AN712" s="4"/>
      <c r="AO712" s="4"/>
      <c r="AP712" s="4"/>
      <c r="AQ712" s="4"/>
      <c r="AR712" s="4"/>
      <c r="AS712" s="4"/>
      <c r="AT712" s="4"/>
      <c r="AU712" s="4"/>
      <c r="AV712" s="4"/>
      <c r="AW712" s="4"/>
      <c r="AX712" s="4"/>
      <c r="AY712" s="4"/>
      <c r="AZ712" s="4"/>
      <c r="BA712" s="4"/>
      <c r="BB712" s="4"/>
      <c r="BC712" s="4"/>
      <c r="BD712" s="4"/>
      <c r="BE712" s="4"/>
      <c r="BF712" s="4"/>
      <c r="BG712" s="4"/>
      <c r="BH712" s="4"/>
      <c r="BI712" s="4"/>
      <c r="BJ712" s="4"/>
      <c r="BK712" s="4"/>
      <c r="BL712" s="4"/>
      <c r="BM712" s="4"/>
      <c r="BN712" s="4"/>
      <c r="BO712" s="4"/>
      <c r="BP712" s="4"/>
      <c r="BQ712" s="4"/>
      <c r="BR712" s="4"/>
      <c r="BS712" s="4"/>
      <c r="BT712" s="4"/>
      <c r="BU712" s="4"/>
      <c r="BV712" s="4"/>
      <c r="BW712" s="4"/>
      <c r="BX712" s="4"/>
      <c r="BY712" s="4"/>
      <c r="BZ712" s="4"/>
      <c r="CA712" s="4"/>
      <c r="CB712" s="4"/>
      <c r="CC712" s="4"/>
      <c r="CD712" s="4"/>
      <c r="CE712" s="4"/>
      <c r="CF712" s="4"/>
      <c r="CG712" s="4"/>
      <c r="CH712" s="4"/>
      <c r="CI712" s="4"/>
    </row>
    <row r="713" ht="14.25" customHeight="1" spans="1:87" x14ac:dyDescent="0.25">
      <c r="A713" s="4"/>
      <c r="B713" s="4"/>
      <c r="C713" s="4"/>
      <c r="D713" s="4"/>
      <c r="E713" s="4"/>
      <c r="F713" s="4"/>
      <c r="G713" s="4"/>
      <c r="H713" s="4"/>
      <c r="I713" s="4"/>
      <c r="J713" s="4"/>
      <c r="K713" s="242"/>
      <c r="L713" s="4"/>
      <c r="M713" s="4"/>
      <c r="N713" s="4"/>
      <c r="O713" s="4"/>
      <c r="P713" s="4"/>
      <c r="Q713" s="4"/>
      <c r="R713" s="4"/>
      <c r="S713" s="4"/>
      <c r="T713" s="4"/>
      <c r="U713" s="4"/>
      <c r="V713" s="4"/>
      <c r="W713" s="4"/>
      <c r="X713" s="4"/>
      <c r="Y713" s="4"/>
      <c r="Z713" s="4"/>
      <c r="AA713" s="4"/>
      <c r="AB713" s="4"/>
      <c r="AC713" s="4"/>
      <c r="AD713" s="4"/>
      <c r="AE713" s="4"/>
      <c r="AF713" s="4"/>
      <c r="AG713" s="4"/>
      <c r="AH713" s="4"/>
      <c r="AI713" s="4"/>
      <c r="AJ713" s="4"/>
      <c r="AK713" s="4"/>
      <c r="AL713" s="4"/>
      <c r="AM713" s="4"/>
      <c r="AN713" s="4"/>
      <c r="AO713" s="4"/>
      <c r="AP713" s="4"/>
      <c r="AQ713" s="4"/>
      <c r="AR713" s="4"/>
      <c r="AS713" s="4"/>
      <c r="AT713" s="4"/>
      <c r="AU713" s="4"/>
      <c r="AV713" s="4"/>
      <c r="AW713" s="4"/>
      <c r="AX713" s="4"/>
      <c r="AY713" s="4"/>
      <c r="AZ713" s="4"/>
      <c r="BA713" s="4"/>
      <c r="BB713" s="4"/>
      <c r="BC713" s="4"/>
      <c r="BD713" s="4"/>
      <c r="BE713" s="4"/>
      <c r="BF713" s="4"/>
      <c r="BG713" s="4"/>
      <c r="BH713" s="4"/>
      <c r="BI713" s="4"/>
      <c r="BJ713" s="4"/>
      <c r="BK713" s="4"/>
      <c r="BL713" s="4"/>
      <c r="BM713" s="4"/>
      <c r="BN713" s="4"/>
      <c r="BO713" s="4"/>
      <c r="BP713" s="4"/>
      <c r="BQ713" s="4"/>
      <c r="BR713" s="4"/>
      <c r="BS713" s="4"/>
      <c r="BT713" s="4"/>
      <c r="BU713" s="4"/>
      <c r="BV713" s="4"/>
      <c r="BW713" s="4"/>
      <c r="BX713" s="4"/>
      <c r="BY713" s="4"/>
      <c r="BZ713" s="4"/>
      <c r="CA713" s="4"/>
      <c r="CB713" s="4"/>
      <c r="CC713" s="4"/>
      <c r="CD713" s="4"/>
      <c r="CE713" s="4"/>
      <c r="CF713" s="4"/>
      <c r="CG713" s="4"/>
      <c r="CH713" s="4"/>
      <c r="CI713" s="4"/>
    </row>
    <row r="714" ht="14.25" customHeight="1" spans="1:87" x14ac:dyDescent="0.25">
      <c r="A714" s="4"/>
      <c r="B714" s="4"/>
      <c r="C714" s="4"/>
      <c r="D714" s="4"/>
      <c r="E714" s="4"/>
      <c r="F714" s="4"/>
      <c r="G714" s="4"/>
      <c r="H714" s="4"/>
      <c r="I714" s="4"/>
      <c r="J714" s="4"/>
      <c r="K714" s="242"/>
      <c r="L714" s="4"/>
      <c r="M714" s="4"/>
      <c r="N714" s="4"/>
      <c r="O714" s="4"/>
      <c r="P714" s="4"/>
      <c r="Q714" s="4"/>
      <c r="R714" s="4"/>
      <c r="S714" s="4"/>
      <c r="T714" s="4"/>
      <c r="U714" s="4"/>
      <c r="V714" s="4"/>
      <c r="W714" s="4"/>
      <c r="X714" s="4"/>
      <c r="Y714" s="4"/>
      <c r="Z714" s="4"/>
      <c r="AA714" s="4"/>
      <c r="AB714" s="4"/>
      <c r="AC714" s="4"/>
      <c r="AD714" s="4"/>
      <c r="AE714" s="4"/>
      <c r="AF714" s="4"/>
      <c r="AG714" s="4"/>
      <c r="AH714" s="4"/>
      <c r="AI714" s="4"/>
      <c r="AJ714" s="4"/>
      <c r="AK714" s="4"/>
      <c r="AL714" s="4"/>
      <c r="AM714" s="4"/>
      <c r="AN714" s="4"/>
      <c r="AO714" s="4"/>
      <c r="AP714" s="4"/>
      <c r="AQ714" s="4"/>
      <c r="AR714" s="4"/>
      <c r="AS714" s="4"/>
      <c r="AT714" s="4"/>
      <c r="AU714" s="4"/>
      <c r="AV714" s="4"/>
      <c r="AW714" s="4"/>
      <c r="AX714" s="4"/>
      <c r="AY714" s="4"/>
      <c r="AZ714" s="4"/>
      <c r="BA714" s="4"/>
      <c r="BB714" s="4"/>
      <c r="BC714" s="4"/>
      <c r="BD714" s="4"/>
      <c r="BE714" s="4"/>
      <c r="BF714" s="4"/>
      <c r="BG714" s="4"/>
      <c r="BH714" s="4"/>
      <c r="BI714" s="4"/>
      <c r="BJ714" s="4"/>
      <c r="BK714" s="4"/>
      <c r="BL714" s="4"/>
      <c r="BM714" s="4"/>
      <c r="BN714" s="4"/>
      <c r="BO714" s="4"/>
      <c r="BP714" s="4"/>
      <c r="BQ714" s="4"/>
      <c r="BR714" s="4"/>
      <c r="BS714" s="4"/>
      <c r="BT714" s="4"/>
      <c r="BU714" s="4"/>
      <c r="BV714" s="4"/>
      <c r="BW714" s="4"/>
      <c r="BX714" s="4"/>
      <c r="BY714" s="4"/>
      <c r="BZ714" s="4"/>
      <c r="CA714" s="4"/>
      <c r="CB714" s="4"/>
      <c r="CC714" s="4"/>
      <c r="CD714" s="4"/>
      <c r="CE714" s="4"/>
      <c r="CF714" s="4"/>
      <c r="CG714" s="4"/>
      <c r="CH714" s="4"/>
      <c r="CI714" s="4"/>
    </row>
    <row r="715" ht="14.25" customHeight="1" spans="1:87" x14ac:dyDescent="0.25">
      <c r="A715" s="4"/>
      <c r="B715" s="4"/>
      <c r="C715" s="4"/>
      <c r="D715" s="4"/>
      <c r="E715" s="4"/>
      <c r="F715" s="4"/>
      <c r="G715" s="4"/>
      <c r="H715" s="4"/>
      <c r="I715" s="4"/>
      <c r="J715" s="4"/>
      <c r="K715" s="242"/>
      <c r="L715" s="4"/>
      <c r="M715" s="4"/>
      <c r="N715" s="4"/>
      <c r="O715" s="4"/>
      <c r="P715" s="4"/>
      <c r="Q715" s="4"/>
      <c r="R715" s="4"/>
      <c r="S715" s="4"/>
      <c r="T715" s="4"/>
      <c r="U715" s="4"/>
      <c r="V715" s="4"/>
      <c r="W715" s="4"/>
      <c r="X715" s="4"/>
      <c r="Y715" s="4"/>
      <c r="Z715" s="4"/>
      <c r="AA715" s="4"/>
      <c r="AB715" s="4"/>
      <c r="AC715" s="4"/>
      <c r="AD715" s="4"/>
      <c r="AE715" s="4"/>
      <c r="AF715" s="4"/>
      <c r="AG715" s="4"/>
      <c r="AH715" s="4"/>
      <c r="AI715" s="4"/>
      <c r="AJ715" s="4"/>
      <c r="AK715" s="4"/>
      <c r="AL715" s="4"/>
      <c r="AM715" s="4"/>
      <c r="AN715" s="4"/>
      <c r="AO715" s="4"/>
      <c r="AP715" s="4"/>
      <c r="AQ715" s="4"/>
      <c r="AR715" s="4"/>
      <c r="AS715" s="4"/>
      <c r="AT715" s="4"/>
      <c r="AU715" s="4"/>
      <c r="AV715" s="4"/>
      <c r="AW715" s="4"/>
      <c r="AX715" s="4"/>
      <c r="AY715" s="4"/>
      <c r="AZ715" s="4"/>
      <c r="BA715" s="4"/>
      <c r="BB715" s="4"/>
      <c r="BC715" s="4"/>
      <c r="BD715" s="4"/>
      <c r="BE715" s="4"/>
      <c r="BF715" s="4"/>
      <c r="BG715" s="4"/>
      <c r="BH715" s="4"/>
      <c r="BI715" s="4"/>
      <c r="BJ715" s="4"/>
      <c r="BK715" s="4"/>
      <c r="BL715" s="4"/>
      <c r="BM715" s="4"/>
      <c r="BN715" s="4"/>
      <c r="BO715" s="4"/>
      <c r="BP715" s="4"/>
      <c r="BQ715" s="4"/>
      <c r="BR715" s="4"/>
      <c r="BS715" s="4"/>
      <c r="BT715" s="4"/>
      <c r="BU715" s="4"/>
      <c r="BV715" s="4"/>
      <c r="BW715" s="4"/>
      <c r="BX715" s="4"/>
      <c r="BY715" s="4"/>
      <c r="BZ715" s="4"/>
      <c r="CA715" s="4"/>
      <c r="CB715" s="4"/>
      <c r="CC715" s="4"/>
      <c r="CD715" s="4"/>
      <c r="CE715" s="4"/>
      <c r="CF715" s="4"/>
      <c r="CG715" s="4"/>
      <c r="CH715" s="4"/>
      <c r="CI715" s="4"/>
    </row>
    <row r="716" ht="14.25" customHeight="1" spans="1:87" x14ac:dyDescent="0.25">
      <c r="A716" s="4"/>
      <c r="B716" s="4"/>
      <c r="C716" s="4"/>
      <c r="D716" s="4"/>
      <c r="E716" s="4"/>
      <c r="F716" s="4"/>
      <c r="G716" s="4"/>
      <c r="H716" s="4"/>
      <c r="I716" s="4"/>
      <c r="J716" s="4"/>
      <c r="K716" s="242"/>
      <c r="L716" s="4"/>
      <c r="M716" s="4"/>
      <c r="N716" s="4"/>
      <c r="O716" s="4"/>
      <c r="P716" s="4"/>
      <c r="Q716" s="4"/>
      <c r="R716" s="4"/>
      <c r="S716" s="4"/>
      <c r="T716" s="4"/>
      <c r="U716" s="4"/>
      <c r="V716" s="4"/>
      <c r="W716" s="4"/>
      <c r="X716" s="4"/>
      <c r="Y716" s="4"/>
      <c r="Z716" s="4"/>
      <c r="AA716" s="4"/>
      <c r="AB716" s="4"/>
      <c r="AC716" s="4"/>
      <c r="AD716" s="4"/>
      <c r="AE716" s="4"/>
      <c r="AF716" s="4"/>
      <c r="AG716" s="4"/>
      <c r="AH716" s="4"/>
      <c r="AI716" s="4"/>
      <c r="AJ716" s="4"/>
      <c r="AK716" s="4"/>
      <c r="AL716" s="4"/>
      <c r="AM716" s="4"/>
      <c r="AN716" s="4"/>
      <c r="AO716" s="4"/>
      <c r="AP716" s="4"/>
      <c r="AQ716" s="4"/>
      <c r="AR716" s="4"/>
      <c r="AS716" s="4"/>
      <c r="AT716" s="4"/>
      <c r="AU716" s="4"/>
      <c r="AV716" s="4"/>
      <c r="AW716" s="4"/>
      <c r="AX716" s="4"/>
      <c r="AY716" s="4"/>
      <c r="AZ716" s="4"/>
      <c r="BA716" s="4"/>
      <c r="BB716" s="4"/>
      <c r="BC716" s="4"/>
      <c r="BD716" s="4"/>
      <c r="BE716" s="4"/>
      <c r="BF716" s="4"/>
      <c r="BG716" s="4"/>
      <c r="BH716" s="4"/>
      <c r="BI716" s="4"/>
      <c r="BJ716" s="4"/>
      <c r="BK716" s="4"/>
      <c r="BL716" s="4"/>
      <c r="BM716" s="4"/>
      <c r="BN716" s="4"/>
      <c r="BO716" s="4"/>
      <c r="BP716" s="4"/>
      <c r="BQ716" s="4"/>
      <c r="BR716" s="4"/>
      <c r="BS716" s="4"/>
      <c r="BT716" s="4"/>
      <c r="BU716" s="4"/>
      <c r="BV716" s="4"/>
      <c r="BW716" s="4"/>
      <c r="BX716" s="4"/>
      <c r="BY716" s="4"/>
      <c r="BZ716" s="4"/>
      <c r="CA716" s="4"/>
      <c r="CB716" s="4"/>
      <c r="CC716" s="4"/>
      <c r="CD716" s="4"/>
      <c r="CE716" s="4"/>
      <c r="CF716" s="4"/>
      <c r="CG716" s="4"/>
      <c r="CH716" s="4"/>
      <c r="CI716" s="4"/>
    </row>
    <row r="717" ht="14.25" customHeight="1" spans="1:87" x14ac:dyDescent="0.25">
      <c r="A717" s="4"/>
      <c r="B717" s="4"/>
      <c r="C717" s="4"/>
      <c r="D717" s="4"/>
      <c r="E717" s="4"/>
      <c r="F717" s="4"/>
      <c r="G717" s="4"/>
      <c r="H717" s="4"/>
      <c r="I717" s="4"/>
      <c r="J717" s="4"/>
      <c r="K717" s="242"/>
      <c r="L717" s="4"/>
      <c r="M717" s="4"/>
      <c r="N717" s="4"/>
      <c r="O717" s="4"/>
      <c r="P717" s="4"/>
      <c r="Q717" s="4"/>
      <c r="R717" s="4"/>
      <c r="S717" s="4"/>
      <c r="T717" s="4"/>
      <c r="U717" s="4"/>
      <c r="V717" s="4"/>
      <c r="W717" s="4"/>
      <c r="X717" s="4"/>
      <c r="Y717" s="4"/>
      <c r="Z717" s="4"/>
      <c r="AA717" s="4"/>
      <c r="AB717" s="4"/>
      <c r="AC717" s="4"/>
      <c r="AD717" s="4"/>
      <c r="AE717" s="4"/>
      <c r="AF717" s="4"/>
      <c r="AG717" s="4"/>
      <c r="AH717" s="4"/>
      <c r="AI717" s="4"/>
      <c r="AJ717" s="4"/>
      <c r="AK717" s="4"/>
      <c r="AL717" s="4"/>
      <c r="AM717" s="4"/>
      <c r="AN717" s="4"/>
      <c r="AO717" s="4"/>
      <c r="AP717" s="4"/>
      <c r="AQ717" s="4"/>
      <c r="AR717" s="4"/>
      <c r="AS717" s="4"/>
      <c r="AT717" s="4"/>
      <c r="AU717" s="4"/>
      <c r="AV717" s="4"/>
      <c r="AW717" s="4"/>
      <c r="AX717" s="4"/>
      <c r="AY717" s="4"/>
      <c r="AZ717" s="4"/>
      <c r="BA717" s="4"/>
      <c r="BB717" s="4"/>
      <c r="BC717" s="4"/>
      <c r="BD717" s="4"/>
      <c r="BE717" s="4"/>
      <c r="BF717" s="4"/>
      <c r="BG717" s="4"/>
      <c r="BH717" s="4"/>
      <c r="BI717" s="4"/>
      <c r="BJ717" s="4"/>
      <c r="BK717" s="4"/>
      <c r="BL717" s="4"/>
      <c r="BM717" s="4"/>
      <c r="BN717" s="4"/>
      <c r="BO717" s="4"/>
      <c r="BP717" s="4"/>
      <c r="BQ717" s="4"/>
      <c r="BR717" s="4"/>
      <c r="BS717" s="4"/>
      <c r="BT717" s="4"/>
      <c r="BU717" s="4"/>
      <c r="BV717" s="4"/>
      <c r="BW717" s="4"/>
      <c r="BX717" s="4"/>
      <c r="BY717" s="4"/>
      <c r="BZ717" s="4"/>
      <c r="CA717" s="4"/>
      <c r="CB717" s="4"/>
      <c r="CC717" s="4"/>
      <c r="CD717" s="4"/>
      <c r="CE717" s="4"/>
      <c r="CF717" s="4"/>
      <c r="CG717" s="4"/>
      <c r="CH717" s="4"/>
      <c r="CI717" s="4"/>
    </row>
    <row r="718" ht="14.25" customHeight="1" spans="1:87" x14ac:dyDescent="0.25">
      <c r="A718" s="4"/>
      <c r="B718" s="4"/>
      <c r="C718" s="4"/>
      <c r="D718" s="4"/>
      <c r="E718" s="4"/>
      <c r="F718" s="4"/>
      <c r="G718" s="4"/>
      <c r="H718" s="4"/>
      <c r="I718" s="4"/>
      <c r="J718" s="4"/>
      <c r="K718" s="242"/>
      <c r="L718" s="4"/>
      <c r="M718" s="4"/>
      <c r="N718" s="4"/>
      <c r="O718" s="4"/>
      <c r="P718" s="4"/>
      <c r="Q718" s="4"/>
      <c r="R718" s="4"/>
      <c r="S718" s="4"/>
      <c r="T718" s="4"/>
      <c r="U718" s="4"/>
      <c r="V718" s="4"/>
      <c r="W718" s="4"/>
      <c r="X718" s="4"/>
      <c r="Y718" s="4"/>
      <c r="Z718" s="4"/>
      <c r="AA718" s="4"/>
      <c r="AB718" s="4"/>
      <c r="AC718" s="4"/>
      <c r="AD718" s="4"/>
      <c r="AE718" s="4"/>
      <c r="AF718" s="4"/>
      <c r="AG718" s="4"/>
      <c r="AH718" s="4"/>
      <c r="AI718" s="4"/>
      <c r="AJ718" s="4"/>
      <c r="AK718" s="4"/>
      <c r="AL718" s="4"/>
      <c r="AM718" s="4"/>
      <c r="AN718" s="4"/>
      <c r="AO718" s="4"/>
      <c r="AP718" s="4"/>
      <c r="AQ718" s="4"/>
      <c r="AR718" s="4"/>
      <c r="AS718" s="4"/>
      <c r="AT718" s="4"/>
      <c r="AU718" s="4"/>
      <c r="AV718" s="4"/>
      <c r="AW718" s="4"/>
      <c r="AX718" s="4"/>
      <c r="AY718" s="4"/>
      <c r="AZ718" s="4"/>
      <c r="BA718" s="4"/>
      <c r="BB718" s="4"/>
      <c r="BC718" s="4"/>
      <c r="BD718" s="4"/>
      <c r="BE718" s="4"/>
      <c r="BF718" s="4"/>
      <c r="BG718" s="4"/>
      <c r="BH718" s="4"/>
      <c r="BI718" s="4"/>
      <c r="BJ718" s="4"/>
      <c r="BK718" s="4"/>
      <c r="BL718" s="4"/>
      <c r="BM718" s="4"/>
      <c r="BN718" s="4"/>
      <c r="BO718" s="4"/>
      <c r="BP718" s="4"/>
      <c r="BQ718" s="4"/>
      <c r="BR718" s="4"/>
      <c r="BS718" s="4"/>
      <c r="BT718" s="4"/>
      <c r="BU718" s="4"/>
      <c r="BV718" s="4"/>
      <c r="BW718" s="4"/>
      <c r="BX718" s="4"/>
      <c r="BY718" s="4"/>
      <c r="BZ718" s="4"/>
      <c r="CA718" s="4"/>
      <c r="CB718" s="4"/>
      <c r="CC718" s="4"/>
      <c r="CD718" s="4"/>
      <c r="CE718" s="4"/>
      <c r="CF718" s="4"/>
      <c r="CG718" s="4"/>
      <c r="CH718" s="4"/>
      <c r="CI718" s="4"/>
    </row>
    <row r="719" ht="14.25" customHeight="1" spans="1:87" x14ac:dyDescent="0.25">
      <c r="A719" s="4"/>
      <c r="B719" s="4"/>
      <c r="C719" s="4"/>
      <c r="D719" s="4"/>
      <c r="E719" s="4"/>
      <c r="F719" s="4"/>
      <c r="G719" s="4"/>
      <c r="H719" s="4"/>
      <c r="I719" s="4"/>
      <c r="J719" s="4"/>
      <c r="K719" s="242"/>
      <c r="L719" s="4"/>
      <c r="M719" s="4"/>
      <c r="N719" s="4"/>
      <c r="O719" s="4"/>
      <c r="P719" s="4"/>
      <c r="Q719" s="4"/>
      <c r="R719" s="4"/>
      <c r="S719" s="4"/>
      <c r="T719" s="4"/>
      <c r="U719" s="4"/>
      <c r="V719" s="4"/>
      <c r="W719" s="4"/>
      <c r="X719" s="4"/>
      <c r="Y719" s="4"/>
      <c r="Z719" s="4"/>
      <c r="AA719" s="4"/>
      <c r="AB719" s="4"/>
      <c r="AC719" s="4"/>
      <c r="AD719" s="4"/>
      <c r="AE719" s="4"/>
      <c r="AF719" s="4"/>
      <c r="AG719" s="4"/>
      <c r="AH719" s="4"/>
      <c r="AI719" s="4"/>
      <c r="AJ719" s="4"/>
      <c r="AK719" s="4"/>
      <c r="AL719" s="4"/>
      <c r="AM719" s="4"/>
      <c r="AN719" s="4"/>
      <c r="AO719" s="4"/>
      <c r="AP719" s="4"/>
      <c r="AQ719" s="4"/>
      <c r="AR719" s="4"/>
      <c r="AS719" s="4"/>
      <c r="AT719" s="4"/>
      <c r="AU719" s="4"/>
      <c r="AV719" s="4"/>
      <c r="AW719" s="4"/>
      <c r="AX719" s="4"/>
      <c r="AY719" s="4"/>
      <c r="AZ719" s="4"/>
      <c r="BA719" s="4"/>
      <c r="BB719" s="4"/>
      <c r="BC719" s="4"/>
      <c r="BD719" s="4"/>
      <c r="BE719" s="4"/>
      <c r="BF719" s="4"/>
      <c r="BG719" s="4"/>
      <c r="BH719" s="4"/>
      <c r="BI719" s="4"/>
      <c r="BJ719" s="4"/>
      <c r="BK719" s="4"/>
      <c r="BL719" s="4"/>
      <c r="BM719" s="4"/>
      <c r="BN719" s="4"/>
      <c r="BO719" s="4"/>
      <c r="BP719" s="4"/>
      <c r="BQ719" s="4"/>
      <c r="BR719" s="4"/>
      <c r="BS719" s="4"/>
      <c r="BT719" s="4"/>
      <c r="BU719" s="4"/>
      <c r="BV719" s="4"/>
      <c r="BW719" s="4"/>
      <c r="BX719" s="4"/>
      <c r="BY719" s="4"/>
      <c r="BZ719" s="4"/>
      <c r="CA719" s="4"/>
      <c r="CB719" s="4"/>
      <c r="CC719" s="4"/>
      <c r="CD719" s="4"/>
      <c r="CE719" s="4"/>
      <c r="CF719" s="4"/>
      <c r="CG719" s="4"/>
      <c r="CH719" s="4"/>
      <c r="CI719" s="4"/>
    </row>
    <row r="720" ht="14.25" customHeight="1" spans="1:87" x14ac:dyDescent="0.25">
      <c r="A720" s="4"/>
      <c r="B720" s="4"/>
      <c r="C720" s="4"/>
      <c r="D720" s="4"/>
      <c r="E720" s="4"/>
      <c r="F720" s="4"/>
      <c r="G720" s="4"/>
      <c r="H720" s="4"/>
      <c r="I720" s="4"/>
      <c r="J720" s="4"/>
      <c r="K720" s="242"/>
      <c r="L720" s="4"/>
      <c r="M720" s="4"/>
      <c r="N720" s="4"/>
      <c r="O720" s="4"/>
      <c r="P720" s="4"/>
      <c r="Q720" s="4"/>
      <c r="R720" s="4"/>
      <c r="S720" s="4"/>
      <c r="T720" s="4"/>
      <c r="U720" s="4"/>
      <c r="V720" s="4"/>
      <c r="W720" s="4"/>
      <c r="X720" s="4"/>
      <c r="Y720" s="4"/>
      <c r="Z720" s="4"/>
      <c r="AA720" s="4"/>
      <c r="AB720" s="4"/>
      <c r="AC720" s="4"/>
      <c r="AD720" s="4"/>
      <c r="AE720" s="4"/>
      <c r="AF720" s="4"/>
      <c r="AG720" s="4"/>
      <c r="AH720" s="4"/>
      <c r="AI720" s="4"/>
      <c r="AJ720" s="4"/>
      <c r="AK720" s="4"/>
      <c r="AL720" s="4"/>
      <c r="AM720" s="4"/>
      <c r="AN720" s="4"/>
      <c r="AO720" s="4"/>
      <c r="AP720" s="4"/>
      <c r="AQ720" s="4"/>
      <c r="AR720" s="4"/>
      <c r="AS720" s="4"/>
      <c r="AT720" s="4"/>
      <c r="AU720" s="4"/>
      <c r="AV720" s="4"/>
      <c r="AW720" s="4"/>
      <c r="AX720" s="4"/>
      <c r="AY720" s="4"/>
      <c r="AZ720" s="4"/>
      <c r="BA720" s="4"/>
      <c r="BB720" s="4"/>
      <c r="BC720" s="4"/>
      <c r="BD720" s="4"/>
      <c r="BE720" s="4"/>
      <c r="BF720" s="4"/>
      <c r="BG720" s="4"/>
      <c r="BH720" s="4"/>
      <c r="BI720" s="4"/>
      <c r="BJ720" s="4"/>
      <c r="BK720" s="4"/>
      <c r="BL720" s="4"/>
      <c r="BM720" s="4"/>
      <c r="BN720" s="4"/>
      <c r="BO720" s="4"/>
      <c r="BP720" s="4"/>
      <c r="BQ720" s="4"/>
      <c r="BR720" s="4"/>
      <c r="BS720" s="4"/>
      <c r="BT720" s="4"/>
      <c r="BU720" s="4"/>
      <c r="BV720" s="4"/>
      <c r="BW720" s="4"/>
      <c r="BX720" s="4"/>
      <c r="BY720" s="4"/>
      <c r="BZ720" s="4"/>
      <c r="CA720" s="4"/>
      <c r="CB720" s="4"/>
      <c r="CC720" s="4"/>
      <c r="CD720" s="4"/>
      <c r="CE720" s="4"/>
      <c r="CF720" s="4"/>
      <c r="CG720" s="4"/>
      <c r="CH720" s="4"/>
      <c r="CI720" s="4"/>
    </row>
    <row r="721" ht="14.25" customHeight="1" spans="1:87" x14ac:dyDescent="0.25">
      <c r="A721" s="4"/>
      <c r="B721" s="4"/>
      <c r="C721" s="4"/>
      <c r="D721" s="4"/>
      <c r="E721" s="4"/>
      <c r="F721" s="4"/>
      <c r="G721" s="4"/>
      <c r="H721" s="4"/>
      <c r="I721" s="4"/>
      <c r="J721" s="4"/>
      <c r="K721" s="242"/>
      <c r="L721" s="4"/>
      <c r="M721" s="4"/>
      <c r="N721" s="4"/>
      <c r="O721" s="4"/>
      <c r="P721" s="4"/>
      <c r="Q721" s="4"/>
      <c r="R721" s="4"/>
      <c r="S721" s="4"/>
      <c r="T721" s="4"/>
      <c r="U721" s="4"/>
      <c r="V721" s="4"/>
      <c r="W721" s="4"/>
      <c r="X721" s="4"/>
      <c r="Y721" s="4"/>
      <c r="Z721" s="4"/>
      <c r="AA721" s="4"/>
      <c r="AB721" s="4"/>
      <c r="AC721" s="4"/>
      <c r="AD721" s="4"/>
      <c r="AE721" s="4"/>
      <c r="AF721" s="4"/>
      <c r="AG721" s="4"/>
      <c r="AH721" s="4"/>
      <c r="AI721" s="4"/>
      <c r="AJ721" s="4"/>
      <c r="AK721" s="4"/>
      <c r="AL721" s="4"/>
      <c r="AM721" s="4"/>
      <c r="AN721" s="4"/>
      <c r="AO721" s="4"/>
      <c r="AP721" s="4"/>
      <c r="AQ721" s="4"/>
      <c r="AR721" s="4"/>
      <c r="AS721" s="4"/>
      <c r="AT721" s="4"/>
      <c r="AU721" s="4"/>
      <c r="AV721" s="4"/>
      <c r="AW721" s="4"/>
      <c r="AX721" s="4"/>
      <c r="AY721" s="4"/>
      <c r="AZ721" s="4"/>
      <c r="BA721" s="4"/>
      <c r="BB721" s="4"/>
      <c r="BC721" s="4"/>
      <c r="BD721" s="4"/>
      <c r="BE721" s="4"/>
      <c r="BF721" s="4"/>
      <c r="BG721" s="4"/>
      <c r="BH721" s="4"/>
      <c r="BI721" s="4"/>
      <c r="BJ721" s="4"/>
      <c r="BK721" s="4"/>
      <c r="BL721" s="4"/>
      <c r="BM721" s="4"/>
      <c r="BN721" s="4"/>
      <c r="BO721" s="4"/>
      <c r="BP721" s="4"/>
      <c r="BQ721" s="4"/>
      <c r="BR721" s="4"/>
      <c r="BS721" s="4"/>
      <c r="BT721" s="4"/>
      <c r="BU721" s="4"/>
      <c r="BV721" s="4"/>
      <c r="BW721" s="4"/>
      <c r="BX721" s="4"/>
      <c r="BY721" s="4"/>
      <c r="BZ721" s="4"/>
      <c r="CA721" s="4"/>
      <c r="CB721" s="4"/>
      <c r="CC721" s="4"/>
      <c r="CD721" s="4"/>
      <c r="CE721" s="4"/>
      <c r="CF721" s="4"/>
      <c r="CG721" s="4"/>
      <c r="CH721" s="4"/>
      <c r="CI721" s="4"/>
    </row>
    <row r="722" ht="14.25" customHeight="1" spans="1:87" x14ac:dyDescent="0.25">
      <c r="A722" s="4"/>
      <c r="B722" s="4"/>
      <c r="C722" s="4"/>
      <c r="D722" s="4"/>
      <c r="E722" s="4"/>
      <c r="F722" s="4"/>
      <c r="G722" s="4"/>
      <c r="H722" s="4"/>
      <c r="I722" s="4"/>
      <c r="J722" s="4"/>
      <c r="K722" s="242"/>
      <c r="L722" s="4"/>
      <c r="M722" s="4"/>
      <c r="N722" s="4"/>
      <c r="O722" s="4"/>
      <c r="P722" s="4"/>
      <c r="Q722" s="4"/>
      <c r="R722" s="4"/>
      <c r="S722" s="4"/>
      <c r="T722" s="4"/>
      <c r="U722" s="4"/>
      <c r="V722" s="4"/>
      <c r="W722" s="4"/>
      <c r="X722" s="4"/>
      <c r="Y722" s="4"/>
      <c r="Z722" s="4"/>
      <c r="AA722" s="4"/>
      <c r="AB722" s="4"/>
      <c r="AC722" s="4"/>
      <c r="AD722" s="4"/>
      <c r="AE722" s="4"/>
      <c r="AF722" s="4"/>
      <c r="AG722" s="4"/>
      <c r="AH722" s="4"/>
      <c r="AI722" s="4"/>
      <c r="AJ722" s="4"/>
      <c r="AK722" s="4"/>
      <c r="AL722" s="4"/>
      <c r="AM722" s="4"/>
      <c r="AN722" s="4"/>
      <c r="AO722" s="4"/>
      <c r="AP722" s="4"/>
      <c r="AQ722" s="4"/>
      <c r="AR722" s="4"/>
      <c r="AS722" s="4"/>
      <c r="AT722" s="4"/>
      <c r="AU722" s="4"/>
      <c r="AV722" s="4"/>
      <c r="AW722" s="4"/>
      <c r="AX722" s="4"/>
      <c r="AY722" s="4"/>
      <c r="AZ722" s="4"/>
      <c r="BA722" s="4"/>
      <c r="BB722" s="4"/>
      <c r="BC722" s="4"/>
      <c r="BD722" s="4"/>
      <c r="BE722" s="4"/>
      <c r="BF722" s="4"/>
      <c r="BG722" s="4"/>
      <c r="BH722" s="4"/>
      <c r="BI722" s="4"/>
      <c r="BJ722" s="4"/>
      <c r="BK722" s="4"/>
      <c r="BL722" s="4"/>
      <c r="BM722" s="4"/>
      <c r="BN722" s="4"/>
      <c r="BO722" s="4"/>
      <c r="BP722" s="4"/>
      <c r="BQ722" s="4"/>
      <c r="BR722" s="4"/>
      <c r="BS722" s="4"/>
      <c r="BT722" s="4"/>
      <c r="BU722" s="4"/>
      <c r="BV722" s="4"/>
      <c r="BW722" s="4"/>
      <c r="BX722" s="4"/>
      <c r="BY722" s="4"/>
      <c r="BZ722" s="4"/>
      <c r="CA722" s="4"/>
      <c r="CB722" s="4"/>
      <c r="CC722" s="4"/>
      <c r="CD722" s="4"/>
      <c r="CE722" s="4"/>
      <c r="CF722" s="4"/>
      <c r="CG722" s="4"/>
      <c r="CH722" s="4"/>
      <c r="CI722" s="4"/>
    </row>
    <row r="723" ht="14.25" customHeight="1" spans="1:87" x14ac:dyDescent="0.25">
      <c r="A723" s="4"/>
      <c r="B723" s="4"/>
      <c r="C723" s="4"/>
      <c r="D723" s="4"/>
      <c r="E723" s="4"/>
      <c r="F723" s="4"/>
      <c r="G723" s="4"/>
      <c r="H723" s="4"/>
      <c r="I723" s="4"/>
      <c r="J723" s="4"/>
      <c r="K723" s="242"/>
      <c r="L723" s="4"/>
      <c r="M723" s="4"/>
      <c r="N723" s="4"/>
      <c r="O723" s="4"/>
      <c r="P723" s="4"/>
      <c r="Q723" s="4"/>
      <c r="R723" s="4"/>
      <c r="S723" s="4"/>
      <c r="T723" s="4"/>
      <c r="U723" s="4"/>
      <c r="V723" s="4"/>
      <c r="W723" s="4"/>
      <c r="X723" s="4"/>
      <c r="Y723" s="4"/>
      <c r="Z723" s="4"/>
      <c r="AA723" s="4"/>
      <c r="AB723" s="4"/>
      <c r="AC723" s="4"/>
      <c r="AD723" s="4"/>
      <c r="AE723" s="4"/>
      <c r="AF723" s="4"/>
      <c r="AG723" s="4"/>
      <c r="AH723" s="4"/>
      <c r="AI723" s="4"/>
      <c r="AJ723" s="4"/>
      <c r="AK723" s="4"/>
      <c r="AL723" s="4"/>
      <c r="AM723" s="4"/>
      <c r="AN723" s="4"/>
      <c r="AO723" s="4"/>
      <c r="AP723" s="4"/>
      <c r="AQ723" s="4"/>
      <c r="AR723" s="4"/>
      <c r="AS723" s="4"/>
      <c r="AT723" s="4"/>
      <c r="AU723" s="4"/>
      <c r="AV723" s="4"/>
      <c r="AW723" s="4"/>
      <c r="AX723" s="4"/>
      <c r="AY723" s="4"/>
      <c r="AZ723" s="4"/>
      <c r="BA723" s="4"/>
      <c r="BB723" s="4"/>
      <c r="BC723" s="4"/>
      <c r="BD723" s="4"/>
      <c r="BE723" s="4"/>
      <c r="BF723" s="4"/>
      <c r="BG723" s="4"/>
      <c r="BH723" s="4"/>
      <c r="BI723" s="4"/>
      <c r="BJ723" s="4"/>
      <c r="BK723" s="4"/>
      <c r="BL723" s="4"/>
      <c r="BM723" s="4"/>
      <c r="BN723" s="4"/>
      <c r="BO723" s="4"/>
      <c r="BP723" s="4"/>
      <c r="BQ723" s="4"/>
      <c r="BR723" s="4"/>
      <c r="BS723" s="4"/>
      <c r="BT723" s="4"/>
      <c r="BU723" s="4"/>
      <c r="BV723" s="4"/>
      <c r="BW723" s="4"/>
      <c r="BX723" s="4"/>
      <c r="BY723" s="4"/>
      <c r="BZ723" s="4"/>
      <c r="CA723" s="4"/>
      <c r="CB723" s="4"/>
      <c r="CC723" s="4"/>
      <c r="CD723" s="4"/>
      <c r="CE723" s="4"/>
      <c r="CF723" s="4"/>
      <c r="CG723" s="4"/>
      <c r="CH723" s="4"/>
      <c r="CI723" s="4"/>
    </row>
    <row r="724" ht="14.25" customHeight="1" spans="1:87" x14ac:dyDescent="0.25">
      <c r="A724" s="4"/>
      <c r="B724" s="4"/>
      <c r="C724" s="4"/>
      <c r="D724" s="4"/>
      <c r="E724" s="4"/>
      <c r="F724" s="4"/>
      <c r="G724" s="4"/>
      <c r="H724" s="4"/>
      <c r="I724" s="4"/>
      <c r="J724" s="4"/>
      <c r="K724" s="242"/>
      <c r="L724" s="4"/>
      <c r="M724" s="4"/>
      <c r="N724" s="4"/>
      <c r="O724" s="4"/>
      <c r="P724" s="4"/>
      <c r="Q724" s="4"/>
      <c r="R724" s="4"/>
      <c r="S724" s="4"/>
      <c r="T724" s="4"/>
      <c r="U724" s="4"/>
      <c r="V724" s="4"/>
      <c r="W724" s="4"/>
      <c r="X724" s="4"/>
      <c r="Y724" s="4"/>
      <c r="Z724" s="4"/>
      <c r="AA724" s="4"/>
      <c r="AB724" s="4"/>
      <c r="AC724" s="4"/>
      <c r="AD724" s="4"/>
      <c r="AE724" s="4"/>
      <c r="AF724" s="4"/>
      <c r="AG724" s="4"/>
      <c r="AH724" s="4"/>
      <c r="AI724" s="4"/>
      <c r="AJ724" s="4"/>
      <c r="AK724" s="4"/>
      <c r="AL724" s="4"/>
      <c r="AM724" s="4"/>
      <c r="AN724" s="4"/>
      <c r="AO724" s="4"/>
      <c r="AP724" s="4"/>
      <c r="AQ724" s="4"/>
      <c r="AR724" s="4"/>
      <c r="AS724" s="4"/>
      <c r="AT724" s="4"/>
      <c r="AU724" s="4"/>
      <c r="AV724" s="4"/>
      <c r="AW724" s="4"/>
      <c r="AX724" s="4"/>
      <c r="AY724" s="4"/>
      <c r="AZ724" s="4"/>
      <c r="BA724" s="4"/>
      <c r="BB724" s="4"/>
      <c r="BC724" s="4"/>
      <c r="BD724" s="4"/>
      <c r="BE724" s="4"/>
      <c r="BF724" s="4"/>
      <c r="BG724" s="4"/>
      <c r="BH724" s="4"/>
      <c r="BI724" s="4"/>
      <c r="BJ724" s="4"/>
      <c r="BK724" s="4"/>
      <c r="BL724" s="4"/>
      <c r="BM724" s="4"/>
      <c r="BN724" s="4"/>
      <c r="BO724" s="4"/>
      <c r="BP724" s="4"/>
      <c r="BQ724" s="4"/>
      <c r="BR724" s="4"/>
      <c r="BS724" s="4"/>
      <c r="BT724" s="4"/>
      <c r="BU724" s="4"/>
      <c r="BV724" s="4"/>
      <c r="BW724" s="4"/>
      <c r="BX724" s="4"/>
      <c r="BY724" s="4"/>
      <c r="BZ724" s="4"/>
      <c r="CA724" s="4"/>
      <c r="CB724" s="4"/>
      <c r="CC724" s="4"/>
      <c r="CD724" s="4"/>
      <c r="CE724" s="4"/>
      <c r="CF724" s="4"/>
      <c r="CG724" s="4"/>
      <c r="CH724" s="4"/>
      <c r="CI724" s="4"/>
    </row>
    <row r="725" ht="14.25" customHeight="1" spans="1:87" x14ac:dyDescent="0.25">
      <c r="A725" s="4"/>
      <c r="B725" s="4"/>
      <c r="C725" s="4"/>
      <c r="D725" s="4"/>
      <c r="E725" s="4"/>
      <c r="F725" s="4"/>
      <c r="G725" s="4"/>
      <c r="H725" s="4"/>
      <c r="I725" s="4"/>
      <c r="J725" s="4"/>
      <c r="K725" s="242"/>
      <c r="L725" s="4"/>
      <c r="M725" s="4"/>
      <c r="N725" s="4"/>
      <c r="O725" s="4"/>
      <c r="P725" s="4"/>
      <c r="Q725" s="4"/>
      <c r="R725" s="4"/>
      <c r="S725" s="4"/>
      <c r="T725" s="4"/>
      <c r="U725" s="4"/>
      <c r="V725" s="4"/>
      <c r="W725" s="4"/>
      <c r="X725" s="4"/>
      <c r="Y725" s="4"/>
      <c r="Z725" s="4"/>
      <c r="AA725" s="4"/>
      <c r="AB725" s="4"/>
      <c r="AC725" s="4"/>
      <c r="AD725" s="4"/>
      <c r="AE725" s="4"/>
      <c r="AF725" s="4"/>
      <c r="AG725" s="4"/>
      <c r="AH725" s="4"/>
      <c r="AI725" s="4"/>
      <c r="AJ725" s="4"/>
      <c r="AK725" s="4"/>
      <c r="AL725" s="4"/>
      <c r="AM725" s="4"/>
      <c r="AN725" s="4"/>
      <c r="AO725" s="4"/>
      <c r="AP725" s="4"/>
      <c r="AQ725" s="4"/>
      <c r="AR725" s="4"/>
      <c r="AS725" s="4"/>
      <c r="AT725" s="4"/>
      <c r="AU725" s="4"/>
      <c r="AV725" s="4"/>
      <c r="AW725" s="4"/>
      <c r="AX725" s="4"/>
      <c r="AY725" s="4"/>
      <c r="AZ725" s="4"/>
      <c r="BA725" s="4"/>
      <c r="BB725" s="4"/>
      <c r="BC725" s="4"/>
      <c r="BD725" s="4"/>
      <c r="BE725" s="4"/>
      <c r="BF725" s="4"/>
      <c r="BG725" s="4"/>
      <c r="BH725" s="4"/>
      <c r="BI725" s="4"/>
      <c r="BJ725" s="4"/>
      <c r="BK725" s="4"/>
      <c r="BL725" s="4"/>
      <c r="BM725" s="4"/>
      <c r="BN725" s="4"/>
      <c r="BO725" s="4"/>
      <c r="BP725" s="4"/>
      <c r="BQ725" s="4"/>
      <c r="BR725" s="4"/>
      <c r="BS725" s="4"/>
      <c r="BT725" s="4"/>
      <c r="BU725" s="4"/>
      <c r="BV725" s="4"/>
      <c r="BW725" s="4"/>
      <c r="BX725" s="4"/>
      <c r="BY725" s="4"/>
      <c r="BZ725" s="4"/>
      <c r="CA725" s="4"/>
      <c r="CB725" s="4"/>
      <c r="CC725" s="4"/>
      <c r="CD725" s="4"/>
      <c r="CE725" s="4"/>
      <c r="CF725" s="4"/>
      <c r="CG725" s="4"/>
      <c r="CH725" s="4"/>
      <c r="CI725" s="4"/>
    </row>
    <row r="726" ht="14.25" customHeight="1" spans="1:87" x14ac:dyDescent="0.25">
      <c r="A726" s="4"/>
      <c r="B726" s="4"/>
      <c r="C726" s="4"/>
      <c r="D726" s="4"/>
      <c r="E726" s="4"/>
      <c r="F726" s="4"/>
      <c r="G726" s="4"/>
      <c r="H726" s="4"/>
      <c r="I726" s="4"/>
      <c r="J726" s="4"/>
      <c r="K726" s="242"/>
      <c r="L726" s="4"/>
      <c r="M726" s="4"/>
      <c r="N726" s="4"/>
      <c r="O726" s="4"/>
      <c r="P726" s="4"/>
      <c r="Q726" s="4"/>
      <c r="R726" s="4"/>
      <c r="S726" s="4"/>
      <c r="T726" s="4"/>
      <c r="U726" s="4"/>
      <c r="V726" s="4"/>
      <c r="W726" s="4"/>
      <c r="X726" s="4"/>
      <c r="Y726" s="4"/>
      <c r="Z726" s="4"/>
      <c r="AA726" s="4"/>
      <c r="AB726" s="4"/>
      <c r="AC726" s="4"/>
      <c r="AD726" s="4"/>
      <c r="AE726" s="4"/>
      <c r="AF726" s="4"/>
      <c r="AG726" s="4"/>
      <c r="AH726" s="4"/>
      <c r="AI726" s="4"/>
      <c r="AJ726" s="4"/>
      <c r="AK726" s="4"/>
      <c r="AL726" s="4"/>
      <c r="AM726" s="4"/>
      <c r="AN726" s="4"/>
      <c r="AO726" s="4"/>
      <c r="AP726" s="4"/>
      <c r="AQ726" s="4"/>
      <c r="AR726" s="4"/>
      <c r="AS726" s="4"/>
      <c r="AT726" s="4"/>
      <c r="AU726" s="4"/>
      <c r="AV726" s="4"/>
      <c r="AW726" s="4"/>
      <c r="AX726" s="4"/>
      <c r="AY726" s="4"/>
      <c r="AZ726" s="4"/>
      <c r="BA726" s="4"/>
      <c r="BB726" s="4"/>
      <c r="BC726" s="4"/>
      <c r="BD726" s="4"/>
      <c r="BE726" s="4"/>
      <c r="BF726" s="4"/>
      <c r="BG726" s="4"/>
      <c r="BH726" s="4"/>
      <c r="BI726" s="4"/>
      <c r="BJ726" s="4"/>
      <c r="BK726" s="4"/>
      <c r="BL726" s="4"/>
      <c r="BM726" s="4"/>
      <c r="BN726" s="4"/>
      <c r="BO726" s="4"/>
      <c r="BP726" s="4"/>
      <c r="BQ726" s="4"/>
      <c r="BR726" s="4"/>
      <c r="BS726" s="4"/>
      <c r="BT726" s="4"/>
      <c r="BU726" s="4"/>
      <c r="BV726" s="4"/>
      <c r="BW726" s="4"/>
      <c r="BX726" s="4"/>
      <c r="BY726" s="4"/>
      <c r="BZ726" s="4"/>
      <c r="CA726" s="4"/>
      <c r="CB726" s="4"/>
      <c r="CC726" s="4"/>
      <c r="CD726" s="4"/>
      <c r="CE726" s="4"/>
      <c r="CF726" s="4"/>
      <c r="CG726" s="4"/>
      <c r="CH726" s="4"/>
      <c r="CI726" s="4"/>
    </row>
    <row r="727" ht="14.25" customHeight="1" spans="1:87" x14ac:dyDescent="0.25">
      <c r="A727" s="4"/>
      <c r="B727" s="4"/>
      <c r="C727" s="4"/>
      <c r="D727" s="4"/>
      <c r="E727" s="4"/>
      <c r="F727" s="4"/>
      <c r="G727" s="4"/>
      <c r="H727" s="4"/>
      <c r="I727" s="4"/>
      <c r="J727" s="4"/>
      <c r="K727" s="242"/>
      <c r="L727" s="4"/>
      <c r="M727" s="4"/>
      <c r="N727" s="4"/>
      <c r="O727" s="4"/>
      <c r="P727" s="4"/>
      <c r="Q727" s="4"/>
      <c r="R727" s="4"/>
      <c r="S727" s="4"/>
      <c r="T727" s="4"/>
      <c r="U727" s="4"/>
      <c r="V727" s="4"/>
      <c r="W727" s="4"/>
      <c r="X727" s="4"/>
      <c r="Y727" s="4"/>
      <c r="Z727" s="4"/>
      <c r="AA727" s="4"/>
      <c r="AB727" s="4"/>
      <c r="AC727" s="4"/>
      <c r="AD727" s="4"/>
      <c r="AE727" s="4"/>
      <c r="AF727" s="4"/>
      <c r="AG727" s="4"/>
      <c r="AH727" s="4"/>
      <c r="AI727" s="4"/>
      <c r="AJ727" s="4"/>
      <c r="AK727" s="4"/>
      <c r="AL727" s="4"/>
      <c r="AM727" s="4"/>
      <c r="AN727" s="4"/>
      <c r="AO727" s="4"/>
      <c r="AP727" s="4"/>
      <c r="AQ727" s="4"/>
      <c r="AR727" s="4"/>
      <c r="AS727" s="4"/>
      <c r="AT727" s="4"/>
      <c r="AU727" s="4"/>
      <c r="AV727" s="4"/>
      <c r="AW727" s="4"/>
      <c r="AX727" s="4"/>
      <c r="AY727" s="4"/>
      <c r="AZ727" s="4"/>
      <c r="BA727" s="4"/>
      <c r="BB727" s="4"/>
      <c r="BC727" s="4"/>
      <c r="BD727" s="4"/>
      <c r="BE727" s="4"/>
      <c r="BF727" s="4"/>
      <c r="BG727" s="4"/>
      <c r="BH727" s="4"/>
      <c r="BI727" s="4"/>
      <c r="BJ727" s="4"/>
      <c r="BK727" s="4"/>
      <c r="BL727" s="4"/>
      <c r="BM727" s="4"/>
      <c r="BN727" s="4"/>
      <c r="BO727" s="4"/>
      <c r="BP727" s="4"/>
      <c r="BQ727" s="4"/>
      <c r="BR727" s="4"/>
      <c r="BS727" s="4"/>
      <c r="BT727" s="4"/>
      <c r="BU727" s="4"/>
      <c r="BV727" s="4"/>
      <c r="BW727" s="4"/>
      <c r="BX727" s="4"/>
      <c r="BY727" s="4"/>
      <c r="BZ727" s="4"/>
      <c r="CA727" s="4"/>
      <c r="CB727" s="4"/>
      <c r="CC727" s="4"/>
      <c r="CD727" s="4"/>
      <c r="CE727" s="4"/>
      <c r="CF727" s="4"/>
      <c r="CG727" s="4"/>
      <c r="CH727" s="4"/>
      <c r="CI727" s="4"/>
    </row>
    <row r="728" ht="14.25" customHeight="1" spans="1:87" x14ac:dyDescent="0.25">
      <c r="A728" s="4"/>
      <c r="B728" s="4"/>
      <c r="C728" s="4"/>
      <c r="D728" s="4"/>
      <c r="E728" s="4"/>
      <c r="F728" s="4"/>
      <c r="G728" s="4"/>
      <c r="H728" s="4"/>
      <c r="I728" s="4"/>
      <c r="J728" s="4"/>
      <c r="K728" s="242"/>
      <c r="L728" s="4"/>
      <c r="M728" s="4"/>
      <c r="N728" s="4"/>
      <c r="O728" s="4"/>
      <c r="P728" s="4"/>
      <c r="Q728" s="4"/>
      <c r="R728" s="4"/>
      <c r="S728" s="4"/>
      <c r="T728" s="4"/>
      <c r="U728" s="4"/>
      <c r="V728" s="4"/>
      <c r="W728" s="4"/>
      <c r="X728" s="4"/>
      <c r="Y728" s="4"/>
      <c r="Z728" s="4"/>
      <c r="AA728" s="4"/>
      <c r="AB728" s="4"/>
      <c r="AC728" s="4"/>
      <c r="AD728" s="4"/>
      <c r="AE728" s="4"/>
      <c r="AF728" s="4"/>
      <c r="AG728" s="4"/>
      <c r="AH728" s="4"/>
      <c r="AI728" s="4"/>
      <c r="AJ728" s="4"/>
      <c r="AK728" s="4"/>
      <c r="AL728" s="4"/>
      <c r="AM728" s="4"/>
      <c r="AN728" s="4"/>
      <c r="AO728" s="4"/>
      <c r="AP728" s="4"/>
      <c r="AQ728" s="4"/>
      <c r="AR728" s="4"/>
      <c r="AS728" s="4"/>
      <c r="AT728" s="4"/>
      <c r="AU728" s="4"/>
      <c r="AV728" s="4"/>
      <c r="AW728" s="4"/>
      <c r="AX728" s="4"/>
      <c r="AY728" s="4"/>
      <c r="AZ728" s="4"/>
      <c r="BA728" s="4"/>
      <c r="BB728" s="4"/>
      <c r="BC728" s="4"/>
      <c r="BD728" s="4"/>
      <c r="BE728" s="4"/>
      <c r="BF728" s="4"/>
      <c r="BG728" s="4"/>
      <c r="BH728" s="4"/>
      <c r="BI728" s="4"/>
      <c r="BJ728" s="4"/>
      <c r="BK728" s="4"/>
      <c r="BL728" s="4"/>
      <c r="BM728" s="4"/>
      <c r="BN728" s="4"/>
      <c r="BO728" s="4"/>
      <c r="BP728" s="4"/>
      <c r="BQ728" s="4"/>
      <c r="BR728" s="4"/>
      <c r="BS728" s="4"/>
      <c r="BT728" s="4"/>
      <c r="BU728" s="4"/>
      <c r="BV728" s="4"/>
      <c r="BW728" s="4"/>
      <c r="BX728" s="4"/>
      <c r="BY728" s="4"/>
      <c r="BZ728" s="4"/>
      <c r="CA728" s="4"/>
      <c r="CB728" s="4"/>
      <c r="CC728" s="4"/>
      <c r="CD728" s="4"/>
      <c r="CE728" s="4"/>
      <c r="CF728" s="4"/>
      <c r="CG728" s="4"/>
      <c r="CH728" s="4"/>
      <c r="CI728" s="4"/>
    </row>
    <row r="729" ht="14.25" customHeight="1" spans="1:87" x14ac:dyDescent="0.25">
      <c r="A729" s="4"/>
      <c r="B729" s="4"/>
      <c r="C729" s="4"/>
      <c r="D729" s="4"/>
      <c r="E729" s="4"/>
      <c r="F729" s="4"/>
      <c r="G729" s="4"/>
      <c r="H729" s="4"/>
      <c r="I729" s="4"/>
      <c r="J729" s="4"/>
      <c r="K729" s="242"/>
      <c r="L729" s="4"/>
      <c r="M729" s="4"/>
      <c r="N729" s="4"/>
      <c r="O729" s="4"/>
      <c r="P729" s="4"/>
      <c r="Q729" s="4"/>
      <c r="R729" s="4"/>
      <c r="S729" s="4"/>
      <c r="T729" s="4"/>
      <c r="U729" s="4"/>
      <c r="V729" s="4"/>
      <c r="W729" s="4"/>
      <c r="X729" s="4"/>
      <c r="Y729" s="4"/>
      <c r="Z729" s="4"/>
      <c r="AA729" s="4"/>
      <c r="AB729" s="4"/>
      <c r="AC729" s="4"/>
      <c r="AD729" s="4"/>
      <c r="AE729" s="4"/>
      <c r="AF729" s="4"/>
      <c r="AG729" s="4"/>
      <c r="AH729" s="4"/>
      <c r="AI729" s="4"/>
      <c r="AJ729" s="4"/>
      <c r="AK729" s="4"/>
      <c r="AL729" s="4"/>
      <c r="AM729" s="4"/>
      <c r="AN729" s="4"/>
      <c r="AO729" s="4"/>
      <c r="AP729" s="4"/>
      <c r="AQ729" s="4"/>
      <c r="AR729" s="4"/>
      <c r="AS729" s="4"/>
      <c r="AT729" s="4"/>
      <c r="AU729" s="4"/>
      <c r="AV729" s="4"/>
      <c r="AW729" s="4"/>
      <c r="AX729" s="4"/>
      <c r="AY729" s="4"/>
      <c r="AZ729" s="4"/>
      <c r="BA729" s="4"/>
      <c r="BB729" s="4"/>
      <c r="BC729" s="4"/>
      <c r="BD729" s="4"/>
      <c r="BE729" s="4"/>
      <c r="BF729" s="4"/>
      <c r="BG729" s="4"/>
      <c r="BH729" s="4"/>
      <c r="BI729" s="4"/>
      <c r="BJ729" s="4"/>
      <c r="BK729" s="4"/>
      <c r="BL729" s="4"/>
      <c r="BM729" s="4"/>
      <c r="BN729" s="4"/>
      <c r="BO729" s="4"/>
      <c r="BP729" s="4"/>
      <c r="BQ729" s="4"/>
      <c r="BR729" s="4"/>
      <c r="BS729" s="4"/>
      <c r="BT729" s="4"/>
      <c r="BU729" s="4"/>
      <c r="BV729" s="4"/>
      <c r="BW729" s="4"/>
      <c r="BX729" s="4"/>
      <c r="BY729" s="4"/>
      <c r="BZ729" s="4"/>
      <c r="CA729" s="4"/>
      <c r="CB729" s="4"/>
      <c r="CC729" s="4"/>
      <c r="CD729" s="4"/>
      <c r="CE729" s="4"/>
      <c r="CF729" s="4"/>
      <c r="CG729" s="4"/>
      <c r="CH729" s="4"/>
      <c r="CI729" s="4"/>
    </row>
    <row r="730" ht="14.25" customHeight="1" spans="1:87" x14ac:dyDescent="0.25">
      <c r="A730" s="4"/>
      <c r="B730" s="4"/>
      <c r="C730" s="4"/>
      <c r="D730" s="4"/>
      <c r="E730" s="4"/>
      <c r="F730" s="4"/>
      <c r="G730" s="4"/>
      <c r="H730" s="4"/>
      <c r="I730" s="4"/>
      <c r="J730" s="4"/>
      <c r="K730" s="242"/>
      <c r="L730" s="4"/>
      <c r="M730" s="4"/>
      <c r="N730" s="4"/>
      <c r="O730" s="4"/>
      <c r="P730" s="4"/>
      <c r="Q730" s="4"/>
      <c r="R730" s="4"/>
      <c r="S730" s="4"/>
      <c r="T730" s="4"/>
      <c r="U730" s="4"/>
      <c r="V730" s="4"/>
      <c r="W730" s="4"/>
      <c r="X730" s="4"/>
      <c r="Y730" s="4"/>
      <c r="Z730" s="4"/>
      <c r="AA730" s="4"/>
      <c r="AB730" s="4"/>
      <c r="AC730" s="4"/>
      <c r="AD730" s="4"/>
      <c r="AE730" s="4"/>
      <c r="AF730" s="4"/>
      <c r="AG730" s="4"/>
      <c r="AH730" s="4"/>
      <c r="AI730" s="4"/>
      <c r="AJ730" s="4"/>
      <c r="AK730" s="4"/>
      <c r="AL730" s="4"/>
      <c r="AM730" s="4"/>
      <c r="AN730" s="4"/>
      <c r="AO730" s="4"/>
      <c r="AP730" s="4"/>
      <c r="AQ730" s="4"/>
      <c r="AR730" s="4"/>
      <c r="AS730" s="4"/>
      <c r="AT730" s="4"/>
      <c r="AU730" s="4"/>
      <c r="AV730" s="4"/>
      <c r="AW730" s="4"/>
      <c r="AX730" s="4"/>
      <c r="AY730" s="4"/>
      <c r="AZ730" s="4"/>
      <c r="BA730" s="4"/>
      <c r="BB730" s="4"/>
      <c r="BC730" s="4"/>
      <c r="BD730" s="4"/>
      <c r="BE730" s="4"/>
      <c r="BF730" s="4"/>
      <c r="BG730" s="4"/>
      <c r="BH730" s="4"/>
      <c r="BI730" s="4"/>
      <c r="BJ730" s="4"/>
      <c r="BK730" s="4"/>
      <c r="BL730" s="4"/>
      <c r="BM730" s="4"/>
      <c r="BN730" s="4"/>
      <c r="BO730" s="4"/>
      <c r="BP730" s="4"/>
      <c r="BQ730" s="4"/>
      <c r="BR730" s="4"/>
      <c r="BS730" s="4"/>
      <c r="BT730" s="4"/>
      <c r="BU730" s="4"/>
      <c r="BV730" s="4"/>
      <c r="BW730" s="4"/>
      <c r="BX730" s="4"/>
      <c r="BY730" s="4"/>
      <c r="BZ730" s="4"/>
      <c r="CA730" s="4"/>
      <c r="CB730" s="4"/>
      <c r="CC730" s="4"/>
      <c r="CD730" s="4"/>
      <c r="CE730" s="4"/>
      <c r="CF730" s="4"/>
      <c r="CG730" s="4"/>
      <c r="CH730" s="4"/>
      <c r="CI730" s="4"/>
    </row>
    <row r="731" ht="14.25" customHeight="1" spans="1:87" x14ac:dyDescent="0.25">
      <c r="A731" s="4"/>
      <c r="B731" s="4"/>
      <c r="C731" s="4"/>
      <c r="D731" s="4"/>
      <c r="E731" s="4"/>
      <c r="F731" s="4"/>
      <c r="G731" s="4"/>
      <c r="H731" s="4"/>
      <c r="I731" s="4"/>
      <c r="J731" s="4"/>
      <c r="K731" s="242"/>
      <c r="L731" s="4"/>
      <c r="M731" s="4"/>
      <c r="N731" s="4"/>
      <c r="O731" s="4"/>
      <c r="P731" s="4"/>
      <c r="Q731" s="4"/>
      <c r="R731" s="4"/>
      <c r="S731" s="4"/>
      <c r="T731" s="4"/>
      <c r="U731" s="4"/>
      <c r="V731" s="4"/>
      <c r="W731" s="4"/>
      <c r="X731" s="4"/>
      <c r="Y731" s="4"/>
      <c r="Z731" s="4"/>
      <c r="AA731" s="4"/>
      <c r="AB731" s="4"/>
      <c r="AC731" s="4"/>
      <c r="AD731" s="4"/>
      <c r="AE731" s="4"/>
      <c r="AF731" s="4"/>
      <c r="AG731" s="4"/>
      <c r="AH731" s="4"/>
      <c r="AI731" s="4"/>
      <c r="AJ731" s="4"/>
      <c r="AK731" s="4"/>
      <c r="AL731" s="4"/>
      <c r="AM731" s="4"/>
      <c r="AN731" s="4"/>
      <c r="AO731" s="4"/>
      <c r="AP731" s="4"/>
      <c r="AQ731" s="4"/>
      <c r="AR731" s="4"/>
      <c r="AS731" s="4"/>
      <c r="AT731" s="4"/>
      <c r="AU731" s="4"/>
      <c r="AV731" s="4"/>
      <c r="AW731" s="4"/>
      <c r="AX731" s="4"/>
      <c r="AY731" s="4"/>
      <c r="AZ731" s="4"/>
      <c r="BA731" s="4"/>
      <c r="BB731" s="4"/>
      <c r="BC731" s="4"/>
      <c r="BD731" s="4"/>
      <c r="BE731" s="4"/>
      <c r="BF731" s="4"/>
      <c r="BG731" s="4"/>
      <c r="BH731" s="4"/>
      <c r="BI731" s="4"/>
      <c r="BJ731" s="4"/>
      <c r="BK731" s="4"/>
      <c r="BL731" s="4"/>
      <c r="BM731" s="4"/>
      <c r="BN731" s="4"/>
      <c r="BO731" s="4"/>
      <c r="BP731" s="4"/>
      <c r="BQ731" s="4"/>
      <c r="BR731" s="4"/>
      <c r="BS731" s="4"/>
      <c r="BT731" s="4"/>
      <c r="BU731" s="4"/>
      <c r="BV731" s="4"/>
      <c r="BW731" s="4"/>
      <c r="BX731" s="4"/>
      <c r="BY731" s="4"/>
      <c r="BZ731" s="4"/>
      <c r="CA731" s="4"/>
      <c r="CB731" s="4"/>
      <c r="CC731" s="4"/>
      <c r="CD731" s="4"/>
      <c r="CE731" s="4"/>
      <c r="CF731" s="4"/>
      <c r="CG731" s="4"/>
      <c r="CH731" s="4"/>
      <c r="CI731" s="4"/>
    </row>
    <row r="732" ht="14.25" customHeight="1" spans="1:87" x14ac:dyDescent="0.25">
      <c r="A732" s="4"/>
      <c r="B732" s="4"/>
      <c r="C732" s="4"/>
      <c r="D732" s="4"/>
      <c r="E732" s="4"/>
      <c r="F732" s="4"/>
      <c r="G732" s="4"/>
      <c r="H732" s="4"/>
      <c r="I732" s="4"/>
      <c r="J732" s="4"/>
      <c r="K732" s="242"/>
      <c r="L732" s="4"/>
      <c r="M732" s="4"/>
      <c r="N732" s="4"/>
      <c r="O732" s="4"/>
      <c r="P732" s="4"/>
      <c r="Q732" s="4"/>
      <c r="R732" s="4"/>
      <c r="S732" s="4"/>
      <c r="T732" s="4"/>
      <c r="U732" s="4"/>
      <c r="V732" s="4"/>
      <c r="W732" s="4"/>
      <c r="X732" s="4"/>
      <c r="Y732" s="4"/>
      <c r="Z732" s="4"/>
      <c r="AA732" s="4"/>
      <c r="AB732" s="4"/>
      <c r="AC732" s="4"/>
      <c r="AD732" s="4"/>
      <c r="AE732" s="4"/>
      <c r="AF732" s="4"/>
      <c r="AG732" s="4"/>
      <c r="AH732" s="4"/>
      <c r="AI732" s="4"/>
      <c r="AJ732" s="4"/>
      <c r="AK732" s="4"/>
      <c r="AL732" s="4"/>
      <c r="AM732" s="4"/>
      <c r="AN732" s="4"/>
      <c r="AO732" s="4"/>
      <c r="AP732" s="4"/>
      <c r="AQ732" s="4"/>
      <c r="AR732" s="4"/>
      <c r="AS732" s="4"/>
      <c r="AT732" s="4"/>
      <c r="AU732" s="4"/>
      <c r="AV732" s="4"/>
      <c r="AW732" s="4"/>
      <c r="AX732" s="4"/>
      <c r="AY732" s="4"/>
      <c r="AZ732" s="4"/>
      <c r="BA732" s="4"/>
      <c r="BB732" s="4"/>
      <c r="BC732" s="4"/>
      <c r="BD732" s="4"/>
      <c r="BE732" s="4"/>
      <c r="BF732" s="4"/>
      <c r="BG732" s="4"/>
      <c r="BH732" s="4"/>
      <c r="BI732" s="4"/>
      <c r="BJ732" s="4"/>
      <c r="BK732" s="4"/>
      <c r="BL732" s="4"/>
      <c r="BM732" s="4"/>
      <c r="BN732" s="4"/>
      <c r="BO732" s="4"/>
      <c r="BP732" s="4"/>
      <c r="BQ732" s="4"/>
      <c r="BR732" s="4"/>
      <c r="BS732" s="4"/>
      <c r="BT732" s="4"/>
      <c r="BU732" s="4"/>
      <c r="BV732" s="4"/>
      <c r="BW732" s="4"/>
      <c r="BX732" s="4"/>
      <c r="BY732" s="4"/>
      <c r="BZ732" s="4"/>
      <c r="CA732" s="4"/>
      <c r="CB732" s="4"/>
      <c r="CC732" s="4"/>
      <c r="CD732" s="4"/>
      <c r="CE732" s="4"/>
      <c r="CF732" s="4"/>
      <c r="CG732" s="4"/>
      <c r="CH732" s="4"/>
      <c r="CI732" s="4"/>
    </row>
    <row r="733" ht="14.25" customHeight="1" spans="1:87" x14ac:dyDescent="0.25">
      <c r="A733" s="4"/>
      <c r="B733" s="4"/>
      <c r="C733" s="4"/>
      <c r="D733" s="4"/>
      <c r="E733" s="4"/>
      <c r="F733" s="4"/>
      <c r="G733" s="4"/>
      <c r="H733" s="4"/>
      <c r="I733" s="4"/>
      <c r="J733" s="4"/>
      <c r="K733" s="242"/>
      <c r="L733" s="4"/>
      <c r="M733" s="4"/>
      <c r="N733" s="4"/>
      <c r="O733" s="4"/>
      <c r="P733" s="4"/>
      <c r="Q733" s="4"/>
      <c r="R733" s="4"/>
      <c r="S733" s="4"/>
      <c r="T733" s="4"/>
      <c r="U733" s="4"/>
      <c r="V733" s="4"/>
      <c r="W733" s="4"/>
      <c r="X733" s="4"/>
      <c r="Y733" s="4"/>
      <c r="Z733" s="4"/>
      <c r="AA733" s="4"/>
      <c r="AB733" s="4"/>
      <c r="AC733" s="4"/>
      <c r="AD733" s="4"/>
      <c r="AE733" s="4"/>
      <c r="AF733" s="4"/>
      <c r="AG733" s="4"/>
      <c r="AH733" s="4"/>
      <c r="AI733" s="4"/>
      <c r="AJ733" s="4"/>
      <c r="AK733" s="4"/>
      <c r="AL733" s="4"/>
      <c r="AM733" s="4"/>
      <c r="AN733" s="4"/>
      <c r="AO733" s="4"/>
      <c r="AP733" s="4"/>
      <c r="AQ733" s="4"/>
      <c r="AR733" s="4"/>
      <c r="AS733" s="4"/>
      <c r="AT733" s="4"/>
      <c r="AU733" s="4"/>
      <c r="AV733" s="4"/>
      <c r="AW733" s="4"/>
      <c r="AX733" s="4"/>
      <c r="AY733" s="4"/>
      <c r="AZ733" s="4"/>
      <c r="BA733" s="4"/>
      <c r="BB733" s="4"/>
      <c r="BC733" s="4"/>
      <c r="BD733" s="4"/>
      <c r="BE733" s="4"/>
      <c r="BF733" s="4"/>
      <c r="BG733" s="4"/>
      <c r="BH733" s="4"/>
      <c r="BI733" s="4"/>
      <c r="BJ733" s="4"/>
      <c r="BK733" s="4"/>
      <c r="BL733" s="4"/>
      <c r="BM733" s="4"/>
      <c r="BN733" s="4"/>
      <c r="BO733" s="4"/>
      <c r="BP733" s="4"/>
      <c r="BQ733" s="4"/>
      <c r="BR733" s="4"/>
      <c r="BS733" s="4"/>
      <c r="BT733" s="4"/>
      <c r="BU733" s="4"/>
      <c r="BV733" s="4"/>
      <c r="BW733" s="4"/>
      <c r="BX733" s="4"/>
      <c r="BY733" s="4"/>
      <c r="BZ733" s="4"/>
      <c r="CA733" s="4"/>
      <c r="CB733" s="4"/>
      <c r="CC733" s="4"/>
      <c r="CD733" s="4"/>
      <c r="CE733" s="4"/>
      <c r="CF733" s="4"/>
      <c r="CG733" s="4"/>
      <c r="CH733" s="4"/>
      <c r="CI733" s="4"/>
    </row>
    <row r="734" ht="14.25" customHeight="1" spans="1:87" x14ac:dyDescent="0.25">
      <c r="A734" s="4"/>
      <c r="B734" s="4"/>
      <c r="C734" s="4"/>
      <c r="D734" s="4"/>
      <c r="E734" s="4"/>
      <c r="F734" s="4"/>
      <c r="G734" s="4"/>
      <c r="H734" s="4"/>
      <c r="I734" s="4"/>
      <c r="J734" s="4"/>
      <c r="K734" s="242"/>
      <c r="L734" s="4"/>
      <c r="M734" s="4"/>
      <c r="N734" s="4"/>
      <c r="O734" s="4"/>
      <c r="P734" s="4"/>
      <c r="Q734" s="4"/>
      <c r="R734" s="4"/>
      <c r="S734" s="4"/>
      <c r="T734" s="4"/>
      <c r="U734" s="4"/>
      <c r="V734" s="4"/>
      <c r="W734" s="4"/>
      <c r="X734" s="4"/>
      <c r="Y734" s="4"/>
      <c r="Z734" s="4"/>
      <c r="AA734" s="4"/>
      <c r="AB734" s="4"/>
      <c r="AC734" s="4"/>
      <c r="AD734" s="4"/>
      <c r="AE734" s="4"/>
      <c r="AF734" s="4"/>
      <c r="AG734" s="4"/>
      <c r="AH734" s="4"/>
      <c r="AI734" s="4"/>
      <c r="AJ734" s="4"/>
      <c r="AK734" s="4"/>
      <c r="AL734" s="4"/>
      <c r="AM734" s="4"/>
      <c r="AN734" s="4"/>
      <c r="AO734" s="4"/>
      <c r="AP734" s="4"/>
      <c r="AQ734" s="4"/>
      <c r="AR734" s="4"/>
      <c r="AS734" s="4"/>
      <c r="AT734" s="4"/>
      <c r="AU734" s="4"/>
      <c r="AV734" s="4"/>
      <c r="AW734" s="4"/>
      <c r="AX734" s="4"/>
      <c r="AY734" s="4"/>
      <c r="AZ734" s="4"/>
      <c r="BA734" s="4"/>
      <c r="BB734" s="4"/>
      <c r="BC734" s="4"/>
      <c r="BD734" s="4"/>
      <c r="BE734" s="4"/>
      <c r="BF734" s="4"/>
      <c r="BG734" s="4"/>
      <c r="BH734" s="4"/>
      <c r="BI734" s="4"/>
      <c r="BJ734" s="4"/>
      <c r="BK734" s="4"/>
      <c r="BL734" s="4"/>
      <c r="BM734" s="4"/>
      <c r="BN734" s="4"/>
      <c r="BO734" s="4"/>
      <c r="BP734" s="4"/>
      <c r="BQ734" s="4"/>
      <c r="BR734" s="4"/>
      <c r="BS734" s="4"/>
      <c r="BT734" s="4"/>
      <c r="BU734" s="4"/>
      <c r="BV734" s="4"/>
      <c r="BW734" s="4"/>
      <c r="BX734" s="4"/>
      <c r="BY734" s="4"/>
      <c r="BZ734" s="4"/>
      <c r="CA734" s="4"/>
      <c r="CB734" s="4"/>
      <c r="CC734" s="4"/>
      <c r="CD734" s="4"/>
      <c r="CE734" s="4"/>
      <c r="CF734" s="4"/>
      <c r="CG734" s="4"/>
      <c r="CH734" s="4"/>
      <c r="CI734" s="4"/>
    </row>
    <row r="735" ht="14.25" customHeight="1" spans="1:87" x14ac:dyDescent="0.25">
      <c r="A735" s="4"/>
      <c r="B735" s="4"/>
      <c r="C735" s="4"/>
      <c r="D735" s="4"/>
      <c r="E735" s="4"/>
      <c r="F735" s="4"/>
      <c r="G735" s="4"/>
      <c r="H735" s="4"/>
      <c r="I735" s="4"/>
      <c r="J735" s="4"/>
      <c r="K735" s="242"/>
      <c r="L735" s="4"/>
      <c r="M735" s="4"/>
      <c r="N735" s="4"/>
      <c r="O735" s="4"/>
      <c r="P735" s="4"/>
      <c r="Q735" s="4"/>
      <c r="R735" s="4"/>
      <c r="S735" s="4"/>
      <c r="T735" s="4"/>
      <c r="U735" s="4"/>
      <c r="V735" s="4"/>
      <c r="W735" s="4"/>
      <c r="X735" s="4"/>
      <c r="Y735" s="4"/>
      <c r="Z735" s="4"/>
      <c r="AA735" s="4"/>
      <c r="AB735" s="4"/>
      <c r="AC735" s="4"/>
      <c r="AD735" s="4"/>
      <c r="AE735" s="4"/>
      <c r="AF735" s="4"/>
      <c r="AG735" s="4"/>
      <c r="AH735" s="4"/>
      <c r="AI735" s="4"/>
      <c r="AJ735" s="4"/>
      <c r="AK735" s="4"/>
      <c r="AL735" s="4"/>
      <c r="AM735" s="4"/>
      <c r="AN735" s="4"/>
      <c r="AO735" s="4"/>
      <c r="AP735" s="4"/>
      <c r="AQ735" s="4"/>
      <c r="AR735" s="4"/>
      <c r="AS735" s="4"/>
      <c r="AT735" s="4"/>
      <c r="AU735" s="4"/>
      <c r="AV735" s="4"/>
      <c r="AW735" s="4"/>
      <c r="AX735" s="4"/>
      <c r="AY735" s="4"/>
      <c r="AZ735" s="4"/>
      <c r="BA735" s="4"/>
      <c r="BB735" s="4"/>
      <c r="BC735" s="4"/>
      <c r="BD735" s="4"/>
      <c r="BE735" s="4"/>
      <c r="BF735" s="4"/>
      <c r="BG735" s="4"/>
      <c r="BH735" s="4"/>
      <c r="BI735" s="4"/>
      <c r="BJ735" s="4"/>
      <c r="BK735" s="4"/>
      <c r="BL735" s="4"/>
      <c r="BM735" s="4"/>
      <c r="BN735" s="4"/>
      <c r="BO735" s="4"/>
      <c r="BP735" s="4"/>
      <c r="BQ735" s="4"/>
      <c r="BR735" s="4"/>
      <c r="BS735" s="4"/>
      <c r="BT735" s="4"/>
      <c r="BU735" s="4"/>
      <c r="BV735" s="4"/>
      <c r="BW735" s="4"/>
      <c r="BX735" s="4"/>
      <c r="BY735" s="4"/>
      <c r="BZ735" s="4"/>
      <c r="CA735" s="4"/>
      <c r="CB735" s="4"/>
      <c r="CC735" s="4"/>
      <c r="CD735" s="4"/>
      <c r="CE735" s="4"/>
      <c r="CF735" s="4"/>
      <c r="CG735" s="4"/>
      <c r="CH735" s="4"/>
      <c r="CI735" s="4"/>
    </row>
    <row r="736" ht="14.25" customHeight="1" spans="1:87" x14ac:dyDescent="0.25">
      <c r="A736" s="4"/>
      <c r="B736" s="4"/>
      <c r="C736" s="4"/>
      <c r="D736" s="4"/>
      <c r="E736" s="4"/>
      <c r="F736" s="4"/>
      <c r="G736" s="4"/>
      <c r="H736" s="4"/>
      <c r="I736" s="4"/>
      <c r="J736" s="4"/>
      <c r="K736" s="242"/>
      <c r="L736" s="4"/>
      <c r="M736" s="4"/>
      <c r="N736" s="4"/>
      <c r="O736" s="4"/>
      <c r="P736" s="4"/>
      <c r="Q736" s="4"/>
      <c r="R736" s="4"/>
      <c r="S736" s="4"/>
      <c r="T736" s="4"/>
      <c r="U736" s="4"/>
      <c r="V736" s="4"/>
      <c r="W736" s="4"/>
      <c r="X736" s="4"/>
      <c r="Y736" s="4"/>
      <c r="Z736" s="4"/>
      <c r="AA736" s="4"/>
      <c r="AB736" s="4"/>
      <c r="AC736" s="4"/>
      <c r="AD736" s="4"/>
      <c r="AE736" s="4"/>
      <c r="AF736" s="4"/>
      <c r="AG736" s="4"/>
      <c r="AH736" s="4"/>
      <c r="AI736" s="4"/>
      <c r="AJ736" s="4"/>
      <c r="AK736" s="4"/>
      <c r="AL736" s="4"/>
      <c r="AM736" s="4"/>
      <c r="AN736" s="4"/>
      <c r="AO736" s="4"/>
      <c r="AP736" s="4"/>
      <c r="AQ736" s="4"/>
      <c r="AR736" s="4"/>
      <c r="AS736" s="4"/>
      <c r="AT736" s="4"/>
      <c r="AU736" s="4"/>
      <c r="AV736" s="4"/>
      <c r="AW736" s="4"/>
      <c r="AX736" s="4"/>
      <c r="AY736" s="4"/>
      <c r="AZ736" s="4"/>
      <c r="BA736" s="4"/>
      <c r="BB736" s="4"/>
      <c r="BC736" s="4"/>
      <c r="BD736" s="4"/>
      <c r="BE736" s="4"/>
      <c r="BF736" s="4"/>
      <c r="BG736" s="4"/>
      <c r="BH736" s="4"/>
      <c r="BI736" s="4"/>
      <c r="BJ736" s="4"/>
      <c r="BK736" s="4"/>
      <c r="BL736" s="4"/>
      <c r="BM736" s="4"/>
      <c r="BN736" s="4"/>
      <c r="BO736" s="4"/>
      <c r="BP736" s="4"/>
      <c r="BQ736" s="4"/>
      <c r="BR736" s="4"/>
      <c r="BS736" s="4"/>
      <c r="BT736" s="4"/>
      <c r="BU736" s="4"/>
      <c r="BV736" s="4"/>
      <c r="BW736" s="4"/>
      <c r="BX736" s="4"/>
      <c r="BY736" s="4"/>
      <c r="BZ736" s="4"/>
      <c r="CA736" s="4"/>
      <c r="CB736" s="4"/>
      <c r="CC736" s="4"/>
      <c r="CD736" s="4"/>
      <c r="CE736" s="4"/>
      <c r="CF736" s="4"/>
      <c r="CG736" s="4"/>
      <c r="CH736" s="4"/>
      <c r="CI736" s="4"/>
    </row>
    <row r="737" ht="14.25" customHeight="1" spans="1:87" x14ac:dyDescent="0.25">
      <c r="A737" s="4"/>
      <c r="B737" s="4"/>
      <c r="C737" s="4"/>
      <c r="D737" s="4"/>
      <c r="E737" s="4"/>
      <c r="F737" s="4"/>
      <c r="G737" s="4"/>
      <c r="H737" s="4"/>
      <c r="I737" s="4"/>
      <c r="J737" s="4"/>
      <c r="K737" s="242"/>
      <c r="L737" s="4"/>
      <c r="M737" s="4"/>
      <c r="N737" s="4"/>
      <c r="O737" s="4"/>
      <c r="P737" s="4"/>
      <c r="Q737" s="4"/>
      <c r="R737" s="4"/>
      <c r="S737" s="4"/>
      <c r="T737" s="4"/>
      <c r="U737" s="4"/>
      <c r="V737" s="4"/>
      <c r="W737" s="4"/>
      <c r="X737" s="4"/>
      <c r="Y737" s="4"/>
      <c r="Z737" s="4"/>
      <c r="AA737" s="4"/>
      <c r="AB737" s="4"/>
      <c r="AC737" s="4"/>
      <c r="AD737" s="4"/>
      <c r="AE737" s="4"/>
      <c r="AF737" s="4"/>
      <c r="AG737" s="4"/>
      <c r="AH737" s="4"/>
      <c r="AI737" s="4"/>
      <c r="AJ737" s="4"/>
      <c r="AK737" s="4"/>
      <c r="AL737" s="4"/>
      <c r="AM737" s="4"/>
      <c r="AN737" s="4"/>
      <c r="AO737" s="4"/>
      <c r="AP737" s="4"/>
      <c r="AQ737" s="4"/>
      <c r="AR737" s="4"/>
      <c r="AS737" s="4"/>
      <c r="AT737" s="4"/>
      <c r="AU737" s="4"/>
      <c r="AV737" s="4"/>
      <c r="AW737" s="4"/>
      <c r="AX737" s="4"/>
      <c r="AY737" s="4"/>
      <c r="AZ737" s="4"/>
      <c r="BA737" s="4"/>
      <c r="BB737" s="4"/>
      <c r="BC737" s="4"/>
      <c r="BD737" s="4"/>
      <c r="BE737" s="4"/>
      <c r="BF737" s="4"/>
      <c r="BG737" s="4"/>
      <c r="BH737" s="4"/>
      <c r="BI737" s="4"/>
      <c r="BJ737" s="4"/>
      <c r="BK737" s="4"/>
      <c r="BL737" s="4"/>
      <c r="BM737" s="4"/>
      <c r="BN737" s="4"/>
      <c r="BO737" s="4"/>
      <c r="BP737" s="4"/>
      <c r="BQ737" s="4"/>
      <c r="BR737" s="4"/>
      <c r="BS737" s="4"/>
      <c r="BT737" s="4"/>
      <c r="BU737" s="4"/>
      <c r="BV737" s="4"/>
      <c r="BW737" s="4"/>
      <c r="BX737" s="4"/>
      <c r="BY737" s="4"/>
      <c r="BZ737" s="4"/>
      <c r="CA737" s="4"/>
      <c r="CB737" s="4"/>
      <c r="CC737" s="4"/>
      <c r="CD737" s="4"/>
      <c r="CE737" s="4"/>
      <c r="CF737" s="4"/>
      <c r="CG737" s="4"/>
      <c r="CH737" s="4"/>
      <c r="CI737" s="4"/>
    </row>
    <row r="738" ht="14.25" customHeight="1" spans="1:87" x14ac:dyDescent="0.25">
      <c r="A738" s="4"/>
      <c r="B738" s="4"/>
      <c r="C738" s="4"/>
      <c r="D738" s="4"/>
      <c r="E738" s="4"/>
      <c r="F738" s="4"/>
      <c r="G738" s="4"/>
      <c r="H738" s="4"/>
      <c r="I738" s="4"/>
      <c r="J738" s="4"/>
      <c r="K738" s="242"/>
      <c r="L738" s="4"/>
      <c r="M738" s="4"/>
      <c r="N738" s="4"/>
      <c r="O738" s="4"/>
      <c r="P738" s="4"/>
      <c r="Q738" s="4"/>
      <c r="R738" s="4"/>
      <c r="S738" s="4"/>
      <c r="T738" s="4"/>
      <c r="U738" s="4"/>
      <c r="V738" s="4"/>
      <c r="W738" s="4"/>
      <c r="X738" s="4"/>
      <c r="Y738" s="4"/>
      <c r="Z738" s="4"/>
      <c r="AA738" s="4"/>
      <c r="AB738" s="4"/>
      <c r="AC738" s="4"/>
      <c r="AD738" s="4"/>
      <c r="AE738" s="4"/>
      <c r="AF738" s="4"/>
      <c r="AG738" s="4"/>
      <c r="AH738" s="4"/>
      <c r="AI738" s="4"/>
      <c r="AJ738" s="4"/>
      <c r="AK738" s="4"/>
      <c r="AL738" s="4"/>
      <c r="AM738" s="4"/>
      <c r="AN738" s="4"/>
      <c r="AO738" s="4"/>
      <c r="AP738" s="4"/>
      <c r="AQ738" s="4"/>
      <c r="AR738" s="4"/>
      <c r="AS738" s="4"/>
      <c r="AT738" s="4"/>
      <c r="AU738" s="4"/>
      <c r="AV738" s="4"/>
      <c r="AW738" s="4"/>
      <c r="AX738" s="4"/>
      <c r="AY738" s="4"/>
      <c r="AZ738" s="4"/>
      <c r="BA738" s="4"/>
      <c r="BB738" s="4"/>
      <c r="BC738" s="4"/>
      <c r="BD738" s="4"/>
      <c r="BE738" s="4"/>
      <c r="BF738" s="4"/>
      <c r="BG738" s="4"/>
      <c r="BH738" s="4"/>
      <c r="BI738" s="4"/>
      <c r="BJ738" s="4"/>
      <c r="BK738" s="4"/>
      <c r="BL738" s="4"/>
      <c r="BM738" s="4"/>
      <c r="BN738" s="4"/>
      <c r="BO738" s="4"/>
      <c r="BP738" s="4"/>
      <c r="BQ738" s="4"/>
      <c r="BR738" s="4"/>
      <c r="BS738" s="4"/>
      <c r="BT738" s="4"/>
      <c r="BU738" s="4"/>
      <c r="BV738" s="4"/>
      <c r="BW738" s="4"/>
      <c r="BX738" s="4"/>
      <c r="BY738" s="4"/>
      <c r="BZ738" s="4"/>
      <c r="CA738" s="4"/>
      <c r="CB738" s="4"/>
      <c r="CC738" s="4"/>
      <c r="CD738" s="4"/>
      <c r="CE738" s="4"/>
      <c r="CF738" s="4"/>
      <c r="CG738" s="4"/>
      <c r="CH738" s="4"/>
      <c r="CI738" s="4"/>
    </row>
    <row r="739" ht="14.25" customHeight="1" spans="1:87" x14ac:dyDescent="0.25">
      <c r="A739" s="4"/>
      <c r="B739" s="4"/>
      <c r="C739" s="4"/>
      <c r="D739" s="4"/>
      <c r="E739" s="4"/>
      <c r="F739" s="4"/>
      <c r="G739" s="4"/>
      <c r="H739" s="4"/>
      <c r="I739" s="4"/>
      <c r="J739" s="4"/>
      <c r="K739" s="242"/>
      <c r="L739" s="4"/>
      <c r="M739" s="4"/>
      <c r="N739" s="4"/>
      <c r="O739" s="4"/>
      <c r="P739" s="4"/>
      <c r="Q739" s="4"/>
      <c r="R739" s="4"/>
      <c r="S739" s="4"/>
      <c r="T739" s="4"/>
      <c r="U739" s="4"/>
      <c r="V739" s="4"/>
      <c r="W739" s="4"/>
      <c r="X739" s="4"/>
      <c r="Y739" s="4"/>
      <c r="Z739" s="4"/>
      <c r="AA739" s="4"/>
      <c r="AB739" s="4"/>
      <c r="AC739" s="4"/>
      <c r="AD739" s="4"/>
      <c r="AE739" s="4"/>
      <c r="AF739" s="4"/>
      <c r="AG739" s="4"/>
      <c r="AH739" s="4"/>
      <c r="AI739" s="4"/>
      <c r="AJ739" s="4"/>
      <c r="AK739" s="4"/>
      <c r="AL739" s="4"/>
      <c r="AM739" s="4"/>
      <c r="AN739" s="4"/>
      <c r="AO739" s="4"/>
      <c r="AP739" s="4"/>
      <c r="AQ739" s="4"/>
      <c r="AR739" s="4"/>
      <c r="AS739" s="4"/>
      <c r="AT739" s="4"/>
      <c r="AU739" s="4"/>
      <c r="AV739" s="4"/>
      <c r="AW739" s="4"/>
      <c r="AX739" s="4"/>
      <c r="AY739" s="4"/>
      <c r="AZ739" s="4"/>
      <c r="BA739" s="4"/>
      <c r="BB739" s="4"/>
      <c r="BC739" s="4"/>
      <c r="BD739" s="4"/>
      <c r="BE739" s="4"/>
      <c r="BF739" s="4"/>
      <c r="BG739" s="4"/>
      <c r="BH739" s="4"/>
      <c r="BI739" s="4"/>
      <c r="BJ739" s="4"/>
      <c r="BK739" s="4"/>
      <c r="BL739" s="4"/>
      <c r="BM739" s="4"/>
      <c r="BN739" s="4"/>
      <c r="BO739" s="4"/>
      <c r="BP739" s="4"/>
      <c r="BQ739" s="4"/>
      <c r="BR739" s="4"/>
      <c r="BS739" s="4"/>
      <c r="BT739" s="4"/>
      <c r="BU739" s="4"/>
      <c r="BV739" s="4"/>
      <c r="BW739" s="4"/>
      <c r="BX739" s="4"/>
      <c r="BY739" s="4"/>
      <c r="BZ739" s="4"/>
      <c r="CA739" s="4"/>
      <c r="CB739" s="4"/>
      <c r="CC739" s="4"/>
      <c r="CD739" s="4"/>
      <c r="CE739" s="4"/>
      <c r="CF739" s="4"/>
      <c r="CG739" s="4"/>
      <c r="CH739" s="4"/>
      <c r="CI739" s="4"/>
    </row>
    <row r="740" ht="14.25" customHeight="1" spans="1:87" x14ac:dyDescent="0.25">
      <c r="A740" s="4"/>
      <c r="B740" s="4"/>
      <c r="C740" s="4"/>
      <c r="D740" s="4"/>
      <c r="E740" s="4"/>
      <c r="F740" s="4"/>
      <c r="G740" s="4"/>
      <c r="H740" s="4"/>
      <c r="I740" s="4"/>
      <c r="J740" s="4"/>
      <c r="K740" s="242"/>
      <c r="L740" s="4"/>
      <c r="M740" s="4"/>
      <c r="N740" s="4"/>
      <c r="O740" s="4"/>
      <c r="P740" s="4"/>
      <c r="Q740" s="4"/>
      <c r="R740" s="4"/>
      <c r="S740" s="4"/>
      <c r="T740" s="4"/>
      <c r="U740" s="4"/>
      <c r="V740" s="4"/>
      <c r="W740" s="4"/>
      <c r="X740" s="4"/>
      <c r="Y740" s="4"/>
      <c r="Z740" s="4"/>
      <c r="AA740" s="4"/>
      <c r="AB740" s="4"/>
      <c r="AC740" s="4"/>
      <c r="AD740" s="4"/>
      <c r="AE740" s="4"/>
      <c r="AF740" s="4"/>
      <c r="AG740" s="4"/>
      <c r="AH740" s="4"/>
      <c r="AI740" s="4"/>
      <c r="AJ740" s="4"/>
      <c r="AK740" s="4"/>
      <c r="AL740" s="4"/>
      <c r="AM740" s="4"/>
      <c r="AN740" s="4"/>
      <c r="AO740" s="4"/>
      <c r="AP740" s="4"/>
      <c r="AQ740" s="4"/>
      <c r="AR740" s="4"/>
      <c r="AS740" s="4"/>
      <c r="AT740" s="4"/>
      <c r="AU740" s="4"/>
      <c r="AV740" s="4"/>
      <c r="AW740" s="4"/>
      <c r="AX740" s="4"/>
      <c r="AY740" s="4"/>
      <c r="AZ740" s="4"/>
      <c r="BA740" s="4"/>
      <c r="BB740" s="4"/>
      <c r="BC740" s="4"/>
      <c r="BD740" s="4"/>
      <c r="BE740" s="4"/>
      <c r="BF740" s="4"/>
      <c r="BG740" s="4"/>
      <c r="BH740" s="4"/>
      <c r="BI740" s="4"/>
      <c r="BJ740" s="4"/>
      <c r="BK740" s="4"/>
      <c r="BL740" s="4"/>
      <c r="BM740" s="4"/>
      <c r="BN740" s="4"/>
      <c r="BO740" s="4"/>
      <c r="BP740" s="4"/>
      <c r="BQ740" s="4"/>
      <c r="BR740" s="4"/>
      <c r="BS740" s="4"/>
      <c r="BT740" s="4"/>
      <c r="BU740" s="4"/>
      <c r="BV740" s="4"/>
      <c r="BW740" s="4"/>
      <c r="BX740" s="4"/>
      <c r="BY740" s="4"/>
      <c r="BZ740" s="4"/>
      <c r="CA740" s="4"/>
      <c r="CB740" s="4"/>
      <c r="CC740" s="4"/>
      <c r="CD740" s="4"/>
      <c r="CE740" s="4"/>
      <c r="CF740" s="4"/>
      <c r="CG740" s="4"/>
      <c r="CH740" s="4"/>
      <c r="CI740" s="4"/>
    </row>
    <row r="741" ht="14.25" customHeight="1" spans="1:87" x14ac:dyDescent="0.25">
      <c r="A741" s="4"/>
      <c r="B741" s="4"/>
      <c r="C741" s="4"/>
      <c r="D741" s="4"/>
      <c r="E741" s="4"/>
      <c r="F741" s="4"/>
      <c r="G741" s="4"/>
      <c r="H741" s="4"/>
      <c r="I741" s="4"/>
      <c r="J741" s="4"/>
      <c r="K741" s="242"/>
      <c r="L741" s="4"/>
      <c r="M741" s="4"/>
      <c r="N741" s="4"/>
      <c r="O741" s="4"/>
      <c r="P741" s="4"/>
      <c r="Q741" s="4"/>
      <c r="R741" s="4"/>
      <c r="S741" s="4"/>
      <c r="T741" s="4"/>
      <c r="U741" s="4"/>
      <c r="V741" s="4"/>
      <c r="W741" s="4"/>
      <c r="X741" s="4"/>
      <c r="Y741" s="4"/>
      <c r="Z741" s="4"/>
      <c r="AA741" s="4"/>
      <c r="AB741" s="4"/>
      <c r="AC741" s="4"/>
      <c r="AD741" s="4"/>
      <c r="AE741" s="4"/>
      <c r="AF741" s="4"/>
      <c r="AG741" s="4"/>
      <c r="AH741" s="4"/>
      <c r="AI741" s="4"/>
      <c r="AJ741" s="4"/>
      <c r="AK741" s="4"/>
      <c r="AL741" s="4"/>
      <c r="AM741" s="4"/>
      <c r="AN741" s="4"/>
      <c r="AO741" s="4"/>
      <c r="AP741" s="4"/>
      <c r="AQ741" s="4"/>
      <c r="AR741" s="4"/>
      <c r="AS741" s="4"/>
      <c r="AT741" s="4"/>
      <c r="AU741" s="4"/>
      <c r="AV741" s="4"/>
      <c r="AW741" s="4"/>
      <c r="AX741" s="4"/>
      <c r="AY741" s="4"/>
      <c r="AZ741" s="4"/>
      <c r="BA741" s="4"/>
      <c r="BB741" s="4"/>
      <c r="BC741" s="4"/>
      <c r="BD741" s="4"/>
      <c r="BE741" s="4"/>
      <c r="BF741" s="4"/>
      <c r="BG741" s="4"/>
      <c r="BH741" s="4"/>
      <c r="BI741" s="4"/>
      <c r="BJ741" s="4"/>
      <c r="BK741" s="4"/>
      <c r="BL741" s="4"/>
      <c r="BM741" s="4"/>
      <c r="BN741" s="4"/>
      <c r="BO741" s="4"/>
      <c r="BP741" s="4"/>
      <c r="BQ741" s="4"/>
      <c r="BR741" s="4"/>
      <c r="BS741" s="4"/>
      <c r="BT741" s="4"/>
      <c r="BU741" s="4"/>
      <c r="BV741" s="4"/>
      <c r="BW741" s="4"/>
      <c r="BX741" s="4"/>
      <c r="BY741" s="4"/>
      <c r="BZ741" s="4"/>
      <c r="CA741" s="4"/>
      <c r="CB741" s="4"/>
      <c r="CC741" s="4"/>
      <c r="CD741" s="4"/>
      <c r="CE741" s="4"/>
      <c r="CF741" s="4"/>
      <c r="CG741" s="4"/>
      <c r="CH741" s="4"/>
      <c r="CI741" s="4"/>
    </row>
    <row r="742" ht="14.25" customHeight="1" spans="1:87" x14ac:dyDescent="0.25">
      <c r="A742" s="4"/>
      <c r="B742" s="4"/>
      <c r="C742" s="4"/>
      <c r="D742" s="4"/>
      <c r="E742" s="4"/>
      <c r="F742" s="4"/>
      <c r="G742" s="4"/>
      <c r="H742" s="4"/>
      <c r="I742" s="4"/>
      <c r="J742" s="4"/>
      <c r="K742" s="242"/>
      <c r="L742" s="4"/>
      <c r="M742" s="4"/>
      <c r="N742" s="4"/>
      <c r="O742" s="4"/>
      <c r="P742" s="4"/>
      <c r="Q742" s="4"/>
      <c r="R742" s="4"/>
      <c r="S742" s="4"/>
      <c r="T742" s="4"/>
      <c r="U742" s="4"/>
      <c r="V742" s="4"/>
      <c r="W742" s="4"/>
      <c r="X742" s="4"/>
      <c r="Y742" s="4"/>
      <c r="Z742" s="4"/>
      <c r="AA742" s="4"/>
      <c r="AB742" s="4"/>
      <c r="AC742" s="4"/>
      <c r="AD742" s="4"/>
      <c r="AE742" s="4"/>
      <c r="AF742" s="4"/>
      <c r="AG742" s="4"/>
      <c r="AH742" s="4"/>
      <c r="AI742" s="4"/>
      <c r="AJ742" s="4"/>
      <c r="AK742" s="4"/>
      <c r="AL742" s="4"/>
      <c r="AM742" s="4"/>
      <c r="AN742" s="4"/>
      <c r="AO742" s="4"/>
      <c r="AP742" s="4"/>
      <c r="AQ742" s="4"/>
      <c r="AR742" s="4"/>
      <c r="AS742" s="4"/>
      <c r="AT742" s="4"/>
      <c r="AU742" s="4"/>
      <c r="AV742" s="4"/>
      <c r="AW742" s="4"/>
      <c r="AX742" s="4"/>
      <c r="AY742" s="4"/>
      <c r="AZ742" s="4"/>
      <c r="BA742" s="4"/>
      <c r="BB742" s="4"/>
      <c r="BC742" s="4"/>
      <c r="BD742" s="4"/>
      <c r="BE742" s="4"/>
      <c r="BF742" s="4"/>
      <c r="BG742" s="4"/>
      <c r="BH742" s="4"/>
      <c r="BI742" s="4"/>
      <c r="BJ742" s="4"/>
      <c r="BK742" s="4"/>
      <c r="BL742" s="4"/>
      <c r="BM742" s="4"/>
      <c r="BN742" s="4"/>
      <c r="BO742" s="4"/>
      <c r="BP742" s="4"/>
      <c r="BQ742" s="4"/>
      <c r="BR742" s="4"/>
      <c r="BS742" s="4"/>
      <c r="BT742" s="4"/>
      <c r="BU742" s="4"/>
      <c r="BV742" s="4"/>
      <c r="BW742" s="4"/>
      <c r="BX742" s="4"/>
      <c r="BY742" s="4"/>
      <c r="BZ742" s="4"/>
      <c r="CA742" s="4"/>
      <c r="CB742" s="4"/>
      <c r="CC742" s="4"/>
      <c r="CD742" s="4"/>
      <c r="CE742" s="4"/>
      <c r="CF742" s="4"/>
      <c r="CG742" s="4"/>
      <c r="CH742" s="4"/>
      <c r="CI742" s="4"/>
    </row>
    <row r="743" ht="14.25" customHeight="1" spans="1:87" x14ac:dyDescent="0.25">
      <c r="A743" s="4"/>
      <c r="B743" s="4"/>
      <c r="C743" s="4"/>
      <c r="D743" s="4"/>
      <c r="E743" s="4"/>
      <c r="F743" s="4"/>
      <c r="G743" s="4"/>
      <c r="H743" s="4"/>
      <c r="I743" s="4"/>
      <c r="J743" s="4"/>
      <c r="K743" s="242"/>
      <c r="L743" s="4"/>
      <c r="M743" s="4"/>
      <c r="N743" s="4"/>
      <c r="O743" s="4"/>
      <c r="P743" s="4"/>
      <c r="Q743" s="4"/>
      <c r="R743" s="4"/>
      <c r="S743" s="4"/>
      <c r="T743" s="4"/>
      <c r="U743" s="4"/>
      <c r="V743" s="4"/>
      <c r="W743" s="4"/>
      <c r="X743" s="4"/>
      <c r="Y743" s="4"/>
      <c r="Z743" s="4"/>
      <c r="AA743" s="4"/>
      <c r="AB743" s="4"/>
      <c r="AC743" s="4"/>
      <c r="AD743" s="4"/>
      <c r="AE743" s="4"/>
      <c r="AF743" s="4"/>
      <c r="AG743" s="4"/>
      <c r="AH743" s="4"/>
      <c r="AI743" s="4"/>
      <c r="AJ743" s="4"/>
      <c r="AK743" s="4"/>
      <c r="AL743" s="4"/>
      <c r="AM743" s="4"/>
      <c r="AN743" s="4"/>
      <c r="AO743" s="4"/>
      <c r="AP743" s="4"/>
      <c r="AQ743" s="4"/>
      <c r="AR743" s="4"/>
      <c r="AS743" s="4"/>
      <c r="AT743" s="4"/>
      <c r="AU743" s="4"/>
      <c r="AV743" s="4"/>
      <c r="AW743" s="4"/>
      <c r="AX743" s="4"/>
      <c r="AY743" s="4"/>
      <c r="AZ743" s="4"/>
      <c r="BA743" s="4"/>
      <c r="BB743" s="4"/>
      <c r="BC743" s="4"/>
      <c r="BD743" s="4"/>
      <c r="BE743" s="4"/>
      <c r="BF743" s="4"/>
      <c r="BG743" s="4"/>
      <c r="BH743" s="4"/>
      <c r="BI743" s="4"/>
      <c r="BJ743" s="4"/>
      <c r="BK743" s="4"/>
      <c r="BL743" s="4"/>
      <c r="BM743" s="4"/>
      <c r="BN743" s="4"/>
      <c r="BO743" s="4"/>
      <c r="BP743" s="4"/>
      <c r="BQ743" s="4"/>
      <c r="BR743" s="4"/>
      <c r="BS743" s="4"/>
      <c r="BT743" s="4"/>
      <c r="BU743" s="4"/>
      <c r="BV743" s="4"/>
      <c r="BW743" s="4"/>
      <c r="BX743" s="4"/>
      <c r="BY743" s="4"/>
      <c r="BZ743" s="4"/>
      <c r="CA743" s="4"/>
      <c r="CB743" s="4"/>
      <c r="CC743" s="4"/>
      <c r="CD743" s="4"/>
      <c r="CE743" s="4"/>
      <c r="CF743" s="4"/>
      <c r="CG743" s="4"/>
      <c r="CH743" s="4"/>
      <c r="CI743" s="4"/>
    </row>
    <row r="744" ht="14.25" customHeight="1" spans="1:87" x14ac:dyDescent="0.25">
      <c r="A744" s="4"/>
      <c r="B744" s="4"/>
      <c r="C744" s="4"/>
      <c r="D744" s="4"/>
      <c r="E744" s="4"/>
      <c r="F744" s="4"/>
      <c r="G744" s="4"/>
      <c r="H744" s="4"/>
      <c r="I744" s="4"/>
      <c r="J744" s="4"/>
      <c r="K744" s="242"/>
      <c r="L744" s="4"/>
      <c r="M744" s="4"/>
      <c r="N744" s="4"/>
      <c r="O744" s="4"/>
      <c r="P744" s="4"/>
      <c r="Q744" s="4"/>
      <c r="R744" s="4"/>
      <c r="S744" s="4"/>
      <c r="T744" s="4"/>
      <c r="U744" s="4"/>
      <c r="V744" s="4"/>
      <c r="W744" s="4"/>
      <c r="X744" s="4"/>
      <c r="Y744" s="4"/>
      <c r="Z744" s="4"/>
      <c r="AA744" s="4"/>
      <c r="AB744" s="4"/>
      <c r="AC744" s="4"/>
      <c r="AD744" s="4"/>
      <c r="AE744" s="4"/>
      <c r="AF744" s="4"/>
      <c r="AG744" s="4"/>
      <c r="AH744" s="4"/>
      <c r="AI744" s="4"/>
      <c r="AJ744" s="4"/>
      <c r="AK744" s="4"/>
      <c r="AL744" s="4"/>
      <c r="AM744" s="4"/>
      <c r="AN744" s="4"/>
      <c r="AO744" s="4"/>
      <c r="AP744" s="4"/>
      <c r="AQ744" s="4"/>
      <c r="AR744" s="4"/>
      <c r="AS744" s="4"/>
      <c r="AT744" s="4"/>
      <c r="AU744" s="4"/>
      <c r="AV744" s="4"/>
      <c r="AW744" s="4"/>
      <c r="AX744" s="4"/>
      <c r="AY744" s="4"/>
      <c r="AZ744" s="4"/>
      <c r="BA744" s="4"/>
      <c r="BB744" s="4"/>
      <c r="BC744" s="4"/>
      <c r="BD744" s="4"/>
      <c r="BE744" s="4"/>
      <c r="BF744" s="4"/>
      <c r="BG744" s="4"/>
      <c r="BH744" s="4"/>
      <c r="BI744" s="4"/>
      <c r="BJ744" s="4"/>
      <c r="BK744" s="4"/>
      <c r="BL744" s="4"/>
      <c r="BM744" s="4"/>
      <c r="BN744" s="4"/>
      <c r="BO744" s="4"/>
      <c r="BP744" s="4"/>
      <c r="BQ744" s="4"/>
      <c r="BR744" s="4"/>
      <c r="BS744" s="4"/>
      <c r="BT744" s="4"/>
      <c r="BU744" s="4"/>
      <c r="BV744" s="4"/>
      <c r="BW744" s="4"/>
      <c r="BX744" s="4"/>
      <c r="BY744" s="4"/>
      <c r="BZ744" s="4"/>
      <c r="CA744" s="4"/>
      <c r="CB744" s="4"/>
      <c r="CC744" s="4"/>
      <c r="CD744" s="4"/>
      <c r="CE744" s="4"/>
      <c r="CF744" s="4"/>
      <c r="CG744" s="4"/>
      <c r="CH744" s="4"/>
      <c r="CI744" s="4"/>
    </row>
    <row r="745" ht="14.25" customHeight="1" spans="1:87" x14ac:dyDescent="0.25">
      <c r="A745" s="4"/>
      <c r="B745" s="4"/>
      <c r="C745" s="4"/>
      <c r="D745" s="4"/>
      <c r="E745" s="4"/>
      <c r="F745" s="4"/>
      <c r="G745" s="4"/>
      <c r="H745" s="4"/>
      <c r="I745" s="4"/>
      <c r="J745" s="4"/>
      <c r="K745" s="242"/>
      <c r="L745" s="4"/>
      <c r="M745" s="4"/>
      <c r="N745" s="4"/>
      <c r="O745" s="4"/>
      <c r="P745" s="4"/>
      <c r="Q745" s="4"/>
      <c r="R745" s="4"/>
      <c r="S745" s="4"/>
      <c r="T745" s="4"/>
      <c r="U745" s="4"/>
      <c r="V745" s="4"/>
      <c r="W745" s="4"/>
      <c r="X745" s="4"/>
      <c r="Y745" s="4"/>
      <c r="Z745" s="4"/>
      <c r="AA745" s="4"/>
      <c r="AB745" s="4"/>
      <c r="AC745" s="4"/>
      <c r="AD745" s="4"/>
      <c r="AE745" s="4"/>
      <c r="AF745" s="4"/>
      <c r="AG745" s="4"/>
      <c r="AH745" s="4"/>
      <c r="AI745" s="4"/>
      <c r="AJ745" s="4"/>
      <c r="AK745" s="4"/>
      <c r="AL745" s="4"/>
      <c r="AM745" s="4"/>
      <c r="AN745" s="4"/>
      <c r="AO745" s="4"/>
      <c r="AP745" s="4"/>
      <c r="AQ745" s="4"/>
      <c r="AR745" s="4"/>
      <c r="AS745" s="4"/>
      <c r="AT745" s="4"/>
      <c r="AU745" s="4"/>
      <c r="AV745" s="4"/>
      <c r="AW745" s="4"/>
      <c r="AX745" s="4"/>
      <c r="AY745" s="4"/>
      <c r="AZ745" s="4"/>
      <c r="BA745" s="4"/>
      <c r="BB745" s="4"/>
      <c r="BC745" s="4"/>
      <c r="BD745" s="4"/>
      <c r="BE745" s="4"/>
      <c r="BF745" s="4"/>
      <c r="BG745" s="4"/>
      <c r="BH745" s="4"/>
      <c r="BI745" s="4"/>
      <c r="BJ745" s="4"/>
      <c r="BK745" s="4"/>
      <c r="BL745" s="4"/>
      <c r="BM745" s="4"/>
      <c r="BN745" s="4"/>
      <c r="BO745" s="4"/>
      <c r="BP745" s="4"/>
      <c r="BQ745" s="4"/>
      <c r="BR745" s="4"/>
      <c r="BS745" s="4"/>
      <c r="BT745" s="4"/>
      <c r="BU745" s="4"/>
      <c r="BV745" s="4"/>
      <c r="BW745" s="4"/>
      <c r="BX745" s="4"/>
      <c r="BY745" s="4"/>
      <c r="BZ745" s="4"/>
      <c r="CA745" s="4"/>
      <c r="CB745" s="4"/>
      <c r="CC745" s="4"/>
      <c r="CD745" s="4"/>
      <c r="CE745" s="4"/>
      <c r="CF745" s="4"/>
      <c r="CG745" s="4"/>
      <c r="CH745" s="4"/>
      <c r="CI745" s="4"/>
    </row>
    <row r="746" ht="14.25" customHeight="1" spans="1:87" x14ac:dyDescent="0.25">
      <c r="A746" s="4"/>
      <c r="B746" s="4"/>
      <c r="C746" s="4"/>
      <c r="D746" s="4"/>
      <c r="E746" s="4"/>
      <c r="F746" s="4"/>
      <c r="G746" s="4"/>
      <c r="H746" s="4"/>
      <c r="I746" s="4"/>
      <c r="J746" s="4"/>
      <c r="K746" s="242"/>
      <c r="L746" s="4"/>
      <c r="M746" s="4"/>
      <c r="N746" s="4"/>
      <c r="O746" s="4"/>
      <c r="P746" s="4"/>
      <c r="Q746" s="4"/>
      <c r="R746" s="4"/>
      <c r="S746" s="4"/>
      <c r="T746" s="4"/>
      <c r="U746" s="4"/>
      <c r="V746" s="4"/>
      <c r="W746" s="4"/>
      <c r="X746" s="4"/>
      <c r="Y746" s="4"/>
      <c r="Z746" s="4"/>
      <c r="AA746" s="4"/>
      <c r="AB746" s="4"/>
      <c r="AC746" s="4"/>
      <c r="AD746" s="4"/>
      <c r="AE746" s="4"/>
      <c r="AF746" s="4"/>
      <c r="AG746" s="4"/>
      <c r="AH746" s="4"/>
      <c r="AI746" s="4"/>
      <c r="AJ746" s="4"/>
      <c r="AK746" s="4"/>
      <c r="AL746" s="4"/>
      <c r="AM746" s="4"/>
      <c r="AN746" s="4"/>
      <c r="AO746" s="4"/>
      <c r="AP746" s="4"/>
      <c r="AQ746" s="4"/>
      <c r="AR746" s="4"/>
      <c r="AS746" s="4"/>
      <c r="AT746" s="4"/>
      <c r="AU746" s="4"/>
      <c r="AV746" s="4"/>
      <c r="AW746" s="4"/>
      <c r="AX746" s="4"/>
      <c r="AY746" s="4"/>
      <c r="AZ746" s="4"/>
      <c r="BA746" s="4"/>
      <c r="BB746" s="4"/>
      <c r="BC746" s="4"/>
      <c r="BD746" s="4"/>
      <c r="BE746" s="4"/>
      <c r="BF746" s="4"/>
      <c r="BG746" s="4"/>
      <c r="BH746" s="4"/>
      <c r="BI746" s="4"/>
      <c r="BJ746" s="4"/>
      <c r="BK746" s="4"/>
      <c r="BL746" s="4"/>
      <c r="BM746" s="4"/>
      <c r="BN746" s="4"/>
      <c r="BO746" s="4"/>
      <c r="BP746" s="4"/>
      <c r="BQ746" s="4"/>
      <c r="BR746" s="4"/>
      <c r="BS746" s="4"/>
      <c r="BT746" s="4"/>
      <c r="BU746" s="4"/>
      <c r="BV746" s="4"/>
      <c r="BW746" s="4"/>
      <c r="BX746" s="4"/>
      <c r="BY746" s="4"/>
      <c r="BZ746" s="4"/>
      <c r="CA746" s="4"/>
      <c r="CB746" s="4"/>
      <c r="CC746" s="4"/>
      <c r="CD746" s="4"/>
      <c r="CE746" s="4"/>
      <c r="CF746" s="4"/>
      <c r="CG746" s="4"/>
      <c r="CH746" s="4"/>
      <c r="CI746" s="4"/>
    </row>
    <row r="747" ht="14.25" customHeight="1" spans="1:87" x14ac:dyDescent="0.25">
      <c r="A747" s="4"/>
      <c r="B747" s="4"/>
      <c r="C747" s="4"/>
      <c r="D747" s="4"/>
      <c r="E747" s="4"/>
      <c r="F747" s="4"/>
      <c r="G747" s="4"/>
      <c r="H747" s="4"/>
      <c r="I747" s="4"/>
      <c r="J747" s="4"/>
      <c r="K747" s="242"/>
      <c r="L747" s="4"/>
      <c r="M747" s="4"/>
      <c r="N747" s="4"/>
      <c r="O747" s="4"/>
      <c r="P747" s="4"/>
      <c r="Q747" s="4"/>
      <c r="R747" s="4"/>
      <c r="S747" s="4"/>
      <c r="T747" s="4"/>
      <c r="U747" s="4"/>
      <c r="V747" s="4"/>
      <c r="W747" s="4"/>
      <c r="X747" s="4"/>
      <c r="Y747" s="4"/>
      <c r="Z747" s="4"/>
      <c r="AA747" s="4"/>
      <c r="AB747" s="4"/>
      <c r="AC747" s="4"/>
      <c r="AD747" s="4"/>
      <c r="AE747" s="4"/>
      <c r="AF747" s="4"/>
      <c r="AG747" s="4"/>
      <c r="AH747" s="4"/>
      <c r="AI747" s="4"/>
      <c r="AJ747" s="4"/>
      <c r="AK747" s="4"/>
      <c r="AL747" s="4"/>
      <c r="AM747" s="4"/>
      <c r="AN747" s="4"/>
      <c r="AO747" s="4"/>
      <c r="AP747" s="4"/>
      <c r="AQ747" s="4"/>
      <c r="AR747" s="4"/>
      <c r="AS747" s="4"/>
      <c r="AT747" s="4"/>
      <c r="AU747" s="4"/>
      <c r="AV747" s="4"/>
      <c r="AW747" s="4"/>
      <c r="AX747" s="4"/>
      <c r="AY747" s="4"/>
      <c r="AZ747" s="4"/>
      <c r="BA747" s="4"/>
      <c r="BB747" s="4"/>
      <c r="BC747" s="4"/>
      <c r="BD747" s="4"/>
      <c r="BE747" s="4"/>
      <c r="BF747" s="4"/>
      <c r="BG747" s="4"/>
      <c r="BH747" s="4"/>
      <c r="BI747" s="4"/>
      <c r="BJ747" s="4"/>
      <c r="BK747" s="4"/>
      <c r="BL747" s="4"/>
      <c r="BM747" s="4"/>
      <c r="BN747" s="4"/>
      <c r="BO747" s="4"/>
      <c r="BP747" s="4"/>
      <c r="BQ747" s="4"/>
      <c r="BR747" s="4"/>
      <c r="BS747" s="4"/>
      <c r="BT747" s="4"/>
      <c r="BU747" s="4"/>
      <c r="BV747" s="4"/>
      <c r="BW747" s="4"/>
      <c r="BX747" s="4"/>
      <c r="BY747" s="4"/>
      <c r="BZ747" s="4"/>
      <c r="CA747" s="4"/>
      <c r="CB747" s="4"/>
      <c r="CC747" s="4"/>
      <c r="CD747" s="4"/>
      <c r="CE747" s="4"/>
      <c r="CF747" s="4"/>
      <c r="CG747" s="4"/>
      <c r="CH747" s="4"/>
      <c r="CI747" s="4"/>
    </row>
    <row r="748" ht="14.25" customHeight="1" spans="1:87" x14ac:dyDescent="0.25">
      <c r="A748" s="4"/>
      <c r="B748" s="4"/>
      <c r="C748" s="4"/>
      <c r="D748" s="4"/>
      <c r="E748" s="4"/>
      <c r="F748" s="4"/>
      <c r="G748" s="4"/>
      <c r="H748" s="4"/>
      <c r="I748" s="4"/>
      <c r="J748" s="4"/>
      <c r="K748" s="242"/>
      <c r="L748" s="4"/>
      <c r="M748" s="4"/>
      <c r="N748" s="4"/>
      <c r="O748" s="4"/>
      <c r="P748" s="4"/>
      <c r="Q748" s="4"/>
      <c r="R748" s="4"/>
      <c r="S748" s="4"/>
      <c r="T748" s="4"/>
      <c r="U748" s="4"/>
      <c r="V748" s="4"/>
      <c r="W748" s="4"/>
      <c r="X748" s="4"/>
      <c r="Y748" s="4"/>
      <c r="Z748" s="4"/>
      <c r="AA748" s="4"/>
      <c r="AB748" s="4"/>
      <c r="AC748" s="4"/>
      <c r="AD748" s="4"/>
      <c r="AE748" s="4"/>
      <c r="AF748" s="4"/>
      <c r="AG748" s="4"/>
      <c r="AH748" s="4"/>
      <c r="AI748" s="4"/>
      <c r="AJ748" s="4"/>
      <c r="AK748" s="4"/>
      <c r="AL748" s="4"/>
      <c r="AM748" s="4"/>
      <c r="AN748" s="4"/>
      <c r="AO748" s="4"/>
      <c r="AP748" s="4"/>
      <c r="AQ748" s="4"/>
      <c r="AR748" s="4"/>
      <c r="AS748" s="4"/>
      <c r="AT748" s="4"/>
      <c r="AU748" s="4"/>
      <c r="AV748" s="4"/>
      <c r="AW748" s="4"/>
      <c r="AX748" s="4"/>
      <c r="AY748" s="4"/>
      <c r="AZ748" s="4"/>
      <c r="BA748" s="4"/>
      <c r="BB748" s="4"/>
      <c r="BC748" s="4"/>
      <c r="BD748" s="4"/>
      <c r="BE748" s="4"/>
      <c r="BF748" s="4"/>
      <c r="BG748" s="4"/>
      <c r="BH748" s="4"/>
      <c r="BI748" s="4"/>
      <c r="BJ748" s="4"/>
      <c r="BK748" s="4"/>
      <c r="BL748" s="4"/>
      <c r="BM748" s="4"/>
      <c r="BN748" s="4"/>
      <c r="BO748" s="4"/>
      <c r="BP748" s="4"/>
      <c r="BQ748" s="4"/>
      <c r="BR748" s="4"/>
      <c r="BS748" s="4"/>
      <c r="BT748" s="4"/>
      <c r="BU748" s="4"/>
      <c r="BV748" s="4"/>
      <c r="BW748" s="4"/>
      <c r="BX748" s="4"/>
      <c r="BY748" s="4"/>
      <c r="BZ748" s="4"/>
      <c r="CA748" s="4"/>
      <c r="CB748" s="4"/>
      <c r="CC748" s="4"/>
      <c r="CD748" s="4"/>
      <c r="CE748" s="4"/>
      <c r="CF748" s="4"/>
      <c r="CG748" s="4"/>
      <c r="CH748" s="4"/>
      <c r="CI748" s="4"/>
    </row>
    <row r="749" ht="14.25" customHeight="1" spans="1:87" x14ac:dyDescent="0.25">
      <c r="A749" s="4"/>
      <c r="B749" s="4"/>
      <c r="C749" s="4"/>
      <c r="D749" s="4"/>
      <c r="E749" s="4"/>
      <c r="F749" s="4"/>
      <c r="G749" s="4"/>
      <c r="H749" s="4"/>
      <c r="I749" s="4"/>
      <c r="J749" s="4"/>
      <c r="K749" s="242"/>
      <c r="L749" s="4"/>
      <c r="M749" s="4"/>
      <c r="N749" s="4"/>
      <c r="O749" s="4"/>
      <c r="P749" s="4"/>
      <c r="Q749" s="4"/>
      <c r="R749" s="4"/>
      <c r="S749" s="4"/>
      <c r="T749" s="4"/>
      <c r="U749" s="4"/>
      <c r="V749" s="4"/>
      <c r="W749" s="4"/>
      <c r="X749" s="4"/>
      <c r="Y749" s="4"/>
      <c r="Z749" s="4"/>
      <c r="AA749" s="4"/>
      <c r="AB749" s="4"/>
      <c r="AC749" s="4"/>
      <c r="AD749" s="4"/>
      <c r="AE749" s="4"/>
      <c r="AF749" s="4"/>
      <c r="AG749" s="4"/>
      <c r="AH749" s="4"/>
      <c r="AI749" s="4"/>
      <c r="AJ749" s="4"/>
      <c r="AK749" s="4"/>
      <c r="AL749" s="4"/>
      <c r="AM749" s="4"/>
      <c r="AN749" s="4"/>
      <c r="AO749" s="4"/>
      <c r="AP749" s="4"/>
      <c r="AQ749" s="4"/>
      <c r="AR749" s="4"/>
      <c r="AS749" s="4"/>
      <c r="AT749" s="4"/>
      <c r="AU749" s="4"/>
      <c r="AV749" s="4"/>
      <c r="AW749" s="4"/>
      <c r="AX749" s="4"/>
      <c r="AY749" s="4"/>
      <c r="AZ749" s="4"/>
      <c r="BA749" s="4"/>
      <c r="BB749" s="4"/>
      <c r="BC749" s="4"/>
      <c r="BD749" s="4"/>
      <c r="BE749" s="4"/>
      <c r="BF749" s="4"/>
      <c r="BG749" s="4"/>
      <c r="BH749" s="4"/>
      <c r="BI749" s="4"/>
      <c r="BJ749" s="4"/>
      <c r="BK749" s="4"/>
      <c r="BL749" s="4"/>
      <c r="BM749" s="4"/>
      <c r="BN749" s="4"/>
      <c r="BO749" s="4"/>
      <c r="BP749" s="4"/>
      <c r="BQ749" s="4"/>
      <c r="BR749" s="4"/>
      <c r="BS749" s="4"/>
      <c r="BT749" s="4"/>
      <c r="BU749" s="4"/>
      <c r="BV749" s="4"/>
      <c r="BW749" s="4"/>
      <c r="BX749" s="4"/>
      <c r="BY749" s="4"/>
      <c r="BZ749" s="4"/>
      <c r="CA749" s="4"/>
      <c r="CB749" s="4"/>
      <c r="CC749" s="4"/>
      <c r="CD749" s="4"/>
      <c r="CE749" s="4"/>
      <c r="CF749" s="4"/>
      <c r="CG749" s="4"/>
      <c r="CH749" s="4"/>
      <c r="CI749" s="4"/>
    </row>
    <row r="750" ht="14.25" customHeight="1" spans="1:87" x14ac:dyDescent="0.25">
      <c r="A750" s="4"/>
      <c r="B750" s="4"/>
      <c r="C750" s="4"/>
      <c r="D750" s="4"/>
      <c r="E750" s="4"/>
      <c r="F750" s="4"/>
      <c r="G750" s="4"/>
      <c r="H750" s="4"/>
      <c r="I750" s="4"/>
      <c r="J750" s="4"/>
      <c r="K750" s="242"/>
      <c r="L750" s="4"/>
      <c r="M750" s="4"/>
      <c r="N750" s="4"/>
      <c r="O750" s="4"/>
      <c r="P750" s="4"/>
      <c r="Q750" s="4"/>
      <c r="R750" s="4"/>
      <c r="S750" s="4"/>
      <c r="T750" s="4"/>
      <c r="U750" s="4"/>
      <c r="V750" s="4"/>
      <c r="W750" s="4"/>
      <c r="X750" s="4"/>
      <c r="Y750" s="4"/>
      <c r="Z750" s="4"/>
      <c r="AA750" s="4"/>
      <c r="AB750" s="4"/>
      <c r="AC750" s="4"/>
      <c r="AD750" s="4"/>
      <c r="AE750" s="4"/>
      <c r="AF750" s="4"/>
      <c r="AG750" s="4"/>
      <c r="AH750" s="4"/>
      <c r="AI750" s="4"/>
      <c r="AJ750" s="4"/>
      <c r="AK750" s="4"/>
      <c r="AL750" s="4"/>
      <c r="AM750" s="4"/>
      <c r="AN750" s="4"/>
      <c r="AO750" s="4"/>
      <c r="AP750" s="4"/>
      <c r="AQ750" s="4"/>
      <c r="AR750" s="4"/>
      <c r="AS750" s="4"/>
      <c r="AT750" s="4"/>
      <c r="AU750" s="4"/>
      <c r="AV750" s="4"/>
      <c r="AW750" s="4"/>
      <c r="AX750" s="4"/>
      <c r="AY750" s="4"/>
      <c r="AZ750" s="4"/>
      <c r="BA750" s="4"/>
      <c r="BB750" s="4"/>
      <c r="BC750" s="4"/>
      <c r="BD750" s="4"/>
      <c r="BE750" s="4"/>
      <c r="BF750" s="4"/>
      <c r="BG750" s="4"/>
      <c r="BH750" s="4"/>
      <c r="BI750" s="4"/>
      <c r="BJ750" s="4"/>
      <c r="BK750" s="4"/>
      <c r="BL750" s="4"/>
      <c r="BM750" s="4"/>
      <c r="BN750" s="4"/>
      <c r="BO750" s="4"/>
      <c r="BP750" s="4"/>
      <c r="BQ750" s="4"/>
      <c r="BR750" s="4"/>
      <c r="BS750" s="4"/>
      <c r="BT750" s="4"/>
      <c r="BU750" s="4"/>
      <c r="BV750" s="4"/>
      <c r="BW750" s="4"/>
      <c r="BX750" s="4"/>
      <c r="BY750" s="4"/>
      <c r="BZ750" s="4"/>
      <c r="CA750" s="4"/>
      <c r="CB750" s="4"/>
      <c r="CC750" s="4"/>
      <c r="CD750" s="4"/>
      <c r="CE750" s="4"/>
      <c r="CF750" s="4"/>
      <c r="CG750" s="4"/>
      <c r="CH750" s="4"/>
      <c r="CI750" s="4"/>
    </row>
    <row r="751" ht="14.25" customHeight="1" spans="1:87" x14ac:dyDescent="0.25">
      <c r="A751" s="4"/>
      <c r="B751" s="4"/>
      <c r="C751" s="4"/>
      <c r="D751" s="4"/>
      <c r="E751" s="4"/>
      <c r="F751" s="4"/>
      <c r="G751" s="4"/>
      <c r="H751" s="4"/>
      <c r="I751" s="4"/>
      <c r="J751" s="4"/>
      <c r="K751" s="242"/>
      <c r="L751" s="4"/>
      <c r="M751" s="4"/>
      <c r="N751" s="4"/>
      <c r="O751" s="4"/>
      <c r="P751" s="4"/>
      <c r="Q751" s="4"/>
      <c r="R751" s="4"/>
      <c r="S751" s="4"/>
      <c r="T751" s="4"/>
      <c r="U751" s="4"/>
      <c r="V751" s="4"/>
      <c r="W751" s="4"/>
      <c r="X751" s="4"/>
      <c r="Y751" s="4"/>
      <c r="Z751" s="4"/>
      <c r="AA751" s="4"/>
      <c r="AB751" s="4"/>
      <c r="AC751" s="4"/>
      <c r="AD751" s="4"/>
      <c r="AE751" s="4"/>
      <c r="AF751" s="4"/>
      <c r="AG751" s="4"/>
      <c r="AH751" s="4"/>
      <c r="AI751" s="4"/>
      <c r="AJ751" s="4"/>
      <c r="AK751" s="4"/>
      <c r="AL751" s="4"/>
      <c r="AM751" s="4"/>
      <c r="AN751" s="4"/>
      <c r="AO751" s="4"/>
      <c r="AP751" s="4"/>
      <c r="AQ751" s="4"/>
      <c r="AR751" s="4"/>
      <c r="AS751" s="4"/>
      <c r="AT751" s="4"/>
      <c r="AU751" s="4"/>
      <c r="AV751" s="4"/>
      <c r="AW751" s="4"/>
      <c r="AX751" s="4"/>
      <c r="AY751" s="4"/>
      <c r="AZ751" s="4"/>
      <c r="BA751" s="4"/>
      <c r="BB751" s="4"/>
      <c r="BC751" s="4"/>
      <c r="BD751" s="4"/>
      <c r="BE751" s="4"/>
      <c r="BF751" s="4"/>
      <c r="BG751" s="4"/>
      <c r="BH751" s="4"/>
      <c r="BI751" s="4"/>
      <c r="BJ751" s="4"/>
      <c r="BK751" s="4"/>
      <c r="BL751" s="4"/>
      <c r="BM751" s="4"/>
      <c r="BN751" s="4"/>
      <c r="BO751" s="4"/>
      <c r="BP751" s="4"/>
      <c r="BQ751" s="4"/>
      <c r="BR751" s="4"/>
      <c r="BS751" s="4"/>
      <c r="BT751" s="4"/>
      <c r="BU751" s="4"/>
      <c r="BV751" s="4"/>
      <c r="BW751" s="4"/>
      <c r="BX751" s="4"/>
      <c r="BY751" s="4"/>
      <c r="BZ751" s="4"/>
      <c r="CA751" s="4"/>
      <c r="CB751" s="4"/>
      <c r="CC751" s="4"/>
      <c r="CD751" s="4"/>
      <c r="CE751" s="4"/>
      <c r="CF751" s="4"/>
      <c r="CG751" s="4"/>
      <c r="CH751" s="4"/>
      <c r="CI751" s="4"/>
    </row>
    <row r="752" ht="14.25" customHeight="1" spans="1:87" x14ac:dyDescent="0.25">
      <c r="A752" s="4"/>
      <c r="B752" s="4"/>
      <c r="C752" s="4"/>
      <c r="D752" s="4"/>
      <c r="E752" s="4"/>
      <c r="F752" s="4"/>
      <c r="G752" s="4"/>
      <c r="H752" s="4"/>
      <c r="I752" s="4"/>
      <c r="J752" s="4"/>
      <c r="K752" s="242"/>
      <c r="L752" s="4"/>
      <c r="M752" s="4"/>
      <c r="N752" s="4"/>
      <c r="O752" s="4"/>
      <c r="P752" s="4"/>
      <c r="Q752" s="4"/>
      <c r="R752" s="4"/>
      <c r="S752" s="4"/>
      <c r="T752" s="4"/>
      <c r="U752" s="4"/>
      <c r="V752" s="4"/>
      <c r="W752" s="4"/>
      <c r="X752" s="4"/>
      <c r="Y752" s="4"/>
      <c r="Z752" s="4"/>
      <c r="AA752" s="4"/>
      <c r="AB752" s="4"/>
      <c r="AC752" s="4"/>
      <c r="AD752" s="4"/>
      <c r="AE752" s="4"/>
      <c r="AF752" s="4"/>
      <c r="AG752" s="4"/>
      <c r="AH752" s="4"/>
      <c r="AI752" s="4"/>
      <c r="AJ752" s="4"/>
      <c r="AK752" s="4"/>
      <c r="AL752" s="4"/>
      <c r="AM752" s="4"/>
      <c r="AN752" s="4"/>
      <c r="AO752" s="4"/>
      <c r="AP752" s="4"/>
      <c r="AQ752" s="4"/>
      <c r="AR752" s="4"/>
      <c r="AS752" s="4"/>
      <c r="AT752" s="4"/>
      <c r="AU752" s="4"/>
      <c r="AV752" s="4"/>
      <c r="AW752" s="4"/>
      <c r="AX752" s="4"/>
      <c r="AY752" s="4"/>
      <c r="AZ752" s="4"/>
      <c r="BA752" s="4"/>
      <c r="BB752" s="4"/>
      <c r="BC752" s="4"/>
      <c r="BD752" s="4"/>
      <c r="BE752" s="4"/>
      <c r="BF752" s="4"/>
      <c r="BG752" s="4"/>
      <c r="BH752" s="4"/>
      <c r="BI752" s="4"/>
      <c r="BJ752" s="4"/>
      <c r="BK752" s="4"/>
      <c r="BL752" s="4"/>
      <c r="BM752" s="4"/>
      <c r="BN752" s="4"/>
      <c r="BO752" s="4"/>
      <c r="BP752" s="4"/>
      <c r="BQ752" s="4"/>
      <c r="BR752" s="4"/>
      <c r="BS752" s="4"/>
      <c r="BT752" s="4"/>
      <c r="BU752" s="4"/>
      <c r="BV752" s="4"/>
      <c r="BW752" s="4"/>
      <c r="BX752" s="4"/>
      <c r="BY752" s="4"/>
      <c r="BZ752" s="4"/>
      <c r="CA752" s="4"/>
      <c r="CB752" s="4"/>
      <c r="CC752" s="4"/>
      <c r="CD752" s="4"/>
      <c r="CE752" s="4"/>
      <c r="CF752" s="4"/>
      <c r="CG752" s="4"/>
      <c r="CH752" s="4"/>
      <c r="CI752" s="4"/>
    </row>
    <row r="753" ht="14.25" customHeight="1" spans="1:87" x14ac:dyDescent="0.25">
      <c r="A753" s="4"/>
      <c r="B753" s="4"/>
      <c r="C753" s="4"/>
      <c r="D753" s="4"/>
      <c r="E753" s="4"/>
      <c r="F753" s="4"/>
      <c r="G753" s="4"/>
      <c r="H753" s="4"/>
      <c r="I753" s="4"/>
      <c r="J753" s="4"/>
      <c r="K753" s="242"/>
      <c r="L753" s="4"/>
      <c r="M753" s="4"/>
      <c r="N753" s="4"/>
      <c r="O753" s="4"/>
      <c r="P753" s="4"/>
      <c r="Q753" s="4"/>
      <c r="R753" s="4"/>
      <c r="S753" s="4"/>
      <c r="T753" s="4"/>
      <c r="U753" s="4"/>
      <c r="V753" s="4"/>
      <c r="W753" s="4"/>
      <c r="X753" s="4"/>
      <c r="Y753" s="4"/>
      <c r="Z753" s="4"/>
      <c r="AA753" s="4"/>
      <c r="AB753" s="4"/>
      <c r="AC753" s="4"/>
      <c r="AD753" s="4"/>
      <c r="AE753" s="4"/>
      <c r="AF753" s="4"/>
      <c r="AG753" s="4"/>
      <c r="AH753" s="4"/>
      <c r="AI753" s="4"/>
      <c r="AJ753" s="4"/>
      <c r="AK753" s="4"/>
      <c r="AL753" s="4"/>
      <c r="AM753" s="4"/>
      <c r="AN753" s="4"/>
      <c r="AO753" s="4"/>
      <c r="AP753" s="4"/>
      <c r="AQ753" s="4"/>
      <c r="AR753" s="4"/>
      <c r="AS753" s="4"/>
      <c r="AT753" s="4"/>
      <c r="AU753" s="4"/>
      <c r="AV753" s="4"/>
      <c r="AW753" s="4"/>
      <c r="AX753" s="4"/>
      <c r="AY753" s="4"/>
      <c r="AZ753" s="4"/>
      <c r="BA753" s="4"/>
      <c r="BB753" s="4"/>
      <c r="BC753" s="4"/>
      <c r="BD753" s="4"/>
      <c r="BE753" s="4"/>
      <c r="BF753" s="4"/>
      <c r="BG753" s="4"/>
      <c r="BH753" s="4"/>
      <c r="BI753" s="4"/>
      <c r="BJ753" s="4"/>
      <c r="BK753" s="4"/>
      <c r="BL753" s="4"/>
      <c r="BM753" s="4"/>
      <c r="BN753" s="4"/>
      <c r="BO753" s="4"/>
      <c r="BP753" s="4"/>
      <c r="BQ753" s="4"/>
      <c r="BR753" s="4"/>
      <c r="BS753" s="4"/>
      <c r="BT753" s="4"/>
      <c r="BU753" s="4"/>
      <c r="BV753" s="4"/>
      <c r="BW753" s="4"/>
      <c r="BX753" s="4"/>
      <c r="BY753" s="4"/>
      <c r="BZ753" s="4"/>
      <c r="CA753" s="4"/>
      <c r="CB753" s="4"/>
      <c r="CC753" s="4"/>
      <c r="CD753" s="4"/>
      <c r="CE753" s="4"/>
      <c r="CF753" s="4"/>
      <c r="CG753" s="4"/>
      <c r="CH753" s="4"/>
      <c r="CI753" s="4"/>
    </row>
    <row r="754" ht="14.25" customHeight="1" spans="1:87" x14ac:dyDescent="0.25">
      <c r="A754" s="4"/>
      <c r="B754" s="4"/>
      <c r="C754" s="4"/>
      <c r="D754" s="4"/>
      <c r="E754" s="4"/>
      <c r="F754" s="4"/>
      <c r="G754" s="4"/>
      <c r="H754" s="4"/>
      <c r="I754" s="4"/>
      <c r="J754" s="4"/>
      <c r="K754" s="242"/>
      <c r="L754" s="4"/>
      <c r="M754" s="4"/>
      <c r="N754" s="4"/>
      <c r="O754" s="4"/>
      <c r="P754" s="4"/>
      <c r="Q754" s="4"/>
      <c r="R754" s="4"/>
      <c r="S754" s="4"/>
      <c r="T754" s="4"/>
      <c r="U754" s="4"/>
      <c r="V754" s="4"/>
      <c r="W754" s="4"/>
      <c r="X754" s="4"/>
      <c r="Y754" s="4"/>
      <c r="Z754" s="4"/>
      <c r="AA754" s="4"/>
      <c r="AB754" s="4"/>
      <c r="AC754" s="4"/>
      <c r="AD754" s="4"/>
      <c r="AE754" s="4"/>
      <c r="AF754" s="4"/>
      <c r="AG754" s="4"/>
      <c r="AH754" s="4"/>
      <c r="AI754" s="4"/>
      <c r="AJ754" s="4"/>
      <c r="AK754" s="4"/>
      <c r="AL754" s="4"/>
      <c r="AM754" s="4"/>
      <c r="AN754" s="4"/>
      <c r="AO754" s="4"/>
      <c r="AP754" s="4"/>
      <c r="AQ754" s="4"/>
      <c r="AR754" s="4"/>
      <c r="AS754" s="4"/>
      <c r="AT754" s="4"/>
      <c r="AU754" s="4"/>
      <c r="AV754" s="4"/>
      <c r="AW754" s="4"/>
      <c r="AX754" s="4"/>
      <c r="AY754" s="4"/>
      <c r="AZ754" s="4"/>
      <c r="BA754" s="4"/>
      <c r="BB754" s="4"/>
      <c r="BC754" s="4"/>
      <c r="BD754" s="4"/>
      <c r="BE754" s="4"/>
      <c r="BF754" s="4"/>
      <c r="BG754" s="4"/>
      <c r="BH754" s="4"/>
      <c r="BI754" s="4"/>
      <c r="BJ754" s="4"/>
      <c r="BK754" s="4"/>
      <c r="BL754" s="4"/>
      <c r="BM754" s="4"/>
      <c r="BN754" s="4"/>
      <c r="BO754" s="4"/>
      <c r="BP754" s="4"/>
      <c r="BQ754" s="4"/>
      <c r="BR754" s="4"/>
      <c r="BS754" s="4"/>
      <c r="BT754" s="4"/>
      <c r="BU754" s="4"/>
      <c r="BV754" s="4"/>
      <c r="BW754" s="4"/>
      <c r="BX754" s="4"/>
      <c r="BY754" s="4"/>
      <c r="BZ754" s="4"/>
      <c r="CA754" s="4"/>
      <c r="CB754" s="4"/>
      <c r="CC754" s="4"/>
      <c r="CD754" s="4"/>
      <c r="CE754" s="4"/>
      <c r="CF754" s="4"/>
      <c r="CG754" s="4"/>
      <c r="CH754" s="4"/>
      <c r="CI754" s="4"/>
    </row>
    <row r="755" ht="14.25" customHeight="1" spans="1:87" x14ac:dyDescent="0.25">
      <c r="A755" s="4"/>
      <c r="B755" s="4"/>
      <c r="C755" s="4"/>
      <c r="D755" s="4"/>
      <c r="E755" s="4"/>
      <c r="F755" s="4"/>
      <c r="G755" s="4"/>
      <c r="H755" s="4"/>
      <c r="I755" s="4"/>
      <c r="J755" s="4"/>
      <c r="K755" s="242"/>
      <c r="L755" s="4"/>
      <c r="M755" s="4"/>
      <c r="N755" s="4"/>
      <c r="O755" s="4"/>
      <c r="P755" s="4"/>
      <c r="Q755" s="4"/>
      <c r="R755" s="4"/>
      <c r="S755" s="4"/>
      <c r="T755" s="4"/>
      <c r="U755" s="4"/>
      <c r="V755" s="4"/>
      <c r="W755" s="4"/>
      <c r="X755" s="4"/>
      <c r="Y755" s="4"/>
      <c r="Z755" s="4"/>
      <c r="AA755" s="4"/>
      <c r="AB755" s="4"/>
      <c r="AC755" s="4"/>
      <c r="AD755" s="4"/>
      <c r="AE755" s="4"/>
      <c r="AF755" s="4"/>
      <c r="AG755" s="4"/>
      <c r="AH755" s="4"/>
      <c r="AI755" s="4"/>
      <c r="AJ755" s="4"/>
      <c r="AK755" s="4"/>
      <c r="AL755" s="4"/>
      <c r="AM755" s="4"/>
      <c r="AN755" s="4"/>
      <c r="AO755" s="4"/>
      <c r="AP755" s="4"/>
      <c r="AQ755" s="4"/>
      <c r="AR755" s="4"/>
      <c r="AS755" s="4"/>
      <c r="AT755" s="4"/>
      <c r="AU755" s="4"/>
      <c r="AV755" s="4"/>
      <c r="AW755" s="4"/>
      <c r="AX755" s="4"/>
      <c r="AY755" s="4"/>
      <c r="AZ755" s="4"/>
      <c r="BA755" s="4"/>
      <c r="BB755" s="4"/>
      <c r="BC755" s="4"/>
      <c r="BD755" s="4"/>
      <c r="BE755" s="4"/>
      <c r="BF755" s="4"/>
      <c r="BG755" s="4"/>
      <c r="BH755" s="4"/>
      <c r="BI755" s="4"/>
      <c r="BJ755" s="4"/>
      <c r="BK755" s="4"/>
      <c r="BL755" s="4"/>
      <c r="BM755" s="4"/>
      <c r="BN755" s="4"/>
      <c r="BO755" s="4"/>
      <c r="BP755" s="4"/>
      <c r="BQ755" s="4"/>
      <c r="BR755" s="4"/>
      <c r="BS755" s="4"/>
      <c r="BT755" s="4"/>
      <c r="BU755" s="4"/>
      <c r="BV755" s="4"/>
      <c r="BW755" s="4"/>
      <c r="BX755" s="4"/>
      <c r="BY755" s="4"/>
      <c r="BZ755" s="4"/>
      <c r="CA755" s="4"/>
      <c r="CB755" s="4"/>
      <c r="CC755" s="4"/>
      <c r="CD755" s="4"/>
      <c r="CE755" s="4"/>
      <c r="CF755" s="4"/>
      <c r="CG755" s="4"/>
      <c r="CH755" s="4"/>
      <c r="CI755" s="4"/>
    </row>
    <row r="756" ht="14.25" customHeight="1" spans="1:87" x14ac:dyDescent="0.25">
      <c r="A756" s="4"/>
      <c r="B756" s="4"/>
      <c r="C756" s="4"/>
      <c r="D756" s="4"/>
      <c r="E756" s="4"/>
      <c r="F756" s="4"/>
      <c r="G756" s="4"/>
      <c r="H756" s="4"/>
      <c r="I756" s="4"/>
      <c r="J756" s="4"/>
      <c r="K756" s="242"/>
      <c r="L756" s="4"/>
      <c r="M756" s="4"/>
      <c r="N756" s="4"/>
      <c r="O756" s="4"/>
      <c r="P756" s="4"/>
      <c r="Q756" s="4"/>
      <c r="R756" s="4"/>
      <c r="S756" s="4"/>
      <c r="T756" s="4"/>
      <c r="U756" s="4"/>
      <c r="V756" s="4"/>
      <c r="W756" s="4"/>
      <c r="X756" s="4"/>
      <c r="Y756" s="4"/>
      <c r="Z756" s="4"/>
      <c r="AA756" s="4"/>
      <c r="AB756" s="4"/>
      <c r="AC756" s="4"/>
      <c r="AD756" s="4"/>
      <c r="AE756" s="4"/>
      <c r="AF756" s="4"/>
      <c r="AG756" s="4"/>
      <c r="AH756" s="4"/>
      <c r="AI756" s="4"/>
      <c r="AJ756" s="4"/>
      <c r="AK756" s="4"/>
      <c r="AL756" s="4"/>
      <c r="AM756" s="4"/>
      <c r="AN756" s="4"/>
      <c r="AO756" s="4"/>
      <c r="AP756" s="4"/>
      <c r="AQ756" s="4"/>
      <c r="AR756" s="4"/>
      <c r="AS756" s="4"/>
      <c r="AT756" s="4"/>
      <c r="AU756" s="4"/>
      <c r="AV756" s="4"/>
      <c r="AW756" s="4"/>
      <c r="AX756" s="4"/>
      <c r="AY756" s="4"/>
      <c r="AZ756" s="4"/>
      <c r="BA756" s="4"/>
      <c r="BB756" s="4"/>
      <c r="BC756" s="4"/>
      <c r="BD756" s="4"/>
      <c r="BE756" s="4"/>
      <c r="BF756" s="4"/>
      <c r="BG756" s="4"/>
      <c r="BH756" s="4"/>
      <c r="BI756" s="4"/>
      <c r="BJ756" s="4"/>
      <c r="BK756" s="4"/>
      <c r="BL756" s="4"/>
      <c r="BM756" s="4"/>
      <c r="BN756" s="4"/>
      <c r="BO756" s="4"/>
      <c r="BP756" s="4"/>
      <c r="BQ756" s="4"/>
      <c r="BR756" s="4"/>
      <c r="BS756" s="4"/>
      <c r="BT756" s="4"/>
      <c r="BU756" s="4"/>
      <c r="BV756" s="4"/>
      <c r="BW756" s="4"/>
      <c r="BX756" s="4"/>
      <c r="BY756" s="4"/>
      <c r="BZ756" s="4"/>
      <c r="CA756" s="4"/>
      <c r="CB756" s="4"/>
      <c r="CC756" s="4"/>
      <c r="CD756" s="4"/>
      <c r="CE756" s="4"/>
      <c r="CF756" s="4"/>
      <c r="CG756" s="4"/>
      <c r="CH756" s="4"/>
      <c r="CI756" s="4"/>
    </row>
    <row r="757" ht="14.25" customHeight="1" spans="1:87" x14ac:dyDescent="0.25">
      <c r="A757" s="4"/>
      <c r="B757" s="4"/>
      <c r="C757" s="4"/>
      <c r="D757" s="4"/>
      <c r="E757" s="4"/>
      <c r="F757" s="4"/>
      <c r="G757" s="4"/>
      <c r="H757" s="4"/>
      <c r="I757" s="4"/>
      <c r="J757" s="4"/>
      <c r="K757" s="242"/>
      <c r="L757" s="4"/>
      <c r="M757" s="4"/>
      <c r="N757" s="4"/>
      <c r="O757" s="4"/>
      <c r="P757" s="4"/>
      <c r="Q757" s="4"/>
      <c r="R757" s="4"/>
      <c r="S757" s="4"/>
      <c r="T757" s="4"/>
      <c r="U757" s="4"/>
      <c r="V757" s="4"/>
      <c r="W757" s="4"/>
      <c r="X757" s="4"/>
      <c r="Y757" s="4"/>
      <c r="Z757" s="4"/>
      <c r="AA757" s="4"/>
      <c r="AB757" s="4"/>
      <c r="AC757" s="4"/>
      <c r="AD757" s="4"/>
      <c r="AE757" s="4"/>
      <c r="AF757" s="4"/>
      <c r="AG757" s="4"/>
      <c r="AH757" s="4"/>
      <c r="AI757" s="4"/>
      <c r="AJ757" s="4"/>
      <c r="AK757" s="4"/>
      <c r="AL757" s="4"/>
      <c r="AM757" s="4"/>
      <c r="AN757" s="4"/>
      <c r="AO757" s="4"/>
      <c r="AP757" s="4"/>
      <c r="AQ757" s="4"/>
      <c r="AR757" s="4"/>
      <c r="AS757" s="4"/>
      <c r="AT757" s="4"/>
      <c r="AU757" s="4"/>
      <c r="AV757" s="4"/>
      <c r="AW757" s="4"/>
      <c r="AX757" s="4"/>
      <c r="AY757" s="4"/>
      <c r="AZ757" s="4"/>
      <c r="BA757" s="4"/>
      <c r="BB757" s="4"/>
      <c r="BC757" s="4"/>
      <c r="BD757" s="4"/>
      <c r="BE757" s="4"/>
      <c r="BF757" s="4"/>
      <c r="BG757" s="4"/>
      <c r="BH757" s="4"/>
      <c r="BI757" s="4"/>
      <c r="BJ757" s="4"/>
      <c r="BK757" s="4"/>
      <c r="BL757" s="4"/>
      <c r="BM757" s="4"/>
      <c r="BN757" s="4"/>
      <c r="BO757" s="4"/>
      <c r="BP757" s="4"/>
      <c r="BQ757" s="4"/>
      <c r="BR757" s="4"/>
      <c r="BS757" s="4"/>
      <c r="BT757" s="4"/>
      <c r="BU757" s="4"/>
      <c r="BV757" s="4"/>
      <c r="BW757" s="4"/>
      <c r="BX757" s="4"/>
      <c r="BY757" s="4"/>
      <c r="BZ757" s="4"/>
      <c r="CA757" s="4"/>
      <c r="CB757" s="4"/>
      <c r="CC757" s="4"/>
      <c r="CD757" s="4"/>
      <c r="CE757" s="4"/>
      <c r="CF757" s="4"/>
      <c r="CG757" s="4"/>
      <c r="CH757" s="4"/>
      <c r="CI757" s="4"/>
    </row>
    <row r="758" ht="14.25" customHeight="1" spans="1:87" x14ac:dyDescent="0.25">
      <c r="A758" s="4"/>
      <c r="B758" s="4"/>
      <c r="C758" s="4"/>
      <c r="D758" s="4"/>
      <c r="E758" s="4"/>
      <c r="F758" s="4"/>
      <c r="G758" s="4"/>
      <c r="H758" s="4"/>
      <c r="I758" s="4"/>
      <c r="J758" s="4"/>
      <c r="K758" s="242"/>
      <c r="L758" s="4"/>
      <c r="M758" s="4"/>
      <c r="N758" s="4"/>
      <c r="O758" s="4"/>
      <c r="P758" s="4"/>
      <c r="Q758" s="4"/>
      <c r="R758" s="4"/>
      <c r="S758" s="4"/>
      <c r="T758" s="4"/>
      <c r="U758" s="4"/>
      <c r="V758" s="4"/>
      <c r="W758" s="4"/>
      <c r="X758" s="4"/>
      <c r="Y758" s="4"/>
      <c r="Z758" s="4"/>
      <c r="AA758" s="4"/>
      <c r="AB758" s="4"/>
      <c r="AC758" s="4"/>
      <c r="AD758" s="4"/>
      <c r="AE758" s="4"/>
      <c r="AF758" s="4"/>
      <c r="AG758" s="4"/>
      <c r="AH758" s="4"/>
      <c r="AI758" s="4"/>
      <c r="AJ758" s="4"/>
      <c r="AK758" s="4"/>
      <c r="AL758" s="4"/>
      <c r="AM758" s="4"/>
      <c r="AN758" s="4"/>
      <c r="AO758" s="4"/>
      <c r="AP758" s="4"/>
      <c r="AQ758" s="4"/>
      <c r="AR758" s="4"/>
      <c r="AS758" s="4"/>
      <c r="AT758" s="4"/>
      <c r="AU758" s="4"/>
      <c r="AV758" s="4"/>
      <c r="AW758" s="4"/>
      <c r="AX758" s="4"/>
      <c r="AY758" s="4"/>
      <c r="AZ758" s="4"/>
      <c r="BA758" s="4"/>
      <c r="BB758" s="4"/>
      <c r="BC758" s="4"/>
      <c r="BD758" s="4"/>
      <c r="BE758" s="4"/>
      <c r="BF758" s="4"/>
      <c r="BG758" s="4"/>
      <c r="BH758" s="4"/>
      <c r="BI758" s="4"/>
      <c r="BJ758" s="4"/>
      <c r="BK758" s="4"/>
      <c r="BL758" s="4"/>
      <c r="BM758" s="4"/>
      <c r="BN758" s="4"/>
      <c r="BO758" s="4"/>
      <c r="BP758" s="4"/>
      <c r="BQ758" s="4"/>
      <c r="BR758" s="4"/>
      <c r="BS758" s="4"/>
      <c r="BT758" s="4"/>
      <c r="BU758" s="4"/>
      <c r="BV758" s="4"/>
      <c r="BW758" s="4"/>
      <c r="BX758" s="4"/>
      <c r="BY758" s="4"/>
      <c r="BZ758" s="4"/>
      <c r="CA758" s="4"/>
      <c r="CB758" s="4"/>
      <c r="CC758" s="4"/>
      <c r="CD758" s="4"/>
      <c r="CE758" s="4"/>
      <c r="CF758" s="4"/>
      <c r="CG758" s="4"/>
      <c r="CH758" s="4"/>
      <c r="CI758" s="4"/>
    </row>
    <row r="759" ht="14.25" customHeight="1" spans="1:87" x14ac:dyDescent="0.25">
      <c r="A759" s="4"/>
      <c r="B759" s="4"/>
      <c r="C759" s="4"/>
      <c r="D759" s="4"/>
      <c r="E759" s="4"/>
      <c r="F759" s="4"/>
      <c r="G759" s="4"/>
      <c r="H759" s="4"/>
      <c r="I759" s="4"/>
      <c r="J759" s="4"/>
      <c r="K759" s="242"/>
      <c r="L759" s="4"/>
      <c r="M759" s="4"/>
      <c r="N759" s="4"/>
      <c r="O759" s="4"/>
      <c r="P759" s="4"/>
      <c r="Q759" s="4"/>
      <c r="R759" s="4"/>
      <c r="S759" s="4"/>
      <c r="T759" s="4"/>
      <c r="U759" s="4"/>
      <c r="V759" s="4"/>
      <c r="W759" s="4"/>
      <c r="X759" s="4"/>
      <c r="Y759" s="4"/>
      <c r="Z759" s="4"/>
      <c r="AA759" s="4"/>
      <c r="AB759" s="4"/>
      <c r="AC759" s="4"/>
      <c r="AD759" s="4"/>
      <c r="AE759" s="4"/>
      <c r="AF759" s="4"/>
      <c r="AG759" s="4"/>
      <c r="AH759" s="4"/>
      <c r="AI759" s="4"/>
      <c r="AJ759" s="4"/>
      <c r="AK759" s="4"/>
      <c r="AL759" s="4"/>
      <c r="AM759" s="4"/>
      <c r="AN759" s="4"/>
      <c r="AO759" s="4"/>
      <c r="AP759" s="4"/>
      <c r="AQ759" s="4"/>
      <c r="AR759" s="4"/>
      <c r="AS759" s="4"/>
      <c r="AT759" s="4"/>
      <c r="AU759" s="4"/>
      <c r="AV759" s="4"/>
      <c r="AW759" s="4"/>
      <c r="AX759" s="4"/>
      <c r="AY759" s="4"/>
      <c r="AZ759" s="4"/>
      <c r="BA759" s="4"/>
      <c r="BB759" s="4"/>
      <c r="BC759" s="4"/>
      <c r="BD759" s="4"/>
      <c r="BE759" s="4"/>
      <c r="BF759" s="4"/>
      <c r="BG759" s="4"/>
      <c r="BH759" s="4"/>
      <c r="BI759" s="4"/>
      <c r="BJ759" s="4"/>
      <c r="BK759" s="4"/>
      <c r="BL759" s="4"/>
      <c r="BM759" s="4"/>
      <c r="BN759" s="4"/>
      <c r="BO759" s="4"/>
      <c r="BP759" s="4"/>
      <c r="BQ759" s="4"/>
      <c r="BR759" s="4"/>
      <c r="BS759" s="4"/>
      <c r="BT759" s="4"/>
      <c r="BU759" s="4"/>
      <c r="BV759" s="4"/>
      <c r="BW759" s="4"/>
      <c r="BX759" s="4"/>
      <c r="BY759" s="4"/>
      <c r="BZ759" s="4"/>
      <c r="CA759" s="4"/>
      <c r="CB759" s="4"/>
      <c r="CC759" s="4"/>
      <c r="CD759" s="4"/>
      <c r="CE759" s="4"/>
      <c r="CF759" s="4"/>
      <c r="CG759" s="4"/>
      <c r="CH759" s="4"/>
      <c r="CI759" s="4"/>
    </row>
    <row r="760" ht="14.25" customHeight="1" spans="1:87" x14ac:dyDescent="0.25">
      <c r="A760" s="4"/>
      <c r="B760" s="4"/>
      <c r="C760" s="4"/>
      <c r="D760" s="4"/>
      <c r="E760" s="4"/>
      <c r="F760" s="4"/>
      <c r="G760" s="4"/>
      <c r="H760" s="4"/>
      <c r="I760" s="4"/>
      <c r="J760" s="4"/>
      <c r="K760" s="242"/>
      <c r="L760" s="4"/>
      <c r="M760" s="4"/>
      <c r="N760" s="4"/>
      <c r="O760" s="4"/>
      <c r="P760" s="4"/>
      <c r="Q760" s="4"/>
      <c r="R760" s="4"/>
      <c r="S760" s="4"/>
      <c r="T760" s="4"/>
      <c r="U760" s="4"/>
      <c r="V760" s="4"/>
      <c r="W760" s="4"/>
      <c r="X760" s="4"/>
      <c r="Y760" s="4"/>
      <c r="Z760" s="4"/>
      <c r="AA760" s="4"/>
      <c r="AB760" s="4"/>
      <c r="AC760" s="4"/>
      <c r="AD760" s="4"/>
      <c r="AE760" s="4"/>
      <c r="AF760" s="4"/>
      <c r="AG760" s="4"/>
      <c r="AH760" s="4"/>
      <c r="AI760" s="4"/>
      <c r="AJ760" s="4"/>
      <c r="AK760" s="4"/>
      <c r="AL760" s="4"/>
      <c r="AM760" s="4"/>
      <c r="AN760" s="4"/>
      <c r="AO760" s="4"/>
      <c r="AP760" s="4"/>
      <c r="AQ760" s="4"/>
      <c r="AR760" s="4"/>
      <c r="AS760" s="4"/>
      <c r="AT760" s="4"/>
      <c r="AU760" s="4"/>
      <c r="AV760" s="4"/>
      <c r="AW760" s="4"/>
      <c r="AX760" s="4"/>
      <c r="AY760" s="4"/>
      <c r="AZ760" s="4"/>
      <c r="BA760" s="4"/>
      <c r="BB760" s="4"/>
      <c r="BC760" s="4"/>
      <c r="BD760" s="4"/>
      <c r="BE760" s="4"/>
      <c r="BF760" s="4"/>
      <c r="BG760" s="4"/>
      <c r="BH760" s="4"/>
      <c r="BI760" s="4"/>
      <c r="BJ760" s="4"/>
      <c r="BK760" s="4"/>
      <c r="BL760" s="4"/>
      <c r="BM760" s="4"/>
      <c r="BN760" s="4"/>
      <c r="BO760" s="4"/>
      <c r="BP760" s="4"/>
      <c r="BQ760" s="4"/>
      <c r="BR760" s="4"/>
      <c r="BS760" s="4"/>
      <c r="BT760" s="4"/>
      <c r="BU760" s="4"/>
      <c r="BV760" s="4"/>
      <c r="BW760" s="4"/>
      <c r="BX760" s="4"/>
      <c r="BY760" s="4"/>
      <c r="BZ760" s="4"/>
      <c r="CA760" s="4"/>
      <c r="CB760" s="4"/>
      <c r="CC760" s="4"/>
      <c r="CD760" s="4"/>
      <c r="CE760" s="4"/>
      <c r="CF760" s="4"/>
      <c r="CG760" s="4"/>
      <c r="CH760" s="4"/>
      <c r="CI760" s="4"/>
    </row>
    <row r="761" ht="14.25" customHeight="1" spans="1:87" x14ac:dyDescent="0.25">
      <c r="A761" s="4"/>
      <c r="B761" s="4"/>
      <c r="C761" s="4"/>
      <c r="D761" s="4"/>
      <c r="E761" s="4"/>
      <c r="F761" s="4"/>
      <c r="G761" s="4"/>
      <c r="H761" s="4"/>
      <c r="I761" s="4"/>
      <c r="J761" s="4"/>
      <c r="K761" s="242"/>
      <c r="L761" s="4"/>
      <c r="M761" s="4"/>
      <c r="N761" s="4"/>
      <c r="O761" s="4"/>
      <c r="P761" s="4"/>
      <c r="Q761" s="4"/>
      <c r="R761" s="4"/>
      <c r="S761" s="4"/>
      <c r="T761" s="4"/>
      <c r="U761" s="4"/>
      <c r="V761" s="4"/>
      <c r="W761" s="4"/>
      <c r="X761" s="4"/>
      <c r="Y761" s="4"/>
      <c r="Z761" s="4"/>
      <c r="AA761" s="4"/>
      <c r="AB761" s="4"/>
      <c r="AC761" s="4"/>
      <c r="AD761" s="4"/>
      <c r="AE761" s="4"/>
      <c r="AF761" s="4"/>
      <c r="AG761" s="4"/>
      <c r="AH761" s="4"/>
      <c r="AI761" s="4"/>
      <c r="AJ761" s="4"/>
      <c r="AK761" s="4"/>
      <c r="AL761" s="4"/>
      <c r="AM761" s="4"/>
      <c r="AN761" s="4"/>
      <c r="AO761" s="4"/>
      <c r="AP761" s="4"/>
      <c r="AQ761" s="4"/>
      <c r="AR761" s="4"/>
      <c r="AS761" s="4"/>
      <c r="AT761" s="4"/>
      <c r="AU761" s="4"/>
      <c r="AV761" s="4"/>
      <c r="AW761" s="4"/>
      <c r="AX761" s="4"/>
      <c r="AY761" s="4"/>
      <c r="AZ761" s="4"/>
      <c r="BA761" s="4"/>
      <c r="BB761" s="4"/>
      <c r="BC761" s="4"/>
      <c r="BD761" s="4"/>
      <c r="BE761" s="4"/>
      <c r="BF761" s="4"/>
      <c r="BG761" s="4"/>
      <c r="BH761" s="4"/>
      <c r="BI761" s="4"/>
      <c r="BJ761" s="4"/>
      <c r="BK761" s="4"/>
      <c r="BL761" s="4"/>
      <c r="BM761" s="4"/>
      <c r="BN761" s="4"/>
      <c r="BO761" s="4"/>
      <c r="BP761" s="4"/>
      <c r="BQ761" s="4"/>
      <c r="BR761" s="4"/>
      <c r="BS761" s="4"/>
      <c r="BT761" s="4"/>
      <c r="BU761" s="4"/>
      <c r="BV761" s="4"/>
      <c r="BW761" s="4"/>
      <c r="BX761" s="4"/>
      <c r="BY761" s="4"/>
      <c r="BZ761" s="4"/>
      <c r="CA761" s="4"/>
      <c r="CB761" s="4"/>
      <c r="CC761" s="4"/>
      <c r="CD761" s="4"/>
      <c r="CE761" s="4"/>
      <c r="CF761" s="4"/>
      <c r="CG761" s="4"/>
      <c r="CH761" s="4"/>
      <c r="CI761" s="4"/>
    </row>
    <row r="762" ht="14.25" customHeight="1" spans="1:87" x14ac:dyDescent="0.25">
      <c r="A762" s="4"/>
      <c r="B762" s="4"/>
      <c r="C762" s="4"/>
      <c r="D762" s="4"/>
      <c r="E762" s="4"/>
      <c r="F762" s="4"/>
      <c r="G762" s="4"/>
      <c r="H762" s="4"/>
      <c r="I762" s="4"/>
      <c r="J762" s="4"/>
      <c r="K762" s="242"/>
      <c r="L762" s="4"/>
      <c r="M762" s="4"/>
      <c r="N762" s="4"/>
      <c r="O762" s="4"/>
      <c r="P762" s="4"/>
      <c r="Q762" s="4"/>
      <c r="R762" s="4"/>
      <c r="S762" s="4"/>
      <c r="T762" s="4"/>
      <c r="U762" s="4"/>
      <c r="V762" s="4"/>
      <c r="W762" s="4"/>
      <c r="X762" s="4"/>
      <c r="Y762" s="4"/>
      <c r="Z762" s="4"/>
      <c r="AA762" s="4"/>
      <c r="AB762" s="4"/>
      <c r="AC762" s="4"/>
      <c r="AD762" s="4"/>
      <c r="AE762" s="4"/>
      <c r="AF762" s="4"/>
      <c r="AG762" s="4"/>
      <c r="AH762" s="4"/>
      <c r="AI762" s="4"/>
      <c r="AJ762" s="4"/>
      <c r="AK762" s="4"/>
      <c r="AL762" s="4"/>
      <c r="AM762" s="4"/>
      <c r="AN762" s="4"/>
      <c r="AO762" s="4"/>
      <c r="AP762" s="4"/>
      <c r="AQ762" s="4"/>
      <c r="AR762" s="4"/>
      <c r="AS762" s="4"/>
      <c r="AT762" s="4"/>
      <c r="AU762" s="4"/>
      <c r="AV762" s="4"/>
      <c r="AW762" s="4"/>
      <c r="AX762" s="4"/>
      <c r="AY762" s="4"/>
      <c r="AZ762" s="4"/>
      <c r="BA762" s="4"/>
      <c r="BB762" s="4"/>
      <c r="BC762" s="4"/>
      <c r="BD762" s="4"/>
      <c r="BE762" s="4"/>
      <c r="BF762" s="4"/>
      <c r="BG762" s="4"/>
      <c r="BH762" s="4"/>
      <c r="BI762" s="4"/>
      <c r="BJ762" s="4"/>
      <c r="BK762" s="4"/>
      <c r="BL762" s="4"/>
      <c r="BM762" s="4"/>
      <c r="BN762" s="4"/>
      <c r="BO762" s="4"/>
      <c r="BP762" s="4"/>
      <c r="BQ762" s="4"/>
      <c r="BR762" s="4"/>
      <c r="BS762" s="4"/>
      <c r="BT762" s="4"/>
      <c r="BU762" s="4"/>
      <c r="BV762" s="4"/>
      <c r="BW762" s="4"/>
      <c r="BX762" s="4"/>
      <c r="BY762" s="4"/>
      <c r="BZ762" s="4"/>
      <c r="CA762" s="4"/>
      <c r="CB762" s="4"/>
      <c r="CC762" s="4"/>
      <c r="CD762" s="4"/>
      <c r="CE762" s="4"/>
      <c r="CF762" s="4"/>
      <c r="CG762" s="4"/>
      <c r="CH762" s="4"/>
      <c r="CI762" s="4"/>
    </row>
    <row r="763" ht="14.25" customHeight="1" spans="1:87" x14ac:dyDescent="0.25">
      <c r="A763" s="4"/>
      <c r="B763" s="4"/>
      <c r="C763" s="4"/>
      <c r="D763" s="4"/>
      <c r="E763" s="4"/>
      <c r="F763" s="4"/>
      <c r="G763" s="4"/>
      <c r="H763" s="4"/>
      <c r="I763" s="4"/>
      <c r="J763" s="4"/>
      <c r="K763" s="242"/>
      <c r="L763" s="4"/>
      <c r="M763" s="4"/>
      <c r="N763" s="4"/>
      <c r="O763" s="4"/>
      <c r="P763" s="4"/>
      <c r="Q763" s="4"/>
      <c r="R763" s="4"/>
      <c r="S763" s="4"/>
      <c r="T763" s="4"/>
      <c r="U763" s="4"/>
      <c r="V763" s="4"/>
      <c r="W763" s="4"/>
      <c r="X763" s="4"/>
      <c r="Y763" s="4"/>
      <c r="Z763" s="4"/>
      <c r="AA763" s="4"/>
      <c r="AB763" s="4"/>
      <c r="AC763" s="4"/>
      <c r="AD763" s="4"/>
      <c r="AE763" s="4"/>
      <c r="AF763" s="4"/>
      <c r="AG763" s="4"/>
      <c r="AH763" s="4"/>
      <c r="AI763" s="4"/>
      <c r="AJ763" s="4"/>
      <c r="AK763" s="4"/>
      <c r="AL763" s="4"/>
      <c r="AM763" s="4"/>
      <c r="AN763" s="4"/>
      <c r="AO763" s="4"/>
      <c r="AP763" s="4"/>
      <c r="AQ763" s="4"/>
      <c r="AR763" s="4"/>
      <c r="AS763" s="4"/>
      <c r="AT763" s="4"/>
      <c r="AU763" s="4"/>
      <c r="AV763" s="4"/>
      <c r="AW763" s="4"/>
      <c r="AX763" s="4"/>
      <c r="AY763" s="4"/>
      <c r="AZ763" s="4"/>
      <c r="BA763" s="4"/>
      <c r="BB763" s="4"/>
      <c r="BC763" s="4"/>
      <c r="BD763" s="4"/>
      <c r="BE763" s="4"/>
      <c r="BF763" s="4"/>
      <c r="BG763" s="4"/>
      <c r="BH763" s="4"/>
      <c r="BI763" s="4"/>
      <c r="BJ763" s="4"/>
      <c r="BK763" s="4"/>
      <c r="BL763" s="4"/>
      <c r="BM763" s="4"/>
      <c r="BN763" s="4"/>
      <c r="BO763" s="4"/>
      <c r="BP763" s="4"/>
      <c r="BQ763" s="4"/>
      <c r="BR763" s="4"/>
      <c r="BS763" s="4"/>
      <c r="BT763" s="4"/>
      <c r="BU763" s="4"/>
      <c r="BV763" s="4"/>
      <c r="BW763" s="4"/>
      <c r="BX763" s="4"/>
      <c r="BY763" s="4"/>
      <c r="BZ763" s="4"/>
      <c r="CA763" s="4"/>
      <c r="CB763" s="4"/>
      <c r="CC763" s="4"/>
      <c r="CD763" s="4"/>
      <c r="CE763" s="4"/>
      <c r="CF763" s="4"/>
      <c r="CG763" s="4"/>
      <c r="CH763" s="4"/>
      <c r="CI763" s="4"/>
    </row>
    <row r="764" ht="14.25" customHeight="1" spans="1:87" x14ac:dyDescent="0.25">
      <c r="A764" s="4"/>
      <c r="B764" s="4"/>
      <c r="C764" s="4"/>
      <c r="D764" s="4"/>
      <c r="E764" s="4"/>
      <c r="F764" s="4"/>
      <c r="G764" s="4"/>
      <c r="H764" s="4"/>
      <c r="I764" s="4"/>
      <c r="J764" s="4"/>
      <c r="K764" s="242"/>
      <c r="L764" s="4"/>
      <c r="M764" s="4"/>
      <c r="N764" s="4"/>
      <c r="O764" s="4"/>
      <c r="P764" s="4"/>
      <c r="Q764" s="4"/>
      <c r="R764" s="4"/>
      <c r="S764" s="4"/>
      <c r="T764" s="4"/>
      <c r="U764" s="4"/>
      <c r="V764" s="4"/>
      <c r="W764" s="4"/>
      <c r="X764" s="4"/>
      <c r="Y764" s="4"/>
      <c r="Z764" s="4"/>
      <c r="AA764" s="4"/>
      <c r="AB764" s="4"/>
      <c r="AC764" s="4"/>
      <c r="AD764" s="4"/>
      <c r="AE764" s="4"/>
      <c r="AF764" s="4"/>
      <c r="AG764" s="4"/>
      <c r="AH764" s="4"/>
      <c r="AI764" s="4"/>
      <c r="AJ764" s="4"/>
      <c r="AK764" s="4"/>
      <c r="AL764" s="4"/>
      <c r="AM764" s="4"/>
      <c r="AN764" s="4"/>
      <c r="AO764" s="4"/>
      <c r="AP764" s="4"/>
      <c r="AQ764" s="4"/>
      <c r="AR764" s="4"/>
      <c r="AS764" s="4"/>
      <c r="AT764" s="4"/>
      <c r="AU764" s="4"/>
      <c r="AV764" s="4"/>
      <c r="AW764" s="4"/>
      <c r="AX764" s="4"/>
      <c r="AY764" s="4"/>
      <c r="AZ764" s="4"/>
      <c r="BA764" s="4"/>
      <c r="BB764" s="4"/>
      <c r="BC764" s="4"/>
      <c r="BD764" s="4"/>
      <c r="BE764" s="4"/>
      <c r="BF764" s="4"/>
      <c r="BG764" s="4"/>
      <c r="BH764" s="4"/>
      <c r="BI764" s="4"/>
      <c r="BJ764" s="4"/>
      <c r="BK764" s="4"/>
      <c r="BL764" s="4"/>
      <c r="BM764" s="4"/>
      <c r="BN764" s="4"/>
      <c r="BO764" s="4"/>
      <c r="BP764" s="4"/>
      <c r="BQ764" s="4"/>
      <c r="BR764" s="4"/>
      <c r="BS764" s="4"/>
      <c r="BT764" s="4"/>
      <c r="BU764" s="4"/>
      <c r="BV764" s="4"/>
      <c r="BW764" s="4"/>
      <c r="BX764" s="4"/>
      <c r="BY764" s="4"/>
      <c r="BZ764" s="4"/>
      <c r="CA764" s="4"/>
      <c r="CB764" s="4"/>
      <c r="CC764" s="4"/>
      <c r="CD764" s="4"/>
      <c r="CE764" s="4"/>
      <c r="CF764" s="4"/>
      <c r="CG764" s="4"/>
      <c r="CH764" s="4"/>
      <c r="CI764" s="4"/>
    </row>
    <row r="765" ht="14.25" customHeight="1" spans="1:87" x14ac:dyDescent="0.25">
      <c r="A765" s="4"/>
      <c r="B765" s="4"/>
      <c r="C765" s="4"/>
      <c r="D765" s="4"/>
      <c r="E765" s="4"/>
      <c r="F765" s="4"/>
      <c r="G765" s="4"/>
      <c r="H765" s="4"/>
      <c r="I765" s="4"/>
      <c r="J765" s="4"/>
      <c r="K765" s="242"/>
      <c r="L765" s="4"/>
      <c r="M765" s="4"/>
      <c r="N765" s="4"/>
      <c r="O765" s="4"/>
      <c r="P765" s="4"/>
      <c r="Q765" s="4"/>
      <c r="R765" s="4"/>
      <c r="S765" s="4"/>
      <c r="T765" s="4"/>
      <c r="U765" s="4"/>
      <c r="V765" s="4"/>
      <c r="W765" s="4"/>
      <c r="X765" s="4"/>
      <c r="Y765" s="4"/>
      <c r="Z765" s="4"/>
      <c r="AA765" s="4"/>
      <c r="AB765" s="4"/>
      <c r="AC765" s="4"/>
      <c r="AD765" s="4"/>
      <c r="AE765" s="4"/>
      <c r="AF765" s="4"/>
      <c r="AG765" s="4"/>
      <c r="AH765" s="4"/>
      <c r="AI765" s="4"/>
      <c r="AJ765" s="4"/>
      <c r="AK765" s="4"/>
      <c r="AL765" s="4"/>
      <c r="AM765" s="4"/>
      <c r="AN765" s="4"/>
      <c r="AO765" s="4"/>
      <c r="AP765" s="4"/>
      <c r="AQ765" s="4"/>
      <c r="AR765" s="4"/>
      <c r="AS765" s="4"/>
      <c r="AT765" s="4"/>
      <c r="AU765" s="4"/>
      <c r="AV765" s="4"/>
      <c r="AW765" s="4"/>
      <c r="AX765" s="4"/>
      <c r="AY765" s="4"/>
      <c r="AZ765" s="4"/>
      <c r="BA765" s="4"/>
      <c r="BB765" s="4"/>
      <c r="BC765" s="4"/>
      <c r="BD765" s="4"/>
      <c r="BE765" s="4"/>
      <c r="BF765" s="4"/>
      <c r="BG765" s="4"/>
      <c r="BH765" s="4"/>
      <c r="BI765" s="4"/>
      <c r="BJ765" s="4"/>
      <c r="BK765" s="4"/>
      <c r="BL765" s="4"/>
      <c r="BM765" s="4"/>
      <c r="BN765" s="4"/>
      <c r="BO765" s="4"/>
      <c r="BP765" s="4"/>
      <c r="BQ765" s="4"/>
      <c r="BR765" s="4"/>
      <c r="BS765" s="4"/>
      <c r="BT765" s="4"/>
      <c r="BU765" s="4"/>
      <c r="BV765" s="4"/>
      <c r="BW765" s="4"/>
      <c r="BX765" s="4"/>
      <c r="BY765" s="4"/>
      <c r="BZ765" s="4"/>
      <c r="CA765" s="4"/>
      <c r="CB765" s="4"/>
      <c r="CC765" s="4"/>
      <c r="CD765" s="4"/>
      <c r="CE765" s="4"/>
      <c r="CF765" s="4"/>
      <c r="CG765" s="4"/>
      <c r="CH765" s="4"/>
      <c r="CI765" s="4"/>
    </row>
    <row r="766" ht="14.25" customHeight="1" spans="1:87" x14ac:dyDescent="0.25">
      <c r="A766" s="4"/>
      <c r="B766" s="4"/>
      <c r="C766" s="4"/>
      <c r="D766" s="4"/>
      <c r="E766" s="4"/>
      <c r="F766" s="4"/>
      <c r="G766" s="4"/>
      <c r="H766" s="4"/>
      <c r="I766" s="4"/>
      <c r="J766" s="4"/>
      <c r="K766" s="242"/>
      <c r="L766" s="4"/>
      <c r="M766" s="4"/>
      <c r="N766" s="4"/>
      <c r="O766" s="4"/>
      <c r="P766" s="4"/>
      <c r="Q766" s="4"/>
      <c r="R766" s="4"/>
      <c r="S766" s="4"/>
      <c r="T766" s="4"/>
      <c r="U766" s="4"/>
      <c r="V766" s="4"/>
      <c r="W766" s="4"/>
      <c r="X766" s="4"/>
      <c r="Y766" s="4"/>
      <c r="Z766" s="4"/>
      <c r="AA766" s="4"/>
      <c r="AB766" s="4"/>
      <c r="AC766" s="4"/>
      <c r="AD766" s="4"/>
      <c r="AE766" s="4"/>
      <c r="AF766" s="4"/>
      <c r="AG766" s="4"/>
      <c r="AH766" s="4"/>
      <c r="AI766" s="4"/>
      <c r="AJ766" s="4"/>
      <c r="AK766" s="4"/>
      <c r="AL766" s="4"/>
      <c r="AM766" s="4"/>
      <c r="AN766" s="4"/>
      <c r="AO766" s="4"/>
      <c r="AP766" s="4"/>
      <c r="AQ766" s="4"/>
      <c r="AR766" s="4"/>
      <c r="AS766" s="4"/>
      <c r="AT766" s="4"/>
      <c r="AU766" s="4"/>
      <c r="AV766" s="4"/>
      <c r="AW766" s="4"/>
      <c r="AX766" s="4"/>
      <c r="AY766" s="4"/>
      <c r="AZ766" s="4"/>
      <c r="BA766" s="4"/>
      <c r="BB766" s="4"/>
      <c r="BC766" s="4"/>
      <c r="BD766" s="4"/>
      <c r="BE766" s="4"/>
      <c r="BF766" s="4"/>
      <c r="BG766" s="4"/>
      <c r="BH766" s="4"/>
      <c r="BI766" s="4"/>
      <c r="BJ766" s="4"/>
      <c r="BK766" s="4"/>
      <c r="BL766" s="4"/>
      <c r="BM766" s="4"/>
      <c r="BN766" s="4"/>
      <c r="BO766" s="4"/>
      <c r="BP766" s="4"/>
      <c r="BQ766" s="4"/>
      <c r="BR766" s="4"/>
      <c r="BS766" s="4"/>
      <c r="BT766" s="4"/>
      <c r="BU766" s="4"/>
      <c r="BV766" s="4"/>
      <c r="BW766" s="4"/>
      <c r="BX766" s="4"/>
      <c r="BY766" s="4"/>
      <c r="BZ766" s="4"/>
      <c r="CA766" s="4"/>
      <c r="CB766" s="4"/>
      <c r="CC766" s="4"/>
      <c r="CD766" s="4"/>
      <c r="CE766" s="4"/>
      <c r="CF766" s="4"/>
      <c r="CG766" s="4"/>
      <c r="CH766" s="4"/>
      <c r="CI766" s="4"/>
    </row>
    <row r="767" ht="14.25" customHeight="1" spans="1:87" x14ac:dyDescent="0.25">
      <c r="A767" s="4"/>
      <c r="B767" s="4"/>
      <c r="C767" s="4"/>
      <c r="D767" s="4"/>
      <c r="E767" s="4"/>
      <c r="F767" s="4"/>
      <c r="G767" s="4"/>
      <c r="H767" s="4"/>
      <c r="I767" s="4"/>
      <c r="J767" s="4"/>
      <c r="K767" s="242"/>
      <c r="L767" s="4"/>
      <c r="M767" s="4"/>
      <c r="N767" s="4"/>
      <c r="O767" s="4"/>
      <c r="P767" s="4"/>
      <c r="Q767" s="4"/>
      <c r="R767" s="4"/>
      <c r="S767" s="4"/>
      <c r="T767" s="4"/>
      <c r="U767" s="4"/>
      <c r="V767" s="4"/>
      <c r="W767" s="4"/>
      <c r="X767" s="4"/>
      <c r="Y767" s="4"/>
      <c r="Z767" s="4"/>
      <c r="AA767" s="4"/>
      <c r="AB767" s="4"/>
      <c r="AC767" s="4"/>
      <c r="AD767" s="4"/>
      <c r="AE767" s="4"/>
      <c r="AF767" s="4"/>
      <c r="AG767" s="4"/>
      <c r="AH767" s="4"/>
      <c r="AI767" s="4"/>
      <c r="AJ767" s="4"/>
      <c r="AK767" s="4"/>
      <c r="AL767" s="4"/>
      <c r="AM767" s="4"/>
      <c r="AN767" s="4"/>
      <c r="AO767" s="4"/>
      <c r="AP767" s="4"/>
      <c r="AQ767" s="4"/>
      <c r="AR767" s="4"/>
      <c r="AS767" s="4"/>
      <c r="AT767" s="4"/>
      <c r="AU767" s="4"/>
      <c r="AV767" s="4"/>
      <c r="AW767" s="4"/>
      <c r="AX767" s="4"/>
      <c r="AY767" s="4"/>
      <c r="AZ767" s="4"/>
      <c r="BA767" s="4"/>
      <c r="BB767" s="4"/>
      <c r="BC767" s="4"/>
      <c r="BD767" s="4"/>
      <c r="BE767" s="4"/>
      <c r="BF767" s="4"/>
      <c r="BG767" s="4"/>
      <c r="BH767" s="4"/>
      <c r="BI767" s="4"/>
      <c r="BJ767" s="4"/>
      <c r="BK767" s="4"/>
      <c r="BL767" s="4"/>
      <c r="BM767" s="4"/>
      <c r="BN767" s="4"/>
      <c r="BO767" s="4"/>
      <c r="BP767" s="4"/>
      <c r="BQ767" s="4"/>
      <c r="BR767" s="4"/>
      <c r="BS767" s="4"/>
      <c r="BT767" s="4"/>
      <c r="BU767" s="4"/>
      <c r="BV767" s="4"/>
      <c r="BW767" s="4"/>
      <c r="BX767" s="4"/>
      <c r="BY767" s="4"/>
      <c r="BZ767" s="4"/>
      <c r="CA767" s="4"/>
      <c r="CB767" s="4"/>
      <c r="CC767" s="4"/>
      <c r="CD767" s="4"/>
      <c r="CE767" s="4"/>
      <c r="CF767" s="4"/>
      <c r="CG767" s="4"/>
      <c r="CH767" s="4"/>
      <c r="CI767" s="4"/>
    </row>
    <row r="768" ht="14.25" customHeight="1" spans="1:87" x14ac:dyDescent="0.25">
      <c r="A768" s="4"/>
      <c r="B768" s="4"/>
      <c r="C768" s="4"/>
      <c r="D768" s="4"/>
      <c r="E768" s="4"/>
      <c r="F768" s="4"/>
      <c r="G768" s="4"/>
      <c r="H768" s="4"/>
      <c r="I768" s="4"/>
      <c r="J768" s="4"/>
      <c r="K768" s="242"/>
      <c r="L768" s="4"/>
      <c r="M768" s="4"/>
      <c r="N768" s="4"/>
      <c r="O768" s="4"/>
      <c r="P768" s="4"/>
      <c r="Q768" s="4"/>
      <c r="R768" s="4"/>
      <c r="S768" s="4"/>
      <c r="T768" s="4"/>
      <c r="U768" s="4"/>
      <c r="V768" s="4"/>
      <c r="W768" s="4"/>
      <c r="X768" s="4"/>
      <c r="Y768" s="4"/>
      <c r="Z768" s="4"/>
      <c r="AA768" s="4"/>
      <c r="AB768" s="4"/>
      <c r="AC768" s="4"/>
      <c r="AD768" s="4"/>
      <c r="AE768" s="4"/>
      <c r="AF768" s="4"/>
      <c r="AG768" s="4"/>
      <c r="AH768" s="4"/>
      <c r="AI768" s="4"/>
      <c r="AJ768" s="4"/>
      <c r="AK768" s="4"/>
      <c r="AL768" s="4"/>
      <c r="AM768" s="4"/>
      <c r="AN768" s="4"/>
      <c r="AO768" s="4"/>
      <c r="AP768" s="4"/>
      <c r="AQ768" s="4"/>
      <c r="AR768" s="4"/>
      <c r="AS768" s="4"/>
      <c r="AT768" s="4"/>
      <c r="AU768" s="4"/>
      <c r="AV768" s="4"/>
      <c r="AW768" s="4"/>
      <c r="AX768" s="4"/>
      <c r="AY768" s="4"/>
      <c r="AZ768" s="4"/>
      <c r="BA768" s="4"/>
      <c r="BB768" s="4"/>
      <c r="BC768" s="4"/>
      <c r="BD768" s="4"/>
      <c r="BE768" s="4"/>
      <c r="BF768" s="4"/>
      <c r="BG768" s="4"/>
      <c r="BH768" s="4"/>
      <c r="BI768" s="4"/>
      <c r="BJ768" s="4"/>
      <c r="BK768" s="4"/>
      <c r="BL768" s="4"/>
      <c r="BM768" s="4"/>
      <c r="BN768" s="4"/>
      <c r="BO768" s="4"/>
      <c r="BP768" s="4"/>
      <c r="BQ768" s="4"/>
      <c r="BR768" s="4"/>
      <c r="BS768" s="4"/>
      <c r="BT768" s="4"/>
      <c r="BU768" s="4"/>
      <c r="BV768" s="4"/>
      <c r="BW768" s="4"/>
      <c r="BX768" s="4"/>
      <c r="BY768" s="4"/>
      <c r="BZ768" s="4"/>
      <c r="CA768" s="4"/>
      <c r="CB768" s="4"/>
      <c r="CC768" s="4"/>
      <c r="CD768" s="4"/>
      <c r="CE768" s="4"/>
      <c r="CF768" s="4"/>
      <c r="CG768" s="4"/>
      <c r="CH768" s="4"/>
      <c r="CI768" s="4"/>
    </row>
    <row r="769" ht="14.25" customHeight="1" spans="1:87" x14ac:dyDescent="0.25">
      <c r="A769" s="4"/>
      <c r="B769" s="4"/>
      <c r="C769" s="4"/>
      <c r="D769" s="4"/>
      <c r="E769" s="4"/>
      <c r="F769" s="4"/>
      <c r="G769" s="4"/>
      <c r="H769" s="4"/>
      <c r="I769" s="4"/>
      <c r="J769" s="4"/>
      <c r="K769" s="242"/>
      <c r="L769" s="4"/>
      <c r="M769" s="4"/>
      <c r="N769" s="4"/>
      <c r="O769" s="4"/>
      <c r="P769" s="4"/>
      <c r="Q769" s="4"/>
      <c r="R769" s="4"/>
      <c r="S769" s="4"/>
      <c r="T769" s="4"/>
      <c r="U769" s="4"/>
      <c r="V769" s="4"/>
      <c r="W769" s="4"/>
      <c r="X769" s="4"/>
      <c r="Y769" s="4"/>
      <c r="Z769" s="4"/>
      <c r="AA769" s="4"/>
      <c r="AB769" s="4"/>
      <c r="AC769" s="4"/>
      <c r="AD769" s="4"/>
      <c r="AE769" s="4"/>
      <c r="AF769" s="4"/>
      <c r="AG769" s="4"/>
      <c r="AH769" s="4"/>
      <c r="AI769" s="4"/>
      <c r="AJ769" s="4"/>
      <c r="AK769" s="4"/>
      <c r="AL769" s="4"/>
      <c r="AM769" s="4"/>
      <c r="AN769" s="4"/>
      <c r="AO769" s="4"/>
      <c r="AP769" s="4"/>
      <c r="AQ769" s="4"/>
      <c r="AR769" s="4"/>
      <c r="AS769" s="4"/>
      <c r="AT769" s="4"/>
      <c r="AU769" s="4"/>
      <c r="AV769" s="4"/>
      <c r="AW769" s="4"/>
      <c r="AX769" s="4"/>
      <c r="AY769" s="4"/>
      <c r="AZ769" s="4"/>
      <c r="BA769" s="4"/>
      <c r="BB769" s="4"/>
      <c r="BC769" s="4"/>
      <c r="BD769" s="4"/>
      <c r="BE769" s="4"/>
      <c r="BF769" s="4"/>
      <c r="BG769" s="4"/>
      <c r="BH769" s="4"/>
      <c r="BI769" s="4"/>
      <c r="BJ769" s="4"/>
      <c r="BK769" s="4"/>
      <c r="BL769" s="4"/>
      <c r="BM769" s="4"/>
      <c r="BN769" s="4"/>
      <c r="BO769" s="4"/>
      <c r="BP769" s="4"/>
      <c r="BQ769" s="4"/>
      <c r="BR769" s="4"/>
      <c r="BS769" s="4"/>
      <c r="BT769" s="4"/>
      <c r="BU769" s="4"/>
      <c r="BV769" s="4"/>
      <c r="BW769" s="4"/>
      <c r="BX769" s="4"/>
      <c r="BY769" s="4"/>
      <c r="BZ769" s="4"/>
      <c r="CA769" s="4"/>
      <c r="CB769" s="4"/>
      <c r="CC769" s="4"/>
      <c r="CD769" s="4"/>
      <c r="CE769" s="4"/>
      <c r="CF769" s="4"/>
      <c r="CG769" s="4"/>
      <c r="CH769" s="4"/>
      <c r="CI769" s="4"/>
    </row>
    <row r="770" ht="14.25" customHeight="1" spans="1:87" x14ac:dyDescent="0.25">
      <c r="A770" s="4"/>
      <c r="B770" s="4"/>
      <c r="C770" s="4"/>
      <c r="D770" s="4"/>
      <c r="E770" s="4"/>
      <c r="F770" s="4"/>
      <c r="G770" s="4"/>
      <c r="H770" s="4"/>
      <c r="I770" s="4"/>
      <c r="J770" s="4"/>
      <c r="K770" s="242"/>
      <c r="L770" s="4"/>
      <c r="M770" s="4"/>
      <c r="N770" s="4"/>
      <c r="O770" s="4"/>
      <c r="P770" s="4"/>
      <c r="Q770" s="4"/>
      <c r="R770" s="4"/>
      <c r="S770" s="4"/>
      <c r="T770" s="4"/>
      <c r="U770" s="4"/>
      <c r="V770" s="4"/>
      <c r="W770" s="4"/>
      <c r="X770" s="4"/>
      <c r="Y770" s="4"/>
      <c r="Z770" s="4"/>
      <c r="AA770" s="4"/>
      <c r="AB770" s="4"/>
      <c r="AC770" s="4"/>
      <c r="AD770" s="4"/>
      <c r="AE770" s="4"/>
      <c r="AF770" s="4"/>
      <c r="AG770" s="4"/>
      <c r="AH770" s="4"/>
      <c r="AI770" s="4"/>
      <c r="AJ770" s="4"/>
      <c r="AK770" s="4"/>
      <c r="AL770" s="4"/>
      <c r="AM770" s="4"/>
      <c r="AN770" s="4"/>
      <c r="AO770" s="4"/>
      <c r="AP770" s="4"/>
      <c r="AQ770" s="4"/>
      <c r="AR770" s="4"/>
      <c r="AS770" s="4"/>
      <c r="AT770" s="4"/>
      <c r="AU770" s="4"/>
      <c r="AV770" s="4"/>
      <c r="AW770" s="4"/>
      <c r="AX770" s="4"/>
      <c r="AY770" s="4"/>
      <c r="AZ770" s="4"/>
      <c r="BA770" s="4"/>
      <c r="BB770" s="4"/>
      <c r="BC770" s="4"/>
      <c r="BD770" s="4"/>
      <c r="BE770" s="4"/>
      <c r="BF770" s="4"/>
      <c r="BG770" s="4"/>
      <c r="BH770" s="4"/>
      <c r="BI770" s="4"/>
      <c r="BJ770" s="4"/>
      <c r="BK770" s="4"/>
      <c r="BL770" s="4"/>
      <c r="BM770" s="4"/>
      <c r="BN770" s="4"/>
      <c r="BO770" s="4"/>
      <c r="BP770" s="4"/>
      <c r="BQ770" s="4"/>
      <c r="BR770" s="4"/>
      <c r="BS770" s="4"/>
      <c r="BT770" s="4"/>
      <c r="BU770" s="4"/>
      <c r="BV770" s="4"/>
      <c r="BW770" s="4"/>
      <c r="BX770" s="4"/>
      <c r="BY770" s="4"/>
      <c r="BZ770" s="4"/>
      <c r="CA770" s="4"/>
      <c r="CB770" s="4"/>
      <c r="CC770" s="4"/>
      <c r="CD770" s="4"/>
      <c r="CE770" s="4"/>
      <c r="CF770" s="4"/>
      <c r="CG770" s="4"/>
      <c r="CH770" s="4"/>
      <c r="CI770" s="4"/>
    </row>
    <row r="771" ht="14.25" customHeight="1" spans="1:87" x14ac:dyDescent="0.25">
      <c r="A771" s="4"/>
      <c r="B771" s="4"/>
      <c r="C771" s="4"/>
      <c r="D771" s="4"/>
      <c r="E771" s="4"/>
      <c r="F771" s="4"/>
      <c r="G771" s="4"/>
      <c r="H771" s="4"/>
      <c r="I771" s="4"/>
      <c r="J771" s="4"/>
      <c r="K771" s="242"/>
      <c r="L771" s="4"/>
      <c r="M771" s="4"/>
      <c r="N771" s="4"/>
      <c r="O771" s="4"/>
      <c r="P771" s="4"/>
      <c r="Q771" s="4"/>
      <c r="R771" s="4"/>
      <c r="S771" s="4"/>
      <c r="T771" s="4"/>
      <c r="U771" s="4"/>
      <c r="V771" s="4"/>
      <c r="W771" s="4"/>
      <c r="X771" s="4"/>
      <c r="Y771" s="4"/>
      <c r="Z771" s="4"/>
      <c r="AA771" s="4"/>
      <c r="AB771" s="4"/>
      <c r="AC771" s="4"/>
      <c r="AD771" s="4"/>
      <c r="AE771" s="4"/>
      <c r="AF771" s="4"/>
      <c r="AG771" s="4"/>
      <c r="AH771" s="4"/>
      <c r="AI771" s="4"/>
      <c r="AJ771" s="4"/>
      <c r="AK771" s="4"/>
      <c r="AL771" s="4"/>
      <c r="AM771" s="4"/>
      <c r="AN771" s="4"/>
      <c r="AO771" s="4"/>
      <c r="AP771" s="4"/>
      <c r="AQ771" s="4"/>
      <c r="AR771" s="4"/>
      <c r="AS771" s="4"/>
      <c r="AT771" s="4"/>
      <c r="AU771" s="4"/>
      <c r="AV771" s="4"/>
      <c r="AW771" s="4"/>
      <c r="AX771" s="4"/>
      <c r="AY771" s="4"/>
      <c r="AZ771" s="4"/>
      <c r="BA771" s="4"/>
      <c r="BB771" s="4"/>
      <c r="BC771" s="4"/>
      <c r="BD771" s="4"/>
      <c r="BE771" s="4"/>
      <c r="BF771" s="4"/>
      <c r="BG771" s="4"/>
      <c r="BH771" s="4"/>
      <c r="BI771" s="4"/>
      <c r="BJ771" s="4"/>
      <c r="BK771" s="4"/>
      <c r="BL771" s="4"/>
      <c r="BM771" s="4"/>
      <c r="BN771" s="4"/>
      <c r="BO771" s="4"/>
      <c r="BP771" s="4"/>
      <c r="BQ771" s="4"/>
      <c r="BR771" s="4"/>
      <c r="BS771" s="4"/>
      <c r="BT771" s="4"/>
      <c r="BU771" s="4"/>
      <c r="BV771" s="4"/>
      <c r="BW771" s="4"/>
      <c r="BX771" s="4"/>
      <c r="BY771" s="4"/>
      <c r="BZ771" s="4"/>
      <c r="CA771" s="4"/>
      <c r="CB771" s="4"/>
      <c r="CC771" s="4"/>
      <c r="CD771" s="4"/>
      <c r="CE771" s="4"/>
      <c r="CF771" s="4"/>
      <c r="CG771" s="4"/>
      <c r="CH771" s="4"/>
      <c r="CI771" s="4"/>
    </row>
    <row r="772" ht="14.25" customHeight="1" spans="1:87" x14ac:dyDescent="0.25">
      <c r="A772" s="4"/>
      <c r="B772" s="4"/>
      <c r="C772" s="4"/>
      <c r="D772" s="4"/>
      <c r="E772" s="4"/>
      <c r="F772" s="4"/>
      <c r="G772" s="4"/>
      <c r="H772" s="4"/>
      <c r="I772" s="4"/>
      <c r="J772" s="4"/>
      <c r="K772" s="242"/>
      <c r="L772" s="4"/>
      <c r="M772" s="4"/>
      <c r="N772" s="4"/>
      <c r="O772" s="4"/>
      <c r="P772" s="4"/>
      <c r="Q772" s="4"/>
      <c r="R772" s="4"/>
      <c r="S772" s="4"/>
      <c r="T772" s="4"/>
      <c r="U772" s="4"/>
      <c r="V772" s="4"/>
      <c r="W772" s="4"/>
      <c r="X772" s="4"/>
      <c r="Y772" s="4"/>
      <c r="Z772" s="4"/>
      <c r="AA772" s="4"/>
      <c r="AB772" s="4"/>
      <c r="AC772" s="4"/>
      <c r="AD772" s="4"/>
      <c r="AE772" s="4"/>
      <c r="AF772" s="4"/>
      <c r="AG772" s="4"/>
      <c r="AH772" s="4"/>
      <c r="AI772" s="4"/>
      <c r="AJ772" s="4"/>
      <c r="AK772" s="4"/>
      <c r="AL772" s="4"/>
      <c r="AM772" s="4"/>
      <c r="AN772" s="4"/>
      <c r="AO772" s="4"/>
      <c r="AP772" s="4"/>
      <c r="AQ772" s="4"/>
      <c r="AR772" s="4"/>
      <c r="AS772" s="4"/>
      <c r="AT772" s="4"/>
      <c r="AU772" s="4"/>
      <c r="AV772" s="4"/>
      <c r="AW772" s="4"/>
      <c r="AX772" s="4"/>
      <c r="AY772" s="4"/>
      <c r="AZ772" s="4"/>
      <c r="BA772" s="4"/>
      <c r="BB772" s="4"/>
      <c r="BC772" s="4"/>
      <c r="BD772" s="4"/>
      <c r="BE772" s="4"/>
      <c r="BF772" s="4"/>
      <c r="BG772" s="4"/>
      <c r="BH772" s="4"/>
      <c r="BI772" s="4"/>
      <c r="BJ772" s="4"/>
      <c r="BK772" s="4"/>
      <c r="BL772" s="4"/>
      <c r="BM772" s="4"/>
      <c r="BN772" s="4"/>
      <c r="BO772" s="4"/>
      <c r="BP772" s="4"/>
      <c r="BQ772" s="4"/>
      <c r="BR772" s="4"/>
      <c r="BS772" s="4"/>
      <c r="BT772" s="4"/>
      <c r="BU772" s="4"/>
      <c r="BV772" s="4"/>
      <c r="BW772" s="4"/>
      <c r="BX772" s="4"/>
      <c r="BY772" s="4"/>
      <c r="BZ772" s="4"/>
      <c r="CA772" s="4"/>
      <c r="CB772" s="4"/>
      <c r="CC772" s="4"/>
      <c r="CD772" s="4"/>
      <c r="CE772" s="4"/>
      <c r="CF772" s="4"/>
      <c r="CG772" s="4"/>
      <c r="CH772" s="4"/>
      <c r="CI772" s="4"/>
    </row>
    <row r="773" ht="14.25" customHeight="1" spans="1:87" x14ac:dyDescent="0.25">
      <c r="A773" s="4"/>
      <c r="B773" s="4"/>
      <c r="C773" s="4"/>
      <c r="D773" s="4"/>
      <c r="E773" s="4"/>
      <c r="F773" s="4"/>
      <c r="G773" s="4"/>
      <c r="H773" s="4"/>
      <c r="I773" s="4"/>
      <c r="J773" s="4"/>
      <c r="K773" s="242"/>
      <c r="L773" s="4"/>
      <c r="M773" s="4"/>
      <c r="N773" s="4"/>
      <c r="O773" s="4"/>
      <c r="P773" s="4"/>
      <c r="Q773" s="4"/>
      <c r="R773" s="4"/>
      <c r="S773" s="4"/>
      <c r="T773" s="4"/>
      <c r="U773" s="4"/>
      <c r="V773" s="4"/>
      <c r="W773" s="4"/>
      <c r="X773" s="4"/>
      <c r="Y773" s="4"/>
      <c r="Z773" s="4"/>
      <c r="AA773" s="4"/>
      <c r="AB773" s="4"/>
      <c r="AC773" s="4"/>
      <c r="AD773" s="4"/>
      <c r="AE773" s="4"/>
      <c r="AF773" s="4"/>
      <c r="AG773" s="4"/>
      <c r="AH773" s="4"/>
      <c r="AI773" s="4"/>
      <c r="AJ773" s="4"/>
      <c r="AK773" s="4"/>
      <c r="AL773" s="4"/>
      <c r="AM773" s="4"/>
      <c r="AN773" s="4"/>
      <c r="AO773" s="4"/>
      <c r="AP773" s="4"/>
      <c r="AQ773" s="4"/>
      <c r="AR773" s="4"/>
      <c r="AS773" s="4"/>
      <c r="AT773" s="4"/>
      <c r="AU773" s="4"/>
      <c r="AV773" s="4"/>
      <c r="AW773" s="4"/>
      <c r="AX773" s="4"/>
      <c r="AY773" s="4"/>
      <c r="AZ773" s="4"/>
      <c r="BA773" s="4"/>
      <c r="BB773" s="4"/>
      <c r="BC773" s="4"/>
      <c r="BD773" s="4"/>
      <c r="BE773" s="4"/>
      <c r="BF773" s="4"/>
      <c r="BG773" s="4"/>
      <c r="BH773" s="4"/>
      <c r="BI773" s="4"/>
      <c r="BJ773" s="4"/>
      <c r="BK773" s="4"/>
      <c r="BL773" s="4"/>
      <c r="BM773" s="4"/>
      <c r="BN773" s="4"/>
      <c r="BO773" s="4"/>
      <c r="BP773" s="4"/>
      <c r="BQ773" s="4"/>
      <c r="BR773" s="4"/>
      <c r="BS773" s="4"/>
      <c r="BT773" s="4"/>
      <c r="BU773" s="4"/>
      <c r="BV773" s="4"/>
      <c r="BW773" s="4"/>
      <c r="BX773" s="4"/>
      <c r="BY773" s="4"/>
      <c r="BZ773" s="4"/>
      <c r="CA773" s="4"/>
      <c r="CB773" s="4"/>
      <c r="CC773" s="4"/>
      <c r="CD773" s="4"/>
      <c r="CE773" s="4"/>
      <c r="CF773" s="4"/>
      <c r="CG773" s="4"/>
      <c r="CH773" s="4"/>
      <c r="CI773" s="4"/>
    </row>
    <row r="774" ht="14.25" customHeight="1" spans="1:87" x14ac:dyDescent="0.25">
      <c r="A774" s="4"/>
      <c r="B774" s="4"/>
      <c r="C774" s="4"/>
      <c r="D774" s="4"/>
      <c r="E774" s="4"/>
      <c r="F774" s="4"/>
      <c r="G774" s="4"/>
      <c r="H774" s="4"/>
      <c r="I774" s="4"/>
      <c r="J774" s="4"/>
      <c r="K774" s="242"/>
      <c r="L774" s="4"/>
      <c r="M774" s="4"/>
      <c r="N774" s="4"/>
      <c r="O774" s="4"/>
      <c r="P774" s="4"/>
      <c r="Q774" s="4"/>
      <c r="R774" s="4"/>
      <c r="S774" s="4"/>
      <c r="T774" s="4"/>
      <c r="U774" s="4"/>
      <c r="V774" s="4"/>
      <c r="W774" s="4"/>
      <c r="X774" s="4"/>
      <c r="Y774" s="4"/>
      <c r="Z774" s="4"/>
      <c r="AA774" s="4"/>
      <c r="AB774" s="4"/>
      <c r="AC774" s="4"/>
      <c r="AD774" s="4"/>
      <c r="AE774" s="4"/>
      <c r="AF774" s="4"/>
      <c r="AG774" s="4"/>
      <c r="AH774" s="4"/>
      <c r="AI774" s="4"/>
      <c r="AJ774" s="4"/>
      <c r="AK774" s="4"/>
      <c r="AL774" s="4"/>
      <c r="AM774" s="4"/>
      <c r="AN774" s="4"/>
      <c r="AO774" s="4"/>
      <c r="AP774" s="4"/>
      <c r="AQ774" s="4"/>
      <c r="AR774" s="4"/>
      <c r="AS774" s="4"/>
      <c r="AT774" s="4"/>
      <c r="AU774" s="4"/>
      <c r="AV774" s="4"/>
      <c r="AW774" s="4"/>
      <c r="AX774" s="4"/>
      <c r="AY774" s="4"/>
      <c r="AZ774" s="4"/>
      <c r="BA774" s="4"/>
      <c r="BB774" s="4"/>
      <c r="BC774" s="4"/>
      <c r="BD774" s="4"/>
      <c r="BE774" s="4"/>
      <c r="BF774" s="4"/>
      <c r="BG774" s="4"/>
      <c r="BH774" s="4"/>
      <c r="BI774" s="4"/>
      <c r="BJ774" s="4"/>
      <c r="BK774" s="4"/>
      <c r="BL774" s="4"/>
      <c r="BM774" s="4"/>
      <c r="BN774" s="4"/>
      <c r="BO774" s="4"/>
      <c r="BP774" s="4"/>
      <c r="BQ774" s="4"/>
      <c r="BR774" s="4"/>
      <c r="BS774" s="4"/>
      <c r="BT774" s="4"/>
      <c r="BU774" s="4"/>
      <c r="BV774" s="4"/>
      <c r="BW774" s="4"/>
      <c r="BX774" s="4"/>
      <c r="BY774" s="4"/>
      <c r="BZ774" s="4"/>
      <c r="CA774" s="4"/>
      <c r="CB774" s="4"/>
      <c r="CC774" s="4"/>
      <c r="CD774" s="4"/>
      <c r="CE774" s="4"/>
      <c r="CF774" s="4"/>
      <c r="CG774" s="4"/>
      <c r="CH774" s="4"/>
      <c r="CI774" s="4"/>
    </row>
    <row r="775" ht="14.25" customHeight="1" spans="1:87" x14ac:dyDescent="0.25">
      <c r="A775" s="4"/>
      <c r="B775" s="4"/>
      <c r="C775" s="4"/>
      <c r="D775" s="4"/>
      <c r="E775" s="4"/>
      <c r="F775" s="4"/>
      <c r="G775" s="4"/>
      <c r="H775" s="4"/>
      <c r="I775" s="4"/>
      <c r="J775" s="4"/>
      <c r="K775" s="242"/>
      <c r="L775" s="4"/>
      <c r="M775" s="4"/>
      <c r="N775" s="4"/>
      <c r="O775" s="4"/>
      <c r="P775" s="4"/>
      <c r="Q775" s="4"/>
      <c r="R775" s="4"/>
      <c r="S775" s="4"/>
      <c r="T775" s="4"/>
      <c r="U775" s="4"/>
      <c r="V775" s="4"/>
      <c r="W775" s="4"/>
      <c r="X775" s="4"/>
      <c r="Y775" s="4"/>
      <c r="Z775" s="4"/>
      <c r="AA775" s="4"/>
      <c r="AB775" s="4"/>
      <c r="AC775" s="4"/>
      <c r="AD775" s="4"/>
      <c r="AE775" s="4"/>
      <c r="AF775" s="4"/>
      <c r="AG775" s="4"/>
      <c r="AH775" s="4"/>
      <c r="AI775" s="4"/>
      <c r="AJ775" s="4"/>
      <c r="AK775" s="4"/>
      <c r="AL775" s="4"/>
      <c r="AM775" s="4"/>
      <c r="AN775" s="4"/>
      <c r="AO775" s="4"/>
      <c r="AP775" s="4"/>
      <c r="AQ775" s="4"/>
      <c r="AR775" s="4"/>
      <c r="AS775" s="4"/>
      <c r="AT775" s="4"/>
      <c r="AU775" s="4"/>
      <c r="AV775" s="4"/>
      <c r="AW775" s="4"/>
      <c r="AX775" s="4"/>
      <c r="AY775" s="4"/>
      <c r="AZ775" s="4"/>
      <c r="BA775" s="4"/>
      <c r="BB775" s="4"/>
      <c r="BC775" s="4"/>
      <c r="BD775" s="4"/>
      <c r="BE775" s="4"/>
      <c r="BF775" s="4"/>
      <c r="BG775" s="4"/>
      <c r="BH775" s="4"/>
      <c r="BI775" s="4"/>
      <c r="BJ775" s="4"/>
      <c r="BK775" s="4"/>
      <c r="BL775" s="4"/>
      <c r="BM775" s="4"/>
      <c r="BN775" s="4"/>
      <c r="BO775" s="4"/>
      <c r="BP775" s="4"/>
      <c r="BQ775" s="4"/>
      <c r="BR775" s="4"/>
      <c r="BS775" s="4"/>
      <c r="BT775" s="4"/>
      <c r="BU775" s="4"/>
      <c r="BV775" s="4"/>
      <c r="BW775" s="4"/>
      <c r="BX775" s="4"/>
      <c r="BY775" s="4"/>
      <c r="BZ775" s="4"/>
      <c r="CA775" s="4"/>
      <c r="CB775" s="4"/>
      <c r="CC775" s="4"/>
      <c r="CD775" s="4"/>
      <c r="CE775" s="4"/>
      <c r="CF775" s="4"/>
      <c r="CG775" s="4"/>
      <c r="CH775" s="4"/>
      <c r="CI775" s="4"/>
    </row>
    <row r="776" ht="14.25" customHeight="1" spans="1:87" x14ac:dyDescent="0.25">
      <c r="A776" s="4"/>
      <c r="B776" s="4"/>
      <c r="C776" s="4"/>
      <c r="D776" s="4"/>
      <c r="E776" s="4"/>
      <c r="F776" s="4"/>
      <c r="G776" s="4"/>
      <c r="H776" s="4"/>
      <c r="I776" s="4"/>
      <c r="J776" s="4"/>
      <c r="K776" s="242"/>
      <c r="L776" s="4"/>
      <c r="M776" s="4"/>
      <c r="N776" s="4"/>
      <c r="O776" s="4"/>
      <c r="P776" s="4"/>
      <c r="Q776" s="4"/>
      <c r="R776" s="4"/>
      <c r="S776" s="4"/>
      <c r="T776" s="4"/>
      <c r="U776" s="4"/>
      <c r="V776" s="4"/>
      <c r="W776" s="4"/>
      <c r="X776" s="4"/>
      <c r="Y776" s="4"/>
      <c r="Z776" s="4"/>
      <c r="AA776" s="4"/>
      <c r="AB776" s="4"/>
      <c r="AC776" s="4"/>
      <c r="AD776" s="4"/>
      <c r="AE776" s="4"/>
      <c r="AF776" s="4"/>
      <c r="AG776" s="4"/>
      <c r="AH776" s="4"/>
      <c r="AI776" s="4"/>
      <c r="AJ776" s="4"/>
      <c r="AK776" s="4"/>
      <c r="AL776" s="4"/>
      <c r="AM776" s="4"/>
      <c r="AN776" s="4"/>
      <c r="AO776" s="4"/>
      <c r="AP776" s="4"/>
      <c r="AQ776" s="4"/>
      <c r="AR776" s="4"/>
      <c r="AS776" s="4"/>
      <c r="AT776" s="4"/>
      <c r="AU776" s="4"/>
      <c r="AV776" s="4"/>
      <c r="AW776" s="4"/>
      <c r="AX776" s="4"/>
      <c r="AY776" s="4"/>
      <c r="AZ776" s="4"/>
      <c r="BA776" s="4"/>
      <c r="BB776" s="4"/>
      <c r="BC776" s="4"/>
      <c r="BD776" s="4"/>
      <c r="BE776" s="4"/>
      <c r="BF776" s="4"/>
      <c r="BG776" s="4"/>
      <c r="BH776" s="4"/>
      <c r="BI776" s="4"/>
      <c r="BJ776" s="4"/>
      <c r="BK776" s="4"/>
      <c r="BL776" s="4"/>
      <c r="BM776" s="4"/>
      <c r="BN776" s="4"/>
      <c r="BO776" s="4"/>
      <c r="BP776" s="4"/>
      <c r="BQ776" s="4"/>
      <c r="BR776" s="4"/>
      <c r="BS776" s="4"/>
      <c r="BT776" s="4"/>
      <c r="BU776" s="4"/>
      <c r="BV776" s="4"/>
      <c r="BW776" s="4"/>
      <c r="BX776" s="4"/>
      <c r="BY776" s="4"/>
      <c r="BZ776" s="4"/>
      <c r="CA776" s="4"/>
      <c r="CB776" s="4"/>
      <c r="CC776" s="4"/>
      <c r="CD776" s="4"/>
      <c r="CE776" s="4"/>
      <c r="CF776" s="4"/>
      <c r="CG776" s="4"/>
      <c r="CH776" s="4"/>
      <c r="CI776" s="4"/>
    </row>
    <row r="777" ht="14.25" customHeight="1" spans="1:87" x14ac:dyDescent="0.25">
      <c r="A777" s="4"/>
      <c r="B777" s="4"/>
      <c r="C777" s="4"/>
      <c r="D777" s="4"/>
      <c r="E777" s="4"/>
      <c r="F777" s="4"/>
      <c r="G777" s="4"/>
      <c r="H777" s="4"/>
      <c r="I777" s="4"/>
      <c r="J777" s="4"/>
      <c r="K777" s="242"/>
      <c r="L777" s="4"/>
      <c r="M777" s="4"/>
      <c r="N777" s="4"/>
      <c r="O777" s="4"/>
      <c r="P777" s="4"/>
      <c r="Q777" s="4"/>
      <c r="R777" s="4"/>
      <c r="S777" s="4"/>
      <c r="T777" s="4"/>
      <c r="U777" s="4"/>
      <c r="V777" s="4"/>
      <c r="W777" s="4"/>
      <c r="X777" s="4"/>
      <c r="Y777" s="4"/>
      <c r="Z777" s="4"/>
      <c r="AA777" s="4"/>
      <c r="AB777" s="4"/>
      <c r="AC777" s="4"/>
      <c r="AD777" s="4"/>
      <c r="AE777" s="4"/>
      <c r="AF777" s="4"/>
      <c r="AG777" s="4"/>
      <c r="AH777" s="4"/>
      <c r="AI777" s="4"/>
      <c r="AJ777" s="4"/>
      <c r="AK777" s="4"/>
      <c r="AL777" s="4"/>
      <c r="AM777" s="4"/>
      <c r="AN777" s="4"/>
      <c r="AO777" s="4"/>
      <c r="AP777" s="4"/>
      <c r="AQ777" s="4"/>
      <c r="AR777" s="4"/>
      <c r="AS777" s="4"/>
      <c r="AT777" s="4"/>
      <c r="AU777" s="4"/>
      <c r="AV777" s="4"/>
      <c r="AW777" s="4"/>
      <c r="AX777" s="4"/>
      <c r="AY777" s="4"/>
      <c r="AZ777" s="4"/>
      <c r="BA777" s="4"/>
      <c r="BB777" s="4"/>
      <c r="BC777" s="4"/>
      <c r="BD777" s="4"/>
      <c r="BE777" s="4"/>
      <c r="BF777" s="4"/>
      <c r="BG777" s="4"/>
      <c r="BH777" s="4"/>
      <c r="BI777" s="4"/>
      <c r="BJ777" s="4"/>
      <c r="BK777" s="4"/>
      <c r="BL777" s="4"/>
      <c r="BM777" s="4"/>
      <c r="BN777" s="4"/>
      <c r="BO777" s="4"/>
      <c r="BP777" s="4"/>
      <c r="BQ777" s="4"/>
      <c r="BR777" s="4"/>
      <c r="BS777" s="4"/>
      <c r="BT777" s="4"/>
      <c r="BU777" s="4"/>
      <c r="BV777" s="4"/>
      <c r="BW777" s="4"/>
      <c r="BX777" s="4"/>
      <c r="BY777" s="4"/>
      <c r="BZ777" s="4"/>
      <c r="CA777" s="4"/>
      <c r="CB777" s="4"/>
      <c r="CC777" s="4"/>
      <c r="CD777" s="4"/>
      <c r="CE777" s="4"/>
      <c r="CF777" s="4"/>
      <c r="CG777" s="4"/>
      <c r="CH777" s="4"/>
      <c r="CI777" s="4"/>
    </row>
    <row r="778" ht="14.25" customHeight="1" spans="1:87" x14ac:dyDescent="0.25">
      <c r="A778" s="4"/>
      <c r="B778" s="4"/>
      <c r="C778" s="4"/>
      <c r="D778" s="4"/>
      <c r="E778" s="4"/>
      <c r="F778" s="4"/>
      <c r="G778" s="4"/>
      <c r="H778" s="4"/>
      <c r="I778" s="4"/>
      <c r="J778" s="4"/>
      <c r="K778" s="242"/>
      <c r="L778" s="4"/>
      <c r="M778" s="4"/>
      <c r="N778" s="4"/>
      <c r="O778" s="4"/>
      <c r="P778" s="4"/>
      <c r="Q778" s="4"/>
      <c r="R778" s="4"/>
      <c r="S778" s="4"/>
      <c r="T778" s="4"/>
      <c r="U778" s="4"/>
      <c r="V778" s="4"/>
      <c r="W778" s="4"/>
      <c r="X778" s="4"/>
      <c r="Y778" s="4"/>
      <c r="Z778" s="4"/>
      <c r="AA778" s="4"/>
      <c r="AB778" s="4"/>
      <c r="AC778" s="4"/>
      <c r="AD778" s="4"/>
      <c r="AE778" s="4"/>
      <c r="AF778" s="4"/>
      <c r="AG778" s="4"/>
      <c r="AH778" s="4"/>
      <c r="AI778" s="4"/>
      <c r="AJ778" s="4"/>
      <c r="AK778" s="4"/>
      <c r="AL778" s="4"/>
      <c r="AM778" s="4"/>
      <c r="AN778" s="4"/>
      <c r="AO778" s="4"/>
      <c r="AP778" s="4"/>
      <c r="AQ778" s="4"/>
      <c r="AR778" s="4"/>
      <c r="AS778" s="4"/>
      <c r="AT778" s="4"/>
      <c r="AU778" s="4"/>
      <c r="AV778" s="4"/>
      <c r="AW778" s="4"/>
      <c r="AX778" s="4"/>
      <c r="AY778" s="4"/>
      <c r="AZ778" s="4"/>
      <c r="BA778" s="4"/>
      <c r="BB778" s="4"/>
      <c r="BC778" s="4"/>
      <c r="BD778" s="4"/>
      <c r="BE778" s="4"/>
      <c r="BF778" s="4"/>
      <c r="BG778" s="4"/>
      <c r="BH778" s="4"/>
      <c r="BI778" s="4"/>
      <c r="BJ778" s="4"/>
      <c r="BK778" s="4"/>
      <c r="BL778" s="4"/>
      <c r="BM778" s="4"/>
      <c r="BN778" s="4"/>
      <c r="BO778" s="4"/>
      <c r="BP778" s="4"/>
      <c r="BQ778" s="4"/>
      <c r="BR778" s="4"/>
      <c r="BS778" s="4"/>
      <c r="BT778" s="4"/>
      <c r="BU778" s="4"/>
      <c r="BV778" s="4"/>
      <c r="BW778" s="4"/>
      <c r="BX778" s="4"/>
      <c r="BY778" s="4"/>
      <c r="BZ778" s="4"/>
      <c r="CA778" s="4"/>
      <c r="CB778" s="4"/>
      <c r="CC778" s="4"/>
      <c r="CD778" s="4"/>
      <c r="CE778" s="4"/>
      <c r="CF778" s="4"/>
      <c r="CG778" s="4"/>
      <c r="CH778" s="4"/>
      <c r="CI778" s="4"/>
    </row>
    <row r="779" ht="14.25" customHeight="1" spans="1:87" x14ac:dyDescent="0.25">
      <c r="A779" s="4"/>
      <c r="B779" s="4"/>
      <c r="C779" s="4"/>
      <c r="D779" s="4"/>
      <c r="E779" s="4"/>
      <c r="F779" s="4"/>
      <c r="G779" s="4"/>
      <c r="H779" s="4"/>
      <c r="I779" s="4"/>
      <c r="J779" s="4"/>
      <c r="K779" s="242"/>
      <c r="L779" s="4"/>
      <c r="M779" s="4"/>
      <c r="N779" s="4"/>
      <c r="O779" s="4"/>
      <c r="P779" s="4"/>
      <c r="Q779" s="4"/>
      <c r="R779" s="4"/>
      <c r="S779" s="4"/>
      <c r="T779" s="4"/>
      <c r="U779" s="4"/>
      <c r="V779" s="4"/>
      <c r="W779" s="4"/>
      <c r="X779" s="4"/>
      <c r="Y779" s="4"/>
      <c r="Z779" s="4"/>
      <c r="AA779" s="4"/>
      <c r="AB779" s="4"/>
      <c r="AC779" s="4"/>
      <c r="AD779" s="4"/>
      <c r="AE779" s="4"/>
      <c r="AF779" s="4"/>
      <c r="AG779" s="4"/>
      <c r="AH779" s="4"/>
      <c r="AI779" s="4"/>
      <c r="AJ779" s="4"/>
      <c r="AK779" s="4"/>
      <c r="AL779" s="4"/>
      <c r="AM779" s="4"/>
      <c r="AN779" s="4"/>
      <c r="AO779" s="4"/>
      <c r="AP779" s="4"/>
      <c r="AQ779" s="4"/>
      <c r="AR779" s="4"/>
      <c r="AS779" s="4"/>
      <c r="AT779" s="4"/>
      <c r="AU779" s="4"/>
      <c r="AV779" s="4"/>
      <c r="AW779" s="4"/>
      <c r="AX779" s="4"/>
      <c r="AY779" s="4"/>
      <c r="AZ779" s="4"/>
      <c r="BA779" s="4"/>
      <c r="BB779" s="4"/>
      <c r="BC779" s="4"/>
      <c r="BD779" s="4"/>
      <c r="BE779" s="4"/>
      <c r="BF779" s="4"/>
      <c r="BG779" s="4"/>
      <c r="BH779" s="4"/>
      <c r="BI779" s="4"/>
      <c r="BJ779" s="4"/>
      <c r="BK779" s="4"/>
      <c r="BL779" s="4"/>
      <c r="BM779" s="4"/>
      <c r="BN779" s="4"/>
      <c r="BO779" s="4"/>
      <c r="BP779" s="4"/>
      <c r="BQ779" s="4"/>
      <c r="BR779" s="4"/>
      <c r="BS779" s="4"/>
      <c r="BT779" s="4"/>
      <c r="BU779" s="4"/>
      <c r="BV779" s="4"/>
      <c r="BW779" s="4"/>
      <c r="BX779" s="4"/>
      <c r="BY779" s="4"/>
      <c r="BZ779" s="4"/>
      <c r="CA779" s="4"/>
      <c r="CB779" s="4"/>
      <c r="CC779" s="4"/>
      <c r="CD779" s="4"/>
      <c r="CE779" s="4"/>
      <c r="CF779" s="4"/>
      <c r="CG779" s="4"/>
      <c r="CH779" s="4"/>
      <c r="CI779" s="4"/>
    </row>
    <row r="780" ht="14.25" customHeight="1" spans="1:87" x14ac:dyDescent="0.25">
      <c r="A780" s="4"/>
      <c r="B780" s="4"/>
      <c r="C780" s="4"/>
      <c r="D780" s="4"/>
      <c r="E780" s="4"/>
      <c r="F780" s="4"/>
      <c r="G780" s="4"/>
      <c r="H780" s="4"/>
      <c r="I780" s="4"/>
      <c r="J780" s="4"/>
      <c r="K780" s="242"/>
      <c r="L780" s="4"/>
      <c r="M780" s="4"/>
      <c r="N780" s="4"/>
      <c r="O780" s="4"/>
      <c r="P780" s="4"/>
      <c r="Q780" s="4"/>
      <c r="R780" s="4"/>
      <c r="S780" s="4"/>
      <c r="T780" s="4"/>
      <c r="U780" s="4"/>
      <c r="V780" s="4"/>
      <c r="W780" s="4"/>
      <c r="X780" s="4"/>
      <c r="Y780" s="4"/>
      <c r="Z780" s="4"/>
      <c r="AA780" s="4"/>
      <c r="AB780" s="4"/>
      <c r="AC780" s="4"/>
      <c r="AD780" s="4"/>
      <c r="AE780" s="4"/>
      <c r="AF780" s="4"/>
      <c r="AG780" s="4"/>
      <c r="AH780" s="4"/>
      <c r="AI780" s="4"/>
      <c r="AJ780" s="4"/>
      <c r="AK780" s="4"/>
      <c r="AL780" s="4"/>
      <c r="AM780" s="4"/>
      <c r="AN780" s="4"/>
      <c r="AO780" s="4"/>
      <c r="AP780" s="4"/>
      <c r="AQ780" s="4"/>
      <c r="AR780" s="4"/>
      <c r="AS780" s="4"/>
      <c r="AT780" s="4"/>
      <c r="AU780" s="4"/>
      <c r="AV780" s="4"/>
      <c r="AW780" s="4"/>
      <c r="AX780" s="4"/>
      <c r="AY780" s="4"/>
      <c r="AZ780" s="4"/>
      <c r="BA780" s="4"/>
      <c r="BB780" s="4"/>
      <c r="BC780" s="4"/>
      <c r="BD780" s="4"/>
      <c r="BE780" s="4"/>
      <c r="BF780" s="4"/>
      <c r="BG780" s="4"/>
      <c r="BH780" s="4"/>
      <c r="BI780" s="4"/>
      <c r="BJ780" s="4"/>
      <c r="BK780" s="4"/>
      <c r="BL780" s="4"/>
      <c r="BM780" s="4"/>
      <c r="BN780" s="4"/>
      <c r="BO780" s="4"/>
      <c r="BP780" s="4"/>
      <c r="BQ780" s="4"/>
      <c r="BR780" s="4"/>
      <c r="BS780" s="4"/>
      <c r="BT780" s="4"/>
      <c r="BU780" s="4"/>
      <c r="BV780" s="4"/>
      <c r="BW780" s="4"/>
      <c r="BX780" s="4"/>
      <c r="BY780" s="4"/>
      <c r="BZ780" s="4"/>
      <c r="CA780" s="4"/>
      <c r="CB780" s="4"/>
      <c r="CC780" s="4"/>
      <c r="CD780" s="4"/>
      <c r="CE780" s="4"/>
      <c r="CF780" s="4"/>
      <c r="CG780" s="4"/>
      <c r="CH780" s="4"/>
      <c r="CI780" s="4"/>
    </row>
    <row r="781" ht="14.25" customHeight="1" spans="1:87" x14ac:dyDescent="0.25">
      <c r="A781" s="4"/>
      <c r="B781" s="4"/>
      <c r="C781" s="4"/>
      <c r="D781" s="4"/>
      <c r="E781" s="4"/>
      <c r="F781" s="4"/>
      <c r="G781" s="4"/>
      <c r="H781" s="4"/>
      <c r="I781" s="4"/>
      <c r="J781" s="4"/>
      <c r="K781" s="242"/>
      <c r="L781" s="4"/>
      <c r="M781" s="4"/>
      <c r="N781" s="4"/>
      <c r="O781" s="4"/>
      <c r="P781" s="4"/>
      <c r="Q781" s="4"/>
      <c r="R781" s="4"/>
      <c r="S781" s="4"/>
      <c r="T781" s="4"/>
      <c r="U781" s="4"/>
      <c r="V781" s="4"/>
      <c r="W781" s="4"/>
      <c r="X781" s="4"/>
      <c r="Y781" s="4"/>
      <c r="Z781" s="4"/>
      <c r="AA781" s="4"/>
      <c r="AB781" s="4"/>
      <c r="AC781" s="4"/>
      <c r="AD781" s="4"/>
      <c r="AE781" s="4"/>
      <c r="AF781" s="4"/>
      <c r="AG781" s="4"/>
      <c r="AH781" s="4"/>
      <c r="AI781" s="4"/>
      <c r="AJ781" s="4"/>
      <c r="AK781" s="4"/>
      <c r="AL781" s="4"/>
      <c r="AM781" s="4"/>
      <c r="AN781" s="4"/>
      <c r="AO781" s="4"/>
      <c r="AP781" s="4"/>
      <c r="AQ781" s="4"/>
      <c r="AR781" s="4"/>
      <c r="AS781" s="4"/>
      <c r="AT781" s="4"/>
      <c r="AU781" s="4"/>
      <c r="AV781" s="4"/>
      <c r="AW781" s="4"/>
      <c r="AX781" s="4"/>
      <c r="AY781" s="4"/>
      <c r="AZ781" s="4"/>
      <c r="BA781" s="4"/>
      <c r="BB781" s="4"/>
      <c r="BC781" s="4"/>
      <c r="BD781" s="4"/>
      <c r="BE781" s="4"/>
      <c r="BF781" s="4"/>
      <c r="BG781" s="4"/>
      <c r="BH781" s="4"/>
      <c r="BI781" s="4"/>
      <c r="BJ781" s="4"/>
      <c r="BK781" s="4"/>
      <c r="BL781" s="4"/>
      <c r="BM781" s="4"/>
      <c r="BN781" s="4"/>
      <c r="BO781" s="4"/>
      <c r="BP781" s="4"/>
      <c r="BQ781" s="4"/>
      <c r="BR781" s="4"/>
      <c r="BS781" s="4"/>
      <c r="BT781" s="4"/>
      <c r="BU781" s="4"/>
      <c r="BV781" s="4"/>
      <c r="BW781" s="4"/>
      <c r="BX781" s="4"/>
      <c r="BY781" s="4"/>
      <c r="BZ781" s="4"/>
      <c r="CA781" s="4"/>
      <c r="CB781" s="4"/>
      <c r="CC781" s="4"/>
      <c r="CD781" s="4"/>
      <c r="CE781" s="4"/>
      <c r="CF781" s="4"/>
      <c r="CG781" s="4"/>
      <c r="CH781" s="4"/>
      <c r="CI781" s="4"/>
    </row>
    <row r="782" ht="14.25" customHeight="1" spans="1:87" x14ac:dyDescent="0.25">
      <c r="A782" s="4"/>
      <c r="B782" s="4"/>
      <c r="C782" s="4"/>
      <c r="D782" s="4"/>
      <c r="E782" s="4"/>
      <c r="F782" s="4"/>
      <c r="G782" s="4"/>
      <c r="H782" s="4"/>
      <c r="I782" s="4"/>
      <c r="J782" s="4"/>
      <c r="K782" s="242"/>
      <c r="L782" s="4"/>
      <c r="M782" s="4"/>
      <c r="N782" s="4"/>
      <c r="O782" s="4"/>
      <c r="P782" s="4"/>
      <c r="Q782" s="4"/>
      <c r="R782" s="4"/>
      <c r="S782" s="4"/>
      <c r="T782" s="4"/>
      <c r="U782" s="4"/>
      <c r="V782" s="4"/>
      <c r="W782" s="4"/>
      <c r="X782" s="4"/>
      <c r="Y782" s="4"/>
      <c r="Z782" s="4"/>
      <c r="AA782" s="4"/>
      <c r="AB782" s="4"/>
      <c r="AC782" s="4"/>
      <c r="AD782" s="4"/>
      <c r="AE782" s="4"/>
      <c r="AF782" s="4"/>
      <c r="AG782" s="4"/>
      <c r="AH782" s="4"/>
      <c r="AI782" s="4"/>
      <c r="AJ782" s="4"/>
      <c r="AK782" s="4"/>
      <c r="AL782" s="4"/>
      <c r="AM782" s="4"/>
      <c r="AN782" s="4"/>
      <c r="AO782" s="4"/>
      <c r="AP782" s="4"/>
      <c r="AQ782" s="4"/>
      <c r="AR782" s="4"/>
      <c r="AS782" s="4"/>
      <c r="AT782" s="4"/>
      <c r="AU782" s="4"/>
      <c r="AV782" s="4"/>
      <c r="AW782" s="4"/>
      <c r="AX782" s="4"/>
      <c r="AY782" s="4"/>
      <c r="AZ782" s="4"/>
      <c r="BA782" s="4"/>
      <c r="BB782" s="4"/>
      <c r="BC782" s="4"/>
      <c r="BD782" s="4"/>
      <c r="BE782" s="4"/>
      <c r="BF782" s="4"/>
      <c r="BG782" s="4"/>
      <c r="BH782" s="4"/>
      <c r="BI782" s="4"/>
      <c r="BJ782" s="4"/>
      <c r="BK782" s="4"/>
      <c r="BL782" s="4"/>
      <c r="BM782" s="4"/>
      <c r="BN782" s="4"/>
      <c r="BO782" s="4"/>
      <c r="BP782" s="4"/>
      <c r="BQ782" s="4"/>
      <c r="BR782" s="4"/>
      <c r="BS782" s="4"/>
      <c r="BT782" s="4"/>
      <c r="BU782" s="4"/>
      <c r="BV782" s="4"/>
      <c r="BW782" s="4"/>
      <c r="BX782" s="4"/>
      <c r="BY782" s="4"/>
      <c r="BZ782" s="4"/>
      <c r="CA782" s="4"/>
      <c r="CB782" s="4"/>
      <c r="CC782" s="4"/>
      <c r="CD782" s="4"/>
      <c r="CE782" s="4"/>
      <c r="CF782" s="4"/>
      <c r="CG782" s="4"/>
      <c r="CH782" s="4"/>
      <c r="CI782" s="4"/>
    </row>
    <row r="783" ht="14.25" customHeight="1" spans="1:87" x14ac:dyDescent="0.25">
      <c r="A783" s="4"/>
      <c r="B783" s="4"/>
      <c r="C783" s="4"/>
      <c r="D783" s="4"/>
      <c r="E783" s="4"/>
      <c r="F783" s="4"/>
      <c r="G783" s="4"/>
      <c r="H783" s="4"/>
      <c r="I783" s="4"/>
      <c r="J783" s="4"/>
      <c r="K783" s="242"/>
      <c r="L783" s="4"/>
      <c r="M783" s="4"/>
      <c r="N783" s="4"/>
      <c r="O783" s="4"/>
      <c r="P783" s="4"/>
      <c r="Q783" s="4"/>
      <c r="R783" s="4"/>
      <c r="S783" s="4"/>
      <c r="T783" s="4"/>
      <c r="U783" s="4"/>
      <c r="V783" s="4"/>
      <c r="W783" s="4"/>
      <c r="X783" s="4"/>
      <c r="Y783" s="4"/>
      <c r="Z783" s="4"/>
      <c r="AA783" s="4"/>
      <c r="AB783" s="4"/>
      <c r="AC783" s="4"/>
      <c r="AD783" s="4"/>
      <c r="AE783" s="4"/>
      <c r="AF783" s="4"/>
      <c r="AG783" s="4"/>
      <c r="AH783" s="4"/>
      <c r="AI783" s="4"/>
      <c r="AJ783" s="4"/>
      <c r="AK783" s="4"/>
      <c r="AL783" s="4"/>
      <c r="AM783" s="4"/>
      <c r="AN783" s="4"/>
      <c r="AO783" s="4"/>
      <c r="AP783" s="4"/>
      <c r="AQ783" s="4"/>
      <c r="AR783" s="4"/>
      <c r="AS783" s="4"/>
      <c r="AT783" s="4"/>
      <c r="AU783" s="4"/>
      <c r="AV783" s="4"/>
      <c r="AW783" s="4"/>
      <c r="AX783" s="4"/>
      <c r="AY783" s="4"/>
      <c r="AZ783" s="4"/>
      <c r="BA783" s="4"/>
      <c r="BB783" s="4"/>
      <c r="BC783" s="4"/>
      <c r="BD783" s="4"/>
      <c r="BE783" s="4"/>
      <c r="BF783" s="4"/>
      <c r="BG783" s="4"/>
      <c r="BH783" s="4"/>
      <c r="BI783" s="4"/>
      <c r="BJ783" s="4"/>
      <c r="BK783" s="4"/>
      <c r="BL783" s="4"/>
      <c r="BM783" s="4"/>
      <c r="BN783" s="4"/>
      <c r="BO783" s="4"/>
      <c r="BP783" s="4"/>
      <c r="BQ783" s="4"/>
      <c r="BR783" s="4"/>
      <c r="BS783" s="4"/>
      <c r="BT783" s="4"/>
      <c r="BU783" s="4"/>
      <c r="BV783" s="4"/>
      <c r="BW783" s="4"/>
      <c r="BX783" s="4"/>
      <c r="BY783" s="4"/>
      <c r="BZ783" s="4"/>
      <c r="CA783" s="4"/>
      <c r="CB783" s="4"/>
      <c r="CC783" s="4"/>
      <c r="CD783" s="4"/>
      <c r="CE783" s="4"/>
      <c r="CF783" s="4"/>
      <c r="CG783" s="4"/>
      <c r="CH783" s="4"/>
      <c r="CI783" s="4"/>
    </row>
    <row r="784" ht="14.25" customHeight="1" spans="1:87" x14ac:dyDescent="0.25">
      <c r="A784" s="4"/>
      <c r="B784" s="4"/>
      <c r="C784" s="4"/>
      <c r="D784" s="4"/>
      <c r="E784" s="4"/>
      <c r="F784" s="4"/>
      <c r="G784" s="4"/>
      <c r="H784" s="4"/>
      <c r="I784" s="4"/>
      <c r="J784" s="4"/>
      <c r="K784" s="242"/>
      <c r="L784" s="4"/>
      <c r="M784" s="4"/>
      <c r="N784" s="4"/>
      <c r="O784" s="4"/>
      <c r="P784" s="4"/>
      <c r="Q784" s="4"/>
      <c r="R784" s="4"/>
      <c r="S784" s="4"/>
      <c r="T784" s="4"/>
      <c r="U784" s="4"/>
      <c r="V784" s="4"/>
      <c r="W784" s="4"/>
      <c r="X784" s="4"/>
      <c r="Y784" s="4"/>
      <c r="Z784" s="4"/>
      <c r="AA784" s="4"/>
      <c r="AB784" s="4"/>
      <c r="AC784" s="4"/>
      <c r="AD784" s="4"/>
      <c r="AE784" s="4"/>
      <c r="AF784" s="4"/>
      <c r="AG784" s="4"/>
      <c r="AH784" s="4"/>
      <c r="AI784" s="4"/>
      <c r="AJ784" s="4"/>
      <c r="AK784" s="4"/>
      <c r="AL784" s="4"/>
      <c r="AM784" s="4"/>
      <c r="AN784" s="4"/>
      <c r="AO784" s="4"/>
      <c r="AP784" s="4"/>
      <c r="AQ784" s="4"/>
      <c r="AR784" s="4"/>
      <c r="AS784" s="4"/>
      <c r="AT784" s="4"/>
      <c r="AU784" s="4"/>
      <c r="AV784" s="4"/>
      <c r="AW784" s="4"/>
      <c r="AX784" s="4"/>
      <c r="AY784" s="4"/>
      <c r="AZ784" s="4"/>
      <c r="BA784" s="4"/>
      <c r="BB784" s="4"/>
      <c r="BC784" s="4"/>
      <c r="BD784" s="4"/>
      <c r="BE784" s="4"/>
      <c r="BF784" s="4"/>
      <c r="BG784" s="4"/>
      <c r="BH784" s="4"/>
      <c r="BI784" s="4"/>
      <c r="BJ784" s="4"/>
      <c r="BK784" s="4"/>
      <c r="BL784" s="4"/>
      <c r="BM784" s="4"/>
      <c r="BN784" s="4"/>
      <c r="BO784" s="4"/>
      <c r="BP784" s="4"/>
      <c r="BQ784" s="4"/>
      <c r="BR784" s="4"/>
      <c r="BS784" s="4"/>
      <c r="BT784" s="4"/>
      <c r="BU784" s="4"/>
      <c r="BV784" s="4"/>
      <c r="BW784" s="4"/>
      <c r="BX784" s="4"/>
      <c r="BY784" s="4"/>
      <c r="BZ784" s="4"/>
      <c r="CA784" s="4"/>
      <c r="CB784" s="4"/>
      <c r="CC784" s="4"/>
      <c r="CD784" s="4"/>
      <c r="CE784" s="4"/>
      <c r="CF784" s="4"/>
      <c r="CG784" s="4"/>
      <c r="CH784" s="4"/>
      <c r="CI784" s="4"/>
    </row>
    <row r="785" ht="14.25" customHeight="1" spans="1:87" x14ac:dyDescent="0.25">
      <c r="A785" s="4"/>
      <c r="B785" s="4"/>
      <c r="C785" s="4"/>
      <c r="D785" s="4"/>
      <c r="E785" s="4"/>
      <c r="F785" s="4"/>
      <c r="G785" s="4"/>
      <c r="H785" s="4"/>
      <c r="I785" s="4"/>
      <c r="J785" s="4"/>
      <c r="K785" s="242"/>
      <c r="L785" s="4"/>
      <c r="M785" s="4"/>
      <c r="N785" s="4"/>
      <c r="O785" s="4"/>
      <c r="P785" s="4"/>
      <c r="Q785" s="4"/>
      <c r="R785" s="4"/>
      <c r="S785" s="4"/>
      <c r="T785" s="4"/>
      <c r="U785" s="4"/>
      <c r="V785" s="4"/>
      <c r="W785" s="4"/>
      <c r="X785" s="4"/>
      <c r="Y785" s="4"/>
      <c r="Z785" s="4"/>
      <c r="AA785" s="4"/>
      <c r="AB785" s="4"/>
      <c r="AC785" s="4"/>
      <c r="AD785" s="4"/>
      <c r="AE785" s="4"/>
      <c r="AF785" s="4"/>
      <c r="AG785" s="4"/>
      <c r="AH785" s="4"/>
      <c r="AI785" s="4"/>
      <c r="AJ785" s="4"/>
      <c r="AK785" s="4"/>
      <c r="AL785" s="4"/>
      <c r="AM785" s="4"/>
      <c r="AN785" s="4"/>
      <c r="AO785" s="4"/>
      <c r="AP785" s="4"/>
      <c r="AQ785" s="4"/>
      <c r="AR785" s="4"/>
      <c r="AS785" s="4"/>
      <c r="AT785" s="4"/>
      <c r="AU785" s="4"/>
      <c r="AV785" s="4"/>
      <c r="AW785" s="4"/>
      <c r="AX785" s="4"/>
      <c r="AY785" s="4"/>
      <c r="AZ785" s="4"/>
      <c r="BA785" s="4"/>
      <c r="BB785" s="4"/>
      <c r="BC785" s="4"/>
      <c r="BD785" s="4"/>
      <c r="BE785" s="4"/>
      <c r="BF785" s="4"/>
      <c r="BG785" s="4"/>
      <c r="BH785" s="4"/>
      <c r="BI785" s="4"/>
      <c r="BJ785" s="4"/>
      <c r="BK785" s="4"/>
      <c r="BL785" s="4"/>
      <c r="BM785" s="4"/>
      <c r="BN785" s="4"/>
      <c r="BO785" s="4"/>
      <c r="BP785" s="4"/>
      <c r="BQ785" s="4"/>
      <c r="BR785" s="4"/>
      <c r="BS785" s="4"/>
      <c r="BT785" s="4"/>
      <c r="BU785" s="4"/>
      <c r="BV785" s="4"/>
      <c r="BW785" s="4"/>
      <c r="BX785" s="4"/>
      <c r="BY785" s="4"/>
      <c r="BZ785" s="4"/>
      <c r="CA785" s="4"/>
      <c r="CB785" s="4"/>
      <c r="CC785" s="4"/>
      <c r="CD785" s="4"/>
      <c r="CE785" s="4"/>
      <c r="CF785" s="4"/>
      <c r="CG785" s="4"/>
      <c r="CH785" s="4"/>
      <c r="CI785" s="4"/>
    </row>
    <row r="786" ht="14.25" customHeight="1" spans="1:87" x14ac:dyDescent="0.25">
      <c r="A786" s="4"/>
      <c r="B786" s="4"/>
      <c r="C786" s="4"/>
      <c r="D786" s="4"/>
      <c r="E786" s="4"/>
      <c r="F786" s="4"/>
      <c r="G786" s="4"/>
      <c r="H786" s="4"/>
      <c r="I786" s="4"/>
      <c r="J786" s="4"/>
      <c r="K786" s="242"/>
      <c r="L786" s="4"/>
      <c r="M786" s="4"/>
      <c r="N786" s="4"/>
      <c r="O786" s="4"/>
      <c r="P786" s="4"/>
      <c r="Q786" s="4"/>
      <c r="R786" s="4"/>
      <c r="S786" s="4"/>
      <c r="T786" s="4"/>
      <c r="U786" s="4"/>
      <c r="V786" s="4"/>
      <c r="W786" s="4"/>
      <c r="X786" s="4"/>
      <c r="Y786" s="4"/>
      <c r="Z786" s="4"/>
      <c r="AA786" s="4"/>
      <c r="AB786" s="4"/>
      <c r="AC786" s="4"/>
      <c r="AD786" s="4"/>
      <c r="AE786" s="4"/>
      <c r="AF786" s="4"/>
      <c r="AG786" s="4"/>
      <c r="AH786" s="4"/>
      <c r="AI786" s="4"/>
      <c r="AJ786" s="4"/>
      <c r="AK786" s="4"/>
      <c r="AL786" s="4"/>
      <c r="AM786" s="4"/>
      <c r="AN786" s="4"/>
      <c r="AO786" s="4"/>
      <c r="AP786" s="4"/>
      <c r="AQ786" s="4"/>
      <c r="AR786" s="4"/>
      <c r="AS786" s="4"/>
      <c r="AT786" s="4"/>
      <c r="AU786" s="4"/>
      <c r="AV786" s="4"/>
      <c r="AW786" s="4"/>
      <c r="AX786" s="4"/>
      <c r="AY786" s="4"/>
      <c r="AZ786" s="4"/>
      <c r="BA786" s="4"/>
      <c r="BB786" s="4"/>
      <c r="BC786" s="4"/>
      <c r="BD786" s="4"/>
      <c r="BE786" s="4"/>
      <c r="BF786" s="4"/>
      <c r="BG786" s="4"/>
      <c r="BH786" s="4"/>
      <c r="BI786" s="4"/>
      <c r="BJ786" s="4"/>
      <c r="BK786" s="4"/>
      <c r="BL786" s="4"/>
      <c r="BM786" s="4"/>
      <c r="BN786" s="4"/>
      <c r="BO786" s="4"/>
      <c r="BP786" s="4"/>
      <c r="BQ786" s="4"/>
      <c r="BR786" s="4"/>
      <c r="BS786" s="4"/>
      <c r="BT786" s="4"/>
      <c r="BU786" s="4"/>
      <c r="BV786" s="4"/>
      <c r="BW786" s="4"/>
      <c r="BX786" s="4"/>
      <c r="BY786" s="4"/>
      <c r="BZ786" s="4"/>
      <c r="CA786" s="4"/>
      <c r="CB786" s="4"/>
      <c r="CC786" s="4"/>
      <c r="CD786" s="4"/>
      <c r="CE786" s="4"/>
      <c r="CF786" s="4"/>
      <c r="CG786" s="4"/>
      <c r="CH786" s="4"/>
      <c r="CI786" s="4"/>
    </row>
    <row r="787" ht="14.25" customHeight="1" spans="1:87" x14ac:dyDescent="0.25">
      <c r="A787" s="4"/>
      <c r="B787" s="4"/>
      <c r="C787" s="4"/>
      <c r="D787" s="4"/>
      <c r="E787" s="4"/>
      <c r="F787" s="4"/>
      <c r="G787" s="4"/>
      <c r="H787" s="4"/>
      <c r="I787" s="4"/>
      <c r="J787" s="4"/>
      <c r="K787" s="242"/>
      <c r="L787" s="4"/>
      <c r="M787" s="4"/>
      <c r="N787" s="4"/>
      <c r="O787" s="4"/>
      <c r="P787" s="4"/>
      <c r="Q787" s="4"/>
      <c r="R787" s="4"/>
      <c r="S787" s="4"/>
      <c r="T787" s="4"/>
      <c r="U787" s="4"/>
      <c r="V787" s="4"/>
      <c r="W787" s="4"/>
      <c r="X787" s="4"/>
      <c r="Y787" s="4"/>
      <c r="Z787" s="4"/>
      <c r="AA787" s="4"/>
      <c r="AB787" s="4"/>
      <c r="AC787" s="4"/>
      <c r="AD787" s="4"/>
      <c r="AE787" s="4"/>
      <c r="AF787" s="4"/>
      <c r="AG787" s="4"/>
      <c r="AH787" s="4"/>
      <c r="AI787" s="4"/>
      <c r="AJ787" s="4"/>
      <c r="AK787" s="4"/>
      <c r="AL787" s="4"/>
      <c r="AM787" s="4"/>
      <c r="AN787" s="4"/>
      <c r="AO787" s="4"/>
      <c r="AP787" s="4"/>
      <c r="AQ787" s="4"/>
      <c r="AR787" s="4"/>
      <c r="AS787" s="4"/>
      <c r="AT787" s="4"/>
      <c r="AU787" s="4"/>
      <c r="AV787" s="4"/>
      <c r="AW787" s="4"/>
      <c r="AX787" s="4"/>
      <c r="AY787" s="4"/>
      <c r="AZ787" s="4"/>
      <c r="BA787" s="4"/>
      <c r="BB787" s="4"/>
      <c r="BC787" s="4"/>
      <c r="BD787" s="4"/>
      <c r="BE787" s="4"/>
      <c r="BF787" s="4"/>
      <c r="BG787" s="4"/>
      <c r="BH787" s="4"/>
      <c r="BI787" s="4"/>
      <c r="BJ787" s="4"/>
      <c r="BK787" s="4"/>
      <c r="BL787" s="4"/>
      <c r="BM787" s="4"/>
      <c r="BN787" s="4"/>
      <c r="BO787" s="4"/>
      <c r="BP787" s="4"/>
      <c r="BQ787" s="4"/>
      <c r="BR787" s="4"/>
      <c r="BS787" s="4"/>
      <c r="BT787" s="4"/>
      <c r="BU787" s="4"/>
      <c r="BV787" s="4"/>
      <c r="BW787" s="4"/>
      <c r="BX787" s="4"/>
      <c r="BY787" s="4"/>
      <c r="BZ787" s="4"/>
      <c r="CA787" s="4"/>
      <c r="CB787" s="4"/>
      <c r="CC787" s="4"/>
      <c r="CD787" s="4"/>
      <c r="CE787" s="4"/>
      <c r="CF787" s="4"/>
      <c r="CG787" s="4"/>
      <c r="CH787" s="4"/>
      <c r="CI787" s="4"/>
    </row>
    <row r="788" ht="14.25" customHeight="1" spans="1:87" x14ac:dyDescent="0.25">
      <c r="A788" s="4"/>
      <c r="B788" s="4"/>
      <c r="C788" s="4"/>
      <c r="D788" s="4"/>
      <c r="E788" s="4"/>
      <c r="F788" s="4"/>
      <c r="G788" s="4"/>
      <c r="H788" s="4"/>
      <c r="I788" s="4"/>
      <c r="J788" s="4"/>
      <c r="K788" s="242"/>
      <c r="L788" s="4"/>
      <c r="M788" s="4"/>
      <c r="N788" s="4"/>
      <c r="O788" s="4"/>
      <c r="P788" s="4"/>
      <c r="Q788" s="4"/>
      <c r="R788" s="4"/>
      <c r="S788" s="4"/>
      <c r="T788" s="4"/>
      <c r="U788" s="4"/>
      <c r="V788" s="4"/>
      <c r="W788" s="4"/>
      <c r="X788" s="4"/>
      <c r="Y788" s="4"/>
      <c r="Z788" s="4"/>
      <c r="AA788" s="4"/>
      <c r="AB788" s="4"/>
      <c r="AC788" s="4"/>
      <c r="AD788" s="4"/>
      <c r="AE788" s="4"/>
      <c r="AF788" s="4"/>
      <c r="AG788" s="4"/>
      <c r="AH788" s="4"/>
      <c r="AI788" s="4"/>
      <c r="AJ788" s="4"/>
      <c r="AK788" s="4"/>
      <c r="AL788" s="4"/>
      <c r="AM788" s="4"/>
      <c r="AN788" s="4"/>
      <c r="AO788" s="4"/>
      <c r="AP788" s="4"/>
      <c r="AQ788" s="4"/>
      <c r="AR788" s="4"/>
      <c r="AS788" s="4"/>
      <c r="AT788" s="4"/>
      <c r="AU788" s="4"/>
      <c r="AV788" s="4"/>
      <c r="AW788" s="4"/>
      <c r="AX788" s="4"/>
      <c r="AY788" s="4"/>
      <c r="AZ788" s="4"/>
      <c r="BA788" s="4"/>
      <c r="BB788" s="4"/>
      <c r="BC788" s="4"/>
      <c r="BD788" s="4"/>
      <c r="BE788" s="4"/>
      <c r="BF788" s="4"/>
      <c r="BG788" s="4"/>
      <c r="BH788" s="4"/>
      <c r="BI788" s="4"/>
      <c r="BJ788" s="4"/>
      <c r="BK788" s="4"/>
      <c r="BL788" s="4"/>
      <c r="BM788" s="4"/>
      <c r="BN788" s="4"/>
      <c r="BO788" s="4"/>
      <c r="BP788" s="4"/>
      <c r="BQ788" s="4"/>
      <c r="BR788" s="4"/>
      <c r="BS788" s="4"/>
      <c r="BT788" s="4"/>
      <c r="BU788" s="4"/>
      <c r="BV788" s="4"/>
      <c r="BW788" s="4"/>
      <c r="BX788" s="4"/>
      <c r="BY788" s="4"/>
      <c r="BZ788" s="4"/>
      <c r="CA788" s="4"/>
      <c r="CB788" s="4"/>
      <c r="CC788" s="4"/>
      <c r="CD788" s="4"/>
      <c r="CE788" s="4"/>
      <c r="CF788" s="4"/>
      <c r="CG788" s="4"/>
      <c r="CH788" s="4"/>
      <c r="CI788" s="4"/>
    </row>
    <row r="789" ht="14.25" customHeight="1" spans="1:87" x14ac:dyDescent="0.25">
      <c r="A789" s="4"/>
      <c r="B789" s="4"/>
      <c r="C789" s="4"/>
      <c r="D789" s="4"/>
      <c r="E789" s="4"/>
      <c r="F789" s="4"/>
      <c r="G789" s="4"/>
      <c r="H789" s="4"/>
      <c r="I789" s="4"/>
      <c r="J789" s="4"/>
      <c r="K789" s="242"/>
      <c r="L789" s="4"/>
      <c r="M789" s="4"/>
      <c r="N789" s="4"/>
      <c r="O789" s="4"/>
      <c r="P789" s="4"/>
      <c r="Q789" s="4"/>
      <c r="R789" s="4"/>
      <c r="S789" s="4"/>
      <c r="T789" s="4"/>
      <c r="U789" s="4"/>
      <c r="V789" s="4"/>
      <c r="W789" s="4"/>
      <c r="X789" s="4"/>
      <c r="Y789" s="4"/>
      <c r="Z789" s="4"/>
      <c r="AA789" s="4"/>
      <c r="AB789" s="4"/>
      <c r="AC789" s="4"/>
      <c r="AD789" s="4"/>
      <c r="AE789" s="4"/>
      <c r="AF789" s="4"/>
      <c r="AG789" s="4"/>
      <c r="AH789" s="4"/>
      <c r="AI789" s="4"/>
      <c r="AJ789" s="4"/>
      <c r="AK789" s="4"/>
      <c r="AL789" s="4"/>
      <c r="AM789" s="4"/>
      <c r="AN789" s="4"/>
      <c r="AO789" s="4"/>
      <c r="AP789" s="4"/>
      <c r="AQ789" s="4"/>
      <c r="AR789" s="4"/>
      <c r="AS789" s="4"/>
      <c r="AT789" s="4"/>
      <c r="AU789" s="4"/>
      <c r="AV789" s="4"/>
      <c r="AW789" s="4"/>
      <c r="AX789" s="4"/>
      <c r="AY789" s="4"/>
      <c r="AZ789" s="4"/>
      <c r="BA789" s="4"/>
      <c r="BB789" s="4"/>
      <c r="BC789" s="4"/>
      <c r="BD789" s="4"/>
      <c r="BE789" s="4"/>
      <c r="BF789" s="4"/>
      <c r="BG789" s="4"/>
      <c r="BH789" s="4"/>
      <c r="BI789" s="4"/>
      <c r="BJ789" s="4"/>
      <c r="BK789" s="4"/>
      <c r="BL789" s="4"/>
      <c r="BM789" s="4"/>
      <c r="BN789" s="4"/>
      <c r="BO789" s="4"/>
      <c r="BP789" s="4"/>
      <c r="BQ789" s="4"/>
      <c r="BR789" s="4"/>
      <c r="BS789" s="4"/>
      <c r="BT789" s="4"/>
      <c r="BU789" s="4"/>
      <c r="BV789" s="4"/>
      <c r="BW789" s="4"/>
      <c r="BX789" s="4"/>
      <c r="BY789" s="4"/>
      <c r="BZ789" s="4"/>
      <c r="CA789" s="4"/>
      <c r="CB789" s="4"/>
      <c r="CC789" s="4"/>
      <c r="CD789" s="4"/>
      <c r="CE789" s="4"/>
      <c r="CF789" s="4"/>
      <c r="CG789" s="4"/>
      <c r="CH789" s="4"/>
      <c r="CI789" s="4"/>
    </row>
    <row r="790" ht="14.25" customHeight="1" spans="1:87" x14ac:dyDescent="0.25">
      <c r="A790" s="4"/>
      <c r="B790" s="4"/>
      <c r="C790" s="4"/>
      <c r="D790" s="4"/>
      <c r="E790" s="4"/>
      <c r="F790" s="4"/>
      <c r="G790" s="4"/>
      <c r="H790" s="4"/>
      <c r="I790" s="4"/>
      <c r="J790" s="4"/>
      <c r="K790" s="242"/>
      <c r="L790" s="4"/>
      <c r="M790" s="4"/>
      <c r="N790" s="4"/>
      <c r="O790" s="4"/>
      <c r="P790" s="4"/>
      <c r="Q790" s="4"/>
      <c r="R790" s="4"/>
      <c r="S790" s="4"/>
      <c r="T790" s="4"/>
      <c r="U790" s="4"/>
      <c r="V790" s="4"/>
      <c r="W790" s="4"/>
      <c r="X790" s="4"/>
      <c r="Y790" s="4"/>
      <c r="Z790" s="4"/>
      <c r="AA790" s="4"/>
      <c r="AB790" s="4"/>
      <c r="AC790" s="4"/>
      <c r="AD790" s="4"/>
      <c r="AE790" s="4"/>
      <c r="AF790" s="4"/>
      <c r="AG790" s="4"/>
      <c r="AH790" s="4"/>
      <c r="AI790" s="4"/>
      <c r="AJ790" s="4"/>
      <c r="AK790" s="4"/>
      <c r="AL790" s="4"/>
      <c r="AM790" s="4"/>
      <c r="AN790" s="4"/>
      <c r="AO790" s="4"/>
      <c r="AP790" s="4"/>
      <c r="AQ790" s="4"/>
      <c r="AR790" s="4"/>
      <c r="AS790" s="4"/>
      <c r="AT790" s="4"/>
      <c r="AU790" s="4"/>
      <c r="AV790" s="4"/>
      <c r="AW790" s="4"/>
      <c r="AX790" s="4"/>
      <c r="AY790" s="4"/>
      <c r="AZ790" s="4"/>
      <c r="BA790" s="4"/>
      <c r="BB790" s="4"/>
      <c r="BC790" s="4"/>
      <c r="BD790" s="4"/>
      <c r="BE790" s="4"/>
      <c r="BF790" s="4"/>
      <c r="BG790" s="4"/>
      <c r="BH790" s="4"/>
      <c r="BI790" s="4"/>
      <c r="BJ790" s="4"/>
      <c r="BK790" s="4"/>
      <c r="BL790" s="4"/>
      <c r="BM790" s="4"/>
      <c r="BN790" s="4"/>
      <c r="BO790" s="4"/>
      <c r="BP790" s="4"/>
      <c r="BQ790" s="4"/>
      <c r="BR790" s="4"/>
      <c r="BS790" s="4"/>
      <c r="BT790" s="4"/>
      <c r="BU790" s="4"/>
      <c r="BV790" s="4"/>
      <c r="BW790" s="4"/>
      <c r="BX790" s="4"/>
      <c r="BY790" s="4"/>
      <c r="BZ790" s="4"/>
      <c r="CA790" s="4"/>
      <c r="CB790" s="4"/>
      <c r="CC790" s="4"/>
      <c r="CD790" s="4"/>
      <c r="CE790" s="4"/>
      <c r="CF790" s="4"/>
      <c r="CG790" s="4"/>
      <c r="CH790" s="4"/>
      <c r="CI790" s="4"/>
    </row>
    <row r="791" ht="14.25" customHeight="1" spans="1:87" x14ac:dyDescent="0.25">
      <c r="A791" s="4"/>
      <c r="B791" s="4"/>
      <c r="C791" s="4"/>
      <c r="D791" s="4"/>
      <c r="E791" s="4"/>
      <c r="F791" s="4"/>
      <c r="G791" s="4"/>
      <c r="H791" s="4"/>
      <c r="I791" s="4"/>
      <c r="J791" s="4"/>
      <c r="K791" s="242"/>
      <c r="L791" s="4"/>
      <c r="M791" s="4"/>
      <c r="N791" s="4"/>
      <c r="O791" s="4"/>
      <c r="P791" s="4"/>
      <c r="Q791" s="4"/>
      <c r="R791" s="4"/>
      <c r="S791" s="4"/>
      <c r="T791" s="4"/>
      <c r="U791" s="4"/>
      <c r="V791" s="4"/>
      <c r="W791" s="4"/>
      <c r="X791" s="4"/>
      <c r="Y791" s="4"/>
      <c r="Z791" s="4"/>
      <c r="AA791" s="4"/>
      <c r="AB791" s="4"/>
      <c r="AC791" s="4"/>
      <c r="AD791" s="4"/>
      <c r="AE791" s="4"/>
      <c r="AF791" s="4"/>
      <c r="AG791" s="4"/>
      <c r="AH791" s="4"/>
      <c r="AI791" s="4"/>
      <c r="AJ791" s="4"/>
      <c r="AK791" s="4"/>
      <c r="AL791" s="4"/>
      <c r="AM791" s="4"/>
      <c r="AN791" s="4"/>
      <c r="AO791" s="4"/>
      <c r="AP791" s="4"/>
      <c r="AQ791" s="4"/>
      <c r="AR791" s="4"/>
      <c r="AS791" s="4"/>
      <c r="AT791" s="4"/>
      <c r="AU791" s="4"/>
      <c r="AV791" s="4"/>
      <c r="AW791" s="4"/>
      <c r="AX791" s="4"/>
      <c r="AY791" s="4"/>
      <c r="AZ791" s="4"/>
      <c r="BA791" s="4"/>
      <c r="BB791" s="4"/>
      <c r="BC791" s="4"/>
      <c r="BD791" s="4"/>
      <c r="BE791" s="4"/>
      <c r="BF791" s="4"/>
      <c r="BG791" s="4"/>
      <c r="BH791" s="4"/>
      <c r="BI791" s="4"/>
      <c r="BJ791" s="4"/>
      <c r="BK791" s="4"/>
      <c r="BL791" s="4"/>
      <c r="BM791" s="4"/>
      <c r="BN791" s="4"/>
      <c r="BO791" s="4"/>
      <c r="BP791" s="4"/>
      <c r="BQ791" s="4"/>
      <c r="BR791" s="4"/>
      <c r="BS791" s="4"/>
      <c r="BT791" s="4"/>
      <c r="BU791" s="4"/>
      <c r="BV791" s="4"/>
      <c r="BW791" s="4"/>
      <c r="BX791" s="4"/>
      <c r="BY791" s="4"/>
      <c r="BZ791" s="4"/>
      <c r="CA791" s="4"/>
      <c r="CB791" s="4"/>
      <c r="CC791" s="4"/>
      <c r="CD791" s="4"/>
      <c r="CE791" s="4"/>
      <c r="CF791" s="4"/>
      <c r="CG791" s="4"/>
      <c r="CH791" s="4"/>
      <c r="CI791" s="4"/>
    </row>
    <row r="792" ht="14.25" customHeight="1" spans="1:87" x14ac:dyDescent="0.25">
      <c r="A792" s="4"/>
      <c r="B792" s="4"/>
      <c r="C792" s="4"/>
      <c r="D792" s="4"/>
      <c r="E792" s="4"/>
      <c r="F792" s="4"/>
      <c r="G792" s="4"/>
      <c r="H792" s="4"/>
      <c r="I792" s="4"/>
      <c r="J792" s="4"/>
      <c r="K792" s="242"/>
      <c r="L792" s="4"/>
      <c r="M792" s="4"/>
      <c r="N792" s="4"/>
      <c r="O792" s="4"/>
      <c r="P792" s="4"/>
      <c r="Q792" s="4"/>
      <c r="R792" s="4"/>
      <c r="S792" s="4"/>
      <c r="T792" s="4"/>
      <c r="U792" s="4"/>
      <c r="V792" s="4"/>
      <c r="W792" s="4"/>
      <c r="X792" s="4"/>
      <c r="Y792" s="4"/>
      <c r="Z792" s="4"/>
      <c r="AA792" s="4"/>
      <c r="AB792" s="4"/>
      <c r="AC792" s="4"/>
      <c r="AD792" s="4"/>
      <c r="AE792" s="4"/>
      <c r="AF792" s="4"/>
      <c r="AG792" s="4"/>
      <c r="AH792" s="4"/>
      <c r="AI792" s="4"/>
      <c r="AJ792" s="4"/>
      <c r="AK792" s="4"/>
      <c r="AL792" s="4"/>
      <c r="AM792" s="4"/>
      <c r="AN792" s="4"/>
      <c r="AO792" s="4"/>
      <c r="AP792" s="4"/>
      <c r="AQ792" s="4"/>
      <c r="AR792" s="4"/>
      <c r="AS792" s="4"/>
      <c r="AT792" s="4"/>
      <c r="AU792" s="4"/>
      <c r="AV792" s="4"/>
      <c r="AW792" s="4"/>
      <c r="AX792" s="4"/>
      <c r="AY792" s="4"/>
      <c r="AZ792" s="4"/>
      <c r="BA792" s="4"/>
      <c r="BB792" s="4"/>
      <c r="BC792" s="4"/>
      <c r="BD792" s="4"/>
      <c r="BE792" s="4"/>
      <c r="BF792" s="4"/>
      <c r="BG792" s="4"/>
      <c r="BH792" s="4"/>
      <c r="BI792" s="4"/>
      <c r="BJ792" s="4"/>
      <c r="BK792" s="4"/>
      <c r="BL792" s="4"/>
      <c r="BM792" s="4"/>
      <c r="BN792" s="4"/>
      <c r="BO792" s="4"/>
      <c r="BP792" s="4"/>
      <c r="BQ792" s="4"/>
      <c r="BR792" s="4"/>
      <c r="BS792" s="4"/>
      <c r="BT792" s="4"/>
      <c r="BU792" s="4"/>
      <c r="BV792" s="4"/>
      <c r="BW792" s="4"/>
      <c r="BX792" s="4"/>
      <c r="BY792" s="4"/>
      <c r="BZ792" s="4"/>
      <c r="CA792" s="4"/>
      <c r="CB792" s="4"/>
      <c r="CC792" s="4"/>
      <c r="CD792" s="4"/>
      <c r="CE792" s="4"/>
      <c r="CF792" s="4"/>
      <c r="CG792" s="4"/>
      <c r="CH792" s="4"/>
      <c r="CI792" s="4"/>
    </row>
    <row r="793" ht="14.25" customHeight="1" spans="1:87" x14ac:dyDescent="0.25">
      <c r="A793" s="4"/>
      <c r="B793" s="4"/>
      <c r="C793" s="4"/>
      <c r="D793" s="4"/>
      <c r="E793" s="4"/>
      <c r="F793" s="4"/>
      <c r="G793" s="4"/>
      <c r="H793" s="4"/>
      <c r="I793" s="4"/>
      <c r="J793" s="4"/>
      <c r="K793" s="242"/>
      <c r="L793" s="4"/>
      <c r="M793" s="4"/>
      <c r="N793" s="4"/>
      <c r="O793" s="4"/>
      <c r="P793" s="4"/>
      <c r="Q793" s="4"/>
      <c r="R793" s="4"/>
      <c r="S793" s="4"/>
      <c r="T793" s="4"/>
      <c r="U793" s="4"/>
      <c r="V793" s="4"/>
      <c r="W793" s="4"/>
      <c r="X793" s="4"/>
      <c r="Y793" s="4"/>
      <c r="Z793" s="4"/>
      <c r="AA793" s="4"/>
      <c r="AB793" s="4"/>
      <c r="AC793" s="4"/>
      <c r="AD793" s="4"/>
      <c r="AE793" s="4"/>
      <c r="AF793" s="4"/>
      <c r="AG793" s="4"/>
      <c r="AH793" s="4"/>
      <c r="AI793" s="4"/>
      <c r="AJ793" s="4"/>
      <c r="AK793" s="4"/>
      <c r="AL793" s="4"/>
      <c r="AM793" s="4"/>
      <c r="AN793" s="4"/>
      <c r="AO793" s="4"/>
      <c r="AP793" s="4"/>
      <c r="AQ793" s="4"/>
      <c r="AR793" s="4"/>
      <c r="AS793" s="4"/>
      <c r="AT793" s="4"/>
      <c r="AU793" s="4"/>
      <c r="AV793" s="4"/>
      <c r="AW793" s="4"/>
      <c r="AX793" s="4"/>
      <c r="AY793" s="4"/>
      <c r="AZ793" s="4"/>
      <c r="BA793" s="4"/>
      <c r="BB793" s="4"/>
      <c r="BC793" s="4"/>
      <c r="BD793" s="4"/>
      <c r="BE793" s="4"/>
      <c r="BF793" s="4"/>
      <c r="BG793" s="4"/>
      <c r="BH793" s="4"/>
      <c r="BI793" s="4"/>
      <c r="BJ793" s="4"/>
      <c r="BK793" s="4"/>
      <c r="BL793" s="4"/>
      <c r="BM793" s="4"/>
      <c r="BN793" s="4"/>
      <c r="BO793" s="4"/>
      <c r="BP793" s="4"/>
      <c r="BQ793" s="4"/>
      <c r="BR793" s="4"/>
      <c r="BS793" s="4"/>
      <c r="BT793" s="4"/>
      <c r="BU793" s="4"/>
      <c r="BV793" s="4"/>
      <c r="BW793" s="4"/>
      <c r="BX793" s="4"/>
      <c r="BY793" s="4"/>
      <c r="BZ793" s="4"/>
      <c r="CA793" s="4"/>
      <c r="CB793" s="4"/>
      <c r="CC793" s="4"/>
      <c r="CD793" s="4"/>
      <c r="CE793" s="4"/>
      <c r="CF793" s="4"/>
      <c r="CG793" s="4"/>
      <c r="CH793" s="4"/>
      <c r="CI793" s="4"/>
    </row>
    <row r="794" ht="14.25" customHeight="1" spans="1:87" x14ac:dyDescent="0.25">
      <c r="A794" s="4"/>
      <c r="B794" s="4"/>
      <c r="C794" s="4"/>
      <c r="D794" s="4"/>
      <c r="E794" s="4"/>
      <c r="F794" s="4"/>
      <c r="G794" s="4"/>
      <c r="H794" s="4"/>
      <c r="I794" s="4"/>
      <c r="J794" s="4"/>
      <c r="K794" s="242"/>
      <c r="L794" s="4"/>
      <c r="M794" s="4"/>
      <c r="N794" s="4"/>
      <c r="O794" s="4"/>
      <c r="P794" s="4"/>
      <c r="Q794" s="4"/>
      <c r="R794" s="4"/>
      <c r="S794" s="4"/>
      <c r="T794" s="4"/>
      <c r="U794" s="4"/>
      <c r="V794" s="4"/>
      <c r="W794" s="4"/>
      <c r="X794" s="4"/>
      <c r="Y794" s="4"/>
      <c r="Z794" s="4"/>
      <c r="AA794" s="4"/>
      <c r="AB794" s="4"/>
      <c r="AC794" s="4"/>
      <c r="AD794" s="4"/>
      <c r="AE794" s="4"/>
      <c r="AF794" s="4"/>
      <c r="AG794" s="4"/>
      <c r="AH794" s="4"/>
      <c r="AI794" s="4"/>
      <c r="AJ794" s="4"/>
      <c r="AK794" s="4"/>
      <c r="AL794" s="4"/>
      <c r="AM794" s="4"/>
      <c r="AN794" s="4"/>
      <c r="AO794" s="4"/>
      <c r="AP794" s="4"/>
      <c r="AQ794" s="4"/>
      <c r="AR794" s="4"/>
      <c r="AS794" s="4"/>
      <c r="AT794" s="4"/>
      <c r="AU794" s="4"/>
      <c r="AV794" s="4"/>
      <c r="AW794" s="4"/>
      <c r="AX794" s="4"/>
      <c r="AY794" s="4"/>
      <c r="AZ794" s="4"/>
      <c r="BA794" s="4"/>
      <c r="BB794" s="4"/>
      <c r="BC794" s="4"/>
      <c r="BD794" s="4"/>
      <c r="BE794" s="4"/>
      <c r="BF794" s="4"/>
      <c r="BG794" s="4"/>
      <c r="BH794" s="4"/>
      <c r="BI794" s="4"/>
      <c r="BJ794" s="4"/>
      <c r="BK794" s="4"/>
      <c r="BL794" s="4"/>
      <c r="BM794" s="4"/>
      <c r="BN794" s="4"/>
      <c r="BO794" s="4"/>
      <c r="BP794" s="4"/>
      <c r="BQ794" s="4"/>
      <c r="BR794" s="4"/>
      <c r="BS794" s="4"/>
      <c r="BT794" s="4"/>
      <c r="BU794" s="4"/>
      <c r="BV794" s="4"/>
      <c r="BW794" s="4"/>
      <c r="BX794" s="4"/>
      <c r="BY794" s="4"/>
      <c r="BZ794" s="4"/>
      <c r="CA794" s="4"/>
      <c r="CB794" s="4"/>
      <c r="CC794" s="4"/>
      <c r="CD794" s="4"/>
      <c r="CE794" s="4"/>
      <c r="CF794" s="4"/>
      <c r="CG794" s="4"/>
      <c r="CH794" s="4"/>
      <c r="CI794" s="4"/>
    </row>
    <row r="795" ht="14.25" customHeight="1" spans="1:87" x14ac:dyDescent="0.25">
      <c r="A795" s="4"/>
      <c r="B795" s="4"/>
      <c r="C795" s="4"/>
      <c r="D795" s="4"/>
      <c r="E795" s="4"/>
      <c r="F795" s="4"/>
      <c r="G795" s="4"/>
      <c r="H795" s="4"/>
      <c r="I795" s="4"/>
      <c r="J795" s="4"/>
      <c r="K795" s="242"/>
      <c r="L795" s="4"/>
      <c r="M795" s="4"/>
      <c r="N795" s="4"/>
      <c r="O795" s="4"/>
      <c r="P795" s="4"/>
      <c r="Q795" s="4"/>
      <c r="R795" s="4"/>
      <c r="S795" s="4"/>
      <c r="T795" s="4"/>
      <c r="U795" s="4"/>
      <c r="V795" s="4"/>
      <c r="W795" s="4"/>
      <c r="X795" s="4"/>
      <c r="Y795" s="4"/>
      <c r="Z795" s="4"/>
      <c r="AA795" s="4"/>
      <c r="AB795" s="4"/>
      <c r="AC795" s="4"/>
      <c r="AD795" s="4"/>
      <c r="AE795" s="4"/>
      <c r="AF795" s="4"/>
      <c r="AG795" s="4"/>
      <c r="AH795" s="4"/>
      <c r="AI795" s="4"/>
      <c r="AJ795" s="4"/>
      <c r="AK795" s="4"/>
      <c r="AL795" s="4"/>
      <c r="AM795" s="4"/>
      <c r="AN795" s="4"/>
      <c r="AO795" s="4"/>
      <c r="AP795" s="4"/>
      <c r="AQ795" s="4"/>
      <c r="AR795" s="4"/>
      <c r="AS795" s="4"/>
      <c r="AT795" s="4"/>
      <c r="AU795" s="4"/>
      <c r="AV795" s="4"/>
      <c r="AW795" s="4"/>
      <c r="AX795" s="4"/>
      <c r="AY795" s="4"/>
      <c r="AZ795" s="4"/>
      <c r="BA795" s="4"/>
      <c r="BB795" s="4"/>
      <c r="BC795" s="4"/>
      <c r="BD795" s="4"/>
      <c r="BE795" s="4"/>
      <c r="BF795" s="4"/>
      <c r="BG795" s="4"/>
      <c r="BH795" s="4"/>
      <c r="BI795" s="4"/>
      <c r="BJ795" s="4"/>
      <c r="BK795" s="4"/>
      <c r="BL795" s="4"/>
      <c r="BM795" s="4"/>
      <c r="BN795" s="4"/>
      <c r="BO795" s="4"/>
      <c r="BP795" s="4"/>
      <c r="BQ795" s="4"/>
      <c r="BR795" s="4"/>
      <c r="BS795" s="4"/>
      <c r="BT795" s="4"/>
      <c r="BU795" s="4"/>
      <c r="BV795" s="4"/>
      <c r="BW795" s="4"/>
      <c r="BX795" s="4"/>
      <c r="BY795" s="4"/>
      <c r="BZ795" s="4"/>
      <c r="CA795" s="4"/>
      <c r="CB795" s="4"/>
      <c r="CC795" s="4"/>
      <c r="CD795" s="4"/>
      <c r="CE795" s="4"/>
      <c r="CF795" s="4"/>
      <c r="CG795" s="4"/>
      <c r="CH795" s="4"/>
      <c r="CI795" s="4"/>
    </row>
    <row r="796" ht="14.25" customHeight="1" spans="1:87" x14ac:dyDescent="0.25">
      <c r="A796" s="4"/>
      <c r="B796" s="4"/>
      <c r="C796" s="4"/>
      <c r="D796" s="4"/>
      <c r="E796" s="4"/>
      <c r="F796" s="4"/>
      <c r="G796" s="4"/>
      <c r="H796" s="4"/>
      <c r="I796" s="4"/>
      <c r="J796" s="4"/>
      <c r="K796" s="242"/>
      <c r="L796" s="4"/>
      <c r="M796" s="4"/>
      <c r="N796" s="4"/>
      <c r="O796" s="4"/>
      <c r="P796" s="4"/>
      <c r="Q796" s="4"/>
      <c r="R796" s="4"/>
      <c r="S796" s="4"/>
      <c r="T796" s="4"/>
      <c r="U796" s="4"/>
      <c r="V796" s="4"/>
      <c r="W796" s="4"/>
      <c r="X796" s="4"/>
      <c r="Y796" s="4"/>
      <c r="Z796" s="4"/>
      <c r="AA796" s="4"/>
      <c r="AB796" s="4"/>
      <c r="AC796" s="4"/>
      <c r="AD796" s="4"/>
      <c r="AE796" s="4"/>
      <c r="AF796" s="4"/>
      <c r="AG796" s="4"/>
      <c r="AH796" s="4"/>
      <c r="AI796" s="4"/>
      <c r="AJ796" s="4"/>
      <c r="AK796" s="4"/>
      <c r="AL796" s="4"/>
      <c r="AM796" s="4"/>
      <c r="AN796" s="4"/>
      <c r="AO796" s="4"/>
      <c r="AP796" s="4"/>
      <c r="AQ796" s="4"/>
      <c r="AR796" s="4"/>
      <c r="AS796" s="4"/>
      <c r="AT796" s="4"/>
      <c r="AU796" s="4"/>
      <c r="AV796" s="4"/>
      <c r="AW796" s="4"/>
      <c r="AX796" s="4"/>
      <c r="AY796" s="4"/>
      <c r="AZ796" s="4"/>
      <c r="BA796" s="4"/>
      <c r="BB796" s="4"/>
      <c r="BC796" s="4"/>
      <c r="BD796" s="4"/>
      <c r="BE796" s="4"/>
      <c r="BF796" s="4"/>
      <c r="BG796" s="4"/>
      <c r="BH796" s="4"/>
      <c r="BI796" s="4"/>
      <c r="BJ796" s="4"/>
      <c r="BK796" s="4"/>
      <c r="BL796" s="4"/>
      <c r="BM796" s="4"/>
      <c r="BN796" s="4"/>
      <c r="BO796" s="4"/>
      <c r="BP796" s="4"/>
      <c r="BQ796" s="4"/>
      <c r="BR796" s="4"/>
      <c r="BS796" s="4"/>
      <c r="BT796" s="4"/>
      <c r="BU796" s="4"/>
      <c r="BV796" s="4"/>
      <c r="BW796" s="4"/>
      <c r="BX796" s="4"/>
      <c r="BY796" s="4"/>
      <c r="BZ796" s="4"/>
      <c r="CA796" s="4"/>
      <c r="CB796" s="4"/>
      <c r="CC796" s="4"/>
      <c r="CD796" s="4"/>
      <c r="CE796" s="4"/>
      <c r="CF796" s="4"/>
      <c r="CG796" s="4"/>
      <c r="CH796" s="4"/>
      <c r="CI796" s="4"/>
    </row>
    <row r="797" ht="14.25" customHeight="1" spans="1:87" x14ac:dyDescent="0.25">
      <c r="A797" s="4"/>
      <c r="B797" s="4"/>
      <c r="C797" s="4"/>
      <c r="D797" s="4"/>
      <c r="E797" s="4"/>
      <c r="F797" s="4"/>
      <c r="G797" s="4"/>
      <c r="H797" s="4"/>
      <c r="I797" s="4"/>
      <c r="J797" s="4"/>
      <c r="K797" s="242"/>
      <c r="L797" s="4"/>
      <c r="M797" s="4"/>
      <c r="N797" s="4"/>
      <c r="O797" s="4"/>
      <c r="P797" s="4"/>
      <c r="Q797" s="4"/>
      <c r="R797" s="4"/>
      <c r="S797" s="4"/>
      <c r="T797" s="4"/>
      <c r="U797" s="4"/>
      <c r="V797" s="4"/>
      <c r="W797" s="4"/>
      <c r="X797" s="4"/>
      <c r="Y797" s="4"/>
      <c r="Z797" s="4"/>
      <c r="AA797" s="4"/>
      <c r="AB797" s="4"/>
      <c r="AC797" s="4"/>
      <c r="AD797" s="4"/>
      <c r="AE797" s="4"/>
      <c r="AF797" s="4"/>
      <c r="AG797" s="4"/>
      <c r="AH797" s="4"/>
      <c r="AI797" s="4"/>
      <c r="AJ797" s="4"/>
      <c r="AK797" s="4"/>
      <c r="AL797" s="4"/>
      <c r="AM797" s="4"/>
      <c r="AN797" s="4"/>
      <c r="AO797" s="4"/>
      <c r="AP797" s="4"/>
      <c r="AQ797" s="4"/>
      <c r="AR797" s="4"/>
      <c r="AS797" s="4"/>
      <c r="AT797" s="4"/>
      <c r="AU797" s="4"/>
      <c r="AV797" s="4"/>
      <c r="AW797" s="4"/>
      <c r="AX797" s="4"/>
      <c r="AY797" s="4"/>
      <c r="AZ797" s="4"/>
      <c r="BA797" s="4"/>
      <c r="BB797" s="4"/>
      <c r="BC797" s="4"/>
      <c r="BD797" s="4"/>
      <c r="BE797" s="4"/>
      <c r="BF797" s="4"/>
      <c r="BG797" s="4"/>
      <c r="BH797" s="4"/>
      <c r="BI797" s="4"/>
      <c r="BJ797" s="4"/>
      <c r="BK797" s="4"/>
      <c r="BL797" s="4"/>
      <c r="BM797" s="4"/>
      <c r="BN797" s="4"/>
      <c r="BO797" s="4"/>
      <c r="BP797" s="4"/>
      <c r="BQ797" s="4"/>
      <c r="BR797" s="4"/>
      <c r="BS797" s="4"/>
      <c r="BT797" s="4"/>
      <c r="BU797" s="4"/>
      <c r="BV797" s="4"/>
      <c r="BW797" s="4"/>
      <c r="BX797" s="4"/>
      <c r="BY797" s="4"/>
      <c r="BZ797" s="4"/>
      <c r="CA797" s="4"/>
      <c r="CB797" s="4"/>
      <c r="CC797" s="4"/>
      <c r="CD797" s="4"/>
      <c r="CE797" s="4"/>
      <c r="CF797" s="4"/>
      <c r="CG797" s="4"/>
      <c r="CH797" s="4"/>
      <c r="CI797" s="4"/>
    </row>
    <row r="798" ht="14.25" customHeight="1" spans="1:87" x14ac:dyDescent="0.25">
      <c r="A798" s="4"/>
      <c r="B798" s="4"/>
      <c r="C798" s="4"/>
      <c r="D798" s="4"/>
      <c r="E798" s="4"/>
      <c r="F798" s="4"/>
      <c r="G798" s="4"/>
      <c r="H798" s="4"/>
      <c r="I798" s="4"/>
      <c r="J798" s="4"/>
      <c r="K798" s="242"/>
      <c r="L798" s="4"/>
      <c r="M798" s="4"/>
      <c r="N798" s="4"/>
      <c r="O798" s="4"/>
      <c r="P798" s="4"/>
      <c r="Q798" s="4"/>
      <c r="R798" s="4"/>
      <c r="S798" s="4"/>
      <c r="T798" s="4"/>
      <c r="U798" s="4"/>
      <c r="V798" s="4"/>
      <c r="W798" s="4"/>
      <c r="X798" s="4"/>
      <c r="Y798" s="4"/>
      <c r="Z798" s="4"/>
      <c r="AA798" s="4"/>
      <c r="AB798" s="4"/>
      <c r="AC798" s="4"/>
      <c r="AD798" s="4"/>
      <c r="AE798" s="4"/>
      <c r="AF798" s="4"/>
      <c r="AG798" s="4"/>
      <c r="AH798" s="4"/>
      <c r="AI798" s="4"/>
      <c r="AJ798" s="4"/>
      <c r="AK798" s="4"/>
      <c r="AL798" s="4"/>
      <c r="AM798" s="4"/>
      <c r="AN798" s="4"/>
      <c r="AO798" s="4"/>
      <c r="AP798" s="4"/>
      <c r="AQ798" s="4"/>
      <c r="AR798" s="4"/>
      <c r="AS798" s="4"/>
      <c r="AT798" s="4"/>
      <c r="AU798" s="4"/>
      <c r="AV798" s="4"/>
      <c r="AW798" s="4"/>
      <c r="AX798" s="4"/>
      <c r="AY798" s="4"/>
      <c r="AZ798" s="4"/>
      <c r="BA798" s="4"/>
      <c r="BB798" s="4"/>
      <c r="BC798" s="4"/>
      <c r="BD798" s="4"/>
      <c r="BE798" s="4"/>
      <c r="BF798" s="4"/>
      <c r="BG798" s="4"/>
      <c r="BH798" s="4"/>
      <c r="BI798" s="4"/>
      <c r="BJ798" s="4"/>
      <c r="BK798" s="4"/>
      <c r="BL798" s="4"/>
      <c r="BM798" s="4"/>
      <c r="BN798" s="4"/>
      <c r="BO798" s="4"/>
      <c r="BP798" s="4"/>
      <c r="BQ798" s="4"/>
      <c r="BR798" s="4"/>
      <c r="BS798" s="4"/>
      <c r="BT798" s="4"/>
      <c r="BU798" s="4"/>
      <c r="BV798" s="4"/>
      <c r="BW798" s="4"/>
      <c r="BX798" s="4"/>
      <c r="BY798" s="4"/>
      <c r="BZ798" s="4"/>
      <c r="CA798" s="4"/>
      <c r="CB798" s="4"/>
      <c r="CC798" s="4"/>
      <c r="CD798" s="4"/>
      <c r="CE798" s="4"/>
      <c r="CF798" s="4"/>
      <c r="CG798" s="4"/>
      <c r="CH798" s="4"/>
      <c r="CI798" s="4"/>
    </row>
    <row r="799" ht="14.25" customHeight="1" spans="1:87" x14ac:dyDescent="0.25">
      <c r="A799" s="4"/>
      <c r="B799" s="4"/>
      <c r="C799" s="4"/>
      <c r="D799" s="4"/>
      <c r="E799" s="4"/>
      <c r="F799" s="4"/>
      <c r="G799" s="4"/>
      <c r="H799" s="4"/>
      <c r="I799" s="4"/>
      <c r="J799" s="4"/>
      <c r="K799" s="242"/>
      <c r="L799" s="4"/>
      <c r="M799" s="4"/>
      <c r="N799" s="4"/>
      <c r="O799" s="4"/>
      <c r="P799" s="4"/>
      <c r="Q799" s="4"/>
      <c r="R799" s="4"/>
      <c r="S799" s="4"/>
      <c r="T799" s="4"/>
      <c r="U799" s="4"/>
      <c r="V799" s="4"/>
      <c r="W799" s="4"/>
      <c r="X799" s="4"/>
      <c r="Y799" s="4"/>
      <c r="Z799" s="4"/>
      <c r="AA799" s="4"/>
      <c r="AB799" s="4"/>
      <c r="AC799" s="4"/>
      <c r="AD799" s="4"/>
      <c r="AE799" s="4"/>
      <c r="AF799" s="4"/>
      <c r="AG799" s="4"/>
      <c r="AH799" s="4"/>
      <c r="AI799" s="4"/>
      <c r="AJ799" s="4"/>
      <c r="AK799" s="4"/>
      <c r="AL799" s="4"/>
      <c r="AM799" s="4"/>
      <c r="AN799" s="4"/>
      <c r="AO799" s="4"/>
      <c r="AP799" s="4"/>
      <c r="AQ799" s="4"/>
      <c r="AR799" s="4"/>
      <c r="AS799" s="4"/>
      <c r="AT799" s="4"/>
      <c r="AU799" s="4"/>
      <c r="AV799" s="4"/>
      <c r="AW799" s="4"/>
      <c r="AX799" s="4"/>
      <c r="AY799" s="4"/>
      <c r="AZ799" s="4"/>
      <c r="BA799" s="4"/>
      <c r="BB799" s="4"/>
      <c r="BC799" s="4"/>
      <c r="BD799" s="4"/>
      <c r="BE799" s="4"/>
      <c r="BF799" s="4"/>
      <c r="BG799" s="4"/>
      <c r="BH799" s="4"/>
      <c r="BI799" s="4"/>
      <c r="BJ799" s="4"/>
      <c r="BK799" s="4"/>
      <c r="BL799" s="4"/>
      <c r="BM799" s="4"/>
      <c r="BN799" s="4"/>
      <c r="BO799" s="4"/>
      <c r="BP799" s="4"/>
      <c r="BQ799" s="4"/>
      <c r="BR799" s="4"/>
      <c r="BS799" s="4"/>
      <c r="BT799" s="4"/>
      <c r="BU799" s="4"/>
      <c r="BV799" s="4"/>
      <c r="BW799" s="4"/>
      <c r="BX799" s="4"/>
      <c r="BY799" s="4"/>
      <c r="BZ799" s="4"/>
      <c r="CA799" s="4"/>
      <c r="CB799" s="4"/>
      <c r="CC799" s="4"/>
      <c r="CD799" s="4"/>
      <c r="CE799" s="4"/>
      <c r="CF799" s="4"/>
      <c r="CG799" s="4"/>
      <c r="CH799" s="4"/>
      <c r="CI799" s="4"/>
    </row>
    <row r="800" ht="14.25" customHeight="1" spans="1:87" x14ac:dyDescent="0.25">
      <c r="A800" s="4"/>
      <c r="B800" s="4"/>
      <c r="C800" s="4"/>
      <c r="D800" s="4"/>
      <c r="E800" s="4"/>
      <c r="F800" s="4"/>
      <c r="G800" s="4"/>
      <c r="H800" s="4"/>
      <c r="I800" s="4"/>
      <c r="J800" s="4"/>
      <c r="K800" s="242"/>
      <c r="L800" s="4"/>
      <c r="M800" s="4"/>
      <c r="N800" s="4"/>
      <c r="O800" s="4"/>
      <c r="P800" s="4"/>
      <c r="Q800" s="4"/>
      <c r="R800" s="4"/>
      <c r="S800" s="4"/>
      <c r="T800" s="4"/>
      <c r="U800" s="4"/>
      <c r="V800" s="4"/>
      <c r="W800" s="4"/>
      <c r="X800" s="4"/>
      <c r="Y800" s="4"/>
      <c r="Z800" s="4"/>
      <c r="AA800" s="4"/>
      <c r="AB800" s="4"/>
      <c r="AC800" s="4"/>
      <c r="AD800" s="4"/>
      <c r="AE800" s="4"/>
      <c r="AF800" s="4"/>
      <c r="AG800" s="4"/>
      <c r="AH800" s="4"/>
      <c r="AI800" s="4"/>
      <c r="AJ800" s="4"/>
      <c r="AK800" s="4"/>
      <c r="AL800" s="4"/>
      <c r="AM800" s="4"/>
      <c r="AN800" s="4"/>
      <c r="AO800" s="4"/>
      <c r="AP800" s="4"/>
      <c r="AQ800" s="4"/>
      <c r="AR800" s="4"/>
      <c r="AS800" s="4"/>
      <c r="AT800" s="4"/>
      <c r="AU800" s="4"/>
      <c r="AV800" s="4"/>
      <c r="AW800" s="4"/>
      <c r="AX800" s="4"/>
      <c r="AY800" s="4"/>
      <c r="AZ800" s="4"/>
      <c r="BA800" s="4"/>
      <c r="BB800" s="4"/>
      <c r="BC800" s="4"/>
      <c r="BD800" s="4"/>
      <c r="BE800" s="4"/>
      <c r="BF800" s="4"/>
      <c r="BG800" s="4"/>
      <c r="BH800" s="4"/>
      <c r="BI800" s="4"/>
      <c r="BJ800" s="4"/>
      <c r="BK800" s="4"/>
      <c r="BL800" s="4"/>
      <c r="BM800" s="4"/>
      <c r="BN800" s="4"/>
      <c r="BO800" s="4"/>
      <c r="BP800" s="4"/>
      <c r="BQ800" s="4"/>
      <c r="BR800" s="4"/>
      <c r="BS800" s="4"/>
      <c r="BT800" s="4"/>
      <c r="BU800" s="4"/>
      <c r="BV800" s="4"/>
      <c r="BW800" s="4"/>
      <c r="BX800" s="4"/>
      <c r="BY800" s="4"/>
      <c r="BZ800" s="4"/>
      <c r="CA800" s="4"/>
      <c r="CB800" s="4"/>
      <c r="CC800" s="4"/>
      <c r="CD800" s="4"/>
      <c r="CE800" s="4"/>
      <c r="CF800" s="4"/>
      <c r="CG800" s="4"/>
      <c r="CH800" s="4"/>
      <c r="CI800" s="4"/>
    </row>
    <row r="801" ht="14.25" customHeight="1" spans="1:87" x14ac:dyDescent="0.25">
      <c r="A801" s="4"/>
      <c r="B801" s="4"/>
      <c r="C801" s="4"/>
      <c r="D801" s="4"/>
      <c r="E801" s="4"/>
      <c r="F801" s="4"/>
      <c r="G801" s="4"/>
      <c r="H801" s="4"/>
      <c r="I801" s="4"/>
      <c r="J801" s="4"/>
      <c r="K801" s="242"/>
      <c r="L801" s="4"/>
      <c r="M801" s="4"/>
      <c r="N801" s="4"/>
      <c r="O801" s="4"/>
      <c r="P801" s="4"/>
      <c r="Q801" s="4"/>
      <c r="R801" s="4"/>
      <c r="S801" s="4"/>
      <c r="T801" s="4"/>
      <c r="U801" s="4"/>
      <c r="V801" s="4"/>
      <c r="W801" s="4"/>
      <c r="X801" s="4"/>
      <c r="Y801" s="4"/>
      <c r="Z801" s="4"/>
      <c r="AA801" s="4"/>
      <c r="AB801" s="4"/>
      <c r="AC801" s="4"/>
      <c r="AD801" s="4"/>
      <c r="AE801" s="4"/>
      <c r="AF801" s="4"/>
      <c r="AG801" s="4"/>
      <c r="AH801" s="4"/>
      <c r="AI801" s="4"/>
      <c r="AJ801" s="4"/>
      <c r="AK801" s="4"/>
      <c r="AL801" s="4"/>
      <c r="AM801" s="4"/>
      <c r="AN801" s="4"/>
      <c r="AO801" s="4"/>
      <c r="AP801" s="4"/>
      <c r="AQ801" s="4"/>
      <c r="AR801" s="4"/>
      <c r="AS801" s="4"/>
      <c r="AT801" s="4"/>
      <c r="AU801" s="4"/>
      <c r="AV801" s="4"/>
      <c r="AW801" s="4"/>
      <c r="AX801" s="4"/>
      <c r="AY801" s="4"/>
      <c r="AZ801" s="4"/>
      <c r="BA801" s="4"/>
      <c r="BB801" s="4"/>
      <c r="BC801" s="4"/>
      <c r="BD801" s="4"/>
      <c r="BE801" s="4"/>
      <c r="BF801" s="4"/>
      <c r="BG801" s="4"/>
      <c r="BH801" s="4"/>
      <c r="BI801" s="4"/>
      <c r="BJ801" s="4"/>
      <c r="BK801" s="4"/>
      <c r="BL801" s="4"/>
      <c r="BM801" s="4"/>
      <c r="BN801" s="4"/>
      <c r="BO801" s="4"/>
      <c r="BP801" s="4"/>
      <c r="BQ801" s="4"/>
      <c r="BR801" s="4"/>
      <c r="BS801" s="4"/>
      <c r="BT801" s="4"/>
      <c r="BU801" s="4"/>
      <c r="BV801" s="4"/>
      <c r="BW801" s="4"/>
      <c r="BX801" s="4"/>
      <c r="BY801" s="4"/>
      <c r="BZ801" s="4"/>
      <c r="CA801" s="4"/>
      <c r="CB801" s="4"/>
      <c r="CC801" s="4"/>
      <c r="CD801" s="4"/>
      <c r="CE801" s="4"/>
      <c r="CF801" s="4"/>
      <c r="CG801" s="4"/>
      <c r="CH801" s="4"/>
      <c r="CI801" s="4"/>
    </row>
    <row r="802" ht="14.25" customHeight="1" spans="1:87" x14ac:dyDescent="0.25">
      <c r="A802" s="4"/>
      <c r="B802" s="4"/>
      <c r="C802" s="4"/>
      <c r="D802" s="4"/>
      <c r="E802" s="4"/>
      <c r="F802" s="4"/>
      <c r="G802" s="4"/>
      <c r="H802" s="4"/>
      <c r="I802" s="4"/>
      <c r="J802" s="4"/>
      <c r="K802" s="242"/>
      <c r="L802" s="4"/>
      <c r="M802" s="4"/>
      <c r="N802" s="4"/>
      <c r="O802" s="4"/>
      <c r="P802" s="4"/>
      <c r="Q802" s="4"/>
      <c r="R802" s="4"/>
      <c r="S802" s="4"/>
      <c r="T802" s="4"/>
      <c r="U802" s="4"/>
      <c r="V802" s="4"/>
      <c r="W802" s="4"/>
      <c r="X802" s="4"/>
      <c r="Y802" s="4"/>
      <c r="Z802" s="4"/>
      <c r="AA802" s="4"/>
      <c r="AB802" s="4"/>
      <c r="AC802" s="4"/>
      <c r="AD802" s="4"/>
      <c r="AE802" s="4"/>
      <c r="AF802" s="4"/>
      <c r="AG802" s="4"/>
      <c r="AH802" s="4"/>
      <c r="AI802" s="4"/>
      <c r="AJ802" s="4"/>
      <c r="AK802" s="4"/>
      <c r="AL802" s="4"/>
      <c r="AM802" s="4"/>
      <c r="AN802" s="4"/>
      <c r="AO802" s="4"/>
      <c r="AP802" s="4"/>
      <c r="AQ802" s="4"/>
      <c r="AR802" s="4"/>
      <c r="AS802" s="4"/>
      <c r="AT802" s="4"/>
      <c r="AU802" s="4"/>
      <c r="AV802" s="4"/>
      <c r="AW802" s="4"/>
      <c r="AX802" s="4"/>
      <c r="AY802" s="4"/>
      <c r="AZ802" s="4"/>
      <c r="BA802" s="4"/>
      <c r="BB802" s="4"/>
      <c r="BC802" s="4"/>
      <c r="BD802" s="4"/>
      <c r="BE802" s="4"/>
      <c r="BF802" s="4"/>
      <c r="BG802" s="4"/>
      <c r="BH802" s="4"/>
      <c r="BI802" s="4"/>
      <c r="BJ802" s="4"/>
      <c r="BK802" s="4"/>
      <c r="BL802" s="4"/>
      <c r="BM802" s="4"/>
      <c r="BN802" s="4"/>
      <c r="BO802" s="4"/>
      <c r="BP802" s="4"/>
      <c r="BQ802" s="4"/>
      <c r="BR802" s="4"/>
      <c r="BS802" s="4"/>
      <c r="BT802" s="4"/>
      <c r="BU802" s="4"/>
      <c r="BV802" s="4"/>
      <c r="BW802" s="4"/>
      <c r="BX802" s="4"/>
      <c r="BY802" s="4"/>
      <c r="BZ802" s="4"/>
      <c r="CA802" s="4"/>
      <c r="CB802" s="4"/>
      <c r="CC802" s="4"/>
      <c r="CD802" s="4"/>
      <c r="CE802" s="4"/>
      <c r="CF802" s="4"/>
      <c r="CG802" s="4"/>
      <c r="CH802" s="4"/>
      <c r="CI802" s="4"/>
    </row>
    <row r="803" ht="14.25" customHeight="1" spans="1:87" x14ac:dyDescent="0.25">
      <c r="A803" s="4"/>
      <c r="B803" s="4"/>
      <c r="C803" s="4"/>
      <c r="D803" s="4"/>
      <c r="E803" s="4"/>
      <c r="F803" s="4"/>
      <c r="G803" s="4"/>
      <c r="H803" s="4"/>
      <c r="I803" s="4"/>
      <c r="J803" s="4"/>
      <c r="K803" s="242"/>
      <c r="L803" s="4"/>
      <c r="M803" s="4"/>
      <c r="N803" s="4"/>
      <c r="O803" s="4"/>
      <c r="P803" s="4"/>
      <c r="Q803" s="4"/>
      <c r="R803" s="4"/>
      <c r="S803" s="4"/>
      <c r="T803" s="4"/>
      <c r="U803" s="4"/>
      <c r="V803" s="4"/>
      <c r="W803" s="4"/>
      <c r="X803" s="4"/>
      <c r="Y803" s="4"/>
      <c r="Z803" s="4"/>
      <c r="AA803" s="4"/>
      <c r="AB803" s="4"/>
      <c r="AC803" s="4"/>
      <c r="AD803" s="4"/>
      <c r="AE803" s="4"/>
      <c r="AF803" s="4"/>
      <c r="AG803" s="4"/>
      <c r="AH803" s="4"/>
      <c r="AI803" s="4"/>
      <c r="AJ803" s="4"/>
      <c r="AK803" s="4"/>
      <c r="AL803" s="4"/>
      <c r="AM803" s="4"/>
      <c r="AN803" s="4"/>
      <c r="AO803" s="4"/>
      <c r="AP803" s="4"/>
      <c r="AQ803" s="4"/>
      <c r="AR803" s="4"/>
      <c r="AS803" s="4"/>
      <c r="AT803" s="4"/>
      <c r="AU803" s="4"/>
      <c r="AV803" s="4"/>
      <c r="AW803" s="4"/>
      <c r="AX803" s="4"/>
      <c r="AY803" s="4"/>
      <c r="AZ803" s="4"/>
      <c r="BA803" s="4"/>
      <c r="BB803" s="4"/>
      <c r="BC803" s="4"/>
      <c r="BD803" s="4"/>
      <c r="BE803" s="4"/>
      <c r="BF803" s="4"/>
      <c r="BG803" s="4"/>
      <c r="BH803" s="4"/>
      <c r="BI803" s="4"/>
      <c r="BJ803" s="4"/>
      <c r="BK803" s="4"/>
      <c r="BL803" s="4"/>
      <c r="BM803" s="4"/>
      <c r="BN803" s="4"/>
      <c r="BO803" s="4"/>
      <c r="BP803" s="4"/>
      <c r="BQ803" s="4"/>
      <c r="BR803" s="4"/>
      <c r="BS803" s="4"/>
      <c r="BT803" s="4"/>
      <c r="BU803" s="4"/>
      <c r="BV803" s="4"/>
      <c r="BW803" s="4"/>
      <c r="BX803" s="4"/>
      <c r="BY803" s="4"/>
      <c r="BZ803" s="4"/>
      <c r="CA803" s="4"/>
      <c r="CB803" s="4"/>
      <c r="CC803" s="4"/>
      <c r="CD803" s="4"/>
      <c r="CE803" s="4"/>
      <c r="CF803" s="4"/>
      <c r="CG803" s="4"/>
      <c r="CH803" s="4"/>
      <c r="CI803" s="4"/>
    </row>
    <row r="804" ht="14.25" customHeight="1" spans="1:87" x14ac:dyDescent="0.25">
      <c r="A804" s="4"/>
      <c r="B804" s="4"/>
      <c r="C804" s="4"/>
      <c r="D804" s="4"/>
      <c r="E804" s="4"/>
      <c r="F804" s="4"/>
      <c r="G804" s="4"/>
      <c r="H804" s="4"/>
      <c r="I804" s="4"/>
      <c r="J804" s="4"/>
      <c r="K804" s="242"/>
      <c r="L804" s="4"/>
      <c r="M804" s="4"/>
      <c r="N804" s="4"/>
      <c r="O804" s="4"/>
      <c r="P804" s="4"/>
      <c r="Q804" s="4"/>
      <c r="R804" s="4"/>
      <c r="S804" s="4"/>
      <c r="T804" s="4"/>
      <c r="U804" s="4"/>
      <c r="V804" s="4"/>
      <c r="W804" s="4"/>
      <c r="X804" s="4"/>
      <c r="Y804" s="4"/>
      <c r="Z804" s="4"/>
      <c r="AA804" s="4"/>
      <c r="AB804" s="4"/>
      <c r="AC804" s="4"/>
      <c r="AD804" s="4"/>
      <c r="AE804" s="4"/>
      <c r="AF804" s="4"/>
      <c r="AG804" s="4"/>
      <c r="AH804" s="4"/>
      <c r="AI804" s="4"/>
      <c r="AJ804" s="4"/>
      <c r="AK804" s="4"/>
      <c r="AL804" s="4"/>
      <c r="AM804" s="4"/>
      <c r="AN804" s="4"/>
      <c r="AO804" s="4"/>
      <c r="AP804" s="4"/>
      <c r="AQ804" s="4"/>
      <c r="AR804" s="4"/>
      <c r="AS804" s="4"/>
      <c r="AT804" s="4"/>
      <c r="AU804" s="4"/>
      <c r="AV804" s="4"/>
      <c r="AW804" s="4"/>
      <c r="AX804" s="4"/>
      <c r="AY804" s="4"/>
      <c r="AZ804" s="4"/>
      <c r="BA804" s="4"/>
      <c r="BB804" s="4"/>
      <c r="BC804" s="4"/>
      <c r="BD804" s="4"/>
      <c r="BE804" s="4"/>
      <c r="BF804" s="4"/>
      <c r="BG804" s="4"/>
      <c r="BH804" s="4"/>
      <c r="BI804" s="4"/>
      <c r="BJ804" s="4"/>
      <c r="BK804" s="4"/>
      <c r="BL804" s="4"/>
      <c r="BM804" s="4"/>
      <c r="BN804" s="4"/>
      <c r="BO804" s="4"/>
      <c r="BP804" s="4"/>
      <c r="BQ804" s="4"/>
      <c r="BR804" s="4"/>
      <c r="BS804" s="4"/>
      <c r="BT804" s="4"/>
      <c r="BU804" s="4"/>
      <c r="BV804" s="4"/>
      <c r="BW804" s="4"/>
      <c r="BX804" s="4"/>
      <c r="BY804" s="4"/>
      <c r="BZ804" s="4"/>
      <c r="CA804" s="4"/>
      <c r="CB804" s="4"/>
      <c r="CC804" s="4"/>
      <c r="CD804" s="4"/>
      <c r="CE804" s="4"/>
      <c r="CF804" s="4"/>
      <c r="CG804" s="4"/>
      <c r="CH804" s="4"/>
      <c r="CI804" s="4"/>
    </row>
    <row r="805" ht="14.25" customHeight="1" spans="1:87" x14ac:dyDescent="0.25">
      <c r="A805" s="4"/>
      <c r="B805" s="4"/>
      <c r="C805" s="4"/>
      <c r="D805" s="4"/>
      <c r="E805" s="4"/>
      <c r="F805" s="4"/>
      <c r="G805" s="4"/>
      <c r="H805" s="4"/>
      <c r="I805" s="4"/>
      <c r="J805" s="4"/>
      <c r="K805" s="242"/>
      <c r="L805" s="4"/>
      <c r="M805" s="4"/>
      <c r="N805" s="4"/>
      <c r="O805" s="4"/>
      <c r="P805" s="4"/>
      <c r="Q805" s="4"/>
      <c r="R805" s="4"/>
      <c r="S805" s="4"/>
      <c r="T805" s="4"/>
      <c r="U805" s="4"/>
      <c r="V805" s="4"/>
      <c r="W805" s="4"/>
      <c r="X805" s="4"/>
      <c r="Y805" s="4"/>
      <c r="Z805" s="4"/>
      <c r="AA805" s="4"/>
      <c r="AB805" s="4"/>
      <c r="AC805" s="4"/>
      <c r="AD805" s="4"/>
      <c r="AE805" s="4"/>
      <c r="AF805" s="4"/>
      <c r="AG805" s="4"/>
      <c r="AH805" s="4"/>
      <c r="AI805" s="4"/>
      <c r="AJ805" s="4"/>
      <c r="AK805" s="4"/>
      <c r="AL805" s="4"/>
      <c r="AM805" s="4"/>
      <c r="AN805" s="4"/>
      <c r="AO805" s="4"/>
      <c r="AP805" s="4"/>
      <c r="AQ805" s="4"/>
      <c r="AR805" s="4"/>
      <c r="AS805" s="4"/>
      <c r="AT805" s="4"/>
      <c r="AU805" s="4"/>
      <c r="AV805" s="4"/>
      <c r="AW805" s="4"/>
      <c r="AX805" s="4"/>
      <c r="AY805" s="4"/>
      <c r="AZ805" s="4"/>
      <c r="BA805" s="4"/>
      <c r="BB805" s="4"/>
      <c r="BC805" s="4"/>
      <c r="BD805" s="4"/>
      <c r="BE805" s="4"/>
      <c r="BF805" s="4"/>
      <c r="BG805" s="4"/>
      <c r="BH805" s="4"/>
      <c r="BI805" s="4"/>
      <c r="BJ805" s="4"/>
      <c r="BK805" s="4"/>
      <c r="BL805" s="4"/>
      <c r="BM805" s="4"/>
      <c r="BN805" s="4"/>
      <c r="BO805" s="4"/>
      <c r="BP805" s="4"/>
      <c r="BQ805" s="4"/>
      <c r="BR805" s="4"/>
      <c r="BS805" s="4"/>
      <c r="BT805" s="4"/>
      <c r="BU805" s="4"/>
      <c r="BV805" s="4"/>
      <c r="BW805" s="4"/>
      <c r="BX805" s="4"/>
      <c r="BY805" s="4"/>
      <c r="BZ805" s="4"/>
      <c r="CA805" s="4"/>
      <c r="CB805" s="4"/>
      <c r="CC805" s="4"/>
      <c r="CD805" s="4"/>
      <c r="CE805" s="4"/>
      <c r="CF805" s="4"/>
      <c r="CG805" s="4"/>
      <c r="CH805" s="4"/>
      <c r="CI805" s="4"/>
    </row>
    <row r="806" ht="14.25" customHeight="1" spans="1:87" x14ac:dyDescent="0.25">
      <c r="A806" s="4"/>
      <c r="B806" s="4"/>
      <c r="C806" s="4"/>
      <c r="D806" s="4"/>
      <c r="E806" s="4"/>
      <c r="F806" s="4"/>
      <c r="G806" s="4"/>
      <c r="H806" s="4"/>
      <c r="I806" s="4"/>
      <c r="J806" s="4"/>
      <c r="K806" s="242"/>
      <c r="L806" s="4"/>
      <c r="M806" s="4"/>
      <c r="N806" s="4"/>
      <c r="O806" s="4"/>
      <c r="P806" s="4"/>
      <c r="Q806" s="4"/>
      <c r="R806" s="4"/>
      <c r="S806" s="4"/>
      <c r="T806" s="4"/>
      <c r="U806" s="4"/>
      <c r="V806" s="4"/>
      <c r="W806" s="4"/>
      <c r="X806" s="4"/>
      <c r="Y806" s="4"/>
      <c r="Z806" s="4"/>
      <c r="AA806" s="4"/>
      <c r="AB806" s="4"/>
      <c r="AC806" s="4"/>
      <c r="AD806" s="4"/>
      <c r="AE806" s="4"/>
      <c r="AF806" s="4"/>
      <c r="AG806" s="4"/>
      <c r="AH806" s="4"/>
      <c r="AI806" s="4"/>
      <c r="AJ806" s="4"/>
      <c r="AK806" s="4"/>
      <c r="AL806" s="4"/>
      <c r="AM806" s="4"/>
      <c r="AN806" s="4"/>
      <c r="AO806" s="4"/>
      <c r="AP806" s="4"/>
      <c r="AQ806" s="4"/>
      <c r="AR806" s="4"/>
      <c r="AS806" s="4"/>
      <c r="AT806" s="4"/>
      <c r="AU806" s="4"/>
      <c r="AV806" s="4"/>
      <c r="AW806" s="4"/>
      <c r="AX806" s="4"/>
      <c r="AY806" s="4"/>
      <c r="AZ806" s="4"/>
      <c r="BA806" s="4"/>
      <c r="BB806" s="4"/>
      <c r="BC806" s="4"/>
      <c r="BD806" s="4"/>
      <c r="BE806" s="4"/>
      <c r="BF806" s="4"/>
      <c r="BG806" s="4"/>
      <c r="BH806" s="4"/>
      <c r="BI806" s="4"/>
      <c r="BJ806" s="4"/>
      <c r="BK806" s="4"/>
      <c r="BL806" s="4"/>
      <c r="BM806" s="4"/>
      <c r="BN806" s="4"/>
      <c r="BO806" s="4"/>
      <c r="BP806" s="4"/>
      <c r="BQ806" s="4"/>
      <c r="BR806" s="4"/>
      <c r="BS806" s="4"/>
      <c r="BT806" s="4"/>
      <c r="BU806" s="4"/>
      <c r="BV806" s="4"/>
      <c r="BW806" s="4"/>
      <c r="BX806" s="4"/>
      <c r="BY806" s="4"/>
      <c r="BZ806" s="4"/>
      <c r="CA806" s="4"/>
      <c r="CB806" s="4"/>
      <c r="CC806" s="4"/>
      <c r="CD806" s="4"/>
      <c r="CE806" s="4"/>
      <c r="CF806" s="4"/>
      <c r="CG806" s="4"/>
      <c r="CH806" s="4"/>
      <c r="CI806" s="4"/>
    </row>
    <row r="807" ht="14.25" customHeight="1" spans="1:87" x14ac:dyDescent="0.25">
      <c r="A807" s="4"/>
      <c r="B807" s="4"/>
      <c r="C807" s="4"/>
      <c r="D807" s="4"/>
      <c r="E807" s="4"/>
      <c r="F807" s="4"/>
      <c r="G807" s="4"/>
      <c r="H807" s="4"/>
      <c r="I807" s="4"/>
      <c r="J807" s="4"/>
      <c r="K807" s="242"/>
      <c r="L807" s="4"/>
      <c r="M807" s="4"/>
      <c r="N807" s="4"/>
      <c r="O807" s="4"/>
      <c r="P807" s="4"/>
      <c r="Q807" s="4"/>
      <c r="R807" s="4"/>
      <c r="S807" s="4"/>
      <c r="T807" s="4"/>
      <c r="U807" s="4"/>
      <c r="V807" s="4"/>
      <c r="W807" s="4"/>
      <c r="X807" s="4"/>
      <c r="Y807" s="4"/>
      <c r="Z807" s="4"/>
      <c r="AA807" s="4"/>
      <c r="AB807" s="4"/>
      <c r="AC807" s="4"/>
      <c r="AD807" s="4"/>
      <c r="AE807" s="4"/>
      <c r="AF807" s="4"/>
      <c r="AG807" s="4"/>
      <c r="AH807" s="4"/>
      <c r="AI807" s="4"/>
      <c r="AJ807" s="4"/>
      <c r="AK807" s="4"/>
      <c r="AL807" s="4"/>
      <c r="AM807" s="4"/>
      <c r="AN807" s="4"/>
      <c r="AO807" s="4"/>
      <c r="AP807" s="4"/>
      <c r="AQ807" s="4"/>
      <c r="AR807" s="4"/>
      <c r="AS807" s="4"/>
      <c r="AT807" s="4"/>
      <c r="AU807" s="4"/>
      <c r="AV807" s="4"/>
      <c r="AW807" s="4"/>
      <c r="AX807" s="4"/>
      <c r="AY807" s="4"/>
      <c r="AZ807" s="4"/>
      <c r="BA807" s="4"/>
      <c r="BB807" s="4"/>
      <c r="BC807" s="4"/>
      <c r="BD807" s="4"/>
      <c r="BE807" s="4"/>
      <c r="BF807" s="4"/>
      <c r="BG807" s="4"/>
      <c r="BH807" s="4"/>
      <c r="BI807" s="4"/>
      <c r="BJ807" s="4"/>
      <c r="BK807" s="4"/>
      <c r="BL807" s="4"/>
      <c r="BM807" s="4"/>
      <c r="BN807" s="4"/>
      <c r="BO807" s="4"/>
      <c r="BP807" s="4"/>
      <c r="BQ807" s="4"/>
      <c r="BR807" s="4"/>
      <c r="BS807" s="4"/>
      <c r="BT807" s="4"/>
      <c r="BU807" s="4"/>
      <c r="BV807" s="4"/>
      <c r="BW807" s="4"/>
      <c r="BX807" s="4"/>
      <c r="BY807" s="4"/>
      <c r="BZ807" s="4"/>
      <c r="CA807" s="4"/>
      <c r="CB807" s="4"/>
      <c r="CC807" s="4"/>
      <c r="CD807" s="4"/>
      <c r="CE807" s="4"/>
      <c r="CF807" s="4"/>
      <c r="CG807" s="4"/>
      <c r="CH807" s="4"/>
      <c r="CI807" s="4"/>
    </row>
    <row r="808" ht="14.25" customHeight="1" spans="1:87" x14ac:dyDescent="0.25">
      <c r="A808" s="4"/>
      <c r="B808" s="4"/>
      <c r="C808" s="4"/>
      <c r="D808" s="4"/>
      <c r="E808" s="4"/>
      <c r="F808" s="4"/>
      <c r="G808" s="4"/>
      <c r="H808" s="4"/>
      <c r="I808" s="4"/>
      <c r="J808" s="4"/>
      <c r="K808" s="242"/>
      <c r="L808" s="4"/>
      <c r="M808" s="4"/>
      <c r="N808" s="4"/>
      <c r="O808" s="4"/>
      <c r="P808" s="4"/>
      <c r="Q808" s="4"/>
      <c r="R808" s="4"/>
      <c r="S808" s="4"/>
      <c r="T808" s="4"/>
      <c r="U808" s="4"/>
      <c r="V808" s="4"/>
      <c r="W808" s="4"/>
      <c r="X808" s="4"/>
      <c r="Y808" s="4"/>
      <c r="Z808" s="4"/>
      <c r="AA808" s="4"/>
      <c r="AB808" s="4"/>
      <c r="AC808" s="4"/>
      <c r="AD808" s="4"/>
      <c r="AE808" s="4"/>
      <c r="AF808" s="4"/>
      <c r="AG808" s="4"/>
      <c r="AH808" s="4"/>
      <c r="AI808" s="4"/>
      <c r="AJ808" s="4"/>
      <c r="AK808" s="4"/>
      <c r="AL808" s="4"/>
      <c r="AM808" s="4"/>
      <c r="AN808" s="4"/>
      <c r="AO808" s="4"/>
      <c r="AP808" s="4"/>
      <c r="AQ808" s="4"/>
      <c r="AR808" s="4"/>
      <c r="AS808" s="4"/>
      <c r="AT808" s="4"/>
      <c r="AU808" s="4"/>
      <c r="AV808" s="4"/>
      <c r="AW808" s="4"/>
      <c r="AX808" s="4"/>
      <c r="AY808" s="4"/>
      <c r="AZ808" s="4"/>
      <c r="BA808" s="4"/>
      <c r="BB808" s="4"/>
      <c r="BC808" s="4"/>
      <c r="BD808" s="4"/>
      <c r="BE808" s="4"/>
      <c r="BF808" s="4"/>
      <c r="BG808" s="4"/>
      <c r="BH808" s="4"/>
      <c r="BI808" s="4"/>
      <c r="BJ808" s="4"/>
      <c r="BK808" s="4"/>
      <c r="BL808" s="4"/>
      <c r="BM808" s="4"/>
      <c r="BN808" s="4"/>
      <c r="BO808" s="4"/>
      <c r="BP808" s="4"/>
      <c r="BQ808" s="4"/>
      <c r="BR808" s="4"/>
      <c r="BS808" s="4"/>
      <c r="BT808" s="4"/>
      <c r="BU808" s="4"/>
      <c r="BV808" s="4"/>
      <c r="BW808" s="4"/>
      <c r="BX808" s="4"/>
      <c r="BY808" s="4"/>
      <c r="BZ808" s="4"/>
      <c r="CA808" s="4"/>
      <c r="CB808" s="4"/>
      <c r="CC808" s="4"/>
      <c r="CD808" s="4"/>
      <c r="CE808" s="4"/>
      <c r="CF808" s="4"/>
      <c r="CG808" s="4"/>
      <c r="CH808" s="4"/>
      <c r="CI808" s="4"/>
    </row>
    <row r="809" ht="14.25" customHeight="1" spans="1:87" x14ac:dyDescent="0.25">
      <c r="A809" s="4"/>
      <c r="B809" s="4"/>
      <c r="C809" s="4"/>
      <c r="D809" s="4"/>
      <c r="E809" s="4"/>
      <c r="F809" s="4"/>
      <c r="G809" s="4"/>
      <c r="H809" s="4"/>
      <c r="I809" s="4"/>
      <c r="J809" s="4"/>
      <c r="K809" s="242"/>
      <c r="L809" s="4"/>
      <c r="M809" s="4"/>
      <c r="N809" s="4"/>
      <c r="O809" s="4"/>
      <c r="P809" s="4"/>
      <c r="Q809" s="4"/>
      <c r="R809" s="4"/>
      <c r="S809" s="4"/>
      <c r="T809" s="4"/>
      <c r="U809" s="4"/>
      <c r="V809" s="4"/>
      <c r="W809" s="4"/>
      <c r="X809" s="4"/>
      <c r="Y809" s="4"/>
      <c r="Z809" s="4"/>
      <c r="AA809" s="4"/>
      <c r="AB809" s="4"/>
      <c r="AC809" s="4"/>
      <c r="AD809" s="4"/>
      <c r="AE809" s="4"/>
      <c r="AF809" s="4"/>
      <c r="AG809" s="4"/>
      <c r="AH809" s="4"/>
      <c r="AI809" s="4"/>
      <c r="AJ809" s="4"/>
      <c r="AK809" s="4"/>
      <c r="AL809" s="4"/>
      <c r="AM809" s="4"/>
      <c r="AN809" s="4"/>
      <c r="AO809" s="4"/>
      <c r="AP809" s="4"/>
      <c r="AQ809" s="4"/>
      <c r="AR809" s="4"/>
      <c r="AS809" s="4"/>
      <c r="AT809" s="4"/>
      <c r="AU809" s="4"/>
      <c r="AV809" s="4"/>
      <c r="AW809" s="4"/>
      <c r="AX809" s="4"/>
      <c r="AY809" s="4"/>
      <c r="AZ809" s="4"/>
      <c r="BA809" s="4"/>
      <c r="BB809" s="4"/>
      <c r="BC809" s="4"/>
      <c r="BD809" s="4"/>
      <c r="BE809" s="4"/>
      <c r="BF809" s="4"/>
      <c r="BG809" s="4"/>
      <c r="BH809" s="4"/>
      <c r="BI809" s="4"/>
      <c r="BJ809" s="4"/>
      <c r="BK809" s="4"/>
      <c r="BL809" s="4"/>
      <c r="BM809" s="4"/>
      <c r="BN809" s="4"/>
      <c r="BO809" s="4"/>
      <c r="BP809" s="4"/>
      <c r="BQ809" s="4"/>
      <c r="BR809" s="4"/>
      <c r="BS809" s="4"/>
      <c r="BT809" s="4"/>
      <c r="BU809" s="4"/>
      <c r="BV809" s="4"/>
      <c r="BW809" s="4"/>
      <c r="BX809" s="4"/>
      <c r="BY809" s="4"/>
      <c r="BZ809" s="4"/>
      <c r="CA809" s="4"/>
      <c r="CB809" s="4"/>
      <c r="CC809" s="4"/>
      <c r="CD809" s="4"/>
      <c r="CE809" s="4"/>
      <c r="CF809" s="4"/>
      <c r="CG809" s="4"/>
      <c r="CH809" s="4"/>
      <c r="CI809" s="4"/>
    </row>
    <row r="810" ht="14.25" customHeight="1" spans="1:87" x14ac:dyDescent="0.25">
      <c r="A810" s="4"/>
      <c r="B810" s="4"/>
      <c r="C810" s="4"/>
      <c r="D810" s="4"/>
      <c r="E810" s="4"/>
      <c r="F810" s="4"/>
      <c r="G810" s="4"/>
      <c r="H810" s="4"/>
      <c r="I810" s="4"/>
      <c r="J810" s="4"/>
      <c r="K810" s="242"/>
      <c r="L810" s="4"/>
      <c r="M810" s="4"/>
      <c r="N810" s="4"/>
      <c r="O810" s="4"/>
      <c r="P810" s="4"/>
      <c r="Q810" s="4"/>
      <c r="R810" s="4"/>
      <c r="S810" s="4"/>
      <c r="T810" s="4"/>
      <c r="U810" s="4"/>
      <c r="V810" s="4"/>
      <c r="W810" s="4"/>
      <c r="X810" s="4"/>
      <c r="Y810" s="4"/>
      <c r="Z810" s="4"/>
      <c r="AA810" s="4"/>
      <c r="AB810" s="4"/>
      <c r="AC810" s="4"/>
      <c r="AD810" s="4"/>
      <c r="AE810" s="4"/>
      <c r="AF810" s="4"/>
      <c r="AG810" s="4"/>
      <c r="AH810" s="4"/>
      <c r="AI810" s="4"/>
      <c r="AJ810" s="4"/>
      <c r="AK810" s="4"/>
      <c r="AL810" s="4"/>
      <c r="AM810" s="4"/>
      <c r="AN810" s="4"/>
      <c r="AO810" s="4"/>
      <c r="AP810" s="4"/>
      <c r="AQ810" s="4"/>
      <c r="AR810" s="4"/>
      <c r="AS810" s="4"/>
      <c r="AT810" s="4"/>
      <c r="AU810" s="4"/>
      <c r="AV810" s="4"/>
      <c r="AW810" s="4"/>
      <c r="AX810" s="4"/>
      <c r="AY810" s="4"/>
      <c r="AZ810" s="4"/>
      <c r="BA810" s="4"/>
      <c r="BB810" s="4"/>
      <c r="BC810" s="4"/>
      <c r="BD810" s="4"/>
      <c r="BE810" s="4"/>
      <c r="BF810" s="4"/>
      <c r="BG810" s="4"/>
      <c r="BH810" s="4"/>
      <c r="BI810" s="4"/>
      <c r="BJ810" s="4"/>
      <c r="BK810" s="4"/>
      <c r="BL810" s="4"/>
      <c r="BM810" s="4"/>
      <c r="BN810" s="4"/>
      <c r="BO810" s="4"/>
      <c r="BP810" s="4"/>
      <c r="BQ810" s="4"/>
      <c r="BR810" s="4"/>
      <c r="BS810" s="4"/>
      <c r="BT810" s="4"/>
      <c r="BU810" s="4"/>
      <c r="BV810" s="4"/>
      <c r="BW810" s="4"/>
      <c r="BX810" s="4"/>
      <c r="BY810" s="4"/>
      <c r="BZ810" s="4"/>
      <c r="CA810" s="4"/>
      <c r="CB810" s="4"/>
      <c r="CC810" s="4"/>
      <c r="CD810" s="4"/>
      <c r="CE810" s="4"/>
      <c r="CF810" s="4"/>
      <c r="CG810" s="4"/>
      <c r="CH810" s="4"/>
      <c r="CI810" s="4"/>
    </row>
    <row r="811" ht="14.25" customHeight="1" spans="1:87" x14ac:dyDescent="0.25">
      <c r="A811" s="4"/>
      <c r="B811" s="4"/>
      <c r="C811" s="4"/>
      <c r="D811" s="4"/>
      <c r="E811" s="4"/>
      <c r="F811" s="4"/>
      <c r="G811" s="4"/>
      <c r="H811" s="4"/>
      <c r="I811" s="4"/>
      <c r="J811" s="4"/>
      <c r="K811" s="242"/>
      <c r="L811" s="4"/>
      <c r="M811" s="4"/>
      <c r="N811" s="4"/>
      <c r="O811" s="4"/>
      <c r="P811" s="4"/>
      <c r="Q811" s="4"/>
      <c r="R811" s="4"/>
      <c r="S811" s="4"/>
      <c r="T811" s="4"/>
      <c r="U811" s="4"/>
      <c r="V811" s="4"/>
      <c r="W811" s="4"/>
      <c r="X811" s="4"/>
      <c r="Y811" s="4"/>
      <c r="Z811" s="4"/>
      <c r="AA811" s="4"/>
      <c r="AB811" s="4"/>
      <c r="AC811" s="4"/>
      <c r="AD811" s="4"/>
      <c r="AE811" s="4"/>
      <c r="AF811" s="4"/>
      <c r="AG811" s="4"/>
      <c r="AH811" s="4"/>
      <c r="AI811" s="4"/>
      <c r="AJ811" s="4"/>
      <c r="AK811" s="4"/>
      <c r="AL811" s="4"/>
      <c r="AM811" s="4"/>
      <c r="AN811" s="4"/>
      <c r="AO811" s="4"/>
      <c r="AP811" s="4"/>
      <c r="AQ811" s="4"/>
      <c r="AR811" s="4"/>
      <c r="AS811" s="4"/>
      <c r="AT811" s="4"/>
      <c r="AU811" s="4"/>
      <c r="AV811" s="4"/>
      <c r="AW811" s="4"/>
      <c r="AX811" s="4"/>
      <c r="AY811" s="4"/>
      <c r="AZ811" s="4"/>
      <c r="BA811" s="4"/>
      <c r="BB811" s="4"/>
      <c r="BC811" s="4"/>
      <c r="BD811" s="4"/>
      <c r="BE811" s="4"/>
      <c r="BF811" s="4"/>
      <c r="BG811" s="4"/>
      <c r="BH811" s="4"/>
      <c r="BI811" s="4"/>
      <c r="BJ811" s="4"/>
      <c r="BK811" s="4"/>
      <c r="BL811" s="4"/>
      <c r="BM811" s="4"/>
      <c r="BN811" s="4"/>
      <c r="BO811" s="4"/>
      <c r="BP811" s="4"/>
      <c r="BQ811" s="4"/>
      <c r="BR811" s="4"/>
      <c r="BS811" s="4"/>
      <c r="BT811" s="4"/>
      <c r="BU811" s="4"/>
      <c r="BV811" s="4"/>
      <c r="BW811" s="4"/>
      <c r="BX811" s="4"/>
      <c r="BY811" s="4"/>
      <c r="BZ811" s="4"/>
      <c r="CA811" s="4"/>
      <c r="CB811" s="4"/>
      <c r="CC811" s="4"/>
      <c r="CD811" s="4"/>
      <c r="CE811" s="4"/>
      <c r="CF811" s="4"/>
      <c r="CG811" s="4"/>
      <c r="CH811" s="4"/>
      <c r="CI811" s="4"/>
    </row>
    <row r="812" ht="14.25" customHeight="1" spans="1:87" x14ac:dyDescent="0.25">
      <c r="A812" s="4"/>
      <c r="B812" s="4"/>
      <c r="C812" s="4"/>
      <c r="D812" s="4"/>
      <c r="E812" s="4"/>
      <c r="F812" s="4"/>
      <c r="G812" s="4"/>
      <c r="H812" s="4"/>
      <c r="I812" s="4"/>
      <c r="J812" s="4"/>
      <c r="K812" s="242"/>
      <c r="L812" s="4"/>
      <c r="M812" s="4"/>
      <c r="N812" s="4"/>
      <c r="O812" s="4"/>
      <c r="P812" s="4"/>
      <c r="Q812" s="4"/>
      <c r="R812" s="4"/>
      <c r="S812" s="4"/>
      <c r="T812" s="4"/>
      <c r="U812" s="4"/>
      <c r="V812" s="4"/>
      <c r="W812" s="4"/>
      <c r="X812" s="4"/>
      <c r="Y812" s="4"/>
      <c r="Z812" s="4"/>
      <c r="AA812" s="4"/>
      <c r="AB812" s="4"/>
      <c r="AC812" s="4"/>
      <c r="AD812" s="4"/>
      <c r="AE812" s="4"/>
      <c r="AF812" s="4"/>
      <c r="AG812" s="4"/>
      <c r="AH812" s="4"/>
      <c r="AI812" s="4"/>
      <c r="AJ812" s="4"/>
      <c r="AK812" s="4"/>
      <c r="AL812" s="4"/>
      <c r="AM812" s="4"/>
      <c r="AN812" s="4"/>
      <c r="AO812" s="4"/>
      <c r="AP812" s="4"/>
      <c r="AQ812" s="4"/>
      <c r="AR812" s="4"/>
      <c r="AS812" s="4"/>
      <c r="AT812" s="4"/>
      <c r="AU812" s="4"/>
      <c r="AV812" s="4"/>
      <c r="AW812" s="4"/>
      <c r="AX812" s="4"/>
      <c r="AY812" s="4"/>
      <c r="AZ812" s="4"/>
      <c r="BA812" s="4"/>
      <c r="BB812" s="4"/>
      <c r="BC812" s="4"/>
      <c r="BD812" s="4"/>
      <c r="BE812" s="4"/>
      <c r="BF812" s="4"/>
      <c r="BG812" s="4"/>
      <c r="BH812" s="4"/>
      <c r="BI812" s="4"/>
      <c r="BJ812" s="4"/>
      <c r="BK812" s="4"/>
      <c r="BL812" s="4"/>
      <c r="BM812" s="4"/>
      <c r="BN812" s="4"/>
      <c r="BO812" s="4"/>
      <c r="BP812" s="4"/>
      <c r="BQ812" s="4"/>
      <c r="BR812" s="4"/>
      <c r="BS812" s="4"/>
      <c r="BT812" s="4"/>
      <c r="BU812" s="4"/>
      <c r="BV812" s="4"/>
      <c r="BW812" s="4"/>
      <c r="BX812" s="4"/>
      <c r="BY812" s="4"/>
      <c r="BZ812" s="4"/>
      <c r="CA812" s="4"/>
      <c r="CB812" s="4"/>
      <c r="CC812" s="4"/>
      <c r="CD812" s="4"/>
      <c r="CE812" s="4"/>
      <c r="CF812" s="4"/>
      <c r="CG812" s="4"/>
      <c r="CH812" s="4"/>
      <c r="CI812" s="4"/>
    </row>
    <row r="813" ht="14.25" customHeight="1" spans="1:87" x14ac:dyDescent="0.25">
      <c r="A813" s="4"/>
      <c r="B813" s="4"/>
      <c r="C813" s="4"/>
      <c r="D813" s="4"/>
      <c r="E813" s="4"/>
      <c r="F813" s="4"/>
      <c r="G813" s="4"/>
      <c r="H813" s="4"/>
      <c r="I813" s="4"/>
      <c r="J813" s="4"/>
      <c r="K813" s="242"/>
      <c r="L813" s="4"/>
      <c r="M813" s="4"/>
      <c r="N813" s="4"/>
      <c r="O813" s="4"/>
      <c r="P813" s="4"/>
      <c r="Q813" s="4"/>
      <c r="R813" s="4"/>
      <c r="S813" s="4"/>
      <c r="T813" s="4"/>
      <c r="U813" s="4"/>
      <c r="V813" s="4"/>
      <c r="W813" s="4"/>
      <c r="X813" s="4"/>
      <c r="Y813" s="4"/>
      <c r="Z813" s="4"/>
      <c r="AA813" s="4"/>
      <c r="AB813" s="4"/>
      <c r="AC813" s="4"/>
      <c r="AD813" s="4"/>
      <c r="AE813" s="4"/>
      <c r="AF813" s="4"/>
      <c r="AG813" s="4"/>
      <c r="AH813" s="4"/>
      <c r="AI813" s="4"/>
      <c r="AJ813" s="4"/>
      <c r="AK813" s="4"/>
      <c r="AL813" s="4"/>
      <c r="AM813" s="4"/>
      <c r="AN813" s="4"/>
      <c r="AO813" s="4"/>
      <c r="AP813" s="4"/>
      <c r="AQ813" s="4"/>
      <c r="AR813" s="4"/>
      <c r="AS813" s="4"/>
      <c r="AT813" s="4"/>
      <c r="AU813" s="4"/>
      <c r="AV813" s="4"/>
      <c r="AW813" s="4"/>
      <c r="AX813" s="4"/>
      <c r="AY813" s="4"/>
      <c r="AZ813" s="4"/>
      <c r="BA813" s="4"/>
      <c r="BB813" s="4"/>
      <c r="BC813" s="4"/>
      <c r="BD813" s="4"/>
      <c r="BE813" s="4"/>
      <c r="BF813" s="4"/>
      <c r="BG813" s="4"/>
      <c r="BH813" s="4"/>
      <c r="BI813" s="4"/>
      <c r="BJ813" s="4"/>
      <c r="BK813" s="4"/>
      <c r="BL813" s="4"/>
      <c r="BM813" s="4"/>
      <c r="BN813" s="4"/>
      <c r="BO813" s="4"/>
      <c r="BP813" s="4"/>
      <c r="BQ813" s="4"/>
      <c r="BR813" s="4"/>
      <c r="BS813" s="4"/>
      <c r="BT813" s="4"/>
      <c r="BU813" s="4"/>
      <c r="BV813" s="4"/>
      <c r="BW813" s="4"/>
      <c r="BX813" s="4"/>
      <c r="BY813" s="4"/>
      <c r="BZ813" s="4"/>
      <c r="CA813" s="4"/>
      <c r="CB813" s="4"/>
      <c r="CC813" s="4"/>
      <c r="CD813" s="4"/>
      <c r="CE813" s="4"/>
      <c r="CF813" s="4"/>
      <c r="CG813" s="4"/>
      <c r="CH813" s="4"/>
      <c r="CI813" s="4"/>
    </row>
    <row r="814" ht="14.25" customHeight="1" spans="1:87" x14ac:dyDescent="0.25">
      <c r="A814" s="4"/>
      <c r="B814" s="4"/>
      <c r="C814" s="4"/>
      <c r="D814" s="4"/>
      <c r="E814" s="4"/>
      <c r="F814" s="4"/>
      <c r="G814" s="4"/>
      <c r="H814" s="4"/>
      <c r="I814" s="4"/>
      <c r="J814" s="4"/>
      <c r="K814" s="242"/>
      <c r="L814" s="4"/>
      <c r="M814" s="4"/>
      <c r="N814" s="4"/>
      <c r="O814" s="4"/>
      <c r="P814" s="4"/>
      <c r="Q814" s="4"/>
      <c r="R814" s="4"/>
      <c r="S814" s="4"/>
      <c r="T814" s="4"/>
      <c r="U814" s="4"/>
      <c r="V814" s="4"/>
      <c r="W814" s="4"/>
      <c r="X814" s="4"/>
      <c r="Y814" s="4"/>
      <c r="Z814" s="4"/>
      <c r="AA814" s="4"/>
      <c r="AB814" s="4"/>
      <c r="AC814" s="4"/>
      <c r="AD814" s="4"/>
      <c r="AE814" s="4"/>
      <c r="AF814" s="4"/>
      <c r="AG814" s="4"/>
      <c r="AH814" s="4"/>
      <c r="AI814" s="4"/>
      <c r="AJ814" s="4"/>
      <c r="AK814" s="4"/>
      <c r="AL814" s="4"/>
      <c r="AM814" s="4"/>
      <c r="AN814" s="4"/>
      <c r="AO814" s="4"/>
      <c r="AP814" s="4"/>
      <c r="AQ814" s="4"/>
      <c r="AR814" s="4"/>
      <c r="AS814" s="4"/>
      <c r="AT814" s="4"/>
      <c r="AU814" s="4"/>
      <c r="AV814" s="4"/>
      <c r="AW814" s="4"/>
      <c r="AX814" s="4"/>
      <c r="AY814" s="4"/>
      <c r="AZ814" s="4"/>
      <c r="BA814" s="4"/>
      <c r="BB814" s="4"/>
      <c r="BC814" s="4"/>
      <c r="BD814" s="4"/>
      <c r="BE814" s="4"/>
      <c r="BF814" s="4"/>
      <c r="BG814" s="4"/>
      <c r="BH814" s="4"/>
      <c r="BI814" s="4"/>
      <c r="BJ814" s="4"/>
      <c r="BK814" s="4"/>
      <c r="BL814" s="4"/>
      <c r="BM814" s="4"/>
      <c r="BN814" s="4"/>
      <c r="BO814" s="4"/>
      <c r="BP814" s="4"/>
      <c r="BQ814" s="4"/>
      <c r="BR814" s="4"/>
      <c r="BS814" s="4"/>
      <c r="BT814" s="4"/>
      <c r="BU814" s="4"/>
      <c r="BV814" s="4"/>
      <c r="BW814" s="4"/>
      <c r="BX814" s="4"/>
      <c r="BY814" s="4"/>
      <c r="BZ814" s="4"/>
      <c r="CA814" s="4"/>
      <c r="CB814" s="4"/>
      <c r="CC814" s="4"/>
      <c r="CD814" s="4"/>
      <c r="CE814" s="4"/>
      <c r="CF814" s="4"/>
      <c r="CG814" s="4"/>
      <c r="CH814" s="4"/>
      <c r="CI814" s="4"/>
    </row>
    <row r="815" ht="14.25" customHeight="1" spans="1:87" x14ac:dyDescent="0.25">
      <c r="A815" s="4"/>
      <c r="B815" s="4"/>
      <c r="C815" s="4"/>
      <c r="D815" s="4"/>
      <c r="E815" s="4"/>
      <c r="F815" s="4"/>
      <c r="G815" s="4"/>
      <c r="H815" s="4"/>
      <c r="I815" s="4"/>
      <c r="J815" s="4"/>
      <c r="K815" s="242"/>
      <c r="L815" s="4"/>
      <c r="M815" s="4"/>
      <c r="N815" s="4"/>
      <c r="O815" s="4"/>
      <c r="P815" s="4"/>
      <c r="Q815" s="4"/>
      <c r="R815" s="4"/>
      <c r="S815" s="4"/>
      <c r="T815" s="4"/>
      <c r="U815" s="4"/>
      <c r="V815" s="4"/>
      <c r="W815" s="4"/>
      <c r="X815" s="4"/>
      <c r="Y815" s="4"/>
      <c r="Z815" s="4"/>
      <c r="AA815" s="4"/>
      <c r="AB815" s="4"/>
      <c r="AC815" s="4"/>
      <c r="AD815" s="4"/>
      <c r="AE815" s="4"/>
      <c r="AF815" s="4"/>
      <c r="AG815" s="4"/>
      <c r="AH815" s="4"/>
      <c r="AI815" s="4"/>
      <c r="AJ815" s="4"/>
      <c r="AK815" s="4"/>
      <c r="AL815" s="4"/>
      <c r="AM815" s="4"/>
      <c r="AN815" s="4"/>
      <c r="AO815" s="4"/>
      <c r="AP815" s="4"/>
      <c r="AQ815" s="4"/>
      <c r="AR815" s="4"/>
      <c r="AS815" s="4"/>
      <c r="AT815" s="4"/>
      <c r="AU815" s="4"/>
      <c r="AV815" s="4"/>
      <c r="AW815" s="4"/>
      <c r="AX815" s="4"/>
      <c r="AY815" s="4"/>
      <c r="AZ815" s="4"/>
      <c r="BA815" s="4"/>
      <c r="BB815" s="4"/>
      <c r="BC815" s="4"/>
      <c r="BD815" s="4"/>
      <c r="BE815" s="4"/>
      <c r="BF815" s="4"/>
      <c r="BG815" s="4"/>
      <c r="BH815" s="4"/>
      <c r="BI815" s="4"/>
      <c r="BJ815" s="4"/>
      <c r="BK815" s="4"/>
      <c r="BL815" s="4"/>
      <c r="BM815" s="4"/>
      <c r="BN815" s="4"/>
      <c r="BO815" s="4"/>
      <c r="BP815" s="4"/>
      <c r="BQ815" s="4"/>
      <c r="BR815" s="4"/>
      <c r="BS815" s="4"/>
      <c r="BT815" s="4"/>
      <c r="BU815" s="4"/>
      <c r="BV815" s="4"/>
      <c r="BW815" s="4"/>
      <c r="BX815" s="4"/>
      <c r="BY815" s="4"/>
      <c r="BZ815" s="4"/>
      <c r="CA815" s="4"/>
      <c r="CB815" s="4"/>
      <c r="CC815" s="4"/>
      <c r="CD815" s="4"/>
      <c r="CE815" s="4"/>
      <c r="CF815" s="4"/>
      <c r="CG815" s="4"/>
      <c r="CH815" s="4"/>
      <c r="CI815" s="4"/>
    </row>
    <row r="816" ht="14.25" customHeight="1" spans="1:87" x14ac:dyDescent="0.25">
      <c r="A816" s="4"/>
      <c r="B816" s="4"/>
      <c r="C816" s="4"/>
      <c r="D816" s="4"/>
      <c r="E816" s="4"/>
      <c r="F816" s="4"/>
      <c r="G816" s="4"/>
      <c r="H816" s="4"/>
      <c r="I816" s="4"/>
      <c r="J816" s="4"/>
      <c r="K816" s="242"/>
      <c r="L816" s="4"/>
      <c r="M816" s="4"/>
      <c r="N816" s="4"/>
      <c r="O816" s="4"/>
      <c r="P816" s="4"/>
      <c r="Q816" s="4"/>
      <c r="R816" s="4"/>
      <c r="S816" s="4"/>
      <c r="T816" s="4"/>
      <c r="U816" s="4"/>
      <c r="V816" s="4"/>
      <c r="W816" s="4"/>
      <c r="X816" s="4"/>
      <c r="Y816" s="4"/>
      <c r="Z816" s="4"/>
      <c r="AA816" s="4"/>
      <c r="AB816" s="4"/>
      <c r="AC816" s="4"/>
      <c r="AD816" s="4"/>
      <c r="AE816" s="4"/>
      <c r="AF816" s="4"/>
      <c r="AG816" s="4"/>
      <c r="AH816" s="4"/>
      <c r="AI816" s="4"/>
      <c r="AJ816" s="4"/>
      <c r="AK816" s="4"/>
      <c r="AL816" s="4"/>
      <c r="AM816" s="4"/>
      <c r="AN816" s="4"/>
      <c r="AO816" s="4"/>
      <c r="AP816" s="4"/>
      <c r="AQ816" s="4"/>
      <c r="AR816" s="4"/>
      <c r="AS816" s="4"/>
      <c r="AT816" s="4"/>
      <c r="AU816" s="4"/>
      <c r="AV816" s="4"/>
      <c r="AW816" s="4"/>
      <c r="AX816" s="4"/>
      <c r="AY816" s="4"/>
      <c r="AZ816" s="4"/>
      <c r="BA816" s="4"/>
      <c r="BB816" s="4"/>
      <c r="BC816" s="4"/>
      <c r="BD816" s="4"/>
      <c r="BE816" s="4"/>
      <c r="BF816" s="4"/>
      <c r="BG816" s="4"/>
      <c r="BH816" s="4"/>
      <c r="BI816" s="4"/>
      <c r="BJ816" s="4"/>
      <c r="BK816" s="4"/>
      <c r="BL816" s="4"/>
      <c r="BM816" s="4"/>
      <c r="BN816" s="4"/>
      <c r="BO816" s="4"/>
      <c r="BP816" s="4"/>
      <c r="BQ816" s="4"/>
      <c r="BR816" s="4"/>
      <c r="BS816" s="4"/>
      <c r="BT816" s="4"/>
      <c r="BU816" s="4"/>
      <c r="BV816" s="4"/>
      <c r="BW816" s="4"/>
      <c r="BX816" s="4"/>
      <c r="BY816" s="4"/>
      <c r="BZ816" s="4"/>
      <c r="CA816" s="4"/>
      <c r="CB816" s="4"/>
      <c r="CC816" s="4"/>
      <c r="CD816" s="4"/>
      <c r="CE816" s="4"/>
      <c r="CF816" s="4"/>
      <c r="CG816" s="4"/>
      <c r="CH816" s="4"/>
      <c r="CI816" s="4"/>
    </row>
    <row r="817" ht="14.25" customHeight="1" spans="1:87" x14ac:dyDescent="0.25">
      <c r="A817" s="4"/>
      <c r="B817" s="4"/>
      <c r="C817" s="4"/>
      <c r="D817" s="4"/>
      <c r="E817" s="4"/>
      <c r="F817" s="4"/>
      <c r="G817" s="4"/>
      <c r="H817" s="4"/>
      <c r="I817" s="4"/>
      <c r="J817" s="4"/>
      <c r="K817" s="242"/>
      <c r="L817" s="4"/>
      <c r="M817" s="4"/>
      <c r="N817" s="4"/>
      <c r="O817" s="4"/>
      <c r="P817" s="4"/>
      <c r="Q817" s="4"/>
      <c r="R817" s="4"/>
      <c r="S817" s="4"/>
      <c r="T817" s="4"/>
      <c r="U817" s="4"/>
      <c r="V817" s="4"/>
      <c r="W817" s="4"/>
      <c r="X817" s="4"/>
      <c r="Y817" s="4"/>
      <c r="Z817" s="4"/>
      <c r="AA817" s="4"/>
      <c r="AB817" s="4"/>
      <c r="AC817" s="4"/>
      <c r="AD817" s="4"/>
      <c r="AE817" s="4"/>
      <c r="AF817" s="4"/>
      <c r="AG817" s="4"/>
      <c r="AH817" s="4"/>
      <c r="AI817" s="4"/>
      <c r="AJ817" s="4"/>
      <c r="AK817" s="4"/>
      <c r="AL817" s="4"/>
      <c r="AM817" s="4"/>
      <c r="AN817" s="4"/>
      <c r="AO817" s="4"/>
      <c r="AP817" s="4"/>
      <c r="AQ817" s="4"/>
      <c r="AR817" s="4"/>
      <c r="AS817" s="4"/>
      <c r="AT817" s="4"/>
      <c r="AU817" s="4"/>
      <c r="AV817" s="4"/>
      <c r="AW817" s="4"/>
      <c r="AX817" s="4"/>
      <c r="AY817" s="4"/>
      <c r="AZ817" s="4"/>
      <c r="BA817" s="4"/>
      <c r="BB817" s="4"/>
      <c r="BC817" s="4"/>
      <c r="BD817" s="4"/>
      <c r="BE817" s="4"/>
      <c r="BF817" s="4"/>
      <c r="BG817" s="4"/>
      <c r="BH817" s="4"/>
      <c r="BI817" s="4"/>
      <c r="BJ817" s="4"/>
      <c r="BK817" s="4"/>
      <c r="BL817" s="4"/>
      <c r="BM817" s="4"/>
      <c r="BN817" s="4"/>
      <c r="BO817" s="4"/>
      <c r="BP817" s="4"/>
      <c r="BQ817" s="4"/>
      <c r="BR817" s="4"/>
      <c r="BS817" s="4"/>
      <c r="BT817" s="4"/>
      <c r="BU817" s="4"/>
      <c r="BV817" s="4"/>
      <c r="BW817" s="4"/>
      <c r="BX817" s="4"/>
      <c r="BY817" s="4"/>
      <c r="BZ817" s="4"/>
      <c r="CA817" s="4"/>
      <c r="CB817" s="4"/>
      <c r="CC817" s="4"/>
      <c r="CD817" s="4"/>
      <c r="CE817" s="4"/>
      <c r="CF817" s="4"/>
      <c r="CG817" s="4"/>
      <c r="CH817" s="4"/>
      <c r="CI817" s="4"/>
    </row>
    <row r="818" ht="14.25" customHeight="1" spans="1:87" x14ac:dyDescent="0.25">
      <c r="A818" s="4"/>
      <c r="B818" s="4"/>
      <c r="C818" s="4"/>
      <c r="D818" s="4"/>
      <c r="E818" s="4"/>
      <c r="F818" s="4"/>
      <c r="G818" s="4"/>
      <c r="H818" s="4"/>
      <c r="I818" s="4"/>
      <c r="J818" s="4"/>
      <c r="K818" s="242"/>
      <c r="L818" s="4"/>
      <c r="M818" s="4"/>
      <c r="N818" s="4"/>
      <c r="O818" s="4"/>
      <c r="P818" s="4"/>
      <c r="Q818" s="4"/>
      <c r="R818" s="4"/>
      <c r="S818" s="4"/>
      <c r="T818" s="4"/>
      <c r="U818" s="4"/>
      <c r="V818" s="4"/>
      <c r="W818" s="4"/>
      <c r="X818" s="4"/>
      <c r="Y818" s="4"/>
      <c r="Z818" s="4"/>
      <c r="AA818" s="4"/>
      <c r="AB818" s="4"/>
      <c r="AC818" s="4"/>
      <c r="AD818" s="4"/>
      <c r="AE818" s="4"/>
      <c r="AF818" s="4"/>
      <c r="AG818" s="4"/>
      <c r="AH818" s="4"/>
      <c r="AI818" s="4"/>
      <c r="AJ818" s="4"/>
      <c r="AK818" s="4"/>
      <c r="AL818" s="4"/>
      <c r="AM818" s="4"/>
      <c r="AN818" s="4"/>
      <c r="AO818" s="4"/>
      <c r="AP818" s="4"/>
      <c r="AQ818" s="4"/>
      <c r="AR818" s="4"/>
      <c r="AS818" s="4"/>
      <c r="AT818" s="4"/>
      <c r="AU818" s="4"/>
      <c r="AV818" s="4"/>
      <c r="AW818" s="4"/>
      <c r="AX818" s="4"/>
      <c r="AY818" s="4"/>
      <c r="AZ818" s="4"/>
      <c r="BA818" s="4"/>
      <c r="BB818" s="4"/>
      <c r="BC818" s="4"/>
      <c r="BD818" s="4"/>
      <c r="BE818" s="4"/>
      <c r="BF818" s="4"/>
      <c r="BG818" s="4"/>
      <c r="BH818" s="4"/>
      <c r="BI818" s="4"/>
      <c r="BJ818" s="4"/>
      <c r="BK818" s="4"/>
      <c r="BL818" s="4"/>
      <c r="BM818" s="4"/>
      <c r="BN818" s="4"/>
      <c r="BO818" s="4"/>
      <c r="BP818" s="4"/>
      <c r="BQ818" s="4"/>
      <c r="BR818" s="4"/>
      <c r="BS818" s="4"/>
      <c r="BT818" s="4"/>
      <c r="BU818" s="4"/>
      <c r="BV818" s="4"/>
      <c r="BW818" s="4"/>
      <c r="BX818" s="4"/>
      <c r="BY818" s="4"/>
      <c r="BZ818" s="4"/>
      <c r="CA818" s="4"/>
      <c r="CB818" s="4"/>
      <c r="CC818" s="4"/>
      <c r="CD818" s="4"/>
      <c r="CE818" s="4"/>
      <c r="CF818" s="4"/>
      <c r="CG818" s="4"/>
      <c r="CH818" s="4"/>
      <c r="CI818" s="4"/>
    </row>
    <row r="819" ht="14.25" customHeight="1" spans="1:87" x14ac:dyDescent="0.25">
      <c r="A819" s="4"/>
      <c r="B819" s="4"/>
      <c r="C819" s="4"/>
      <c r="D819" s="4"/>
      <c r="E819" s="4"/>
      <c r="F819" s="4"/>
      <c r="G819" s="4"/>
      <c r="H819" s="4"/>
      <c r="I819" s="4"/>
      <c r="J819" s="4"/>
      <c r="K819" s="242"/>
      <c r="L819" s="4"/>
      <c r="M819" s="4"/>
      <c r="N819" s="4"/>
      <c r="O819" s="4"/>
      <c r="P819" s="4"/>
      <c r="Q819" s="4"/>
      <c r="R819" s="4"/>
      <c r="S819" s="4"/>
      <c r="T819" s="4"/>
      <c r="U819" s="4"/>
      <c r="V819" s="4"/>
      <c r="W819" s="4"/>
      <c r="X819" s="4"/>
      <c r="Y819" s="4"/>
      <c r="Z819" s="4"/>
      <c r="AA819" s="4"/>
      <c r="AB819" s="4"/>
      <c r="AC819" s="4"/>
      <c r="AD819" s="4"/>
      <c r="AE819" s="4"/>
      <c r="AF819" s="4"/>
      <c r="AG819" s="4"/>
      <c r="AH819" s="4"/>
      <c r="AI819" s="4"/>
      <c r="AJ819" s="4"/>
      <c r="AK819" s="4"/>
      <c r="AL819" s="4"/>
      <c r="AM819" s="4"/>
      <c r="AN819" s="4"/>
      <c r="AO819" s="4"/>
      <c r="AP819" s="4"/>
      <c r="AQ819" s="4"/>
      <c r="AR819" s="4"/>
      <c r="AS819" s="4"/>
      <c r="AT819" s="4"/>
      <c r="AU819" s="4"/>
      <c r="AV819" s="4"/>
      <c r="AW819" s="4"/>
      <c r="AX819" s="4"/>
      <c r="AY819" s="4"/>
      <c r="AZ819" s="4"/>
      <c r="BA819" s="4"/>
      <c r="BB819" s="4"/>
      <c r="BC819" s="4"/>
      <c r="BD819" s="4"/>
      <c r="BE819" s="4"/>
      <c r="BF819" s="4"/>
      <c r="BG819" s="4"/>
      <c r="BH819" s="4"/>
      <c r="BI819" s="4"/>
      <c r="BJ819" s="4"/>
      <c r="BK819" s="4"/>
      <c r="BL819" s="4"/>
      <c r="BM819" s="4"/>
      <c r="BN819" s="4"/>
      <c r="BO819" s="4"/>
      <c r="BP819" s="4"/>
      <c r="BQ819" s="4"/>
      <c r="BR819" s="4"/>
      <c r="BS819" s="4"/>
      <c r="BT819" s="4"/>
      <c r="BU819" s="4"/>
      <c r="BV819" s="4"/>
      <c r="BW819" s="4"/>
      <c r="BX819" s="4"/>
      <c r="BY819" s="4"/>
      <c r="BZ819" s="4"/>
      <c r="CA819" s="4"/>
      <c r="CB819" s="4"/>
      <c r="CC819" s="4"/>
      <c r="CD819" s="4"/>
      <c r="CE819" s="4"/>
      <c r="CF819" s="4"/>
      <c r="CG819" s="4"/>
      <c r="CH819" s="4"/>
      <c r="CI819" s="4"/>
    </row>
    <row r="820" ht="14.25" customHeight="1" spans="1:87" x14ac:dyDescent="0.25">
      <c r="A820" s="4"/>
      <c r="B820" s="4"/>
      <c r="C820" s="4"/>
      <c r="D820" s="4"/>
      <c r="E820" s="4"/>
      <c r="F820" s="4"/>
      <c r="G820" s="4"/>
      <c r="H820" s="4"/>
      <c r="I820" s="4"/>
      <c r="J820" s="4"/>
      <c r="K820" s="242"/>
      <c r="L820" s="4"/>
      <c r="M820" s="4"/>
      <c r="N820" s="4"/>
      <c r="O820" s="4"/>
      <c r="P820" s="4"/>
      <c r="Q820" s="4"/>
      <c r="R820" s="4"/>
      <c r="S820" s="4"/>
      <c r="T820" s="4"/>
      <c r="U820" s="4"/>
      <c r="V820" s="4"/>
      <c r="W820" s="4"/>
      <c r="X820" s="4"/>
      <c r="Y820" s="4"/>
      <c r="Z820" s="4"/>
      <c r="AA820" s="4"/>
      <c r="AB820" s="4"/>
      <c r="AC820" s="4"/>
      <c r="AD820" s="4"/>
      <c r="AE820" s="4"/>
      <c r="AF820" s="4"/>
      <c r="AG820" s="4"/>
      <c r="AH820" s="4"/>
      <c r="AI820" s="4"/>
      <c r="AJ820" s="4"/>
      <c r="AK820" s="4"/>
      <c r="AL820" s="4"/>
      <c r="AM820" s="4"/>
      <c r="AN820" s="4"/>
      <c r="AO820" s="4"/>
      <c r="AP820" s="4"/>
      <c r="AQ820" s="4"/>
      <c r="AR820" s="4"/>
      <c r="AS820" s="4"/>
      <c r="AT820" s="4"/>
      <c r="AU820" s="4"/>
      <c r="AV820" s="4"/>
      <c r="AW820" s="4"/>
      <c r="AX820" s="4"/>
      <c r="AY820" s="4"/>
      <c r="AZ820" s="4"/>
      <c r="BA820" s="4"/>
      <c r="BB820" s="4"/>
      <c r="BC820" s="4"/>
      <c r="BD820" s="4"/>
      <c r="BE820" s="4"/>
      <c r="BF820" s="4"/>
      <c r="BG820" s="4"/>
      <c r="BH820" s="4"/>
      <c r="BI820" s="4"/>
      <c r="BJ820" s="4"/>
      <c r="BK820" s="4"/>
      <c r="BL820" s="4"/>
      <c r="BM820" s="4"/>
      <c r="BN820" s="4"/>
      <c r="BO820" s="4"/>
      <c r="BP820" s="4"/>
      <c r="BQ820" s="4"/>
      <c r="BR820" s="4"/>
      <c r="BS820" s="4"/>
      <c r="BT820" s="4"/>
      <c r="BU820" s="4"/>
      <c r="BV820" s="4"/>
      <c r="BW820" s="4"/>
      <c r="BX820" s="4"/>
      <c r="BY820" s="4"/>
      <c r="BZ820" s="4"/>
      <c r="CA820" s="4"/>
      <c r="CB820" s="4"/>
      <c r="CC820" s="4"/>
      <c r="CD820" s="4"/>
      <c r="CE820" s="4"/>
      <c r="CF820" s="4"/>
      <c r="CG820" s="4"/>
      <c r="CH820" s="4"/>
      <c r="CI820" s="4"/>
    </row>
    <row r="821" ht="14.25" customHeight="1" spans="1:87" x14ac:dyDescent="0.25">
      <c r="A821" s="4"/>
      <c r="B821" s="4"/>
      <c r="C821" s="4"/>
      <c r="D821" s="4"/>
      <c r="E821" s="4"/>
      <c r="F821" s="4"/>
      <c r="G821" s="4"/>
      <c r="H821" s="4"/>
      <c r="I821" s="4"/>
      <c r="J821" s="4"/>
      <c r="K821" s="242"/>
      <c r="L821" s="4"/>
      <c r="M821" s="4"/>
      <c r="N821" s="4"/>
      <c r="O821" s="4"/>
      <c r="P821" s="4"/>
      <c r="Q821" s="4"/>
      <c r="R821" s="4"/>
      <c r="S821" s="4"/>
      <c r="T821" s="4"/>
      <c r="U821" s="4"/>
      <c r="V821" s="4"/>
      <c r="W821" s="4"/>
      <c r="X821" s="4"/>
      <c r="Y821" s="4"/>
      <c r="Z821" s="4"/>
      <c r="AA821" s="4"/>
      <c r="AB821" s="4"/>
      <c r="AC821" s="4"/>
      <c r="AD821" s="4"/>
      <c r="AE821" s="4"/>
      <c r="AF821" s="4"/>
      <c r="AG821" s="4"/>
      <c r="AH821" s="4"/>
      <c r="AI821" s="4"/>
      <c r="AJ821" s="4"/>
      <c r="AK821" s="4"/>
      <c r="AL821" s="4"/>
      <c r="AM821" s="4"/>
      <c r="AN821" s="4"/>
      <c r="AO821" s="4"/>
      <c r="AP821" s="4"/>
      <c r="AQ821" s="4"/>
      <c r="AR821" s="4"/>
      <c r="AS821" s="4"/>
      <c r="AT821" s="4"/>
      <c r="AU821" s="4"/>
      <c r="AV821" s="4"/>
      <c r="AW821" s="4"/>
      <c r="AX821" s="4"/>
      <c r="AY821" s="4"/>
      <c r="AZ821" s="4"/>
      <c r="BA821" s="4"/>
      <c r="BB821" s="4"/>
      <c r="BC821" s="4"/>
      <c r="BD821" s="4"/>
      <c r="BE821" s="4"/>
      <c r="BF821" s="4"/>
      <c r="BG821" s="4"/>
      <c r="BH821" s="4"/>
      <c r="BI821" s="4"/>
      <c r="BJ821" s="4"/>
      <c r="BK821" s="4"/>
      <c r="BL821" s="4"/>
      <c r="BM821" s="4"/>
      <c r="BN821" s="4"/>
      <c r="BO821" s="4"/>
      <c r="BP821" s="4"/>
      <c r="BQ821" s="4"/>
      <c r="BR821" s="4"/>
      <c r="BS821" s="4"/>
      <c r="BT821" s="4"/>
      <c r="BU821" s="4"/>
      <c r="BV821" s="4"/>
      <c r="BW821" s="4"/>
      <c r="BX821" s="4"/>
      <c r="BY821" s="4"/>
      <c r="BZ821" s="4"/>
      <c r="CA821" s="4"/>
      <c r="CB821" s="4"/>
      <c r="CC821" s="4"/>
      <c r="CD821" s="4"/>
      <c r="CE821" s="4"/>
      <c r="CF821" s="4"/>
      <c r="CG821" s="4"/>
      <c r="CH821" s="4"/>
      <c r="CI821" s="4"/>
    </row>
    <row r="822" ht="14.25" customHeight="1" spans="1:87" x14ac:dyDescent="0.25">
      <c r="A822" s="4"/>
      <c r="B822" s="4"/>
      <c r="C822" s="4"/>
      <c r="D822" s="4"/>
      <c r="E822" s="4"/>
      <c r="F822" s="4"/>
      <c r="G822" s="4"/>
      <c r="H822" s="4"/>
      <c r="I822" s="4"/>
      <c r="J822" s="4"/>
      <c r="K822" s="242"/>
      <c r="L822" s="4"/>
      <c r="M822" s="4"/>
      <c r="N822" s="4"/>
      <c r="O822" s="4"/>
      <c r="P822" s="4"/>
      <c r="Q822" s="4"/>
      <c r="R822" s="4"/>
      <c r="S822" s="4"/>
      <c r="T822" s="4"/>
      <c r="U822" s="4"/>
      <c r="V822" s="4"/>
      <c r="W822" s="4"/>
      <c r="X822" s="4"/>
      <c r="Y822" s="4"/>
      <c r="Z822" s="4"/>
      <c r="AA822" s="4"/>
      <c r="AB822" s="4"/>
      <c r="AC822" s="4"/>
      <c r="AD822" s="4"/>
      <c r="AE822" s="4"/>
      <c r="AF822" s="4"/>
      <c r="AG822" s="4"/>
      <c r="AH822" s="4"/>
      <c r="AI822" s="4"/>
      <c r="AJ822" s="4"/>
      <c r="AK822" s="4"/>
      <c r="AL822" s="4"/>
      <c r="AM822" s="4"/>
      <c r="AN822" s="4"/>
      <c r="AO822" s="4"/>
      <c r="AP822" s="4"/>
      <c r="AQ822" s="4"/>
      <c r="AR822" s="4"/>
      <c r="AS822" s="4"/>
      <c r="AT822" s="4"/>
      <c r="AU822" s="4"/>
      <c r="AV822" s="4"/>
      <c r="AW822" s="4"/>
      <c r="AX822" s="4"/>
      <c r="AY822" s="4"/>
      <c r="AZ822" s="4"/>
      <c r="BA822" s="4"/>
      <c r="BB822" s="4"/>
      <c r="BC822" s="4"/>
      <c r="BD822" s="4"/>
      <c r="BE822" s="4"/>
      <c r="BF822" s="4"/>
      <c r="BG822" s="4"/>
      <c r="BH822" s="4"/>
      <c r="BI822" s="4"/>
      <c r="BJ822" s="4"/>
      <c r="BK822" s="4"/>
      <c r="BL822" s="4"/>
      <c r="BM822" s="4"/>
      <c r="BN822" s="4"/>
      <c r="BO822" s="4"/>
      <c r="BP822" s="4"/>
      <c r="BQ822" s="4"/>
      <c r="BR822" s="4"/>
      <c r="BS822" s="4"/>
      <c r="BT822" s="4"/>
      <c r="BU822" s="4"/>
      <c r="BV822" s="4"/>
      <c r="BW822" s="4"/>
      <c r="BX822" s="4"/>
      <c r="BY822" s="4"/>
      <c r="BZ822" s="4"/>
      <c r="CA822" s="4"/>
      <c r="CB822" s="4"/>
      <c r="CC822" s="4"/>
      <c r="CD822" s="4"/>
      <c r="CE822" s="4"/>
      <c r="CF822" s="4"/>
      <c r="CG822" s="4"/>
      <c r="CH822" s="4"/>
      <c r="CI822" s="4"/>
    </row>
    <row r="823" ht="14.25" customHeight="1" spans="1:87" x14ac:dyDescent="0.25">
      <c r="A823" s="4"/>
      <c r="B823" s="4"/>
      <c r="C823" s="4"/>
      <c r="D823" s="4"/>
      <c r="E823" s="4"/>
      <c r="F823" s="4"/>
      <c r="G823" s="4"/>
      <c r="H823" s="4"/>
      <c r="I823" s="4"/>
      <c r="J823" s="4"/>
      <c r="K823" s="242"/>
      <c r="L823" s="4"/>
      <c r="M823" s="4"/>
      <c r="N823" s="4"/>
      <c r="O823" s="4"/>
      <c r="P823" s="4"/>
      <c r="Q823" s="4"/>
      <c r="R823" s="4"/>
      <c r="S823" s="4"/>
      <c r="T823" s="4"/>
      <c r="U823" s="4"/>
      <c r="V823" s="4"/>
      <c r="W823" s="4"/>
      <c r="X823" s="4"/>
      <c r="Y823" s="4"/>
      <c r="Z823" s="4"/>
      <c r="AA823" s="4"/>
      <c r="AB823" s="4"/>
      <c r="AC823" s="4"/>
      <c r="AD823" s="4"/>
      <c r="AE823" s="4"/>
      <c r="AF823" s="4"/>
      <c r="AG823" s="4"/>
      <c r="AH823" s="4"/>
      <c r="AI823" s="4"/>
      <c r="AJ823" s="4"/>
      <c r="AK823" s="4"/>
      <c r="AL823" s="4"/>
      <c r="AM823" s="4"/>
      <c r="AN823" s="4"/>
      <c r="AO823" s="4"/>
      <c r="AP823" s="4"/>
      <c r="AQ823" s="4"/>
      <c r="AR823" s="4"/>
      <c r="AS823" s="4"/>
      <c r="AT823" s="4"/>
      <c r="AU823" s="4"/>
      <c r="AV823" s="4"/>
      <c r="AW823" s="4"/>
      <c r="AX823" s="4"/>
      <c r="AY823" s="4"/>
      <c r="AZ823" s="4"/>
      <c r="BA823" s="4"/>
      <c r="BB823" s="4"/>
      <c r="BC823" s="4"/>
      <c r="BD823" s="4"/>
      <c r="BE823" s="4"/>
      <c r="BF823" s="4"/>
      <c r="BG823" s="4"/>
      <c r="BH823" s="4"/>
      <c r="BI823" s="4"/>
      <c r="BJ823" s="4"/>
      <c r="BK823" s="4"/>
      <c r="BL823" s="4"/>
      <c r="BM823" s="4"/>
      <c r="BN823" s="4"/>
      <c r="BO823" s="4"/>
      <c r="BP823" s="4"/>
      <c r="BQ823" s="4"/>
      <c r="BR823" s="4"/>
      <c r="BS823" s="4"/>
      <c r="BT823" s="4"/>
      <c r="BU823" s="4"/>
      <c r="BV823" s="4"/>
      <c r="BW823" s="4"/>
      <c r="BX823" s="4"/>
      <c r="BY823" s="4"/>
      <c r="BZ823" s="4"/>
      <c r="CA823" s="4"/>
      <c r="CB823" s="4"/>
      <c r="CC823" s="4"/>
      <c r="CD823" s="4"/>
      <c r="CE823" s="4"/>
      <c r="CF823" s="4"/>
      <c r="CG823" s="4"/>
      <c r="CH823" s="4"/>
      <c r="CI823" s="4"/>
    </row>
    <row r="824" ht="14.25" customHeight="1" spans="1:87" x14ac:dyDescent="0.25">
      <c r="A824" s="4"/>
      <c r="B824" s="4"/>
      <c r="C824" s="4"/>
      <c r="D824" s="4"/>
      <c r="E824" s="4"/>
      <c r="F824" s="4"/>
      <c r="G824" s="4"/>
      <c r="H824" s="4"/>
      <c r="I824" s="4"/>
      <c r="J824" s="4"/>
      <c r="K824" s="242"/>
      <c r="L824" s="4"/>
      <c r="M824" s="4"/>
      <c r="N824" s="4"/>
      <c r="O824" s="4"/>
      <c r="P824" s="4"/>
      <c r="Q824" s="4"/>
      <c r="R824" s="4"/>
      <c r="S824" s="4"/>
      <c r="T824" s="4"/>
      <c r="U824" s="4"/>
      <c r="V824" s="4"/>
      <c r="W824" s="4"/>
      <c r="X824" s="4"/>
      <c r="Y824" s="4"/>
      <c r="Z824" s="4"/>
      <c r="AA824" s="4"/>
      <c r="AB824" s="4"/>
      <c r="AC824" s="4"/>
      <c r="AD824" s="4"/>
      <c r="AE824" s="4"/>
      <c r="AF824" s="4"/>
      <c r="AG824" s="4"/>
      <c r="AH824" s="4"/>
      <c r="AI824" s="4"/>
      <c r="AJ824" s="4"/>
      <c r="AK824" s="4"/>
      <c r="AL824" s="4"/>
      <c r="AM824" s="4"/>
      <c r="AN824" s="4"/>
      <c r="AO824" s="4"/>
      <c r="AP824" s="4"/>
      <c r="AQ824" s="4"/>
      <c r="AR824" s="4"/>
      <c r="AS824" s="4"/>
      <c r="AT824" s="4"/>
      <c r="AU824" s="4"/>
      <c r="AV824" s="4"/>
      <c r="AW824" s="4"/>
      <c r="AX824" s="4"/>
      <c r="AY824" s="4"/>
      <c r="AZ824" s="4"/>
      <c r="BA824" s="4"/>
      <c r="BB824" s="4"/>
      <c r="BC824" s="4"/>
      <c r="BD824" s="4"/>
      <c r="BE824" s="4"/>
      <c r="BF824" s="4"/>
      <c r="BG824" s="4"/>
      <c r="BH824" s="4"/>
      <c r="BI824" s="4"/>
      <c r="BJ824" s="4"/>
      <c r="BK824" s="4"/>
      <c r="BL824" s="4"/>
      <c r="BM824" s="4"/>
      <c r="BN824" s="4"/>
      <c r="BO824" s="4"/>
      <c r="BP824" s="4"/>
      <c r="BQ824" s="4"/>
      <c r="BR824" s="4"/>
      <c r="BS824" s="4"/>
      <c r="BT824" s="4"/>
      <c r="BU824" s="4"/>
      <c r="BV824" s="4"/>
      <c r="BW824" s="4"/>
      <c r="BX824" s="4"/>
      <c r="BY824" s="4"/>
      <c r="BZ824" s="4"/>
      <c r="CA824" s="4"/>
      <c r="CB824" s="4"/>
      <c r="CC824" s="4"/>
      <c r="CD824" s="4"/>
      <c r="CE824" s="4"/>
      <c r="CF824" s="4"/>
      <c r="CG824" s="4"/>
      <c r="CH824" s="4"/>
      <c r="CI824" s="4"/>
    </row>
    <row r="825" ht="14.25" customHeight="1" spans="1:87" x14ac:dyDescent="0.25">
      <c r="A825" s="4"/>
      <c r="B825" s="4"/>
      <c r="C825" s="4"/>
      <c r="D825" s="4"/>
      <c r="E825" s="4"/>
      <c r="F825" s="4"/>
      <c r="G825" s="4"/>
      <c r="H825" s="4"/>
      <c r="I825" s="4"/>
      <c r="J825" s="4"/>
      <c r="K825" s="242"/>
      <c r="L825" s="4"/>
      <c r="M825" s="4"/>
      <c r="N825" s="4"/>
      <c r="O825" s="4"/>
      <c r="P825" s="4"/>
      <c r="Q825" s="4"/>
      <c r="R825" s="4"/>
      <c r="S825" s="4"/>
      <c r="T825" s="4"/>
      <c r="U825" s="4"/>
      <c r="V825" s="4"/>
      <c r="W825" s="4"/>
      <c r="X825" s="4"/>
      <c r="Y825" s="4"/>
      <c r="Z825" s="4"/>
      <c r="AA825" s="4"/>
      <c r="AB825" s="4"/>
      <c r="AC825" s="4"/>
      <c r="AD825" s="4"/>
      <c r="AE825" s="4"/>
      <c r="AF825" s="4"/>
      <c r="AG825" s="4"/>
      <c r="AH825" s="4"/>
      <c r="AI825" s="4"/>
      <c r="AJ825" s="4"/>
      <c r="AK825" s="4"/>
      <c r="AL825" s="4"/>
      <c r="AM825" s="4"/>
      <c r="AN825" s="4"/>
      <c r="AO825" s="4"/>
      <c r="AP825" s="4"/>
      <c r="AQ825" s="4"/>
      <c r="AR825" s="4"/>
      <c r="AS825" s="4"/>
      <c r="AT825" s="4"/>
      <c r="AU825" s="4"/>
      <c r="AV825" s="4"/>
      <c r="AW825" s="4"/>
      <c r="AX825" s="4"/>
      <c r="AY825" s="4"/>
      <c r="AZ825" s="4"/>
      <c r="BA825" s="4"/>
      <c r="BB825" s="4"/>
      <c r="BC825" s="4"/>
      <c r="BD825" s="4"/>
      <c r="BE825" s="4"/>
      <c r="BF825" s="4"/>
      <c r="BG825" s="4"/>
      <c r="BH825" s="4"/>
      <c r="BI825" s="4"/>
      <c r="BJ825" s="4"/>
      <c r="BK825" s="4"/>
      <c r="BL825" s="4"/>
      <c r="BM825" s="4"/>
      <c r="BN825" s="4"/>
      <c r="BO825" s="4"/>
      <c r="BP825" s="4"/>
      <c r="BQ825" s="4"/>
      <c r="BR825" s="4"/>
      <c r="BS825" s="4"/>
      <c r="BT825" s="4"/>
      <c r="BU825" s="4"/>
      <c r="BV825" s="4"/>
      <c r="BW825" s="4"/>
      <c r="BX825" s="4"/>
      <c r="BY825" s="4"/>
      <c r="BZ825" s="4"/>
      <c r="CA825" s="4"/>
      <c r="CB825" s="4"/>
      <c r="CC825" s="4"/>
      <c r="CD825" s="4"/>
      <c r="CE825" s="4"/>
      <c r="CF825" s="4"/>
      <c r="CG825" s="4"/>
      <c r="CH825" s="4"/>
      <c r="CI825" s="4"/>
    </row>
    <row r="826" ht="14.25" customHeight="1" spans="1:87" x14ac:dyDescent="0.25">
      <c r="A826" s="4"/>
      <c r="B826" s="4"/>
      <c r="C826" s="4"/>
      <c r="D826" s="4"/>
      <c r="E826" s="4"/>
      <c r="F826" s="4"/>
      <c r="G826" s="4"/>
      <c r="H826" s="4"/>
      <c r="I826" s="4"/>
      <c r="J826" s="4"/>
      <c r="K826" s="242"/>
      <c r="L826" s="4"/>
      <c r="M826" s="4"/>
      <c r="N826" s="4"/>
      <c r="O826" s="4"/>
      <c r="P826" s="4"/>
      <c r="Q826" s="4"/>
      <c r="R826" s="4"/>
      <c r="S826" s="4"/>
      <c r="T826" s="4"/>
      <c r="U826" s="4"/>
      <c r="V826" s="4"/>
      <c r="W826" s="4"/>
      <c r="X826" s="4"/>
      <c r="Y826" s="4"/>
      <c r="Z826" s="4"/>
      <c r="AA826" s="4"/>
      <c r="AB826" s="4"/>
      <c r="AC826" s="4"/>
      <c r="AD826" s="4"/>
      <c r="AE826" s="4"/>
      <c r="AF826" s="4"/>
      <c r="AG826" s="4"/>
      <c r="AH826" s="4"/>
      <c r="AI826" s="4"/>
      <c r="AJ826" s="4"/>
      <c r="AK826" s="4"/>
      <c r="AL826" s="4"/>
      <c r="AM826" s="4"/>
      <c r="AN826" s="4"/>
      <c r="AO826" s="4"/>
      <c r="AP826" s="4"/>
      <c r="AQ826" s="4"/>
      <c r="AR826" s="4"/>
      <c r="AS826" s="4"/>
      <c r="AT826" s="4"/>
      <c r="AU826" s="4"/>
      <c r="AV826" s="4"/>
      <c r="AW826" s="4"/>
      <c r="AX826" s="4"/>
      <c r="AY826" s="4"/>
      <c r="AZ826" s="4"/>
      <c r="BA826" s="4"/>
      <c r="BB826" s="4"/>
      <c r="BC826" s="4"/>
      <c r="BD826" s="4"/>
      <c r="BE826" s="4"/>
      <c r="BF826" s="4"/>
      <c r="BG826" s="4"/>
      <c r="BH826" s="4"/>
      <c r="BI826" s="4"/>
      <c r="BJ826" s="4"/>
      <c r="BK826" s="4"/>
      <c r="BL826" s="4"/>
      <c r="BM826" s="4"/>
      <c r="BN826" s="4"/>
      <c r="BO826" s="4"/>
      <c r="BP826" s="4"/>
      <c r="BQ826" s="4"/>
      <c r="BR826" s="4"/>
      <c r="BS826" s="4"/>
      <c r="BT826" s="4"/>
      <c r="BU826" s="4"/>
      <c r="BV826" s="4"/>
      <c r="BW826" s="4"/>
      <c r="BX826" s="4"/>
      <c r="BY826" s="4"/>
      <c r="BZ826" s="4"/>
      <c r="CA826" s="4"/>
      <c r="CB826" s="4"/>
      <c r="CC826" s="4"/>
      <c r="CD826" s="4"/>
      <c r="CE826" s="4"/>
      <c r="CF826" s="4"/>
      <c r="CG826" s="4"/>
      <c r="CH826" s="4"/>
      <c r="CI826" s="4"/>
    </row>
    <row r="827" ht="14.25" customHeight="1" spans="1:87" x14ac:dyDescent="0.25">
      <c r="A827" s="4"/>
      <c r="B827" s="4"/>
      <c r="C827" s="4"/>
      <c r="D827" s="4"/>
      <c r="E827" s="4"/>
      <c r="F827" s="4"/>
      <c r="G827" s="4"/>
      <c r="H827" s="4"/>
      <c r="I827" s="4"/>
      <c r="J827" s="4"/>
      <c r="K827" s="242"/>
      <c r="L827" s="4"/>
      <c r="M827" s="4"/>
      <c r="N827" s="4"/>
      <c r="O827" s="4"/>
      <c r="P827" s="4"/>
      <c r="Q827" s="4"/>
      <c r="R827" s="4"/>
      <c r="S827" s="4"/>
      <c r="T827" s="4"/>
      <c r="U827" s="4"/>
      <c r="V827" s="4"/>
      <c r="W827" s="4"/>
      <c r="X827" s="4"/>
      <c r="Y827" s="4"/>
      <c r="Z827" s="4"/>
      <c r="AA827" s="4"/>
      <c r="AB827" s="4"/>
      <c r="AC827" s="4"/>
      <c r="AD827" s="4"/>
      <c r="AE827" s="4"/>
      <c r="AF827" s="4"/>
      <c r="AG827" s="4"/>
      <c r="AH827" s="4"/>
      <c r="AI827" s="4"/>
      <c r="AJ827" s="4"/>
      <c r="AK827" s="4"/>
      <c r="AL827" s="4"/>
      <c r="AM827" s="4"/>
      <c r="AN827" s="4"/>
      <c r="AO827" s="4"/>
      <c r="AP827" s="4"/>
      <c r="AQ827" s="4"/>
      <c r="AR827" s="4"/>
      <c r="AS827" s="4"/>
      <c r="AT827" s="4"/>
      <c r="AU827" s="4"/>
      <c r="AV827" s="4"/>
      <c r="AW827" s="4"/>
      <c r="AX827" s="4"/>
      <c r="AY827" s="4"/>
      <c r="AZ827" s="4"/>
      <c r="BA827" s="4"/>
      <c r="BB827" s="4"/>
      <c r="BC827" s="4"/>
      <c r="BD827" s="4"/>
      <c r="BE827" s="4"/>
      <c r="BF827" s="4"/>
      <c r="BG827" s="4"/>
      <c r="BH827" s="4"/>
      <c r="BI827" s="4"/>
      <c r="BJ827" s="4"/>
      <c r="BK827" s="4"/>
      <c r="BL827" s="4"/>
      <c r="BM827" s="4"/>
      <c r="BN827" s="4"/>
      <c r="BO827" s="4"/>
      <c r="BP827" s="4"/>
      <c r="BQ827" s="4"/>
      <c r="BR827" s="4"/>
      <c r="BS827" s="4"/>
      <c r="BT827" s="4"/>
      <c r="BU827" s="4"/>
      <c r="BV827" s="4"/>
      <c r="BW827" s="4"/>
      <c r="BX827" s="4"/>
      <c r="BY827" s="4"/>
      <c r="BZ827" s="4"/>
      <c r="CA827" s="4"/>
      <c r="CB827" s="4"/>
      <c r="CC827" s="4"/>
      <c r="CD827" s="4"/>
      <c r="CE827" s="4"/>
      <c r="CF827" s="4"/>
      <c r="CG827" s="4"/>
      <c r="CH827" s="4"/>
      <c r="CI827" s="4"/>
    </row>
    <row r="828" ht="14.25" customHeight="1" spans="1:87" x14ac:dyDescent="0.25">
      <c r="A828" s="4"/>
      <c r="B828" s="4"/>
      <c r="C828" s="4"/>
      <c r="D828" s="4"/>
      <c r="E828" s="4"/>
      <c r="F828" s="4"/>
      <c r="G828" s="4"/>
      <c r="H828" s="4"/>
      <c r="I828" s="4"/>
      <c r="J828" s="4"/>
      <c r="K828" s="242"/>
      <c r="L828" s="4"/>
      <c r="M828" s="4"/>
      <c r="N828" s="4"/>
      <c r="O828" s="4"/>
      <c r="P828" s="4"/>
      <c r="Q828" s="4"/>
      <c r="R828" s="4"/>
      <c r="S828" s="4"/>
      <c r="T828" s="4"/>
      <c r="U828" s="4"/>
      <c r="V828" s="4"/>
      <c r="W828" s="4"/>
      <c r="X828" s="4"/>
      <c r="Y828" s="4"/>
      <c r="Z828" s="4"/>
      <c r="AA828" s="4"/>
      <c r="AB828" s="4"/>
      <c r="AC828" s="4"/>
      <c r="AD828" s="4"/>
      <c r="AE828" s="4"/>
      <c r="AF828" s="4"/>
      <c r="AG828" s="4"/>
      <c r="AH828" s="4"/>
      <c r="AI828" s="4"/>
      <c r="AJ828" s="4"/>
      <c r="AK828" s="4"/>
      <c r="AL828" s="4"/>
      <c r="AM828" s="4"/>
      <c r="AN828" s="4"/>
      <c r="AO828" s="4"/>
      <c r="AP828" s="4"/>
      <c r="AQ828" s="4"/>
      <c r="AR828" s="4"/>
      <c r="AS828" s="4"/>
      <c r="AT828" s="4"/>
      <c r="AU828" s="4"/>
      <c r="AV828" s="4"/>
      <c r="AW828" s="4"/>
      <c r="AX828" s="4"/>
      <c r="AY828" s="4"/>
      <c r="AZ828" s="4"/>
      <c r="BA828" s="4"/>
      <c r="BB828" s="4"/>
      <c r="BC828" s="4"/>
      <c r="BD828" s="4"/>
      <c r="BE828" s="4"/>
      <c r="BF828" s="4"/>
      <c r="BG828" s="4"/>
      <c r="BH828" s="4"/>
      <c r="BI828" s="4"/>
      <c r="BJ828" s="4"/>
      <c r="BK828" s="4"/>
      <c r="BL828" s="4"/>
      <c r="BM828" s="4"/>
      <c r="BN828" s="4"/>
      <c r="BO828" s="4"/>
      <c r="BP828" s="4"/>
      <c r="BQ828" s="4"/>
      <c r="BR828" s="4"/>
      <c r="BS828" s="4"/>
      <c r="BT828" s="4"/>
      <c r="BU828" s="4"/>
      <c r="BV828" s="4"/>
      <c r="BW828" s="4"/>
      <c r="BX828" s="4"/>
      <c r="BY828" s="4"/>
      <c r="BZ828" s="4"/>
      <c r="CA828" s="4"/>
      <c r="CB828" s="4"/>
      <c r="CC828" s="4"/>
      <c r="CD828" s="4"/>
      <c r="CE828" s="4"/>
      <c r="CF828" s="4"/>
      <c r="CG828" s="4"/>
      <c r="CH828" s="4"/>
      <c r="CI828" s="4"/>
    </row>
    <row r="829" ht="14.25" customHeight="1" spans="1:87" x14ac:dyDescent="0.25">
      <c r="A829" s="4"/>
      <c r="B829" s="4"/>
      <c r="C829" s="4"/>
      <c r="D829" s="4"/>
      <c r="E829" s="4"/>
      <c r="F829" s="4"/>
      <c r="G829" s="4"/>
      <c r="H829" s="4"/>
      <c r="I829" s="4"/>
      <c r="J829" s="4"/>
      <c r="K829" s="242"/>
      <c r="L829" s="4"/>
      <c r="M829" s="4"/>
      <c r="N829" s="4"/>
      <c r="O829" s="4"/>
      <c r="P829" s="4"/>
      <c r="Q829" s="4"/>
      <c r="R829" s="4"/>
      <c r="S829" s="4"/>
      <c r="T829" s="4"/>
      <c r="U829" s="4"/>
      <c r="V829" s="4"/>
      <c r="W829" s="4"/>
      <c r="X829" s="4"/>
      <c r="Y829" s="4"/>
      <c r="Z829" s="4"/>
      <c r="AA829" s="4"/>
      <c r="AB829" s="4"/>
      <c r="AC829" s="4"/>
      <c r="AD829" s="4"/>
      <c r="AE829" s="4"/>
      <c r="AF829" s="4"/>
      <c r="AG829" s="4"/>
      <c r="AH829" s="4"/>
      <c r="AI829" s="4"/>
      <c r="AJ829" s="4"/>
      <c r="AK829" s="4"/>
      <c r="AL829" s="4"/>
      <c r="AM829" s="4"/>
      <c r="AN829" s="4"/>
      <c r="AO829" s="4"/>
      <c r="AP829" s="4"/>
      <c r="AQ829" s="4"/>
      <c r="AR829" s="4"/>
      <c r="AS829" s="4"/>
      <c r="AT829" s="4"/>
      <c r="AU829" s="4"/>
      <c r="AV829" s="4"/>
      <c r="AW829" s="4"/>
      <c r="AX829" s="4"/>
      <c r="AY829" s="4"/>
      <c r="AZ829" s="4"/>
      <c r="BA829" s="4"/>
      <c r="BB829" s="4"/>
      <c r="BC829" s="4"/>
      <c r="BD829" s="4"/>
      <c r="BE829" s="4"/>
      <c r="BF829" s="4"/>
      <c r="BG829" s="4"/>
      <c r="BH829" s="4"/>
      <c r="BI829" s="4"/>
      <c r="BJ829" s="4"/>
      <c r="BK829" s="4"/>
      <c r="BL829" s="4"/>
      <c r="BM829" s="4"/>
      <c r="BN829" s="4"/>
      <c r="BO829" s="4"/>
      <c r="BP829" s="4"/>
      <c r="BQ829" s="4"/>
      <c r="BR829" s="4"/>
      <c r="BS829" s="4"/>
      <c r="BT829" s="4"/>
      <c r="BU829" s="4"/>
      <c r="BV829" s="4"/>
      <c r="BW829" s="4"/>
      <c r="BX829" s="4"/>
      <c r="BY829" s="4"/>
      <c r="BZ829" s="4"/>
      <c r="CA829" s="4"/>
      <c r="CB829" s="4"/>
      <c r="CC829" s="4"/>
      <c r="CD829" s="4"/>
      <c r="CE829" s="4"/>
      <c r="CF829" s="4"/>
      <c r="CG829" s="4"/>
      <c r="CH829" s="4"/>
      <c r="CI829" s="4"/>
    </row>
    <row r="830" ht="14.25" customHeight="1" spans="1:87" x14ac:dyDescent="0.25">
      <c r="A830" s="4"/>
      <c r="B830" s="4"/>
      <c r="C830" s="4"/>
      <c r="D830" s="4"/>
      <c r="E830" s="4"/>
      <c r="F830" s="4"/>
      <c r="G830" s="4"/>
      <c r="H830" s="4"/>
      <c r="I830" s="4"/>
      <c r="J830" s="4"/>
      <c r="K830" s="242"/>
      <c r="L830" s="4"/>
      <c r="M830" s="4"/>
      <c r="N830" s="4"/>
      <c r="O830" s="4"/>
      <c r="P830" s="4"/>
      <c r="Q830" s="4"/>
      <c r="R830" s="4"/>
      <c r="S830" s="4"/>
      <c r="T830" s="4"/>
      <c r="U830" s="4"/>
      <c r="V830" s="4"/>
      <c r="W830" s="4"/>
      <c r="X830" s="4"/>
      <c r="Y830" s="4"/>
      <c r="Z830" s="4"/>
      <c r="AA830" s="4"/>
      <c r="AB830" s="4"/>
      <c r="AC830" s="4"/>
      <c r="AD830" s="4"/>
      <c r="AE830" s="4"/>
      <c r="AF830" s="4"/>
      <c r="AG830" s="4"/>
      <c r="AH830" s="4"/>
      <c r="AI830" s="4"/>
      <c r="AJ830" s="4"/>
      <c r="AK830" s="4"/>
      <c r="AL830" s="4"/>
      <c r="AM830" s="4"/>
      <c r="AN830" s="4"/>
      <c r="AO830" s="4"/>
      <c r="AP830" s="4"/>
      <c r="AQ830" s="4"/>
      <c r="AR830" s="4"/>
      <c r="AS830" s="4"/>
      <c r="AT830" s="4"/>
      <c r="AU830" s="4"/>
      <c r="AV830" s="4"/>
      <c r="AW830" s="4"/>
      <c r="AX830" s="4"/>
      <c r="AY830" s="4"/>
      <c r="AZ830" s="4"/>
      <c r="BA830" s="4"/>
      <c r="BB830" s="4"/>
      <c r="BC830" s="4"/>
      <c r="BD830" s="4"/>
      <c r="BE830" s="4"/>
      <c r="BF830" s="4"/>
      <c r="BG830" s="4"/>
      <c r="BH830" s="4"/>
      <c r="BI830" s="4"/>
      <c r="BJ830" s="4"/>
      <c r="BK830" s="4"/>
      <c r="BL830" s="4"/>
      <c r="BM830" s="4"/>
      <c r="BN830" s="4"/>
      <c r="BO830" s="4"/>
      <c r="BP830" s="4"/>
      <c r="BQ830" s="4"/>
      <c r="BR830" s="4"/>
      <c r="BS830" s="4"/>
      <c r="BT830" s="4"/>
      <c r="BU830" s="4"/>
      <c r="BV830" s="4"/>
      <c r="BW830" s="4"/>
      <c r="BX830" s="4"/>
      <c r="BY830" s="4"/>
      <c r="BZ830" s="4"/>
      <c r="CA830" s="4"/>
      <c r="CB830" s="4"/>
      <c r="CC830" s="4"/>
      <c r="CD830" s="4"/>
      <c r="CE830" s="4"/>
      <c r="CF830" s="4"/>
      <c r="CG830" s="4"/>
      <c r="CH830" s="4"/>
      <c r="CI830" s="4"/>
    </row>
    <row r="831" ht="14.25" customHeight="1" spans="1:87" x14ac:dyDescent="0.25">
      <c r="A831" s="4"/>
      <c r="B831" s="4"/>
      <c r="C831" s="4"/>
      <c r="D831" s="4"/>
      <c r="E831" s="4"/>
      <c r="F831" s="4"/>
      <c r="G831" s="4"/>
      <c r="H831" s="4"/>
      <c r="I831" s="4"/>
      <c r="J831" s="4"/>
      <c r="K831" s="242"/>
      <c r="L831" s="4"/>
      <c r="M831" s="4"/>
      <c r="N831" s="4"/>
      <c r="O831" s="4"/>
      <c r="P831" s="4"/>
      <c r="Q831" s="4"/>
      <c r="R831" s="4"/>
      <c r="S831" s="4"/>
      <c r="T831" s="4"/>
      <c r="U831" s="4"/>
      <c r="V831" s="4"/>
      <c r="W831" s="4"/>
      <c r="X831" s="4"/>
      <c r="Y831" s="4"/>
      <c r="Z831" s="4"/>
      <c r="AA831" s="4"/>
      <c r="AB831" s="4"/>
      <c r="AC831" s="4"/>
      <c r="AD831" s="4"/>
      <c r="AE831" s="4"/>
      <c r="AF831" s="4"/>
      <c r="AG831" s="4"/>
      <c r="AH831" s="4"/>
      <c r="AI831" s="4"/>
      <c r="AJ831" s="4"/>
      <c r="AK831" s="4"/>
      <c r="AL831" s="4"/>
      <c r="AM831" s="4"/>
      <c r="AN831" s="4"/>
      <c r="AO831" s="4"/>
      <c r="AP831" s="4"/>
      <c r="AQ831" s="4"/>
      <c r="AR831" s="4"/>
      <c r="AS831" s="4"/>
      <c r="AT831" s="4"/>
      <c r="AU831" s="4"/>
      <c r="AV831" s="4"/>
      <c r="AW831" s="4"/>
      <c r="AX831" s="4"/>
      <c r="AY831" s="4"/>
      <c r="AZ831" s="4"/>
      <c r="BA831" s="4"/>
      <c r="BB831" s="4"/>
      <c r="BC831" s="4"/>
      <c r="BD831" s="4"/>
      <c r="BE831" s="4"/>
      <c r="BF831" s="4"/>
      <c r="BG831" s="4"/>
      <c r="BH831" s="4"/>
      <c r="BI831" s="4"/>
      <c r="BJ831" s="4"/>
      <c r="BK831" s="4"/>
      <c r="BL831" s="4"/>
      <c r="BM831" s="4"/>
      <c r="BN831" s="4"/>
      <c r="BO831" s="4"/>
      <c r="BP831" s="4"/>
      <c r="BQ831" s="4"/>
      <c r="BR831" s="4"/>
      <c r="BS831" s="4"/>
      <c r="BT831" s="4"/>
      <c r="BU831" s="4"/>
      <c r="BV831" s="4"/>
      <c r="BW831" s="4"/>
      <c r="BX831" s="4"/>
      <c r="BY831" s="4"/>
      <c r="BZ831" s="4"/>
      <c r="CA831" s="4"/>
      <c r="CB831" s="4"/>
      <c r="CC831" s="4"/>
      <c r="CD831" s="4"/>
      <c r="CE831" s="4"/>
      <c r="CF831" s="4"/>
      <c r="CG831" s="4"/>
      <c r="CH831" s="4"/>
      <c r="CI831" s="4"/>
    </row>
    <row r="832" ht="14.25" customHeight="1" spans="1:87" x14ac:dyDescent="0.25">
      <c r="A832" s="4"/>
      <c r="B832" s="4"/>
      <c r="C832" s="4"/>
      <c r="D832" s="4"/>
      <c r="E832" s="4"/>
      <c r="F832" s="4"/>
      <c r="G832" s="4"/>
      <c r="H832" s="4"/>
      <c r="I832" s="4"/>
      <c r="J832" s="4"/>
      <c r="K832" s="242"/>
      <c r="L832" s="4"/>
      <c r="M832" s="4"/>
      <c r="N832" s="4"/>
      <c r="O832" s="4"/>
      <c r="P832" s="4"/>
      <c r="Q832" s="4"/>
      <c r="R832" s="4"/>
      <c r="S832" s="4"/>
      <c r="T832" s="4"/>
      <c r="U832" s="4"/>
      <c r="V832" s="4"/>
      <c r="W832" s="4"/>
      <c r="X832" s="4"/>
      <c r="Y832" s="4"/>
      <c r="Z832" s="4"/>
      <c r="AA832" s="4"/>
      <c r="AB832" s="4"/>
      <c r="AC832" s="4"/>
      <c r="AD832" s="4"/>
      <c r="AE832" s="4"/>
      <c r="AF832" s="4"/>
      <c r="AG832" s="4"/>
      <c r="AH832" s="4"/>
      <c r="AI832" s="4"/>
      <c r="AJ832" s="4"/>
      <c r="AK832" s="4"/>
      <c r="AL832" s="4"/>
      <c r="AM832" s="4"/>
      <c r="AN832" s="4"/>
      <c r="AO832" s="4"/>
      <c r="AP832" s="4"/>
      <c r="AQ832" s="4"/>
      <c r="AR832" s="4"/>
      <c r="AS832" s="4"/>
      <c r="AT832" s="4"/>
      <c r="AU832" s="4"/>
      <c r="AV832" s="4"/>
      <c r="AW832" s="4"/>
      <c r="AX832" s="4"/>
      <c r="AY832" s="4"/>
      <c r="AZ832" s="4"/>
      <c r="BA832" s="4"/>
      <c r="BB832" s="4"/>
      <c r="BC832" s="4"/>
      <c r="BD832" s="4"/>
      <c r="BE832" s="4"/>
      <c r="BF832" s="4"/>
      <c r="BG832" s="4"/>
      <c r="BH832" s="4"/>
      <c r="BI832" s="4"/>
      <c r="BJ832" s="4"/>
      <c r="BK832" s="4"/>
      <c r="BL832" s="4"/>
      <c r="BM832" s="4"/>
      <c r="BN832" s="4"/>
      <c r="BO832" s="4"/>
      <c r="BP832" s="4"/>
      <c r="BQ832" s="4"/>
      <c r="BR832" s="4"/>
      <c r="BS832" s="4"/>
      <c r="BT832" s="4"/>
      <c r="BU832" s="4"/>
      <c r="BV832" s="4"/>
      <c r="BW832" s="4"/>
      <c r="BX832" s="4"/>
      <c r="BY832" s="4"/>
      <c r="BZ832" s="4"/>
      <c r="CA832" s="4"/>
      <c r="CB832" s="4"/>
      <c r="CC832" s="4"/>
      <c r="CD832" s="4"/>
      <c r="CE832" s="4"/>
      <c r="CF832" s="4"/>
      <c r="CG832" s="4"/>
      <c r="CH832" s="4"/>
      <c r="CI832" s="4"/>
    </row>
    <row r="833" ht="14.25" customHeight="1" spans="1:87" x14ac:dyDescent="0.25">
      <c r="A833" s="4"/>
      <c r="B833" s="4"/>
      <c r="C833" s="4"/>
      <c r="D833" s="4"/>
      <c r="E833" s="4"/>
      <c r="F833" s="4"/>
      <c r="G833" s="4"/>
      <c r="H833" s="4"/>
      <c r="I833" s="4"/>
      <c r="J833" s="4"/>
      <c r="K833" s="242"/>
      <c r="L833" s="4"/>
      <c r="M833" s="4"/>
      <c r="N833" s="4"/>
      <c r="O833" s="4"/>
      <c r="P833" s="4"/>
      <c r="Q833" s="4"/>
      <c r="R833" s="4"/>
      <c r="S833" s="4"/>
      <c r="T833" s="4"/>
      <c r="U833" s="4"/>
      <c r="V833" s="4"/>
      <c r="W833" s="4"/>
      <c r="X833" s="4"/>
      <c r="Y833" s="4"/>
      <c r="Z833" s="4"/>
      <c r="AA833" s="4"/>
      <c r="AB833" s="4"/>
      <c r="AC833" s="4"/>
      <c r="AD833" s="4"/>
      <c r="AE833" s="4"/>
      <c r="AF833" s="4"/>
      <c r="AG833" s="4"/>
      <c r="AH833" s="4"/>
      <c r="AI833" s="4"/>
      <c r="AJ833" s="4"/>
      <c r="AK833" s="4"/>
      <c r="AL833" s="4"/>
      <c r="AM833" s="4"/>
      <c r="AN833" s="4"/>
      <c r="AO833" s="4"/>
      <c r="AP833" s="4"/>
      <c r="AQ833" s="4"/>
      <c r="AR833" s="4"/>
      <c r="AS833" s="4"/>
      <c r="AT833" s="4"/>
      <c r="AU833" s="4"/>
      <c r="AV833" s="4"/>
      <c r="AW833" s="4"/>
      <c r="AX833" s="4"/>
      <c r="AY833" s="4"/>
      <c r="AZ833" s="4"/>
      <c r="BA833" s="4"/>
      <c r="BB833" s="4"/>
      <c r="BC833" s="4"/>
      <c r="BD833" s="4"/>
      <c r="BE833" s="4"/>
      <c r="BF833" s="4"/>
      <c r="BG833" s="4"/>
      <c r="BH833" s="4"/>
      <c r="BI833" s="4"/>
      <c r="BJ833" s="4"/>
      <c r="BK833" s="4"/>
      <c r="BL833" s="4"/>
      <c r="BM833" s="4"/>
      <c r="BN833" s="4"/>
      <c r="BO833" s="4"/>
      <c r="BP833" s="4"/>
      <c r="BQ833" s="4"/>
      <c r="BR833" s="4"/>
      <c r="BS833" s="4"/>
      <c r="BT833" s="4"/>
      <c r="BU833" s="4"/>
      <c r="BV833" s="4"/>
      <c r="BW833" s="4"/>
      <c r="BX833" s="4"/>
      <c r="BY833" s="4"/>
      <c r="BZ833" s="4"/>
      <c r="CA833" s="4"/>
      <c r="CB833" s="4"/>
      <c r="CC833" s="4"/>
      <c r="CD833" s="4"/>
      <c r="CE833" s="4"/>
      <c r="CF833" s="4"/>
      <c r="CG833" s="4"/>
      <c r="CH833" s="4"/>
      <c r="CI833" s="4"/>
    </row>
    <row r="834" ht="14.25" customHeight="1" spans="1:87" x14ac:dyDescent="0.25">
      <c r="A834" s="4"/>
      <c r="B834" s="4"/>
      <c r="C834" s="4"/>
      <c r="D834" s="4"/>
      <c r="E834" s="4"/>
      <c r="F834" s="4"/>
      <c r="G834" s="4"/>
      <c r="H834" s="4"/>
      <c r="I834" s="4"/>
      <c r="J834" s="4"/>
      <c r="K834" s="242"/>
      <c r="L834" s="4"/>
      <c r="M834" s="4"/>
      <c r="N834" s="4"/>
      <c r="O834" s="4"/>
      <c r="P834" s="4"/>
      <c r="Q834" s="4"/>
      <c r="R834" s="4"/>
      <c r="S834" s="4"/>
      <c r="T834" s="4"/>
      <c r="U834" s="4"/>
      <c r="V834" s="4"/>
      <c r="W834" s="4"/>
      <c r="X834" s="4"/>
      <c r="Y834" s="4"/>
      <c r="Z834" s="4"/>
      <c r="AA834" s="4"/>
      <c r="AB834" s="4"/>
      <c r="AC834" s="4"/>
      <c r="AD834" s="4"/>
      <c r="AE834" s="4"/>
      <c r="AF834" s="4"/>
      <c r="AG834" s="4"/>
      <c r="AH834" s="4"/>
      <c r="AI834" s="4"/>
      <c r="AJ834" s="4"/>
      <c r="AK834" s="4"/>
      <c r="AL834" s="4"/>
      <c r="AM834" s="4"/>
      <c r="AN834" s="4"/>
      <c r="AO834" s="4"/>
      <c r="AP834" s="4"/>
      <c r="AQ834" s="4"/>
      <c r="AR834" s="4"/>
      <c r="AS834" s="4"/>
      <c r="AT834" s="4"/>
      <c r="AU834" s="4"/>
      <c r="AV834" s="4"/>
      <c r="AW834" s="4"/>
      <c r="AX834" s="4"/>
      <c r="AY834" s="4"/>
      <c r="AZ834" s="4"/>
      <c r="BA834" s="4"/>
      <c r="BB834" s="4"/>
      <c r="BC834" s="4"/>
      <c r="BD834" s="4"/>
      <c r="BE834" s="4"/>
      <c r="BF834" s="4"/>
      <c r="BG834" s="4"/>
      <c r="BH834" s="4"/>
      <c r="BI834" s="4"/>
      <c r="BJ834" s="4"/>
      <c r="BK834" s="4"/>
      <c r="BL834" s="4"/>
      <c r="BM834" s="4"/>
      <c r="BN834" s="4"/>
      <c r="BO834" s="4"/>
      <c r="BP834" s="4"/>
      <c r="BQ834" s="4"/>
      <c r="BR834" s="4"/>
      <c r="BS834" s="4"/>
      <c r="BT834" s="4"/>
      <c r="BU834" s="4"/>
      <c r="BV834" s="4"/>
      <c r="BW834" s="4"/>
      <c r="BX834" s="4"/>
      <c r="BY834" s="4"/>
      <c r="BZ834" s="4"/>
      <c r="CA834" s="4"/>
      <c r="CB834" s="4"/>
      <c r="CC834" s="4"/>
      <c r="CD834" s="4"/>
      <c r="CE834" s="4"/>
      <c r="CF834" s="4"/>
      <c r="CG834" s="4"/>
      <c r="CH834" s="4"/>
      <c r="CI834" s="4"/>
    </row>
    <row r="835" ht="14.25" customHeight="1" spans="1:87" x14ac:dyDescent="0.25">
      <c r="A835" s="4"/>
      <c r="B835" s="4"/>
      <c r="C835" s="4"/>
      <c r="D835" s="4"/>
      <c r="E835" s="4"/>
      <c r="F835" s="4"/>
      <c r="G835" s="4"/>
      <c r="H835" s="4"/>
      <c r="I835" s="4"/>
      <c r="J835" s="4"/>
      <c r="K835" s="242"/>
      <c r="L835" s="4"/>
      <c r="M835" s="4"/>
      <c r="N835" s="4"/>
      <c r="O835" s="4"/>
      <c r="P835" s="4"/>
      <c r="Q835" s="4"/>
      <c r="R835" s="4"/>
      <c r="S835" s="4"/>
      <c r="T835" s="4"/>
      <c r="U835" s="4"/>
      <c r="V835" s="4"/>
      <c r="W835" s="4"/>
      <c r="X835" s="4"/>
      <c r="Y835" s="4"/>
      <c r="Z835" s="4"/>
      <c r="AA835" s="4"/>
      <c r="AB835" s="4"/>
      <c r="AC835" s="4"/>
      <c r="AD835" s="4"/>
      <c r="AE835" s="4"/>
      <c r="AF835" s="4"/>
      <c r="AG835" s="4"/>
      <c r="AH835" s="4"/>
      <c r="AI835" s="4"/>
      <c r="AJ835" s="4"/>
      <c r="AK835" s="4"/>
      <c r="AL835" s="4"/>
      <c r="AM835" s="4"/>
      <c r="AN835" s="4"/>
      <c r="AO835" s="4"/>
      <c r="AP835" s="4"/>
      <c r="AQ835" s="4"/>
      <c r="AR835" s="4"/>
      <c r="AS835" s="4"/>
      <c r="AT835" s="4"/>
      <c r="AU835" s="4"/>
      <c r="AV835" s="4"/>
      <c r="AW835" s="4"/>
      <c r="AX835" s="4"/>
      <c r="AY835" s="4"/>
      <c r="AZ835" s="4"/>
      <c r="BA835" s="4"/>
      <c r="BB835" s="4"/>
      <c r="BC835" s="4"/>
      <c r="BD835" s="4"/>
      <c r="BE835" s="4"/>
      <c r="BF835" s="4"/>
      <c r="BG835" s="4"/>
      <c r="BH835" s="4"/>
      <c r="BI835" s="4"/>
      <c r="BJ835" s="4"/>
      <c r="BK835" s="4"/>
      <c r="BL835" s="4"/>
      <c r="BM835" s="4"/>
      <c r="BN835" s="4"/>
      <c r="BO835" s="4"/>
      <c r="BP835" s="4"/>
      <c r="BQ835" s="4"/>
      <c r="BR835" s="4"/>
      <c r="BS835" s="4"/>
      <c r="BT835" s="4"/>
      <c r="BU835" s="4"/>
      <c r="BV835" s="4"/>
      <c r="BW835" s="4"/>
      <c r="BX835" s="4"/>
      <c r="BY835" s="4"/>
      <c r="BZ835" s="4"/>
      <c r="CA835" s="4"/>
      <c r="CB835" s="4"/>
      <c r="CC835" s="4"/>
      <c r="CD835" s="4"/>
      <c r="CE835" s="4"/>
      <c r="CF835" s="4"/>
      <c r="CG835" s="4"/>
      <c r="CH835" s="4"/>
      <c r="CI835" s="4"/>
    </row>
    <row r="836" ht="14.25" customHeight="1" spans="1:87" x14ac:dyDescent="0.25">
      <c r="A836" s="4"/>
      <c r="B836" s="4"/>
      <c r="C836" s="4"/>
      <c r="D836" s="4"/>
      <c r="E836" s="4"/>
      <c r="F836" s="4"/>
      <c r="G836" s="4"/>
      <c r="H836" s="4"/>
      <c r="I836" s="4"/>
      <c r="J836" s="4"/>
      <c r="K836" s="242"/>
      <c r="L836" s="4"/>
      <c r="M836" s="4"/>
      <c r="N836" s="4"/>
      <c r="O836" s="4"/>
      <c r="P836" s="4"/>
      <c r="Q836" s="4"/>
      <c r="R836" s="4"/>
      <c r="S836" s="4"/>
      <c r="T836" s="4"/>
      <c r="U836" s="4"/>
      <c r="V836" s="4"/>
      <c r="W836" s="4"/>
      <c r="X836" s="4"/>
      <c r="Y836" s="4"/>
      <c r="Z836" s="4"/>
      <c r="AA836" s="4"/>
      <c r="AB836" s="4"/>
      <c r="AC836" s="4"/>
      <c r="AD836" s="4"/>
      <c r="AE836" s="4"/>
      <c r="AF836" s="4"/>
      <c r="AG836" s="4"/>
      <c r="AH836" s="4"/>
      <c r="AI836" s="4"/>
      <c r="AJ836" s="4"/>
      <c r="AK836" s="4"/>
      <c r="AL836" s="4"/>
      <c r="AM836" s="4"/>
      <c r="AN836" s="4"/>
      <c r="AO836" s="4"/>
      <c r="AP836" s="4"/>
      <c r="AQ836" s="4"/>
      <c r="AR836" s="4"/>
      <c r="AS836" s="4"/>
      <c r="AT836" s="4"/>
      <c r="AU836" s="4"/>
      <c r="AV836" s="4"/>
      <c r="AW836" s="4"/>
      <c r="AX836" s="4"/>
      <c r="AY836" s="4"/>
      <c r="AZ836" s="4"/>
      <c r="BA836" s="4"/>
      <c r="BB836" s="4"/>
      <c r="BC836" s="4"/>
      <c r="BD836" s="4"/>
      <c r="BE836" s="4"/>
      <c r="BF836" s="4"/>
      <c r="BG836" s="4"/>
      <c r="BH836" s="4"/>
      <c r="BI836" s="4"/>
      <c r="BJ836" s="4"/>
      <c r="BK836" s="4"/>
      <c r="BL836" s="4"/>
      <c r="BM836" s="4"/>
      <c r="BN836" s="4"/>
      <c r="BO836" s="4"/>
      <c r="BP836" s="4"/>
      <c r="BQ836" s="4"/>
      <c r="BR836" s="4"/>
      <c r="BS836" s="4"/>
      <c r="BT836" s="4"/>
      <c r="BU836" s="4"/>
      <c r="BV836" s="4"/>
      <c r="BW836" s="4"/>
      <c r="BX836" s="4"/>
      <c r="BY836" s="4"/>
      <c r="BZ836" s="4"/>
      <c r="CA836" s="4"/>
      <c r="CB836" s="4"/>
      <c r="CC836" s="4"/>
      <c r="CD836" s="4"/>
      <c r="CE836" s="4"/>
      <c r="CF836" s="4"/>
      <c r="CG836" s="4"/>
      <c r="CH836" s="4"/>
      <c r="CI836" s="4"/>
    </row>
    <row r="837" ht="14.25" customHeight="1" spans="1:87" x14ac:dyDescent="0.25">
      <c r="A837" s="4"/>
      <c r="B837" s="4"/>
      <c r="C837" s="4"/>
      <c r="D837" s="4"/>
      <c r="E837" s="4"/>
      <c r="F837" s="4"/>
      <c r="G837" s="4"/>
      <c r="H837" s="4"/>
      <c r="I837" s="4"/>
      <c r="J837" s="4"/>
      <c r="K837" s="242"/>
      <c r="L837" s="4"/>
      <c r="M837" s="4"/>
      <c r="N837" s="4"/>
      <c r="O837" s="4"/>
      <c r="P837" s="4"/>
      <c r="Q837" s="4"/>
      <c r="R837" s="4"/>
      <c r="S837" s="4"/>
      <c r="T837" s="4"/>
      <c r="U837" s="4"/>
      <c r="V837" s="4"/>
      <c r="W837" s="4"/>
      <c r="X837" s="4"/>
      <c r="Y837" s="4"/>
      <c r="Z837" s="4"/>
      <c r="AA837" s="4"/>
      <c r="AB837" s="4"/>
      <c r="AC837" s="4"/>
      <c r="AD837" s="4"/>
      <c r="AE837" s="4"/>
      <c r="AF837" s="4"/>
      <c r="AG837" s="4"/>
      <c r="AH837" s="4"/>
      <c r="AI837" s="4"/>
      <c r="AJ837" s="4"/>
      <c r="AK837" s="4"/>
      <c r="AL837" s="4"/>
      <c r="AM837" s="4"/>
      <c r="AN837" s="4"/>
      <c r="AO837" s="4"/>
      <c r="AP837" s="4"/>
      <c r="AQ837" s="4"/>
      <c r="AR837" s="4"/>
      <c r="AS837" s="4"/>
      <c r="AT837" s="4"/>
      <c r="AU837" s="4"/>
      <c r="AV837" s="4"/>
      <c r="AW837" s="4"/>
      <c r="AX837" s="4"/>
      <c r="AY837" s="4"/>
      <c r="AZ837" s="4"/>
      <c r="BA837" s="4"/>
      <c r="BB837" s="4"/>
      <c r="BC837" s="4"/>
      <c r="BD837" s="4"/>
      <c r="BE837" s="4"/>
      <c r="BF837" s="4"/>
      <c r="BG837" s="4"/>
      <c r="BH837" s="4"/>
      <c r="BI837" s="4"/>
      <c r="BJ837" s="4"/>
      <c r="BK837" s="4"/>
      <c r="BL837" s="4"/>
      <c r="BM837" s="4"/>
      <c r="BN837" s="4"/>
      <c r="BO837" s="4"/>
      <c r="BP837" s="4"/>
      <c r="BQ837" s="4"/>
      <c r="BR837" s="4"/>
      <c r="BS837" s="4"/>
      <c r="BT837" s="4"/>
      <c r="BU837" s="4"/>
      <c r="BV837" s="4"/>
      <c r="BW837" s="4"/>
      <c r="BX837" s="4"/>
      <c r="BY837" s="4"/>
      <c r="BZ837" s="4"/>
      <c r="CA837" s="4"/>
      <c r="CB837" s="4"/>
      <c r="CC837" s="4"/>
      <c r="CD837" s="4"/>
      <c r="CE837" s="4"/>
      <c r="CF837" s="4"/>
      <c r="CG837" s="4"/>
      <c r="CH837" s="4"/>
      <c r="CI837" s="4"/>
    </row>
    <row r="838" ht="14.25" customHeight="1" spans="1:87" x14ac:dyDescent="0.25">
      <c r="A838" s="4"/>
      <c r="B838" s="4"/>
      <c r="C838" s="4"/>
      <c r="D838" s="4"/>
      <c r="E838" s="4"/>
      <c r="F838" s="4"/>
      <c r="G838" s="4"/>
      <c r="H838" s="4"/>
      <c r="I838" s="4"/>
      <c r="J838" s="4"/>
      <c r="K838" s="242"/>
      <c r="L838" s="4"/>
      <c r="M838" s="4"/>
      <c r="N838" s="4"/>
      <c r="O838" s="4"/>
      <c r="P838" s="4"/>
      <c r="Q838" s="4"/>
      <c r="R838" s="4"/>
      <c r="S838" s="4"/>
      <c r="T838" s="4"/>
      <c r="U838" s="4"/>
      <c r="V838" s="4"/>
      <c r="W838" s="4"/>
      <c r="X838" s="4"/>
      <c r="Y838" s="4"/>
      <c r="Z838" s="4"/>
      <c r="AA838" s="4"/>
      <c r="AB838" s="4"/>
      <c r="AC838" s="4"/>
      <c r="AD838" s="4"/>
      <c r="AE838" s="4"/>
      <c r="AF838" s="4"/>
      <c r="AG838" s="4"/>
      <c r="AH838" s="4"/>
      <c r="AI838" s="4"/>
      <c r="AJ838" s="4"/>
      <c r="AK838" s="4"/>
      <c r="AL838" s="4"/>
      <c r="AM838" s="4"/>
      <c r="AN838" s="4"/>
      <c r="AO838" s="4"/>
      <c r="AP838" s="4"/>
      <c r="AQ838" s="4"/>
      <c r="AR838" s="4"/>
      <c r="AS838" s="4"/>
      <c r="AT838" s="4"/>
      <c r="AU838" s="4"/>
      <c r="AV838" s="4"/>
      <c r="AW838" s="4"/>
      <c r="AX838" s="4"/>
      <c r="AY838" s="4"/>
      <c r="AZ838" s="4"/>
      <c r="BA838" s="4"/>
      <c r="BB838" s="4"/>
      <c r="BC838" s="4"/>
      <c r="BD838" s="4"/>
      <c r="BE838" s="4"/>
      <c r="BF838" s="4"/>
      <c r="BG838" s="4"/>
      <c r="BH838" s="4"/>
      <c r="BI838" s="4"/>
      <c r="BJ838" s="4"/>
      <c r="BK838" s="4"/>
      <c r="BL838" s="4"/>
      <c r="BM838" s="4"/>
      <c r="BN838" s="4"/>
      <c r="BO838" s="4"/>
      <c r="BP838" s="4"/>
      <c r="BQ838" s="4"/>
      <c r="BR838" s="4"/>
      <c r="BS838" s="4"/>
      <c r="BT838" s="4"/>
      <c r="BU838" s="4"/>
      <c r="BV838" s="4"/>
      <c r="BW838" s="4"/>
      <c r="BX838" s="4"/>
      <c r="BY838" s="4"/>
      <c r="BZ838" s="4"/>
      <c r="CA838" s="4"/>
      <c r="CB838" s="4"/>
      <c r="CC838" s="4"/>
      <c r="CD838" s="4"/>
      <c r="CE838" s="4"/>
      <c r="CF838" s="4"/>
      <c r="CG838" s="4"/>
      <c r="CH838" s="4"/>
      <c r="CI838" s="4"/>
    </row>
    <row r="839" ht="14.25" customHeight="1" spans="1:87" x14ac:dyDescent="0.25">
      <c r="A839" s="4"/>
      <c r="B839" s="4"/>
      <c r="C839" s="4"/>
      <c r="D839" s="4"/>
      <c r="E839" s="4"/>
      <c r="F839" s="4"/>
      <c r="G839" s="4"/>
      <c r="H839" s="4"/>
      <c r="I839" s="4"/>
      <c r="J839" s="4"/>
      <c r="K839" s="242"/>
      <c r="L839" s="4"/>
      <c r="M839" s="4"/>
      <c r="N839" s="4"/>
      <c r="O839" s="4"/>
      <c r="P839" s="4"/>
      <c r="Q839" s="4"/>
      <c r="R839" s="4"/>
      <c r="S839" s="4"/>
      <c r="T839" s="4"/>
      <c r="U839" s="4"/>
      <c r="V839" s="4"/>
      <c r="W839" s="4"/>
      <c r="X839" s="4"/>
      <c r="Y839" s="4"/>
      <c r="Z839" s="4"/>
      <c r="AA839" s="4"/>
      <c r="AB839" s="4"/>
      <c r="AC839" s="4"/>
      <c r="AD839" s="4"/>
      <c r="AE839" s="4"/>
      <c r="AF839" s="4"/>
      <c r="AG839" s="4"/>
      <c r="AH839" s="4"/>
      <c r="AI839" s="4"/>
      <c r="AJ839" s="4"/>
      <c r="AK839" s="4"/>
      <c r="AL839" s="4"/>
      <c r="AM839" s="4"/>
      <c r="AN839" s="4"/>
      <c r="AO839" s="4"/>
      <c r="AP839" s="4"/>
      <c r="AQ839" s="4"/>
      <c r="AR839" s="4"/>
      <c r="AS839" s="4"/>
      <c r="AT839" s="4"/>
      <c r="AU839" s="4"/>
      <c r="AV839" s="4"/>
      <c r="AW839" s="4"/>
      <c r="AX839" s="4"/>
      <c r="AY839" s="4"/>
      <c r="AZ839" s="4"/>
      <c r="BA839" s="4"/>
      <c r="BB839" s="4"/>
      <c r="BC839" s="4"/>
      <c r="BD839" s="4"/>
      <c r="BE839" s="4"/>
      <c r="BF839" s="4"/>
      <c r="BG839" s="4"/>
      <c r="BH839" s="4"/>
      <c r="BI839" s="4"/>
      <c r="BJ839" s="4"/>
      <c r="BK839" s="4"/>
      <c r="BL839" s="4"/>
      <c r="BM839" s="4"/>
      <c r="BN839" s="4"/>
      <c r="BO839" s="4"/>
      <c r="BP839" s="4"/>
      <c r="BQ839" s="4"/>
      <c r="BR839" s="4"/>
      <c r="BS839" s="4"/>
      <c r="BT839" s="4"/>
      <c r="BU839" s="4"/>
      <c r="BV839" s="4"/>
      <c r="BW839" s="4"/>
      <c r="BX839" s="4"/>
      <c r="BY839" s="4"/>
      <c r="BZ839" s="4"/>
      <c r="CA839" s="4"/>
      <c r="CB839" s="4"/>
      <c r="CC839" s="4"/>
      <c r="CD839" s="4"/>
      <c r="CE839" s="4"/>
      <c r="CF839" s="4"/>
      <c r="CG839" s="4"/>
      <c r="CH839" s="4"/>
      <c r="CI839" s="4"/>
    </row>
    <row r="840" ht="14.25" customHeight="1" spans="1:87" x14ac:dyDescent="0.25">
      <c r="A840" s="4"/>
      <c r="B840" s="4"/>
      <c r="C840" s="4"/>
      <c r="D840" s="4"/>
      <c r="E840" s="4"/>
      <c r="F840" s="4"/>
      <c r="G840" s="4"/>
      <c r="H840" s="4"/>
      <c r="I840" s="4"/>
      <c r="J840" s="4"/>
      <c r="K840" s="242"/>
      <c r="L840" s="4"/>
      <c r="M840" s="4"/>
      <c r="N840" s="4"/>
      <c r="O840" s="4"/>
      <c r="P840" s="4"/>
      <c r="Q840" s="4"/>
      <c r="R840" s="4"/>
      <c r="S840" s="4"/>
      <c r="T840" s="4"/>
      <c r="U840" s="4"/>
      <c r="V840" s="4"/>
      <c r="W840" s="4"/>
      <c r="X840" s="4"/>
      <c r="Y840" s="4"/>
      <c r="Z840" s="4"/>
      <c r="AA840" s="4"/>
      <c r="AB840" s="4"/>
      <c r="AC840" s="4"/>
      <c r="AD840" s="4"/>
      <c r="AE840" s="4"/>
      <c r="AF840" s="4"/>
      <c r="AG840" s="4"/>
      <c r="AH840" s="4"/>
      <c r="AI840" s="4"/>
      <c r="AJ840" s="4"/>
      <c r="AK840" s="4"/>
      <c r="AL840" s="4"/>
      <c r="AM840" s="4"/>
      <c r="AN840" s="4"/>
      <c r="AO840" s="4"/>
      <c r="AP840" s="4"/>
      <c r="AQ840" s="4"/>
      <c r="AR840" s="4"/>
      <c r="AS840" s="4"/>
      <c r="AT840" s="4"/>
      <c r="AU840" s="4"/>
      <c r="AV840" s="4"/>
      <c r="AW840" s="4"/>
      <c r="AX840" s="4"/>
      <c r="AY840" s="4"/>
      <c r="AZ840" s="4"/>
      <c r="BA840" s="4"/>
      <c r="BB840" s="4"/>
      <c r="BC840" s="4"/>
      <c r="BD840" s="4"/>
      <c r="BE840" s="4"/>
      <c r="BF840" s="4"/>
      <c r="BG840" s="4"/>
      <c r="BH840" s="4"/>
      <c r="BI840" s="4"/>
      <c r="BJ840" s="4"/>
      <c r="BK840" s="4"/>
      <c r="BL840" s="4"/>
      <c r="BM840" s="4"/>
      <c r="BN840" s="4"/>
      <c r="BO840" s="4"/>
      <c r="BP840" s="4"/>
      <c r="BQ840" s="4"/>
      <c r="BR840" s="4"/>
      <c r="BS840" s="4"/>
      <c r="BT840" s="4"/>
      <c r="BU840" s="4"/>
      <c r="BV840" s="4"/>
      <c r="BW840" s="4"/>
      <c r="BX840" s="4"/>
      <c r="BY840" s="4"/>
      <c r="BZ840" s="4"/>
      <c r="CA840" s="4"/>
      <c r="CB840" s="4"/>
      <c r="CC840" s="4"/>
      <c r="CD840" s="4"/>
      <c r="CE840" s="4"/>
      <c r="CF840" s="4"/>
      <c r="CG840" s="4"/>
      <c r="CH840" s="4"/>
      <c r="CI840" s="4"/>
    </row>
    <row r="841" ht="14.25" customHeight="1" spans="1:87" x14ac:dyDescent="0.25">
      <c r="A841" s="4"/>
      <c r="B841" s="4"/>
      <c r="C841" s="4"/>
      <c r="D841" s="4"/>
      <c r="E841" s="4"/>
      <c r="F841" s="4"/>
      <c r="G841" s="4"/>
      <c r="H841" s="4"/>
      <c r="I841" s="4"/>
      <c r="J841" s="4"/>
      <c r="K841" s="242"/>
      <c r="L841" s="4"/>
      <c r="M841" s="4"/>
      <c r="N841" s="4"/>
      <c r="O841" s="4"/>
      <c r="P841" s="4"/>
      <c r="Q841" s="4"/>
      <c r="R841" s="4"/>
      <c r="S841" s="4"/>
      <c r="T841" s="4"/>
      <c r="U841" s="4"/>
      <c r="V841" s="4"/>
      <c r="W841" s="4"/>
      <c r="X841" s="4"/>
      <c r="Y841" s="4"/>
      <c r="Z841" s="4"/>
      <c r="AA841" s="4"/>
      <c r="AB841" s="4"/>
      <c r="AC841" s="4"/>
      <c r="AD841" s="4"/>
      <c r="AE841" s="4"/>
      <c r="AF841" s="4"/>
      <c r="AG841" s="4"/>
      <c r="AH841" s="4"/>
      <c r="AI841" s="4"/>
      <c r="AJ841" s="4"/>
      <c r="AK841" s="4"/>
      <c r="AL841" s="4"/>
      <c r="AM841" s="4"/>
      <c r="AN841" s="4"/>
      <c r="AO841" s="4"/>
      <c r="AP841" s="4"/>
      <c r="AQ841" s="4"/>
      <c r="AR841" s="4"/>
      <c r="AS841" s="4"/>
      <c r="AT841" s="4"/>
      <c r="AU841" s="4"/>
      <c r="AV841" s="4"/>
      <c r="AW841" s="4"/>
      <c r="AX841" s="4"/>
      <c r="AY841" s="4"/>
      <c r="AZ841" s="4"/>
      <c r="BA841" s="4"/>
      <c r="BB841" s="4"/>
      <c r="BC841" s="4"/>
      <c r="BD841" s="4"/>
      <c r="BE841" s="4"/>
      <c r="BF841" s="4"/>
      <c r="BG841" s="4"/>
      <c r="BH841" s="4"/>
      <c r="BI841" s="4"/>
      <c r="BJ841" s="4"/>
      <c r="BK841" s="4"/>
      <c r="BL841" s="4"/>
      <c r="BM841" s="4"/>
      <c r="BN841" s="4"/>
      <c r="BO841" s="4"/>
      <c r="BP841" s="4"/>
      <c r="BQ841" s="4"/>
      <c r="BR841" s="4"/>
      <c r="BS841" s="4"/>
      <c r="BT841" s="4"/>
      <c r="BU841" s="4"/>
      <c r="BV841" s="4"/>
      <c r="BW841" s="4"/>
      <c r="BX841" s="4"/>
      <c r="BY841" s="4"/>
      <c r="BZ841" s="4"/>
      <c r="CA841" s="4"/>
      <c r="CB841" s="4"/>
      <c r="CC841" s="4"/>
      <c r="CD841" s="4"/>
      <c r="CE841" s="4"/>
      <c r="CF841" s="4"/>
      <c r="CG841" s="4"/>
      <c r="CH841" s="4"/>
      <c r="CI841" s="4"/>
    </row>
    <row r="842" ht="14.25" customHeight="1" spans="1:87" x14ac:dyDescent="0.25">
      <c r="A842" s="4"/>
      <c r="B842" s="4"/>
      <c r="C842" s="4"/>
      <c r="D842" s="4"/>
      <c r="E842" s="4"/>
      <c r="F842" s="4"/>
      <c r="G842" s="4"/>
      <c r="H842" s="4"/>
      <c r="I842" s="4"/>
      <c r="J842" s="4"/>
      <c r="K842" s="242"/>
      <c r="L842" s="4"/>
      <c r="M842" s="4"/>
      <c r="N842" s="4"/>
      <c r="O842" s="4"/>
      <c r="P842" s="4"/>
      <c r="Q842" s="4"/>
      <c r="R842" s="4"/>
      <c r="S842" s="4"/>
      <c r="T842" s="4"/>
      <c r="U842" s="4"/>
      <c r="V842" s="4"/>
      <c r="W842" s="4"/>
      <c r="X842" s="4"/>
      <c r="Y842" s="4"/>
      <c r="Z842" s="4"/>
      <c r="AA842" s="4"/>
      <c r="AB842" s="4"/>
      <c r="AC842" s="4"/>
      <c r="AD842" s="4"/>
      <c r="AE842" s="4"/>
      <c r="AF842" s="4"/>
      <c r="AG842" s="4"/>
      <c r="AH842" s="4"/>
      <c r="AI842" s="4"/>
      <c r="AJ842" s="4"/>
      <c r="AK842" s="4"/>
      <c r="AL842" s="4"/>
      <c r="AM842" s="4"/>
      <c r="AN842" s="4"/>
      <c r="AO842" s="4"/>
      <c r="AP842" s="4"/>
      <c r="AQ842" s="4"/>
      <c r="AR842" s="4"/>
      <c r="AS842" s="4"/>
      <c r="AT842" s="4"/>
      <c r="AU842" s="4"/>
      <c r="AV842" s="4"/>
      <c r="AW842" s="4"/>
      <c r="AX842" s="4"/>
      <c r="AY842" s="4"/>
      <c r="AZ842" s="4"/>
      <c r="BA842" s="4"/>
      <c r="BB842" s="4"/>
      <c r="BC842" s="4"/>
      <c r="BD842" s="4"/>
      <c r="BE842" s="4"/>
      <c r="BF842" s="4"/>
      <c r="BG842" s="4"/>
      <c r="BH842" s="4"/>
      <c r="BI842" s="4"/>
      <c r="BJ842" s="4"/>
      <c r="BK842" s="4"/>
      <c r="BL842" s="4"/>
      <c r="BM842" s="4"/>
      <c r="BN842" s="4"/>
      <c r="BO842" s="4"/>
      <c r="BP842" s="4"/>
      <c r="BQ842" s="4"/>
      <c r="BR842" s="4"/>
      <c r="BS842" s="4"/>
      <c r="BT842" s="4"/>
      <c r="BU842" s="4"/>
      <c r="BV842" s="4"/>
      <c r="BW842" s="4"/>
      <c r="BX842" s="4"/>
      <c r="BY842" s="4"/>
      <c r="BZ842" s="4"/>
      <c r="CA842" s="4"/>
      <c r="CB842" s="4"/>
      <c r="CC842" s="4"/>
      <c r="CD842" s="4"/>
      <c r="CE842" s="4"/>
      <c r="CF842" s="4"/>
      <c r="CG842" s="4"/>
      <c r="CH842" s="4"/>
      <c r="CI842" s="4"/>
    </row>
    <row r="843" ht="14.25" customHeight="1" spans="1:87" x14ac:dyDescent="0.25">
      <c r="A843" s="4"/>
      <c r="B843" s="4"/>
      <c r="C843" s="4"/>
      <c r="D843" s="4"/>
      <c r="E843" s="4"/>
      <c r="F843" s="4"/>
      <c r="G843" s="4"/>
      <c r="H843" s="4"/>
      <c r="I843" s="4"/>
      <c r="J843" s="4"/>
      <c r="K843" s="242"/>
      <c r="L843" s="4"/>
      <c r="M843" s="4"/>
      <c r="N843" s="4"/>
      <c r="O843" s="4"/>
      <c r="P843" s="4"/>
      <c r="Q843" s="4"/>
      <c r="R843" s="4"/>
      <c r="S843" s="4"/>
      <c r="T843" s="4"/>
      <c r="U843" s="4"/>
      <c r="V843" s="4"/>
      <c r="W843" s="4"/>
      <c r="X843" s="4"/>
      <c r="Y843" s="4"/>
      <c r="Z843" s="4"/>
      <c r="AA843" s="4"/>
      <c r="AB843" s="4"/>
      <c r="AC843" s="4"/>
      <c r="AD843" s="4"/>
      <c r="AE843" s="4"/>
      <c r="AF843" s="4"/>
      <c r="AG843" s="4"/>
      <c r="AH843" s="4"/>
      <c r="AI843" s="4"/>
      <c r="AJ843" s="4"/>
      <c r="AK843" s="4"/>
      <c r="AL843" s="4"/>
      <c r="AM843" s="4"/>
      <c r="AN843" s="4"/>
      <c r="AO843" s="4"/>
      <c r="AP843" s="4"/>
      <c r="AQ843" s="4"/>
      <c r="AR843" s="4"/>
      <c r="AS843" s="4"/>
      <c r="AT843" s="4"/>
      <c r="AU843" s="4"/>
      <c r="AV843" s="4"/>
      <c r="AW843" s="4"/>
      <c r="AX843" s="4"/>
      <c r="AY843" s="4"/>
      <c r="AZ843" s="4"/>
      <c r="BA843" s="4"/>
      <c r="BB843" s="4"/>
      <c r="BC843" s="4"/>
      <c r="BD843" s="4"/>
      <c r="BE843" s="4"/>
      <c r="BF843" s="4"/>
      <c r="BG843" s="4"/>
      <c r="BH843" s="4"/>
      <c r="BI843" s="4"/>
      <c r="BJ843" s="4"/>
      <c r="BK843" s="4"/>
      <c r="BL843" s="4"/>
      <c r="BM843" s="4"/>
      <c r="BN843" s="4"/>
      <c r="BO843" s="4"/>
      <c r="BP843" s="4"/>
      <c r="BQ843" s="4"/>
      <c r="BR843" s="4"/>
      <c r="BS843" s="4"/>
      <c r="BT843" s="4"/>
      <c r="BU843" s="4"/>
      <c r="BV843" s="4"/>
      <c r="BW843" s="4"/>
      <c r="BX843" s="4"/>
      <c r="BY843" s="4"/>
      <c r="BZ843" s="4"/>
      <c r="CA843" s="4"/>
      <c r="CB843" s="4"/>
      <c r="CC843" s="4"/>
      <c r="CD843" s="4"/>
      <c r="CE843" s="4"/>
      <c r="CF843" s="4"/>
      <c r="CG843" s="4"/>
      <c r="CH843" s="4"/>
      <c r="CI843" s="4"/>
    </row>
    <row r="844" ht="14.25" customHeight="1" spans="1:87" x14ac:dyDescent="0.25">
      <c r="A844" s="4"/>
      <c r="B844" s="4"/>
      <c r="C844" s="4"/>
      <c r="D844" s="4"/>
      <c r="E844" s="4"/>
      <c r="F844" s="4"/>
      <c r="G844" s="4"/>
      <c r="H844" s="4"/>
      <c r="I844" s="4"/>
      <c r="J844" s="4"/>
      <c r="K844" s="242"/>
      <c r="L844" s="4"/>
      <c r="M844" s="4"/>
      <c r="N844" s="4"/>
      <c r="O844" s="4"/>
      <c r="P844" s="4"/>
      <c r="Q844" s="4"/>
      <c r="R844" s="4"/>
      <c r="S844" s="4"/>
      <c r="T844" s="4"/>
      <c r="U844" s="4"/>
      <c r="V844" s="4"/>
      <c r="W844" s="4"/>
      <c r="X844" s="4"/>
      <c r="Y844" s="4"/>
      <c r="Z844" s="4"/>
      <c r="AA844" s="4"/>
      <c r="AB844" s="4"/>
      <c r="AC844" s="4"/>
      <c r="AD844" s="4"/>
      <c r="AE844" s="4"/>
      <c r="AF844" s="4"/>
      <c r="AG844" s="4"/>
      <c r="AH844" s="4"/>
      <c r="AI844" s="4"/>
      <c r="AJ844" s="4"/>
      <c r="AK844" s="4"/>
      <c r="AL844" s="4"/>
      <c r="AM844" s="4"/>
      <c r="AN844" s="4"/>
      <c r="AO844" s="4"/>
      <c r="AP844" s="4"/>
      <c r="AQ844" s="4"/>
      <c r="AR844" s="4"/>
      <c r="AS844" s="4"/>
      <c r="AT844" s="4"/>
      <c r="AU844" s="4"/>
      <c r="AV844" s="4"/>
      <c r="AW844" s="4"/>
      <c r="AX844" s="4"/>
      <c r="AY844" s="4"/>
      <c r="AZ844" s="4"/>
      <c r="BA844" s="4"/>
      <c r="BB844" s="4"/>
      <c r="BC844" s="4"/>
      <c r="BD844" s="4"/>
      <c r="BE844" s="4"/>
      <c r="BF844" s="4"/>
      <c r="BG844" s="4"/>
      <c r="BH844" s="4"/>
      <c r="BI844" s="4"/>
      <c r="BJ844" s="4"/>
      <c r="BK844" s="4"/>
      <c r="BL844" s="4"/>
      <c r="BM844" s="4"/>
      <c r="BN844" s="4"/>
      <c r="BO844" s="4"/>
      <c r="BP844" s="4"/>
      <c r="BQ844" s="4"/>
      <c r="BR844" s="4"/>
      <c r="BS844" s="4"/>
      <c r="BT844" s="4"/>
      <c r="BU844" s="4"/>
      <c r="BV844" s="4"/>
      <c r="BW844" s="4"/>
      <c r="BX844" s="4"/>
      <c r="BY844" s="4"/>
      <c r="BZ844" s="4"/>
      <c r="CA844" s="4"/>
      <c r="CB844" s="4"/>
      <c r="CC844" s="4"/>
      <c r="CD844" s="4"/>
      <c r="CE844" s="4"/>
      <c r="CF844" s="4"/>
      <c r="CG844" s="4"/>
      <c r="CH844" s="4"/>
      <c r="CI844" s="4"/>
    </row>
    <row r="845" ht="14.25" customHeight="1" spans="1:87" x14ac:dyDescent="0.25">
      <c r="A845" s="4"/>
      <c r="B845" s="4"/>
      <c r="C845" s="4"/>
      <c r="D845" s="4"/>
      <c r="E845" s="4"/>
      <c r="F845" s="4"/>
      <c r="G845" s="4"/>
      <c r="H845" s="4"/>
      <c r="I845" s="4"/>
      <c r="J845" s="4"/>
      <c r="K845" s="242"/>
      <c r="L845" s="4"/>
      <c r="M845" s="4"/>
      <c r="N845" s="4"/>
      <c r="O845" s="4"/>
      <c r="P845" s="4"/>
      <c r="Q845" s="4"/>
      <c r="R845" s="4"/>
      <c r="S845" s="4"/>
      <c r="T845" s="4"/>
      <c r="U845" s="4"/>
      <c r="V845" s="4"/>
      <c r="W845" s="4"/>
      <c r="X845" s="4"/>
      <c r="Y845" s="4"/>
      <c r="Z845" s="4"/>
      <c r="AA845" s="4"/>
      <c r="AB845" s="4"/>
      <c r="AC845" s="4"/>
      <c r="AD845" s="4"/>
      <c r="AE845" s="4"/>
      <c r="AF845" s="4"/>
      <c r="AG845" s="4"/>
      <c r="AH845" s="4"/>
      <c r="AI845" s="4"/>
      <c r="AJ845" s="4"/>
      <c r="AK845" s="4"/>
      <c r="AL845" s="4"/>
      <c r="AM845" s="4"/>
      <c r="AN845" s="4"/>
      <c r="AO845" s="4"/>
      <c r="AP845" s="4"/>
      <c r="AQ845" s="4"/>
      <c r="AR845" s="4"/>
      <c r="AS845" s="4"/>
      <c r="AT845" s="4"/>
      <c r="AU845" s="4"/>
      <c r="AV845" s="4"/>
      <c r="AW845" s="4"/>
      <c r="AX845" s="4"/>
      <c r="AY845" s="4"/>
      <c r="AZ845" s="4"/>
      <c r="BA845" s="4"/>
      <c r="BB845" s="4"/>
      <c r="BC845" s="4"/>
      <c r="BD845" s="4"/>
      <c r="BE845" s="4"/>
      <c r="BF845" s="4"/>
      <c r="BG845" s="4"/>
      <c r="BH845" s="4"/>
      <c r="BI845" s="4"/>
      <c r="BJ845" s="4"/>
      <c r="BK845" s="4"/>
      <c r="BL845" s="4"/>
      <c r="BM845" s="4"/>
      <c r="BN845" s="4"/>
      <c r="BO845" s="4"/>
      <c r="BP845" s="4"/>
      <c r="BQ845" s="4"/>
      <c r="BR845" s="4"/>
      <c r="BS845" s="4"/>
      <c r="BT845" s="4"/>
      <c r="BU845" s="4"/>
      <c r="BV845" s="4"/>
      <c r="BW845" s="4"/>
      <c r="BX845" s="4"/>
      <c r="BY845" s="4"/>
      <c r="BZ845" s="4"/>
      <c r="CA845" s="4"/>
      <c r="CB845" s="4"/>
      <c r="CC845" s="4"/>
      <c r="CD845" s="4"/>
      <c r="CE845" s="4"/>
      <c r="CF845" s="4"/>
      <c r="CG845" s="4"/>
      <c r="CH845" s="4"/>
      <c r="CI845" s="4"/>
    </row>
    <row r="846" ht="14.25" customHeight="1" spans="1:87" x14ac:dyDescent="0.25">
      <c r="A846" s="4"/>
      <c r="B846" s="4"/>
      <c r="C846" s="4"/>
      <c r="D846" s="4"/>
      <c r="E846" s="4"/>
      <c r="F846" s="4"/>
      <c r="G846" s="4"/>
      <c r="H846" s="4"/>
      <c r="I846" s="4"/>
      <c r="J846" s="4"/>
      <c r="K846" s="242"/>
      <c r="L846" s="4"/>
      <c r="M846" s="4"/>
      <c r="N846" s="4"/>
      <c r="O846" s="4"/>
      <c r="P846" s="4"/>
      <c r="Q846" s="4"/>
      <c r="R846" s="4"/>
      <c r="S846" s="4"/>
      <c r="T846" s="4"/>
      <c r="U846" s="4"/>
      <c r="V846" s="4"/>
      <c r="W846" s="4"/>
      <c r="X846" s="4"/>
      <c r="Y846" s="4"/>
      <c r="Z846" s="4"/>
      <c r="AA846" s="4"/>
      <c r="AB846" s="4"/>
      <c r="AC846" s="4"/>
      <c r="AD846" s="4"/>
      <c r="AE846" s="4"/>
      <c r="AF846" s="4"/>
      <c r="AG846" s="4"/>
      <c r="AH846" s="4"/>
      <c r="AI846" s="4"/>
      <c r="AJ846" s="4"/>
      <c r="AK846" s="4"/>
      <c r="AL846" s="4"/>
      <c r="AM846" s="4"/>
      <c r="AN846" s="4"/>
      <c r="AO846" s="4"/>
      <c r="AP846" s="4"/>
      <c r="AQ846" s="4"/>
      <c r="AR846" s="4"/>
      <c r="AS846" s="4"/>
      <c r="AT846" s="4"/>
      <c r="AU846" s="4"/>
      <c r="AV846" s="4"/>
      <c r="AW846" s="4"/>
      <c r="AX846" s="4"/>
      <c r="AY846" s="4"/>
      <c r="AZ846" s="4"/>
      <c r="BA846" s="4"/>
      <c r="BB846" s="4"/>
      <c r="BC846" s="4"/>
      <c r="BD846" s="4"/>
      <c r="BE846" s="4"/>
      <c r="BF846" s="4"/>
      <c r="BG846" s="4"/>
      <c r="BH846" s="4"/>
      <c r="BI846" s="4"/>
      <c r="BJ846" s="4"/>
      <c r="BK846" s="4"/>
      <c r="BL846" s="4"/>
      <c r="BM846" s="4"/>
      <c r="BN846" s="4"/>
      <c r="BO846" s="4"/>
      <c r="BP846" s="4"/>
      <c r="BQ846" s="4"/>
      <c r="BR846" s="4"/>
      <c r="BS846" s="4"/>
      <c r="BT846" s="4"/>
      <c r="BU846" s="4"/>
      <c r="BV846" s="4"/>
      <c r="BW846" s="4"/>
      <c r="BX846" s="4"/>
      <c r="BY846" s="4"/>
      <c r="BZ846" s="4"/>
      <c r="CA846" s="4"/>
      <c r="CB846" s="4"/>
      <c r="CC846" s="4"/>
      <c r="CD846" s="4"/>
      <c r="CE846" s="4"/>
      <c r="CF846" s="4"/>
      <c r="CG846" s="4"/>
      <c r="CH846" s="4"/>
      <c r="CI846" s="4"/>
    </row>
    <row r="847" ht="14.25" customHeight="1" spans="1:87" x14ac:dyDescent="0.25">
      <c r="A847" s="4"/>
      <c r="B847" s="4"/>
      <c r="C847" s="4"/>
      <c r="D847" s="4"/>
      <c r="E847" s="4"/>
      <c r="F847" s="4"/>
      <c r="G847" s="4"/>
      <c r="H847" s="4"/>
      <c r="I847" s="4"/>
      <c r="J847" s="4"/>
      <c r="K847" s="242"/>
      <c r="L847" s="4"/>
      <c r="M847" s="4"/>
      <c r="N847" s="4"/>
      <c r="O847" s="4"/>
      <c r="P847" s="4"/>
      <c r="Q847" s="4"/>
      <c r="R847" s="4"/>
      <c r="S847" s="4"/>
      <c r="T847" s="4"/>
      <c r="U847" s="4"/>
      <c r="V847" s="4"/>
      <c r="W847" s="4"/>
      <c r="X847" s="4"/>
      <c r="Y847" s="4"/>
      <c r="Z847" s="4"/>
      <c r="AA847" s="4"/>
      <c r="AB847" s="4"/>
      <c r="AC847" s="4"/>
      <c r="AD847" s="4"/>
      <c r="AE847" s="4"/>
      <c r="AF847" s="4"/>
      <c r="AG847" s="4"/>
      <c r="AH847" s="4"/>
      <c r="AI847" s="4"/>
      <c r="AJ847" s="4"/>
      <c r="AK847" s="4"/>
      <c r="AL847" s="4"/>
      <c r="AM847" s="4"/>
      <c r="AN847" s="4"/>
      <c r="AO847" s="4"/>
      <c r="AP847" s="4"/>
      <c r="AQ847" s="4"/>
      <c r="AR847" s="4"/>
      <c r="AS847" s="4"/>
      <c r="AT847" s="4"/>
      <c r="AU847" s="4"/>
      <c r="AV847" s="4"/>
      <c r="AW847" s="4"/>
      <c r="AX847" s="4"/>
      <c r="AY847" s="4"/>
      <c r="AZ847" s="4"/>
      <c r="BA847" s="4"/>
      <c r="BB847" s="4"/>
      <c r="BC847" s="4"/>
      <c r="BD847" s="4"/>
      <c r="BE847" s="4"/>
      <c r="BF847" s="4"/>
      <c r="BG847" s="4"/>
      <c r="BH847" s="4"/>
      <c r="BI847" s="4"/>
      <c r="BJ847" s="4"/>
      <c r="BK847" s="4"/>
      <c r="BL847" s="4"/>
      <c r="BM847" s="4"/>
      <c r="BN847" s="4"/>
      <c r="BO847" s="4"/>
      <c r="BP847" s="4"/>
      <c r="BQ847" s="4"/>
      <c r="BR847" s="4"/>
      <c r="BS847" s="4"/>
      <c r="BT847" s="4"/>
      <c r="BU847" s="4"/>
      <c r="BV847" s="4"/>
      <c r="BW847" s="4"/>
      <c r="BX847" s="4"/>
      <c r="BY847" s="4"/>
      <c r="BZ847" s="4"/>
      <c r="CA847" s="4"/>
      <c r="CB847" s="4"/>
      <c r="CC847" s="4"/>
      <c r="CD847" s="4"/>
      <c r="CE847" s="4"/>
      <c r="CF847" s="4"/>
      <c r="CG847" s="4"/>
      <c r="CH847" s="4"/>
      <c r="CI847" s="4"/>
    </row>
    <row r="848" ht="14.25" customHeight="1" spans="1:87" x14ac:dyDescent="0.25">
      <c r="A848" s="4"/>
      <c r="B848" s="4"/>
      <c r="C848" s="4"/>
      <c r="D848" s="4"/>
      <c r="E848" s="4"/>
      <c r="F848" s="4"/>
      <c r="G848" s="4"/>
      <c r="H848" s="4"/>
      <c r="I848" s="4"/>
      <c r="J848" s="4"/>
      <c r="K848" s="242"/>
      <c r="L848" s="4"/>
      <c r="M848" s="4"/>
      <c r="N848" s="4"/>
      <c r="O848" s="4"/>
      <c r="P848" s="4"/>
      <c r="Q848" s="4"/>
      <c r="R848" s="4"/>
      <c r="S848" s="4"/>
      <c r="T848" s="4"/>
      <c r="U848" s="4"/>
      <c r="V848" s="4"/>
      <c r="W848" s="4"/>
      <c r="X848" s="4"/>
      <c r="Y848" s="4"/>
      <c r="Z848" s="4"/>
      <c r="AA848" s="4"/>
      <c r="AB848" s="4"/>
      <c r="AC848" s="4"/>
      <c r="AD848" s="4"/>
      <c r="AE848" s="4"/>
      <c r="AF848" s="4"/>
      <c r="AG848" s="4"/>
      <c r="AH848" s="4"/>
      <c r="AI848" s="4"/>
      <c r="AJ848" s="4"/>
      <c r="AK848" s="4"/>
      <c r="AL848" s="4"/>
      <c r="AM848" s="4"/>
      <c r="AN848" s="4"/>
      <c r="AO848" s="4"/>
      <c r="AP848" s="4"/>
      <c r="AQ848" s="4"/>
      <c r="AR848" s="4"/>
      <c r="AS848" s="4"/>
      <c r="AT848" s="4"/>
      <c r="AU848" s="4"/>
      <c r="AV848" s="4"/>
      <c r="AW848" s="4"/>
      <c r="AX848" s="4"/>
      <c r="AY848" s="4"/>
      <c r="AZ848" s="4"/>
      <c r="BA848" s="4"/>
      <c r="BB848" s="4"/>
      <c r="BC848" s="4"/>
      <c r="BD848" s="4"/>
      <c r="BE848" s="4"/>
      <c r="BF848" s="4"/>
      <c r="BG848" s="4"/>
      <c r="BH848" s="4"/>
      <c r="BI848" s="4"/>
      <c r="BJ848" s="4"/>
      <c r="BK848" s="4"/>
      <c r="BL848" s="4"/>
      <c r="BM848" s="4"/>
      <c r="BN848" s="4"/>
      <c r="BO848" s="4"/>
      <c r="BP848" s="4"/>
      <c r="BQ848" s="4"/>
      <c r="BR848" s="4"/>
      <c r="BS848" s="4"/>
      <c r="BT848" s="4"/>
      <c r="BU848" s="4"/>
      <c r="BV848" s="4"/>
      <c r="BW848" s="4"/>
      <c r="BX848" s="4"/>
      <c r="BY848" s="4"/>
      <c r="BZ848" s="4"/>
      <c r="CA848" s="4"/>
      <c r="CB848" s="4"/>
      <c r="CC848" s="4"/>
      <c r="CD848" s="4"/>
      <c r="CE848" s="4"/>
      <c r="CF848" s="4"/>
      <c r="CG848" s="4"/>
      <c r="CH848" s="4"/>
      <c r="CI848" s="4"/>
    </row>
    <row r="849" ht="14.25" customHeight="1" spans="1:87" x14ac:dyDescent="0.25">
      <c r="A849" s="4"/>
      <c r="B849" s="4"/>
      <c r="C849" s="4"/>
      <c r="D849" s="4"/>
      <c r="E849" s="4"/>
      <c r="F849" s="4"/>
      <c r="G849" s="4"/>
      <c r="H849" s="4"/>
      <c r="I849" s="4"/>
      <c r="J849" s="4"/>
      <c r="K849" s="242"/>
      <c r="L849" s="4"/>
      <c r="M849" s="4"/>
      <c r="N849" s="4"/>
      <c r="O849" s="4"/>
      <c r="P849" s="4"/>
      <c r="Q849" s="4"/>
      <c r="R849" s="4"/>
      <c r="S849" s="4"/>
      <c r="T849" s="4"/>
      <c r="U849" s="4"/>
      <c r="V849" s="4"/>
      <c r="W849" s="4"/>
      <c r="X849" s="4"/>
      <c r="Y849" s="4"/>
      <c r="Z849" s="4"/>
      <c r="AA849" s="4"/>
      <c r="AB849" s="4"/>
      <c r="AC849" s="4"/>
      <c r="AD849" s="4"/>
      <c r="AE849" s="4"/>
      <c r="AF849" s="4"/>
      <c r="AG849" s="4"/>
      <c r="AH849" s="4"/>
      <c r="AI849" s="4"/>
      <c r="AJ849" s="4"/>
      <c r="AK849" s="4"/>
      <c r="AL849" s="4"/>
      <c r="AM849" s="4"/>
      <c r="AN849" s="4"/>
      <c r="AO849" s="4"/>
      <c r="AP849" s="4"/>
      <c r="AQ849" s="4"/>
      <c r="AR849" s="4"/>
      <c r="AS849" s="4"/>
      <c r="AT849" s="4"/>
      <c r="AU849" s="4"/>
      <c r="AV849" s="4"/>
      <c r="AW849" s="4"/>
      <c r="AX849" s="4"/>
      <c r="AY849" s="4"/>
      <c r="AZ849" s="4"/>
      <c r="BA849" s="4"/>
      <c r="BB849" s="4"/>
      <c r="BC849" s="4"/>
      <c r="BD849" s="4"/>
      <c r="BE849" s="4"/>
      <c r="BF849" s="4"/>
      <c r="BG849" s="4"/>
      <c r="BH849" s="4"/>
      <c r="BI849" s="4"/>
      <c r="BJ849" s="4"/>
      <c r="BK849" s="4"/>
      <c r="BL849" s="4"/>
      <c r="BM849" s="4"/>
      <c r="BN849" s="4"/>
      <c r="BO849" s="4"/>
      <c r="BP849" s="4"/>
      <c r="BQ849" s="4"/>
      <c r="BR849" s="4"/>
      <c r="BS849" s="4"/>
      <c r="BT849" s="4"/>
      <c r="BU849" s="4"/>
      <c r="BV849" s="4"/>
      <c r="BW849" s="4"/>
      <c r="BX849" s="4"/>
      <c r="BY849" s="4"/>
      <c r="BZ849" s="4"/>
      <c r="CA849" s="4"/>
      <c r="CB849" s="4"/>
      <c r="CC849" s="4"/>
      <c r="CD849" s="4"/>
      <c r="CE849" s="4"/>
      <c r="CF849" s="4"/>
      <c r="CG849" s="4"/>
      <c r="CH849" s="4"/>
      <c r="CI849" s="4"/>
    </row>
    <row r="850" ht="14.25" customHeight="1" spans="1:87" x14ac:dyDescent="0.25">
      <c r="A850" s="4"/>
      <c r="B850" s="4"/>
      <c r="C850" s="4"/>
      <c r="D850" s="4"/>
      <c r="E850" s="4"/>
      <c r="F850" s="4"/>
      <c r="G850" s="4"/>
      <c r="H850" s="4"/>
      <c r="I850" s="4"/>
      <c r="J850" s="4"/>
      <c r="K850" s="242"/>
      <c r="L850" s="4"/>
      <c r="M850" s="4"/>
      <c r="N850" s="4"/>
      <c r="O850" s="4"/>
      <c r="P850" s="4"/>
      <c r="Q850" s="4"/>
      <c r="R850" s="4"/>
      <c r="S850" s="4"/>
      <c r="T850" s="4"/>
      <c r="U850" s="4"/>
      <c r="V850" s="4"/>
      <c r="W850" s="4"/>
      <c r="X850" s="4"/>
      <c r="Y850" s="4"/>
      <c r="Z850" s="4"/>
      <c r="AA850" s="4"/>
      <c r="AB850" s="4"/>
      <c r="AC850" s="4"/>
      <c r="AD850" s="4"/>
      <c r="AE850" s="4"/>
      <c r="AF850" s="4"/>
      <c r="AG850" s="4"/>
      <c r="AH850" s="4"/>
      <c r="AI850" s="4"/>
      <c r="AJ850" s="4"/>
      <c r="AK850" s="4"/>
      <c r="AL850" s="4"/>
      <c r="AM850" s="4"/>
      <c r="AN850" s="4"/>
      <c r="AO850" s="4"/>
      <c r="AP850" s="4"/>
      <c r="AQ850" s="4"/>
      <c r="AR850" s="4"/>
      <c r="AS850" s="4"/>
      <c r="AT850" s="4"/>
      <c r="AU850" s="4"/>
      <c r="AV850" s="4"/>
      <c r="AW850" s="4"/>
      <c r="AX850" s="4"/>
      <c r="AY850" s="4"/>
      <c r="AZ850" s="4"/>
      <c r="BA850" s="4"/>
      <c r="BB850" s="4"/>
      <c r="BC850" s="4"/>
      <c r="BD850" s="4"/>
      <c r="BE850" s="4"/>
      <c r="BF850" s="4"/>
      <c r="BG850" s="4"/>
      <c r="BH850" s="4"/>
      <c r="BI850" s="4"/>
      <c r="BJ850" s="4"/>
      <c r="BK850" s="4"/>
      <c r="BL850" s="4"/>
      <c r="BM850" s="4"/>
      <c r="BN850" s="4"/>
      <c r="BO850" s="4"/>
      <c r="BP850" s="4"/>
      <c r="BQ850" s="4"/>
      <c r="BR850" s="4"/>
      <c r="BS850" s="4"/>
      <c r="BT850" s="4"/>
      <c r="BU850" s="4"/>
      <c r="BV850" s="4"/>
      <c r="BW850" s="4"/>
      <c r="BX850" s="4"/>
      <c r="BY850" s="4"/>
      <c r="BZ850" s="4"/>
      <c r="CA850" s="4"/>
      <c r="CB850" s="4"/>
      <c r="CC850" s="4"/>
      <c r="CD850" s="4"/>
      <c r="CE850" s="4"/>
      <c r="CF850" s="4"/>
      <c r="CG850" s="4"/>
      <c r="CH850" s="4"/>
      <c r="CI850" s="4"/>
    </row>
    <row r="851" ht="14.25" customHeight="1" spans="1:87" x14ac:dyDescent="0.25">
      <c r="A851" s="4"/>
      <c r="B851" s="4"/>
      <c r="C851" s="4"/>
      <c r="D851" s="4"/>
      <c r="E851" s="4"/>
      <c r="F851" s="4"/>
      <c r="G851" s="4"/>
      <c r="H851" s="4"/>
      <c r="I851" s="4"/>
      <c r="J851" s="4"/>
      <c r="K851" s="242"/>
      <c r="L851" s="4"/>
      <c r="M851" s="4"/>
      <c r="N851" s="4"/>
      <c r="O851" s="4"/>
      <c r="P851" s="4"/>
      <c r="Q851" s="4"/>
      <c r="R851" s="4"/>
      <c r="S851" s="4"/>
      <c r="T851" s="4"/>
      <c r="U851" s="4"/>
      <c r="V851" s="4"/>
      <c r="W851" s="4"/>
      <c r="X851" s="4"/>
      <c r="Y851" s="4"/>
      <c r="Z851" s="4"/>
      <c r="AA851" s="4"/>
      <c r="AB851" s="4"/>
      <c r="AC851" s="4"/>
      <c r="AD851" s="4"/>
      <c r="AE851" s="4"/>
      <c r="AF851" s="4"/>
      <c r="AG851" s="4"/>
      <c r="AH851" s="4"/>
      <c r="AI851" s="4"/>
      <c r="AJ851" s="4"/>
      <c r="AK851" s="4"/>
      <c r="AL851" s="4"/>
      <c r="AM851" s="4"/>
      <c r="AN851" s="4"/>
      <c r="AO851" s="4"/>
      <c r="AP851" s="4"/>
      <c r="AQ851" s="4"/>
      <c r="AR851" s="4"/>
      <c r="AS851" s="4"/>
      <c r="AT851" s="4"/>
      <c r="AU851" s="4"/>
      <c r="AV851" s="4"/>
      <c r="AW851" s="4"/>
      <c r="AX851" s="4"/>
      <c r="AY851" s="4"/>
      <c r="AZ851" s="4"/>
      <c r="BA851" s="4"/>
      <c r="BB851" s="4"/>
      <c r="BC851" s="4"/>
      <c r="BD851" s="4"/>
      <c r="BE851" s="4"/>
      <c r="BF851" s="4"/>
      <c r="BG851" s="4"/>
      <c r="BH851" s="4"/>
      <c r="BI851" s="4"/>
      <c r="BJ851" s="4"/>
      <c r="BK851" s="4"/>
      <c r="BL851" s="4"/>
      <c r="BM851" s="4"/>
      <c r="BN851" s="4"/>
      <c r="BO851" s="4"/>
      <c r="BP851" s="4"/>
      <c r="BQ851" s="4"/>
      <c r="BR851" s="4"/>
      <c r="BS851" s="4"/>
      <c r="BT851" s="4"/>
      <c r="BU851" s="4"/>
      <c r="BV851" s="4"/>
      <c r="BW851" s="4"/>
      <c r="BX851" s="4"/>
      <c r="BY851" s="4"/>
      <c r="BZ851" s="4"/>
      <c r="CA851" s="4"/>
      <c r="CB851" s="4"/>
      <c r="CC851" s="4"/>
      <c r="CD851" s="4"/>
      <c r="CE851" s="4"/>
      <c r="CF851" s="4"/>
      <c r="CG851" s="4"/>
      <c r="CH851" s="4"/>
      <c r="CI851" s="4"/>
    </row>
    <row r="852" ht="14.25" customHeight="1" spans="1:87" x14ac:dyDescent="0.25">
      <c r="A852" s="4"/>
      <c r="B852" s="4"/>
      <c r="C852" s="4"/>
      <c r="D852" s="4"/>
      <c r="E852" s="4"/>
      <c r="F852" s="4"/>
      <c r="G852" s="4"/>
      <c r="H852" s="4"/>
      <c r="I852" s="4"/>
      <c r="J852" s="4"/>
      <c r="K852" s="242"/>
      <c r="L852" s="4"/>
      <c r="M852" s="4"/>
      <c r="N852" s="4"/>
      <c r="O852" s="4"/>
      <c r="P852" s="4"/>
      <c r="Q852" s="4"/>
      <c r="R852" s="4"/>
      <c r="S852" s="4"/>
      <c r="T852" s="4"/>
      <c r="U852" s="4"/>
      <c r="V852" s="4"/>
      <c r="W852" s="4"/>
      <c r="X852" s="4"/>
      <c r="Y852" s="4"/>
      <c r="Z852" s="4"/>
      <c r="AA852" s="4"/>
      <c r="AB852" s="4"/>
      <c r="AC852" s="4"/>
      <c r="AD852" s="4"/>
      <c r="AE852" s="4"/>
      <c r="AF852" s="4"/>
      <c r="AG852" s="4"/>
      <c r="AH852" s="4"/>
      <c r="AI852" s="4"/>
      <c r="AJ852" s="4"/>
      <c r="AK852" s="4"/>
      <c r="AL852" s="4"/>
      <c r="AM852" s="4"/>
      <c r="AN852" s="4"/>
      <c r="AO852" s="4"/>
      <c r="AP852" s="4"/>
      <c r="AQ852" s="4"/>
      <c r="AR852" s="4"/>
      <c r="AS852" s="4"/>
      <c r="AT852" s="4"/>
      <c r="AU852" s="4"/>
      <c r="AV852" s="4"/>
      <c r="AW852" s="4"/>
      <c r="AX852" s="4"/>
      <c r="AY852" s="4"/>
      <c r="AZ852" s="4"/>
      <c r="BA852" s="4"/>
      <c r="BB852" s="4"/>
      <c r="BC852" s="4"/>
      <c r="BD852" s="4"/>
      <c r="BE852" s="4"/>
      <c r="BF852" s="4"/>
      <c r="BG852" s="4"/>
      <c r="BH852" s="4"/>
      <c r="BI852" s="4"/>
      <c r="BJ852" s="4"/>
      <c r="BK852" s="4"/>
      <c r="BL852" s="4"/>
      <c r="BM852" s="4"/>
      <c r="BN852" s="4"/>
      <c r="BO852" s="4"/>
      <c r="BP852" s="4"/>
      <c r="BQ852" s="4"/>
      <c r="BR852" s="4"/>
      <c r="BS852" s="4"/>
      <c r="BT852" s="4"/>
      <c r="BU852" s="4"/>
      <c r="BV852" s="4"/>
      <c r="BW852" s="4"/>
      <c r="BX852" s="4"/>
      <c r="BY852" s="4"/>
      <c r="BZ852" s="4"/>
      <c r="CA852" s="4"/>
      <c r="CB852" s="4"/>
      <c r="CC852" s="4"/>
      <c r="CD852" s="4"/>
      <c r="CE852" s="4"/>
      <c r="CF852" s="4"/>
      <c r="CG852" s="4"/>
      <c r="CH852" s="4"/>
      <c r="CI852" s="4"/>
    </row>
    <row r="853" ht="14.25" customHeight="1" spans="1:87" x14ac:dyDescent="0.25">
      <c r="A853" s="4"/>
      <c r="B853" s="4"/>
      <c r="C853" s="4"/>
      <c r="D853" s="4"/>
      <c r="E853" s="4"/>
      <c r="F853" s="4"/>
      <c r="G853" s="4"/>
      <c r="H853" s="4"/>
      <c r="I853" s="4"/>
      <c r="J853" s="4"/>
      <c r="K853" s="242"/>
      <c r="L853" s="4"/>
      <c r="M853" s="4"/>
      <c r="N853" s="4"/>
      <c r="O853" s="4"/>
      <c r="P853" s="4"/>
      <c r="Q853" s="4"/>
      <c r="R853" s="4"/>
      <c r="S853" s="4"/>
      <c r="T853" s="4"/>
      <c r="U853" s="4"/>
      <c r="V853" s="4"/>
      <c r="W853" s="4"/>
      <c r="X853" s="4"/>
      <c r="Y853" s="4"/>
      <c r="Z853" s="4"/>
      <c r="AA853" s="4"/>
      <c r="AB853" s="4"/>
      <c r="AC853" s="4"/>
      <c r="AD853" s="4"/>
      <c r="AE853" s="4"/>
      <c r="AF853" s="4"/>
      <c r="AG853" s="4"/>
      <c r="AH853" s="4"/>
      <c r="AI853" s="4"/>
      <c r="AJ853" s="4"/>
      <c r="AK853" s="4"/>
      <c r="AL853" s="4"/>
      <c r="AM853" s="4"/>
      <c r="AN853" s="4"/>
      <c r="AO853" s="4"/>
      <c r="AP853" s="4"/>
      <c r="AQ853" s="4"/>
      <c r="AR853" s="4"/>
      <c r="AS853" s="4"/>
      <c r="AT853" s="4"/>
      <c r="AU853" s="4"/>
      <c r="AV853" s="4"/>
      <c r="AW853" s="4"/>
      <c r="AX853" s="4"/>
      <c r="AY853" s="4"/>
      <c r="AZ853" s="4"/>
      <c r="BA853" s="4"/>
      <c r="BB853" s="4"/>
      <c r="BC853" s="4"/>
      <c r="BD853" s="4"/>
      <c r="BE853" s="4"/>
      <c r="BF853" s="4"/>
      <c r="BG853" s="4"/>
      <c r="BH853" s="4"/>
      <c r="BI853" s="4"/>
      <c r="BJ853" s="4"/>
      <c r="BK853" s="4"/>
      <c r="BL853" s="4"/>
      <c r="BM853" s="4"/>
      <c r="BN853" s="4"/>
      <c r="BO853" s="4"/>
      <c r="BP853" s="4"/>
      <c r="BQ853" s="4"/>
      <c r="BR853" s="4"/>
      <c r="BS853" s="4"/>
      <c r="BT853" s="4"/>
      <c r="BU853" s="4"/>
      <c r="BV853" s="4"/>
      <c r="BW853" s="4"/>
      <c r="BX853" s="4"/>
      <c r="BY853" s="4"/>
      <c r="BZ853" s="4"/>
      <c r="CA853" s="4"/>
      <c r="CB853" s="4"/>
      <c r="CC853" s="4"/>
      <c r="CD853" s="4"/>
      <c r="CE853" s="4"/>
      <c r="CF853" s="4"/>
      <c r="CG853" s="4"/>
      <c r="CH853" s="4"/>
      <c r="CI853" s="4"/>
    </row>
    <row r="854" ht="14.25" customHeight="1" spans="1:87" x14ac:dyDescent="0.25">
      <c r="A854" s="4"/>
      <c r="B854" s="4"/>
      <c r="C854" s="4"/>
      <c r="D854" s="4"/>
      <c r="E854" s="4"/>
      <c r="F854" s="4"/>
      <c r="G854" s="4"/>
      <c r="H854" s="4"/>
      <c r="I854" s="4"/>
      <c r="J854" s="4"/>
      <c r="K854" s="242"/>
      <c r="L854" s="4"/>
      <c r="M854" s="4"/>
      <c r="N854" s="4"/>
      <c r="O854" s="4"/>
      <c r="P854" s="4"/>
      <c r="Q854" s="4"/>
      <c r="R854" s="4"/>
      <c r="S854" s="4"/>
      <c r="T854" s="4"/>
      <c r="U854" s="4"/>
      <c r="V854" s="4"/>
      <c r="W854" s="4"/>
      <c r="X854" s="4"/>
      <c r="Y854" s="4"/>
      <c r="Z854" s="4"/>
      <c r="AA854" s="4"/>
      <c r="AB854" s="4"/>
      <c r="AC854" s="4"/>
      <c r="AD854" s="4"/>
      <c r="AE854" s="4"/>
      <c r="AF854" s="4"/>
      <c r="AG854" s="4"/>
      <c r="AH854" s="4"/>
      <c r="AI854" s="4"/>
      <c r="AJ854" s="4"/>
      <c r="AK854" s="4"/>
      <c r="AL854" s="4"/>
      <c r="AM854" s="4"/>
      <c r="AN854" s="4"/>
      <c r="AO854" s="4"/>
      <c r="AP854" s="4"/>
      <c r="AQ854" s="4"/>
      <c r="AR854" s="4"/>
      <c r="AS854" s="4"/>
      <c r="AT854" s="4"/>
      <c r="AU854" s="4"/>
      <c r="AV854" s="4"/>
      <c r="AW854" s="4"/>
      <c r="AX854" s="4"/>
      <c r="AY854" s="4"/>
      <c r="AZ854" s="4"/>
      <c r="BA854" s="4"/>
      <c r="BB854" s="4"/>
      <c r="BC854" s="4"/>
      <c r="BD854" s="4"/>
      <c r="BE854" s="4"/>
      <c r="BF854" s="4"/>
      <c r="BG854" s="4"/>
      <c r="BH854" s="4"/>
      <c r="BI854" s="4"/>
      <c r="BJ854" s="4"/>
      <c r="BK854" s="4"/>
      <c r="BL854" s="4"/>
      <c r="BM854" s="4"/>
      <c r="BN854" s="4"/>
      <c r="BO854" s="4"/>
      <c r="BP854" s="4"/>
      <c r="BQ854" s="4"/>
      <c r="BR854" s="4"/>
      <c r="BS854" s="4"/>
      <c r="BT854" s="4"/>
      <c r="BU854" s="4"/>
      <c r="BV854" s="4"/>
      <c r="BW854" s="4"/>
      <c r="BX854" s="4"/>
      <c r="BY854" s="4"/>
      <c r="BZ854" s="4"/>
      <c r="CA854" s="4"/>
      <c r="CB854" s="4"/>
      <c r="CC854" s="4"/>
      <c r="CD854" s="4"/>
      <c r="CE854" s="4"/>
      <c r="CF854" s="4"/>
      <c r="CG854" s="4"/>
      <c r="CH854" s="4"/>
      <c r="CI854" s="4"/>
    </row>
    <row r="855" ht="14.25" customHeight="1" spans="1:87" x14ac:dyDescent="0.25">
      <c r="A855" s="4"/>
      <c r="B855" s="4"/>
      <c r="C855" s="4"/>
      <c r="D855" s="4"/>
      <c r="E855" s="4"/>
      <c r="F855" s="4"/>
      <c r="G855" s="4"/>
      <c r="H855" s="4"/>
      <c r="I855" s="4"/>
      <c r="J855" s="4"/>
      <c r="K855" s="242"/>
      <c r="L855" s="4"/>
      <c r="M855" s="4"/>
      <c r="N855" s="4"/>
      <c r="O855" s="4"/>
      <c r="P855" s="4"/>
      <c r="Q855" s="4"/>
      <c r="R855" s="4"/>
      <c r="S855" s="4"/>
      <c r="T855" s="4"/>
      <c r="U855" s="4"/>
      <c r="V855" s="4"/>
      <c r="W855" s="4"/>
      <c r="X855" s="4"/>
      <c r="Y855" s="4"/>
      <c r="Z855" s="4"/>
      <c r="AA855" s="4"/>
      <c r="AB855" s="4"/>
      <c r="AC855" s="4"/>
      <c r="AD855" s="4"/>
      <c r="AE855" s="4"/>
      <c r="AF855" s="4"/>
      <c r="AG855" s="4"/>
      <c r="AH855" s="4"/>
      <c r="AI855" s="4"/>
      <c r="AJ855" s="4"/>
      <c r="AK855" s="4"/>
      <c r="AL855" s="4"/>
      <c r="AM855" s="4"/>
      <c r="AN855" s="4"/>
      <c r="AO855" s="4"/>
      <c r="AP855" s="4"/>
      <c r="AQ855" s="4"/>
      <c r="AR855" s="4"/>
      <c r="AS855" s="4"/>
      <c r="AT855" s="4"/>
      <c r="AU855" s="4"/>
      <c r="AV855" s="4"/>
      <c r="AW855" s="4"/>
      <c r="AX855" s="4"/>
      <c r="AY855" s="4"/>
      <c r="AZ855" s="4"/>
      <c r="BA855" s="4"/>
      <c r="BB855" s="4"/>
      <c r="BC855" s="4"/>
      <c r="BD855" s="4"/>
      <c r="BE855" s="4"/>
      <c r="BF855" s="4"/>
      <c r="BG855" s="4"/>
      <c r="BH855" s="4"/>
      <c r="BI855" s="4"/>
      <c r="BJ855" s="4"/>
      <c r="BK855" s="4"/>
      <c r="BL855" s="4"/>
      <c r="BM855" s="4"/>
      <c r="BN855" s="4"/>
      <c r="BO855" s="4"/>
      <c r="BP855" s="4"/>
      <c r="BQ855" s="4"/>
      <c r="BR855" s="4"/>
      <c r="BS855" s="4"/>
      <c r="BT855" s="4"/>
      <c r="BU855" s="4"/>
      <c r="BV855" s="4"/>
      <c r="BW855" s="4"/>
      <c r="BX855" s="4"/>
      <c r="BY855" s="4"/>
      <c r="BZ855" s="4"/>
      <c r="CA855" s="4"/>
      <c r="CB855" s="4"/>
      <c r="CC855" s="4"/>
      <c r="CD855" s="4"/>
      <c r="CE855" s="4"/>
      <c r="CF855" s="4"/>
      <c r="CG855" s="4"/>
      <c r="CH855" s="4"/>
      <c r="CI855" s="4"/>
    </row>
    <row r="856" ht="14.25" customHeight="1" spans="1:87" x14ac:dyDescent="0.25">
      <c r="A856" s="4"/>
      <c r="B856" s="4"/>
      <c r="C856" s="4"/>
      <c r="D856" s="4"/>
      <c r="E856" s="4"/>
      <c r="F856" s="4"/>
      <c r="G856" s="4"/>
      <c r="H856" s="4"/>
      <c r="I856" s="4"/>
      <c r="J856" s="4"/>
      <c r="K856" s="242"/>
      <c r="L856" s="4"/>
      <c r="M856" s="4"/>
      <c r="N856" s="4"/>
      <c r="O856" s="4"/>
      <c r="P856" s="4"/>
      <c r="Q856" s="4"/>
      <c r="R856" s="4"/>
      <c r="S856" s="4"/>
      <c r="T856" s="4"/>
      <c r="U856" s="4"/>
      <c r="V856" s="4"/>
      <c r="W856" s="4"/>
      <c r="X856" s="4"/>
      <c r="Y856" s="4"/>
      <c r="Z856" s="4"/>
      <c r="AA856" s="4"/>
      <c r="AB856" s="4"/>
      <c r="AC856" s="4"/>
      <c r="AD856" s="4"/>
      <c r="AE856" s="4"/>
      <c r="AF856" s="4"/>
      <c r="AG856" s="4"/>
      <c r="AH856" s="4"/>
      <c r="AI856" s="4"/>
      <c r="AJ856" s="4"/>
      <c r="AK856" s="4"/>
      <c r="AL856" s="4"/>
      <c r="AM856" s="4"/>
      <c r="AN856" s="4"/>
      <c r="AO856" s="4"/>
      <c r="AP856" s="4"/>
      <c r="AQ856" s="4"/>
      <c r="AR856" s="4"/>
      <c r="AS856" s="4"/>
      <c r="AT856" s="4"/>
      <c r="AU856" s="4"/>
      <c r="AV856" s="4"/>
      <c r="AW856" s="4"/>
      <c r="AX856" s="4"/>
      <c r="AY856" s="4"/>
      <c r="AZ856" s="4"/>
      <c r="BA856" s="4"/>
      <c r="BB856" s="4"/>
      <c r="BC856" s="4"/>
      <c r="BD856" s="4"/>
      <c r="BE856" s="4"/>
      <c r="BF856" s="4"/>
      <c r="BG856" s="4"/>
      <c r="BH856" s="4"/>
      <c r="BI856" s="4"/>
      <c r="BJ856" s="4"/>
      <c r="BK856" s="4"/>
      <c r="BL856" s="4"/>
      <c r="BM856" s="4"/>
      <c r="BN856" s="4"/>
      <c r="BO856" s="4"/>
      <c r="BP856" s="4"/>
      <c r="BQ856" s="4"/>
      <c r="BR856" s="4"/>
      <c r="BS856" s="4"/>
      <c r="BT856" s="4"/>
      <c r="BU856" s="4"/>
      <c r="BV856" s="4"/>
      <c r="BW856" s="4"/>
      <c r="BX856" s="4"/>
      <c r="BY856" s="4"/>
      <c r="BZ856" s="4"/>
      <c r="CA856" s="4"/>
      <c r="CB856" s="4"/>
      <c r="CC856" s="4"/>
      <c r="CD856" s="4"/>
      <c r="CE856" s="4"/>
      <c r="CF856" s="4"/>
      <c r="CG856" s="4"/>
      <c r="CH856" s="4"/>
      <c r="CI856" s="4"/>
    </row>
    <row r="857" ht="14.25" customHeight="1" spans="1:87" x14ac:dyDescent="0.25">
      <c r="A857" s="4"/>
      <c r="B857" s="4"/>
      <c r="C857" s="4"/>
      <c r="D857" s="4"/>
      <c r="E857" s="4"/>
      <c r="F857" s="4"/>
      <c r="G857" s="4"/>
      <c r="H857" s="4"/>
      <c r="I857" s="4"/>
      <c r="J857" s="4"/>
      <c r="K857" s="242"/>
      <c r="L857" s="4"/>
      <c r="M857" s="4"/>
      <c r="N857" s="4"/>
      <c r="O857" s="4"/>
      <c r="P857" s="4"/>
      <c r="Q857" s="4"/>
      <c r="R857" s="4"/>
      <c r="S857" s="4"/>
      <c r="T857" s="4"/>
      <c r="U857" s="4"/>
      <c r="V857" s="4"/>
      <c r="W857" s="4"/>
      <c r="X857" s="4"/>
      <c r="Y857" s="4"/>
      <c r="Z857" s="4"/>
      <c r="AA857" s="4"/>
      <c r="AB857" s="4"/>
      <c r="AC857" s="4"/>
      <c r="AD857" s="4"/>
      <c r="AE857" s="4"/>
      <c r="AF857" s="4"/>
      <c r="AG857" s="4"/>
      <c r="AH857" s="4"/>
      <c r="AI857" s="4"/>
      <c r="AJ857" s="4"/>
      <c r="AK857" s="4"/>
      <c r="AL857" s="4"/>
      <c r="AM857" s="4"/>
      <c r="AN857" s="4"/>
      <c r="AO857" s="4"/>
      <c r="AP857" s="4"/>
      <c r="AQ857" s="4"/>
      <c r="AR857" s="4"/>
      <c r="AS857" s="4"/>
      <c r="AT857" s="4"/>
      <c r="AU857" s="4"/>
      <c r="AV857" s="4"/>
      <c r="AW857" s="4"/>
      <c r="AX857" s="4"/>
      <c r="AY857" s="4"/>
      <c r="AZ857" s="4"/>
      <c r="BA857" s="4"/>
      <c r="BB857" s="4"/>
      <c r="BC857" s="4"/>
      <c r="BD857" s="4"/>
      <c r="BE857" s="4"/>
      <c r="BF857" s="4"/>
      <c r="BG857" s="4"/>
      <c r="BH857" s="4"/>
      <c r="BI857" s="4"/>
      <c r="BJ857" s="4"/>
      <c r="BK857" s="4"/>
      <c r="BL857" s="4"/>
      <c r="BM857" s="4"/>
      <c r="BN857" s="4"/>
      <c r="BO857" s="4"/>
      <c r="BP857" s="4"/>
      <c r="BQ857" s="4"/>
      <c r="BR857" s="4"/>
      <c r="BS857" s="4"/>
      <c r="BT857" s="4"/>
      <c r="BU857" s="4"/>
      <c r="BV857" s="4"/>
      <c r="BW857" s="4"/>
      <c r="BX857" s="4"/>
      <c r="BY857" s="4"/>
      <c r="BZ857" s="4"/>
      <c r="CA857" s="4"/>
      <c r="CB857" s="4"/>
      <c r="CC857" s="4"/>
      <c r="CD857" s="4"/>
      <c r="CE857" s="4"/>
      <c r="CF857" s="4"/>
      <c r="CG857" s="4"/>
      <c r="CH857" s="4"/>
      <c r="CI857" s="4"/>
    </row>
    <row r="858" ht="14.25" customHeight="1" spans="1:87" x14ac:dyDescent="0.25">
      <c r="A858" s="4"/>
      <c r="B858" s="4"/>
      <c r="C858" s="4"/>
      <c r="D858" s="4"/>
      <c r="E858" s="4"/>
      <c r="F858" s="4"/>
      <c r="G858" s="4"/>
      <c r="H858" s="4"/>
      <c r="I858" s="4"/>
      <c r="J858" s="4"/>
      <c r="K858" s="242"/>
      <c r="L858" s="4"/>
      <c r="M858" s="4"/>
      <c r="N858" s="4"/>
      <c r="O858" s="4"/>
      <c r="P858" s="4"/>
      <c r="Q858" s="4"/>
      <c r="R858" s="4"/>
      <c r="S858" s="4"/>
      <c r="T858" s="4"/>
      <c r="U858" s="4"/>
      <c r="V858" s="4"/>
      <c r="W858" s="4"/>
      <c r="X858" s="4"/>
      <c r="Y858" s="4"/>
      <c r="Z858" s="4"/>
      <c r="AA858" s="4"/>
      <c r="AB858" s="4"/>
      <c r="AC858" s="4"/>
      <c r="AD858" s="4"/>
      <c r="AE858" s="4"/>
      <c r="AF858" s="4"/>
      <c r="AG858" s="4"/>
      <c r="AH858" s="4"/>
      <c r="AI858" s="4"/>
      <c r="AJ858" s="4"/>
      <c r="AK858" s="4"/>
      <c r="AL858" s="4"/>
      <c r="AM858" s="4"/>
      <c r="AN858" s="4"/>
      <c r="AO858" s="4"/>
      <c r="AP858" s="4"/>
      <c r="AQ858" s="4"/>
      <c r="AR858" s="4"/>
      <c r="AS858" s="4"/>
      <c r="AT858" s="4"/>
      <c r="AU858" s="4"/>
      <c r="AV858" s="4"/>
      <c r="AW858" s="4"/>
      <c r="AX858" s="4"/>
      <c r="AY858" s="4"/>
      <c r="AZ858" s="4"/>
      <c r="BA858" s="4"/>
      <c r="BB858" s="4"/>
      <c r="BC858" s="4"/>
      <c r="BD858" s="4"/>
      <c r="BE858" s="4"/>
      <c r="BF858" s="4"/>
      <c r="BG858" s="4"/>
      <c r="BH858" s="4"/>
      <c r="BI858" s="4"/>
      <c r="BJ858" s="4"/>
      <c r="BK858" s="4"/>
      <c r="BL858" s="4"/>
      <c r="BM858" s="4"/>
      <c r="BN858" s="4"/>
      <c r="BO858" s="4"/>
      <c r="BP858" s="4"/>
      <c r="BQ858" s="4"/>
      <c r="BR858" s="4"/>
      <c r="BS858" s="4"/>
      <c r="BT858" s="4"/>
      <c r="BU858" s="4"/>
      <c r="BV858" s="4"/>
      <c r="BW858" s="4"/>
      <c r="BX858" s="4"/>
      <c r="BY858" s="4"/>
      <c r="BZ858" s="4"/>
      <c r="CA858" s="4"/>
      <c r="CB858" s="4"/>
      <c r="CC858" s="4"/>
      <c r="CD858" s="4"/>
      <c r="CE858" s="4"/>
      <c r="CF858" s="4"/>
      <c r="CG858" s="4"/>
      <c r="CH858" s="4"/>
      <c r="CI858" s="4"/>
    </row>
    <row r="859" ht="14.25" customHeight="1" spans="1:87" x14ac:dyDescent="0.25">
      <c r="A859" s="4"/>
      <c r="B859" s="4"/>
      <c r="C859" s="4"/>
      <c r="D859" s="4"/>
      <c r="E859" s="4"/>
      <c r="F859" s="4"/>
      <c r="G859" s="4"/>
      <c r="H859" s="4"/>
      <c r="I859" s="4"/>
      <c r="J859" s="4"/>
      <c r="K859" s="242"/>
      <c r="L859" s="4"/>
      <c r="M859" s="4"/>
      <c r="N859" s="4"/>
      <c r="O859" s="4"/>
      <c r="P859" s="4"/>
      <c r="Q859" s="4"/>
      <c r="R859" s="4"/>
      <c r="S859" s="4"/>
      <c r="T859" s="4"/>
      <c r="U859" s="4"/>
      <c r="V859" s="4"/>
      <c r="W859" s="4"/>
      <c r="X859" s="4"/>
      <c r="Y859" s="4"/>
      <c r="Z859" s="4"/>
      <c r="AA859" s="4"/>
      <c r="AB859" s="4"/>
      <c r="AC859" s="4"/>
      <c r="AD859" s="4"/>
      <c r="AE859" s="4"/>
      <c r="AF859" s="4"/>
      <c r="AG859" s="4"/>
      <c r="AH859" s="4"/>
      <c r="AI859" s="4"/>
      <c r="AJ859" s="4"/>
      <c r="AK859" s="4"/>
      <c r="AL859" s="4"/>
      <c r="AM859" s="4"/>
      <c r="AN859" s="4"/>
      <c r="AO859" s="4"/>
      <c r="AP859" s="4"/>
      <c r="AQ859" s="4"/>
      <c r="AR859" s="4"/>
      <c r="AS859" s="4"/>
      <c r="AT859" s="4"/>
      <c r="AU859" s="4"/>
      <c r="AV859" s="4"/>
      <c r="AW859" s="4"/>
      <c r="AX859" s="4"/>
      <c r="AY859" s="4"/>
      <c r="AZ859" s="4"/>
      <c r="BA859" s="4"/>
      <c r="BB859" s="4"/>
      <c r="BC859" s="4"/>
      <c r="BD859" s="4"/>
      <c r="BE859" s="4"/>
      <c r="BF859" s="4"/>
      <c r="BG859" s="4"/>
      <c r="BH859" s="4"/>
      <c r="BI859" s="4"/>
      <c r="BJ859" s="4"/>
      <c r="BK859" s="4"/>
      <c r="BL859" s="4"/>
      <c r="BM859" s="4"/>
      <c r="BN859" s="4"/>
      <c r="BO859" s="4"/>
      <c r="BP859" s="4"/>
      <c r="BQ859" s="4"/>
      <c r="BR859" s="4"/>
      <c r="BS859" s="4"/>
      <c r="BT859" s="4"/>
      <c r="BU859" s="4"/>
      <c r="BV859" s="4"/>
      <c r="BW859" s="4"/>
      <c r="BX859" s="4"/>
      <c r="BY859" s="4"/>
      <c r="BZ859" s="4"/>
      <c r="CA859" s="4"/>
      <c r="CB859" s="4"/>
      <c r="CC859" s="4"/>
      <c r="CD859" s="4"/>
      <c r="CE859" s="4"/>
      <c r="CF859" s="4"/>
      <c r="CG859" s="4"/>
      <c r="CH859" s="4"/>
      <c r="CI859" s="4"/>
    </row>
    <row r="860" ht="14.25" customHeight="1" spans="1:87" x14ac:dyDescent="0.25">
      <c r="A860" s="4"/>
      <c r="B860" s="4"/>
      <c r="C860" s="4"/>
      <c r="D860" s="4"/>
      <c r="E860" s="4"/>
      <c r="F860" s="4"/>
      <c r="G860" s="4"/>
      <c r="H860" s="4"/>
      <c r="I860" s="4"/>
      <c r="J860" s="4"/>
      <c r="K860" s="242"/>
      <c r="L860" s="4"/>
      <c r="M860" s="4"/>
      <c r="N860" s="4"/>
      <c r="O860" s="4"/>
      <c r="P860" s="4"/>
      <c r="Q860" s="4"/>
      <c r="R860" s="4"/>
      <c r="S860" s="4"/>
      <c r="T860" s="4"/>
      <c r="U860" s="4"/>
      <c r="V860" s="4"/>
      <c r="W860" s="4"/>
      <c r="X860" s="4"/>
      <c r="Y860" s="4"/>
      <c r="Z860" s="4"/>
      <c r="AA860" s="4"/>
      <c r="AB860" s="4"/>
      <c r="AC860" s="4"/>
      <c r="AD860" s="4"/>
      <c r="AE860" s="4"/>
      <c r="AF860" s="4"/>
      <c r="AG860" s="4"/>
      <c r="AH860" s="4"/>
      <c r="AI860" s="4"/>
      <c r="AJ860" s="4"/>
      <c r="AK860" s="4"/>
      <c r="AL860" s="4"/>
      <c r="AM860" s="4"/>
      <c r="AN860" s="4"/>
      <c r="AO860" s="4"/>
      <c r="AP860" s="4"/>
      <c r="AQ860" s="4"/>
      <c r="AR860" s="4"/>
      <c r="AS860" s="4"/>
      <c r="AT860" s="4"/>
      <c r="AU860" s="4"/>
      <c r="AV860" s="4"/>
      <c r="AW860" s="4"/>
      <c r="AX860" s="4"/>
      <c r="AY860" s="4"/>
      <c r="AZ860" s="4"/>
      <c r="BA860" s="4"/>
      <c r="BB860" s="4"/>
      <c r="BC860" s="4"/>
      <c r="BD860" s="4"/>
      <c r="BE860" s="4"/>
      <c r="BF860" s="4"/>
      <c r="BG860" s="4"/>
      <c r="BH860" s="4"/>
      <c r="BI860" s="4"/>
      <c r="BJ860" s="4"/>
      <c r="BK860" s="4"/>
      <c r="BL860" s="4"/>
      <c r="BM860" s="4"/>
      <c r="BN860" s="4"/>
      <c r="BO860" s="4"/>
      <c r="BP860" s="4"/>
      <c r="BQ860" s="4"/>
      <c r="BR860" s="4"/>
      <c r="BS860" s="4"/>
      <c r="BT860" s="4"/>
      <c r="BU860" s="4"/>
      <c r="BV860" s="4"/>
      <c r="BW860" s="4"/>
      <c r="BX860" s="4"/>
      <c r="BY860" s="4"/>
      <c r="BZ860" s="4"/>
      <c r="CA860" s="4"/>
      <c r="CB860" s="4"/>
      <c r="CC860" s="4"/>
      <c r="CD860" s="4"/>
      <c r="CE860" s="4"/>
      <c r="CF860" s="4"/>
      <c r="CG860" s="4"/>
      <c r="CH860" s="4"/>
      <c r="CI860" s="4"/>
    </row>
    <row r="861" ht="14.25" customHeight="1" spans="1:87" x14ac:dyDescent="0.25">
      <c r="A861" s="4"/>
      <c r="B861" s="4"/>
      <c r="C861" s="4"/>
      <c r="D861" s="4"/>
      <c r="E861" s="4"/>
      <c r="F861" s="4"/>
      <c r="G861" s="4"/>
      <c r="H861" s="4"/>
      <c r="I861" s="4"/>
      <c r="J861" s="4"/>
      <c r="K861" s="242"/>
      <c r="L861" s="4"/>
      <c r="M861" s="4"/>
      <c r="N861" s="4"/>
      <c r="O861" s="4"/>
      <c r="P861" s="4"/>
      <c r="Q861" s="4"/>
      <c r="R861" s="4"/>
      <c r="S861" s="4"/>
      <c r="T861" s="4"/>
      <c r="U861" s="4"/>
      <c r="V861" s="4"/>
      <c r="W861" s="4"/>
      <c r="X861" s="4"/>
      <c r="Y861" s="4"/>
      <c r="Z861" s="4"/>
      <c r="AA861" s="4"/>
      <c r="AB861" s="4"/>
      <c r="AC861" s="4"/>
      <c r="AD861" s="4"/>
      <c r="AE861" s="4"/>
      <c r="AF861" s="4"/>
      <c r="AG861" s="4"/>
      <c r="AH861" s="4"/>
      <c r="AI861" s="4"/>
      <c r="AJ861" s="4"/>
      <c r="AK861" s="4"/>
      <c r="AL861" s="4"/>
      <c r="AM861" s="4"/>
      <c r="AN861" s="4"/>
      <c r="AO861" s="4"/>
      <c r="AP861" s="4"/>
      <c r="AQ861" s="4"/>
      <c r="AR861" s="4"/>
      <c r="AS861" s="4"/>
      <c r="AT861" s="4"/>
      <c r="AU861" s="4"/>
      <c r="AV861" s="4"/>
      <c r="AW861" s="4"/>
      <c r="AX861" s="4"/>
      <c r="AY861" s="4"/>
      <c r="AZ861" s="4"/>
      <c r="BA861" s="4"/>
      <c r="BB861" s="4"/>
      <c r="BC861" s="4"/>
      <c r="BD861" s="4"/>
      <c r="BE861" s="4"/>
      <c r="BF861" s="4"/>
      <c r="BG861" s="4"/>
      <c r="BH861" s="4"/>
      <c r="BI861" s="4"/>
      <c r="BJ861" s="4"/>
      <c r="BK861" s="4"/>
      <c r="BL861" s="4"/>
      <c r="BM861" s="4"/>
      <c r="BN861" s="4"/>
      <c r="BO861" s="4"/>
      <c r="BP861" s="4"/>
      <c r="BQ861" s="4"/>
      <c r="BR861" s="4"/>
      <c r="BS861" s="4"/>
      <c r="BT861" s="4"/>
      <c r="BU861" s="4"/>
      <c r="BV861" s="4"/>
      <c r="BW861" s="4"/>
      <c r="BX861" s="4"/>
      <c r="BY861" s="4"/>
      <c r="BZ861" s="4"/>
      <c r="CA861" s="4"/>
      <c r="CB861" s="4"/>
      <c r="CC861" s="4"/>
      <c r="CD861" s="4"/>
      <c r="CE861" s="4"/>
      <c r="CF861" s="4"/>
      <c r="CG861" s="4"/>
      <c r="CH861" s="4"/>
      <c r="CI861" s="4"/>
    </row>
    <row r="862" ht="14.25" customHeight="1" spans="1:87" x14ac:dyDescent="0.25">
      <c r="A862" s="4"/>
      <c r="B862" s="4"/>
      <c r="C862" s="4"/>
      <c r="D862" s="4"/>
      <c r="E862" s="4"/>
      <c r="F862" s="4"/>
      <c r="G862" s="4"/>
      <c r="H862" s="4"/>
      <c r="I862" s="4"/>
      <c r="J862" s="4"/>
      <c r="K862" s="242"/>
      <c r="L862" s="4"/>
      <c r="M862" s="4"/>
      <c r="N862" s="4"/>
      <c r="O862" s="4"/>
      <c r="P862" s="4"/>
      <c r="Q862" s="4"/>
      <c r="R862" s="4"/>
      <c r="S862" s="4"/>
      <c r="T862" s="4"/>
      <c r="U862" s="4"/>
      <c r="V862" s="4"/>
      <c r="W862" s="4"/>
      <c r="X862" s="4"/>
      <c r="Y862" s="4"/>
      <c r="Z862" s="4"/>
      <c r="AA862" s="4"/>
      <c r="AB862" s="4"/>
      <c r="AC862" s="4"/>
      <c r="AD862" s="4"/>
      <c r="AE862" s="4"/>
      <c r="AF862" s="4"/>
      <c r="AG862" s="4"/>
      <c r="AH862" s="4"/>
      <c r="AI862" s="4"/>
      <c r="AJ862" s="4"/>
      <c r="AK862" s="4"/>
      <c r="AL862" s="4"/>
      <c r="AM862" s="4"/>
      <c r="AN862" s="4"/>
      <c r="AO862" s="4"/>
      <c r="AP862" s="4"/>
      <c r="AQ862" s="4"/>
      <c r="AR862" s="4"/>
      <c r="AS862" s="4"/>
      <c r="AT862" s="4"/>
      <c r="AU862" s="4"/>
      <c r="AV862" s="4"/>
      <c r="AW862" s="4"/>
      <c r="AX862" s="4"/>
      <c r="AY862" s="4"/>
      <c r="AZ862" s="4"/>
      <c r="BA862" s="4"/>
      <c r="BB862" s="4"/>
      <c r="BC862" s="4"/>
      <c r="BD862" s="4"/>
      <c r="BE862" s="4"/>
      <c r="BF862" s="4"/>
      <c r="BG862" s="4"/>
      <c r="BH862" s="4"/>
      <c r="BI862" s="4"/>
      <c r="BJ862" s="4"/>
      <c r="BK862" s="4"/>
      <c r="BL862" s="4"/>
      <c r="BM862" s="4"/>
      <c r="BN862" s="4"/>
      <c r="BO862" s="4"/>
      <c r="BP862" s="4"/>
      <c r="BQ862" s="4"/>
      <c r="BR862" s="4"/>
      <c r="BS862" s="4"/>
      <c r="BT862" s="4"/>
      <c r="BU862" s="4"/>
      <c r="BV862" s="4"/>
      <c r="BW862" s="4"/>
      <c r="BX862" s="4"/>
      <c r="BY862" s="4"/>
      <c r="BZ862" s="4"/>
      <c r="CA862" s="4"/>
      <c r="CB862" s="4"/>
      <c r="CC862" s="4"/>
      <c r="CD862" s="4"/>
      <c r="CE862" s="4"/>
      <c r="CF862" s="4"/>
      <c r="CG862" s="4"/>
      <c r="CH862" s="4"/>
      <c r="CI862" s="4"/>
    </row>
    <row r="863" ht="14.25" customHeight="1" spans="1:87" x14ac:dyDescent="0.25">
      <c r="A863" s="4"/>
      <c r="B863" s="4"/>
      <c r="C863" s="4"/>
      <c r="D863" s="4"/>
      <c r="E863" s="4"/>
      <c r="F863" s="4"/>
      <c r="G863" s="4"/>
      <c r="H863" s="4"/>
      <c r="I863" s="4"/>
      <c r="J863" s="4"/>
      <c r="K863" s="242"/>
      <c r="L863" s="4"/>
      <c r="M863" s="4"/>
      <c r="N863" s="4"/>
      <c r="O863" s="4"/>
      <c r="P863" s="4"/>
      <c r="Q863" s="4"/>
      <c r="R863" s="4"/>
      <c r="S863" s="4"/>
      <c r="T863" s="4"/>
      <c r="U863" s="4"/>
      <c r="V863" s="4"/>
      <c r="W863" s="4"/>
      <c r="X863" s="4"/>
      <c r="Y863" s="4"/>
      <c r="Z863" s="4"/>
      <c r="AA863" s="4"/>
      <c r="AB863" s="4"/>
      <c r="AC863" s="4"/>
      <c r="AD863" s="4"/>
      <c r="AE863" s="4"/>
      <c r="AF863" s="4"/>
      <c r="AG863" s="4"/>
      <c r="AH863" s="4"/>
      <c r="AI863" s="4"/>
      <c r="AJ863" s="4"/>
      <c r="AK863" s="4"/>
      <c r="AL863" s="4"/>
      <c r="AM863" s="4"/>
      <c r="AN863" s="4"/>
      <c r="AO863" s="4"/>
      <c r="AP863" s="4"/>
      <c r="AQ863" s="4"/>
      <c r="AR863" s="4"/>
      <c r="AS863" s="4"/>
      <c r="AT863" s="4"/>
      <c r="AU863" s="4"/>
      <c r="AV863" s="4"/>
      <c r="AW863" s="4"/>
      <c r="AX863" s="4"/>
      <c r="AY863" s="4"/>
      <c r="AZ863" s="4"/>
      <c r="BA863" s="4"/>
      <c r="BB863" s="4"/>
      <c r="BC863" s="4"/>
      <c r="BD863" s="4"/>
      <c r="BE863" s="4"/>
      <c r="BF863" s="4"/>
      <c r="BG863" s="4"/>
      <c r="BH863" s="4"/>
      <c r="BI863" s="4"/>
      <c r="BJ863" s="4"/>
      <c r="BK863" s="4"/>
      <c r="BL863" s="4"/>
      <c r="BM863" s="4"/>
      <c r="BN863" s="4"/>
      <c r="BO863" s="4"/>
      <c r="BP863" s="4"/>
      <c r="BQ863" s="4"/>
      <c r="BR863" s="4"/>
      <c r="BS863" s="4"/>
      <c r="BT863" s="4"/>
      <c r="BU863" s="4"/>
      <c r="BV863" s="4"/>
      <c r="BW863" s="4"/>
      <c r="BX863" s="4"/>
      <c r="BY863" s="4"/>
      <c r="BZ863" s="4"/>
      <c r="CA863" s="4"/>
      <c r="CB863" s="4"/>
      <c r="CC863" s="4"/>
      <c r="CD863" s="4"/>
      <c r="CE863" s="4"/>
      <c r="CF863" s="4"/>
      <c r="CG863" s="4"/>
      <c r="CH863" s="4"/>
      <c r="CI863" s="4"/>
    </row>
    <row r="864" ht="14.25" customHeight="1" spans="1:87" x14ac:dyDescent="0.25">
      <c r="A864" s="4"/>
      <c r="B864" s="4"/>
      <c r="C864" s="4"/>
      <c r="D864" s="4"/>
      <c r="E864" s="4"/>
      <c r="F864" s="4"/>
      <c r="G864" s="4"/>
      <c r="H864" s="4"/>
      <c r="I864" s="4"/>
      <c r="J864" s="4"/>
      <c r="K864" s="242"/>
      <c r="L864" s="4"/>
      <c r="M864" s="4"/>
      <c r="N864" s="4"/>
      <c r="O864" s="4"/>
      <c r="P864" s="4"/>
      <c r="Q864" s="4"/>
      <c r="R864" s="4"/>
      <c r="S864" s="4"/>
      <c r="T864" s="4"/>
      <c r="U864" s="4"/>
      <c r="V864" s="4"/>
      <c r="W864" s="4"/>
      <c r="X864" s="4"/>
      <c r="Y864" s="4"/>
      <c r="Z864" s="4"/>
      <c r="AA864" s="4"/>
      <c r="AB864" s="4"/>
      <c r="AC864" s="4"/>
      <c r="AD864" s="4"/>
      <c r="AE864" s="4"/>
      <c r="AF864" s="4"/>
      <c r="AG864" s="4"/>
      <c r="AH864" s="4"/>
      <c r="AI864" s="4"/>
      <c r="AJ864" s="4"/>
      <c r="AK864" s="4"/>
      <c r="AL864" s="4"/>
      <c r="AM864" s="4"/>
      <c r="AN864" s="4"/>
      <c r="AO864" s="4"/>
      <c r="AP864" s="4"/>
      <c r="AQ864" s="4"/>
      <c r="AR864" s="4"/>
      <c r="AS864" s="4"/>
      <c r="AT864" s="4"/>
      <c r="AU864" s="4"/>
      <c r="AV864" s="4"/>
      <c r="AW864" s="4"/>
      <c r="AX864" s="4"/>
      <c r="AY864" s="4"/>
      <c r="AZ864" s="4"/>
      <c r="BA864" s="4"/>
      <c r="BB864" s="4"/>
      <c r="BC864" s="4"/>
      <c r="BD864" s="4"/>
      <c r="BE864" s="4"/>
      <c r="BF864" s="4"/>
      <c r="BG864" s="4"/>
      <c r="BH864" s="4"/>
      <c r="BI864" s="4"/>
      <c r="BJ864" s="4"/>
      <c r="BK864" s="4"/>
      <c r="BL864" s="4"/>
      <c r="BM864" s="4"/>
      <c r="BN864" s="4"/>
      <c r="BO864" s="4"/>
      <c r="BP864" s="4"/>
      <c r="BQ864" s="4"/>
      <c r="BR864" s="4"/>
      <c r="BS864" s="4"/>
      <c r="BT864" s="4"/>
      <c r="BU864" s="4"/>
      <c r="BV864" s="4"/>
      <c r="BW864" s="4"/>
      <c r="BX864" s="4"/>
      <c r="BY864" s="4"/>
      <c r="BZ864" s="4"/>
      <c r="CA864" s="4"/>
      <c r="CB864" s="4"/>
      <c r="CC864" s="4"/>
      <c r="CD864" s="4"/>
      <c r="CE864" s="4"/>
      <c r="CF864" s="4"/>
      <c r="CG864" s="4"/>
      <c r="CH864" s="4"/>
      <c r="CI864" s="4"/>
    </row>
    <row r="865" ht="14.25" customHeight="1" spans="1:87" x14ac:dyDescent="0.25">
      <c r="A865" s="4"/>
      <c r="B865" s="4"/>
      <c r="C865" s="4"/>
      <c r="D865" s="4"/>
      <c r="E865" s="4"/>
      <c r="F865" s="4"/>
      <c r="G865" s="4"/>
      <c r="H865" s="4"/>
      <c r="I865" s="4"/>
      <c r="J865" s="4"/>
      <c r="K865" s="242"/>
      <c r="L865" s="4"/>
      <c r="M865" s="4"/>
      <c r="N865" s="4"/>
      <c r="O865" s="4"/>
      <c r="P865" s="4"/>
      <c r="Q865" s="4"/>
      <c r="R865" s="4"/>
      <c r="S865" s="4"/>
      <c r="T865" s="4"/>
      <c r="U865" s="4"/>
      <c r="V865" s="4"/>
      <c r="W865" s="4"/>
      <c r="X865" s="4"/>
      <c r="Y865" s="4"/>
      <c r="Z865" s="4"/>
      <c r="AA865" s="4"/>
      <c r="AB865" s="4"/>
      <c r="AC865" s="4"/>
      <c r="AD865" s="4"/>
      <c r="AE865" s="4"/>
      <c r="AF865" s="4"/>
      <c r="AG865" s="4"/>
      <c r="AH865" s="4"/>
      <c r="AI865" s="4"/>
      <c r="AJ865" s="4"/>
      <c r="AK865" s="4"/>
      <c r="AL865" s="4"/>
      <c r="AM865" s="4"/>
      <c r="AN865" s="4"/>
      <c r="AO865" s="4"/>
      <c r="AP865" s="4"/>
      <c r="AQ865" s="4"/>
      <c r="AR865" s="4"/>
      <c r="AS865" s="4"/>
      <c r="AT865" s="4"/>
      <c r="AU865" s="4"/>
      <c r="AV865" s="4"/>
      <c r="AW865" s="4"/>
      <c r="AX865" s="4"/>
      <c r="AY865" s="4"/>
      <c r="AZ865" s="4"/>
      <c r="BA865" s="4"/>
      <c r="BB865" s="4"/>
      <c r="BC865" s="4"/>
      <c r="BD865" s="4"/>
      <c r="BE865" s="4"/>
      <c r="BF865" s="4"/>
      <c r="BG865" s="4"/>
      <c r="BH865" s="4"/>
      <c r="BI865" s="4"/>
      <c r="BJ865" s="4"/>
      <c r="BK865" s="4"/>
      <c r="BL865" s="4"/>
      <c r="BM865" s="4"/>
      <c r="BN865" s="4"/>
      <c r="BO865" s="4"/>
      <c r="BP865" s="4"/>
      <c r="BQ865" s="4"/>
      <c r="BR865" s="4"/>
      <c r="BS865" s="4"/>
      <c r="BT865" s="4"/>
      <c r="BU865" s="4"/>
      <c r="BV865" s="4"/>
      <c r="BW865" s="4"/>
      <c r="BX865" s="4"/>
      <c r="BY865" s="4"/>
      <c r="BZ865" s="4"/>
      <c r="CA865" s="4"/>
      <c r="CB865" s="4"/>
      <c r="CC865" s="4"/>
      <c r="CD865" s="4"/>
      <c r="CE865" s="4"/>
      <c r="CF865" s="4"/>
      <c r="CG865" s="4"/>
      <c r="CH865" s="4"/>
      <c r="CI865" s="4"/>
    </row>
    <row r="866" ht="14.25" customHeight="1" spans="1:87" x14ac:dyDescent="0.25">
      <c r="A866" s="4"/>
      <c r="B866" s="4"/>
      <c r="C866" s="4"/>
      <c r="D866" s="4"/>
      <c r="E866" s="4"/>
      <c r="F866" s="4"/>
      <c r="G866" s="4"/>
      <c r="H866" s="4"/>
      <c r="I866" s="4"/>
      <c r="J866" s="4"/>
      <c r="K866" s="242"/>
      <c r="L866" s="4"/>
      <c r="M866" s="4"/>
      <c r="N866" s="4"/>
      <c r="O866" s="4"/>
      <c r="P866" s="4"/>
      <c r="Q866" s="4"/>
      <c r="R866" s="4"/>
      <c r="S866" s="4"/>
      <c r="T866" s="4"/>
      <c r="U866" s="4"/>
      <c r="V866" s="4"/>
      <c r="W866" s="4"/>
      <c r="X866" s="4"/>
      <c r="Y866" s="4"/>
      <c r="Z866" s="4"/>
      <c r="AA866" s="4"/>
      <c r="AB866" s="4"/>
      <c r="AC866" s="4"/>
      <c r="AD866" s="4"/>
      <c r="AE866" s="4"/>
      <c r="AF866" s="4"/>
      <c r="AG866" s="4"/>
      <c r="AH866" s="4"/>
      <c r="AI866" s="4"/>
      <c r="AJ866" s="4"/>
      <c r="AK866" s="4"/>
      <c r="AL866" s="4"/>
      <c r="AM866" s="4"/>
      <c r="AN866" s="4"/>
      <c r="AO866" s="4"/>
      <c r="AP866" s="4"/>
      <c r="AQ866" s="4"/>
      <c r="AR866" s="4"/>
      <c r="AS866" s="4"/>
      <c r="AT866" s="4"/>
      <c r="AU866" s="4"/>
      <c r="AV866" s="4"/>
      <c r="AW866" s="4"/>
      <c r="AX866" s="4"/>
      <c r="AY866" s="4"/>
      <c r="AZ866" s="4"/>
      <c r="BA866" s="4"/>
      <c r="BB866" s="4"/>
      <c r="BC866" s="4"/>
      <c r="BD866" s="4"/>
      <c r="BE866" s="4"/>
      <c r="BF866" s="4"/>
      <c r="BG866" s="4"/>
      <c r="BH866" s="4"/>
      <c r="BI866" s="4"/>
      <c r="BJ866" s="4"/>
      <c r="BK866" s="4"/>
      <c r="BL866" s="4"/>
      <c r="BM866" s="4"/>
      <c r="BN866" s="4"/>
      <c r="BO866" s="4"/>
      <c r="BP866" s="4"/>
      <c r="BQ866" s="4"/>
      <c r="BR866" s="4"/>
      <c r="BS866" s="4"/>
      <c r="BT866" s="4"/>
      <c r="BU866" s="4"/>
      <c r="BV866" s="4"/>
      <c r="BW866" s="4"/>
      <c r="BX866" s="4"/>
      <c r="BY866" s="4"/>
      <c r="BZ866" s="4"/>
      <c r="CA866" s="4"/>
      <c r="CB866" s="4"/>
      <c r="CC866" s="4"/>
      <c r="CD866" s="4"/>
      <c r="CE866" s="4"/>
      <c r="CF866" s="4"/>
      <c r="CG866" s="4"/>
      <c r="CH866" s="4"/>
      <c r="CI866" s="4"/>
    </row>
    <row r="867" ht="14.25" customHeight="1" spans="1:87" x14ac:dyDescent="0.25">
      <c r="A867" s="4"/>
      <c r="B867" s="4"/>
      <c r="C867" s="4"/>
      <c r="D867" s="4"/>
      <c r="E867" s="4"/>
      <c r="F867" s="4"/>
      <c r="G867" s="4"/>
      <c r="H867" s="4"/>
      <c r="I867" s="4"/>
      <c r="J867" s="4"/>
      <c r="K867" s="242"/>
      <c r="L867" s="4"/>
      <c r="M867" s="4"/>
      <c r="N867" s="4"/>
      <c r="O867" s="4"/>
      <c r="P867" s="4"/>
      <c r="Q867" s="4"/>
      <c r="R867" s="4"/>
      <c r="S867" s="4"/>
      <c r="T867" s="4"/>
      <c r="U867" s="4"/>
      <c r="V867" s="4"/>
      <c r="W867" s="4"/>
      <c r="X867" s="4"/>
      <c r="Y867" s="4"/>
      <c r="Z867" s="4"/>
      <c r="AA867" s="4"/>
      <c r="AB867" s="4"/>
      <c r="AC867" s="4"/>
      <c r="AD867" s="4"/>
      <c r="AE867" s="4"/>
      <c r="AF867" s="4"/>
      <c r="AG867" s="4"/>
      <c r="AH867" s="4"/>
      <c r="AI867" s="4"/>
      <c r="AJ867" s="4"/>
      <c r="AK867" s="4"/>
      <c r="AL867" s="4"/>
      <c r="AM867" s="4"/>
      <c r="AN867" s="4"/>
      <c r="AO867" s="4"/>
      <c r="AP867" s="4"/>
      <c r="AQ867" s="4"/>
      <c r="AR867" s="4"/>
      <c r="AS867" s="4"/>
      <c r="AT867" s="4"/>
      <c r="AU867" s="4"/>
      <c r="AV867" s="4"/>
      <c r="AW867" s="4"/>
      <c r="AX867" s="4"/>
      <c r="AY867" s="4"/>
      <c r="AZ867" s="4"/>
      <c r="BA867" s="4"/>
      <c r="BB867" s="4"/>
      <c r="BC867" s="4"/>
      <c r="BD867" s="4"/>
      <c r="BE867" s="4"/>
      <c r="BF867" s="4"/>
      <c r="BG867" s="4"/>
      <c r="BH867" s="4"/>
      <c r="BI867" s="4"/>
      <c r="BJ867" s="4"/>
      <c r="BK867" s="4"/>
      <c r="BL867" s="4"/>
      <c r="BM867" s="4"/>
      <c r="BN867" s="4"/>
      <c r="BO867" s="4"/>
      <c r="BP867" s="4"/>
      <c r="BQ867" s="4"/>
      <c r="BR867" s="4"/>
      <c r="BS867" s="4"/>
      <c r="BT867" s="4"/>
      <c r="BU867" s="4"/>
      <c r="BV867" s="4"/>
      <c r="BW867" s="4"/>
      <c r="BX867" s="4"/>
      <c r="BY867" s="4"/>
      <c r="BZ867" s="4"/>
      <c r="CA867" s="4"/>
      <c r="CB867" s="4"/>
      <c r="CC867" s="4"/>
      <c r="CD867" s="4"/>
      <c r="CE867" s="4"/>
      <c r="CF867" s="4"/>
      <c r="CG867" s="4"/>
      <c r="CH867" s="4"/>
      <c r="CI867" s="4"/>
    </row>
    <row r="868" ht="14.25" customHeight="1" spans="1:87" x14ac:dyDescent="0.25">
      <c r="A868" s="4"/>
      <c r="B868" s="4"/>
      <c r="C868" s="4"/>
      <c r="D868" s="4"/>
      <c r="E868" s="4"/>
      <c r="F868" s="4"/>
      <c r="G868" s="4"/>
      <c r="H868" s="4"/>
      <c r="I868" s="4"/>
      <c r="J868" s="4"/>
      <c r="K868" s="242"/>
      <c r="L868" s="4"/>
      <c r="M868" s="4"/>
      <c r="N868" s="4"/>
      <c r="O868" s="4"/>
      <c r="P868" s="4"/>
      <c r="Q868" s="4"/>
      <c r="R868" s="4"/>
      <c r="S868" s="4"/>
      <c r="T868" s="4"/>
      <c r="U868" s="4"/>
      <c r="V868" s="4"/>
      <c r="W868" s="4"/>
      <c r="X868" s="4"/>
      <c r="Y868" s="4"/>
      <c r="Z868" s="4"/>
      <c r="AA868" s="4"/>
      <c r="AB868" s="4"/>
      <c r="AC868" s="4"/>
      <c r="AD868" s="4"/>
      <c r="AE868" s="4"/>
      <c r="AF868" s="4"/>
      <c r="AG868" s="4"/>
      <c r="AH868" s="4"/>
      <c r="AI868" s="4"/>
      <c r="AJ868" s="4"/>
      <c r="AK868" s="4"/>
      <c r="AL868" s="4"/>
      <c r="AM868" s="4"/>
      <c r="AN868" s="4"/>
      <c r="AO868" s="4"/>
      <c r="AP868" s="4"/>
      <c r="AQ868" s="4"/>
      <c r="AR868" s="4"/>
      <c r="AS868" s="4"/>
      <c r="AT868" s="4"/>
      <c r="AU868" s="4"/>
      <c r="AV868" s="4"/>
      <c r="AW868" s="4"/>
      <c r="AX868" s="4"/>
      <c r="AY868" s="4"/>
      <c r="AZ868" s="4"/>
      <c r="BA868" s="4"/>
      <c r="BB868" s="4"/>
      <c r="BC868" s="4"/>
      <c r="BD868" s="4"/>
      <c r="BE868" s="4"/>
      <c r="BF868" s="4"/>
      <c r="BG868" s="4"/>
      <c r="BH868" s="4"/>
      <c r="BI868" s="4"/>
      <c r="BJ868" s="4"/>
      <c r="BK868" s="4"/>
      <c r="BL868" s="4"/>
      <c r="BM868" s="4"/>
      <c r="BN868" s="4"/>
      <c r="BO868" s="4"/>
      <c r="BP868" s="4"/>
      <c r="BQ868" s="4"/>
      <c r="BR868" s="4"/>
      <c r="BS868" s="4"/>
      <c r="BT868" s="4"/>
      <c r="BU868" s="4"/>
      <c r="BV868" s="4"/>
      <c r="BW868" s="4"/>
      <c r="BX868" s="4"/>
      <c r="BY868" s="4"/>
      <c r="BZ868" s="4"/>
      <c r="CA868" s="4"/>
      <c r="CB868" s="4"/>
      <c r="CC868" s="4"/>
      <c r="CD868" s="4"/>
      <c r="CE868" s="4"/>
      <c r="CF868" s="4"/>
      <c r="CG868" s="4"/>
      <c r="CH868" s="4"/>
      <c r="CI868" s="4"/>
    </row>
    <row r="869" ht="14.25" customHeight="1" spans="1:87" x14ac:dyDescent="0.25">
      <c r="A869" s="4"/>
      <c r="B869" s="4"/>
      <c r="C869" s="4"/>
      <c r="D869" s="4"/>
      <c r="E869" s="4"/>
      <c r="F869" s="4"/>
      <c r="G869" s="4"/>
      <c r="H869" s="4"/>
      <c r="I869" s="4"/>
      <c r="J869" s="4"/>
      <c r="K869" s="242"/>
      <c r="L869" s="4"/>
      <c r="M869" s="4"/>
      <c r="N869" s="4"/>
      <c r="O869" s="4"/>
      <c r="P869" s="4"/>
      <c r="Q869" s="4"/>
      <c r="R869" s="4"/>
      <c r="S869" s="4"/>
      <c r="T869" s="4"/>
      <c r="U869" s="4"/>
      <c r="V869" s="4"/>
      <c r="W869" s="4"/>
      <c r="X869" s="4"/>
      <c r="Y869" s="4"/>
      <c r="Z869" s="4"/>
      <c r="AA869" s="4"/>
      <c r="AB869" s="4"/>
      <c r="AC869" s="4"/>
      <c r="AD869" s="4"/>
      <c r="AE869" s="4"/>
      <c r="AF869" s="4"/>
      <c r="AG869" s="4"/>
      <c r="AH869" s="4"/>
      <c r="AI869" s="4"/>
      <c r="AJ869" s="4"/>
      <c r="AK869" s="4"/>
      <c r="AL869" s="4"/>
      <c r="AM869" s="4"/>
      <c r="AN869" s="4"/>
      <c r="AO869" s="4"/>
      <c r="AP869" s="4"/>
      <c r="AQ869" s="4"/>
      <c r="AR869" s="4"/>
      <c r="AS869" s="4"/>
      <c r="AT869" s="4"/>
      <c r="AU869" s="4"/>
      <c r="AV869" s="4"/>
      <c r="AW869" s="4"/>
      <c r="AX869" s="4"/>
      <c r="AY869" s="4"/>
      <c r="AZ869" s="4"/>
      <c r="BA869" s="4"/>
      <c r="BB869" s="4"/>
      <c r="BC869" s="4"/>
      <c r="BD869" s="4"/>
      <c r="BE869" s="4"/>
      <c r="BF869" s="4"/>
      <c r="BG869" s="4"/>
      <c r="BH869" s="4"/>
      <c r="BI869" s="4"/>
      <c r="BJ869" s="4"/>
      <c r="BK869" s="4"/>
      <c r="BL869" s="4"/>
      <c r="BM869" s="4"/>
      <c r="BN869" s="4"/>
      <c r="BO869" s="4"/>
      <c r="BP869" s="4"/>
      <c r="BQ869" s="4"/>
      <c r="BR869" s="4"/>
      <c r="BS869" s="4"/>
      <c r="BT869" s="4"/>
      <c r="BU869" s="4"/>
      <c r="BV869" s="4"/>
      <c r="BW869" s="4"/>
      <c r="BX869" s="4"/>
      <c r="BY869" s="4"/>
      <c r="BZ869" s="4"/>
      <c r="CA869" s="4"/>
      <c r="CB869" s="4"/>
      <c r="CC869" s="4"/>
      <c r="CD869" s="4"/>
      <c r="CE869" s="4"/>
      <c r="CF869" s="4"/>
      <c r="CG869" s="4"/>
      <c r="CH869" s="4"/>
      <c r="CI869" s="4"/>
    </row>
    <row r="870" ht="14.25" customHeight="1" spans="1:87" x14ac:dyDescent="0.25">
      <c r="A870" s="4"/>
      <c r="B870" s="4"/>
      <c r="C870" s="4"/>
      <c r="D870" s="4"/>
      <c r="E870" s="4"/>
      <c r="F870" s="4"/>
      <c r="G870" s="4"/>
      <c r="H870" s="4"/>
      <c r="I870" s="4"/>
      <c r="J870" s="4"/>
      <c r="K870" s="242"/>
      <c r="L870" s="4"/>
      <c r="M870" s="4"/>
      <c r="N870" s="4"/>
      <c r="O870" s="4"/>
      <c r="P870" s="4"/>
      <c r="Q870" s="4"/>
      <c r="R870" s="4"/>
      <c r="S870" s="4"/>
      <c r="T870" s="4"/>
      <c r="U870" s="4"/>
      <c r="V870" s="4"/>
      <c r="W870" s="4"/>
      <c r="X870" s="4"/>
      <c r="Y870" s="4"/>
      <c r="Z870" s="4"/>
      <c r="AA870" s="4"/>
      <c r="AB870" s="4"/>
      <c r="AC870" s="4"/>
      <c r="AD870" s="4"/>
      <c r="AE870" s="4"/>
      <c r="AF870" s="4"/>
      <c r="AG870" s="4"/>
      <c r="AH870" s="4"/>
      <c r="AI870" s="4"/>
      <c r="AJ870" s="4"/>
      <c r="AK870" s="4"/>
      <c r="AL870" s="4"/>
      <c r="AM870" s="4"/>
      <c r="AN870" s="4"/>
      <c r="AO870" s="4"/>
      <c r="AP870" s="4"/>
      <c r="AQ870" s="4"/>
      <c r="AR870" s="4"/>
      <c r="AS870" s="4"/>
      <c r="AT870" s="4"/>
      <c r="AU870" s="4"/>
      <c r="AV870" s="4"/>
      <c r="AW870" s="4"/>
      <c r="AX870" s="4"/>
      <c r="AY870" s="4"/>
      <c r="AZ870" s="4"/>
      <c r="BA870" s="4"/>
      <c r="BB870" s="4"/>
      <c r="BC870" s="4"/>
      <c r="BD870" s="4"/>
      <c r="BE870" s="4"/>
      <c r="BF870" s="4"/>
      <c r="BG870" s="4"/>
      <c r="BH870" s="4"/>
      <c r="BI870" s="4"/>
      <c r="BJ870" s="4"/>
      <c r="BK870" s="4"/>
      <c r="BL870" s="4"/>
      <c r="BM870" s="4"/>
      <c r="BN870" s="4"/>
      <c r="BO870" s="4"/>
      <c r="BP870" s="4"/>
      <c r="BQ870" s="4"/>
      <c r="BR870" s="4"/>
      <c r="BS870" s="4"/>
      <c r="BT870" s="4"/>
      <c r="BU870" s="4"/>
      <c r="BV870" s="4"/>
      <c r="BW870" s="4"/>
      <c r="BX870" s="4"/>
      <c r="BY870" s="4"/>
      <c r="BZ870" s="4"/>
      <c r="CA870" s="4"/>
      <c r="CB870" s="4"/>
      <c r="CC870" s="4"/>
      <c r="CD870" s="4"/>
      <c r="CE870" s="4"/>
      <c r="CF870" s="4"/>
      <c r="CG870" s="4"/>
      <c r="CH870" s="4"/>
      <c r="CI870" s="4"/>
    </row>
    <row r="871" ht="14.25" customHeight="1" spans="1:87" x14ac:dyDescent="0.25">
      <c r="A871" s="4"/>
      <c r="B871" s="4"/>
      <c r="C871" s="4"/>
      <c r="D871" s="4"/>
      <c r="E871" s="4"/>
      <c r="F871" s="4"/>
      <c r="G871" s="4"/>
      <c r="H871" s="4"/>
      <c r="I871" s="4"/>
      <c r="J871" s="4"/>
      <c r="K871" s="242"/>
      <c r="L871" s="4"/>
      <c r="M871" s="4"/>
      <c r="N871" s="4"/>
      <c r="O871" s="4"/>
      <c r="P871" s="4"/>
      <c r="Q871" s="4"/>
      <c r="R871" s="4"/>
      <c r="S871" s="4"/>
      <c r="T871" s="4"/>
      <c r="U871" s="4"/>
      <c r="V871" s="4"/>
      <c r="W871" s="4"/>
      <c r="X871" s="4"/>
      <c r="Y871" s="4"/>
      <c r="Z871" s="4"/>
      <c r="AA871" s="4"/>
      <c r="AB871" s="4"/>
      <c r="AC871" s="4"/>
      <c r="AD871" s="4"/>
      <c r="AE871" s="4"/>
      <c r="AF871" s="4"/>
      <c r="AG871" s="4"/>
      <c r="AH871" s="4"/>
      <c r="AI871" s="4"/>
      <c r="AJ871" s="4"/>
      <c r="AK871" s="4"/>
      <c r="AL871" s="4"/>
      <c r="AM871" s="4"/>
      <c r="AN871" s="4"/>
      <c r="AO871" s="4"/>
      <c r="AP871" s="4"/>
      <c r="AQ871" s="4"/>
      <c r="AR871" s="4"/>
      <c r="AS871" s="4"/>
      <c r="AT871" s="4"/>
      <c r="AU871" s="4"/>
      <c r="AV871" s="4"/>
      <c r="AW871" s="4"/>
      <c r="AX871" s="4"/>
      <c r="AY871" s="4"/>
      <c r="AZ871" s="4"/>
      <c r="BA871" s="4"/>
      <c r="BB871" s="4"/>
      <c r="BC871" s="4"/>
      <c r="BD871" s="4"/>
      <c r="BE871" s="4"/>
      <c r="BF871" s="4"/>
      <c r="BG871" s="4"/>
      <c r="BH871" s="4"/>
      <c r="BI871" s="4"/>
      <c r="BJ871" s="4"/>
      <c r="BK871" s="4"/>
      <c r="BL871" s="4"/>
      <c r="BM871" s="4"/>
      <c r="BN871" s="4"/>
      <c r="BO871" s="4"/>
      <c r="BP871" s="4"/>
      <c r="BQ871" s="4"/>
      <c r="BR871" s="4"/>
      <c r="BS871" s="4"/>
      <c r="BT871" s="4"/>
      <c r="BU871" s="4"/>
      <c r="BV871" s="4"/>
      <c r="BW871" s="4"/>
      <c r="BX871" s="4"/>
      <c r="BY871" s="4"/>
      <c r="BZ871" s="4"/>
      <c r="CA871" s="4"/>
      <c r="CB871" s="4"/>
      <c r="CC871" s="4"/>
      <c r="CD871" s="4"/>
      <c r="CE871" s="4"/>
      <c r="CF871" s="4"/>
      <c r="CG871" s="4"/>
      <c r="CH871" s="4"/>
      <c r="CI871" s="4"/>
    </row>
    <row r="872" ht="14.25" customHeight="1" spans="1:87" x14ac:dyDescent="0.25">
      <c r="A872" s="4"/>
      <c r="B872" s="4"/>
      <c r="C872" s="4"/>
      <c r="D872" s="4"/>
      <c r="E872" s="4"/>
      <c r="F872" s="4"/>
      <c r="G872" s="4"/>
      <c r="H872" s="4"/>
      <c r="I872" s="4"/>
      <c r="J872" s="4"/>
      <c r="K872" s="242"/>
      <c r="L872" s="4"/>
      <c r="M872" s="4"/>
      <c r="N872" s="4"/>
      <c r="O872" s="4"/>
      <c r="P872" s="4"/>
      <c r="Q872" s="4"/>
      <c r="R872" s="4"/>
      <c r="S872" s="4"/>
      <c r="T872" s="4"/>
      <c r="U872" s="4"/>
      <c r="V872" s="4"/>
      <c r="W872" s="4"/>
      <c r="X872" s="4"/>
      <c r="Y872" s="4"/>
      <c r="Z872" s="4"/>
      <c r="AA872" s="4"/>
      <c r="AB872" s="4"/>
      <c r="AC872" s="4"/>
      <c r="AD872" s="4"/>
      <c r="AE872" s="4"/>
      <c r="AF872" s="4"/>
      <c r="AG872" s="4"/>
      <c r="AH872" s="4"/>
      <c r="AI872" s="4"/>
      <c r="AJ872" s="4"/>
      <c r="AK872" s="4"/>
      <c r="AL872" s="4"/>
      <c r="AM872" s="4"/>
      <c r="AN872" s="4"/>
      <c r="AO872" s="4"/>
      <c r="AP872" s="4"/>
      <c r="AQ872" s="4"/>
      <c r="AR872" s="4"/>
      <c r="AS872" s="4"/>
      <c r="AT872" s="4"/>
      <c r="AU872" s="4"/>
      <c r="AV872" s="4"/>
      <c r="AW872" s="4"/>
      <c r="AX872" s="4"/>
      <c r="AY872" s="4"/>
      <c r="AZ872" s="4"/>
      <c r="BA872" s="4"/>
      <c r="BB872" s="4"/>
      <c r="BC872" s="4"/>
      <c r="BD872" s="4"/>
      <c r="BE872" s="4"/>
      <c r="BF872" s="4"/>
      <c r="BG872" s="4"/>
      <c r="BH872" s="4"/>
      <c r="BI872" s="4"/>
      <c r="BJ872" s="4"/>
      <c r="BK872" s="4"/>
      <c r="BL872" s="4"/>
      <c r="BM872" s="4"/>
      <c r="BN872" s="4"/>
      <c r="BO872" s="4"/>
      <c r="BP872" s="4"/>
      <c r="BQ872" s="4"/>
      <c r="BR872" s="4"/>
      <c r="BS872" s="4"/>
      <c r="BT872" s="4"/>
      <c r="BU872" s="4"/>
      <c r="BV872" s="4"/>
      <c r="BW872" s="4"/>
      <c r="BX872" s="4"/>
      <c r="BY872" s="4"/>
      <c r="BZ872" s="4"/>
      <c r="CA872" s="4"/>
      <c r="CB872" s="4"/>
      <c r="CC872" s="4"/>
      <c r="CD872" s="4"/>
      <c r="CE872" s="4"/>
      <c r="CF872" s="4"/>
      <c r="CG872" s="4"/>
      <c r="CH872" s="4"/>
      <c r="CI872" s="4"/>
    </row>
    <row r="873" ht="14.25" customHeight="1" spans="1:87" x14ac:dyDescent="0.25">
      <c r="A873" s="4"/>
      <c r="B873" s="4"/>
      <c r="C873" s="4"/>
      <c r="D873" s="4"/>
      <c r="E873" s="4"/>
      <c r="F873" s="4"/>
      <c r="G873" s="4"/>
      <c r="H873" s="4"/>
      <c r="I873" s="4"/>
      <c r="J873" s="4"/>
      <c r="K873" s="242"/>
      <c r="L873" s="4"/>
      <c r="M873" s="4"/>
      <c r="N873" s="4"/>
      <c r="O873" s="4"/>
      <c r="P873" s="4"/>
      <c r="Q873" s="4"/>
      <c r="R873" s="4"/>
      <c r="S873" s="4"/>
      <c r="T873" s="4"/>
      <c r="U873" s="4"/>
      <c r="V873" s="4"/>
      <c r="W873" s="4"/>
      <c r="X873" s="4"/>
      <c r="Y873" s="4"/>
      <c r="Z873" s="4"/>
      <c r="AA873" s="4"/>
      <c r="AB873" s="4"/>
      <c r="AC873" s="4"/>
      <c r="AD873" s="4"/>
      <c r="AE873" s="4"/>
      <c r="AF873" s="4"/>
      <c r="AG873" s="4"/>
      <c r="AH873" s="4"/>
      <c r="AI873" s="4"/>
      <c r="AJ873" s="4"/>
      <c r="AK873" s="4"/>
      <c r="AL873" s="4"/>
      <c r="AM873" s="4"/>
      <c r="AN873" s="4"/>
      <c r="AO873" s="4"/>
      <c r="AP873" s="4"/>
      <c r="AQ873" s="4"/>
      <c r="AR873" s="4"/>
      <c r="AS873" s="4"/>
      <c r="AT873" s="4"/>
      <c r="AU873" s="4"/>
      <c r="AV873" s="4"/>
      <c r="AW873" s="4"/>
      <c r="AX873" s="4"/>
      <c r="AY873" s="4"/>
      <c r="AZ873" s="4"/>
      <c r="BA873" s="4"/>
      <c r="BB873" s="4"/>
      <c r="BC873" s="4"/>
      <c r="BD873" s="4"/>
      <c r="BE873" s="4"/>
      <c r="BF873" s="4"/>
      <c r="BG873" s="4"/>
      <c r="BH873" s="4"/>
      <c r="BI873" s="4"/>
      <c r="BJ873" s="4"/>
      <c r="BK873" s="4"/>
      <c r="BL873" s="4"/>
      <c r="BM873" s="4"/>
      <c r="BN873" s="4"/>
      <c r="BO873" s="4"/>
      <c r="BP873" s="4"/>
      <c r="BQ873" s="4"/>
      <c r="BR873" s="4"/>
      <c r="BS873" s="4"/>
      <c r="BT873" s="4"/>
      <c r="BU873" s="4"/>
      <c r="BV873" s="4"/>
      <c r="BW873" s="4"/>
      <c r="BX873" s="4"/>
      <c r="BY873" s="4"/>
      <c r="BZ873" s="4"/>
      <c r="CA873" s="4"/>
      <c r="CB873" s="4"/>
      <c r="CC873" s="4"/>
      <c r="CD873" s="4"/>
      <c r="CE873" s="4"/>
      <c r="CF873" s="4"/>
      <c r="CG873" s="4"/>
      <c r="CH873" s="4"/>
      <c r="CI873" s="4"/>
    </row>
    <row r="874" ht="14.25" customHeight="1" spans="1:87" x14ac:dyDescent="0.25">
      <c r="A874" s="4"/>
      <c r="B874" s="4"/>
      <c r="C874" s="4"/>
      <c r="D874" s="4"/>
      <c r="E874" s="4"/>
      <c r="F874" s="4"/>
      <c r="G874" s="4"/>
      <c r="H874" s="4"/>
      <c r="I874" s="4"/>
      <c r="J874" s="4"/>
      <c r="K874" s="242"/>
      <c r="L874" s="4"/>
      <c r="M874" s="4"/>
      <c r="N874" s="4"/>
      <c r="O874" s="4"/>
      <c r="P874" s="4"/>
      <c r="Q874" s="4"/>
      <c r="R874" s="4"/>
      <c r="S874" s="4"/>
      <c r="T874" s="4"/>
      <c r="U874" s="4"/>
      <c r="V874" s="4"/>
      <c r="W874" s="4"/>
      <c r="X874" s="4"/>
      <c r="Y874" s="4"/>
      <c r="Z874" s="4"/>
      <c r="AA874" s="4"/>
      <c r="AB874" s="4"/>
      <c r="AC874" s="4"/>
      <c r="AD874" s="4"/>
      <c r="AE874" s="4"/>
      <c r="AF874" s="4"/>
      <c r="AG874" s="4"/>
      <c r="AH874" s="4"/>
      <c r="AI874" s="4"/>
      <c r="AJ874" s="4"/>
      <c r="AK874" s="4"/>
      <c r="AL874" s="4"/>
      <c r="AM874" s="4"/>
      <c r="AN874" s="4"/>
      <c r="AO874" s="4"/>
      <c r="AP874" s="4"/>
      <c r="AQ874" s="4"/>
      <c r="AR874" s="4"/>
      <c r="AS874" s="4"/>
      <c r="AT874" s="4"/>
      <c r="AU874" s="4"/>
      <c r="AV874" s="4"/>
      <c r="AW874" s="4"/>
      <c r="AX874" s="4"/>
      <c r="AY874" s="4"/>
      <c r="AZ874" s="4"/>
      <c r="BA874" s="4"/>
      <c r="BB874" s="4"/>
      <c r="BC874" s="4"/>
      <c r="BD874" s="4"/>
      <c r="BE874" s="4"/>
      <c r="BF874" s="4"/>
      <c r="BG874" s="4"/>
      <c r="BH874" s="4"/>
      <c r="BI874" s="4"/>
      <c r="BJ874" s="4"/>
      <c r="BK874" s="4"/>
      <c r="BL874" s="4"/>
      <c r="BM874" s="4"/>
      <c r="BN874" s="4"/>
      <c r="BO874" s="4"/>
      <c r="BP874" s="4"/>
      <c r="BQ874" s="4"/>
      <c r="BR874" s="4"/>
      <c r="BS874" s="4"/>
      <c r="BT874" s="4"/>
      <c r="BU874" s="4"/>
      <c r="BV874" s="4"/>
      <c r="BW874" s="4"/>
      <c r="BX874" s="4"/>
      <c r="BY874" s="4"/>
      <c r="BZ874" s="4"/>
      <c r="CA874" s="4"/>
      <c r="CB874" s="4"/>
      <c r="CC874" s="4"/>
      <c r="CD874" s="4"/>
      <c r="CE874" s="4"/>
      <c r="CF874" s="4"/>
      <c r="CG874" s="4"/>
      <c r="CH874" s="4"/>
      <c r="CI874" s="4"/>
    </row>
    <row r="875" ht="14.25" customHeight="1" spans="1:87" x14ac:dyDescent="0.25">
      <c r="A875" s="4"/>
      <c r="B875" s="4"/>
      <c r="C875" s="4"/>
      <c r="D875" s="4"/>
      <c r="E875" s="4"/>
      <c r="F875" s="4"/>
      <c r="G875" s="4"/>
      <c r="H875" s="4"/>
      <c r="I875" s="4"/>
      <c r="J875" s="4"/>
      <c r="K875" s="242"/>
      <c r="L875" s="4"/>
      <c r="M875" s="4"/>
      <c r="N875" s="4"/>
      <c r="O875" s="4"/>
      <c r="P875" s="4"/>
      <c r="Q875" s="4"/>
      <c r="R875" s="4"/>
      <c r="S875" s="4"/>
      <c r="T875" s="4"/>
      <c r="U875" s="4"/>
      <c r="V875" s="4"/>
      <c r="W875" s="4"/>
      <c r="X875" s="4"/>
      <c r="Y875" s="4"/>
      <c r="Z875" s="4"/>
      <c r="AA875" s="4"/>
      <c r="AB875" s="4"/>
      <c r="AC875" s="4"/>
      <c r="AD875" s="4"/>
      <c r="AE875" s="4"/>
      <c r="AF875" s="4"/>
      <c r="AG875" s="4"/>
      <c r="AH875" s="4"/>
      <c r="AI875" s="4"/>
      <c r="AJ875" s="4"/>
      <c r="AK875" s="4"/>
      <c r="AL875" s="4"/>
      <c r="AM875" s="4"/>
      <c r="AN875" s="4"/>
      <c r="AO875" s="4"/>
      <c r="AP875" s="4"/>
      <c r="AQ875" s="4"/>
      <c r="AR875" s="4"/>
      <c r="AS875" s="4"/>
      <c r="AT875" s="4"/>
      <c r="AU875" s="4"/>
      <c r="AV875" s="4"/>
      <c r="AW875" s="4"/>
      <c r="AX875" s="4"/>
      <c r="AY875" s="4"/>
      <c r="AZ875" s="4"/>
      <c r="BA875" s="4"/>
      <c r="BB875" s="4"/>
      <c r="BC875" s="4"/>
      <c r="BD875" s="4"/>
      <c r="BE875" s="4"/>
      <c r="BF875" s="4"/>
      <c r="BG875" s="4"/>
      <c r="BH875" s="4"/>
      <c r="BI875" s="4"/>
      <c r="BJ875" s="4"/>
      <c r="BK875" s="4"/>
      <c r="BL875" s="4"/>
      <c r="BM875" s="4"/>
      <c r="BN875" s="4"/>
      <c r="BO875" s="4"/>
      <c r="BP875" s="4"/>
      <c r="BQ875" s="4"/>
      <c r="BR875" s="4"/>
      <c r="BS875" s="4"/>
      <c r="BT875" s="4"/>
      <c r="BU875" s="4"/>
      <c r="BV875" s="4"/>
      <c r="BW875" s="4"/>
      <c r="BX875" s="4"/>
      <c r="BY875" s="4"/>
      <c r="BZ875" s="4"/>
      <c r="CA875" s="4"/>
      <c r="CB875" s="4"/>
      <c r="CC875" s="4"/>
      <c r="CD875" s="4"/>
      <c r="CE875" s="4"/>
      <c r="CF875" s="4"/>
      <c r="CG875" s="4"/>
      <c r="CH875" s="4"/>
      <c r="CI875" s="4"/>
    </row>
    <row r="876" ht="14.25" customHeight="1" spans="1:87" x14ac:dyDescent="0.25">
      <c r="A876" s="4"/>
      <c r="B876" s="4"/>
      <c r="C876" s="4"/>
      <c r="D876" s="4"/>
      <c r="E876" s="4"/>
      <c r="F876" s="4"/>
      <c r="G876" s="4"/>
      <c r="H876" s="4"/>
      <c r="I876" s="4"/>
      <c r="J876" s="4"/>
      <c r="K876" s="242"/>
      <c r="L876" s="4"/>
      <c r="M876" s="4"/>
      <c r="N876" s="4"/>
      <c r="O876" s="4"/>
      <c r="P876" s="4"/>
      <c r="Q876" s="4"/>
      <c r="R876" s="4"/>
      <c r="S876" s="4"/>
      <c r="T876" s="4"/>
      <c r="U876" s="4"/>
      <c r="V876" s="4"/>
      <c r="W876" s="4"/>
      <c r="X876" s="4"/>
      <c r="Y876" s="4"/>
      <c r="Z876" s="4"/>
      <c r="AA876" s="4"/>
      <c r="AB876" s="4"/>
      <c r="AC876" s="4"/>
      <c r="AD876" s="4"/>
      <c r="AE876" s="4"/>
      <c r="AF876" s="4"/>
      <c r="AG876" s="4"/>
      <c r="AH876" s="4"/>
      <c r="AI876" s="4"/>
      <c r="AJ876" s="4"/>
      <c r="AK876" s="4"/>
      <c r="AL876" s="4"/>
      <c r="AM876" s="4"/>
      <c r="AN876" s="4"/>
      <c r="AO876" s="4"/>
      <c r="AP876" s="4"/>
      <c r="AQ876" s="4"/>
      <c r="AR876" s="4"/>
      <c r="AS876" s="4"/>
      <c r="AT876" s="4"/>
      <c r="AU876" s="4"/>
      <c r="AV876" s="4"/>
      <c r="AW876" s="4"/>
      <c r="AX876" s="4"/>
      <c r="AY876" s="4"/>
      <c r="AZ876" s="4"/>
      <c r="BA876" s="4"/>
      <c r="BB876" s="4"/>
      <c r="BC876" s="4"/>
      <c r="BD876" s="4"/>
      <c r="BE876" s="4"/>
      <c r="BF876" s="4"/>
      <c r="BG876" s="4"/>
      <c r="BH876" s="4"/>
      <c r="BI876" s="4"/>
      <c r="BJ876" s="4"/>
      <c r="BK876" s="4"/>
      <c r="BL876" s="4"/>
      <c r="BM876" s="4"/>
      <c r="BN876" s="4"/>
      <c r="BO876" s="4"/>
      <c r="BP876" s="4"/>
      <c r="BQ876" s="4"/>
      <c r="BR876" s="4"/>
      <c r="BS876" s="4"/>
      <c r="BT876" s="4"/>
      <c r="BU876" s="4"/>
      <c r="BV876" s="4"/>
      <c r="BW876" s="4"/>
      <c r="BX876" s="4"/>
      <c r="BY876" s="4"/>
      <c r="BZ876" s="4"/>
      <c r="CA876" s="4"/>
      <c r="CB876" s="4"/>
      <c r="CC876" s="4"/>
      <c r="CD876" s="4"/>
      <c r="CE876" s="4"/>
      <c r="CF876" s="4"/>
      <c r="CG876" s="4"/>
      <c r="CH876" s="4"/>
      <c r="CI876" s="4"/>
    </row>
    <row r="877" ht="14.25" customHeight="1" spans="1:87" x14ac:dyDescent="0.25">
      <c r="A877" s="4"/>
      <c r="B877" s="4"/>
      <c r="C877" s="4"/>
      <c r="D877" s="4"/>
      <c r="E877" s="4"/>
      <c r="F877" s="4"/>
      <c r="G877" s="4"/>
      <c r="H877" s="4"/>
      <c r="I877" s="4"/>
      <c r="J877" s="4"/>
      <c r="K877" s="242"/>
      <c r="L877" s="4"/>
      <c r="M877" s="4"/>
      <c r="N877" s="4"/>
      <c r="O877" s="4"/>
      <c r="P877" s="4"/>
      <c r="Q877" s="4"/>
      <c r="R877" s="4"/>
      <c r="S877" s="4"/>
      <c r="T877" s="4"/>
      <c r="U877" s="4"/>
      <c r="V877" s="4"/>
      <c r="W877" s="4"/>
      <c r="X877" s="4"/>
      <c r="Y877" s="4"/>
      <c r="Z877" s="4"/>
      <c r="AA877" s="4"/>
      <c r="AB877" s="4"/>
      <c r="AC877" s="4"/>
      <c r="AD877" s="4"/>
      <c r="AE877" s="4"/>
      <c r="AF877" s="4"/>
      <c r="AG877" s="4"/>
      <c r="AH877" s="4"/>
      <c r="AI877" s="4"/>
      <c r="AJ877" s="4"/>
      <c r="AK877" s="4"/>
      <c r="AL877" s="4"/>
      <c r="AM877" s="4"/>
      <c r="AN877" s="4"/>
      <c r="AO877" s="4"/>
      <c r="AP877" s="4"/>
      <c r="AQ877" s="4"/>
      <c r="AR877" s="4"/>
      <c r="AS877" s="4"/>
      <c r="AT877" s="4"/>
      <c r="AU877" s="4"/>
      <c r="AV877" s="4"/>
      <c r="AW877" s="4"/>
      <c r="AX877" s="4"/>
      <c r="AY877" s="4"/>
      <c r="AZ877" s="4"/>
      <c r="BA877" s="4"/>
      <c r="BB877" s="4"/>
      <c r="BC877" s="4"/>
      <c r="BD877" s="4"/>
      <c r="BE877" s="4"/>
      <c r="BF877" s="4"/>
      <c r="BG877" s="4"/>
      <c r="BH877" s="4"/>
      <c r="BI877" s="4"/>
      <c r="BJ877" s="4"/>
      <c r="BK877" s="4"/>
      <c r="BL877" s="4"/>
      <c r="BM877" s="4"/>
      <c r="BN877" s="4"/>
      <c r="BO877" s="4"/>
      <c r="BP877" s="4"/>
      <c r="BQ877" s="4"/>
      <c r="BR877" s="4"/>
      <c r="BS877" s="4"/>
      <c r="BT877" s="4"/>
      <c r="BU877" s="4"/>
      <c r="BV877" s="4"/>
      <c r="BW877" s="4"/>
      <c r="BX877" s="4"/>
      <c r="BY877" s="4"/>
      <c r="BZ877" s="4"/>
      <c r="CA877" s="4"/>
      <c r="CB877" s="4"/>
      <c r="CC877" s="4"/>
      <c r="CD877" s="4"/>
      <c r="CE877" s="4"/>
      <c r="CF877" s="4"/>
      <c r="CG877" s="4"/>
      <c r="CH877" s="4"/>
      <c r="CI877" s="4"/>
    </row>
    <row r="878" ht="14.25" customHeight="1" spans="1:87" x14ac:dyDescent="0.25">
      <c r="A878" s="4"/>
      <c r="B878" s="4"/>
      <c r="C878" s="4"/>
      <c r="D878" s="4"/>
      <c r="E878" s="4"/>
      <c r="F878" s="4"/>
      <c r="G878" s="4"/>
      <c r="H878" s="4"/>
      <c r="I878" s="4"/>
      <c r="J878" s="4"/>
      <c r="K878" s="242"/>
      <c r="L878" s="4"/>
      <c r="M878" s="4"/>
      <c r="N878" s="4"/>
      <c r="O878" s="4"/>
      <c r="P878" s="4"/>
      <c r="Q878" s="4"/>
      <c r="R878" s="4"/>
      <c r="S878" s="4"/>
      <c r="T878" s="4"/>
      <c r="U878" s="4"/>
      <c r="V878" s="4"/>
      <c r="W878" s="4"/>
      <c r="X878" s="4"/>
      <c r="Y878" s="4"/>
      <c r="Z878" s="4"/>
      <c r="AA878" s="4"/>
      <c r="AB878" s="4"/>
      <c r="AC878" s="4"/>
      <c r="AD878" s="4"/>
      <c r="AE878" s="4"/>
      <c r="AF878" s="4"/>
      <c r="AG878" s="4"/>
      <c r="AH878" s="4"/>
      <c r="AI878" s="4"/>
      <c r="AJ878" s="4"/>
      <c r="AK878" s="4"/>
      <c r="AL878" s="4"/>
      <c r="AM878" s="4"/>
      <c r="AN878" s="4"/>
      <c r="AO878" s="4"/>
      <c r="AP878" s="4"/>
      <c r="AQ878" s="4"/>
      <c r="AR878" s="4"/>
      <c r="AS878" s="4"/>
      <c r="AT878" s="4"/>
      <c r="AU878" s="4"/>
      <c r="AV878" s="4"/>
      <c r="AW878" s="4"/>
      <c r="AX878" s="4"/>
      <c r="AY878" s="4"/>
      <c r="AZ878" s="4"/>
      <c r="BA878" s="4"/>
      <c r="BB878" s="4"/>
      <c r="BC878" s="4"/>
      <c r="BD878" s="4"/>
      <c r="BE878" s="4"/>
      <c r="BF878" s="4"/>
      <c r="BG878" s="4"/>
      <c r="BH878" s="4"/>
      <c r="BI878" s="4"/>
      <c r="BJ878" s="4"/>
      <c r="BK878" s="4"/>
      <c r="BL878" s="4"/>
      <c r="BM878" s="4"/>
      <c r="BN878" s="4"/>
      <c r="BO878" s="4"/>
      <c r="BP878" s="4"/>
      <c r="BQ878" s="4"/>
      <c r="BR878" s="4"/>
      <c r="BS878" s="4"/>
      <c r="BT878" s="4"/>
      <c r="BU878" s="4"/>
      <c r="BV878" s="4"/>
      <c r="BW878" s="4"/>
      <c r="BX878" s="4"/>
      <c r="BY878" s="4"/>
      <c r="BZ878" s="4"/>
      <c r="CA878" s="4"/>
      <c r="CB878" s="4"/>
      <c r="CC878" s="4"/>
      <c r="CD878" s="4"/>
      <c r="CE878" s="4"/>
      <c r="CF878" s="4"/>
      <c r="CG878" s="4"/>
      <c r="CH878" s="4"/>
      <c r="CI878" s="4"/>
    </row>
    <row r="879" ht="14.25" customHeight="1" spans="1:87" x14ac:dyDescent="0.25">
      <c r="A879" s="4"/>
      <c r="B879" s="4"/>
      <c r="C879" s="4"/>
      <c r="D879" s="4"/>
      <c r="E879" s="4"/>
      <c r="F879" s="4"/>
      <c r="G879" s="4"/>
      <c r="H879" s="4"/>
      <c r="I879" s="4"/>
      <c r="J879" s="4"/>
      <c r="K879" s="242"/>
      <c r="L879" s="4"/>
      <c r="M879" s="4"/>
      <c r="N879" s="4"/>
      <c r="O879" s="4"/>
      <c r="P879" s="4"/>
      <c r="Q879" s="4"/>
      <c r="R879" s="4"/>
      <c r="S879" s="4"/>
      <c r="T879" s="4"/>
      <c r="U879" s="4"/>
      <c r="V879" s="4"/>
      <c r="W879" s="4"/>
      <c r="X879" s="4"/>
      <c r="Y879" s="4"/>
      <c r="Z879" s="4"/>
      <c r="AA879" s="4"/>
      <c r="AB879" s="4"/>
      <c r="AC879" s="4"/>
      <c r="AD879" s="4"/>
      <c r="AE879" s="4"/>
      <c r="AF879" s="4"/>
      <c r="AG879" s="4"/>
      <c r="AH879" s="4"/>
      <c r="AI879" s="4"/>
      <c r="AJ879" s="4"/>
      <c r="AK879" s="4"/>
      <c r="AL879" s="4"/>
      <c r="AM879" s="4"/>
      <c r="AN879" s="4"/>
      <c r="AO879" s="4"/>
      <c r="AP879" s="4"/>
      <c r="AQ879" s="4"/>
      <c r="AR879" s="4"/>
      <c r="AS879" s="4"/>
      <c r="AT879" s="4"/>
      <c r="AU879" s="4"/>
      <c r="AV879" s="4"/>
      <c r="AW879" s="4"/>
      <c r="AX879" s="4"/>
      <c r="AY879" s="4"/>
      <c r="AZ879" s="4"/>
      <c r="BA879" s="4"/>
      <c r="BB879" s="4"/>
      <c r="BC879" s="4"/>
      <c r="BD879" s="4"/>
      <c r="BE879" s="4"/>
      <c r="BF879" s="4"/>
      <c r="BG879" s="4"/>
      <c r="BH879" s="4"/>
      <c r="BI879" s="4"/>
      <c r="BJ879" s="4"/>
      <c r="BK879" s="4"/>
      <c r="BL879" s="4"/>
      <c r="BM879" s="4"/>
      <c r="BN879" s="4"/>
      <c r="BO879" s="4"/>
      <c r="BP879" s="4"/>
      <c r="BQ879" s="4"/>
      <c r="BR879" s="4"/>
      <c r="BS879" s="4"/>
      <c r="BT879" s="4"/>
      <c r="BU879" s="4"/>
      <c r="BV879" s="4"/>
      <c r="BW879" s="4"/>
      <c r="BX879" s="4"/>
      <c r="BY879" s="4"/>
      <c r="BZ879" s="4"/>
      <c r="CA879" s="4"/>
      <c r="CB879" s="4"/>
      <c r="CC879" s="4"/>
      <c r="CD879" s="4"/>
      <c r="CE879" s="4"/>
      <c r="CF879" s="4"/>
      <c r="CG879" s="4"/>
      <c r="CH879" s="4"/>
      <c r="CI879" s="4"/>
    </row>
    <row r="880" ht="14.25" customHeight="1" spans="1:87" x14ac:dyDescent="0.25">
      <c r="A880" s="4"/>
      <c r="B880" s="4"/>
      <c r="C880" s="4"/>
      <c r="D880" s="4"/>
      <c r="E880" s="4"/>
      <c r="F880" s="4"/>
      <c r="G880" s="4"/>
      <c r="H880" s="4"/>
      <c r="I880" s="4"/>
      <c r="J880" s="4"/>
      <c r="K880" s="242"/>
      <c r="L880" s="4"/>
      <c r="M880" s="4"/>
      <c r="N880" s="4"/>
      <c r="O880" s="4"/>
      <c r="P880" s="4"/>
      <c r="Q880" s="4"/>
      <c r="R880" s="4"/>
      <c r="S880" s="4"/>
      <c r="T880" s="4"/>
      <c r="U880" s="4"/>
      <c r="V880" s="4"/>
      <c r="W880" s="4"/>
      <c r="X880" s="4"/>
      <c r="Y880" s="4"/>
      <c r="Z880" s="4"/>
      <c r="AA880" s="4"/>
      <c r="AB880" s="4"/>
      <c r="AC880" s="4"/>
      <c r="AD880" s="4"/>
      <c r="AE880" s="4"/>
      <c r="AF880" s="4"/>
      <c r="AG880" s="4"/>
      <c r="AH880" s="4"/>
      <c r="AI880" s="4"/>
      <c r="AJ880" s="4"/>
      <c r="AK880" s="4"/>
      <c r="AL880" s="4"/>
      <c r="AM880" s="4"/>
      <c r="AN880" s="4"/>
      <c r="AO880" s="4"/>
      <c r="AP880" s="4"/>
      <c r="AQ880" s="4"/>
      <c r="AR880" s="4"/>
      <c r="AS880" s="4"/>
      <c r="AT880" s="4"/>
      <c r="AU880" s="4"/>
      <c r="AV880" s="4"/>
      <c r="AW880" s="4"/>
      <c r="AX880" s="4"/>
      <c r="AY880" s="4"/>
      <c r="AZ880" s="4"/>
      <c r="BA880" s="4"/>
      <c r="BB880" s="4"/>
      <c r="BC880" s="4"/>
      <c r="BD880" s="4"/>
      <c r="BE880" s="4"/>
      <c r="BF880" s="4"/>
      <c r="BG880" s="4"/>
      <c r="BH880" s="4"/>
      <c r="BI880" s="4"/>
      <c r="BJ880" s="4"/>
      <c r="BK880" s="4"/>
      <c r="BL880" s="4"/>
      <c r="BM880" s="4"/>
      <c r="BN880" s="4"/>
      <c r="BO880" s="4"/>
      <c r="BP880" s="4"/>
      <c r="BQ880" s="4"/>
      <c r="BR880" s="4"/>
      <c r="BS880" s="4"/>
      <c r="BT880" s="4"/>
      <c r="BU880" s="4"/>
      <c r="BV880" s="4"/>
      <c r="BW880" s="4"/>
      <c r="BX880" s="4"/>
      <c r="BY880" s="4"/>
      <c r="BZ880" s="4"/>
      <c r="CA880" s="4"/>
      <c r="CB880" s="4"/>
      <c r="CC880" s="4"/>
      <c r="CD880" s="4"/>
      <c r="CE880" s="4"/>
      <c r="CF880" s="4"/>
      <c r="CG880" s="4"/>
      <c r="CH880" s="4"/>
      <c r="CI880" s="4"/>
    </row>
    <row r="881" ht="14.25" customHeight="1" spans="1:87" x14ac:dyDescent="0.25">
      <c r="A881" s="4"/>
      <c r="B881" s="4"/>
      <c r="C881" s="4"/>
      <c r="D881" s="4"/>
      <c r="E881" s="4"/>
      <c r="F881" s="4"/>
      <c r="G881" s="4"/>
      <c r="H881" s="4"/>
      <c r="I881" s="4"/>
      <c r="J881" s="4"/>
      <c r="K881" s="242"/>
      <c r="L881" s="4"/>
      <c r="M881" s="4"/>
      <c r="N881" s="4"/>
      <c r="O881" s="4"/>
      <c r="P881" s="4"/>
      <c r="Q881" s="4"/>
      <c r="R881" s="4"/>
      <c r="S881" s="4"/>
      <c r="T881" s="4"/>
      <c r="U881" s="4"/>
      <c r="V881" s="4"/>
      <c r="W881" s="4"/>
      <c r="X881" s="4"/>
      <c r="Y881" s="4"/>
      <c r="Z881" s="4"/>
      <c r="AA881" s="4"/>
      <c r="AB881" s="4"/>
      <c r="AC881" s="4"/>
      <c r="AD881" s="4"/>
      <c r="AE881" s="4"/>
      <c r="AF881" s="4"/>
      <c r="AG881" s="4"/>
      <c r="AH881" s="4"/>
      <c r="AI881" s="4"/>
      <c r="AJ881" s="4"/>
      <c r="AK881" s="4"/>
      <c r="AL881" s="4"/>
      <c r="AM881" s="4"/>
      <c r="AN881" s="4"/>
      <c r="AO881" s="4"/>
      <c r="AP881" s="4"/>
      <c r="AQ881" s="4"/>
      <c r="AR881" s="4"/>
      <c r="AS881" s="4"/>
      <c r="AT881" s="4"/>
      <c r="AU881" s="4"/>
      <c r="AV881" s="4"/>
      <c r="AW881" s="4"/>
      <c r="AX881" s="4"/>
      <c r="AY881" s="4"/>
      <c r="AZ881" s="4"/>
      <c r="BA881" s="4"/>
      <c r="BB881" s="4"/>
      <c r="BC881" s="4"/>
      <c r="BD881" s="4"/>
      <c r="BE881" s="4"/>
      <c r="BF881" s="4"/>
      <c r="BG881" s="4"/>
      <c r="BH881" s="4"/>
      <c r="BI881" s="4"/>
      <c r="BJ881" s="4"/>
      <c r="BK881" s="4"/>
      <c r="BL881" s="4"/>
      <c r="BM881" s="4"/>
      <c r="BN881" s="4"/>
      <c r="BO881" s="4"/>
      <c r="BP881" s="4"/>
      <c r="BQ881" s="4"/>
      <c r="BR881" s="4"/>
      <c r="BS881" s="4"/>
      <c r="BT881" s="4"/>
      <c r="BU881" s="4"/>
      <c r="BV881" s="4"/>
      <c r="BW881" s="4"/>
      <c r="BX881" s="4"/>
      <c r="BY881" s="4"/>
      <c r="BZ881" s="4"/>
      <c r="CA881" s="4"/>
      <c r="CB881" s="4"/>
      <c r="CC881" s="4"/>
      <c r="CD881" s="4"/>
      <c r="CE881" s="4"/>
      <c r="CF881" s="4"/>
      <c r="CG881" s="4"/>
      <c r="CH881" s="4"/>
      <c r="CI881" s="4"/>
    </row>
    <row r="882" ht="14.25" customHeight="1" spans="1:87" x14ac:dyDescent="0.25">
      <c r="A882" s="4"/>
      <c r="B882" s="4"/>
      <c r="C882" s="4"/>
      <c r="D882" s="4"/>
      <c r="E882" s="4"/>
      <c r="F882" s="4"/>
      <c r="G882" s="4"/>
      <c r="H882" s="4"/>
      <c r="I882" s="4"/>
      <c r="J882" s="4"/>
      <c r="K882" s="242"/>
      <c r="L882" s="4"/>
      <c r="M882" s="4"/>
      <c r="N882" s="4"/>
      <c r="O882" s="4"/>
      <c r="P882" s="4"/>
      <c r="Q882" s="4"/>
      <c r="R882" s="4"/>
      <c r="S882" s="4"/>
      <c r="T882" s="4"/>
      <c r="U882" s="4"/>
      <c r="V882" s="4"/>
      <c r="W882" s="4"/>
      <c r="X882" s="4"/>
      <c r="Y882" s="4"/>
      <c r="Z882" s="4"/>
      <c r="AA882" s="4"/>
      <c r="AB882" s="4"/>
      <c r="AC882" s="4"/>
      <c r="AD882" s="4"/>
      <c r="AE882" s="4"/>
      <c r="AF882" s="4"/>
      <c r="AG882" s="4"/>
      <c r="AH882" s="4"/>
      <c r="AI882" s="4"/>
      <c r="AJ882" s="4"/>
      <c r="AK882" s="4"/>
      <c r="AL882" s="4"/>
      <c r="AM882" s="4"/>
      <c r="AN882" s="4"/>
      <c r="AO882" s="4"/>
      <c r="AP882" s="4"/>
      <c r="AQ882" s="4"/>
      <c r="AR882" s="4"/>
      <c r="AS882" s="4"/>
      <c r="AT882" s="4"/>
      <c r="AU882" s="4"/>
      <c r="AV882" s="4"/>
      <c r="AW882" s="4"/>
      <c r="AX882" s="4"/>
      <c r="AY882" s="4"/>
      <c r="AZ882" s="4"/>
      <c r="BA882" s="4"/>
      <c r="BB882" s="4"/>
      <c r="BC882" s="4"/>
      <c r="BD882" s="4"/>
      <c r="BE882" s="4"/>
      <c r="BF882" s="4"/>
      <c r="BG882" s="4"/>
      <c r="BH882" s="4"/>
      <c r="BI882" s="4"/>
      <c r="BJ882" s="4"/>
      <c r="BK882" s="4"/>
      <c r="BL882" s="4"/>
      <c r="BM882" s="4"/>
      <c r="BN882" s="4"/>
      <c r="BO882" s="4"/>
      <c r="BP882" s="4"/>
      <c r="BQ882" s="4"/>
      <c r="BR882" s="4"/>
      <c r="BS882" s="4"/>
      <c r="BT882" s="4"/>
      <c r="BU882" s="4"/>
      <c r="BV882" s="4"/>
      <c r="BW882" s="4"/>
      <c r="BX882" s="4"/>
      <c r="BY882" s="4"/>
      <c r="BZ882" s="4"/>
      <c r="CA882" s="4"/>
      <c r="CB882" s="4"/>
      <c r="CC882" s="4"/>
      <c r="CD882" s="4"/>
      <c r="CE882" s="4"/>
      <c r="CF882" s="4"/>
      <c r="CG882" s="4"/>
      <c r="CH882" s="4"/>
      <c r="CI882" s="4"/>
    </row>
    <row r="883" ht="14.25" customHeight="1" spans="1:87" x14ac:dyDescent="0.25">
      <c r="A883" s="4"/>
      <c r="B883" s="4"/>
      <c r="C883" s="4"/>
      <c r="D883" s="4"/>
      <c r="E883" s="4"/>
      <c r="F883" s="4"/>
      <c r="G883" s="4"/>
      <c r="H883" s="4"/>
      <c r="I883" s="4"/>
      <c r="J883" s="4"/>
      <c r="K883" s="242"/>
      <c r="L883" s="4"/>
      <c r="M883" s="4"/>
      <c r="N883" s="4"/>
      <c r="O883" s="4"/>
      <c r="P883" s="4"/>
      <c r="Q883" s="4"/>
      <c r="R883" s="4"/>
      <c r="S883" s="4"/>
      <c r="T883" s="4"/>
      <c r="U883" s="4"/>
      <c r="V883" s="4"/>
      <c r="W883" s="4"/>
      <c r="X883" s="4"/>
      <c r="Y883" s="4"/>
      <c r="Z883" s="4"/>
      <c r="AA883" s="4"/>
      <c r="AB883" s="4"/>
      <c r="AC883" s="4"/>
      <c r="AD883" s="4"/>
      <c r="AE883" s="4"/>
      <c r="AF883" s="4"/>
      <c r="AG883" s="4"/>
      <c r="AH883" s="4"/>
      <c r="AI883" s="4"/>
      <c r="AJ883" s="4"/>
      <c r="AK883" s="4"/>
      <c r="AL883" s="4"/>
      <c r="AM883" s="4"/>
      <c r="AN883" s="4"/>
      <c r="AO883" s="4"/>
      <c r="AP883" s="4"/>
      <c r="AQ883" s="4"/>
      <c r="AR883" s="4"/>
      <c r="AS883" s="4"/>
      <c r="AT883" s="4"/>
      <c r="AU883" s="4"/>
      <c r="AV883" s="4"/>
      <c r="AW883" s="4"/>
      <c r="AX883" s="4"/>
      <c r="AY883" s="4"/>
      <c r="AZ883" s="4"/>
      <c r="BA883" s="4"/>
      <c r="BB883" s="4"/>
      <c r="BC883" s="4"/>
      <c r="BD883" s="4"/>
      <c r="BE883" s="4"/>
      <c r="BF883" s="4"/>
      <c r="BG883" s="4"/>
      <c r="BH883" s="4"/>
      <c r="BI883" s="4"/>
      <c r="BJ883" s="4"/>
      <c r="BK883" s="4"/>
      <c r="BL883" s="4"/>
      <c r="BM883" s="4"/>
      <c r="BN883" s="4"/>
      <c r="BO883" s="4"/>
      <c r="BP883" s="4"/>
      <c r="BQ883" s="4"/>
      <c r="BR883" s="4"/>
      <c r="BS883" s="4"/>
      <c r="BT883" s="4"/>
      <c r="BU883" s="4"/>
      <c r="BV883" s="4"/>
      <c r="BW883" s="4"/>
      <c r="BX883" s="4"/>
      <c r="BY883" s="4"/>
      <c r="BZ883" s="4"/>
      <c r="CA883" s="4"/>
      <c r="CB883" s="4"/>
      <c r="CC883" s="4"/>
      <c r="CD883" s="4"/>
      <c r="CE883" s="4"/>
      <c r="CF883" s="4"/>
      <c r="CG883" s="4"/>
      <c r="CH883" s="4"/>
      <c r="CI883" s="4"/>
    </row>
    <row r="884" ht="14.25" customHeight="1" spans="1:87" x14ac:dyDescent="0.25">
      <c r="A884" s="4"/>
      <c r="B884" s="4"/>
      <c r="C884" s="4"/>
      <c r="D884" s="4"/>
      <c r="E884" s="4"/>
      <c r="F884" s="4"/>
      <c r="G884" s="4"/>
      <c r="H884" s="4"/>
      <c r="I884" s="4"/>
      <c r="J884" s="4"/>
      <c r="K884" s="242"/>
      <c r="L884" s="4"/>
      <c r="M884" s="4"/>
      <c r="N884" s="4"/>
      <c r="O884" s="4"/>
      <c r="P884" s="4"/>
      <c r="Q884" s="4"/>
      <c r="R884" s="4"/>
      <c r="S884" s="4"/>
      <c r="T884" s="4"/>
      <c r="U884" s="4"/>
      <c r="V884" s="4"/>
      <c r="W884" s="4"/>
      <c r="X884" s="4"/>
      <c r="Y884" s="4"/>
      <c r="Z884" s="4"/>
      <c r="AA884" s="4"/>
      <c r="AB884" s="4"/>
      <c r="AC884" s="4"/>
      <c r="AD884" s="4"/>
      <c r="AE884" s="4"/>
      <c r="AF884" s="4"/>
      <c r="AG884" s="4"/>
      <c r="AH884" s="4"/>
      <c r="AI884" s="4"/>
      <c r="AJ884" s="4"/>
      <c r="AK884" s="4"/>
      <c r="AL884" s="4"/>
      <c r="AM884" s="4"/>
      <c r="AN884" s="4"/>
      <c r="AO884" s="4"/>
      <c r="AP884" s="4"/>
      <c r="AQ884" s="4"/>
      <c r="AR884" s="4"/>
      <c r="AS884" s="4"/>
      <c r="AT884" s="4"/>
      <c r="AU884" s="4"/>
      <c r="AV884" s="4"/>
      <c r="AW884" s="4"/>
      <c r="AX884" s="4"/>
      <c r="AY884" s="4"/>
      <c r="AZ884" s="4"/>
      <c r="BA884" s="4"/>
      <c r="BB884" s="4"/>
      <c r="BC884" s="4"/>
      <c r="BD884" s="4"/>
      <c r="BE884" s="4"/>
      <c r="BF884" s="4"/>
      <c r="BG884" s="4"/>
      <c r="BH884" s="4"/>
      <c r="BI884" s="4"/>
      <c r="BJ884" s="4"/>
      <c r="BK884" s="4"/>
      <c r="BL884" s="4"/>
      <c r="BM884" s="4"/>
      <c r="BN884" s="4"/>
      <c r="BO884" s="4"/>
      <c r="BP884" s="4"/>
      <c r="BQ884" s="4"/>
      <c r="BR884" s="4"/>
      <c r="BS884" s="4"/>
      <c r="BT884" s="4"/>
      <c r="BU884" s="4"/>
      <c r="BV884" s="4"/>
      <c r="BW884" s="4"/>
      <c r="BX884" s="4"/>
      <c r="BY884" s="4"/>
      <c r="BZ884" s="4"/>
      <c r="CA884" s="4"/>
      <c r="CB884" s="4"/>
      <c r="CC884" s="4"/>
      <c r="CD884" s="4"/>
      <c r="CE884" s="4"/>
      <c r="CF884" s="4"/>
      <c r="CG884" s="4"/>
      <c r="CH884" s="4"/>
      <c r="CI884" s="4"/>
    </row>
    <row r="885" ht="14.25" customHeight="1" spans="1:87" x14ac:dyDescent="0.25">
      <c r="A885" s="4"/>
      <c r="B885" s="4"/>
      <c r="C885" s="4"/>
      <c r="D885" s="4"/>
      <c r="E885" s="4"/>
      <c r="F885" s="4"/>
      <c r="G885" s="4"/>
      <c r="H885" s="4"/>
      <c r="I885" s="4"/>
      <c r="J885" s="4"/>
      <c r="K885" s="242"/>
      <c r="L885" s="4"/>
      <c r="M885" s="4"/>
      <c r="N885" s="4"/>
      <c r="O885" s="4"/>
      <c r="P885" s="4"/>
      <c r="Q885" s="4"/>
      <c r="R885" s="4"/>
      <c r="S885" s="4"/>
      <c r="T885" s="4"/>
      <c r="U885" s="4"/>
      <c r="V885" s="4"/>
      <c r="W885" s="4"/>
      <c r="X885" s="4"/>
      <c r="Y885" s="4"/>
      <c r="Z885" s="4"/>
      <c r="AA885" s="4"/>
      <c r="AB885" s="4"/>
      <c r="AC885" s="4"/>
      <c r="AD885" s="4"/>
      <c r="AE885" s="4"/>
      <c r="AF885" s="4"/>
      <c r="AG885" s="4"/>
      <c r="AH885" s="4"/>
      <c r="AI885" s="4"/>
      <c r="AJ885" s="4"/>
      <c r="AK885" s="4"/>
      <c r="AL885" s="4"/>
      <c r="AM885" s="4"/>
      <c r="AN885" s="4"/>
      <c r="AO885" s="4"/>
      <c r="AP885" s="4"/>
      <c r="AQ885" s="4"/>
      <c r="AR885" s="4"/>
      <c r="AS885" s="4"/>
      <c r="AT885" s="4"/>
      <c r="AU885" s="4"/>
      <c r="AV885" s="4"/>
      <c r="AW885" s="4"/>
      <c r="AX885" s="4"/>
      <c r="AY885" s="4"/>
      <c r="AZ885" s="4"/>
      <c r="BA885" s="4"/>
      <c r="BB885" s="4"/>
      <c r="BC885" s="4"/>
      <c r="BD885" s="4"/>
      <c r="BE885" s="4"/>
      <c r="BF885" s="4"/>
      <c r="BG885" s="4"/>
      <c r="BH885" s="4"/>
      <c r="BI885" s="4"/>
      <c r="BJ885" s="4"/>
      <c r="BK885" s="4"/>
      <c r="BL885" s="4"/>
      <c r="BM885" s="4"/>
      <c r="BN885" s="4"/>
      <c r="BO885" s="4"/>
      <c r="BP885" s="4"/>
      <c r="BQ885" s="4"/>
      <c r="BR885" s="4"/>
      <c r="BS885" s="4"/>
      <c r="BT885" s="4"/>
      <c r="BU885" s="4"/>
      <c r="BV885" s="4"/>
      <c r="BW885" s="4"/>
      <c r="BX885" s="4"/>
      <c r="BY885" s="4"/>
      <c r="BZ885" s="4"/>
      <c r="CA885" s="4"/>
      <c r="CB885" s="4"/>
      <c r="CC885" s="4"/>
      <c r="CD885" s="4"/>
      <c r="CE885" s="4"/>
      <c r="CF885" s="4"/>
      <c r="CG885" s="4"/>
      <c r="CH885" s="4"/>
      <c r="CI885" s="4"/>
    </row>
    <row r="886" ht="14.25" customHeight="1" spans="1:87" x14ac:dyDescent="0.25">
      <c r="A886" s="4"/>
      <c r="B886" s="4"/>
      <c r="C886" s="4"/>
      <c r="D886" s="4"/>
      <c r="E886" s="4"/>
      <c r="F886" s="4"/>
      <c r="G886" s="4"/>
      <c r="H886" s="4"/>
      <c r="I886" s="4"/>
      <c r="J886" s="4"/>
      <c r="K886" s="242"/>
      <c r="L886" s="4"/>
      <c r="M886" s="4"/>
      <c r="N886" s="4"/>
      <c r="O886" s="4"/>
      <c r="P886" s="4"/>
      <c r="Q886" s="4"/>
      <c r="R886" s="4"/>
      <c r="S886" s="4"/>
      <c r="T886" s="4"/>
      <c r="U886" s="4"/>
      <c r="V886" s="4"/>
      <c r="W886" s="4"/>
      <c r="X886" s="4"/>
      <c r="Y886" s="4"/>
      <c r="Z886" s="4"/>
      <c r="AA886" s="4"/>
      <c r="AB886" s="4"/>
      <c r="AC886" s="4"/>
      <c r="AD886" s="4"/>
      <c r="AE886" s="4"/>
      <c r="AF886" s="4"/>
      <c r="AG886" s="4"/>
      <c r="AH886" s="4"/>
      <c r="AI886" s="4"/>
      <c r="AJ886" s="4"/>
      <c r="AK886" s="4"/>
      <c r="AL886" s="4"/>
      <c r="AM886" s="4"/>
      <c r="AN886" s="4"/>
      <c r="AO886" s="4"/>
      <c r="AP886" s="4"/>
      <c r="AQ886" s="4"/>
      <c r="AR886" s="4"/>
      <c r="AS886" s="4"/>
      <c r="AT886" s="4"/>
      <c r="AU886" s="4"/>
      <c r="AV886" s="4"/>
      <c r="AW886" s="4"/>
      <c r="AX886" s="4"/>
      <c r="AY886" s="4"/>
      <c r="AZ886" s="4"/>
      <c r="BA886" s="4"/>
      <c r="BB886" s="4"/>
      <c r="BC886" s="4"/>
      <c r="BD886" s="4"/>
      <c r="BE886" s="4"/>
      <c r="BF886" s="4"/>
      <c r="BG886" s="4"/>
      <c r="BH886" s="4"/>
      <c r="BI886" s="4"/>
      <c r="BJ886" s="4"/>
      <c r="BK886" s="4"/>
      <c r="BL886" s="4"/>
      <c r="BM886" s="4"/>
      <c r="BN886" s="4"/>
      <c r="BO886" s="4"/>
      <c r="BP886" s="4"/>
      <c r="BQ886" s="4"/>
      <c r="BR886" s="4"/>
      <c r="BS886" s="4"/>
      <c r="BT886" s="4"/>
      <c r="BU886" s="4"/>
      <c r="BV886" s="4"/>
      <c r="BW886" s="4"/>
      <c r="BX886" s="4"/>
      <c r="BY886" s="4"/>
      <c r="BZ886" s="4"/>
      <c r="CA886" s="4"/>
      <c r="CB886" s="4"/>
      <c r="CC886" s="4"/>
      <c r="CD886" s="4"/>
      <c r="CE886" s="4"/>
      <c r="CF886" s="4"/>
      <c r="CG886" s="4"/>
      <c r="CH886" s="4"/>
      <c r="CI886" s="4"/>
    </row>
    <row r="887" ht="14.25" customHeight="1" spans="1:87" x14ac:dyDescent="0.25">
      <c r="A887" s="4"/>
      <c r="B887" s="4"/>
      <c r="C887" s="4"/>
      <c r="D887" s="4"/>
      <c r="E887" s="4"/>
      <c r="F887" s="4"/>
      <c r="G887" s="4"/>
      <c r="H887" s="4"/>
      <c r="I887" s="4"/>
      <c r="J887" s="4"/>
      <c r="K887" s="242"/>
      <c r="L887" s="4"/>
      <c r="M887" s="4"/>
      <c r="N887" s="4"/>
      <c r="O887" s="4"/>
      <c r="P887" s="4"/>
      <c r="Q887" s="4"/>
      <c r="R887" s="4"/>
      <c r="S887" s="4"/>
      <c r="T887" s="4"/>
      <c r="U887" s="4"/>
      <c r="V887" s="4"/>
      <c r="W887" s="4"/>
      <c r="X887" s="4"/>
      <c r="Y887" s="4"/>
      <c r="Z887" s="4"/>
      <c r="AA887" s="4"/>
      <c r="AB887" s="4"/>
      <c r="AC887" s="4"/>
      <c r="AD887" s="4"/>
      <c r="AE887" s="4"/>
      <c r="AF887" s="4"/>
      <c r="AG887" s="4"/>
      <c r="AH887" s="4"/>
      <c r="AI887" s="4"/>
      <c r="AJ887" s="4"/>
      <c r="AK887" s="4"/>
      <c r="AL887" s="4"/>
      <c r="AM887" s="4"/>
      <c r="AN887" s="4"/>
      <c r="AO887" s="4"/>
      <c r="AP887" s="4"/>
      <c r="AQ887" s="4"/>
      <c r="AR887" s="4"/>
      <c r="AS887" s="4"/>
      <c r="AT887" s="4"/>
      <c r="AU887" s="4"/>
      <c r="AV887" s="4"/>
      <c r="AW887" s="4"/>
      <c r="AX887" s="4"/>
      <c r="AY887" s="4"/>
      <c r="AZ887" s="4"/>
      <c r="BA887" s="4"/>
      <c r="BB887" s="4"/>
      <c r="BC887" s="4"/>
      <c r="BD887" s="4"/>
      <c r="BE887" s="4"/>
      <c r="BF887" s="4"/>
      <c r="BG887" s="4"/>
      <c r="BH887" s="4"/>
      <c r="BI887" s="4"/>
      <c r="BJ887" s="4"/>
      <c r="BK887" s="4"/>
      <c r="BL887" s="4"/>
      <c r="BM887" s="4"/>
      <c r="BN887" s="4"/>
      <c r="BO887" s="4"/>
      <c r="BP887" s="4"/>
      <c r="BQ887" s="4"/>
      <c r="BR887" s="4"/>
      <c r="BS887" s="4"/>
      <c r="BT887" s="4"/>
      <c r="BU887" s="4"/>
      <c r="BV887" s="4"/>
      <c r="BW887" s="4"/>
      <c r="BX887" s="4"/>
      <c r="BY887" s="4"/>
      <c r="BZ887" s="4"/>
      <c r="CA887" s="4"/>
      <c r="CB887" s="4"/>
      <c r="CC887" s="4"/>
      <c r="CD887" s="4"/>
      <c r="CE887" s="4"/>
      <c r="CF887" s="4"/>
      <c r="CG887" s="4"/>
      <c r="CH887" s="4"/>
      <c r="CI887" s="4"/>
    </row>
    <row r="888" ht="14.25" customHeight="1" spans="1:87" x14ac:dyDescent="0.25">
      <c r="A888" s="4"/>
      <c r="B888" s="4"/>
      <c r="C888" s="4"/>
      <c r="D888" s="4"/>
      <c r="E888" s="4"/>
      <c r="F888" s="4"/>
      <c r="G888" s="4"/>
      <c r="H888" s="4"/>
      <c r="I888" s="4"/>
      <c r="J888" s="4"/>
      <c r="K888" s="242"/>
      <c r="L888" s="4"/>
      <c r="M888" s="4"/>
      <c r="N888" s="4"/>
      <c r="O888" s="4"/>
      <c r="P888" s="4"/>
      <c r="Q888" s="4"/>
      <c r="R888" s="4"/>
      <c r="S888" s="4"/>
      <c r="T888" s="4"/>
      <c r="U888" s="4"/>
      <c r="V888" s="4"/>
      <c r="W888" s="4"/>
      <c r="X888" s="4"/>
      <c r="Y888" s="4"/>
      <c r="Z888" s="4"/>
      <c r="AA888" s="4"/>
      <c r="AB888" s="4"/>
      <c r="AC888" s="4"/>
      <c r="AD888" s="4"/>
      <c r="AE888" s="4"/>
      <c r="AF888" s="4"/>
      <c r="AG888" s="4"/>
      <c r="AH888" s="4"/>
      <c r="AI888" s="4"/>
      <c r="AJ888" s="4"/>
      <c r="AK888" s="4"/>
      <c r="AL888" s="4"/>
      <c r="AM888" s="4"/>
      <c r="AN888" s="4"/>
      <c r="AO888" s="4"/>
      <c r="AP888" s="4"/>
      <c r="AQ888" s="4"/>
      <c r="AR888" s="4"/>
      <c r="AS888" s="4"/>
      <c r="AT888" s="4"/>
      <c r="AU888" s="4"/>
      <c r="AV888" s="4"/>
      <c r="AW888" s="4"/>
      <c r="AX888" s="4"/>
      <c r="AY888" s="4"/>
      <c r="AZ888" s="4"/>
      <c r="BA888" s="4"/>
      <c r="BB888" s="4"/>
      <c r="BC888" s="4"/>
      <c r="BD888" s="4"/>
      <c r="BE888" s="4"/>
      <c r="BF888" s="4"/>
      <c r="BG888" s="4"/>
      <c r="BH888" s="4"/>
      <c r="BI888" s="4"/>
      <c r="BJ888" s="4"/>
      <c r="BK888" s="4"/>
      <c r="BL888" s="4"/>
      <c r="BM888" s="4"/>
      <c r="BN888" s="4"/>
      <c r="BO888" s="4"/>
      <c r="BP888" s="4"/>
      <c r="BQ888" s="4"/>
      <c r="BR888" s="4"/>
      <c r="BS888" s="4"/>
      <c r="BT888" s="4"/>
      <c r="BU888" s="4"/>
      <c r="BV888" s="4"/>
      <c r="BW888" s="4"/>
      <c r="BX888" s="4"/>
      <c r="BY888" s="4"/>
      <c r="BZ888" s="4"/>
      <c r="CA888" s="4"/>
      <c r="CB888" s="4"/>
      <c r="CC888" s="4"/>
      <c r="CD888" s="4"/>
      <c r="CE888" s="4"/>
      <c r="CF888" s="4"/>
      <c r="CG888" s="4"/>
      <c r="CH888" s="4"/>
      <c r="CI888" s="4"/>
    </row>
    <row r="889" ht="14.25" customHeight="1" spans="1:87" x14ac:dyDescent="0.25">
      <c r="A889" s="4"/>
      <c r="B889" s="4"/>
      <c r="C889" s="4"/>
      <c r="D889" s="4"/>
      <c r="E889" s="4"/>
      <c r="F889" s="4"/>
      <c r="G889" s="4"/>
      <c r="H889" s="4"/>
      <c r="I889" s="4"/>
      <c r="J889" s="4"/>
      <c r="K889" s="242"/>
      <c r="L889" s="4"/>
      <c r="M889" s="4"/>
      <c r="N889" s="4"/>
      <c r="O889" s="4"/>
      <c r="P889" s="4"/>
      <c r="Q889" s="4"/>
      <c r="R889" s="4"/>
      <c r="S889" s="4"/>
      <c r="T889" s="4"/>
      <c r="U889" s="4"/>
      <c r="V889" s="4"/>
      <c r="W889" s="4"/>
      <c r="X889" s="4"/>
      <c r="Y889" s="4"/>
      <c r="Z889" s="4"/>
      <c r="AA889" s="4"/>
      <c r="AB889" s="4"/>
      <c r="AC889" s="4"/>
      <c r="AD889" s="4"/>
      <c r="AE889" s="4"/>
      <c r="AF889" s="4"/>
      <c r="AG889" s="4"/>
      <c r="AH889" s="4"/>
      <c r="AI889" s="4"/>
      <c r="AJ889" s="4"/>
      <c r="AK889" s="4"/>
      <c r="AL889" s="4"/>
      <c r="AM889" s="4"/>
      <c r="AN889" s="4"/>
      <c r="AO889" s="4"/>
      <c r="AP889" s="4"/>
      <c r="AQ889" s="4"/>
      <c r="AR889" s="4"/>
      <c r="AS889" s="4"/>
      <c r="AT889" s="4"/>
      <c r="AU889" s="4"/>
      <c r="AV889" s="4"/>
      <c r="AW889" s="4"/>
      <c r="AX889" s="4"/>
      <c r="AY889" s="4"/>
      <c r="AZ889" s="4"/>
      <c r="BA889" s="4"/>
      <c r="BB889" s="4"/>
      <c r="BC889" s="4"/>
      <c r="BD889" s="4"/>
      <c r="BE889" s="4"/>
      <c r="BF889" s="4"/>
      <c r="BG889" s="4"/>
      <c r="BH889" s="4"/>
      <c r="BI889" s="4"/>
      <c r="BJ889" s="4"/>
      <c r="BK889" s="4"/>
      <c r="BL889" s="4"/>
      <c r="BM889" s="4"/>
      <c r="BN889" s="4"/>
      <c r="BO889" s="4"/>
      <c r="BP889" s="4"/>
      <c r="BQ889" s="4"/>
      <c r="BR889" s="4"/>
      <c r="BS889" s="4"/>
      <c r="BT889" s="4"/>
      <c r="BU889" s="4"/>
      <c r="BV889" s="4"/>
      <c r="BW889" s="4"/>
      <c r="BX889" s="4"/>
      <c r="BY889" s="4"/>
      <c r="BZ889" s="4"/>
      <c r="CA889" s="4"/>
      <c r="CB889" s="4"/>
      <c r="CC889" s="4"/>
      <c r="CD889" s="4"/>
      <c r="CE889" s="4"/>
      <c r="CF889" s="4"/>
      <c r="CG889" s="4"/>
      <c r="CH889" s="4"/>
      <c r="CI889" s="4"/>
    </row>
    <row r="890" ht="14.25" customHeight="1" spans="1:87" x14ac:dyDescent="0.25">
      <c r="A890" s="4"/>
      <c r="B890" s="4"/>
      <c r="C890" s="4"/>
      <c r="D890" s="4"/>
      <c r="E890" s="4"/>
      <c r="F890" s="4"/>
      <c r="G890" s="4"/>
      <c r="H890" s="4"/>
      <c r="I890" s="4"/>
      <c r="J890" s="4"/>
      <c r="K890" s="242"/>
      <c r="L890" s="4"/>
      <c r="M890" s="4"/>
      <c r="N890" s="4"/>
      <c r="O890" s="4"/>
      <c r="P890" s="4"/>
      <c r="Q890" s="4"/>
      <c r="R890" s="4"/>
      <c r="S890" s="4"/>
      <c r="T890" s="4"/>
      <c r="U890" s="4"/>
      <c r="V890" s="4"/>
      <c r="W890" s="4"/>
      <c r="X890" s="4"/>
      <c r="Y890" s="4"/>
      <c r="Z890" s="4"/>
      <c r="AA890" s="4"/>
      <c r="AB890" s="4"/>
      <c r="AC890" s="4"/>
      <c r="AD890" s="4"/>
      <c r="AE890" s="4"/>
      <c r="AF890" s="4"/>
      <c r="AG890" s="4"/>
      <c r="AH890" s="4"/>
      <c r="AI890" s="4"/>
      <c r="AJ890" s="4"/>
      <c r="AK890" s="4"/>
      <c r="AL890" s="4"/>
      <c r="AM890" s="4"/>
      <c r="AN890" s="4"/>
      <c r="AO890" s="4"/>
      <c r="AP890" s="4"/>
      <c r="AQ890" s="4"/>
      <c r="AR890" s="4"/>
      <c r="AS890" s="4"/>
      <c r="AT890" s="4"/>
      <c r="AU890" s="4"/>
      <c r="AV890" s="4"/>
      <c r="AW890" s="4"/>
      <c r="AX890" s="4"/>
      <c r="AY890" s="4"/>
      <c r="AZ890" s="4"/>
      <c r="BA890" s="4"/>
      <c r="BB890" s="4"/>
      <c r="BC890" s="4"/>
      <c r="BD890" s="4"/>
      <c r="BE890" s="4"/>
      <c r="BF890" s="4"/>
      <c r="BG890" s="4"/>
      <c r="BH890" s="4"/>
      <c r="BI890" s="4"/>
      <c r="BJ890" s="4"/>
      <c r="BK890" s="4"/>
      <c r="BL890" s="4"/>
      <c r="BM890" s="4"/>
      <c r="BN890" s="4"/>
      <c r="BO890" s="4"/>
      <c r="BP890" s="4"/>
      <c r="BQ890" s="4"/>
      <c r="BR890" s="4"/>
      <c r="BS890" s="4"/>
      <c r="BT890" s="4"/>
      <c r="BU890" s="4"/>
      <c r="BV890" s="4"/>
      <c r="BW890" s="4"/>
      <c r="BX890" s="4"/>
      <c r="BY890" s="4"/>
      <c r="BZ890" s="4"/>
      <c r="CA890" s="4"/>
      <c r="CB890" s="4"/>
      <c r="CC890" s="4"/>
      <c r="CD890" s="4"/>
      <c r="CE890" s="4"/>
      <c r="CF890" s="4"/>
      <c r="CG890" s="4"/>
      <c r="CH890" s="4"/>
      <c r="CI890" s="4"/>
    </row>
    <row r="891" ht="14.25" customHeight="1" spans="1:87" x14ac:dyDescent="0.25">
      <c r="A891" s="4"/>
      <c r="B891" s="4"/>
      <c r="C891" s="4"/>
      <c r="D891" s="4"/>
      <c r="E891" s="4"/>
      <c r="F891" s="4"/>
      <c r="G891" s="4"/>
      <c r="H891" s="4"/>
      <c r="I891" s="4"/>
      <c r="J891" s="4"/>
      <c r="K891" s="242"/>
      <c r="L891" s="4"/>
      <c r="M891" s="4"/>
      <c r="N891" s="4"/>
      <c r="O891" s="4"/>
      <c r="P891" s="4"/>
      <c r="Q891" s="4"/>
      <c r="R891" s="4"/>
      <c r="S891" s="4"/>
      <c r="T891" s="4"/>
      <c r="U891" s="4"/>
      <c r="V891" s="4"/>
      <c r="W891" s="4"/>
      <c r="X891" s="4"/>
      <c r="Y891" s="4"/>
      <c r="Z891" s="4"/>
      <c r="AA891" s="4"/>
      <c r="AB891" s="4"/>
      <c r="AC891" s="4"/>
      <c r="AD891" s="4"/>
      <c r="AE891" s="4"/>
      <c r="AF891" s="4"/>
      <c r="AG891" s="4"/>
      <c r="AH891" s="4"/>
      <c r="AI891" s="4"/>
      <c r="AJ891" s="4"/>
      <c r="AK891" s="4"/>
      <c r="AL891" s="4"/>
      <c r="AM891" s="4"/>
      <c r="AN891" s="4"/>
      <c r="AO891" s="4"/>
      <c r="AP891" s="4"/>
      <c r="AQ891" s="4"/>
      <c r="AR891" s="4"/>
      <c r="AS891" s="4"/>
      <c r="AT891" s="4"/>
      <c r="AU891" s="4"/>
      <c r="AV891" s="4"/>
      <c r="AW891" s="4"/>
      <c r="AX891" s="4"/>
      <c r="AY891" s="4"/>
      <c r="AZ891" s="4"/>
      <c r="BA891" s="4"/>
      <c r="BB891" s="4"/>
      <c r="BC891" s="4"/>
      <c r="BD891" s="4"/>
      <c r="BE891" s="4"/>
      <c r="BF891" s="4"/>
      <c r="BG891" s="4"/>
      <c r="BH891" s="4"/>
      <c r="BI891" s="4"/>
      <c r="BJ891" s="4"/>
      <c r="BK891" s="4"/>
      <c r="BL891" s="4"/>
      <c r="BM891" s="4"/>
      <c r="BN891" s="4"/>
      <c r="BO891" s="4"/>
      <c r="BP891" s="4"/>
      <c r="BQ891" s="4"/>
      <c r="BR891" s="4"/>
      <c r="BS891" s="4"/>
      <c r="BT891" s="4"/>
      <c r="BU891" s="4"/>
      <c r="BV891" s="4"/>
      <c r="BW891" s="4"/>
      <c r="BX891" s="4"/>
      <c r="BY891" s="4"/>
      <c r="BZ891" s="4"/>
      <c r="CA891" s="4"/>
      <c r="CB891" s="4"/>
      <c r="CC891" s="4"/>
      <c r="CD891" s="4"/>
      <c r="CE891" s="4"/>
      <c r="CF891" s="4"/>
      <c r="CG891" s="4"/>
      <c r="CH891" s="4"/>
      <c r="CI891" s="4"/>
    </row>
    <row r="892" ht="14.25" customHeight="1" spans="1:87" x14ac:dyDescent="0.25">
      <c r="A892" s="4"/>
      <c r="B892" s="4"/>
      <c r="C892" s="4"/>
      <c r="D892" s="4"/>
      <c r="E892" s="4"/>
      <c r="F892" s="4"/>
      <c r="G892" s="4"/>
      <c r="H892" s="4"/>
      <c r="I892" s="4"/>
      <c r="J892" s="4"/>
      <c r="K892" s="242"/>
      <c r="L892" s="4"/>
      <c r="M892" s="4"/>
      <c r="N892" s="4"/>
      <c r="O892" s="4"/>
      <c r="P892" s="4"/>
      <c r="Q892" s="4"/>
      <c r="R892" s="4"/>
      <c r="S892" s="4"/>
      <c r="T892" s="4"/>
      <c r="U892" s="4"/>
      <c r="V892" s="4"/>
      <c r="W892" s="4"/>
      <c r="X892" s="4"/>
      <c r="Y892" s="4"/>
      <c r="Z892" s="4"/>
      <c r="AA892" s="4"/>
      <c r="AB892" s="4"/>
      <c r="AC892" s="4"/>
      <c r="AD892" s="4"/>
      <c r="AE892" s="4"/>
      <c r="AF892" s="4"/>
      <c r="AG892" s="4"/>
      <c r="AH892" s="4"/>
      <c r="AI892" s="4"/>
      <c r="AJ892" s="4"/>
      <c r="AK892" s="4"/>
      <c r="AL892" s="4"/>
      <c r="AM892" s="4"/>
      <c r="AN892" s="4"/>
      <c r="AO892" s="4"/>
      <c r="AP892" s="4"/>
      <c r="AQ892" s="4"/>
      <c r="AR892" s="4"/>
      <c r="AS892" s="4"/>
      <c r="AT892" s="4"/>
      <c r="AU892" s="4"/>
      <c r="AV892" s="4"/>
      <c r="AW892" s="4"/>
      <c r="AX892" s="4"/>
      <c r="AY892" s="4"/>
      <c r="AZ892" s="4"/>
      <c r="BA892" s="4"/>
      <c r="BB892" s="4"/>
      <c r="BC892" s="4"/>
      <c r="BD892" s="4"/>
      <c r="BE892" s="4"/>
      <c r="BF892" s="4"/>
      <c r="BG892" s="4"/>
      <c r="BH892" s="4"/>
      <c r="BI892" s="4"/>
      <c r="BJ892" s="4"/>
      <c r="BK892" s="4"/>
      <c r="BL892" s="4"/>
      <c r="BM892" s="4"/>
      <c r="BN892" s="4"/>
      <c r="BO892" s="4"/>
      <c r="BP892" s="4"/>
      <c r="BQ892" s="4"/>
      <c r="BR892" s="4"/>
      <c r="BS892" s="4"/>
      <c r="BT892" s="4"/>
      <c r="BU892" s="4"/>
      <c r="BV892" s="4"/>
      <c r="BW892" s="4"/>
      <c r="BX892" s="4"/>
      <c r="BY892" s="4"/>
      <c r="BZ892" s="4"/>
      <c r="CA892" s="4"/>
      <c r="CB892" s="4"/>
      <c r="CC892" s="4"/>
      <c r="CD892" s="4"/>
      <c r="CE892" s="4"/>
      <c r="CF892" s="4"/>
      <c r="CG892" s="4"/>
      <c r="CH892" s="4"/>
      <c r="CI892" s="4"/>
    </row>
    <row r="893" ht="14.25" customHeight="1" spans="1:87" x14ac:dyDescent="0.25">
      <c r="A893" s="4"/>
      <c r="B893" s="4"/>
      <c r="C893" s="4"/>
      <c r="D893" s="4"/>
      <c r="E893" s="4"/>
      <c r="F893" s="4"/>
      <c r="G893" s="4"/>
      <c r="H893" s="4"/>
      <c r="I893" s="4"/>
      <c r="J893" s="4"/>
      <c r="K893" s="242"/>
      <c r="L893" s="4"/>
      <c r="M893" s="4"/>
      <c r="N893" s="4"/>
      <c r="O893" s="4"/>
      <c r="P893" s="4"/>
      <c r="Q893" s="4"/>
      <c r="R893" s="4"/>
      <c r="S893" s="4"/>
      <c r="T893" s="4"/>
      <c r="U893" s="4"/>
      <c r="V893" s="4"/>
      <c r="W893" s="4"/>
      <c r="X893" s="4"/>
      <c r="Y893" s="4"/>
      <c r="Z893" s="4"/>
      <c r="AA893" s="4"/>
      <c r="AB893" s="4"/>
      <c r="AC893" s="4"/>
      <c r="AD893" s="4"/>
      <c r="AE893" s="4"/>
      <c r="AF893" s="4"/>
      <c r="AG893" s="4"/>
      <c r="AH893" s="4"/>
      <c r="AI893" s="4"/>
      <c r="AJ893" s="4"/>
      <c r="AK893" s="4"/>
      <c r="AL893" s="4"/>
      <c r="AM893" s="4"/>
      <c r="AN893" s="4"/>
      <c r="AO893" s="4"/>
      <c r="AP893" s="4"/>
      <c r="AQ893" s="4"/>
      <c r="AR893" s="4"/>
      <c r="AS893" s="4"/>
      <c r="AT893" s="4"/>
      <c r="AU893" s="4"/>
      <c r="AV893" s="4"/>
      <c r="AW893" s="4"/>
      <c r="AX893" s="4"/>
      <c r="AY893" s="4"/>
      <c r="AZ893" s="4"/>
      <c r="BA893" s="4"/>
      <c r="BB893" s="4"/>
      <c r="BC893" s="4"/>
      <c r="BD893" s="4"/>
      <c r="BE893" s="4"/>
      <c r="BF893" s="4"/>
      <c r="BG893" s="4"/>
      <c r="BH893" s="4"/>
      <c r="BI893" s="4"/>
      <c r="BJ893" s="4"/>
      <c r="BK893" s="4"/>
      <c r="BL893" s="4"/>
      <c r="BM893" s="4"/>
      <c r="BN893" s="4"/>
      <c r="BO893" s="4"/>
      <c r="BP893" s="4"/>
      <c r="BQ893" s="4"/>
      <c r="BR893" s="4"/>
      <c r="BS893" s="4"/>
      <c r="BT893" s="4"/>
      <c r="BU893" s="4"/>
      <c r="BV893" s="4"/>
      <c r="BW893" s="4"/>
      <c r="BX893" s="4"/>
      <c r="BY893" s="4"/>
      <c r="BZ893" s="4"/>
      <c r="CA893" s="4"/>
      <c r="CB893" s="4"/>
      <c r="CC893" s="4"/>
      <c r="CD893" s="4"/>
      <c r="CE893" s="4"/>
      <c r="CF893" s="4"/>
      <c r="CG893" s="4"/>
      <c r="CH893" s="4"/>
      <c r="CI893" s="4"/>
    </row>
    <row r="894" ht="14.25" customHeight="1" spans="1:87" x14ac:dyDescent="0.25">
      <c r="A894" s="4"/>
      <c r="B894" s="4"/>
      <c r="C894" s="4"/>
      <c r="D894" s="4"/>
      <c r="E894" s="4"/>
      <c r="F894" s="4"/>
      <c r="G894" s="4"/>
      <c r="H894" s="4"/>
      <c r="I894" s="4"/>
      <c r="J894" s="4"/>
      <c r="K894" s="242"/>
      <c r="L894" s="4"/>
      <c r="M894" s="4"/>
      <c r="N894" s="4"/>
      <c r="O894" s="4"/>
      <c r="P894" s="4"/>
      <c r="Q894" s="4"/>
      <c r="R894" s="4"/>
      <c r="S894" s="4"/>
      <c r="T894" s="4"/>
      <c r="U894" s="4"/>
      <c r="V894" s="4"/>
      <c r="W894" s="4"/>
      <c r="X894" s="4"/>
      <c r="Y894" s="4"/>
      <c r="Z894" s="4"/>
      <c r="AA894" s="4"/>
      <c r="AB894" s="4"/>
      <c r="AC894" s="4"/>
      <c r="AD894" s="4"/>
      <c r="AE894" s="4"/>
      <c r="AF894" s="4"/>
      <c r="AG894" s="4"/>
      <c r="AH894" s="4"/>
      <c r="AI894" s="4"/>
      <c r="AJ894" s="4"/>
      <c r="AK894" s="4"/>
      <c r="AL894" s="4"/>
      <c r="AM894" s="4"/>
      <c r="AN894" s="4"/>
      <c r="AO894" s="4"/>
      <c r="AP894" s="4"/>
      <c r="AQ894" s="4"/>
      <c r="AR894" s="4"/>
      <c r="AS894" s="4"/>
      <c r="AT894" s="4"/>
      <c r="AU894" s="4"/>
      <c r="AV894" s="4"/>
      <c r="AW894" s="4"/>
      <c r="AX894" s="4"/>
      <c r="AY894" s="4"/>
      <c r="AZ894" s="4"/>
      <c r="BA894" s="4"/>
      <c r="BB894" s="4"/>
      <c r="BC894" s="4"/>
      <c r="BD894" s="4"/>
      <c r="BE894" s="4"/>
      <c r="BF894" s="4"/>
      <c r="BG894" s="4"/>
      <c r="BH894" s="4"/>
      <c r="BI894" s="4"/>
      <c r="BJ894" s="4"/>
      <c r="BK894" s="4"/>
      <c r="BL894" s="4"/>
      <c r="BM894" s="4"/>
      <c r="BN894" s="4"/>
      <c r="BO894" s="4"/>
      <c r="BP894" s="4"/>
      <c r="BQ894" s="4"/>
      <c r="BR894" s="4"/>
      <c r="BS894" s="4"/>
      <c r="BT894" s="4"/>
      <c r="BU894" s="4"/>
      <c r="BV894" s="4"/>
      <c r="BW894" s="4"/>
      <c r="BX894" s="4"/>
      <c r="BY894" s="4"/>
      <c r="BZ894" s="4"/>
      <c r="CA894" s="4"/>
      <c r="CB894" s="4"/>
      <c r="CC894" s="4"/>
      <c r="CD894" s="4"/>
      <c r="CE894" s="4"/>
      <c r="CF894" s="4"/>
      <c r="CG894" s="4"/>
      <c r="CH894" s="4"/>
      <c r="CI894" s="4"/>
    </row>
    <row r="895" ht="14.25" customHeight="1" spans="1:87" x14ac:dyDescent="0.25">
      <c r="A895" s="4"/>
      <c r="B895" s="4"/>
      <c r="C895" s="4"/>
      <c r="D895" s="4"/>
      <c r="E895" s="4"/>
      <c r="F895" s="4"/>
      <c r="G895" s="4"/>
      <c r="H895" s="4"/>
      <c r="I895" s="4"/>
      <c r="J895" s="4"/>
      <c r="K895" s="242"/>
      <c r="L895" s="4"/>
      <c r="M895" s="4"/>
      <c r="N895" s="4"/>
      <c r="O895" s="4"/>
      <c r="P895" s="4"/>
      <c r="Q895" s="4"/>
      <c r="R895" s="4"/>
      <c r="S895" s="4"/>
      <c r="T895" s="4"/>
      <c r="U895" s="4"/>
      <c r="V895" s="4"/>
      <c r="W895" s="4"/>
      <c r="X895" s="4"/>
      <c r="Y895" s="4"/>
      <c r="Z895" s="4"/>
      <c r="AA895" s="4"/>
      <c r="AB895" s="4"/>
      <c r="AC895" s="4"/>
      <c r="AD895" s="4"/>
      <c r="AE895" s="4"/>
      <c r="AF895" s="4"/>
      <c r="AG895" s="4"/>
      <c r="AH895" s="4"/>
      <c r="AI895" s="4"/>
      <c r="AJ895" s="4"/>
      <c r="AK895" s="4"/>
      <c r="AL895" s="4"/>
      <c r="AM895" s="4"/>
      <c r="AN895" s="4"/>
      <c r="AO895" s="4"/>
      <c r="AP895" s="4"/>
      <c r="AQ895" s="4"/>
      <c r="AR895" s="4"/>
      <c r="AS895" s="4"/>
      <c r="AT895" s="4"/>
      <c r="AU895" s="4"/>
      <c r="AV895" s="4"/>
      <c r="AW895" s="4"/>
      <c r="AX895" s="4"/>
      <c r="AY895" s="4"/>
      <c r="AZ895" s="4"/>
      <c r="BA895" s="4"/>
      <c r="BB895" s="4"/>
      <c r="BC895" s="4"/>
      <c r="BD895" s="4"/>
      <c r="BE895" s="4"/>
      <c r="BF895" s="4"/>
      <c r="BG895" s="4"/>
      <c r="BH895" s="4"/>
      <c r="BI895" s="4"/>
      <c r="BJ895" s="4"/>
      <c r="BK895" s="4"/>
      <c r="BL895" s="4"/>
      <c r="BM895" s="4"/>
      <c r="BN895" s="4"/>
      <c r="BO895" s="4"/>
      <c r="BP895" s="4"/>
      <c r="BQ895" s="4"/>
      <c r="BR895" s="4"/>
      <c r="BS895" s="4"/>
      <c r="BT895" s="4"/>
      <c r="BU895" s="4"/>
      <c r="BV895" s="4"/>
      <c r="BW895" s="4"/>
      <c r="BX895" s="4"/>
      <c r="BY895" s="4"/>
      <c r="BZ895" s="4"/>
      <c r="CA895" s="4"/>
      <c r="CB895" s="4"/>
      <c r="CC895" s="4"/>
      <c r="CD895" s="4"/>
      <c r="CE895" s="4"/>
      <c r="CF895" s="4"/>
      <c r="CG895" s="4"/>
      <c r="CH895" s="4"/>
      <c r="CI895" s="4"/>
    </row>
    <row r="896" ht="14.25" customHeight="1" spans="1:87" x14ac:dyDescent="0.25">
      <c r="A896" s="4"/>
      <c r="B896" s="4"/>
      <c r="C896" s="4"/>
      <c r="D896" s="4"/>
      <c r="E896" s="4"/>
      <c r="F896" s="4"/>
      <c r="G896" s="4"/>
      <c r="H896" s="4"/>
      <c r="I896" s="4"/>
      <c r="J896" s="4"/>
      <c r="K896" s="242"/>
      <c r="L896" s="4"/>
      <c r="M896" s="4"/>
      <c r="N896" s="4"/>
      <c r="O896" s="4"/>
      <c r="P896" s="4"/>
      <c r="Q896" s="4"/>
      <c r="R896" s="4"/>
      <c r="S896" s="4"/>
      <c r="T896" s="4"/>
      <c r="U896" s="4"/>
      <c r="V896" s="4"/>
      <c r="W896" s="4"/>
      <c r="X896" s="4"/>
      <c r="Y896" s="4"/>
      <c r="Z896" s="4"/>
      <c r="AA896" s="4"/>
      <c r="AB896" s="4"/>
      <c r="AC896" s="4"/>
      <c r="AD896" s="4"/>
      <c r="AE896" s="4"/>
      <c r="AF896" s="4"/>
      <c r="AG896" s="4"/>
      <c r="AH896" s="4"/>
      <c r="AI896" s="4"/>
      <c r="AJ896" s="4"/>
      <c r="AK896" s="4"/>
      <c r="AL896" s="4"/>
      <c r="AM896" s="4"/>
      <c r="AN896" s="4"/>
      <c r="AO896" s="4"/>
      <c r="AP896" s="4"/>
      <c r="AQ896" s="4"/>
      <c r="AR896" s="4"/>
      <c r="AS896" s="4"/>
      <c r="AT896" s="4"/>
      <c r="AU896" s="4"/>
      <c r="AV896" s="4"/>
      <c r="AW896" s="4"/>
      <c r="AX896" s="4"/>
      <c r="AY896" s="4"/>
      <c r="AZ896" s="4"/>
      <c r="BA896" s="4"/>
      <c r="BB896" s="4"/>
      <c r="BC896" s="4"/>
      <c r="BD896" s="4"/>
      <c r="BE896" s="4"/>
      <c r="BF896" s="4"/>
      <c r="BG896" s="4"/>
      <c r="BH896" s="4"/>
      <c r="BI896" s="4"/>
      <c r="BJ896" s="4"/>
      <c r="BK896" s="4"/>
      <c r="BL896" s="4"/>
      <c r="BM896" s="4"/>
      <c r="BN896" s="4"/>
      <c r="BO896" s="4"/>
      <c r="BP896" s="4"/>
      <c r="BQ896" s="4"/>
      <c r="BR896" s="4"/>
      <c r="BS896" s="4"/>
      <c r="BT896" s="4"/>
      <c r="BU896" s="4"/>
      <c r="BV896" s="4"/>
      <c r="BW896" s="4"/>
      <c r="BX896" s="4"/>
      <c r="BY896" s="4"/>
      <c r="BZ896" s="4"/>
      <c r="CA896" s="4"/>
      <c r="CB896" s="4"/>
      <c r="CC896" s="4"/>
      <c r="CD896" s="4"/>
      <c r="CE896" s="4"/>
      <c r="CF896" s="4"/>
      <c r="CG896" s="4"/>
      <c r="CH896" s="4"/>
      <c r="CI896" s="4"/>
    </row>
    <row r="897" ht="14.25" customHeight="1" spans="1:87" x14ac:dyDescent="0.25">
      <c r="A897" s="4"/>
      <c r="B897" s="4"/>
      <c r="C897" s="4"/>
      <c r="D897" s="4"/>
      <c r="E897" s="4"/>
      <c r="F897" s="4"/>
      <c r="G897" s="4"/>
      <c r="H897" s="4"/>
      <c r="I897" s="4"/>
      <c r="J897" s="4"/>
      <c r="K897" s="242"/>
      <c r="L897" s="4"/>
      <c r="M897" s="4"/>
      <c r="N897" s="4"/>
      <c r="O897" s="4"/>
      <c r="P897" s="4"/>
      <c r="Q897" s="4"/>
      <c r="R897" s="4"/>
      <c r="S897" s="4"/>
      <c r="T897" s="4"/>
      <c r="U897" s="4"/>
      <c r="V897" s="4"/>
      <c r="W897" s="4"/>
      <c r="X897" s="4"/>
      <c r="Y897" s="4"/>
      <c r="Z897" s="4"/>
      <c r="AA897" s="4"/>
      <c r="AB897" s="4"/>
      <c r="AC897" s="4"/>
      <c r="AD897" s="4"/>
      <c r="AE897" s="4"/>
      <c r="AF897" s="4"/>
      <c r="AG897" s="4"/>
      <c r="AH897" s="4"/>
      <c r="AI897" s="4"/>
      <c r="AJ897" s="4"/>
      <c r="AK897" s="4"/>
      <c r="AL897" s="4"/>
      <c r="AM897" s="4"/>
      <c r="AN897" s="4"/>
      <c r="AO897" s="4"/>
      <c r="AP897" s="4"/>
      <c r="AQ897" s="4"/>
      <c r="AR897" s="4"/>
      <c r="AS897" s="4"/>
      <c r="AT897" s="4"/>
      <c r="AU897" s="4"/>
      <c r="AV897" s="4"/>
      <c r="AW897" s="4"/>
      <c r="AX897" s="4"/>
      <c r="AY897" s="4"/>
      <c r="AZ897" s="4"/>
      <c r="BA897" s="4"/>
      <c r="BB897" s="4"/>
      <c r="BC897" s="4"/>
      <c r="BD897" s="4"/>
      <c r="BE897" s="4"/>
      <c r="BF897" s="4"/>
      <c r="BG897" s="4"/>
      <c r="BH897" s="4"/>
      <c r="BI897" s="4"/>
      <c r="BJ897" s="4"/>
      <c r="BK897" s="4"/>
      <c r="BL897" s="4"/>
      <c r="BM897" s="4"/>
      <c r="BN897" s="4"/>
      <c r="BO897" s="4"/>
      <c r="BP897" s="4"/>
      <c r="BQ897" s="4"/>
      <c r="BR897" s="4"/>
      <c r="BS897" s="4"/>
      <c r="BT897" s="4"/>
      <c r="BU897" s="4"/>
      <c r="BV897" s="4"/>
      <c r="BW897" s="4"/>
      <c r="BX897" s="4"/>
      <c r="BY897" s="4"/>
      <c r="BZ897" s="4"/>
      <c r="CA897" s="4"/>
      <c r="CB897" s="4"/>
      <c r="CC897" s="4"/>
      <c r="CD897" s="4"/>
      <c r="CE897" s="4"/>
      <c r="CF897" s="4"/>
      <c r="CG897" s="4"/>
      <c r="CH897" s="4"/>
      <c r="CI897" s="4"/>
    </row>
    <row r="898" ht="14.25" customHeight="1" spans="1:87" x14ac:dyDescent="0.25">
      <c r="A898" s="4"/>
      <c r="B898" s="4"/>
      <c r="C898" s="4"/>
      <c r="D898" s="4"/>
      <c r="E898" s="4"/>
      <c r="F898" s="4"/>
      <c r="G898" s="4"/>
      <c r="H898" s="4"/>
      <c r="I898" s="4"/>
      <c r="J898" s="4"/>
      <c r="K898" s="242"/>
      <c r="L898" s="4"/>
      <c r="M898" s="4"/>
      <c r="N898" s="4"/>
      <c r="O898" s="4"/>
      <c r="P898" s="4"/>
      <c r="Q898" s="4"/>
      <c r="R898" s="4"/>
      <c r="S898" s="4"/>
      <c r="T898" s="4"/>
      <c r="U898" s="4"/>
      <c r="V898" s="4"/>
      <c r="W898" s="4"/>
      <c r="X898" s="4"/>
      <c r="Y898" s="4"/>
      <c r="Z898" s="4"/>
      <c r="AA898" s="4"/>
      <c r="AB898" s="4"/>
      <c r="AC898" s="4"/>
      <c r="AD898" s="4"/>
      <c r="AE898" s="4"/>
      <c r="AF898" s="4"/>
      <c r="AG898" s="4"/>
      <c r="AH898" s="4"/>
      <c r="AI898" s="4"/>
      <c r="AJ898" s="4"/>
      <c r="AK898" s="4"/>
      <c r="AL898" s="4"/>
      <c r="AM898" s="4"/>
      <c r="AN898" s="4"/>
      <c r="AO898" s="4"/>
      <c r="AP898" s="4"/>
      <c r="AQ898" s="4"/>
      <c r="AR898" s="4"/>
      <c r="AS898" s="4"/>
      <c r="AT898" s="4"/>
      <c r="AU898" s="4"/>
      <c r="AV898" s="4"/>
      <c r="AW898" s="4"/>
      <c r="AX898" s="4"/>
      <c r="AY898" s="4"/>
      <c r="AZ898" s="4"/>
      <c r="BA898" s="4"/>
      <c r="BB898" s="4"/>
      <c r="BC898" s="4"/>
      <c r="BD898" s="4"/>
      <c r="BE898" s="4"/>
      <c r="BF898" s="4"/>
      <c r="BG898" s="4"/>
      <c r="BH898" s="4"/>
      <c r="BI898" s="4"/>
      <c r="BJ898" s="4"/>
      <c r="BK898" s="4"/>
      <c r="BL898" s="4"/>
      <c r="BM898" s="4"/>
      <c r="BN898" s="4"/>
      <c r="BO898" s="4"/>
      <c r="BP898" s="4"/>
      <c r="BQ898" s="4"/>
      <c r="BR898" s="4"/>
      <c r="BS898" s="4"/>
      <c r="BT898" s="4"/>
      <c r="BU898" s="4"/>
      <c r="BV898" s="4"/>
      <c r="BW898" s="4"/>
      <c r="BX898" s="4"/>
      <c r="BY898" s="4"/>
      <c r="BZ898" s="4"/>
      <c r="CA898" s="4"/>
      <c r="CB898" s="4"/>
      <c r="CC898" s="4"/>
      <c r="CD898" s="4"/>
      <c r="CE898" s="4"/>
      <c r="CF898" s="4"/>
      <c r="CG898" s="4"/>
      <c r="CH898" s="4"/>
      <c r="CI898" s="4"/>
    </row>
    <row r="899" ht="14.25" customHeight="1" spans="1:87" x14ac:dyDescent="0.25">
      <c r="A899" s="4"/>
      <c r="B899" s="4"/>
      <c r="C899" s="4"/>
      <c r="D899" s="4"/>
      <c r="E899" s="4"/>
      <c r="F899" s="4"/>
      <c r="G899" s="4"/>
      <c r="H899" s="4"/>
      <c r="I899" s="4"/>
      <c r="J899" s="4"/>
      <c r="K899" s="242"/>
      <c r="L899" s="4"/>
      <c r="M899" s="4"/>
      <c r="N899" s="4"/>
      <c r="O899" s="4"/>
      <c r="P899" s="4"/>
      <c r="Q899" s="4"/>
      <c r="R899" s="4"/>
      <c r="S899" s="4"/>
      <c r="T899" s="4"/>
      <c r="U899" s="4"/>
      <c r="V899" s="4"/>
      <c r="W899" s="4"/>
      <c r="X899" s="4"/>
      <c r="Y899" s="4"/>
      <c r="Z899" s="4"/>
      <c r="AA899" s="4"/>
      <c r="AB899" s="4"/>
      <c r="AC899" s="4"/>
      <c r="AD899" s="4"/>
      <c r="AE899" s="4"/>
      <c r="AF899" s="4"/>
      <c r="AG899" s="4"/>
      <c r="AH899" s="4"/>
      <c r="AI899" s="4"/>
      <c r="AJ899" s="4"/>
      <c r="AK899" s="4"/>
      <c r="AL899" s="4"/>
      <c r="AM899" s="4"/>
      <c r="AN899" s="4"/>
      <c r="AO899" s="4"/>
      <c r="AP899" s="4"/>
      <c r="AQ899" s="4"/>
      <c r="AR899" s="4"/>
      <c r="AS899" s="4"/>
      <c r="AT899" s="4"/>
      <c r="AU899" s="4"/>
      <c r="AV899" s="4"/>
      <c r="AW899" s="4"/>
      <c r="AX899" s="4"/>
      <c r="AY899" s="4"/>
      <c r="AZ899" s="4"/>
      <c r="BA899" s="4"/>
      <c r="BB899" s="4"/>
      <c r="BC899" s="4"/>
      <c r="BD899" s="4"/>
      <c r="BE899" s="4"/>
      <c r="BF899" s="4"/>
      <c r="BG899" s="4"/>
      <c r="BH899" s="4"/>
      <c r="BI899" s="4"/>
      <c r="BJ899" s="4"/>
      <c r="BK899" s="4"/>
      <c r="BL899" s="4"/>
      <c r="BM899" s="4"/>
      <c r="BN899" s="4"/>
      <c r="BO899" s="4"/>
      <c r="BP899" s="4"/>
      <c r="BQ899" s="4"/>
      <c r="BR899" s="4"/>
      <c r="BS899" s="4"/>
      <c r="BT899" s="4"/>
      <c r="BU899" s="4"/>
      <c r="BV899" s="4"/>
      <c r="BW899" s="4"/>
      <c r="BX899" s="4"/>
      <c r="BY899" s="4"/>
      <c r="BZ899" s="4"/>
      <c r="CA899" s="4"/>
      <c r="CB899" s="4"/>
      <c r="CC899" s="4"/>
      <c r="CD899" s="4"/>
      <c r="CE899" s="4"/>
      <c r="CF899" s="4"/>
      <c r="CG899" s="4"/>
      <c r="CH899" s="4"/>
      <c r="CI899" s="4"/>
    </row>
    <row r="900" ht="14.25" customHeight="1" spans="1:87" x14ac:dyDescent="0.25">
      <c r="A900" s="4"/>
      <c r="B900" s="4"/>
      <c r="C900" s="4"/>
      <c r="D900" s="4"/>
      <c r="E900" s="4"/>
      <c r="F900" s="4"/>
      <c r="G900" s="4"/>
      <c r="H900" s="4"/>
      <c r="I900" s="4"/>
      <c r="J900" s="4"/>
      <c r="K900" s="242"/>
      <c r="L900" s="4"/>
      <c r="M900" s="4"/>
      <c r="N900" s="4"/>
      <c r="O900" s="4"/>
      <c r="P900" s="4"/>
      <c r="Q900" s="4"/>
      <c r="R900" s="4"/>
      <c r="S900" s="4"/>
      <c r="T900" s="4"/>
      <c r="U900" s="4"/>
      <c r="V900" s="4"/>
      <c r="W900" s="4"/>
      <c r="X900" s="4"/>
      <c r="Y900" s="4"/>
      <c r="Z900" s="4"/>
      <c r="AA900" s="4"/>
      <c r="AB900" s="4"/>
      <c r="AC900" s="4"/>
      <c r="AD900" s="4"/>
      <c r="AE900" s="4"/>
      <c r="AF900" s="4"/>
      <c r="AG900" s="4"/>
      <c r="AH900" s="4"/>
      <c r="AI900" s="4"/>
      <c r="AJ900" s="4"/>
      <c r="AK900" s="4"/>
      <c r="AL900" s="4"/>
      <c r="AM900" s="4"/>
      <c r="AN900" s="4"/>
      <c r="AO900" s="4"/>
      <c r="AP900" s="4"/>
      <c r="AQ900" s="4"/>
      <c r="AR900" s="4"/>
      <c r="AS900" s="4"/>
      <c r="AT900" s="4"/>
      <c r="AU900" s="4"/>
      <c r="AV900" s="4"/>
      <c r="AW900" s="4"/>
      <c r="AX900" s="4"/>
      <c r="AY900" s="4"/>
      <c r="AZ900" s="4"/>
      <c r="BA900" s="4"/>
      <c r="BB900" s="4"/>
      <c r="BC900" s="4"/>
      <c r="BD900" s="4"/>
      <c r="BE900" s="4"/>
      <c r="BF900" s="4"/>
      <c r="BG900" s="4"/>
      <c r="BH900" s="4"/>
      <c r="BI900" s="4"/>
      <c r="BJ900" s="4"/>
      <c r="BK900" s="4"/>
      <c r="BL900" s="4"/>
      <c r="BM900" s="4"/>
      <c r="BN900" s="4"/>
      <c r="BO900" s="4"/>
      <c r="BP900" s="4"/>
      <c r="BQ900" s="4"/>
      <c r="BR900" s="4"/>
      <c r="BS900" s="4"/>
      <c r="BT900" s="4"/>
      <c r="BU900" s="4"/>
      <c r="BV900" s="4"/>
      <c r="BW900" s="4"/>
      <c r="BX900" s="4"/>
      <c r="BY900" s="4"/>
      <c r="BZ900" s="4"/>
      <c r="CA900" s="4"/>
      <c r="CB900" s="4"/>
      <c r="CC900" s="4"/>
      <c r="CD900" s="4"/>
      <c r="CE900" s="4"/>
      <c r="CF900" s="4"/>
      <c r="CG900" s="4"/>
      <c r="CH900" s="4"/>
      <c r="CI900" s="4"/>
    </row>
    <row r="901" ht="14.25" customHeight="1" spans="1:87" x14ac:dyDescent="0.25">
      <c r="A901" s="4"/>
      <c r="B901" s="4"/>
      <c r="C901" s="4"/>
      <c r="D901" s="4"/>
      <c r="E901" s="4"/>
      <c r="F901" s="4"/>
      <c r="G901" s="4"/>
      <c r="H901" s="4"/>
      <c r="I901" s="4"/>
      <c r="J901" s="4"/>
      <c r="K901" s="242"/>
      <c r="L901" s="4"/>
      <c r="M901" s="4"/>
      <c r="N901" s="4"/>
      <c r="O901" s="4"/>
      <c r="P901" s="4"/>
      <c r="Q901" s="4"/>
      <c r="R901" s="4"/>
      <c r="S901" s="4"/>
      <c r="T901" s="4"/>
      <c r="U901" s="4"/>
      <c r="V901" s="4"/>
      <c r="W901" s="4"/>
      <c r="X901" s="4"/>
      <c r="Y901" s="4"/>
      <c r="Z901" s="4"/>
      <c r="AA901" s="4"/>
      <c r="AB901" s="4"/>
      <c r="AC901" s="4"/>
      <c r="AD901" s="4"/>
      <c r="AE901" s="4"/>
      <c r="AF901" s="4"/>
      <c r="AG901" s="4"/>
      <c r="AH901" s="4"/>
      <c r="AI901" s="4"/>
      <c r="AJ901" s="4"/>
      <c r="AK901" s="4"/>
      <c r="AL901" s="4"/>
      <c r="AM901" s="4"/>
      <c r="AN901" s="4"/>
      <c r="AO901" s="4"/>
      <c r="AP901" s="4"/>
      <c r="AQ901" s="4"/>
      <c r="AR901" s="4"/>
      <c r="AS901" s="4"/>
      <c r="AT901" s="4"/>
      <c r="AU901" s="4"/>
      <c r="AV901" s="4"/>
      <c r="AW901" s="4"/>
      <c r="AX901" s="4"/>
      <c r="AY901" s="4"/>
      <c r="AZ901" s="4"/>
      <c r="BA901" s="4"/>
      <c r="BB901" s="4"/>
      <c r="BC901" s="4"/>
      <c r="BD901" s="4"/>
      <c r="BE901" s="4"/>
      <c r="BF901" s="4"/>
      <c r="BG901" s="4"/>
      <c r="BH901" s="4"/>
      <c r="BI901" s="4"/>
      <c r="BJ901" s="4"/>
      <c r="BK901" s="4"/>
      <c r="BL901" s="4"/>
      <c r="BM901" s="4"/>
      <c r="BN901" s="4"/>
      <c r="BO901" s="4"/>
      <c r="BP901" s="4"/>
      <c r="BQ901" s="4"/>
      <c r="BR901" s="4"/>
      <c r="BS901" s="4"/>
      <c r="BT901" s="4"/>
      <c r="BU901" s="4"/>
      <c r="BV901" s="4"/>
      <c r="BW901" s="4"/>
      <c r="BX901" s="4"/>
      <c r="BY901" s="4"/>
      <c r="BZ901" s="4"/>
      <c r="CA901" s="4"/>
      <c r="CB901" s="4"/>
      <c r="CC901" s="4"/>
      <c r="CD901" s="4"/>
      <c r="CE901" s="4"/>
      <c r="CF901" s="4"/>
      <c r="CG901" s="4"/>
      <c r="CH901" s="4"/>
      <c r="CI901" s="4"/>
    </row>
    <row r="902" ht="14.25" customHeight="1" spans="1:87" x14ac:dyDescent="0.25">
      <c r="A902" s="4"/>
      <c r="B902" s="4"/>
      <c r="C902" s="4"/>
      <c r="D902" s="4"/>
      <c r="E902" s="4"/>
      <c r="F902" s="4"/>
      <c r="G902" s="4"/>
      <c r="H902" s="4"/>
      <c r="I902" s="4"/>
      <c r="J902" s="4"/>
      <c r="K902" s="242"/>
      <c r="L902" s="4"/>
      <c r="M902" s="4"/>
      <c r="N902" s="4"/>
      <c r="O902" s="4"/>
      <c r="P902" s="4"/>
      <c r="Q902" s="4"/>
      <c r="R902" s="4"/>
      <c r="S902" s="4"/>
      <c r="T902" s="4"/>
      <c r="U902" s="4"/>
      <c r="V902" s="4"/>
      <c r="W902" s="4"/>
      <c r="X902" s="4"/>
      <c r="Y902" s="4"/>
      <c r="Z902" s="4"/>
      <c r="AA902" s="4"/>
      <c r="AB902" s="4"/>
      <c r="AC902" s="4"/>
      <c r="AD902" s="4"/>
      <c r="AE902" s="4"/>
      <c r="AF902" s="4"/>
      <c r="AG902" s="4"/>
      <c r="AH902" s="4"/>
      <c r="AI902" s="4"/>
      <c r="AJ902" s="4"/>
      <c r="AK902" s="4"/>
      <c r="AL902" s="4"/>
      <c r="AM902" s="4"/>
      <c r="AN902" s="4"/>
      <c r="AO902" s="4"/>
      <c r="AP902" s="4"/>
      <c r="AQ902" s="4"/>
      <c r="AR902" s="4"/>
      <c r="AS902" s="4"/>
      <c r="AT902" s="4"/>
      <c r="AU902" s="4"/>
      <c r="AV902" s="4"/>
      <c r="AW902" s="4"/>
      <c r="AX902" s="4"/>
      <c r="AY902" s="4"/>
      <c r="AZ902" s="4"/>
      <c r="BA902" s="4"/>
      <c r="BB902" s="4"/>
      <c r="BC902" s="4"/>
      <c r="BD902" s="4"/>
      <c r="BE902" s="4"/>
      <c r="BF902" s="4"/>
      <c r="BG902" s="4"/>
      <c r="BH902" s="4"/>
      <c r="BI902" s="4"/>
      <c r="BJ902" s="4"/>
      <c r="BK902" s="4"/>
      <c r="BL902" s="4"/>
      <c r="BM902" s="4"/>
      <c r="BN902" s="4"/>
      <c r="BO902" s="4"/>
      <c r="BP902" s="4"/>
      <c r="BQ902" s="4"/>
      <c r="BR902" s="4"/>
      <c r="BS902" s="4"/>
      <c r="BT902" s="4"/>
      <c r="BU902" s="4"/>
      <c r="BV902" s="4"/>
      <c r="BW902" s="4"/>
      <c r="BX902" s="4"/>
      <c r="BY902" s="4"/>
      <c r="BZ902" s="4"/>
      <c r="CA902" s="4"/>
      <c r="CB902" s="4"/>
      <c r="CC902" s="4"/>
      <c r="CD902" s="4"/>
      <c r="CE902" s="4"/>
      <c r="CF902" s="4"/>
      <c r="CG902" s="4"/>
      <c r="CH902" s="4"/>
      <c r="CI902" s="4"/>
    </row>
    <row r="903" ht="14.25" customHeight="1" spans="1:87" x14ac:dyDescent="0.25">
      <c r="A903" s="4"/>
      <c r="B903" s="4"/>
      <c r="C903" s="4"/>
      <c r="D903" s="4"/>
      <c r="E903" s="4"/>
      <c r="F903" s="4"/>
      <c r="G903" s="4"/>
      <c r="H903" s="4"/>
      <c r="I903" s="4"/>
      <c r="J903" s="4"/>
      <c r="K903" s="242"/>
      <c r="L903" s="4"/>
      <c r="M903" s="4"/>
      <c r="N903" s="4"/>
      <c r="O903" s="4"/>
      <c r="P903" s="4"/>
      <c r="Q903" s="4"/>
      <c r="R903" s="4"/>
      <c r="S903" s="4"/>
      <c r="T903" s="4"/>
      <c r="U903" s="4"/>
      <c r="V903" s="4"/>
      <c r="W903" s="4"/>
      <c r="X903" s="4"/>
      <c r="Y903" s="4"/>
      <c r="Z903" s="4"/>
      <c r="AA903" s="4"/>
      <c r="AB903" s="4"/>
      <c r="AC903" s="4"/>
      <c r="AD903" s="4"/>
      <c r="AE903" s="4"/>
      <c r="AF903" s="4"/>
      <c r="AG903" s="4"/>
      <c r="AH903" s="4"/>
      <c r="AI903" s="4"/>
      <c r="AJ903" s="4"/>
      <c r="AK903" s="4"/>
      <c r="AL903" s="4"/>
      <c r="AM903" s="4"/>
      <c r="AN903" s="4"/>
      <c r="AO903" s="4"/>
      <c r="AP903" s="4"/>
      <c r="AQ903" s="4"/>
      <c r="AR903" s="4"/>
      <c r="AS903" s="4"/>
      <c r="AT903" s="4"/>
      <c r="AU903" s="4"/>
      <c r="AV903" s="4"/>
      <c r="AW903" s="4"/>
      <c r="AX903" s="4"/>
      <c r="AY903" s="4"/>
      <c r="AZ903" s="4"/>
      <c r="BA903" s="4"/>
      <c r="BB903" s="4"/>
      <c r="BC903" s="4"/>
      <c r="BD903" s="4"/>
      <c r="BE903" s="4"/>
      <c r="BF903" s="4"/>
      <c r="BG903" s="4"/>
      <c r="BH903" s="4"/>
      <c r="BI903" s="4"/>
      <c r="BJ903" s="4"/>
      <c r="BK903" s="4"/>
      <c r="BL903" s="4"/>
      <c r="BM903" s="4"/>
      <c r="BN903" s="4"/>
      <c r="BO903" s="4"/>
      <c r="BP903" s="4"/>
      <c r="BQ903" s="4"/>
      <c r="BR903" s="4"/>
      <c r="BS903" s="4"/>
      <c r="BT903" s="4"/>
      <c r="BU903" s="4"/>
      <c r="BV903" s="4"/>
      <c r="BW903" s="4"/>
      <c r="BX903" s="4"/>
      <c r="BY903" s="4"/>
      <c r="BZ903" s="4"/>
      <c r="CA903" s="4"/>
      <c r="CB903" s="4"/>
      <c r="CC903" s="4"/>
      <c r="CD903" s="4"/>
      <c r="CE903" s="4"/>
      <c r="CF903" s="4"/>
      <c r="CG903" s="4"/>
      <c r="CH903" s="4"/>
      <c r="CI903" s="4"/>
    </row>
    <row r="904" ht="14.25" customHeight="1" spans="1:87" x14ac:dyDescent="0.25">
      <c r="A904" s="4"/>
      <c r="B904" s="4"/>
      <c r="C904" s="4"/>
      <c r="D904" s="4"/>
      <c r="E904" s="4"/>
      <c r="F904" s="4"/>
      <c r="G904" s="4"/>
      <c r="H904" s="4"/>
      <c r="I904" s="4"/>
      <c r="J904" s="4"/>
      <c r="K904" s="242"/>
      <c r="L904" s="4"/>
      <c r="M904" s="4"/>
      <c r="N904" s="4"/>
      <c r="O904" s="4"/>
      <c r="P904" s="4"/>
      <c r="Q904" s="4"/>
      <c r="R904" s="4"/>
      <c r="S904" s="4"/>
      <c r="T904" s="4"/>
      <c r="U904" s="4"/>
      <c r="V904" s="4"/>
      <c r="W904" s="4"/>
      <c r="X904" s="4"/>
      <c r="Y904" s="4"/>
      <c r="Z904" s="4"/>
      <c r="AA904" s="4"/>
      <c r="AB904" s="4"/>
      <c r="AC904" s="4"/>
      <c r="AD904" s="4"/>
      <c r="AE904" s="4"/>
      <c r="AF904" s="4"/>
      <c r="AG904" s="4"/>
      <c r="AH904" s="4"/>
      <c r="AI904" s="4"/>
      <c r="AJ904" s="4"/>
      <c r="AK904" s="4"/>
      <c r="AL904" s="4"/>
      <c r="AM904" s="4"/>
      <c r="AN904" s="4"/>
      <c r="AO904" s="4"/>
      <c r="AP904" s="4"/>
      <c r="AQ904" s="4"/>
      <c r="AR904" s="4"/>
      <c r="AS904" s="4"/>
      <c r="AT904" s="4"/>
      <c r="AU904" s="4"/>
      <c r="AV904" s="4"/>
      <c r="AW904" s="4"/>
      <c r="AX904" s="4"/>
      <c r="AY904" s="4"/>
      <c r="AZ904" s="4"/>
      <c r="BA904" s="4"/>
      <c r="BB904" s="4"/>
      <c r="BC904" s="4"/>
      <c r="BD904" s="4"/>
      <c r="BE904" s="4"/>
      <c r="BF904" s="4"/>
      <c r="BG904" s="4"/>
      <c r="BH904" s="4"/>
      <c r="BI904" s="4"/>
      <c r="BJ904" s="4"/>
      <c r="BK904" s="4"/>
      <c r="BL904" s="4"/>
      <c r="BM904" s="4"/>
      <c r="BN904" s="4"/>
      <c r="BO904" s="4"/>
      <c r="BP904" s="4"/>
      <c r="BQ904" s="4"/>
      <c r="BR904" s="4"/>
      <c r="BS904" s="4"/>
      <c r="BT904" s="4"/>
      <c r="BU904" s="4"/>
      <c r="BV904" s="4"/>
      <c r="BW904" s="4"/>
      <c r="BX904" s="4"/>
      <c r="BY904" s="4"/>
      <c r="BZ904" s="4"/>
      <c r="CA904" s="4"/>
      <c r="CB904" s="4"/>
      <c r="CC904" s="4"/>
      <c r="CD904" s="4"/>
      <c r="CE904" s="4"/>
      <c r="CF904" s="4"/>
      <c r="CG904" s="4"/>
      <c r="CH904" s="4"/>
      <c r="CI904" s="4"/>
    </row>
    <row r="905" ht="14.25" customHeight="1" spans="1:87" x14ac:dyDescent="0.25">
      <c r="A905" s="4"/>
      <c r="B905" s="4"/>
      <c r="C905" s="4"/>
      <c r="D905" s="4"/>
      <c r="E905" s="4"/>
      <c r="F905" s="4"/>
      <c r="G905" s="4"/>
      <c r="H905" s="4"/>
      <c r="I905" s="4"/>
      <c r="J905" s="4"/>
      <c r="K905" s="242"/>
      <c r="L905" s="4"/>
      <c r="M905" s="4"/>
      <c r="N905" s="4"/>
      <c r="O905" s="4"/>
      <c r="P905" s="4"/>
      <c r="Q905" s="4"/>
      <c r="R905" s="4"/>
      <c r="S905" s="4"/>
      <c r="T905" s="4"/>
      <c r="U905" s="4"/>
      <c r="V905" s="4"/>
      <c r="W905" s="4"/>
      <c r="X905" s="4"/>
      <c r="Y905" s="4"/>
      <c r="Z905" s="4"/>
      <c r="AA905" s="4"/>
      <c r="AB905" s="4"/>
      <c r="AC905" s="4"/>
      <c r="AD905" s="4"/>
      <c r="AE905" s="4"/>
      <c r="AF905" s="4"/>
      <c r="AG905" s="4"/>
      <c r="AH905" s="4"/>
      <c r="AI905" s="4"/>
      <c r="AJ905" s="4"/>
      <c r="AK905" s="4"/>
      <c r="AL905" s="4"/>
      <c r="AM905" s="4"/>
      <c r="AN905" s="4"/>
      <c r="AO905" s="4"/>
      <c r="AP905" s="4"/>
      <c r="AQ905" s="4"/>
      <c r="AR905" s="4"/>
      <c r="AS905" s="4"/>
      <c r="AT905" s="4"/>
      <c r="AU905" s="4"/>
      <c r="AV905" s="4"/>
      <c r="AW905" s="4"/>
      <c r="AX905" s="4"/>
      <c r="AY905" s="4"/>
      <c r="AZ905" s="4"/>
      <c r="BA905" s="4"/>
      <c r="BB905" s="4"/>
      <c r="BC905" s="4"/>
      <c r="BD905" s="4"/>
      <c r="BE905" s="4"/>
      <c r="BF905" s="4"/>
      <c r="BG905" s="4"/>
      <c r="BH905" s="4"/>
      <c r="BI905" s="4"/>
      <c r="BJ905" s="4"/>
      <c r="BK905" s="4"/>
      <c r="BL905" s="4"/>
      <c r="BM905" s="4"/>
      <c r="BN905" s="4"/>
      <c r="BO905" s="4"/>
      <c r="BP905" s="4"/>
      <c r="BQ905" s="4"/>
      <c r="BR905" s="4"/>
      <c r="BS905" s="4"/>
      <c r="BT905" s="4"/>
      <c r="BU905" s="4"/>
      <c r="BV905" s="4"/>
      <c r="BW905" s="4"/>
      <c r="BX905" s="4"/>
      <c r="BY905" s="4"/>
      <c r="BZ905" s="4"/>
      <c r="CA905" s="4"/>
      <c r="CB905" s="4"/>
      <c r="CC905" s="4"/>
      <c r="CD905" s="4"/>
      <c r="CE905" s="4"/>
      <c r="CF905" s="4"/>
      <c r="CG905" s="4"/>
      <c r="CH905" s="4"/>
      <c r="CI905" s="4"/>
    </row>
    <row r="906" ht="14.25" customHeight="1" spans="1:87" x14ac:dyDescent="0.25">
      <c r="A906" s="4"/>
      <c r="B906" s="4"/>
      <c r="C906" s="4"/>
      <c r="D906" s="4"/>
      <c r="E906" s="4"/>
      <c r="F906" s="4"/>
      <c r="G906" s="4"/>
      <c r="H906" s="4"/>
      <c r="I906" s="4"/>
      <c r="J906" s="4"/>
      <c r="K906" s="242"/>
      <c r="L906" s="4"/>
      <c r="M906" s="4"/>
      <c r="N906" s="4"/>
      <c r="O906" s="4"/>
      <c r="P906" s="4"/>
      <c r="Q906" s="4"/>
      <c r="R906" s="4"/>
      <c r="S906" s="4"/>
      <c r="T906" s="4"/>
      <c r="U906" s="4"/>
      <c r="V906" s="4"/>
      <c r="W906" s="4"/>
      <c r="X906" s="4"/>
      <c r="Y906" s="4"/>
      <c r="Z906" s="4"/>
      <c r="AA906" s="4"/>
      <c r="AB906" s="4"/>
      <c r="AC906" s="4"/>
      <c r="AD906" s="4"/>
      <c r="AE906" s="4"/>
      <c r="AF906" s="4"/>
      <c r="AG906" s="4"/>
      <c r="AH906" s="4"/>
      <c r="AI906" s="4"/>
      <c r="AJ906" s="4"/>
      <c r="AK906" s="4"/>
      <c r="AL906" s="4"/>
      <c r="AM906" s="4"/>
      <c r="AN906" s="4"/>
      <c r="AO906" s="4"/>
      <c r="AP906" s="4"/>
      <c r="AQ906" s="4"/>
      <c r="AR906" s="4"/>
      <c r="AS906" s="4"/>
      <c r="AT906" s="4"/>
      <c r="AU906" s="4"/>
      <c r="AV906" s="4"/>
      <c r="AW906" s="4"/>
      <c r="AX906" s="4"/>
      <c r="AY906" s="4"/>
      <c r="AZ906" s="4"/>
      <c r="BA906" s="4"/>
      <c r="BB906" s="4"/>
      <c r="BC906" s="4"/>
      <c r="BD906" s="4"/>
      <c r="BE906" s="4"/>
      <c r="BF906" s="4"/>
      <c r="BG906" s="4"/>
      <c r="BH906" s="4"/>
      <c r="BI906" s="4"/>
      <c r="BJ906" s="4"/>
      <c r="BK906" s="4"/>
      <c r="BL906" s="4"/>
      <c r="BM906" s="4"/>
      <c r="BN906" s="4"/>
      <c r="BO906" s="4"/>
      <c r="BP906" s="4"/>
      <c r="BQ906" s="4"/>
      <c r="BR906" s="4"/>
      <c r="BS906" s="4"/>
      <c r="BT906" s="4"/>
      <c r="BU906" s="4"/>
      <c r="BV906" s="4"/>
      <c r="BW906" s="4"/>
      <c r="BX906" s="4"/>
      <c r="BY906" s="4"/>
      <c r="BZ906" s="4"/>
      <c r="CA906" s="4"/>
      <c r="CB906" s="4"/>
      <c r="CC906" s="4"/>
      <c r="CD906" s="4"/>
      <c r="CE906" s="4"/>
      <c r="CF906" s="4"/>
      <c r="CG906" s="4"/>
      <c r="CH906" s="4"/>
      <c r="CI906" s="4"/>
    </row>
    <row r="907" ht="14.25" customHeight="1" spans="1:87" x14ac:dyDescent="0.25">
      <c r="A907" s="4"/>
      <c r="B907" s="4"/>
      <c r="C907" s="4"/>
      <c r="D907" s="4"/>
      <c r="E907" s="4"/>
      <c r="F907" s="4"/>
      <c r="G907" s="4"/>
      <c r="H907" s="4"/>
      <c r="I907" s="4"/>
      <c r="J907" s="4"/>
      <c r="K907" s="242"/>
      <c r="L907" s="4"/>
      <c r="M907" s="4"/>
      <c r="N907" s="4"/>
      <c r="O907" s="4"/>
      <c r="P907" s="4"/>
      <c r="Q907" s="4"/>
      <c r="R907" s="4"/>
      <c r="S907" s="4"/>
      <c r="T907" s="4"/>
      <c r="U907" s="4"/>
      <c r="V907" s="4"/>
      <c r="W907" s="4"/>
      <c r="X907" s="4"/>
      <c r="Y907" s="4"/>
      <c r="Z907" s="4"/>
      <c r="AA907" s="4"/>
      <c r="AB907" s="4"/>
      <c r="AC907" s="4"/>
      <c r="AD907" s="4"/>
      <c r="AE907" s="4"/>
      <c r="AF907" s="4"/>
      <c r="AG907" s="4"/>
      <c r="AH907" s="4"/>
      <c r="AI907" s="4"/>
      <c r="AJ907" s="4"/>
      <c r="AK907" s="4"/>
      <c r="AL907" s="4"/>
      <c r="AM907" s="4"/>
      <c r="AN907" s="4"/>
      <c r="AO907" s="4"/>
      <c r="AP907" s="4"/>
      <c r="AQ907" s="4"/>
      <c r="AR907" s="4"/>
      <c r="AS907" s="4"/>
      <c r="AT907" s="4"/>
      <c r="AU907" s="4"/>
      <c r="AV907" s="4"/>
      <c r="AW907" s="4"/>
      <c r="AX907" s="4"/>
      <c r="AY907" s="4"/>
      <c r="AZ907" s="4"/>
      <c r="BA907" s="4"/>
      <c r="BB907" s="4"/>
      <c r="BC907" s="4"/>
      <c r="BD907" s="4"/>
      <c r="BE907" s="4"/>
      <c r="BF907" s="4"/>
      <c r="BG907" s="4"/>
      <c r="BH907" s="4"/>
      <c r="BI907" s="4"/>
      <c r="BJ907" s="4"/>
      <c r="BK907" s="4"/>
      <c r="BL907" s="4"/>
      <c r="BM907" s="4"/>
      <c r="BN907" s="4"/>
      <c r="BO907" s="4"/>
      <c r="BP907" s="4"/>
      <c r="BQ907" s="4"/>
      <c r="BR907" s="4"/>
      <c r="BS907" s="4"/>
      <c r="BT907" s="4"/>
      <c r="BU907" s="4"/>
      <c r="BV907" s="4"/>
      <c r="BW907" s="4"/>
      <c r="BX907" s="4"/>
      <c r="BY907" s="4"/>
      <c r="BZ907" s="4"/>
      <c r="CA907" s="4"/>
      <c r="CB907" s="4"/>
      <c r="CC907" s="4"/>
      <c r="CD907" s="4"/>
      <c r="CE907" s="4"/>
      <c r="CF907" s="4"/>
      <c r="CG907" s="4"/>
      <c r="CH907" s="4"/>
      <c r="CI907" s="4"/>
    </row>
    <row r="908" ht="14.25" customHeight="1" spans="1:87" x14ac:dyDescent="0.25">
      <c r="A908" s="4"/>
      <c r="B908" s="4"/>
      <c r="C908" s="4"/>
      <c r="D908" s="4"/>
      <c r="E908" s="4"/>
      <c r="F908" s="4"/>
      <c r="G908" s="4"/>
      <c r="H908" s="4"/>
      <c r="I908" s="4"/>
      <c r="J908" s="4"/>
      <c r="K908" s="242"/>
      <c r="L908" s="4"/>
      <c r="M908" s="4"/>
      <c r="N908" s="4"/>
      <c r="O908" s="4"/>
      <c r="P908" s="4"/>
      <c r="Q908" s="4"/>
      <c r="R908" s="4"/>
      <c r="S908" s="4"/>
      <c r="T908" s="4"/>
      <c r="U908" s="4"/>
      <c r="V908" s="4"/>
      <c r="W908" s="4"/>
      <c r="X908" s="4"/>
      <c r="Y908" s="4"/>
      <c r="Z908" s="4"/>
      <c r="AA908" s="4"/>
      <c r="AB908" s="4"/>
      <c r="AC908" s="4"/>
      <c r="AD908" s="4"/>
      <c r="AE908" s="4"/>
      <c r="AF908" s="4"/>
      <c r="AG908" s="4"/>
      <c r="AH908" s="4"/>
      <c r="AI908" s="4"/>
      <c r="AJ908" s="4"/>
      <c r="AK908" s="4"/>
      <c r="AL908" s="4"/>
      <c r="AM908" s="4"/>
      <c r="AN908" s="4"/>
      <c r="AO908" s="4"/>
      <c r="AP908" s="4"/>
      <c r="AQ908" s="4"/>
      <c r="AR908" s="4"/>
      <c r="AS908" s="4"/>
      <c r="AT908" s="4"/>
      <c r="AU908" s="4"/>
      <c r="AV908" s="4"/>
      <c r="AW908" s="4"/>
      <c r="AX908" s="4"/>
      <c r="AY908" s="4"/>
      <c r="AZ908" s="4"/>
      <c r="BA908" s="4"/>
      <c r="BB908" s="4"/>
      <c r="BC908" s="4"/>
      <c r="BD908" s="4"/>
      <c r="BE908" s="4"/>
      <c r="BF908" s="4"/>
      <c r="BG908" s="4"/>
      <c r="BH908" s="4"/>
      <c r="BI908" s="4"/>
      <c r="BJ908" s="4"/>
      <c r="BK908" s="4"/>
      <c r="BL908" s="4"/>
      <c r="BM908" s="4"/>
      <c r="BN908" s="4"/>
      <c r="BO908" s="4"/>
      <c r="BP908" s="4"/>
      <c r="BQ908" s="4"/>
      <c r="BR908" s="4"/>
      <c r="BS908" s="4"/>
      <c r="BT908" s="4"/>
      <c r="BU908" s="4"/>
      <c r="BV908" s="4"/>
      <c r="BW908" s="4"/>
      <c r="BX908" s="4"/>
      <c r="BY908" s="4"/>
      <c r="BZ908" s="4"/>
      <c r="CA908" s="4"/>
      <c r="CB908" s="4"/>
      <c r="CC908" s="4"/>
      <c r="CD908" s="4"/>
      <c r="CE908" s="4"/>
      <c r="CF908" s="4"/>
      <c r="CG908" s="4"/>
      <c r="CH908" s="4"/>
      <c r="CI908" s="4"/>
    </row>
    <row r="909" ht="14.25" customHeight="1" spans="1:87" x14ac:dyDescent="0.25">
      <c r="A909" s="4"/>
      <c r="B909" s="4"/>
      <c r="C909" s="4"/>
      <c r="D909" s="4"/>
      <c r="E909" s="4"/>
      <c r="F909" s="4"/>
      <c r="G909" s="4"/>
      <c r="H909" s="4"/>
      <c r="I909" s="4"/>
      <c r="J909" s="4"/>
      <c r="K909" s="242"/>
      <c r="L909" s="4"/>
      <c r="M909" s="4"/>
      <c r="N909" s="4"/>
      <c r="O909" s="4"/>
      <c r="P909" s="4"/>
      <c r="Q909" s="4"/>
      <c r="R909" s="4"/>
      <c r="S909" s="4"/>
      <c r="T909" s="4"/>
      <c r="U909" s="4"/>
      <c r="V909" s="4"/>
      <c r="W909" s="4"/>
      <c r="X909" s="4"/>
      <c r="Y909" s="4"/>
      <c r="Z909" s="4"/>
      <c r="AA909" s="4"/>
      <c r="AB909" s="4"/>
      <c r="AC909" s="4"/>
      <c r="AD909" s="4"/>
      <c r="AE909" s="4"/>
      <c r="AF909" s="4"/>
      <c r="AG909" s="4"/>
      <c r="AH909" s="4"/>
      <c r="AI909" s="4"/>
      <c r="AJ909" s="4"/>
      <c r="AK909" s="4"/>
      <c r="AL909" s="4"/>
      <c r="AM909" s="4"/>
      <c r="AN909" s="4"/>
      <c r="AO909" s="4"/>
      <c r="AP909" s="4"/>
      <c r="AQ909" s="4"/>
      <c r="AR909" s="4"/>
      <c r="AS909" s="4"/>
      <c r="AT909" s="4"/>
      <c r="AU909" s="4"/>
      <c r="AV909" s="4"/>
      <c r="AW909" s="4"/>
      <c r="AX909" s="4"/>
      <c r="AY909" s="4"/>
      <c r="AZ909" s="4"/>
      <c r="BA909" s="4"/>
      <c r="BB909" s="4"/>
      <c r="BC909" s="4"/>
      <c r="BD909" s="4"/>
      <c r="BE909" s="4"/>
      <c r="BF909" s="4"/>
      <c r="BG909" s="4"/>
      <c r="BH909" s="4"/>
      <c r="BI909" s="4"/>
      <c r="BJ909" s="4"/>
      <c r="BK909" s="4"/>
      <c r="BL909" s="4"/>
      <c r="BM909" s="4"/>
      <c r="BN909" s="4"/>
      <c r="BO909" s="4"/>
      <c r="BP909" s="4"/>
      <c r="BQ909" s="4"/>
      <c r="BR909" s="4"/>
      <c r="BS909" s="4"/>
      <c r="BT909" s="4"/>
      <c r="BU909" s="4"/>
      <c r="BV909" s="4"/>
      <c r="BW909" s="4"/>
      <c r="BX909" s="4"/>
      <c r="BY909" s="4"/>
      <c r="BZ909" s="4"/>
      <c r="CA909" s="4"/>
      <c r="CB909" s="4"/>
      <c r="CC909" s="4"/>
      <c r="CD909" s="4"/>
      <c r="CE909" s="4"/>
      <c r="CF909" s="4"/>
      <c r="CG909" s="4"/>
      <c r="CH909" s="4"/>
      <c r="CI909" s="4"/>
    </row>
    <row r="910" ht="14.25" customHeight="1" spans="1:87" x14ac:dyDescent="0.25">
      <c r="A910" s="4"/>
      <c r="B910" s="4"/>
      <c r="C910" s="4"/>
      <c r="D910" s="4"/>
      <c r="E910" s="4"/>
      <c r="F910" s="4"/>
      <c r="G910" s="4"/>
      <c r="H910" s="4"/>
      <c r="I910" s="4"/>
      <c r="J910" s="4"/>
      <c r="K910" s="242"/>
      <c r="L910" s="4"/>
      <c r="M910" s="4"/>
      <c r="N910" s="4"/>
      <c r="O910" s="4"/>
      <c r="P910" s="4"/>
      <c r="Q910" s="4"/>
      <c r="R910" s="4"/>
      <c r="S910" s="4"/>
      <c r="T910" s="4"/>
      <c r="U910" s="4"/>
      <c r="V910" s="4"/>
      <c r="W910" s="4"/>
      <c r="X910" s="4"/>
      <c r="Y910" s="4"/>
      <c r="Z910" s="4"/>
      <c r="AA910" s="4"/>
      <c r="AB910" s="4"/>
      <c r="AC910" s="4"/>
      <c r="AD910" s="4"/>
      <c r="AE910" s="4"/>
      <c r="AF910" s="4"/>
      <c r="AG910" s="4"/>
      <c r="AH910" s="4"/>
      <c r="AI910" s="4"/>
      <c r="AJ910" s="4"/>
      <c r="AK910" s="4"/>
      <c r="AL910" s="4"/>
      <c r="AM910" s="4"/>
      <c r="AN910" s="4"/>
      <c r="AO910" s="4"/>
      <c r="AP910" s="4"/>
      <c r="AQ910" s="4"/>
      <c r="AR910" s="4"/>
      <c r="AS910" s="4"/>
      <c r="AT910" s="4"/>
      <c r="AU910" s="4"/>
      <c r="AV910" s="4"/>
      <c r="AW910" s="4"/>
      <c r="AX910" s="4"/>
      <c r="AY910" s="4"/>
      <c r="AZ910" s="4"/>
      <c r="BA910" s="4"/>
      <c r="BB910" s="4"/>
      <c r="BC910" s="4"/>
      <c r="BD910" s="4"/>
      <c r="BE910" s="4"/>
      <c r="BF910" s="4"/>
      <c r="BG910" s="4"/>
      <c r="BH910" s="4"/>
      <c r="BI910" s="4"/>
      <c r="BJ910" s="4"/>
      <c r="BK910" s="4"/>
      <c r="BL910" s="4"/>
      <c r="BM910" s="4"/>
      <c r="BN910" s="4"/>
      <c r="BO910" s="4"/>
      <c r="BP910" s="4"/>
      <c r="BQ910" s="4"/>
      <c r="BR910" s="4"/>
      <c r="BS910" s="4"/>
      <c r="BT910" s="4"/>
      <c r="BU910" s="4"/>
      <c r="BV910" s="4"/>
      <c r="BW910" s="4"/>
      <c r="BX910" s="4"/>
      <c r="BY910" s="4"/>
      <c r="BZ910" s="4"/>
      <c r="CA910" s="4"/>
      <c r="CB910" s="4"/>
      <c r="CC910" s="4"/>
      <c r="CD910" s="4"/>
      <c r="CE910" s="4"/>
      <c r="CF910" s="4"/>
      <c r="CG910" s="4"/>
      <c r="CH910" s="4"/>
      <c r="CI910" s="4"/>
    </row>
    <row r="911" ht="14.25" customHeight="1" spans="1:87" x14ac:dyDescent="0.25">
      <c r="A911" s="4"/>
      <c r="B911" s="4"/>
      <c r="C911" s="4"/>
      <c r="D911" s="4"/>
      <c r="E911" s="4"/>
      <c r="F911" s="4"/>
      <c r="G911" s="4"/>
      <c r="H911" s="4"/>
      <c r="I911" s="4"/>
      <c r="J911" s="4"/>
      <c r="K911" s="242"/>
      <c r="L911" s="4"/>
      <c r="M911" s="4"/>
      <c r="N911" s="4"/>
      <c r="O911" s="4"/>
      <c r="P911" s="4"/>
      <c r="Q911" s="4"/>
      <c r="R911" s="4"/>
      <c r="S911" s="4"/>
      <c r="T911" s="4"/>
      <c r="U911" s="4"/>
      <c r="V911" s="4"/>
      <c r="W911" s="4"/>
      <c r="X911" s="4"/>
      <c r="Y911" s="4"/>
      <c r="Z911" s="4"/>
      <c r="AA911" s="4"/>
      <c r="AB911" s="4"/>
      <c r="AC911" s="4"/>
      <c r="AD911" s="4"/>
      <c r="AE911" s="4"/>
      <c r="AF911" s="4"/>
      <c r="AG911" s="4"/>
      <c r="AH911" s="4"/>
      <c r="AI911" s="4"/>
      <c r="AJ911" s="4"/>
      <c r="AK911" s="4"/>
      <c r="AL911" s="4"/>
      <c r="AM911" s="4"/>
      <c r="AN911" s="4"/>
      <c r="AO911" s="4"/>
      <c r="AP911" s="4"/>
      <c r="AQ911" s="4"/>
      <c r="AR911" s="4"/>
      <c r="AS911" s="4"/>
      <c r="AT911" s="4"/>
      <c r="AU911" s="4"/>
      <c r="AV911" s="4"/>
      <c r="AW911" s="4"/>
      <c r="AX911" s="4"/>
      <c r="AY911" s="4"/>
      <c r="AZ911" s="4"/>
      <c r="BA911" s="4"/>
      <c r="BB911" s="4"/>
      <c r="BC911" s="4"/>
      <c r="BD911" s="4"/>
      <c r="BE911" s="4"/>
      <c r="BF911" s="4"/>
      <c r="BG911" s="4"/>
      <c r="BH911" s="4"/>
      <c r="BI911" s="4"/>
      <c r="BJ911" s="4"/>
      <c r="BK911" s="4"/>
      <c r="BL911" s="4"/>
      <c r="BM911" s="4"/>
      <c r="BN911" s="4"/>
      <c r="BO911" s="4"/>
      <c r="BP911" s="4"/>
      <c r="BQ911" s="4"/>
      <c r="BR911" s="4"/>
      <c r="BS911" s="4"/>
      <c r="BT911" s="4"/>
      <c r="BU911" s="4"/>
      <c r="BV911" s="4"/>
      <c r="BW911" s="4"/>
      <c r="BX911" s="4"/>
      <c r="BY911" s="4"/>
      <c r="BZ911" s="4"/>
      <c r="CA911" s="4"/>
      <c r="CB911" s="4"/>
      <c r="CC911" s="4"/>
      <c r="CD911" s="4"/>
      <c r="CE911" s="4"/>
      <c r="CF911" s="4"/>
      <c r="CG911" s="4"/>
      <c r="CH911" s="4"/>
      <c r="CI911" s="4"/>
    </row>
    <row r="912" ht="14.25" customHeight="1" spans="1:87" x14ac:dyDescent="0.25">
      <c r="A912" s="4"/>
      <c r="B912" s="4"/>
      <c r="C912" s="4"/>
      <c r="D912" s="4"/>
      <c r="E912" s="4"/>
      <c r="F912" s="4"/>
      <c r="G912" s="4"/>
      <c r="H912" s="4"/>
      <c r="I912" s="4"/>
      <c r="J912" s="4"/>
      <c r="K912" s="242"/>
      <c r="L912" s="4"/>
      <c r="M912" s="4"/>
      <c r="N912" s="4"/>
      <c r="O912" s="4"/>
      <c r="P912" s="4"/>
      <c r="Q912" s="4"/>
      <c r="R912" s="4"/>
      <c r="S912" s="4"/>
      <c r="T912" s="4"/>
      <c r="U912" s="4"/>
      <c r="V912" s="4"/>
      <c r="W912" s="4"/>
      <c r="X912" s="4"/>
      <c r="Y912" s="4"/>
      <c r="Z912" s="4"/>
      <c r="AA912" s="4"/>
      <c r="AB912" s="4"/>
      <c r="AC912" s="4"/>
      <c r="AD912" s="4"/>
      <c r="AE912" s="4"/>
      <c r="AF912" s="4"/>
      <c r="AG912" s="4"/>
      <c r="AH912" s="4"/>
      <c r="AI912" s="4"/>
      <c r="AJ912" s="4"/>
      <c r="AK912" s="4"/>
      <c r="AL912" s="4"/>
      <c r="AM912" s="4"/>
      <c r="AN912" s="4"/>
      <c r="AO912" s="4"/>
      <c r="AP912" s="4"/>
      <c r="AQ912" s="4"/>
      <c r="AR912" s="4"/>
      <c r="AS912" s="4"/>
      <c r="AT912" s="4"/>
      <c r="AU912" s="4"/>
      <c r="AV912" s="4"/>
      <c r="AW912" s="4"/>
      <c r="AX912" s="4"/>
      <c r="AY912" s="4"/>
      <c r="AZ912" s="4"/>
      <c r="BA912" s="4"/>
      <c r="BB912" s="4"/>
      <c r="BC912" s="4"/>
      <c r="BD912" s="4"/>
      <c r="BE912" s="4"/>
      <c r="BF912" s="4"/>
      <c r="BG912" s="4"/>
      <c r="BH912" s="4"/>
      <c r="BI912" s="4"/>
      <c r="BJ912" s="4"/>
      <c r="BK912" s="4"/>
      <c r="BL912" s="4"/>
      <c r="BM912" s="4"/>
      <c r="BN912" s="4"/>
      <c r="BO912" s="4"/>
      <c r="BP912" s="4"/>
      <c r="BQ912" s="4"/>
      <c r="BR912" s="4"/>
      <c r="BS912" s="4"/>
      <c r="BT912" s="4"/>
      <c r="BU912" s="4"/>
      <c r="BV912" s="4"/>
      <c r="BW912" s="4"/>
      <c r="BX912" s="4"/>
      <c r="BY912" s="4"/>
      <c r="BZ912" s="4"/>
      <c r="CA912" s="4"/>
      <c r="CB912" s="4"/>
      <c r="CC912" s="4"/>
      <c r="CD912" s="4"/>
      <c r="CE912" s="4"/>
      <c r="CF912" s="4"/>
      <c r="CG912" s="4"/>
      <c r="CH912" s="4"/>
      <c r="CI912" s="4"/>
    </row>
    <row r="913" ht="14.25" customHeight="1" spans="1:87" x14ac:dyDescent="0.25">
      <c r="A913" s="4"/>
      <c r="B913" s="4"/>
      <c r="C913" s="4"/>
      <c r="D913" s="4"/>
      <c r="E913" s="4"/>
      <c r="F913" s="4"/>
      <c r="G913" s="4"/>
      <c r="H913" s="4"/>
      <c r="I913" s="4"/>
      <c r="J913" s="4"/>
      <c r="K913" s="242"/>
      <c r="L913" s="4"/>
      <c r="M913" s="4"/>
      <c r="N913" s="4"/>
      <c r="O913" s="4"/>
      <c r="P913" s="4"/>
      <c r="Q913" s="4"/>
      <c r="R913" s="4"/>
      <c r="S913" s="4"/>
      <c r="T913" s="4"/>
      <c r="U913" s="4"/>
      <c r="V913" s="4"/>
      <c r="W913" s="4"/>
      <c r="X913" s="4"/>
      <c r="Y913" s="4"/>
      <c r="Z913" s="4"/>
      <c r="AA913" s="4"/>
      <c r="AB913" s="4"/>
      <c r="AC913" s="4"/>
      <c r="AD913" s="4"/>
      <c r="AE913" s="4"/>
      <c r="AF913" s="4"/>
      <c r="AG913" s="4"/>
      <c r="AH913" s="4"/>
      <c r="AI913" s="4"/>
      <c r="AJ913" s="4"/>
      <c r="AK913" s="4"/>
      <c r="AL913" s="4"/>
      <c r="AM913" s="4"/>
      <c r="AN913" s="4"/>
      <c r="AO913" s="4"/>
      <c r="AP913" s="4"/>
      <c r="AQ913" s="4"/>
      <c r="AR913" s="4"/>
      <c r="AS913" s="4"/>
      <c r="AT913" s="4"/>
      <c r="AU913" s="4"/>
      <c r="AV913" s="4"/>
      <c r="AW913" s="4"/>
      <c r="AX913" s="4"/>
      <c r="AY913" s="4"/>
      <c r="AZ913" s="4"/>
      <c r="BA913" s="4"/>
      <c r="BB913" s="4"/>
      <c r="BC913" s="4"/>
      <c r="BD913" s="4"/>
      <c r="BE913" s="4"/>
      <c r="BF913" s="4"/>
      <c r="BG913" s="4"/>
      <c r="BH913" s="4"/>
      <c r="BI913" s="4"/>
      <c r="BJ913" s="4"/>
      <c r="BK913" s="4"/>
      <c r="BL913" s="4"/>
      <c r="BM913" s="4"/>
      <c r="BN913" s="4"/>
      <c r="BO913" s="4"/>
      <c r="BP913" s="4"/>
      <c r="BQ913" s="4"/>
      <c r="BR913" s="4"/>
      <c r="BS913" s="4"/>
      <c r="BT913" s="4"/>
      <c r="BU913" s="4"/>
      <c r="BV913" s="4"/>
      <c r="BW913" s="4"/>
      <c r="BX913" s="4"/>
      <c r="BY913" s="4"/>
      <c r="BZ913" s="4"/>
      <c r="CA913" s="4"/>
      <c r="CB913" s="4"/>
      <c r="CC913" s="4"/>
      <c r="CD913" s="4"/>
      <c r="CE913" s="4"/>
      <c r="CF913" s="4"/>
      <c r="CG913" s="4"/>
      <c r="CH913" s="4"/>
      <c r="CI913" s="4"/>
    </row>
    <row r="914" ht="14.25" customHeight="1" spans="1:87" x14ac:dyDescent="0.25">
      <c r="A914" s="4"/>
      <c r="B914" s="4"/>
      <c r="C914" s="4"/>
      <c r="D914" s="4"/>
      <c r="E914" s="4"/>
      <c r="F914" s="4"/>
      <c r="G914" s="4"/>
      <c r="H914" s="4"/>
      <c r="I914" s="4"/>
      <c r="J914" s="4"/>
      <c r="K914" s="242"/>
      <c r="L914" s="4"/>
      <c r="M914" s="4"/>
      <c r="N914" s="4"/>
      <c r="O914" s="4"/>
      <c r="P914" s="4"/>
      <c r="Q914" s="4"/>
      <c r="R914" s="4"/>
      <c r="S914" s="4"/>
      <c r="T914" s="4"/>
      <c r="U914" s="4"/>
      <c r="V914" s="4"/>
      <c r="W914" s="4"/>
      <c r="X914" s="4"/>
      <c r="Y914" s="4"/>
      <c r="Z914" s="4"/>
      <c r="AA914" s="4"/>
      <c r="AB914" s="4"/>
      <c r="AC914" s="4"/>
      <c r="AD914" s="4"/>
      <c r="AE914" s="4"/>
      <c r="AF914" s="4"/>
      <c r="AG914" s="4"/>
      <c r="AH914" s="4"/>
      <c r="AI914" s="4"/>
      <c r="AJ914" s="4"/>
      <c r="AK914" s="4"/>
      <c r="AL914" s="4"/>
      <c r="AM914" s="4"/>
      <c r="AN914" s="4"/>
      <c r="AO914" s="4"/>
      <c r="AP914" s="4"/>
      <c r="AQ914" s="4"/>
      <c r="AR914" s="4"/>
      <c r="AS914" s="4"/>
      <c r="AT914" s="4"/>
      <c r="AU914" s="4"/>
      <c r="AV914" s="4"/>
      <c r="AW914" s="4"/>
      <c r="AX914" s="4"/>
      <c r="AY914" s="4"/>
      <c r="AZ914" s="4"/>
      <c r="BA914" s="4"/>
      <c r="BB914" s="4"/>
      <c r="BC914" s="4"/>
      <c r="BD914" s="4"/>
      <c r="BE914" s="4"/>
      <c r="BF914" s="4"/>
      <c r="BG914" s="4"/>
      <c r="BH914" s="4"/>
      <c r="BI914" s="4"/>
      <c r="BJ914" s="4"/>
      <c r="BK914" s="4"/>
      <c r="BL914" s="4"/>
      <c r="BM914" s="4"/>
      <c r="BN914" s="4"/>
      <c r="BO914" s="4"/>
      <c r="BP914" s="4"/>
      <c r="BQ914" s="4"/>
      <c r="BR914" s="4"/>
      <c r="BS914" s="4"/>
      <c r="BT914" s="4"/>
      <c r="BU914" s="4"/>
      <c r="BV914" s="4"/>
      <c r="BW914" s="4"/>
      <c r="BX914" s="4"/>
      <c r="BY914" s="4"/>
      <c r="BZ914" s="4"/>
      <c r="CA914" s="4"/>
      <c r="CB914" s="4"/>
      <c r="CC914" s="4"/>
      <c r="CD914" s="4"/>
      <c r="CE914" s="4"/>
      <c r="CF914" s="4"/>
      <c r="CG914" s="4"/>
      <c r="CH914" s="4"/>
      <c r="CI914" s="4"/>
    </row>
    <row r="915" ht="14.25" customHeight="1" spans="1:87" x14ac:dyDescent="0.25">
      <c r="A915" s="4"/>
      <c r="B915" s="4"/>
      <c r="C915" s="4"/>
      <c r="D915" s="4"/>
      <c r="E915" s="4"/>
      <c r="F915" s="4"/>
      <c r="G915" s="4"/>
      <c r="H915" s="4"/>
      <c r="I915" s="4"/>
      <c r="J915" s="4"/>
      <c r="K915" s="242"/>
      <c r="L915" s="4"/>
      <c r="M915" s="4"/>
      <c r="N915" s="4"/>
      <c r="O915" s="4"/>
      <c r="P915" s="4"/>
      <c r="Q915" s="4"/>
      <c r="R915" s="4"/>
      <c r="S915" s="4"/>
      <c r="T915" s="4"/>
      <c r="U915" s="4"/>
      <c r="V915" s="4"/>
      <c r="W915" s="4"/>
      <c r="X915" s="4"/>
      <c r="Y915" s="4"/>
      <c r="Z915" s="4"/>
      <c r="AA915" s="4"/>
      <c r="AB915" s="4"/>
      <c r="AC915" s="4"/>
      <c r="AD915" s="4"/>
      <c r="AE915" s="4"/>
      <c r="AF915" s="4"/>
      <c r="AG915" s="4"/>
      <c r="AH915" s="4"/>
      <c r="AI915" s="4"/>
      <c r="AJ915" s="4"/>
      <c r="AK915" s="4"/>
      <c r="AL915" s="4"/>
      <c r="AM915" s="4"/>
      <c r="AN915" s="4"/>
      <c r="AO915" s="4"/>
      <c r="AP915" s="4"/>
      <c r="AQ915" s="4"/>
      <c r="AR915" s="4"/>
      <c r="AS915" s="4"/>
      <c r="AT915" s="4"/>
      <c r="AU915" s="4"/>
      <c r="AV915" s="4"/>
      <c r="AW915" s="4"/>
      <c r="AX915" s="4"/>
      <c r="AY915" s="4"/>
      <c r="AZ915" s="4"/>
      <c r="BA915" s="4"/>
      <c r="BB915" s="4"/>
      <c r="BC915" s="4"/>
      <c r="BD915" s="4"/>
      <c r="BE915" s="4"/>
      <c r="BF915" s="4"/>
      <c r="BG915" s="4"/>
      <c r="BH915" s="4"/>
      <c r="BI915" s="4"/>
      <c r="BJ915" s="4"/>
      <c r="BK915" s="4"/>
      <c r="BL915" s="4"/>
      <c r="BM915" s="4"/>
      <c r="BN915" s="4"/>
      <c r="BO915" s="4"/>
      <c r="BP915" s="4"/>
      <c r="BQ915" s="4"/>
      <c r="BR915" s="4"/>
      <c r="BS915" s="4"/>
      <c r="BT915" s="4"/>
      <c r="BU915" s="4"/>
      <c r="BV915" s="4"/>
      <c r="BW915" s="4"/>
      <c r="BX915" s="4"/>
      <c r="BY915" s="4"/>
      <c r="BZ915" s="4"/>
      <c r="CA915" s="4"/>
      <c r="CB915" s="4"/>
      <c r="CC915" s="4"/>
      <c r="CD915" s="4"/>
      <c r="CE915" s="4"/>
      <c r="CF915" s="4"/>
      <c r="CG915" s="4"/>
      <c r="CH915" s="4"/>
      <c r="CI915" s="4"/>
    </row>
    <row r="916" ht="14.25" customHeight="1" spans="1:87" x14ac:dyDescent="0.25">
      <c r="A916" s="4"/>
      <c r="B916" s="4"/>
      <c r="C916" s="4"/>
      <c r="D916" s="4"/>
      <c r="E916" s="4"/>
      <c r="F916" s="4"/>
      <c r="G916" s="4"/>
      <c r="H916" s="4"/>
      <c r="I916" s="4"/>
      <c r="J916" s="4"/>
      <c r="K916" s="242"/>
      <c r="L916" s="4"/>
      <c r="M916" s="4"/>
      <c r="N916" s="4"/>
      <c r="O916" s="4"/>
      <c r="P916" s="4"/>
      <c r="Q916" s="4"/>
      <c r="R916" s="4"/>
      <c r="S916" s="4"/>
      <c r="T916" s="4"/>
      <c r="U916" s="4"/>
      <c r="V916" s="4"/>
      <c r="W916" s="4"/>
      <c r="X916" s="4"/>
      <c r="Y916" s="4"/>
      <c r="Z916" s="4"/>
      <c r="AA916" s="4"/>
      <c r="AB916" s="4"/>
      <c r="AC916" s="4"/>
      <c r="AD916" s="4"/>
      <c r="AE916" s="4"/>
      <c r="AF916" s="4"/>
      <c r="AG916" s="4"/>
      <c r="AH916" s="4"/>
      <c r="AI916" s="4"/>
      <c r="AJ916" s="4"/>
      <c r="AK916" s="4"/>
      <c r="AL916" s="4"/>
      <c r="AM916" s="4"/>
      <c r="AN916" s="4"/>
      <c r="AO916" s="4"/>
      <c r="AP916" s="4"/>
      <c r="AQ916" s="4"/>
      <c r="AR916" s="4"/>
      <c r="AS916" s="4"/>
      <c r="AT916" s="4"/>
      <c r="AU916" s="4"/>
      <c r="AV916" s="4"/>
      <c r="AW916" s="4"/>
      <c r="AX916" s="4"/>
      <c r="AY916" s="4"/>
      <c r="AZ916" s="4"/>
      <c r="BA916" s="4"/>
      <c r="BB916" s="4"/>
      <c r="BC916" s="4"/>
      <c r="BD916" s="4"/>
      <c r="BE916" s="4"/>
      <c r="BF916" s="4"/>
      <c r="BG916" s="4"/>
      <c r="BH916" s="4"/>
      <c r="BI916" s="4"/>
      <c r="BJ916" s="4"/>
      <c r="BK916" s="4"/>
      <c r="BL916" s="4"/>
      <c r="BM916" s="4"/>
      <c r="BN916" s="4"/>
      <c r="BO916" s="4"/>
      <c r="BP916" s="4"/>
      <c r="BQ916" s="4"/>
      <c r="BR916" s="4"/>
      <c r="BS916" s="4"/>
      <c r="BT916" s="4"/>
      <c r="BU916" s="4"/>
      <c r="BV916" s="4"/>
      <c r="BW916" s="4"/>
      <c r="BX916" s="4"/>
      <c r="BY916" s="4"/>
      <c r="BZ916" s="4"/>
      <c r="CA916" s="4"/>
      <c r="CB916" s="4"/>
      <c r="CC916" s="4"/>
      <c r="CD916" s="4"/>
      <c r="CE916" s="4"/>
      <c r="CF916" s="4"/>
      <c r="CG916" s="4"/>
      <c r="CH916" s="4"/>
      <c r="CI916" s="4"/>
    </row>
    <row r="917" ht="14.25" customHeight="1" spans="1:87" x14ac:dyDescent="0.25">
      <c r="A917" s="4"/>
      <c r="B917" s="4"/>
      <c r="C917" s="4"/>
      <c r="D917" s="4"/>
      <c r="E917" s="4"/>
      <c r="F917" s="4"/>
      <c r="G917" s="4"/>
      <c r="H917" s="4"/>
      <c r="I917" s="4"/>
      <c r="J917" s="4"/>
      <c r="K917" s="242"/>
      <c r="L917" s="4"/>
      <c r="M917" s="4"/>
      <c r="N917" s="4"/>
      <c r="O917" s="4"/>
      <c r="P917" s="4"/>
      <c r="Q917" s="4"/>
      <c r="R917" s="4"/>
      <c r="S917" s="4"/>
      <c r="T917" s="4"/>
      <c r="U917" s="4"/>
      <c r="V917" s="4"/>
      <c r="W917" s="4"/>
      <c r="X917" s="4"/>
      <c r="Y917" s="4"/>
      <c r="Z917" s="4"/>
      <c r="AA917" s="4"/>
      <c r="AB917" s="4"/>
      <c r="AC917" s="4"/>
      <c r="AD917" s="4"/>
      <c r="AE917" s="4"/>
      <c r="AF917" s="4"/>
      <c r="AG917" s="4"/>
      <c r="AH917" s="4"/>
      <c r="AI917" s="4"/>
      <c r="AJ917" s="4"/>
      <c r="AK917" s="4"/>
      <c r="AL917" s="4"/>
      <c r="AM917" s="4"/>
      <c r="AN917" s="4"/>
      <c r="AO917" s="4"/>
      <c r="AP917" s="4"/>
      <c r="AQ917" s="4"/>
      <c r="AR917" s="4"/>
      <c r="AS917" s="4"/>
      <c r="AT917" s="4"/>
      <c r="AU917" s="4"/>
      <c r="AV917" s="4"/>
      <c r="AW917" s="4"/>
      <c r="AX917" s="4"/>
      <c r="AY917" s="4"/>
      <c r="AZ917" s="4"/>
      <c r="BA917" s="4"/>
      <c r="BB917" s="4"/>
      <c r="BC917" s="4"/>
      <c r="BD917" s="4"/>
      <c r="BE917" s="4"/>
      <c r="BF917" s="4"/>
      <c r="BG917" s="4"/>
      <c r="BH917" s="4"/>
      <c r="BI917" s="4"/>
      <c r="BJ917" s="4"/>
      <c r="BK917" s="4"/>
      <c r="BL917" s="4"/>
      <c r="BM917" s="4"/>
      <c r="BN917" s="4"/>
      <c r="BO917" s="4"/>
      <c r="BP917" s="4"/>
      <c r="BQ917" s="4"/>
      <c r="BR917" s="4"/>
      <c r="BS917" s="4"/>
      <c r="BT917" s="4"/>
      <c r="BU917" s="4"/>
      <c r="BV917" s="4"/>
      <c r="BW917" s="4"/>
      <c r="BX917" s="4"/>
      <c r="BY917" s="4"/>
      <c r="BZ917" s="4"/>
      <c r="CA917" s="4"/>
      <c r="CB917" s="4"/>
      <c r="CC917" s="4"/>
      <c r="CD917" s="4"/>
      <c r="CE917" s="4"/>
      <c r="CF917" s="4"/>
      <c r="CG917" s="4"/>
      <c r="CH917" s="4"/>
      <c r="CI917" s="4"/>
    </row>
    <row r="918" ht="14.25" customHeight="1" spans="1:87" x14ac:dyDescent="0.25">
      <c r="A918" s="4"/>
      <c r="B918" s="4"/>
      <c r="C918" s="4"/>
      <c r="D918" s="4"/>
      <c r="E918" s="4"/>
      <c r="F918" s="4"/>
      <c r="G918" s="4"/>
      <c r="H918" s="4"/>
      <c r="I918" s="4"/>
      <c r="J918" s="4"/>
      <c r="K918" s="242"/>
      <c r="L918" s="4"/>
      <c r="M918" s="4"/>
      <c r="N918" s="4"/>
      <c r="O918" s="4"/>
      <c r="P918" s="4"/>
      <c r="Q918" s="4"/>
      <c r="R918" s="4"/>
      <c r="S918" s="4"/>
      <c r="T918" s="4"/>
      <c r="U918" s="4"/>
      <c r="V918" s="4"/>
      <c r="W918" s="4"/>
      <c r="X918" s="4"/>
      <c r="Y918" s="4"/>
      <c r="Z918" s="4"/>
      <c r="AA918" s="4"/>
      <c r="AB918" s="4"/>
      <c r="AC918" s="4"/>
      <c r="AD918" s="4"/>
      <c r="AE918" s="4"/>
      <c r="AF918" s="4"/>
      <c r="AG918" s="4"/>
      <c r="AH918" s="4"/>
      <c r="AI918" s="4"/>
      <c r="AJ918" s="4"/>
      <c r="AK918" s="4"/>
      <c r="AL918" s="4"/>
      <c r="AM918" s="4"/>
      <c r="AN918" s="4"/>
      <c r="AO918" s="4"/>
      <c r="AP918" s="4"/>
      <c r="AQ918" s="4"/>
      <c r="AR918" s="4"/>
      <c r="AS918" s="4"/>
      <c r="AT918" s="4"/>
      <c r="AU918" s="4"/>
      <c r="AV918" s="4"/>
      <c r="AW918" s="4"/>
      <c r="AX918" s="4"/>
      <c r="AY918" s="4"/>
      <c r="AZ918" s="4"/>
      <c r="BA918" s="4"/>
      <c r="BB918" s="4"/>
      <c r="BC918" s="4"/>
      <c r="BD918" s="4"/>
      <c r="BE918" s="4"/>
      <c r="BF918" s="4"/>
      <c r="BG918" s="4"/>
      <c r="BH918" s="4"/>
      <c r="BI918" s="4"/>
      <c r="BJ918" s="4"/>
      <c r="BK918" s="4"/>
      <c r="BL918" s="4"/>
      <c r="BM918" s="4"/>
      <c r="BN918" s="4"/>
      <c r="BO918" s="4"/>
      <c r="BP918" s="4"/>
      <c r="BQ918" s="4"/>
      <c r="BR918" s="4"/>
      <c r="BS918" s="4"/>
      <c r="BT918" s="4"/>
      <c r="BU918" s="4"/>
      <c r="BV918" s="4"/>
      <c r="BW918" s="4"/>
      <c r="BX918" s="4"/>
      <c r="BY918" s="4"/>
      <c r="BZ918" s="4"/>
      <c r="CA918" s="4"/>
      <c r="CB918" s="4"/>
      <c r="CC918" s="4"/>
      <c r="CD918" s="4"/>
      <c r="CE918" s="4"/>
      <c r="CF918" s="4"/>
      <c r="CG918" s="4"/>
      <c r="CH918" s="4"/>
      <c r="CI918" s="4"/>
    </row>
    <row r="919" ht="14.25" customHeight="1" spans="1:87" x14ac:dyDescent="0.25">
      <c r="A919" s="4"/>
      <c r="B919" s="4"/>
      <c r="C919" s="4"/>
      <c r="D919" s="4"/>
      <c r="E919" s="4"/>
      <c r="F919" s="4"/>
      <c r="G919" s="4"/>
      <c r="H919" s="4"/>
      <c r="I919" s="4"/>
      <c r="J919" s="4"/>
      <c r="K919" s="242"/>
      <c r="L919" s="4"/>
      <c r="M919" s="4"/>
      <c r="N919" s="4"/>
      <c r="O919" s="4"/>
      <c r="P919" s="4"/>
      <c r="Q919" s="4"/>
      <c r="R919" s="4"/>
      <c r="S919" s="4"/>
      <c r="T919" s="4"/>
      <c r="U919" s="4"/>
      <c r="V919" s="4"/>
      <c r="W919" s="4"/>
      <c r="X919" s="4"/>
      <c r="Y919" s="4"/>
      <c r="Z919" s="4"/>
      <c r="AA919" s="4"/>
      <c r="AB919" s="4"/>
      <c r="AC919" s="4"/>
      <c r="AD919" s="4"/>
      <c r="AE919" s="4"/>
      <c r="AF919" s="4"/>
      <c r="AG919" s="4"/>
      <c r="AH919" s="4"/>
      <c r="AI919" s="4"/>
      <c r="AJ919" s="4"/>
      <c r="AK919" s="4"/>
      <c r="AL919" s="4"/>
      <c r="AM919" s="4"/>
      <c r="AN919" s="4"/>
      <c r="AO919" s="4"/>
      <c r="AP919" s="4"/>
      <c r="AQ919" s="4"/>
      <c r="AR919" s="4"/>
      <c r="AS919" s="4"/>
      <c r="AT919" s="4"/>
      <c r="AU919" s="4"/>
      <c r="AV919" s="4"/>
      <c r="AW919" s="4"/>
      <c r="AX919" s="4"/>
      <c r="AY919" s="4"/>
      <c r="AZ919" s="4"/>
      <c r="BA919" s="4"/>
      <c r="BB919" s="4"/>
      <c r="BC919" s="4"/>
      <c r="BD919" s="4"/>
      <c r="BE919" s="4"/>
      <c r="BF919" s="4"/>
      <c r="BG919" s="4"/>
      <c r="BH919" s="4"/>
      <c r="BI919" s="4"/>
      <c r="BJ919" s="4"/>
      <c r="BK919" s="4"/>
      <c r="BL919" s="4"/>
      <c r="BM919" s="4"/>
      <c r="BN919" s="4"/>
      <c r="BO919" s="4"/>
      <c r="BP919" s="4"/>
      <c r="BQ919" s="4"/>
      <c r="BR919" s="4"/>
      <c r="BS919" s="4"/>
      <c r="BT919" s="4"/>
      <c r="BU919" s="4"/>
      <c r="BV919" s="4"/>
      <c r="BW919" s="4"/>
      <c r="BX919" s="4"/>
      <c r="BY919" s="4"/>
      <c r="BZ919" s="4"/>
      <c r="CA919" s="4"/>
      <c r="CB919" s="4"/>
      <c r="CC919" s="4"/>
      <c r="CD919" s="4"/>
      <c r="CE919" s="4"/>
      <c r="CF919" s="4"/>
      <c r="CG919" s="4"/>
      <c r="CH919" s="4"/>
      <c r="CI919" s="4"/>
    </row>
    <row r="920" ht="14.25" customHeight="1" spans="1:87" x14ac:dyDescent="0.25">
      <c r="A920" s="4"/>
      <c r="B920" s="4"/>
      <c r="C920" s="4"/>
      <c r="D920" s="4"/>
      <c r="E920" s="4"/>
      <c r="F920" s="4"/>
      <c r="G920" s="4"/>
      <c r="H920" s="4"/>
      <c r="I920" s="4"/>
      <c r="J920" s="4"/>
      <c r="K920" s="242"/>
      <c r="L920" s="4"/>
      <c r="M920" s="4"/>
      <c r="N920" s="4"/>
      <c r="O920" s="4"/>
      <c r="P920" s="4"/>
      <c r="Q920" s="4"/>
      <c r="R920" s="4"/>
      <c r="S920" s="4"/>
      <c r="T920" s="4"/>
      <c r="U920" s="4"/>
      <c r="V920" s="4"/>
      <c r="W920" s="4"/>
      <c r="X920" s="4"/>
      <c r="Y920" s="4"/>
      <c r="Z920" s="4"/>
      <c r="AA920" s="4"/>
      <c r="AB920" s="4"/>
      <c r="AC920" s="4"/>
      <c r="AD920" s="4"/>
      <c r="AE920" s="4"/>
      <c r="AF920" s="4"/>
      <c r="AG920" s="4"/>
      <c r="AH920" s="4"/>
      <c r="AI920" s="4"/>
      <c r="AJ920" s="4"/>
      <c r="AK920" s="4"/>
      <c r="AL920" s="4"/>
      <c r="AM920" s="4"/>
      <c r="AN920" s="4"/>
      <c r="AO920" s="4"/>
      <c r="AP920" s="4"/>
      <c r="AQ920" s="4"/>
      <c r="AR920" s="4"/>
      <c r="AS920" s="4"/>
      <c r="AT920" s="4"/>
      <c r="AU920" s="4"/>
      <c r="AV920" s="4"/>
      <c r="AW920" s="4"/>
      <c r="AX920" s="4"/>
      <c r="AY920" s="4"/>
      <c r="AZ920" s="4"/>
      <c r="BA920" s="4"/>
      <c r="BB920" s="4"/>
      <c r="BC920" s="4"/>
      <c r="BD920" s="4"/>
      <c r="BE920" s="4"/>
      <c r="BF920" s="4"/>
      <c r="BG920" s="4"/>
      <c r="BH920" s="4"/>
      <c r="BI920" s="4"/>
      <c r="BJ920" s="4"/>
      <c r="BK920" s="4"/>
      <c r="BL920" s="4"/>
      <c r="BM920" s="4"/>
      <c r="BN920" s="4"/>
      <c r="BO920" s="4"/>
      <c r="BP920" s="4"/>
      <c r="BQ920" s="4"/>
      <c r="BR920" s="4"/>
      <c r="BS920" s="4"/>
      <c r="BT920" s="4"/>
      <c r="BU920" s="4"/>
      <c r="BV920" s="4"/>
      <c r="BW920" s="4"/>
      <c r="BX920" s="4"/>
      <c r="BY920" s="4"/>
      <c r="BZ920" s="4"/>
      <c r="CA920" s="4"/>
      <c r="CB920" s="4"/>
      <c r="CC920" s="4"/>
      <c r="CD920" s="4"/>
      <c r="CE920" s="4"/>
      <c r="CF920" s="4"/>
      <c r="CG920" s="4"/>
      <c r="CH920" s="4"/>
      <c r="CI920" s="4"/>
    </row>
    <row r="921" ht="14.25" customHeight="1" spans="1:87" x14ac:dyDescent="0.25">
      <c r="A921" s="4"/>
      <c r="B921" s="4"/>
      <c r="C921" s="4"/>
      <c r="D921" s="4"/>
      <c r="E921" s="4"/>
      <c r="F921" s="4"/>
      <c r="G921" s="4"/>
      <c r="H921" s="4"/>
      <c r="I921" s="4"/>
      <c r="J921" s="4"/>
      <c r="K921" s="242"/>
      <c r="L921" s="4"/>
      <c r="M921" s="4"/>
      <c r="N921" s="4"/>
      <c r="O921" s="4"/>
      <c r="P921" s="4"/>
      <c r="Q921" s="4"/>
      <c r="R921" s="4"/>
      <c r="S921" s="4"/>
      <c r="T921" s="4"/>
      <c r="U921" s="4"/>
      <c r="V921" s="4"/>
      <c r="W921" s="4"/>
      <c r="X921" s="4"/>
      <c r="Y921" s="4"/>
      <c r="Z921" s="4"/>
      <c r="AA921" s="4"/>
      <c r="AB921" s="4"/>
      <c r="AC921" s="4"/>
      <c r="AD921" s="4"/>
      <c r="AE921" s="4"/>
      <c r="AF921" s="4"/>
      <c r="AG921" s="4"/>
      <c r="AH921" s="4"/>
      <c r="AI921" s="4"/>
      <c r="AJ921" s="4"/>
      <c r="AK921" s="4"/>
      <c r="AL921" s="4"/>
      <c r="AM921" s="4"/>
      <c r="AN921" s="4"/>
      <c r="AO921" s="4"/>
      <c r="AP921" s="4"/>
      <c r="AQ921" s="4"/>
      <c r="AR921" s="4"/>
      <c r="AS921" s="4"/>
      <c r="AT921" s="4"/>
      <c r="AU921" s="4"/>
      <c r="AV921" s="4"/>
      <c r="AW921" s="4"/>
      <c r="AX921" s="4"/>
      <c r="AY921" s="4"/>
      <c r="AZ921" s="4"/>
      <c r="BA921" s="4"/>
      <c r="BB921" s="4"/>
      <c r="BC921" s="4"/>
      <c r="BD921" s="4"/>
      <c r="BE921" s="4"/>
      <c r="BF921" s="4"/>
      <c r="BG921" s="4"/>
      <c r="BH921" s="4"/>
      <c r="BI921" s="4"/>
      <c r="BJ921" s="4"/>
      <c r="BK921" s="4"/>
      <c r="BL921" s="4"/>
      <c r="BM921" s="4"/>
      <c r="BN921" s="4"/>
      <c r="BO921" s="4"/>
      <c r="BP921" s="4"/>
      <c r="BQ921" s="4"/>
      <c r="BR921" s="4"/>
      <c r="BS921" s="4"/>
      <c r="BT921" s="4"/>
      <c r="BU921" s="4"/>
      <c r="BV921" s="4"/>
      <c r="BW921" s="4"/>
      <c r="BX921" s="4"/>
      <c r="BY921" s="4"/>
      <c r="BZ921" s="4"/>
      <c r="CA921" s="4"/>
      <c r="CB921" s="4"/>
      <c r="CC921" s="4"/>
      <c r="CD921" s="4"/>
      <c r="CE921" s="4"/>
      <c r="CF921" s="4"/>
      <c r="CG921" s="4"/>
      <c r="CH921" s="4"/>
      <c r="CI921" s="4"/>
    </row>
    <row r="922" ht="14.25" customHeight="1" spans="1:87" x14ac:dyDescent="0.25">
      <c r="A922" s="4"/>
      <c r="B922" s="4"/>
      <c r="C922" s="4"/>
      <c r="D922" s="4"/>
      <c r="E922" s="4"/>
      <c r="F922" s="4"/>
      <c r="G922" s="4"/>
      <c r="H922" s="4"/>
      <c r="I922" s="4"/>
      <c r="J922" s="4"/>
      <c r="K922" s="242"/>
      <c r="L922" s="4"/>
      <c r="M922" s="4"/>
      <c r="N922" s="4"/>
      <c r="O922" s="4"/>
      <c r="P922" s="4"/>
      <c r="Q922" s="4"/>
      <c r="R922" s="4"/>
      <c r="S922" s="4"/>
      <c r="T922" s="4"/>
      <c r="U922" s="4"/>
      <c r="V922" s="4"/>
      <c r="W922" s="4"/>
      <c r="X922" s="4"/>
      <c r="Y922" s="4"/>
      <c r="Z922" s="4"/>
      <c r="AA922" s="4"/>
      <c r="AB922" s="4"/>
      <c r="AC922" s="4"/>
      <c r="AD922" s="4"/>
      <c r="AE922" s="4"/>
      <c r="AF922" s="4"/>
      <c r="AG922" s="4"/>
      <c r="AH922" s="4"/>
      <c r="AI922" s="4"/>
      <c r="AJ922" s="4"/>
      <c r="AK922" s="4"/>
      <c r="AL922" s="4"/>
      <c r="AM922" s="4"/>
      <c r="AN922" s="4"/>
      <c r="AO922" s="4"/>
      <c r="AP922" s="4"/>
      <c r="AQ922" s="4"/>
      <c r="AR922" s="4"/>
      <c r="AS922" s="4"/>
      <c r="AT922" s="4"/>
      <c r="AU922" s="4"/>
      <c r="AV922" s="4"/>
      <c r="AW922" s="4"/>
      <c r="AX922" s="4"/>
      <c r="AY922" s="4"/>
      <c r="AZ922" s="4"/>
      <c r="BA922" s="4"/>
      <c r="BB922" s="4"/>
      <c r="BC922" s="4"/>
      <c r="BD922" s="4"/>
      <c r="BE922" s="4"/>
      <c r="BF922" s="4"/>
      <c r="BG922" s="4"/>
      <c r="BH922" s="4"/>
      <c r="BI922" s="4"/>
      <c r="BJ922" s="4"/>
      <c r="BK922" s="4"/>
      <c r="BL922" s="4"/>
      <c r="BM922" s="4"/>
      <c r="BN922" s="4"/>
      <c r="BO922" s="4"/>
      <c r="BP922" s="4"/>
      <c r="BQ922" s="4"/>
      <c r="BR922" s="4"/>
      <c r="BS922" s="4"/>
      <c r="BT922" s="4"/>
      <c r="BU922" s="4"/>
      <c r="BV922" s="4"/>
      <c r="BW922" s="4"/>
      <c r="BX922" s="4"/>
      <c r="BY922" s="4"/>
      <c r="BZ922" s="4"/>
      <c r="CA922" s="4"/>
      <c r="CB922" s="4"/>
      <c r="CC922" s="4"/>
      <c r="CD922" s="4"/>
      <c r="CE922" s="4"/>
      <c r="CF922" s="4"/>
      <c r="CG922" s="4"/>
      <c r="CH922" s="4"/>
      <c r="CI922" s="4"/>
    </row>
    <row r="923" ht="14.25" customHeight="1" spans="1:87" x14ac:dyDescent="0.25">
      <c r="A923" s="4"/>
      <c r="B923" s="4"/>
      <c r="C923" s="4"/>
      <c r="D923" s="4"/>
      <c r="E923" s="4"/>
      <c r="F923" s="4"/>
      <c r="G923" s="4"/>
      <c r="H923" s="4"/>
      <c r="I923" s="4"/>
      <c r="J923" s="4"/>
      <c r="K923" s="242"/>
      <c r="L923" s="4"/>
      <c r="M923" s="4"/>
      <c r="N923" s="4"/>
      <c r="O923" s="4"/>
      <c r="P923" s="4"/>
      <c r="Q923" s="4"/>
      <c r="R923" s="4"/>
      <c r="S923" s="4"/>
      <c r="T923" s="4"/>
      <c r="U923" s="4"/>
      <c r="V923" s="4"/>
      <c r="W923" s="4"/>
      <c r="X923" s="4"/>
      <c r="Y923" s="4"/>
      <c r="Z923" s="4"/>
      <c r="AA923" s="4"/>
      <c r="AB923" s="4"/>
      <c r="AC923" s="4"/>
      <c r="AD923" s="4"/>
      <c r="AE923" s="4"/>
      <c r="AF923" s="4"/>
      <c r="AG923" s="4"/>
      <c r="AH923" s="4"/>
      <c r="AI923" s="4"/>
      <c r="AJ923" s="4"/>
      <c r="AK923" s="4"/>
      <c r="AL923" s="4"/>
      <c r="AM923" s="4"/>
      <c r="AN923" s="4"/>
      <c r="AO923" s="4"/>
      <c r="AP923" s="4"/>
      <c r="AQ923" s="4"/>
      <c r="AR923" s="4"/>
      <c r="AS923" s="4"/>
      <c r="AT923" s="4"/>
      <c r="AU923" s="4"/>
      <c r="AV923" s="4"/>
      <c r="AW923" s="4"/>
      <c r="AX923" s="4"/>
      <c r="AY923" s="4"/>
      <c r="AZ923" s="4"/>
      <c r="BA923" s="4"/>
      <c r="BB923" s="4"/>
      <c r="BC923" s="4"/>
      <c r="BD923" s="4"/>
      <c r="BE923" s="4"/>
      <c r="BF923" s="4"/>
      <c r="BG923" s="4"/>
      <c r="BH923" s="4"/>
      <c r="BI923" s="4"/>
      <c r="BJ923" s="4"/>
      <c r="BK923" s="4"/>
      <c r="BL923" s="4"/>
      <c r="BM923" s="4"/>
      <c r="BN923" s="4"/>
      <c r="BO923" s="4"/>
      <c r="BP923" s="4"/>
      <c r="BQ923" s="4"/>
      <c r="BR923" s="4"/>
      <c r="BS923" s="4"/>
      <c r="BT923" s="4"/>
      <c r="BU923" s="4"/>
      <c r="BV923" s="4"/>
      <c r="BW923" s="4"/>
      <c r="BX923" s="4"/>
      <c r="BY923" s="4"/>
      <c r="BZ923" s="4"/>
      <c r="CA923" s="4"/>
      <c r="CB923" s="4"/>
      <c r="CC923" s="4"/>
      <c r="CD923" s="4"/>
      <c r="CE923" s="4"/>
      <c r="CF923" s="4"/>
      <c r="CG923" s="4"/>
      <c r="CH923" s="4"/>
      <c r="CI923" s="4"/>
    </row>
    <row r="924" ht="14.25" customHeight="1" spans="1:87" x14ac:dyDescent="0.25">
      <c r="A924" s="4"/>
      <c r="B924" s="4"/>
      <c r="C924" s="4"/>
      <c r="D924" s="4"/>
      <c r="E924" s="4"/>
      <c r="F924" s="4"/>
      <c r="G924" s="4"/>
      <c r="H924" s="4"/>
      <c r="I924" s="4"/>
      <c r="J924" s="4"/>
      <c r="K924" s="242"/>
      <c r="L924" s="4"/>
      <c r="M924" s="4"/>
      <c r="N924" s="4"/>
      <c r="O924" s="4"/>
      <c r="P924" s="4"/>
      <c r="Q924" s="4"/>
      <c r="R924" s="4"/>
      <c r="S924" s="4"/>
      <c r="T924" s="4"/>
      <c r="U924" s="4"/>
      <c r="V924" s="4"/>
      <c r="W924" s="4"/>
      <c r="X924" s="4"/>
      <c r="Y924" s="4"/>
      <c r="Z924" s="4"/>
      <c r="AA924" s="4"/>
      <c r="AB924" s="4"/>
      <c r="AC924" s="4"/>
      <c r="AD924" s="4"/>
      <c r="AE924" s="4"/>
      <c r="AF924" s="4"/>
      <c r="AG924" s="4"/>
      <c r="AH924" s="4"/>
      <c r="AI924" s="4"/>
      <c r="AJ924" s="4"/>
      <c r="AK924" s="4"/>
      <c r="AL924" s="4"/>
      <c r="AM924" s="4"/>
      <c r="AN924" s="4"/>
      <c r="AO924" s="4"/>
      <c r="AP924" s="4"/>
      <c r="AQ924" s="4"/>
      <c r="AR924" s="4"/>
      <c r="AS924" s="4"/>
      <c r="AT924" s="4"/>
      <c r="AU924" s="4"/>
      <c r="AV924" s="4"/>
      <c r="AW924" s="4"/>
      <c r="AX924" s="4"/>
      <c r="AY924" s="4"/>
      <c r="AZ924" s="4"/>
      <c r="BA924" s="4"/>
      <c r="BB924" s="4"/>
      <c r="BC924" s="4"/>
      <c r="BD924" s="4"/>
      <c r="BE924" s="4"/>
      <c r="BF924" s="4"/>
      <c r="BG924" s="4"/>
      <c r="BH924" s="4"/>
      <c r="BI924" s="4"/>
      <c r="BJ924" s="4"/>
      <c r="BK924" s="4"/>
      <c r="BL924" s="4"/>
      <c r="BM924" s="4"/>
      <c r="BN924" s="4"/>
      <c r="BO924" s="4"/>
      <c r="BP924" s="4"/>
      <c r="BQ924" s="4"/>
      <c r="BR924" s="4"/>
      <c r="BS924" s="4"/>
      <c r="BT924" s="4"/>
      <c r="BU924" s="4"/>
      <c r="BV924" s="4"/>
      <c r="BW924" s="4"/>
      <c r="BX924" s="4"/>
      <c r="BY924" s="4"/>
      <c r="BZ924" s="4"/>
      <c r="CA924" s="4"/>
      <c r="CB924" s="4"/>
      <c r="CC924" s="4"/>
      <c r="CD924" s="4"/>
      <c r="CE924" s="4"/>
      <c r="CF924" s="4"/>
      <c r="CG924" s="4"/>
      <c r="CH924" s="4"/>
      <c r="CI924" s="4"/>
    </row>
    <row r="925" ht="14.25" customHeight="1" spans="1:87" x14ac:dyDescent="0.25">
      <c r="A925" s="4"/>
      <c r="B925" s="4"/>
      <c r="C925" s="4"/>
      <c r="D925" s="4"/>
      <c r="E925" s="4"/>
      <c r="F925" s="4"/>
      <c r="G925" s="4"/>
      <c r="H925" s="4"/>
      <c r="I925" s="4"/>
      <c r="J925" s="4"/>
      <c r="K925" s="242"/>
      <c r="L925" s="4"/>
      <c r="M925" s="4"/>
      <c r="N925" s="4"/>
      <c r="O925" s="4"/>
      <c r="P925" s="4"/>
      <c r="Q925" s="4"/>
      <c r="R925" s="4"/>
      <c r="S925" s="4"/>
      <c r="T925" s="4"/>
      <c r="U925" s="4"/>
      <c r="V925" s="4"/>
      <c r="W925" s="4"/>
      <c r="X925" s="4"/>
      <c r="Y925" s="4"/>
      <c r="Z925" s="4"/>
      <c r="AA925" s="4"/>
      <c r="AB925" s="4"/>
      <c r="AC925" s="4"/>
      <c r="AD925" s="4"/>
      <c r="AE925" s="4"/>
      <c r="AF925" s="4"/>
      <c r="AG925" s="4"/>
      <c r="AH925" s="4"/>
      <c r="AI925" s="4"/>
      <c r="AJ925" s="4"/>
      <c r="AK925" s="4"/>
      <c r="AL925" s="4"/>
      <c r="AM925" s="4"/>
      <c r="AN925" s="4"/>
      <c r="AO925" s="4"/>
      <c r="AP925" s="4"/>
      <c r="AQ925" s="4"/>
      <c r="AR925" s="4"/>
      <c r="AS925" s="4"/>
      <c r="AT925" s="4"/>
      <c r="AU925" s="4"/>
      <c r="AV925" s="4"/>
      <c r="AW925" s="4"/>
      <c r="AX925" s="4"/>
      <c r="AY925" s="4"/>
      <c r="AZ925" s="4"/>
      <c r="BA925" s="4"/>
      <c r="BB925" s="4"/>
      <c r="BC925" s="4"/>
      <c r="BD925" s="4"/>
      <c r="BE925" s="4"/>
      <c r="BF925" s="4"/>
      <c r="BG925" s="4"/>
      <c r="BH925" s="4"/>
      <c r="BI925" s="4"/>
      <c r="BJ925" s="4"/>
      <c r="BK925" s="4"/>
      <c r="BL925" s="4"/>
      <c r="BM925" s="4"/>
      <c r="BN925" s="4"/>
      <c r="BO925" s="4"/>
      <c r="BP925" s="4"/>
      <c r="BQ925" s="4"/>
      <c r="BR925" s="4"/>
      <c r="BS925" s="4"/>
      <c r="BT925" s="4"/>
      <c r="BU925" s="4"/>
      <c r="BV925" s="4"/>
      <c r="BW925" s="4"/>
      <c r="BX925" s="4"/>
      <c r="BY925" s="4"/>
      <c r="BZ925" s="4"/>
      <c r="CA925" s="4"/>
      <c r="CB925" s="4"/>
      <c r="CC925" s="4"/>
      <c r="CD925" s="4"/>
      <c r="CE925" s="4"/>
      <c r="CF925" s="4"/>
      <c r="CG925" s="4"/>
      <c r="CH925" s="4"/>
      <c r="CI925" s="4"/>
    </row>
    <row r="926" ht="14.25" customHeight="1" spans="1:87" x14ac:dyDescent="0.25">
      <c r="A926" s="4"/>
      <c r="B926" s="4"/>
      <c r="C926" s="4"/>
      <c r="D926" s="4"/>
      <c r="E926" s="4"/>
      <c r="F926" s="4"/>
      <c r="G926" s="4"/>
      <c r="H926" s="4"/>
      <c r="I926" s="4"/>
      <c r="J926" s="4"/>
      <c r="K926" s="242"/>
      <c r="L926" s="4"/>
      <c r="M926" s="4"/>
      <c r="N926" s="4"/>
      <c r="O926" s="4"/>
      <c r="P926" s="4"/>
      <c r="Q926" s="4"/>
      <c r="R926" s="4"/>
      <c r="S926" s="4"/>
      <c r="T926" s="4"/>
      <c r="U926" s="4"/>
      <c r="V926" s="4"/>
      <c r="W926" s="4"/>
      <c r="X926" s="4"/>
      <c r="Y926" s="4"/>
      <c r="Z926" s="4"/>
      <c r="AA926" s="4"/>
      <c r="AB926" s="4"/>
      <c r="AC926" s="4"/>
      <c r="AD926" s="4"/>
      <c r="AE926" s="4"/>
      <c r="AF926" s="4"/>
      <c r="AG926" s="4"/>
      <c r="AH926" s="4"/>
      <c r="AI926" s="4"/>
      <c r="AJ926" s="4"/>
      <c r="AK926" s="4"/>
      <c r="AL926" s="4"/>
      <c r="AM926" s="4"/>
      <c r="AN926" s="4"/>
      <c r="AO926" s="4"/>
      <c r="AP926" s="4"/>
      <c r="AQ926" s="4"/>
      <c r="AR926" s="4"/>
      <c r="AS926" s="4"/>
      <c r="AT926" s="4"/>
      <c r="AU926" s="4"/>
      <c r="AV926" s="4"/>
      <c r="AW926" s="4"/>
      <c r="AX926" s="4"/>
      <c r="AY926" s="4"/>
      <c r="AZ926" s="4"/>
      <c r="BA926" s="4"/>
      <c r="BB926" s="4"/>
      <c r="BC926" s="4"/>
      <c r="BD926" s="4"/>
      <c r="BE926" s="4"/>
      <c r="BF926" s="4"/>
      <c r="BG926" s="4"/>
      <c r="BH926" s="4"/>
      <c r="BI926" s="4"/>
      <c r="BJ926" s="4"/>
      <c r="BK926" s="4"/>
      <c r="BL926" s="4"/>
      <c r="BM926" s="4"/>
      <c r="BN926" s="4"/>
      <c r="BO926" s="4"/>
      <c r="BP926" s="4"/>
      <c r="BQ926" s="4"/>
      <c r="BR926" s="4"/>
      <c r="BS926" s="4"/>
      <c r="BT926" s="4"/>
      <c r="BU926" s="4"/>
      <c r="BV926" s="4"/>
      <c r="BW926" s="4"/>
      <c r="BX926" s="4"/>
      <c r="BY926" s="4"/>
      <c r="BZ926" s="4"/>
      <c r="CA926" s="4"/>
      <c r="CB926" s="4"/>
      <c r="CC926" s="4"/>
      <c r="CD926" s="4"/>
      <c r="CE926" s="4"/>
      <c r="CF926" s="4"/>
      <c r="CG926" s="4"/>
      <c r="CH926" s="4"/>
      <c r="CI926" s="4"/>
    </row>
    <row r="927" ht="14.25" customHeight="1" spans="1:87" x14ac:dyDescent="0.25">
      <c r="A927" s="4"/>
      <c r="B927" s="4"/>
      <c r="C927" s="4"/>
      <c r="D927" s="4"/>
      <c r="E927" s="4"/>
      <c r="F927" s="4"/>
      <c r="G927" s="4"/>
      <c r="H927" s="4"/>
      <c r="I927" s="4"/>
      <c r="J927" s="4"/>
      <c r="K927" s="242"/>
      <c r="L927" s="4"/>
      <c r="M927" s="4"/>
      <c r="N927" s="4"/>
      <c r="O927" s="4"/>
      <c r="P927" s="4"/>
      <c r="Q927" s="4"/>
      <c r="R927" s="4"/>
      <c r="S927" s="4"/>
      <c r="T927" s="4"/>
      <c r="U927" s="4"/>
      <c r="V927" s="4"/>
      <c r="W927" s="4"/>
      <c r="X927" s="4"/>
      <c r="Y927" s="4"/>
      <c r="Z927" s="4"/>
      <c r="AA927" s="4"/>
      <c r="AB927" s="4"/>
      <c r="AC927" s="4"/>
      <c r="AD927" s="4"/>
      <c r="AE927" s="4"/>
      <c r="AF927" s="4"/>
      <c r="AG927" s="4"/>
      <c r="AH927" s="4"/>
      <c r="AI927" s="4"/>
      <c r="AJ927" s="4"/>
      <c r="AK927" s="4"/>
      <c r="AL927" s="4"/>
      <c r="AM927" s="4"/>
      <c r="AN927" s="4"/>
      <c r="AO927" s="4"/>
      <c r="AP927" s="4"/>
      <c r="AQ927" s="4"/>
      <c r="AR927" s="4"/>
      <c r="AS927" s="4"/>
      <c r="AT927" s="4"/>
      <c r="AU927" s="4"/>
      <c r="AV927" s="4"/>
      <c r="AW927" s="4"/>
      <c r="AX927" s="4"/>
      <c r="AY927" s="4"/>
      <c r="AZ927" s="4"/>
      <c r="BA927" s="4"/>
      <c r="BB927" s="4"/>
      <c r="BC927" s="4"/>
      <c r="BD927" s="4"/>
      <c r="BE927" s="4"/>
      <c r="BF927" s="4"/>
      <c r="BG927" s="4"/>
      <c r="BH927" s="4"/>
      <c r="BI927" s="4"/>
      <c r="BJ927" s="4"/>
      <c r="BK927" s="4"/>
      <c r="BL927" s="4"/>
      <c r="BM927" s="4"/>
      <c r="BN927" s="4"/>
      <c r="BO927" s="4"/>
      <c r="BP927" s="4"/>
      <c r="BQ927" s="4"/>
      <c r="BR927" s="4"/>
      <c r="BS927" s="4"/>
      <c r="BT927" s="4"/>
      <c r="BU927" s="4"/>
      <c r="BV927" s="4"/>
      <c r="BW927" s="4"/>
      <c r="BX927" s="4"/>
      <c r="BY927" s="4"/>
      <c r="BZ927" s="4"/>
      <c r="CA927" s="4"/>
      <c r="CB927" s="4"/>
      <c r="CC927" s="4"/>
      <c r="CD927" s="4"/>
      <c r="CE927" s="4"/>
      <c r="CF927" s="4"/>
      <c r="CG927" s="4"/>
      <c r="CH927" s="4"/>
      <c r="CI927" s="4"/>
    </row>
    <row r="928" ht="14.25" customHeight="1" spans="1:87" x14ac:dyDescent="0.25">
      <c r="A928" s="4"/>
      <c r="B928" s="4"/>
      <c r="C928" s="4"/>
      <c r="D928" s="4"/>
      <c r="E928" s="4"/>
      <c r="F928" s="4"/>
      <c r="G928" s="4"/>
      <c r="H928" s="4"/>
      <c r="I928" s="4"/>
      <c r="J928" s="4"/>
      <c r="K928" s="242"/>
      <c r="L928" s="4"/>
      <c r="M928" s="4"/>
      <c r="N928" s="4"/>
      <c r="O928" s="4"/>
      <c r="P928" s="4"/>
      <c r="Q928" s="4"/>
      <c r="R928" s="4"/>
      <c r="S928" s="4"/>
      <c r="T928" s="4"/>
      <c r="U928" s="4"/>
      <c r="V928" s="4"/>
      <c r="W928" s="4"/>
      <c r="X928" s="4"/>
      <c r="Y928" s="4"/>
      <c r="Z928" s="4"/>
      <c r="AA928" s="4"/>
      <c r="AB928" s="4"/>
      <c r="AC928" s="4"/>
      <c r="AD928" s="4"/>
      <c r="AE928" s="4"/>
      <c r="AF928" s="4"/>
      <c r="AG928" s="4"/>
      <c r="AH928" s="4"/>
      <c r="AI928" s="4"/>
      <c r="AJ928" s="4"/>
      <c r="AK928" s="4"/>
      <c r="AL928" s="4"/>
      <c r="AM928" s="4"/>
      <c r="AN928" s="4"/>
      <c r="AO928" s="4"/>
      <c r="AP928" s="4"/>
      <c r="AQ928" s="4"/>
      <c r="AR928" s="4"/>
      <c r="AS928" s="4"/>
      <c r="AT928" s="4"/>
      <c r="AU928" s="4"/>
      <c r="AV928" s="4"/>
      <c r="AW928" s="4"/>
      <c r="AX928" s="4"/>
      <c r="AY928" s="4"/>
      <c r="AZ928" s="4"/>
      <c r="BA928" s="4"/>
      <c r="BB928" s="4"/>
      <c r="BC928" s="4"/>
      <c r="BD928" s="4"/>
      <c r="BE928" s="4"/>
      <c r="BF928" s="4"/>
      <c r="BG928" s="4"/>
      <c r="BH928" s="4"/>
      <c r="BI928" s="4"/>
      <c r="BJ928" s="4"/>
      <c r="BK928" s="4"/>
      <c r="BL928" s="4"/>
      <c r="BM928" s="4"/>
      <c r="BN928" s="4"/>
      <c r="BO928" s="4"/>
      <c r="BP928" s="4"/>
      <c r="BQ928" s="4"/>
      <c r="BR928" s="4"/>
      <c r="BS928" s="4"/>
      <c r="BT928" s="4"/>
      <c r="BU928" s="4"/>
      <c r="BV928" s="4"/>
      <c r="BW928" s="4"/>
      <c r="BX928" s="4"/>
      <c r="BY928" s="4"/>
      <c r="BZ928" s="4"/>
      <c r="CA928" s="4"/>
      <c r="CB928" s="4"/>
      <c r="CC928" s="4"/>
      <c r="CD928" s="4"/>
      <c r="CE928" s="4"/>
      <c r="CF928" s="4"/>
      <c r="CG928" s="4"/>
      <c r="CH928" s="4"/>
      <c r="CI928" s="4"/>
    </row>
    <row r="929" ht="14.25" customHeight="1" spans="1:87" x14ac:dyDescent="0.25">
      <c r="A929" s="4"/>
      <c r="B929" s="4"/>
      <c r="C929" s="4"/>
      <c r="D929" s="4"/>
      <c r="E929" s="4"/>
      <c r="F929" s="4"/>
      <c r="G929" s="4"/>
      <c r="H929" s="4"/>
      <c r="I929" s="4"/>
      <c r="J929" s="4"/>
      <c r="K929" s="242"/>
      <c r="L929" s="4"/>
      <c r="M929" s="4"/>
      <c r="N929" s="4"/>
      <c r="O929" s="4"/>
      <c r="P929" s="4"/>
      <c r="Q929" s="4"/>
      <c r="R929" s="4"/>
      <c r="S929" s="4"/>
      <c r="T929" s="4"/>
      <c r="U929" s="4"/>
      <c r="V929" s="4"/>
      <c r="W929" s="4"/>
      <c r="X929" s="4"/>
      <c r="Y929" s="4"/>
      <c r="Z929" s="4"/>
      <c r="AA929" s="4"/>
      <c r="AB929" s="4"/>
      <c r="AC929" s="4"/>
      <c r="AD929" s="4"/>
      <c r="AE929" s="4"/>
      <c r="AF929" s="4"/>
      <c r="AG929" s="4"/>
      <c r="AH929" s="4"/>
      <c r="AI929" s="4"/>
      <c r="AJ929" s="4"/>
      <c r="AK929" s="4"/>
      <c r="AL929" s="4"/>
      <c r="AM929" s="4"/>
      <c r="AN929" s="4"/>
      <c r="AO929" s="4"/>
      <c r="AP929" s="4"/>
      <c r="AQ929" s="4"/>
      <c r="AR929" s="4"/>
      <c r="AS929" s="4"/>
      <c r="AT929" s="4"/>
      <c r="AU929" s="4"/>
      <c r="AV929" s="4"/>
      <c r="AW929" s="4"/>
      <c r="AX929" s="4"/>
      <c r="AY929" s="4"/>
      <c r="AZ929" s="4"/>
      <c r="BA929" s="4"/>
      <c r="BB929" s="4"/>
      <c r="BC929" s="4"/>
      <c r="BD929" s="4"/>
      <c r="BE929" s="4"/>
      <c r="BF929" s="4"/>
      <c r="BG929" s="4"/>
      <c r="BH929" s="4"/>
      <c r="BI929" s="4"/>
      <c r="BJ929" s="4"/>
      <c r="BK929" s="4"/>
      <c r="BL929" s="4"/>
      <c r="BM929" s="4"/>
      <c r="BN929" s="4"/>
      <c r="BO929" s="4"/>
      <c r="BP929" s="4"/>
      <c r="BQ929" s="4"/>
      <c r="BR929" s="4"/>
      <c r="BS929" s="4"/>
      <c r="BT929" s="4"/>
      <c r="BU929" s="4"/>
      <c r="BV929" s="4"/>
      <c r="BW929" s="4"/>
      <c r="BX929" s="4"/>
      <c r="BY929" s="4"/>
      <c r="BZ929" s="4"/>
      <c r="CA929" s="4"/>
      <c r="CB929" s="4"/>
      <c r="CC929" s="4"/>
      <c r="CD929" s="4"/>
      <c r="CE929" s="4"/>
      <c r="CF929" s="4"/>
      <c r="CG929" s="4"/>
      <c r="CH929" s="4"/>
      <c r="CI929" s="4"/>
    </row>
    <row r="930" ht="14.25" customHeight="1" spans="1:87" x14ac:dyDescent="0.25">
      <c r="A930" s="4"/>
      <c r="B930" s="4"/>
      <c r="C930" s="4"/>
      <c r="D930" s="4"/>
      <c r="E930" s="4"/>
      <c r="F930" s="4"/>
      <c r="G930" s="4"/>
      <c r="H930" s="4"/>
      <c r="I930" s="4"/>
      <c r="J930" s="4"/>
      <c r="K930" s="242"/>
      <c r="L930" s="4"/>
      <c r="M930" s="4"/>
      <c r="N930" s="4"/>
      <c r="O930" s="4"/>
      <c r="P930" s="4"/>
      <c r="Q930" s="4"/>
      <c r="R930" s="4"/>
      <c r="S930" s="4"/>
      <c r="T930" s="4"/>
      <c r="U930" s="4"/>
      <c r="V930" s="4"/>
      <c r="W930" s="4"/>
      <c r="X930" s="4"/>
      <c r="Y930" s="4"/>
      <c r="Z930" s="4"/>
      <c r="AA930" s="4"/>
      <c r="AB930" s="4"/>
      <c r="AC930" s="4"/>
      <c r="AD930" s="4"/>
      <c r="AE930" s="4"/>
      <c r="AF930" s="4"/>
      <c r="AG930" s="4"/>
      <c r="AH930" s="4"/>
      <c r="AI930" s="4"/>
      <c r="AJ930" s="4"/>
      <c r="AK930" s="4"/>
      <c r="AL930" s="4"/>
      <c r="AM930" s="4"/>
      <c r="AN930" s="4"/>
      <c r="AO930" s="4"/>
      <c r="AP930" s="4"/>
      <c r="AQ930" s="4"/>
      <c r="AR930" s="4"/>
      <c r="AS930" s="4"/>
      <c r="AT930" s="4"/>
      <c r="AU930" s="4"/>
      <c r="AV930" s="4"/>
      <c r="AW930" s="4"/>
      <c r="AX930" s="4"/>
      <c r="AY930" s="4"/>
      <c r="AZ930" s="4"/>
      <c r="BA930" s="4"/>
      <c r="BB930" s="4"/>
      <c r="BC930" s="4"/>
      <c r="BD930" s="4"/>
      <c r="BE930" s="4"/>
      <c r="BF930" s="4"/>
      <c r="BG930" s="4"/>
      <c r="BH930" s="4"/>
      <c r="BI930" s="4"/>
      <c r="BJ930" s="4"/>
      <c r="BK930" s="4"/>
      <c r="BL930" s="4"/>
      <c r="BM930" s="4"/>
      <c r="BN930" s="4"/>
      <c r="BO930" s="4"/>
      <c r="BP930" s="4"/>
      <c r="BQ930" s="4"/>
      <c r="BR930" s="4"/>
      <c r="BS930" s="4"/>
      <c r="BT930" s="4"/>
      <c r="BU930" s="4"/>
      <c r="BV930" s="4"/>
      <c r="BW930" s="4"/>
      <c r="BX930" s="4"/>
      <c r="BY930" s="4"/>
      <c r="BZ930" s="4"/>
      <c r="CA930" s="4"/>
      <c r="CB930" s="4"/>
      <c r="CC930" s="4"/>
      <c r="CD930" s="4"/>
      <c r="CE930" s="4"/>
      <c r="CF930" s="4"/>
      <c r="CG930" s="4"/>
      <c r="CH930" s="4"/>
      <c r="CI930" s="4"/>
    </row>
    <row r="931" ht="14.25" customHeight="1" spans="1:87" x14ac:dyDescent="0.25">
      <c r="A931" s="4"/>
      <c r="B931" s="4"/>
      <c r="C931" s="4"/>
      <c r="D931" s="4"/>
      <c r="E931" s="4"/>
      <c r="F931" s="4"/>
      <c r="G931" s="4"/>
      <c r="H931" s="4"/>
      <c r="I931" s="4"/>
      <c r="J931" s="4"/>
      <c r="K931" s="242"/>
      <c r="L931" s="4"/>
      <c r="M931" s="4"/>
      <c r="N931" s="4"/>
      <c r="O931" s="4"/>
      <c r="P931" s="4"/>
      <c r="Q931" s="4"/>
      <c r="R931" s="4"/>
      <c r="S931" s="4"/>
      <c r="T931" s="4"/>
      <c r="U931" s="4"/>
      <c r="V931" s="4"/>
      <c r="W931" s="4"/>
      <c r="X931" s="4"/>
      <c r="Y931" s="4"/>
      <c r="Z931" s="4"/>
      <c r="AA931" s="4"/>
      <c r="AB931" s="4"/>
      <c r="AC931" s="4"/>
      <c r="AD931" s="4"/>
      <c r="AE931" s="4"/>
      <c r="AF931" s="4"/>
      <c r="AG931" s="4"/>
      <c r="AH931" s="4"/>
      <c r="AI931" s="4"/>
      <c r="AJ931" s="4"/>
      <c r="AK931" s="4"/>
      <c r="AL931" s="4"/>
      <c r="AM931" s="4"/>
      <c r="AN931" s="4"/>
      <c r="AO931" s="4"/>
      <c r="AP931" s="4"/>
      <c r="AQ931" s="4"/>
      <c r="AR931" s="4"/>
      <c r="AS931" s="4"/>
      <c r="AT931" s="4"/>
      <c r="AU931" s="4"/>
      <c r="AV931" s="4"/>
      <c r="AW931" s="4"/>
      <c r="AX931" s="4"/>
      <c r="AY931" s="4"/>
      <c r="AZ931" s="4"/>
      <c r="BA931" s="4"/>
      <c r="BB931" s="4"/>
      <c r="BC931" s="4"/>
      <c r="BD931" s="4"/>
      <c r="BE931" s="4"/>
      <c r="BF931" s="4"/>
      <c r="BG931" s="4"/>
      <c r="BH931" s="4"/>
      <c r="BI931" s="4"/>
      <c r="BJ931" s="4"/>
      <c r="BK931" s="4"/>
      <c r="BL931" s="4"/>
      <c r="BM931" s="4"/>
      <c r="BN931" s="4"/>
      <c r="BO931" s="4"/>
      <c r="BP931" s="4"/>
      <c r="BQ931" s="4"/>
      <c r="BR931" s="4"/>
      <c r="BS931" s="4"/>
      <c r="BT931" s="4"/>
      <c r="BU931" s="4"/>
      <c r="BV931" s="4"/>
      <c r="BW931" s="4"/>
      <c r="BX931" s="4"/>
      <c r="BY931" s="4"/>
      <c r="BZ931" s="4"/>
      <c r="CA931" s="4"/>
      <c r="CB931" s="4"/>
      <c r="CC931" s="4"/>
      <c r="CD931" s="4"/>
      <c r="CE931" s="4"/>
      <c r="CF931" s="4"/>
      <c r="CG931" s="4"/>
      <c r="CH931" s="4"/>
      <c r="CI931" s="4"/>
    </row>
    <row r="932" ht="14.25" customHeight="1" spans="1:87" x14ac:dyDescent="0.25">
      <c r="A932" s="4"/>
      <c r="B932" s="4"/>
      <c r="C932" s="4"/>
      <c r="D932" s="4"/>
      <c r="E932" s="4"/>
      <c r="F932" s="4"/>
      <c r="G932" s="4"/>
      <c r="H932" s="4"/>
      <c r="I932" s="4"/>
      <c r="J932" s="4"/>
      <c r="K932" s="242"/>
      <c r="L932" s="4"/>
      <c r="M932" s="4"/>
      <c r="N932" s="4"/>
      <c r="O932" s="4"/>
      <c r="P932" s="4"/>
      <c r="Q932" s="4"/>
      <c r="R932" s="4"/>
      <c r="S932" s="4"/>
      <c r="T932" s="4"/>
      <c r="U932" s="4"/>
      <c r="V932" s="4"/>
      <c r="W932" s="4"/>
      <c r="X932" s="4"/>
      <c r="Y932" s="4"/>
      <c r="Z932" s="4"/>
      <c r="AA932" s="4"/>
      <c r="AB932" s="4"/>
      <c r="AC932" s="4"/>
      <c r="AD932" s="4"/>
      <c r="AE932" s="4"/>
      <c r="AF932" s="4"/>
      <c r="AG932" s="4"/>
      <c r="AH932" s="4"/>
      <c r="AI932" s="4"/>
      <c r="AJ932" s="4"/>
      <c r="AK932" s="4"/>
      <c r="AL932" s="4"/>
      <c r="AM932" s="4"/>
      <c r="AN932" s="4"/>
      <c r="AO932" s="4"/>
      <c r="AP932" s="4"/>
      <c r="AQ932" s="4"/>
      <c r="AR932" s="4"/>
      <c r="AS932" s="4"/>
      <c r="AT932" s="4"/>
      <c r="AU932" s="4"/>
      <c r="AV932" s="4"/>
      <c r="AW932" s="4"/>
      <c r="AX932" s="4"/>
      <c r="AY932" s="4"/>
      <c r="AZ932" s="4"/>
      <c r="BA932" s="4"/>
      <c r="BB932" s="4"/>
      <c r="BC932" s="4"/>
      <c r="BD932" s="4"/>
      <c r="BE932" s="4"/>
      <c r="BF932" s="4"/>
      <c r="BG932" s="4"/>
      <c r="BH932" s="4"/>
      <c r="BI932" s="4"/>
      <c r="BJ932" s="4"/>
      <c r="BK932" s="4"/>
      <c r="BL932" s="4"/>
      <c r="BM932" s="4"/>
      <c r="BN932" s="4"/>
      <c r="BO932" s="4"/>
      <c r="BP932" s="4"/>
      <c r="BQ932" s="4"/>
      <c r="BR932" s="4"/>
      <c r="BS932" s="4"/>
      <c r="BT932" s="4"/>
      <c r="BU932" s="4"/>
      <c r="BV932" s="4"/>
      <c r="BW932" s="4"/>
      <c r="BX932" s="4"/>
      <c r="BY932" s="4"/>
      <c r="BZ932" s="4"/>
      <c r="CA932" s="4"/>
      <c r="CB932" s="4"/>
      <c r="CC932" s="4"/>
      <c r="CD932" s="4"/>
      <c r="CE932" s="4"/>
      <c r="CF932" s="4"/>
      <c r="CG932" s="4"/>
      <c r="CH932" s="4"/>
      <c r="CI932" s="4"/>
    </row>
    <row r="933" ht="14.25" customHeight="1" spans="1:87" x14ac:dyDescent="0.25">
      <c r="A933" s="4"/>
      <c r="B933" s="4"/>
      <c r="C933" s="4"/>
      <c r="D933" s="4"/>
      <c r="E933" s="4"/>
      <c r="F933" s="4"/>
      <c r="G933" s="4"/>
      <c r="H933" s="4"/>
      <c r="I933" s="4"/>
      <c r="J933" s="4"/>
      <c r="K933" s="242"/>
      <c r="L933" s="4"/>
      <c r="M933" s="4"/>
      <c r="N933" s="4"/>
      <c r="O933" s="4"/>
      <c r="P933" s="4"/>
      <c r="Q933" s="4"/>
      <c r="R933" s="4"/>
      <c r="S933" s="4"/>
      <c r="T933" s="4"/>
      <c r="U933" s="4"/>
      <c r="V933" s="4"/>
      <c r="W933" s="4"/>
      <c r="X933" s="4"/>
      <c r="Y933" s="4"/>
      <c r="Z933" s="4"/>
      <c r="AA933" s="4"/>
      <c r="AB933" s="4"/>
      <c r="AC933" s="4"/>
      <c r="AD933" s="4"/>
      <c r="AE933" s="4"/>
      <c r="AF933" s="4"/>
      <c r="AG933" s="4"/>
      <c r="AH933" s="4"/>
      <c r="AI933" s="4"/>
      <c r="AJ933" s="4"/>
      <c r="AK933" s="4"/>
      <c r="AL933" s="4"/>
      <c r="AM933" s="4"/>
      <c r="AN933" s="4"/>
      <c r="AO933" s="4"/>
      <c r="AP933" s="4"/>
      <c r="AQ933" s="4"/>
      <c r="AR933" s="4"/>
      <c r="AS933" s="4"/>
      <c r="AT933" s="4"/>
      <c r="AU933" s="4"/>
      <c r="AV933" s="4"/>
      <c r="AW933" s="4"/>
      <c r="AX933" s="4"/>
      <c r="AY933" s="4"/>
      <c r="AZ933" s="4"/>
      <c r="BA933" s="4"/>
      <c r="BB933" s="4"/>
      <c r="BC933" s="4"/>
      <c r="BD933" s="4"/>
      <c r="BE933" s="4"/>
      <c r="BF933" s="4"/>
      <c r="BG933" s="4"/>
      <c r="BH933" s="4"/>
      <c r="BI933" s="4"/>
      <c r="BJ933" s="4"/>
      <c r="BK933" s="4"/>
      <c r="BL933" s="4"/>
      <c r="BM933" s="4"/>
      <c r="BN933" s="4"/>
      <c r="BO933" s="4"/>
      <c r="BP933" s="4"/>
      <c r="BQ933" s="4"/>
      <c r="BR933" s="4"/>
      <c r="BS933" s="4"/>
      <c r="BT933" s="4"/>
      <c r="BU933" s="4"/>
      <c r="BV933" s="4"/>
      <c r="BW933" s="4"/>
      <c r="BX933" s="4"/>
      <c r="BY933" s="4"/>
      <c r="BZ933" s="4"/>
      <c r="CA933" s="4"/>
      <c r="CB933" s="4"/>
      <c r="CC933" s="4"/>
      <c r="CD933" s="4"/>
      <c r="CE933" s="4"/>
      <c r="CF933" s="4"/>
      <c r="CG933" s="4"/>
      <c r="CH933" s="4"/>
      <c r="CI933" s="4"/>
    </row>
    <row r="934" ht="14.25" customHeight="1" spans="1:87" x14ac:dyDescent="0.25">
      <c r="A934" s="4"/>
      <c r="B934" s="4"/>
      <c r="C934" s="4"/>
      <c r="D934" s="4"/>
      <c r="E934" s="4"/>
      <c r="F934" s="4"/>
      <c r="G934" s="4"/>
      <c r="H934" s="4"/>
      <c r="I934" s="4"/>
      <c r="J934" s="4"/>
      <c r="K934" s="242"/>
      <c r="L934" s="4"/>
      <c r="M934" s="4"/>
      <c r="N934" s="4"/>
      <c r="O934" s="4"/>
      <c r="P934" s="4"/>
      <c r="Q934" s="4"/>
      <c r="R934" s="4"/>
      <c r="S934" s="4"/>
      <c r="T934" s="4"/>
      <c r="U934" s="4"/>
      <c r="V934" s="4"/>
      <c r="W934" s="4"/>
      <c r="X934" s="4"/>
      <c r="Y934" s="4"/>
      <c r="Z934" s="4"/>
      <c r="AA934" s="4"/>
      <c r="AB934" s="4"/>
      <c r="AC934" s="4"/>
      <c r="AD934" s="4"/>
      <c r="AE934" s="4"/>
      <c r="AF934" s="4"/>
      <c r="AG934" s="4"/>
      <c r="AH934" s="4"/>
      <c r="AI934" s="4"/>
      <c r="AJ934" s="4"/>
      <c r="AK934" s="4"/>
      <c r="AL934" s="4"/>
      <c r="AM934" s="4"/>
      <c r="AN934" s="4"/>
      <c r="AO934" s="4"/>
      <c r="AP934" s="4"/>
      <c r="AQ934" s="4"/>
      <c r="AR934" s="4"/>
      <c r="AS934" s="4"/>
      <c r="AT934" s="4"/>
      <c r="AU934" s="4"/>
      <c r="AV934" s="4"/>
      <c r="AW934" s="4"/>
      <c r="AX934" s="4"/>
      <c r="AY934" s="4"/>
      <c r="AZ934" s="4"/>
      <c r="BA934" s="4"/>
      <c r="BB934" s="4"/>
      <c r="BC934" s="4"/>
      <c r="BD934" s="4"/>
      <c r="BE934" s="4"/>
      <c r="BF934" s="4"/>
      <c r="BG934" s="4"/>
      <c r="BH934" s="4"/>
      <c r="BI934" s="4"/>
      <c r="BJ934" s="4"/>
      <c r="BK934" s="4"/>
      <c r="BL934" s="4"/>
      <c r="BM934" s="4"/>
      <c r="BN934" s="4"/>
      <c r="BO934" s="4"/>
      <c r="BP934" s="4"/>
      <c r="BQ934" s="4"/>
      <c r="BR934" s="4"/>
      <c r="BS934" s="4"/>
      <c r="BT934" s="4"/>
      <c r="BU934" s="4"/>
      <c r="BV934" s="4"/>
      <c r="BW934" s="4"/>
      <c r="BX934" s="4"/>
      <c r="BY934" s="4"/>
      <c r="BZ934" s="4"/>
      <c r="CA934" s="4"/>
      <c r="CB934" s="4"/>
      <c r="CC934" s="4"/>
      <c r="CD934" s="4"/>
      <c r="CE934" s="4"/>
      <c r="CF934" s="4"/>
      <c r="CG934" s="4"/>
      <c r="CH934" s="4"/>
      <c r="CI934" s="4"/>
    </row>
    <row r="935" ht="14.25" customHeight="1" spans="1:87" x14ac:dyDescent="0.25">
      <c r="A935" s="4"/>
      <c r="B935" s="4"/>
      <c r="C935" s="4"/>
      <c r="D935" s="4"/>
      <c r="E935" s="4"/>
      <c r="F935" s="4"/>
      <c r="G935" s="4"/>
      <c r="H935" s="4"/>
      <c r="I935" s="4"/>
      <c r="J935" s="4"/>
      <c r="K935" s="242"/>
      <c r="L935" s="4"/>
      <c r="M935" s="4"/>
      <c r="N935" s="4"/>
      <c r="O935" s="4"/>
      <c r="P935" s="4"/>
      <c r="Q935" s="4"/>
      <c r="R935" s="4"/>
      <c r="S935" s="4"/>
      <c r="T935" s="4"/>
      <c r="U935" s="4"/>
      <c r="V935" s="4"/>
      <c r="W935" s="4"/>
      <c r="X935" s="4"/>
      <c r="Y935" s="4"/>
      <c r="Z935" s="4"/>
      <c r="AA935" s="4"/>
      <c r="AB935" s="4"/>
      <c r="AC935" s="4"/>
      <c r="AD935" s="4"/>
      <c r="AE935" s="4"/>
      <c r="AF935" s="4"/>
      <c r="AG935" s="4"/>
      <c r="AH935" s="4"/>
      <c r="AI935" s="4"/>
      <c r="AJ935" s="4"/>
      <c r="AK935" s="4"/>
      <c r="AL935" s="4"/>
      <c r="AM935" s="4"/>
      <c r="AN935" s="4"/>
      <c r="AO935" s="4"/>
      <c r="AP935" s="4"/>
      <c r="AQ935" s="4"/>
      <c r="AR935" s="4"/>
      <c r="AS935" s="4"/>
      <c r="AT935" s="4"/>
      <c r="AU935" s="4"/>
      <c r="AV935" s="4"/>
      <c r="AW935" s="4"/>
      <c r="AX935" s="4"/>
      <c r="AY935" s="4"/>
      <c r="AZ935" s="4"/>
      <c r="BA935" s="4"/>
      <c r="BB935" s="4"/>
      <c r="BC935" s="4"/>
      <c r="BD935" s="4"/>
      <c r="BE935" s="4"/>
      <c r="BF935" s="4"/>
      <c r="BG935" s="4"/>
      <c r="BH935" s="4"/>
      <c r="BI935" s="4"/>
      <c r="BJ935" s="4"/>
      <c r="BK935" s="4"/>
      <c r="BL935" s="4"/>
      <c r="BM935" s="4"/>
      <c r="BN935" s="4"/>
      <c r="BO935" s="4"/>
      <c r="BP935" s="4"/>
      <c r="BQ935" s="4"/>
      <c r="BR935" s="4"/>
      <c r="BS935" s="4"/>
      <c r="BT935" s="4"/>
      <c r="BU935" s="4"/>
      <c r="BV935" s="4"/>
      <c r="BW935" s="4"/>
      <c r="BX935" s="4"/>
      <c r="BY935" s="4"/>
      <c r="BZ935" s="4"/>
      <c r="CA935" s="4"/>
      <c r="CB935" s="4"/>
      <c r="CC935" s="4"/>
      <c r="CD935" s="4"/>
      <c r="CE935" s="4"/>
      <c r="CF935" s="4"/>
      <c r="CG935" s="4"/>
      <c r="CH935" s="4"/>
      <c r="CI935" s="4"/>
    </row>
    <row r="936" ht="14.25" customHeight="1" spans="1:87" x14ac:dyDescent="0.25">
      <c r="A936" s="4"/>
      <c r="B936" s="4"/>
      <c r="C936" s="4"/>
      <c r="D936" s="4"/>
      <c r="E936" s="4"/>
      <c r="F936" s="4"/>
      <c r="G936" s="4"/>
      <c r="H936" s="4"/>
      <c r="I936" s="4"/>
      <c r="J936" s="4"/>
      <c r="K936" s="242"/>
      <c r="L936" s="4"/>
      <c r="M936" s="4"/>
      <c r="N936" s="4"/>
      <c r="O936" s="4"/>
      <c r="P936" s="4"/>
      <c r="Q936" s="4"/>
      <c r="R936" s="4"/>
      <c r="S936" s="4"/>
      <c r="T936" s="4"/>
      <c r="U936" s="4"/>
      <c r="V936" s="4"/>
      <c r="W936" s="4"/>
      <c r="X936" s="4"/>
      <c r="Y936" s="4"/>
      <c r="Z936" s="4"/>
      <c r="AA936" s="4"/>
      <c r="AB936" s="4"/>
      <c r="AC936" s="4"/>
      <c r="AD936" s="4"/>
      <c r="AE936" s="4"/>
      <c r="AF936" s="4"/>
      <c r="AG936" s="4"/>
      <c r="AH936" s="4"/>
      <c r="AI936" s="4"/>
      <c r="AJ936" s="4"/>
      <c r="AK936" s="4"/>
      <c r="AL936" s="4"/>
      <c r="AM936" s="4"/>
      <c r="AN936" s="4"/>
      <c r="AO936" s="4"/>
      <c r="AP936" s="4"/>
      <c r="AQ936" s="4"/>
      <c r="AR936" s="4"/>
      <c r="AS936" s="4"/>
      <c r="AT936" s="4"/>
      <c r="AU936" s="4"/>
      <c r="AV936" s="4"/>
      <c r="AW936" s="4"/>
      <c r="AX936" s="4"/>
      <c r="AY936" s="4"/>
      <c r="AZ936" s="4"/>
      <c r="BA936" s="4"/>
      <c r="BB936" s="4"/>
      <c r="BC936" s="4"/>
      <c r="BD936" s="4"/>
      <c r="BE936" s="4"/>
      <c r="BF936" s="4"/>
      <c r="BG936" s="4"/>
      <c r="BH936" s="4"/>
      <c r="BI936" s="4"/>
      <c r="BJ936" s="4"/>
      <c r="BK936" s="4"/>
      <c r="BL936" s="4"/>
      <c r="BM936" s="4"/>
      <c r="BN936" s="4"/>
      <c r="BO936" s="4"/>
      <c r="BP936" s="4"/>
      <c r="BQ936" s="4"/>
      <c r="BR936" s="4"/>
      <c r="BS936" s="4"/>
      <c r="BT936" s="4"/>
      <c r="BU936" s="4"/>
      <c r="BV936" s="4"/>
      <c r="BW936" s="4"/>
      <c r="BX936" s="4"/>
      <c r="BY936" s="4"/>
      <c r="BZ936" s="4"/>
      <c r="CA936" s="4"/>
      <c r="CB936" s="4"/>
      <c r="CC936" s="4"/>
      <c r="CD936" s="4"/>
      <c r="CE936" s="4"/>
      <c r="CF936" s="4"/>
      <c r="CG936" s="4"/>
      <c r="CH936" s="4"/>
      <c r="CI936" s="4"/>
    </row>
    <row r="937" ht="14.25" customHeight="1" spans="1:87" x14ac:dyDescent="0.25">
      <c r="A937" s="4"/>
      <c r="B937" s="4"/>
      <c r="C937" s="4"/>
      <c r="D937" s="4"/>
      <c r="E937" s="4"/>
      <c r="F937" s="4"/>
      <c r="G937" s="4"/>
      <c r="H937" s="4"/>
      <c r="I937" s="4"/>
      <c r="J937" s="4"/>
      <c r="K937" s="242"/>
      <c r="L937" s="4"/>
      <c r="M937" s="4"/>
      <c r="N937" s="4"/>
      <c r="O937" s="4"/>
      <c r="P937" s="4"/>
      <c r="Q937" s="4"/>
      <c r="R937" s="4"/>
      <c r="S937" s="4"/>
      <c r="T937" s="4"/>
      <c r="U937" s="4"/>
      <c r="V937" s="4"/>
      <c r="W937" s="4"/>
      <c r="X937" s="4"/>
      <c r="Y937" s="4"/>
      <c r="Z937" s="4"/>
      <c r="AA937" s="4"/>
      <c r="AB937" s="4"/>
      <c r="AC937" s="4"/>
      <c r="AD937" s="4"/>
      <c r="AE937" s="4"/>
      <c r="AF937" s="4"/>
      <c r="AG937" s="4"/>
      <c r="AH937" s="4"/>
      <c r="AI937" s="4"/>
      <c r="AJ937" s="4"/>
      <c r="AK937" s="4"/>
      <c r="AL937" s="4"/>
      <c r="AM937" s="4"/>
      <c r="AN937" s="4"/>
      <c r="AO937" s="4"/>
      <c r="AP937" s="4"/>
      <c r="AQ937" s="4"/>
      <c r="AR937" s="4"/>
      <c r="AS937" s="4"/>
      <c r="AT937" s="4"/>
      <c r="AU937" s="4"/>
      <c r="AV937" s="4"/>
      <c r="AW937" s="4"/>
      <c r="AX937" s="4"/>
      <c r="AY937" s="4"/>
      <c r="AZ937" s="4"/>
      <c r="BA937" s="4"/>
      <c r="BB937" s="4"/>
      <c r="BC937" s="4"/>
      <c r="BD937" s="4"/>
      <c r="BE937" s="4"/>
      <c r="BF937" s="4"/>
      <c r="BG937" s="4"/>
      <c r="BH937" s="4"/>
      <c r="BI937" s="4"/>
      <c r="BJ937" s="4"/>
      <c r="BK937" s="4"/>
      <c r="BL937" s="4"/>
      <c r="BM937" s="4"/>
      <c r="BN937" s="4"/>
      <c r="BO937" s="4"/>
      <c r="BP937" s="4"/>
      <c r="BQ937" s="4"/>
      <c r="BR937" s="4"/>
      <c r="BS937" s="4"/>
      <c r="BT937" s="4"/>
      <c r="BU937" s="4"/>
      <c r="BV937" s="4"/>
      <c r="BW937" s="4"/>
      <c r="BX937" s="4"/>
      <c r="BY937" s="4"/>
      <c r="BZ937" s="4"/>
      <c r="CA937" s="4"/>
      <c r="CB937" s="4"/>
      <c r="CC937" s="4"/>
      <c r="CD937" s="4"/>
      <c r="CE937" s="4"/>
      <c r="CF937" s="4"/>
      <c r="CG937" s="4"/>
      <c r="CH937" s="4"/>
      <c r="CI937" s="4"/>
    </row>
    <row r="938" ht="14.25" customHeight="1" spans="1:87" x14ac:dyDescent="0.25">
      <c r="A938" s="4"/>
      <c r="B938" s="4"/>
      <c r="C938" s="4"/>
      <c r="D938" s="4"/>
      <c r="E938" s="4"/>
      <c r="F938" s="4"/>
      <c r="G938" s="4"/>
      <c r="H938" s="4"/>
      <c r="I938" s="4"/>
      <c r="J938" s="4"/>
      <c r="K938" s="242"/>
      <c r="L938" s="4"/>
      <c r="M938" s="4"/>
      <c r="N938" s="4"/>
      <c r="O938" s="4"/>
      <c r="P938" s="4"/>
      <c r="Q938" s="4"/>
      <c r="R938" s="4"/>
      <c r="S938" s="4"/>
      <c r="T938" s="4"/>
      <c r="U938" s="4"/>
      <c r="V938" s="4"/>
      <c r="W938" s="4"/>
      <c r="X938" s="4"/>
      <c r="Y938" s="4"/>
      <c r="Z938" s="4"/>
      <c r="AA938" s="4"/>
      <c r="AB938" s="4"/>
      <c r="AC938" s="4"/>
      <c r="AD938" s="4"/>
      <c r="AE938" s="4"/>
      <c r="AF938" s="4"/>
      <c r="AG938" s="4"/>
      <c r="AH938" s="4"/>
      <c r="AI938" s="4"/>
      <c r="AJ938" s="4"/>
      <c r="AK938" s="4"/>
      <c r="AL938" s="4"/>
      <c r="AM938" s="4"/>
      <c r="AN938" s="4"/>
      <c r="AO938" s="4"/>
      <c r="AP938" s="4"/>
      <c r="AQ938" s="4"/>
      <c r="AR938" s="4"/>
      <c r="AS938" s="4"/>
      <c r="AT938" s="4"/>
      <c r="AU938" s="4"/>
      <c r="AV938" s="4"/>
      <c r="AW938" s="4"/>
      <c r="AX938" s="4"/>
      <c r="AY938" s="4"/>
      <c r="AZ938" s="4"/>
      <c r="BA938" s="4"/>
      <c r="BB938" s="4"/>
      <c r="BC938" s="4"/>
      <c r="BD938" s="4"/>
      <c r="BE938" s="4"/>
      <c r="BF938" s="4"/>
      <c r="BG938" s="4"/>
      <c r="BH938" s="4"/>
      <c r="BI938" s="4"/>
      <c r="BJ938" s="4"/>
      <c r="BK938" s="4"/>
      <c r="BL938" s="4"/>
      <c r="BM938" s="4"/>
      <c r="BN938" s="4"/>
      <c r="BO938" s="4"/>
      <c r="BP938" s="4"/>
      <c r="BQ938" s="4"/>
      <c r="BR938" s="4"/>
      <c r="BS938" s="4"/>
      <c r="BT938" s="4"/>
      <c r="BU938" s="4"/>
      <c r="BV938" s="4"/>
      <c r="BW938" s="4"/>
      <c r="BX938" s="4"/>
      <c r="BY938" s="4"/>
      <c r="BZ938" s="4"/>
      <c r="CA938" s="4"/>
      <c r="CB938" s="4"/>
      <c r="CC938" s="4"/>
      <c r="CD938" s="4"/>
      <c r="CE938" s="4"/>
      <c r="CF938" s="4"/>
      <c r="CG938" s="4"/>
      <c r="CH938" s="4"/>
      <c r="CI938" s="4"/>
    </row>
    <row r="939" ht="14.25" customHeight="1" spans="1:87" x14ac:dyDescent="0.25">
      <c r="A939" s="4"/>
      <c r="B939" s="4"/>
      <c r="C939" s="4"/>
      <c r="D939" s="4"/>
      <c r="E939" s="4"/>
      <c r="F939" s="4"/>
      <c r="G939" s="4"/>
      <c r="H939" s="4"/>
      <c r="I939" s="4"/>
      <c r="J939" s="4"/>
      <c r="K939" s="242"/>
      <c r="L939" s="4"/>
      <c r="M939" s="4"/>
      <c r="N939" s="4"/>
      <c r="O939" s="4"/>
      <c r="P939" s="4"/>
      <c r="Q939" s="4"/>
      <c r="R939" s="4"/>
      <c r="S939" s="4"/>
      <c r="T939" s="4"/>
      <c r="U939" s="4"/>
      <c r="V939" s="4"/>
      <c r="W939" s="4"/>
      <c r="X939" s="4"/>
      <c r="Y939" s="4"/>
      <c r="Z939" s="4"/>
      <c r="AA939" s="4"/>
      <c r="AB939" s="4"/>
      <c r="AC939" s="4"/>
      <c r="AD939" s="4"/>
      <c r="AE939" s="4"/>
      <c r="AF939" s="4"/>
      <c r="AG939" s="4"/>
      <c r="AH939" s="4"/>
      <c r="AI939" s="4"/>
      <c r="AJ939" s="4"/>
      <c r="AK939" s="4"/>
      <c r="AL939" s="4"/>
      <c r="AM939" s="4"/>
      <c r="AN939" s="4"/>
      <c r="AO939" s="4"/>
      <c r="AP939" s="4"/>
      <c r="AQ939" s="4"/>
      <c r="AR939" s="4"/>
      <c r="AS939" s="4"/>
      <c r="AT939" s="4"/>
      <c r="AU939" s="4"/>
      <c r="AV939" s="4"/>
      <c r="AW939" s="4"/>
      <c r="AX939" s="4"/>
      <c r="AY939" s="4"/>
      <c r="AZ939" s="4"/>
      <c r="BA939" s="4"/>
      <c r="BB939" s="4"/>
      <c r="BC939" s="4"/>
      <c r="BD939" s="4"/>
      <c r="BE939" s="4"/>
      <c r="BF939" s="4"/>
      <c r="BG939" s="4"/>
      <c r="BH939" s="4"/>
      <c r="BI939" s="4"/>
      <c r="BJ939" s="4"/>
      <c r="BK939" s="4"/>
      <c r="BL939" s="4"/>
      <c r="BM939" s="4"/>
      <c r="BN939" s="4"/>
      <c r="BO939" s="4"/>
      <c r="BP939" s="4"/>
      <c r="BQ939" s="4"/>
      <c r="BR939" s="4"/>
      <c r="BS939" s="4"/>
      <c r="BT939" s="4"/>
      <c r="BU939" s="4"/>
      <c r="BV939" s="4"/>
      <c r="BW939" s="4"/>
      <c r="BX939" s="4"/>
      <c r="BY939" s="4"/>
      <c r="BZ939" s="4"/>
      <c r="CA939" s="4"/>
      <c r="CB939" s="4"/>
      <c r="CC939" s="4"/>
      <c r="CD939" s="4"/>
      <c r="CE939" s="4"/>
      <c r="CF939" s="4"/>
      <c r="CG939" s="4"/>
      <c r="CH939" s="4"/>
      <c r="CI939" s="4"/>
    </row>
    <row r="940" ht="14.25" customHeight="1" spans="1:87" x14ac:dyDescent="0.25">
      <c r="A940" s="4"/>
      <c r="B940" s="4"/>
      <c r="C940" s="4"/>
      <c r="D940" s="4"/>
      <c r="E940" s="4"/>
      <c r="F940" s="4"/>
      <c r="G940" s="4"/>
      <c r="H940" s="4"/>
      <c r="I940" s="4"/>
      <c r="J940" s="4"/>
      <c r="K940" s="242"/>
      <c r="L940" s="4"/>
      <c r="M940" s="4"/>
      <c r="N940" s="4"/>
      <c r="O940" s="4"/>
      <c r="P940" s="4"/>
      <c r="Q940" s="4"/>
      <c r="R940" s="4"/>
      <c r="S940" s="4"/>
      <c r="T940" s="4"/>
      <c r="U940" s="4"/>
      <c r="V940" s="4"/>
      <c r="W940" s="4"/>
      <c r="X940" s="4"/>
      <c r="Y940" s="4"/>
      <c r="Z940" s="4"/>
      <c r="AA940" s="4"/>
      <c r="AB940" s="4"/>
      <c r="AC940" s="4"/>
      <c r="AD940" s="4"/>
      <c r="AE940" s="4"/>
      <c r="AF940" s="4"/>
      <c r="AG940" s="4"/>
      <c r="AH940" s="4"/>
      <c r="AI940" s="4"/>
      <c r="AJ940" s="4"/>
      <c r="AK940" s="4"/>
      <c r="AL940" s="4"/>
      <c r="AM940" s="4"/>
      <c r="AN940" s="4"/>
      <c r="AO940" s="4"/>
      <c r="AP940" s="4"/>
      <c r="AQ940" s="4"/>
      <c r="AR940" s="4"/>
      <c r="AS940" s="4"/>
      <c r="AT940" s="4"/>
      <c r="AU940" s="4"/>
      <c r="AV940" s="4"/>
      <c r="AW940" s="4"/>
      <c r="AX940" s="4"/>
      <c r="AY940" s="4"/>
      <c r="AZ940" s="4"/>
      <c r="BA940" s="4"/>
      <c r="BB940" s="4"/>
      <c r="BC940" s="4"/>
      <c r="BD940" s="4"/>
      <c r="BE940" s="4"/>
      <c r="BF940" s="4"/>
      <c r="BG940" s="4"/>
      <c r="BH940" s="4"/>
      <c r="BI940" s="4"/>
      <c r="BJ940" s="4"/>
      <c r="BK940" s="4"/>
      <c r="BL940" s="4"/>
      <c r="BM940" s="4"/>
      <c r="BN940" s="4"/>
      <c r="BO940" s="4"/>
      <c r="BP940" s="4"/>
      <c r="BQ940" s="4"/>
      <c r="BR940" s="4"/>
      <c r="BS940" s="4"/>
      <c r="BT940" s="4"/>
      <c r="BU940" s="4"/>
      <c r="BV940" s="4"/>
      <c r="BW940" s="4"/>
      <c r="BX940" s="4"/>
      <c r="BY940" s="4"/>
      <c r="BZ940" s="4"/>
      <c r="CA940" s="4"/>
      <c r="CB940" s="4"/>
      <c r="CC940" s="4"/>
      <c r="CD940" s="4"/>
      <c r="CE940" s="4"/>
      <c r="CF940" s="4"/>
      <c r="CG940" s="4"/>
      <c r="CH940" s="4"/>
      <c r="CI940" s="4"/>
    </row>
    <row r="941" ht="14.25" customHeight="1" spans="1:87" x14ac:dyDescent="0.25">
      <c r="A941" s="4"/>
      <c r="B941" s="4"/>
      <c r="C941" s="4"/>
      <c r="D941" s="4"/>
      <c r="E941" s="4"/>
      <c r="F941" s="4"/>
      <c r="G941" s="4"/>
      <c r="H941" s="4"/>
      <c r="I941" s="4"/>
      <c r="J941" s="4"/>
      <c r="K941" s="242"/>
      <c r="L941" s="4"/>
      <c r="M941" s="4"/>
      <c r="N941" s="4"/>
      <c r="O941" s="4"/>
      <c r="P941" s="4"/>
      <c r="Q941" s="4"/>
      <c r="R941" s="4"/>
      <c r="S941" s="4"/>
      <c r="T941" s="4"/>
      <c r="U941" s="4"/>
      <c r="V941" s="4"/>
      <c r="W941" s="4"/>
      <c r="X941" s="4"/>
      <c r="Y941" s="4"/>
      <c r="Z941" s="4"/>
      <c r="AA941" s="4"/>
      <c r="AB941" s="4"/>
      <c r="AC941" s="4"/>
      <c r="AD941" s="4"/>
      <c r="AE941" s="4"/>
      <c r="AF941" s="4"/>
      <c r="AG941" s="4"/>
      <c r="AH941" s="4"/>
      <c r="AI941" s="4"/>
      <c r="AJ941" s="4"/>
      <c r="AK941" s="4"/>
      <c r="AL941" s="4"/>
      <c r="AM941" s="4"/>
      <c r="AN941" s="4"/>
      <c r="AO941" s="4"/>
      <c r="AP941" s="4"/>
      <c r="AQ941" s="4"/>
      <c r="AR941" s="4"/>
      <c r="AS941" s="4"/>
      <c r="AT941" s="4"/>
      <c r="AU941" s="4"/>
      <c r="AV941" s="4"/>
      <c r="AW941" s="4"/>
      <c r="AX941" s="4"/>
      <c r="AY941" s="4"/>
      <c r="AZ941" s="4"/>
      <c r="BA941" s="4"/>
      <c r="BB941" s="4"/>
      <c r="BC941" s="4"/>
      <c r="BD941" s="4"/>
      <c r="BE941" s="4"/>
      <c r="BF941" s="4"/>
      <c r="BG941" s="4"/>
      <c r="BH941" s="4"/>
      <c r="BI941" s="4"/>
      <c r="BJ941" s="4"/>
      <c r="BK941" s="4"/>
      <c r="BL941" s="4"/>
      <c r="BM941" s="4"/>
      <c r="BN941" s="4"/>
      <c r="BO941" s="4"/>
      <c r="BP941" s="4"/>
      <c r="BQ941" s="4"/>
      <c r="BR941" s="4"/>
      <c r="BS941" s="4"/>
      <c r="BT941" s="4"/>
      <c r="BU941" s="4"/>
      <c r="BV941" s="4"/>
      <c r="BW941" s="4"/>
      <c r="BX941" s="4"/>
      <c r="BY941" s="4"/>
      <c r="BZ941" s="4"/>
      <c r="CA941" s="4"/>
      <c r="CB941" s="4"/>
      <c r="CC941" s="4"/>
      <c r="CD941" s="4"/>
      <c r="CE941" s="4"/>
      <c r="CF941" s="4"/>
      <c r="CG941" s="4"/>
      <c r="CH941" s="4"/>
      <c r="CI941" s="4"/>
    </row>
    <row r="942" ht="14.25" customHeight="1" spans="1:87" x14ac:dyDescent="0.25">
      <c r="A942" s="4"/>
      <c r="B942" s="4"/>
      <c r="C942" s="4"/>
      <c r="D942" s="4"/>
      <c r="E942" s="4"/>
      <c r="F942" s="4"/>
      <c r="G942" s="4"/>
      <c r="H942" s="4"/>
      <c r="I942" s="4"/>
      <c r="J942" s="4"/>
      <c r="K942" s="242"/>
      <c r="L942" s="4"/>
      <c r="M942" s="4"/>
      <c r="N942" s="4"/>
      <c r="O942" s="4"/>
      <c r="P942" s="4"/>
      <c r="Q942" s="4"/>
      <c r="R942" s="4"/>
      <c r="S942" s="4"/>
      <c r="T942" s="4"/>
      <c r="U942" s="4"/>
      <c r="V942" s="4"/>
      <c r="W942" s="4"/>
      <c r="X942" s="4"/>
      <c r="Y942" s="4"/>
      <c r="Z942" s="4"/>
      <c r="AA942" s="4"/>
      <c r="AB942" s="4"/>
      <c r="AC942" s="4"/>
      <c r="AD942" s="4"/>
      <c r="AE942" s="4"/>
      <c r="AF942" s="4"/>
      <c r="AG942" s="4"/>
      <c r="AH942" s="4"/>
      <c r="AI942" s="4"/>
      <c r="AJ942" s="4"/>
      <c r="AK942" s="4"/>
      <c r="AL942" s="4"/>
      <c r="AM942" s="4"/>
      <c r="AN942" s="4"/>
      <c r="AO942" s="4"/>
      <c r="AP942" s="4"/>
      <c r="AQ942" s="4"/>
      <c r="AR942" s="4"/>
      <c r="AS942" s="4"/>
      <c r="AT942" s="4"/>
      <c r="AU942" s="4"/>
      <c r="AV942" s="4"/>
      <c r="AW942" s="4"/>
      <c r="AX942" s="4"/>
      <c r="AY942" s="4"/>
      <c r="AZ942" s="4"/>
      <c r="BA942" s="4"/>
      <c r="BB942" s="4"/>
      <c r="BC942" s="4"/>
      <c r="BD942" s="4"/>
      <c r="BE942" s="4"/>
      <c r="BF942" s="4"/>
      <c r="BG942" s="4"/>
      <c r="BH942" s="4"/>
      <c r="BI942" s="4"/>
      <c r="BJ942" s="4"/>
      <c r="BK942" s="4"/>
      <c r="BL942" s="4"/>
      <c r="BM942" s="4"/>
      <c r="BN942" s="4"/>
      <c r="BO942" s="4"/>
      <c r="BP942" s="4"/>
      <c r="BQ942" s="4"/>
      <c r="BR942" s="4"/>
      <c r="BS942" s="4"/>
      <c r="BT942" s="4"/>
      <c r="BU942" s="4"/>
      <c r="BV942" s="4"/>
      <c r="BW942" s="4"/>
      <c r="BX942" s="4"/>
      <c r="BY942" s="4"/>
      <c r="BZ942" s="4"/>
      <c r="CA942" s="4"/>
      <c r="CB942" s="4"/>
      <c r="CC942" s="4"/>
      <c r="CD942" s="4"/>
      <c r="CE942" s="4"/>
      <c r="CF942" s="4"/>
      <c r="CG942" s="4"/>
      <c r="CH942" s="4"/>
      <c r="CI942" s="4"/>
    </row>
    <row r="943" ht="14.25" customHeight="1" spans="1:87" x14ac:dyDescent="0.25">
      <c r="A943" s="4"/>
      <c r="B943" s="4"/>
      <c r="C943" s="4"/>
      <c r="D943" s="4"/>
      <c r="E943" s="4"/>
      <c r="F943" s="4"/>
      <c r="G943" s="4"/>
      <c r="H943" s="4"/>
      <c r="I943" s="4"/>
      <c r="J943" s="4"/>
      <c r="K943" s="242"/>
      <c r="L943" s="4"/>
      <c r="M943" s="4"/>
      <c r="N943" s="4"/>
      <c r="O943" s="4"/>
      <c r="P943" s="4"/>
      <c r="Q943" s="4"/>
      <c r="R943" s="4"/>
      <c r="S943" s="4"/>
      <c r="T943" s="4"/>
      <c r="U943" s="4"/>
      <c r="V943" s="4"/>
      <c r="W943" s="4"/>
      <c r="X943" s="4"/>
      <c r="Y943" s="4"/>
      <c r="Z943" s="4"/>
      <c r="AA943" s="4"/>
      <c r="AB943" s="4"/>
      <c r="AC943" s="4"/>
      <c r="AD943" s="4"/>
      <c r="AE943" s="4"/>
      <c r="AF943" s="4"/>
      <c r="AG943" s="4"/>
      <c r="AH943" s="4"/>
      <c r="AI943" s="4"/>
      <c r="AJ943" s="4"/>
      <c r="AK943" s="4"/>
      <c r="AL943" s="4"/>
      <c r="AM943" s="4"/>
      <c r="AN943" s="4"/>
      <c r="AO943" s="4"/>
      <c r="AP943" s="4"/>
      <c r="AQ943" s="4"/>
      <c r="AR943" s="4"/>
      <c r="AS943" s="4"/>
      <c r="AT943" s="4"/>
      <c r="AU943" s="4"/>
      <c r="AV943" s="4"/>
      <c r="AW943" s="4"/>
      <c r="AX943" s="4"/>
      <c r="AY943" s="4"/>
      <c r="AZ943" s="4"/>
      <c r="BA943" s="4"/>
      <c r="BB943" s="4"/>
      <c r="BC943" s="4"/>
      <c r="BD943" s="4"/>
      <c r="BE943" s="4"/>
      <c r="BF943" s="4"/>
      <c r="BG943" s="4"/>
      <c r="BH943" s="4"/>
      <c r="BI943" s="4"/>
      <c r="BJ943" s="4"/>
      <c r="BK943" s="4"/>
      <c r="BL943" s="4"/>
      <c r="BM943" s="4"/>
      <c r="BN943" s="4"/>
      <c r="BO943" s="4"/>
      <c r="BP943" s="4"/>
      <c r="BQ943" s="4"/>
      <c r="BR943" s="4"/>
      <c r="BS943" s="4"/>
      <c r="BT943" s="4"/>
      <c r="BU943" s="4"/>
      <c r="BV943" s="4"/>
      <c r="BW943" s="4"/>
      <c r="BX943" s="4"/>
      <c r="BY943" s="4"/>
      <c r="BZ943" s="4"/>
      <c r="CA943" s="4"/>
      <c r="CB943" s="4"/>
      <c r="CC943" s="4"/>
      <c r="CD943" s="4"/>
      <c r="CE943" s="4"/>
      <c r="CF943" s="4"/>
      <c r="CG943" s="4"/>
      <c r="CH943" s="4"/>
      <c r="CI943" s="4"/>
    </row>
    <row r="944" ht="14.25" customHeight="1" spans="1:87" x14ac:dyDescent="0.25">
      <c r="A944" s="4"/>
      <c r="B944" s="4"/>
      <c r="C944" s="4"/>
      <c r="D944" s="4"/>
      <c r="E944" s="4"/>
      <c r="F944" s="4"/>
      <c r="G944" s="4"/>
      <c r="H944" s="4"/>
      <c r="I944" s="4"/>
      <c r="J944" s="4"/>
      <c r="K944" s="242"/>
      <c r="L944" s="4"/>
      <c r="M944" s="4"/>
      <c r="N944" s="4"/>
      <c r="O944" s="4"/>
      <c r="P944" s="4"/>
      <c r="Q944" s="4"/>
      <c r="R944" s="4"/>
      <c r="S944" s="4"/>
      <c r="T944" s="4"/>
      <c r="U944" s="4"/>
      <c r="V944" s="4"/>
      <c r="W944" s="4"/>
      <c r="X944" s="4"/>
      <c r="Y944" s="4"/>
      <c r="Z944" s="4"/>
      <c r="AA944" s="4"/>
      <c r="AB944" s="4"/>
      <c r="AC944" s="4"/>
      <c r="AD944" s="4"/>
      <c r="AE944" s="4"/>
      <c r="AF944" s="4"/>
      <c r="AG944" s="4"/>
      <c r="AH944" s="4"/>
      <c r="AI944" s="4"/>
      <c r="AJ944" s="4"/>
      <c r="AK944" s="4"/>
      <c r="AL944" s="4"/>
      <c r="AM944" s="4"/>
      <c r="AN944" s="4"/>
      <c r="AO944" s="4"/>
      <c r="AP944" s="4"/>
      <c r="AQ944" s="4"/>
      <c r="AR944" s="4"/>
      <c r="AS944" s="4"/>
      <c r="AT944" s="4"/>
      <c r="AU944" s="4"/>
      <c r="AV944" s="4"/>
      <c r="AW944" s="4"/>
      <c r="AX944" s="4"/>
      <c r="AY944" s="4"/>
      <c r="AZ944" s="4"/>
      <c r="BA944" s="4"/>
      <c r="BB944" s="4"/>
      <c r="BC944" s="4"/>
      <c r="BD944" s="4"/>
      <c r="BE944" s="4"/>
      <c r="BF944" s="4"/>
      <c r="BG944" s="4"/>
      <c r="BH944" s="4"/>
      <c r="BI944" s="4"/>
      <c r="BJ944" s="4"/>
      <c r="BK944" s="4"/>
      <c r="BL944" s="4"/>
      <c r="BM944" s="4"/>
      <c r="BN944" s="4"/>
      <c r="BO944" s="4"/>
      <c r="BP944" s="4"/>
      <c r="BQ944" s="4"/>
      <c r="BR944" s="4"/>
      <c r="BS944" s="4"/>
      <c r="BT944" s="4"/>
      <c r="BU944" s="4"/>
      <c r="BV944" s="4"/>
      <c r="BW944" s="4"/>
      <c r="BX944" s="4"/>
      <c r="BY944" s="4"/>
      <c r="BZ944" s="4"/>
      <c r="CA944" s="4"/>
      <c r="CB944" s="4"/>
      <c r="CC944" s="4"/>
      <c r="CD944" s="4"/>
      <c r="CE944" s="4"/>
      <c r="CF944" s="4"/>
      <c r="CG944" s="4"/>
      <c r="CH944" s="4"/>
      <c r="CI944" s="4"/>
    </row>
    <row r="945" ht="14.25" customHeight="1" spans="1:87" x14ac:dyDescent="0.25">
      <c r="A945" s="4"/>
      <c r="B945" s="4"/>
      <c r="C945" s="4"/>
      <c r="D945" s="4"/>
      <c r="E945" s="4"/>
      <c r="F945" s="4"/>
      <c r="G945" s="4"/>
      <c r="H945" s="4"/>
      <c r="I945" s="4"/>
      <c r="J945" s="4"/>
      <c r="K945" s="242"/>
      <c r="L945" s="4"/>
      <c r="M945" s="4"/>
      <c r="N945" s="4"/>
      <c r="O945" s="4"/>
      <c r="P945" s="4"/>
      <c r="Q945" s="4"/>
      <c r="R945" s="4"/>
      <c r="S945" s="4"/>
      <c r="T945" s="4"/>
      <c r="U945" s="4"/>
      <c r="V945" s="4"/>
      <c r="W945" s="4"/>
      <c r="X945" s="4"/>
      <c r="Y945" s="4"/>
      <c r="Z945" s="4"/>
      <c r="AA945" s="4"/>
      <c r="AB945" s="4"/>
      <c r="AC945" s="4"/>
      <c r="AD945" s="4"/>
      <c r="AE945" s="4"/>
      <c r="AF945" s="4"/>
      <c r="AG945" s="4"/>
      <c r="AH945" s="4"/>
      <c r="AI945" s="4"/>
      <c r="AJ945" s="4"/>
      <c r="AK945" s="4"/>
      <c r="AL945" s="4"/>
      <c r="AM945" s="4"/>
      <c r="AN945" s="4"/>
      <c r="AO945" s="4"/>
      <c r="AP945" s="4"/>
      <c r="AQ945" s="4"/>
      <c r="AR945" s="4"/>
      <c r="AS945" s="4"/>
      <c r="AT945" s="4"/>
      <c r="AU945" s="4"/>
      <c r="AV945" s="4"/>
      <c r="AW945" s="4"/>
      <c r="AX945" s="4"/>
      <c r="AY945" s="4"/>
      <c r="AZ945" s="4"/>
      <c r="BA945" s="4"/>
      <c r="BB945" s="4"/>
      <c r="BC945" s="4"/>
      <c r="BD945" s="4"/>
      <c r="BE945" s="4"/>
      <c r="BF945" s="4"/>
      <c r="BG945" s="4"/>
      <c r="BH945" s="4"/>
      <c r="BI945" s="4"/>
      <c r="BJ945" s="4"/>
      <c r="BK945" s="4"/>
      <c r="BL945" s="4"/>
      <c r="BM945" s="4"/>
      <c r="BN945" s="4"/>
      <c r="BO945" s="4"/>
      <c r="BP945" s="4"/>
      <c r="BQ945" s="4"/>
      <c r="BR945" s="4"/>
      <c r="BS945" s="4"/>
      <c r="BT945" s="4"/>
      <c r="BU945" s="4"/>
      <c r="BV945" s="4"/>
      <c r="BW945" s="4"/>
      <c r="BX945" s="4"/>
      <c r="BY945" s="4"/>
      <c r="BZ945" s="4"/>
      <c r="CA945" s="4"/>
      <c r="CB945" s="4"/>
      <c r="CC945" s="4"/>
      <c r="CD945" s="4"/>
      <c r="CE945" s="4"/>
      <c r="CF945" s="4"/>
      <c r="CG945" s="4"/>
      <c r="CH945" s="4"/>
      <c r="CI945" s="4"/>
    </row>
    <row r="946" ht="14.25" customHeight="1" spans="1:87" x14ac:dyDescent="0.25">
      <c r="A946" s="4"/>
      <c r="B946" s="4"/>
      <c r="C946" s="4"/>
      <c r="D946" s="4"/>
      <c r="E946" s="4"/>
      <c r="F946" s="4"/>
      <c r="G946" s="4"/>
      <c r="H946" s="4"/>
      <c r="I946" s="4"/>
      <c r="J946" s="4"/>
      <c r="K946" s="242"/>
      <c r="L946" s="4"/>
      <c r="M946" s="4"/>
      <c r="N946" s="4"/>
      <c r="O946" s="4"/>
      <c r="P946" s="4"/>
      <c r="Q946" s="4"/>
      <c r="R946" s="4"/>
      <c r="S946" s="4"/>
      <c r="T946" s="4"/>
      <c r="U946" s="4"/>
      <c r="V946" s="4"/>
      <c r="W946" s="4"/>
      <c r="X946" s="4"/>
      <c r="Y946" s="4"/>
      <c r="Z946" s="4"/>
      <c r="AA946" s="4"/>
      <c r="AB946" s="4"/>
      <c r="AC946" s="4"/>
      <c r="AD946" s="4"/>
      <c r="AE946" s="4"/>
      <c r="AF946" s="4"/>
      <c r="AG946" s="4"/>
      <c r="AH946" s="4"/>
      <c r="AI946" s="4"/>
      <c r="AJ946" s="4"/>
      <c r="AK946" s="4"/>
      <c r="AL946" s="4"/>
      <c r="AM946" s="4"/>
      <c r="AN946" s="4"/>
      <c r="AO946" s="4"/>
      <c r="AP946" s="4"/>
      <c r="AQ946" s="4"/>
      <c r="AR946" s="4"/>
      <c r="AS946" s="4"/>
      <c r="AT946" s="4"/>
      <c r="AU946" s="4"/>
      <c r="AV946" s="4"/>
      <c r="AW946" s="4"/>
      <c r="AX946" s="4"/>
      <c r="AY946" s="4"/>
      <c r="AZ946" s="4"/>
      <c r="BA946" s="4"/>
      <c r="BB946" s="4"/>
      <c r="BC946" s="4"/>
      <c r="BD946" s="4"/>
      <c r="BE946" s="4"/>
      <c r="BF946" s="4"/>
      <c r="BG946" s="4"/>
      <c r="BH946" s="4"/>
      <c r="BI946" s="4"/>
      <c r="BJ946" s="4"/>
      <c r="BK946" s="4"/>
      <c r="BL946" s="4"/>
      <c r="BM946" s="4"/>
      <c r="BN946" s="4"/>
      <c r="BO946" s="4"/>
      <c r="BP946" s="4"/>
      <c r="BQ946" s="4"/>
      <c r="BR946" s="4"/>
      <c r="BS946" s="4"/>
      <c r="BT946" s="4"/>
      <c r="BU946" s="4"/>
      <c r="BV946" s="4"/>
      <c r="BW946" s="4"/>
      <c r="BX946" s="4"/>
      <c r="BY946" s="4"/>
      <c r="BZ946" s="4"/>
      <c r="CA946" s="4"/>
      <c r="CB946" s="4"/>
      <c r="CC946" s="4"/>
      <c r="CD946" s="4"/>
      <c r="CE946" s="4"/>
      <c r="CF946" s="4"/>
      <c r="CG946" s="4"/>
      <c r="CH946" s="4"/>
      <c r="CI946" s="4"/>
    </row>
    <row r="947" ht="14.25" customHeight="1" spans="1:87" x14ac:dyDescent="0.25">
      <c r="A947" s="4"/>
      <c r="B947" s="4"/>
      <c r="C947" s="4"/>
      <c r="D947" s="4"/>
      <c r="E947" s="4"/>
      <c r="F947" s="4"/>
      <c r="G947" s="4"/>
      <c r="H947" s="4"/>
      <c r="I947" s="4"/>
      <c r="J947" s="4"/>
      <c r="K947" s="242"/>
      <c r="L947" s="4"/>
      <c r="M947" s="4"/>
      <c r="N947" s="4"/>
      <c r="O947" s="4"/>
      <c r="P947" s="4"/>
      <c r="Q947" s="4"/>
      <c r="R947" s="4"/>
      <c r="S947" s="4"/>
      <c r="T947" s="4"/>
      <c r="U947" s="4"/>
      <c r="V947" s="4"/>
      <c r="W947" s="4"/>
      <c r="X947" s="4"/>
      <c r="Y947" s="4"/>
      <c r="Z947" s="4"/>
      <c r="AA947" s="4"/>
      <c r="AB947" s="4"/>
      <c r="AC947" s="4"/>
      <c r="AD947" s="4"/>
      <c r="AE947" s="4"/>
      <c r="AF947" s="4"/>
      <c r="AG947" s="4"/>
      <c r="AH947" s="4"/>
      <c r="AI947" s="4"/>
      <c r="AJ947" s="4"/>
      <c r="AK947" s="4"/>
      <c r="AL947" s="4"/>
      <c r="AM947" s="4"/>
      <c r="AN947" s="4"/>
      <c r="AO947" s="4"/>
      <c r="AP947" s="4"/>
      <c r="AQ947" s="4"/>
      <c r="AR947" s="4"/>
      <c r="AS947" s="4"/>
      <c r="AT947" s="4"/>
      <c r="AU947" s="4"/>
      <c r="AV947" s="4"/>
      <c r="AW947" s="4"/>
      <c r="AX947" s="4"/>
      <c r="AY947" s="4"/>
      <c r="AZ947" s="4"/>
      <c r="BA947" s="4"/>
      <c r="BB947" s="4"/>
      <c r="BC947" s="4"/>
      <c r="BD947" s="4"/>
      <c r="BE947" s="4"/>
      <c r="BF947" s="4"/>
      <c r="BG947" s="4"/>
      <c r="BH947" s="4"/>
      <c r="BI947" s="4"/>
      <c r="BJ947" s="4"/>
      <c r="BK947" s="4"/>
      <c r="BL947" s="4"/>
      <c r="BM947" s="4"/>
      <c r="BN947" s="4"/>
      <c r="BO947" s="4"/>
      <c r="BP947" s="4"/>
      <c r="BQ947" s="4"/>
      <c r="BR947" s="4"/>
      <c r="BS947" s="4"/>
      <c r="BT947" s="4"/>
      <c r="BU947" s="4"/>
      <c r="BV947" s="4"/>
      <c r="BW947" s="4"/>
      <c r="BX947" s="4"/>
      <c r="BY947" s="4"/>
      <c r="BZ947" s="4"/>
      <c r="CA947" s="4"/>
      <c r="CB947" s="4"/>
      <c r="CC947" s="4"/>
      <c r="CD947" s="4"/>
      <c r="CE947" s="4"/>
      <c r="CF947" s="4"/>
      <c r="CG947" s="4"/>
      <c r="CH947" s="4"/>
      <c r="CI947" s="4"/>
    </row>
    <row r="948" ht="14.25" customHeight="1" spans="1:87" x14ac:dyDescent="0.25">
      <c r="A948" s="4"/>
      <c r="B948" s="4"/>
      <c r="C948" s="4"/>
      <c r="D948" s="4"/>
      <c r="E948" s="4"/>
      <c r="F948" s="4"/>
      <c r="G948" s="4"/>
      <c r="H948" s="4"/>
      <c r="I948" s="4"/>
      <c r="J948" s="4"/>
      <c r="K948" s="242"/>
      <c r="L948" s="4"/>
      <c r="M948" s="4"/>
      <c r="N948" s="4"/>
      <c r="O948" s="4"/>
      <c r="P948" s="4"/>
      <c r="Q948" s="4"/>
      <c r="R948" s="4"/>
      <c r="S948" s="4"/>
      <c r="T948" s="4"/>
      <c r="U948" s="4"/>
      <c r="V948" s="4"/>
      <c r="W948" s="4"/>
      <c r="X948" s="4"/>
      <c r="Y948" s="4"/>
      <c r="Z948" s="4"/>
      <c r="AA948" s="4"/>
      <c r="AB948" s="4"/>
      <c r="AC948" s="4"/>
      <c r="AD948" s="4"/>
      <c r="AE948" s="4"/>
      <c r="AF948" s="4"/>
      <c r="AG948" s="4"/>
      <c r="AH948" s="4"/>
      <c r="AI948" s="4"/>
      <c r="AJ948" s="4"/>
      <c r="AK948" s="4"/>
      <c r="AL948" s="4"/>
      <c r="AM948" s="4"/>
      <c r="AN948" s="4"/>
      <c r="AO948" s="4"/>
      <c r="AP948" s="4"/>
      <c r="AQ948" s="4"/>
      <c r="AR948" s="4"/>
      <c r="AS948" s="4"/>
      <c r="AT948" s="4"/>
      <c r="AU948" s="4"/>
      <c r="AV948" s="4"/>
      <c r="AW948" s="4"/>
      <c r="AX948" s="4"/>
      <c r="AY948" s="4"/>
      <c r="AZ948" s="4"/>
      <c r="BA948" s="4"/>
      <c r="BB948" s="4"/>
      <c r="BC948" s="4"/>
      <c r="BD948" s="4"/>
      <c r="BE948" s="4"/>
      <c r="BF948" s="4"/>
      <c r="BG948" s="4"/>
      <c r="BH948" s="4"/>
      <c r="BI948" s="4"/>
      <c r="BJ948" s="4"/>
      <c r="BK948" s="4"/>
      <c r="BL948" s="4"/>
      <c r="BM948" s="4"/>
      <c r="BN948" s="4"/>
      <c r="BO948" s="4"/>
      <c r="BP948" s="4"/>
      <c r="BQ948" s="4"/>
      <c r="BR948" s="4"/>
      <c r="BS948" s="4"/>
      <c r="BT948" s="4"/>
      <c r="BU948" s="4"/>
      <c r="BV948" s="4"/>
      <c r="BW948" s="4"/>
      <c r="BX948" s="4"/>
      <c r="BY948" s="4"/>
      <c r="BZ948" s="4"/>
      <c r="CA948" s="4"/>
      <c r="CB948" s="4"/>
      <c r="CC948" s="4"/>
      <c r="CD948" s="4"/>
      <c r="CE948" s="4"/>
      <c r="CF948" s="4"/>
      <c r="CG948" s="4"/>
      <c r="CH948" s="4"/>
      <c r="CI948" s="4"/>
    </row>
    <row r="949" ht="14.25" customHeight="1" spans="1:87" x14ac:dyDescent="0.25">
      <c r="A949" s="4"/>
      <c r="B949" s="4"/>
      <c r="C949" s="4"/>
      <c r="D949" s="4"/>
      <c r="E949" s="4"/>
      <c r="F949" s="4"/>
      <c r="G949" s="4"/>
      <c r="H949" s="4"/>
      <c r="I949" s="4"/>
      <c r="J949" s="4"/>
      <c r="K949" s="242"/>
      <c r="L949" s="4"/>
      <c r="M949" s="4"/>
      <c r="N949" s="4"/>
      <c r="O949" s="4"/>
      <c r="P949" s="4"/>
      <c r="Q949" s="4"/>
      <c r="R949" s="4"/>
      <c r="S949" s="4"/>
      <c r="T949" s="4"/>
      <c r="U949" s="4"/>
      <c r="V949" s="4"/>
      <c r="W949" s="4"/>
      <c r="X949" s="4"/>
      <c r="Y949" s="4"/>
      <c r="Z949" s="4"/>
      <c r="AA949" s="4"/>
      <c r="AB949" s="4"/>
      <c r="AC949" s="4"/>
      <c r="AD949" s="4"/>
      <c r="AE949" s="4"/>
      <c r="AF949" s="4"/>
      <c r="AG949" s="4"/>
      <c r="AH949" s="4"/>
      <c r="AI949" s="4"/>
      <c r="AJ949" s="4"/>
      <c r="AK949" s="4"/>
      <c r="AL949" s="4"/>
      <c r="AM949" s="4"/>
      <c r="AN949" s="4"/>
      <c r="AO949" s="4"/>
      <c r="AP949" s="4"/>
      <c r="AQ949" s="4"/>
      <c r="AR949" s="4"/>
      <c r="AS949" s="4"/>
      <c r="AT949" s="4"/>
      <c r="AU949" s="4"/>
      <c r="AV949" s="4"/>
      <c r="AW949" s="4"/>
      <c r="AX949" s="4"/>
      <c r="AY949" s="4"/>
      <c r="AZ949" s="4"/>
      <c r="BA949" s="4"/>
      <c r="BB949" s="4"/>
      <c r="BC949" s="4"/>
      <c r="BD949" s="4"/>
      <c r="BE949" s="4"/>
      <c r="BF949" s="4"/>
      <c r="BG949" s="4"/>
      <c r="BH949" s="4"/>
      <c r="BI949" s="4"/>
      <c r="BJ949" s="4"/>
      <c r="BK949" s="4"/>
      <c r="BL949" s="4"/>
      <c r="BM949" s="4"/>
      <c r="BN949" s="4"/>
      <c r="BO949" s="4"/>
      <c r="BP949" s="4"/>
      <c r="BQ949" s="4"/>
      <c r="BR949" s="4"/>
      <c r="BS949" s="4"/>
      <c r="BT949" s="4"/>
      <c r="BU949" s="4"/>
      <c r="BV949" s="4"/>
      <c r="BW949" s="4"/>
      <c r="BX949" s="4"/>
      <c r="BY949" s="4"/>
      <c r="BZ949" s="4"/>
      <c r="CA949" s="4"/>
      <c r="CB949" s="4"/>
      <c r="CC949" s="4"/>
      <c r="CD949" s="4"/>
      <c r="CE949" s="4"/>
      <c r="CF949" s="4"/>
      <c r="CG949" s="4"/>
      <c r="CH949" s="4"/>
      <c r="CI949" s="4"/>
    </row>
    <row r="950" ht="14.25" customHeight="1" spans="1:87" x14ac:dyDescent="0.25">
      <c r="A950" s="4"/>
      <c r="B950" s="4"/>
      <c r="C950" s="4"/>
      <c r="D950" s="4"/>
      <c r="E950" s="4"/>
      <c r="F950" s="4"/>
      <c r="G950" s="4"/>
      <c r="H950" s="4"/>
      <c r="I950" s="4"/>
      <c r="J950" s="4"/>
      <c r="K950" s="242"/>
      <c r="L950" s="4"/>
      <c r="M950" s="4"/>
      <c r="N950" s="4"/>
      <c r="O950" s="4"/>
      <c r="P950" s="4"/>
      <c r="Q950" s="4"/>
      <c r="R950" s="4"/>
      <c r="S950" s="4"/>
      <c r="T950" s="4"/>
      <c r="U950" s="4"/>
      <c r="V950" s="4"/>
      <c r="W950" s="4"/>
      <c r="X950" s="4"/>
      <c r="Y950" s="4"/>
      <c r="Z950" s="4"/>
      <c r="AA950" s="4"/>
      <c r="AB950" s="4"/>
      <c r="AC950" s="4"/>
      <c r="AD950" s="4"/>
      <c r="AE950" s="4"/>
      <c r="AF950" s="4"/>
      <c r="AG950" s="4"/>
      <c r="AH950" s="4"/>
      <c r="AI950" s="4"/>
      <c r="AJ950" s="4"/>
      <c r="AK950" s="4"/>
      <c r="AL950" s="4"/>
      <c r="AM950" s="4"/>
      <c r="AN950" s="4"/>
      <c r="AO950" s="4"/>
      <c r="AP950" s="4"/>
      <c r="AQ950" s="4"/>
      <c r="AR950" s="4"/>
      <c r="AS950" s="4"/>
      <c r="AT950" s="4"/>
      <c r="AU950" s="4"/>
      <c r="AV950" s="4"/>
      <c r="AW950" s="4"/>
      <c r="AX950" s="4"/>
      <c r="AY950" s="4"/>
      <c r="AZ950" s="4"/>
      <c r="BA950" s="4"/>
      <c r="BB950" s="4"/>
      <c r="BC950" s="4"/>
      <c r="BD950" s="4"/>
      <c r="BE950" s="4"/>
      <c r="BF950" s="4"/>
      <c r="BG950" s="4"/>
      <c r="BH950" s="4"/>
      <c r="BI950" s="4"/>
      <c r="BJ950" s="4"/>
      <c r="BK950" s="4"/>
      <c r="BL950" s="4"/>
      <c r="BM950" s="4"/>
      <c r="BN950" s="4"/>
      <c r="BO950" s="4"/>
      <c r="BP950" s="4"/>
      <c r="BQ950" s="4"/>
      <c r="BR950" s="4"/>
      <c r="BS950" s="4"/>
      <c r="BT950" s="4"/>
      <c r="BU950" s="4"/>
      <c r="BV950" s="4"/>
      <c r="BW950" s="4"/>
      <c r="BX950" s="4"/>
      <c r="BY950" s="4"/>
      <c r="BZ950" s="4"/>
      <c r="CA950" s="4"/>
      <c r="CB950" s="4"/>
      <c r="CC950" s="4"/>
      <c r="CD950" s="4"/>
      <c r="CE950" s="4"/>
      <c r="CF950" s="4"/>
      <c r="CG950" s="4"/>
      <c r="CH950" s="4"/>
      <c r="CI950" s="4"/>
    </row>
    <row r="951" ht="14.25" customHeight="1" spans="1:87" x14ac:dyDescent="0.25">
      <c r="A951" s="4"/>
      <c r="B951" s="4"/>
      <c r="C951" s="4"/>
      <c r="D951" s="4"/>
      <c r="E951" s="4"/>
      <c r="F951" s="4"/>
      <c r="G951" s="4"/>
      <c r="H951" s="4"/>
      <c r="I951" s="4"/>
      <c r="J951" s="4"/>
      <c r="K951" s="242"/>
      <c r="L951" s="4"/>
      <c r="M951" s="4"/>
      <c r="N951" s="4"/>
      <c r="O951" s="4"/>
      <c r="P951" s="4"/>
      <c r="Q951" s="4"/>
      <c r="R951" s="4"/>
      <c r="S951" s="4"/>
      <c r="T951" s="4"/>
      <c r="U951" s="4"/>
      <c r="V951" s="4"/>
      <c r="W951" s="4"/>
      <c r="X951" s="4"/>
      <c r="Y951" s="4"/>
      <c r="Z951" s="4"/>
      <c r="AA951" s="4"/>
      <c r="AB951" s="4"/>
      <c r="AC951" s="4"/>
      <c r="AD951" s="4"/>
      <c r="AE951" s="4"/>
      <c r="AF951" s="4"/>
      <c r="AG951" s="4"/>
      <c r="AH951" s="4"/>
      <c r="AI951" s="4"/>
      <c r="AJ951" s="4"/>
      <c r="AK951" s="4"/>
      <c r="AL951" s="4"/>
      <c r="AM951" s="4"/>
      <c r="AN951" s="4"/>
      <c r="AO951" s="4"/>
      <c r="AP951" s="4"/>
      <c r="AQ951" s="4"/>
      <c r="AR951" s="4"/>
      <c r="AS951" s="4"/>
      <c r="AT951" s="4"/>
      <c r="AU951" s="4"/>
      <c r="AV951" s="4"/>
      <c r="AW951" s="4"/>
      <c r="AX951" s="4"/>
      <c r="AY951" s="4"/>
      <c r="AZ951" s="4"/>
      <c r="BA951" s="4"/>
      <c r="BB951" s="4"/>
      <c r="BC951" s="4"/>
      <c r="BD951" s="4"/>
      <c r="BE951" s="4"/>
      <c r="BF951" s="4"/>
      <c r="BG951" s="4"/>
      <c r="BH951" s="4"/>
      <c r="BI951" s="4"/>
      <c r="BJ951" s="4"/>
      <c r="BK951" s="4"/>
      <c r="BL951" s="4"/>
      <c r="BM951" s="4"/>
      <c r="BN951" s="4"/>
      <c r="BO951" s="4"/>
      <c r="BP951" s="4"/>
      <c r="BQ951" s="4"/>
      <c r="BR951" s="4"/>
      <c r="BS951" s="4"/>
      <c r="BT951" s="4"/>
      <c r="BU951" s="4"/>
      <c r="BV951" s="4"/>
      <c r="BW951" s="4"/>
      <c r="BX951" s="4"/>
      <c r="BY951" s="4"/>
      <c r="BZ951" s="4"/>
      <c r="CA951" s="4"/>
      <c r="CB951" s="4"/>
      <c r="CC951" s="4"/>
      <c r="CD951" s="4"/>
      <c r="CE951" s="4"/>
      <c r="CF951" s="4"/>
      <c r="CG951" s="4"/>
      <c r="CH951" s="4"/>
      <c r="CI951" s="4"/>
    </row>
    <row r="952" ht="14.25" customHeight="1" spans="1:87" x14ac:dyDescent="0.25">
      <c r="A952" s="4"/>
      <c r="B952" s="4"/>
      <c r="C952" s="4"/>
      <c r="D952" s="4"/>
      <c r="E952" s="4"/>
      <c r="F952" s="4"/>
      <c r="G952" s="4"/>
      <c r="H952" s="4"/>
      <c r="I952" s="4"/>
      <c r="J952" s="4"/>
      <c r="K952" s="242"/>
      <c r="L952" s="4"/>
      <c r="M952" s="4"/>
      <c r="N952" s="4"/>
      <c r="O952" s="4"/>
      <c r="P952" s="4"/>
      <c r="Q952" s="4"/>
      <c r="R952" s="4"/>
      <c r="S952" s="4"/>
      <c r="T952" s="4"/>
      <c r="U952" s="4"/>
      <c r="V952" s="4"/>
      <c r="W952" s="4"/>
      <c r="X952" s="4"/>
      <c r="Y952" s="4"/>
      <c r="Z952" s="4"/>
      <c r="AA952" s="4"/>
      <c r="AB952" s="4"/>
      <c r="AC952" s="4"/>
      <c r="AD952" s="4"/>
      <c r="AE952" s="4"/>
      <c r="AF952" s="4"/>
      <c r="AG952" s="4"/>
      <c r="AH952" s="4"/>
      <c r="AI952" s="4"/>
      <c r="AJ952" s="4"/>
      <c r="AK952" s="4"/>
      <c r="AL952" s="4"/>
      <c r="AM952" s="4"/>
      <c r="AN952" s="4"/>
      <c r="AO952" s="4"/>
      <c r="AP952" s="4"/>
      <c r="AQ952" s="4"/>
      <c r="AR952" s="4"/>
      <c r="AS952" s="4"/>
      <c r="AT952" s="4"/>
      <c r="AU952" s="4"/>
      <c r="AV952" s="4"/>
      <c r="AW952" s="4"/>
      <c r="AX952" s="4"/>
      <c r="AY952" s="4"/>
      <c r="AZ952" s="4"/>
      <c r="BA952" s="4"/>
      <c r="BB952" s="4"/>
      <c r="BC952" s="4"/>
      <c r="BD952" s="4"/>
      <c r="BE952" s="4"/>
      <c r="BF952" s="4"/>
      <c r="BG952" s="4"/>
      <c r="BH952" s="4"/>
      <c r="BI952" s="4"/>
      <c r="BJ952" s="4"/>
      <c r="BK952" s="4"/>
      <c r="BL952" s="4"/>
      <c r="BM952" s="4"/>
      <c r="BN952" s="4"/>
      <c r="BO952" s="4"/>
      <c r="BP952" s="4"/>
      <c r="BQ952" s="4"/>
      <c r="BR952" s="4"/>
      <c r="BS952" s="4"/>
      <c r="BT952" s="4"/>
      <c r="BU952" s="4"/>
      <c r="BV952" s="4"/>
      <c r="BW952" s="4"/>
      <c r="BX952" s="4"/>
      <c r="BY952" s="4"/>
      <c r="BZ952" s="4"/>
      <c r="CA952" s="4"/>
      <c r="CB952" s="4"/>
      <c r="CC952" s="4"/>
      <c r="CD952" s="4"/>
      <c r="CE952" s="4"/>
      <c r="CF952" s="4"/>
      <c r="CG952" s="4"/>
      <c r="CH952" s="4"/>
      <c r="CI952" s="4"/>
    </row>
    <row r="953" ht="14.25" customHeight="1" spans="1:87" x14ac:dyDescent="0.25">
      <c r="A953" s="4"/>
      <c r="B953" s="4"/>
      <c r="C953" s="4"/>
      <c r="D953" s="4"/>
      <c r="E953" s="4"/>
      <c r="F953" s="4"/>
      <c r="G953" s="4"/>
      <c r="H953" s="4"/>
      <c r="I953" s="4"/>
      <c r="J953" s="4"/>
      <c r="K953" s="242"/>
      <c r="L953" s="4"/>
      <c r="M953" s="4"/>
      <c r="N953" s="4"/>
      <c r="O953" s="4"/>
      <c r="P953" s="4"/>
      <c r="Q953" s="4"/>
      <c r="R953" s="4"/>
      <c r="S953" s="4"/>
      <c r="T953" s="4"/>
      <c r="U953" s="4"/>
      <c r="V953" s="4"/>
      <c r="W953" s="4"/>
      <c r="X953" s="4"/>
      <c r="Y953" s="4"/>
      <c r="Z953" s="4"/>
      <c r="AA953" s="4"/>
      <c r="AB953" s="4"/>
      <c r="AC953" s="4"/>
      <c r="AD953" s="4"/>
      <c r="AE953" s="4"/>
      <c r="AF953" s="4"/>
      <c r="AG953" s="4"/>
      <c r="AH953" s="4"/>
      <c r="AI953" s="4"/>
      <c r="AJ953" s="4"/>
      <c r="AK953" s="4"/>
      <c r="AL953" s="4"/>
      <c r="AM953" s="4"/>
      <c r="AN953" s="4"/>
      <c r="AO953" s="4"/>
      <c r="AP953" s="4"/>
      <c r="AQ953" s="4"/>
      <c r="AR953" s="4"/>
      <c r="AS953" s="4"/>
      <c r="AT953" s="4"/>
      <c r="AU953" s="4"/>
      <c r="AV953" s="4"/>
      <c r="AW953" s="4"/>
      <c r="AX953" s="4"/>
      <c r="AY953" s="4"/>
      <c r="AZ953" s="4"/>
      <c r="BA953" s="4"/>
      <c r="BB953" s="4"/>
      <c r="BC953" s="4"/>
      <c r="BD953" s="4"/>
      <c r="BE953" s="4"/>
      <c r="BF953" s="4"/>
      <c r="BG953" s="4"/>
      <c r="BH953" s="4"/>
      <c r="BI953" s="4"/>
      <c r="BJ953" s="4"/>
      <c r="BK953" s="4"/>
      <c r="BL953" s="4"/>
      <c r="BM953" s="4"/>
      <c r="BN953" s="4"/>
      <c r="BO953" s="4"/>
      <c r="BP953" s="4"/>
      <c r="BQ953" s="4"/>
      <c r="BR953" s="4"/>
      <c r="BS953" s="4"/>
      <c r="BT953" s="4"/>
      <c r="BU953" s="4"/>
      <c r="BV953" s="4"/>
      <c r="BW953" s="4"/>
      <c r="BX953" s="4"/>
      <c r="BY953" s="4"/>
      <c r="BZ953" s="4"/>
      <c r="CA953" s="4"/>
      <c r="CB953" s="4"/>
      <c r="CC953" s="4"/>
      <c r="CD953" s="4"/>
      <c r="CE953" s="4"/>
      <c r="CF953" s="4"/>
      <c r="CG953" s="4"/>
      <c r="CH953" s="4"/>
      <c r="CI953" s="4"/>
    </row>
    <row r="954" ht="14.25" customHeight="1" spans="1:87" x14ac:dyDescent="0.25">
      <c r="A954" s="4"/>
      <c r="B954" s="4"/>
      <c r="C954" s="4"/>
      <c r="D954" s="4"/>
      <c r="E954" s="4"/>
      <c r="F954" s="4"/>
      <c r="G954" s="4"/>
      <c r="H954" s="4"/>
      <c r="I954" s="4"/>
      <c r="J954" s="4"/>
      <c r="K954" s="242"/>
      <c r="L954" s="4"/>
      <c r="M954" s="4"/>
      <c r="N954" s="4"/>
      <c r="O954" s="4"/>
      <c r="P954" s="4"/>
      <c r="Q954" s="4"/>
      <c r="R954" s="4"/>
      <c r="S954" s="4"/>
      <c r="T954" s="4"/>
      <c r="U954" s="4"/>
      <c r="V954" s="4"/>
      <c r="W954" s="4"/>
      <c r="X954" s="4"/>
      <c r="Y954" s="4"/>
      <c r="Z954" s="4"/>
      <c r="AA954" s="4"/>
      <c r="AB954" s="4"/>
      <c r="AC954" s="4"/>
      <c r="AD954" s="4"/>
      <c r="AE954" s="4"/>
      <c r="AF954" s="4"/>
      <c r="AG954" s="4"/>
      <c r="AH954" s="4"/>
      <c r="AI954" s="4"/>
      <c r="AJ954" s="4"/>
      <c r="AK954" s="4"/>
      <c r="AL954" s="4"/>
      <c r="AM954" s="4"/>
      <c r="AN954" s="4"/>
      <c r="AO954" s="4"/>
      <c r="AP954" s="4"/>
      <c r="AQ954" s="4"/>
      <c r="AR954" s="4"/>
      <c r="AS954" s="4"/>
      <c r="AT954" s="4"/>
      <c r="AU954" s="4"/>
      <c r="AV954" s="4"/>
      <c r="AW954" s="4"/>
      <c r="AX954" s="4"/>
      <c r="AY954" s="4"/>
      <c r="AZ954" s="4"/>
      <c r="BA954" s="4"/>
      <c r="BB954" s="4"/>
      <c r="BC954" s="4"/>
      <c r="BD954" s="4"/>
      <c r="BE954" s="4"/>
      <c r="BF954" s="4"/>
      <c r="BG954" s="4"/>
      <c r="BH954" s="4"/>
      <c r="BI954" s="4"/>
      <c r="BJ954" s="4"/>
      <c r="BK954" s="4"/>
      <c r="BL954" s="4"/>
      <c r="BM954" s="4"/>
      <c r="BN954" s="4"/>
      <c r="BO954" s="4"/>
      <c r="BP954" s="4"/>
      <c r="BQ954" s="4"/>
      <c r="BR954" s="4"/>
      <c r="BS954" s="4"/>
      <c r="BT954" s="4"/>
      <c r="BU954" s="4"/>
      <c r="BV954" s="4"/>
      <c r="BW954" s="4"/>
      <c r="BX954" s="4"/>
      <c r="BY954" s="4"/>
      <c r="BZ954" s="4"/>
      <c r="CA954" s="4"/>
      <c r="CB954" s="4"/>
      <c r="CC954" s="4"/>
      <c r="CD954" s="4"/>
      <c r="CE954" s="4"/>
      <c r="CF954" s="4"/>
      <c r="CG954" s="4"/>
      <c r="CH954" s="4"/>
      <c r="CI954" s="4"/>
    </row>
    <row r="955" ht="14.25" customHeight="1" spans="1:87" x14ac:dyDescent="0.25">
      <c r="A955" s="4"/>
      <c r="B955" s="4"/>
      <c r="C955" s="4"/>
      <c r="D955" s="4"/>
      <c r="E955" s="4"/>
      <c r="F955" s="4"/>
      <c r="G955" s="4"/>
      <c r="H955" s="4"/>
      <c r="I955" s="4"/>
      <c r="J955" s="4"/>
      <c r="K955" s="242"/>
      <c r="L955" s="4"/>
      <c r="M955" s="4"/>
      <c r="N955" s="4"/>
      <c r="O955" s="4"/>
      <c r="P955" s="4"/>
      <c r="Q955" s="4"/>
      <c r="R955" s="4"/>
      <c r="S955" s="4"/>
      <c r="T955" s="4"/>
      <c r="U955" s="4"/>
      <c r="V955" s="4"/>
      <c r="W955" s="4"/>
      <c r="X955" s="4"/>
      <c r="Y955" s="4"/>
      <c r="Z955" s="4"/>
      <c r="AA955" s="4"/>
      <c r="AB955" s="4"/>
      <c r="AC955" s="4"/>
      <c r="AD955" s="4"/>
      <c r="AE955" s="4"/>
      <c r="AF955" s="4"/>
      <c r="AG955" s="4"/>
      <c r="AH955" s="4"/>
      <c r="AI955" s="4"/>
      <c r="AJ955" s="4"/>
      <c r="AK955" s="4"/>
      <c r="AL955" s="4"/>
      <c r="AM955" s="4"/>
      <c r="AN955" s="4"/>
      <c r="AO955" s="4"/>
      <c r="AP955" s="4"/>
      <c r="AQ955" s="4"/>
      <c r="AR955" s="4"/>
      <c r="AS955" s="4"/>
      <c r="AT955" s="4"/>
      <c r="AU955" s="4"/>
      <c r="AV955" s="4"/>
      <c r="AW955" s="4"/>
      <c r="AX955" s="4"/>
      <c r="AY955" s="4"/>
      <c r="AZ955" s="4"/>
      <c r="BA955" s="4"/>
      <c r="BB955" s="4"/>
      <c r="BC955" s="4"/>
      <c r="BD955" s="4"/>
      <c r="BE955" s="4"/>
      <c r="BF955" s="4"/>
      <c r="BG955" s="4"/>
      <c r="BH955" s="4"/>
      <c r="BI955" s="4"/>
      <c r="BJ955" s="4"/>
      <c r="BK955" s="4"/>
      <c r="BL955" s="4"/>
      <c r="BM955" s="4"/>
      <c r="BN955" s="4"/>
      <c r="BO955" s="4"/>
      <c r="BP955" s="4"/>
      <c r="BQ955" s="4"/>
      <c r="BR955" s="4"/>
      <c r="BS955" s="4"/>
      <c r="BT955" s="4"/>
      <c r="BU955" s="4"/>
      <c r="BV955" s="4"/>
      <c r="BW955" s="4"/>
      <c r="BX955" s="4"/>
      <c r="BY955" s="4"/>
      <c r="BZ955" s="4"/>
      <c r="CA955" s="4"/>
      <c r="CB955" s="4"/>
      <c r="CC955" s="4"/>
      <c r="CD955" s="4"/>
      <c r="CE955" s="4"/>
      <c r="CF955" s="4"/>
      <c r="CG955" s="4"/>
      <c r="CH955" s="4"/>
      <c r="CI955" s="4"/>
    </row>
    <row r="956" ht="14.25" customHeight="1" spans="1:87" x14ac:dyDescent="0.25">
      <c r="A956" s="4"/>
      <c r="B956" s="4"/>
      <c r="C956" s="4"/>
      <c r="D956" s="4"/>
      <c r="E956" s="4"/>
      <c r="F956" s="4"/>
      <c r="G956" s="4"/>
      <c r="H956" s="4"/>
      <c r="I956" s="4"/>
      <c r="J956" s="4"/>
      <c r="K956" s="242"/>
      <c r="L956" s="4"/>
      <c r="M956" s="4"/>
      <c r="N956" s="4"/>
      <c r="O956" s="4"/>
      <c r="P956" s="4"/>
      <c r="Q956" s="4"/>
      <c r="R956" s="4"/>
      <c r="S956" s="4"/>
      <c r="T956" s="4"/>
      <c r="U956" s="4"/>
      <c r="V956" s="4"/>
      <c r="W956" s="4"/>
      <c r="X956" s="4"/>
      <c r="Y956" s="4"/>
      <c r="Z956" s="4"/>
      <c r="AA956" s="4"/>
      <c r="AB956" s="4"/>
      <c r="AC956" s="4"/>
      <c r="AD956" s="4"/>
      <c r="AE956" s="4"/>
      <c r="AF956" s="4"/>
      <c r="AG956" s="4"/>
      <c r="AH956" s="4"/>
      <c r="AI956" s="4"/>
      <c r="AJ956" s="4"/>
      <c r="AK956" s="4"/>
      <c r="AL956" s="4"/>
      <c r="AM956" s="4"/>
      <c r="AN956" s="4"/>
      <c r="AO956" s="4"/>
      <c r="AP956" s="4"/>
      <c r="AQ956" s="4"/>
      <c r="AR956" s="4"/>
      <c r="AS956" s="4"/>
      <c r="AT956" s="4"/>
      <c r="AU956" s="4"/>
      <c r="AV956" s="4"/>
      <c r="AW956" s="4"/>
      <c r="AX956" s="4"/>
      <c r="AY956" s="4"/>
      <c r="AZ956" s="4"/>
      <c r="BA956" s="4"/>
      <c r="BB956" s="4"/>
      <c r="BC956" s="4"/>
      <c r="BD956" s="4"/>
      <c r="BE956" s="4"/>
      <c r="BF956" s="4"/>
      <c r="BG956" s="4"/>
      <c r="BH956" s="4"/>
      <c r="BI956" s="4"/>
      <c r="BJ956" s="4"/>
      <c r="BK956" s="4"/>
      <c r="BL956" s="4"/>
      <c r="BM956" s="4"/>
      <c r="BN956" s="4"/>
      <c r="BO956" s="4"/>
      <c r="BP956" s="4"/>
      <c r="BQ956" s="4"/>
      <c r="BR956" s="4"/>
      <c r="BS956" s="4"/>
      <c r="BT956" s="4"/>
      <c r="BU956" s="4"/>
      <c r="BV956" s="4"/>
      <c r="BW956" s="4"/>
      <c r="BX956" s="4"/>
      <c r="BY956" s="4"/>
      <c r="BZ956" s="4"/>
      <c r="CA956" s="4"/>
      <c r="CB956" s="4"/>
      <c r="CC956" s="4"/>
      <c r="CD956" s="4"/>
      <c r="CE956" s="4"/>
      <c r="CF956" s="4"/>
      <c r="CG956" s="4"/>
      <c r="CH956" s="4"/>
      <c r="CI956" s="4"/>
    </row>
    <row r="957" ht="14.25" customHeight="1" spans="1:87" x14ac:dyDescent="0.25">
      <c r="A957" s="4"/>
      <c r="B957" s="4"/>
      <c r="C957" s="4"/>
      <c r="D957" s="4"/>
      <c r="E957" s="4"/>
      <c r="F957" s="4"/>
      <c r="G957" s="4"/>
      <c r="H957" s="4"/>
      <c r="I957" s="4"/>
      <c r="J957" s="4"/>
      <c r="K957" s="242"/>
      <c r="L957" s="4"/>
      <c r="M957" s="4"/>
      <c r="N957" s="4"/>
      <c r="O957" s="4"/>
      <c r="P957" s="4"/>
      <c r="Q957" s="4"/>
      <c r="R957" s="4"/>
      <c r="S957" s="4"/>
      <c r="T957" s="4"/>
      <c r="U957" s="4"/>
      <c r="V957" s="4"/>
      <c r="W957" s="4"/>
      <c r="X957" s="4"/>
      <c r="Y957" s="4"/>
      <c r="Z957" s="4"/>
      <c r="AA957" s="4"/>
      <c r="AB957" s="4"/>
      <c r="AC957" s="4"/>
      <c r="AD957" s="4"/>
      <c r="AE957" s="4"/>
      <c r="AF957" s="4"/>
      <c r="AG957" s="4"/>
      <c r="AH957" s="4"/>
      <c r="AI957" s="4"/>
      <c r="AJ957" s="4"/>
      <c r="AK957" s="4"/>
      <c r="AL957" s="4"/>
      <c r="AM957" s="4"/>
      <c r="AN957" s="4"/>
      <c r="AO957" s="4"/>
      <c r="AP957" s="4"/>
      <c r="AQ957" s="4"/>
      <c r="AR957" s="4"/>
      <c r="AS957" s="4"/>
      <c r="AT957" s="4"/>
      <c r="AU957" s="4"/>
      <c r="AV957" s="4"/>
      <c r="AW957" s="4"/>
      <c r="AX957" s="4"/>
      <c r="AY957" s="4"/>
      <c r="AZ957" s="4"/>
      <c r="BA957" s="4"/>
      <c r="BB957" s="4"/>
      <c r="BC957" s="4"/>
      <c r="BD957" s="4"/>
      <c r="BE957" s="4"/>
      <c r="BF957" s="4"/>
      <c r="BG957" s="4"/>
      <c r="BH957" s="4"/>
      <c r="BI957" s="4"/>
      <c r="BJ957" s="4"/>
      <c r="BK957" s="4"/>
      <c r="BL957" s="4"/>
      <c r="BM957" s="4"/>
      <c r="BN957" s="4"/>
      <c r="BO957" s="4"/>
      <c r="BP957" s="4"/>
      <c r="BQ957" s="4"/>
      <c r="BR957" s="4"/>
      <c r="BS957" s="4"/>
      <c r="BT957" s="4"/>
      <c r="BU957" s="4"/>
      <c r="BV957" s="4"/>
      <c r="BW957" s="4"/>
      <c r="BX957" s="4"/>
      <c r="BY957" s="4"/>
      <c r="BZ957" s="4"/>
      <c r="CA957" s="4"/>
      <c r="CB957" s="4"/>
      <c r="CC957" s="4"/>
      <c r="CD957" s="4"/>
      <c r="CE957" s="4"/>
      <c r="CF957" s="4"/>
      <c r="CG957" s="4"/>
      <c r="CH957" s="4"/>
      <c r="CI957" s="4"/>
    </row>
    <row r="958" ht="14.25" customHeight="1" spans="1:87" x14ac:dyDescent="0.25">
      <c r="A958" s="4"/>
      <c r="B958" s="4"/>
      <c r="C958" s="4"/>
      <c r="D958" s="4"/>
      <c r="E958" s="4"/>
      <c r="F958" s="4"/>
      <c r="G958" s="4"/>
      <c r="H958" s="4"/>
      <c r="I958" s="4"/>
      <c r="J958" s="4"/>
      <c r="K958" s="242"/>
      <c r="L958" s="4"/>
      <c r="M958" s="4"/>
      <c r="N958" s="4"/>
      <c r="O958" s="4"/>
      <c r="P958" s="4"/>
      <c r="Q958" s="4"/>
      <c r="R958" s="4"/>
      <c r="S958" s="4"/>
      <c r="T958" s="4"/>
      <c r="U958" s="4"/>
      <c r="V958" s="4"/>
      <c r="W958" s="4"/>
      <c r="X958" s="4"/>
      <c r="Y958" s="4"/>
      <c r="Z958" s="4"/>
      <c r="AA958" s="4"/>
      <c r="AB958" s="4"/>
      <c r="AC958" s="4"/>
      <c r="AD958" s="4"/>
      <c r="AE958" s="4"/>
      <c r="AF958" s="4"/>
      <c r="AG958" s="4"/>
      <c r="AH958" s="4"/>
      <c r="AI958" s="4"/>
      <c r="AJ958" s="4"/>
      <c r="AK958" s="4"/>
      <c r="AL958" s="4"/>
      <c r="AM958" s="4"/>
      <c r="AN958" s="4"/>
      <c r="AO958" s="4"/>
      <c r="AP958" s="4"/>
      <c r="AQ958" s="4"/>
      <c r="AR958" s="4"/>
      <c r="AS958" s="4"/>
      <c r="AT958" s="4"/>
      <c r="AU958" s="4"/>
      <c r="AV958" s="4"/>
      <c r="AW958" s="4"/>
      <c r="AX958" s="4"/>
      <c r="AY958" s="4"/>
      <c r="AZ958" s="4"/>
      <c r="BA958" s="4"/>
      <c r="BB958" s="4"/>
      <c r="BC958" s="4"/>
      <c r="BD958" s="4"/>
      <c r="BE958" s="4"/>
      <c r="BF958" s="4"/>
      <c r="BG958" s="4"/>
      <c r="BH958" s="4"/>
      <c r="BI958" s="4"/>
      <c r="BJ958" s="4"/>
      <c r="BK958" s="4"/>
      <c r="BL958" s="4"/>
      <c r="BM958" s="4"/>
      <c r="BN958" s="4"/>
      <c r="BO958" s="4"/>
      <c r="BP958" s="4"/>
      <c r="BQ958" s="4"/>
      <c r="BR958" s="4"/>
      <c r="BS958" s="4"/>
      <c r="BT958" s="4"/>
      <c r="BU958" s="4"/>
      <c r="BV958" s="4"/>
      <c r="BW958" s="4"/>
      <c r="BX958" s="4"/>
      <c r="BY958" s="4"/>
      <c r="BZ958" s="4"/>
      <c r="CA958" s="4"/>
      <c r="CB958" s="4"/>
      <c r="CC958" s="4"/>
      <c r="CD958" s="4"/>
      <c r="CE958" s="4"/>
      <c r="CF958" s="4"/>
      <c r="CG958" s="4"/>
      <c r="CH958" s="4"/>
      <c r="CI958" s="4"/>
    </row>
    <row r="959" ht="14.25" customHeight="1" spans="1:87" x14ac:dyDescent="0.25">
      <c r="A959" s="4"/>
      <c r="B959" s="4"/>
      <c r="C959" s="4"/>
      <c r="D959" s="4"/>
      <c r="E959" s="4"/>
      <c r="F959" s="4"/>
      <c r="G959" s="4"/>
      <c r="H959" s="4"/>
      <c r="I959" s="4"/>
      <c r="J959" s="4"/>
      <c r="K959" s="242"/>
      <c r="L959" s="4"/>
      <c r="M959" s="4"/>
      <c r="N959" s="4"/>
      <c r="O959" s="4"/>
      <c r="P959" s="4"/>
      <c r="Q959" s="4"/>
      <c r="R959" s="4"/>
      <c r="S959" s="4"/>
      <c r="T959" s="4"/>
      <c r="U959" s="4"/>
      <c r="V959" s="4"/>
      <c r="W959" s="4"/>
      <c r="X959" s="4"/>
      <c r="Y959" s="4"/>
      <c r="Z959" s="4"/>
      <c r="AA959" s="4"/>
      <c r="AB959" s="4"/>
      <c r="AC959" s="4"/>
      <c r="AD959" s="4"/>
      <c r="AE959" s="4"/>
      <c r="AF959" s="4"/>
      <c r="AG959" s="4"/>
      <c r="AH959" s="4"/>
      <c r="AI959" s="4"/>
      <c r="AJ959" s="4"/>
      <c r="AK959" s="4"/>
      <c r="AL959" s="4"/>
      <c r="AM959" s="4"/>
      <c r="AN959" s="4"/>
      <c r="AO959" s="4"/>
      <c r="AP959" s="4"/>
      <c r="AQ959" s="4"/>
      <c r="AR959" s="4"/>
      <c r="AS959" s="4"/>
      <c r="AT959" s="4"/>
      <c r="AU959" s="4"/>
      <c r="AV959" s="4"/>
      <c r="AW959" s="4"/>
      <c r="AX959" s="4"/>
      <c r="AY959" s="4"/>
      <c r="AZ959" s="4"/>
      <c r="BA959" s="4"/>
      <c r="BB959" s="4"/>
      <c r="BC959" s="4"/>
      <c r="BD959" s="4"/>
      <c r="BE959" s="4"/>
      <c r="BF959" s="4"/>
      <c r="BG959" s="4"/>
      <c r="BH959" s="4"/>
      <c r="BI959" s="4"/>
      <c r="BJ959" s="4"/>
      <c r="BK959" s="4"/>
      <c r="BL959" s="4"/>
      <c r="BM959" s="4"/>
      <c r="BN959" s="4"/>
      <c r="BO959" s="4"/>
      <c r="BP959" s="4"/>
      <c r="BQ959" s="4"/>
      <c r="BR959" s="4"/>
      <c r="BS959" s="4"/>
      <c r="BT959" s="4"/>
      <c r="BU959" s="4"/>
      <c r="BV959" s="4"/>
      <c r="BW959" s="4"/>
      <c r="BX959" s="4"/>
      <c r="BY959" s="4"/>
      <c r="BZ959" s="4"/>
      <c r="CA959" s="4"/>
      <c r="CB959" s="4"/>
      <c r="CC959" s="4"/>
      <c r="CD959" s="4"/>
      <c r="CE959" s="4"/>
      <c r="CF959" s="4"/>
      <c r="CG959" s="4"/>
      <c r="CH959" s="4"/>
      <c r="CI959" s="4"/>
    </row>
    <row r="960" ht="14.25" customHeight="1" spans="1:87" x14ac:dyDescent="0.25">
      <c r="A960" s="4"/>
      <c r="B960" s="4"/>
      <c r="C960" s="4"/>
      <c r="D960" s="4"/>
      <c r="E960" s="4"/>
      <c r="F960" s="4"/>
      <c r="G960" s="4"/>
      <c r="H960" s="4"/>
      <c r="I960" s="4"/>
      <c r="J960" s="4"/>
      <c r="K960" s="242"/>
      <c r="L960" s="4"/>
      <c r="M960" s="4"/>
      <c r="N960" s="4"/>
      <c r="O960" s="4"/>
      <c r="P960" s="4"/>
      <c r="Q960" s="4"/>
      <c r="R960" s="4"/>
      <c r="S960" s="4"/>
      <c r="T960" s="4"/>
      <c r="U960" s="4"/>
      <c r="V960" s="4"/>
      <c r="W960" s="4"/>
      <c r="X960" s="4"/>
      <c r="Y960" s="4"/>
      <c r="Z960" s="4"/>
      <c r="AA960" s="4"/>
      <c r="AB960" s="4"/>
      <c r="AC960" s="4"/>
      <c r="AD960" s="4"/>
      <c r="AE960" s="4"/>
      <c r="AF960" s="4"/>
      <c r="AG960" s="4"/>
      <c r="AH960" s="4"/>
      <c r="AI960" s="4"/>
      <c r="AJ960" s="4"/>
      <c r="AK960" s="4"/>
      <c r="AL960" s="4"/>
      <c r="AM960" s="4"/>
      <c r="AN960" s="4"/>
      <c r="AO960" s="4"/>
      <c r="AP960" s="4"/>
      <c r="AQ960" s="4"/>
      <c r="AR960" s="4"/>
      <c r="AS960" s="4"/>
      <c r="AT960" s="4"/>
      <c r="AU960" s="4"/>
      <c r="AV960" s="4"/>
      <c r="AW960" s="4"/>
      <c r="AX960" s="4"/>
      <c r="AY960" s="4"/>
      <c r="AZ960" s="4"/>
      <c r="BA960" s="4"/>
      <c r="BB960" s="4"/>
      <c r="BC960" s="4"/>
      <c r="BD960" s="4"/>
      <c r="BE960" s="4"/>
      <c r="BF960" s="4"/>
      <c r="BG960" s="4"/>
      <c r="BH960" s="4"/>
      <c r="BI960" s="4"/>
      <c r="BJ960" s="4"/>
      <c r="BK960" s="4"/>
      <c r="BL960" s="4"/>
      <c r="BM960" s="4"/>
      <c r="BN960" s="4"/>
      <c r="BO960" s="4"/>
      <c r="BP960" s="4"/>
      <c r="BQ960" s="4"/>
      <c r="BR960" s="4"/>
      <c r="BS960" s="4"/>
      <c r="BT960" s="4"/>
      <c r="BU960" s="4"/>
      <c r="BV960" s="4"/>
      <c r="BW960" s="4"/>
      <c r="BX960" s="4"/>
      <c r="BY960" s="4"/>
      <c r="BZ960" s="4"/>
      <c r="CA960" s="4"/>
      <c r="CB960" s="4"/>
      <c r="CC960" s="4"/>
      <c r="CD960" s="4"/>
      <c r="CE960" s="4"/>
      <c r="CF960" s="4"/>
      <c r="CG960" s="4"/>
      <c r="CH960" s="4"/>
      <c r="CI960" s="4"/>
    </row>
    <row r="961" ht="14.25" customHeight="1" spans="1:87" x14ac:dyDescent="0.25">
      <c r="A961" s="4"/>
      <c r="B961" s="4"/>
      <c r="C961" s="4"/>
      <c r="D961" s="4"/>
      <c r="E961" s="4"/>
      <c r="F961" s="4"/>
      <c r="G961" s="4"/>
      <c r="H961" s="4"/>
      <c r="I961" s="4"/>
      <c r="J961" s="4"/>
      <c r="K961" s="242"/>
      <c r="L961" s="4"/>
      <c r="M961" s="4"/>
      <c r="N961" s="4"/>
      <c r="O961" s="4"/>
      <c r="P961" s="4"/>
      <c r="Q961" s="4"/>
      <c r="R961" s="4"/>
      <c r="S961" s="4"/>
      <c r="T961" s="4"/>
      <c r="U961" s="4"/>
      <c r="V961" s="4"/>
      <c r="W961" s="4"/>
      <c r="X961" s="4"/>
      <c r="Y961" s="4"/>
      <c r="Z961" s="4"/>
      <c r="AA961" s="4"/>
      <c r="AB961" s="4"/>
      <c r="AC961" s="4"/>
      <c r="AD961" s="4"/>
      <c r="AE961" s="4"/>
      <c r="AF961" s="4"/>
      <c r="AG961" s="4"/>
      <c r="AH961" s="4"/>
      <c r="AI961" s="4"/>
      <c r="AJ961" s="4"/>
      <c r="AK961" s="4"/>
      <c r="AL961" s="4"/>
      <c r="AM961" s="4"/>
      <c r="AN961" s="4"/>
      <c r="AO961" s="4"/>
      <c r="AP961" s="4"/>
      <c r="AQ961" s="4"/>
      <c r="AR961" s="4"/>
      <c r="AS961" s="4"/>
      <c r="AT961" s="4"/>
      <c r="AU961" s="4"/>
      <c r="AV961" s="4"/>
      <c r="AW961" s="4"/>
      <c r="AX961" s="4"/>
      <c r="AY961" s="4"/>
      <c r="AZ961" s="4"/>
      <c r="BA961" s="4"/>
      <c r="BB961" s="4"/>
      <c r="BC961" s="4"/>
      <c r="BD961" s="4"/>
      <c r="BE961" s="4"/>
      <c r="BF961" s="4"/>
      <c r="BG961" s="4"/>
      <c r="BH961" s="4"/>
      <c r="BI961" s="4"/>
      <c r="BJ961" s="4"/>
      <c r="BK961" s="4"/>
      <c r="BL961" s="4"/>
      <c r="BM961" s="4"/>
      <c r="BN961" s="4"/>
      <c r="BO961" s="4"/>
      <c r="BP961" s="4"/>
      <c r="BQ961" s="4"/>
      <c r="BR961" s="4"/>
      <c r="BS961" s="4"/>
      <c r="BT961" s="4"/>
      <c r="BU961" s="4"/>
      <c r="BV961" s="4"/>
      <c r="BW961" s="4"/>
      <c r="BX961" s="4"/>
      <c r="BY961" s="4"/>
      <c r="BZ961" s="4"/>
      <c r="CA961" s="4"/>
      <c r="CB961" s="4"/>
      <c r="CC961" s="4"/>
      <c r="CD961" s="4"/>
      <c r="CE961" s="4"/>
      <c r="CF961" s="4"/>
      <c r="CG961" s="4"/>
      <c r="CH961" s="4"/>
      <c r="CI961" s="4"/>
    </row>
    <row r="962" ht="14.25" customHeight="1" spans="1:87" x14ac:dyDescent="0.25">
      <c r="A962" s="4"/>
      <c r="B962" s="4"/>
      <c r="C962" s="4"/>
      <c r="D962" s="4"/>
      <c r="E962" s="4"/>
      <c r="F962" s="4"/>
      <c r="G962" s="4"/>
      <c r="H962" s="4"/>
      <c r="I962" s="4"/>
      <c r="J962" s="4"/>
      <c r="K962" s="242"/>
      <c r="L962" s="4"/>
      <c r="M962" s="4"/>
      <c r="N962" s="4"/>
      <c r="O962" s="4"/>
      <c r="P962" s="4"/>
      <c r="Q962" s="4"/>
      <c r="R962" s="4"/>
      <c r="S962" s="4"/>
      <c r="T962" s="4"/>
      <c r="U962" s="4"/>
      <c r="V962" s="4"/>
      <c r="W962" s="4"/>
      <c r="X962" s="4"/>
      <c r="Y962" s="4"/>
      <c r="Z962" s="4"/>
      <c r="AA962" s="4"/>
      <c r="AB962" s="4"/>
      <c r="AC962" s="4"/>
      <c r="AD962" s="4"/>
      <c r="AE962" s="4"/>
      <c r="AF962" s="4"/>
      <c r="AG962" s="4"/>
      <c r="AH962" s="4"/>
      <c r="AI962" s="4"/>
      <c r="AJ962" s="4"/>
      <c r="AK962" s="4"/>
      <c r="AL962" s="4"/>
      <c r="AM962" s="4"/>
      <c r="AN962" s="4"/>
      <c r="AO962" s="4"/>
      <c r="AP962" s="4"/>
      <c r="AQ962" s="4"/>
      <c r="AR962" s="4"/>
      <c r="AS962" s="4"/>
      <c r="AT962" s="4"/>
      <c r="AU962" s="4"/>
      <c r="AV962" s="4"/>
      <c r="AW962" s="4"/>
      <c r="AX962" s="4"/>
      <c r="AY962" s="4"/>
      <c r="AZ962" s="4"/>
      <c r="BA962" s="4"/>
      <c r="BB962" s="4"/>
      <c r="BC962" s="4"/>
      <c r="BD962" s="4"/>
      <c r="BE962" s="4"/>
      <c r="BF962" s="4"/>
      <c r="BG962" s="4"/>
      <c r="BH962" s="4"/>
      <c r="BI962" s="4"/>
      <c r="BJ962" s="4"/>
      <c r="BK962" s="4"/>
      <c r="BL962" s="4"/>
      <c r="BM962" s="4"/>
      <c r="BN962" s="4"/>
      <c r="BO962" s="4"/>
      <c r="BP962" s="4"/>
      <c r="BQ962" s="4"/>
      <c r="BR962" s="4"/>
      <c r="BS962" s="4"/>
      <c r="BT962" s="4"/>
      <c r="BU962" s="4"/>
      <c r="BV962" s="4"/>
      <c r="BW962" s="4"/>
      <c r="BX962" s="4"/>
      <c r="BY962" s="4"/>
      <c r="BZ962" s="4"/>
      <c r="CA962" s="4"/>
      <c r="CB962" s="4"/>
      <c r="CC962" s="4"/>
      <c r="CD962" s="4"/>
      <c r="CE962" s="4"/>
      <c r="CF962" s="4"/>
      <c r="CG962" s="4"/>
      <c r="CH962" s="4"/>
      <c r="CI962" s="4"/>
    </row>
    <row r="963" ht="14.25" customHeight="1" spans="1:87" x14ac:dyDescent="0.25">
      <c r="A963" s="4"/>
      <c r="B963" s="4"/>
      <c r="C963" s="4"/>
      <c r="D963" s="4"/>
      <c r="E963" s="4"/>
      <c r="F963" s="4"/>
      <c r="G963" s="4"/>
      <c r="H963" s="4"/>
      <c r="I963" s="4"/>
      <c r="J963" s="4"/>
      <c r="K963" s="242"/>
      <c r="L963" s="4"/>
      <c r="M963" s="4"/>
      <c r="N963" s="4"/>
      <c r="O963" s="4"/>
      <c r="P963" s="4"/>
      <c r="Q963" s="4"/>
      <c r="R963" s="4"/>
      <c r="S963" s="4"/>
      <c r="T963" s="4"/>
      <c r="U963" s="4"/>
      <c r="V963" s="4"/>
      <c r="W963" s="4"/>
      <c r="X963" s="4"/>
      <c r="Y963" s="4"/>
      <c r="Z963" s="4"/>
      <c r="AA963" s="4"/>
      <c r="AB963" s="4"/>
      <c r="AC963" s="4"/>
      <c r="AD963" s="4"/>
      <c r="AE963" s="4"/>
      <c r="AF963" s="4"/>
      <c r="AG963" s="4"/>
      <c r="AH963" s="4"/>
      <c r="AI963" s="4"/>
      <c r="AJ963" s="4"/>
      <c r="AK963" s="4"/>
      <c r="AL963" s="4"/>
      <c r="AM963" s="4"/>
      <c r="AN963" s="4"/>
      <c r="AO963" s="4"/>
      <c r="AP963" s="4"/>
      <c r="AQ963" s="4"/>
      <c r="AR963" s="4"/>
      <c r="AS963" s="4"/>
      <c r="AT963" s="4"/>
      <c r="AU963" s="4"/>
      <c r="AV963" s="4"/>
      <c r="AW963" s="4"/>
      <c r="AX963" s="4"/>
      <c r="AY963" s="4"/>
      <c r="AZ963" s="4"/>
      <c r="BA963" s="4"/>
      <c r="BB963" s="4"/>
      <c r="BC963" s="4"/>
      <c r="BD963" s="4"/>
      <c r="BE963" s="4"/>
      <c r="BF963" s="4"/>
      <c r="BG963" s="4"/>
      <c r="BH963" s="4"/>
      <c r="BI963" s="4"/>
      <c r="BJ963" s="4"/>
      <c r="BK963" s="4"/>
      <c r="BL963" s="4"/>
      <c r="BM963" s="4"/>
      <c r="BN963" s="4"/>
      <c r="BO963" s="4"/>
      <c r="BP963" s="4"/>
      <c r="BQ963" s="4"/>
      <c r="BR963" s="4"/>
      <c r="BS963" s="4"/>
      <c r="BT963" s="4"/>
      <c r="BU963" s="4"/>
      <c r="BV963" s="4"/>
      <c r="BW963" s="4"/>
      <c r="BX963" s="4"/>
      <c r="BY963" s="4"/>
      <c r="BZ963" s="4"/>
      <c r="CA963" s="4"/>
      <c r="CB963" s="4"/>
      <c r="CC963" s="4"/>
      <c r="CD963" s="4"/>
      <c r="CE963" s="4"/>
      <c r="CF963" s="4"/>
      <c r="CG963" s="4"/>
      <c r="CH963" s="4"/>
      <c r="CI963" s="4"/>
    </row>
    <row r="964" ht="14.25" customHeight="1" spans="1:87" x14ac:dyDescent="0.25">
      <c r="A964" s="4"/>
      <c r="B964" s="4"/>
      <c r="C964" s="4"/>
      <c r="D964" s="4"/>
      <c r="E964" s="4"/>
      <c r="F964" s="4"/>
      <c r="G964" s="4"/>
      <c r="H964" s="4"/>
      <c r="I964" s="4"/>
      <c r="J964" s="4"/>
      <c r="K964" s="242"/>
      <c r="L964" s="4"/>
      <c r="M964" s="4"/>
      <c r="N964" s="4"/>
      <c r="O964" s="4"/>
      <c r="P964" s="4"/>
      <c r="Q964" s="4"/>
      <c r="R964" s="4"/>
      <c r="S964" s="4"/>
      <c r="T964" s="4"/>
      <c r="U964" s="4"/>
      <c r="V964" s="4"/>
      <c r="W964" s="4"/>
      <c r="X964" s="4"/>
      <c r="Y964" s="4"/>
      <c r="Z964" s="4"/>
      <c r="AA964" s="4"/>
      <c r="AB964" s="4"/>
      <c r="AC964" s="4"/>
      <c r="AD964" s="4"/>
      <c r="AE964" s="4"/>
      <c r="AF964" s="4"/>
      <c r="AG964" s="4"/>
      <c r="AH964" s="4"/>
      <c r="AI964" s="4"/>
      <c r="AJ964" s="4"/>
      <c r="AK964" s="4"/>
      <c r="AL964" s="4"/>
      <c r="AM964" s="4"/>
      <c r="AN964" s="4"/>
      <c r="AO964" s="4"/>
      <c r="AP964" s="4"/>
      <c r="AQ964" s="4"/>
      <c r="AR964" s="4"/>
      <c r="AS964" s="4"/>
      <c r="AT964" s="4"/>
      <c r="AU964" s="4"/>
      <c r="AV964" s="4"/>
      <c r="AW964" s="4"/>
      <c r="AX964" s="4"/>
      <c r="AY964" s="4"/>
      <c r="AZ964" s="4"/>
      <c r="BA964" s="4"/>
      <c r="BB964" s="4"/>
      <c r="BC964" s="4"/>
      <c r="BD964" s="4"/>
      <c r="BE964" s="4"/>
      <c r="BF964" s="4"/>
      <c r="BG964" s="4"/>
      <c r="BH964" s="4"/>
      <c r="BI964" s="4"/>
      <c r="BJ964" s="4"/>
      <c r="BK964" s="4"/>
      <c r="BL964" s="4"/>
      <c r="BM964" s="4"/>
      <c r="BN964" s="4"/>
      <c r="BO964" s="4"/>
      <c r="BP964" s="4"/>
      <c r="BQ964" s="4"/>
      <c r="BR964" s="4"/>
      <c r="BS964" s="4"/>
      <c r="BT964" s="4"/>
      <c r="BU964" s="4"/>
      <c r="BV964" s="4"/>
      <c r="BW964" s="4"/>
      <c r="BX964" s="4"/>
      <c r="BY964" s="4"/>
      <c r="BZ964" s="4"/>
      <c r="CA964" s="4"/>
      <c r="CB964" s="4"/>
      <c r="CC964" s="4"/>
      <c r="CD964" s="4"/>
      <c r="CE964" s="4"/>
      <c r="CF964" s="4"/>
      <c r="CG964" s="4"/>
      <c r="CH964" s="4"/>
      <c r="CI964" s="4"/>
    </row>
    <row r="965" ht="14.25" customHeight="1" spans="1:87" x14ac:dyDescent="0.25">
      <c r="A965" s="4"/>
      <c r="B965" s="4"/>
      <c r="C965" s="4"/>
      <c r="D965" s="4"/>
      <c r="E965" s="4"/>
      <c r="F965" s="4"/>
      <c r="G965" s="4"/>
      <c r="H965" s="4"/>
      <c r="I965" s="4"/>
      <c r="J965" s="4"/>
      <c r="K965" s="242"/>
      <c r="L965" s="4"/>
      <c r="M965" s="4"/>
      <c r="N965" s="4"/>
      <c r="O965" s="4"/>
      <c r="P965" s="4"/>
      <c r="Q965" s="4"/>
      <c r="R965" s="4"/>
      <c r="S965" s="4"/>
      <c r="T965" s="4"/>
      <c r="U965" s="4"/>
      <c r="V965" s="4"/>
      <c r="W965" s="4"/>
      <c r="X965" s="4"/>
      <c r="Y965" s="4"/>
      <c r="Z965" s="4"/>
      <c r="AA965" s="4"/>
      <c r="AB965" s="4"/>
      <c r="AC965" s="4"/>
      <c r="AD965" s="4"/>
      <c r="AE965" s="4"/>
      <c r="AF965" s="4"/>
      <c r="AG965" s="4"/>
      <c r="AH965" s="4"/>
      <c r="AI965" s="4"/>
      <c r="AJ965" s="4"/>
      <c r="AK965" s="4"/>
      <c r="AL965" s="4"/>
      <c r="AM965" s="4"/>
      <c r="AN965" s="4"/>
      <c r="AO965" s="4"/>
      <c r="AP965" s="4"/>
      <c r="AQ965" s="4"/>
      <c r="AR965" s="4"/>
      <c r="AS965" s="4"/>
      <c r="AT965" s="4"/>
      <c r="AU965" s="4"/>
      <c r="AV965" s="4"/>
      <c r="AW965" s="4"/>
      <c r="AX965" s="4"/>
      <c r="AY965" s="4"/>
      <c r="AZ965" s="4"/>
      <c r="BA965" s="4"/>
      <c r="BB965" s="4"/>
      <c r="BC965" s="4"/>
      <c r="BD965" s="4"/>
      <c r="BE965" s="4"/>
      <c r="BF965" s="4"/>
      <c r="BG965" s="4"/>
      <c r="BH965" s="4"/>
      <c r="BI965" s="4"/>
      <c r="BJ965" s="4"/>
      <c r="BK965" s="4"/>
      <c r="BL965" s="4"/>
      <c r="BM965" s="4"/>
      <c r="BN965" s="4"/>
      <c r="BO965" s="4"/>
      <c r="BP965" s="4"/>
      <c r="BQ965" s="4"/>
      <c r="BR965" s="4"/>
      <c r="BS965" s="4"/>
      <c r="BT965" s="4"/>
      <c r="BU965" s="4"/>
      <c r="BV965" s="4"/>
      <c r="BW965" s="4"/>
      <c r="BX965" s="4"/>
      <c r="BY965" s="4"/>
      <c r="BZ965" s="4"/>
      <c r="CA965" s="4"/>
      <c r="CB965" s="4"/>
      <c r="CC965" s="4"/>
      <c r="CD965" s="4"/>
      <c r="CE965" s="4"/>
      <c r="CF965" s="4"/>
      <c r="CG965" s="4"/>
      <c r="CH965" s="4"/>
      <c r="CI965" s="4"/>
    </row>
    <row r="966" ht="14.25" customHeight="1" spans="1:87" x14ac:dyDescent="0.25">
      <c r="A966" s="4"/>
      <c r="B966" s="4"/>
      <c r="C966" s="4"/>
      <c r="D966" s="4"/>
      <c r="E966" s="4"/>
      <c r="F966" s="4"/>
      <c r="G966" s="4"/>
      <c r="H966" s="4"/>
      <c r="I966" s="4"/>
      <c r="J966" s="4"/>
      <c r="K966" s="242"/>
      <c r="L966" s="4"/>
      <c r="M966" s="4"/>
      <c r="N966" s="4"/>
      <c r="O966" s="4"/>
      <c r="P966" s="4"/>
      <c r="Q966" s="4"/>
      <c r="R966" s="4"/>
      <c r="S966" s="4"/>
      <c r="T966" s="4"/>
      <c r="U966" s="4"/>
      <c r="V966" s="4"/>
      <c r="W966" s="4"/>
      <c r="X966" s="4"/>
      <c r="Y966" s="4"/>
      <c r="Z966" s="4"/>
      <c r="AA966" s="4"/>
      <c r="AB966" s="4"/>
      <c r="AC966" s="4"/>
      <c r="AD966" s="4"/>
      <c r="AE966" s="4"/>
      <c r="AF966" s="4"/>
      <c r="AG966" s="4"/>
      <c r="AH966" s="4"/>
      <c r="AI966" s="4"/>
      <c r="AJ966" s="4"/>
      <c r="AK966" s="4"/>
      <c r="AL966" s="4"/>
      <c r="AM966" s="4"/>
      <c r="AN966" s="4"/>
      <c r="AO966" s="4"/>
      <c r="AP966" s="4"/>
      <c r="AQ966" s="4"/>
      <c r="AR966" s="4"/>
      <c r="AS966" s="4"/>
      <c r="AT966" s="4"/>
      <c r="AU966" s="4"/>
      <c r="AV966" s="4"/>
      <c r="AW966" s="4"/>
      <c r="AX966" s="4"/>
      <c r="AY966" s="4"/>
      <c r="AZ966" s="4"/>
      <c r="BA966" s="4"/>
      <c r="BB966" s="4"/>
      <c r="BC966" s="4"/>
      <c r="BD966" s="4"/>
      <c r="BE966" s="4"/>
      <c r="BF966" s="4"/>
      <c r="BG966" s="4"/>
      <c r="BH966" s="4"/>
      <c r="BI966" s="4"/>
      <c r="BJ966" s="4"/>
      <c r="BK966" s="4"/>
      <c r="BL966" s="4"/>
      <c r="BM966" s="4"/>
      <c r="BN966" s="4"/>
      <c r="BO966" s="4"/>
      <c r="BP966" s="4"/>
      <c r="BQ966" s="4"/>
      <c r="BR966" s="4"/>
      <c r="BS966" s="4"/>
      <c r="BT966" s="4"/>
      <c r="BU966" s="4"/>
      <c r="BV966" s="4"/>
      <c r="BW966" s="4"/>
      <c r="BX966" s="4"/>
      <c r="BY966" s="4"/>
      <c r="BZ966" s="4"/>
      <c r="CA966" s="4"/>
      <c r="CB966" s="4"/>
      <c r="CC966" s="4"/>
      <c r="CD966" s="4"/>
      <c r="CE966" s="4"/>
      <c r="CF966" s="4"/>
      <c r="CG966" s="4"/>
      <c r="CH966" s="4"/>
      <c r="CI966" s="4"/>
    </row>
    <row r="967" ht="14.25" customHeight="1" spans="1:87" x14ac:dyDescent="0.25">
      <c r="A967" s="4"/>
      <c r="B967" s="4"/>
      <c r="C967" s="4"/>
      <c r="D967" s="4"/>
      <c r="E967" s="4"/>
      <c r="F967" s="4"/>
      <c r="G967" s="4"/>
      <c r="H967" s="4"/>
      <c r="I967" s="4"/>
      <c r="J967" s="4"/>
      <c r="K967" s="242"/>
      <c r="L967" s="4"/>
      <c r="M967" s="4"/>
      <c r="N967" s="4"/>
      <c r="O967" s="4"/>
      <c r="P967" s="4"/>
      <c r="Q967" s="4"/>
      <c r="R967" s="4"/>
      <c r="S967" s="4"/>
      <c r="T967" s="4"/>
      <c r="U967" s="4"/>
      <c r="V967" s="4"/>
      <c r="W967" s="4"/>
      <c r="X967" s="4"/>
      <c r="Y967" s="4"/>
      <c r="Z967" s="4"/>
      <c r="AA967" s="4"/>
      <c r="AB967" s="4"/>
      <c r="AC967" s="4"/>
      <c r="AD967" s="4"/>
      <c r="AE967" s="4"/>
      <c r="AF967" s="4"/>
      <c r="AG967" s="4"/>
      <c r="AH967" s="4"/>
      <c r="AI967" s="4"/>
      <c r="AJ967" s="4"/>
      <c r="AK967" s="4"/>
      <c r="AL967" s="4"/>
      <c r="AM967" s="4"/>
      <c r="AN967" s="4"/>
      <c r="AO967" s="4"/>
      <c r="AP967" s="4"/>
      <c r="AQ967" s="4"/>
      <c r="AR967" s="4"/>
      <c r="AS967" s="4"/>
      <c r="AT967" s="4"/>
      <c r="AU967" s="4"/>
      <c r="AV967" s="4"/>
      <c r="AW967" s="4"/>
      <c r="AX967" s="4"/>
      <c r="AY967" s="4"/>
      <c r="AZ967" s="4"/>
      <c r="BA967" s="4"/>
      <c r="BB967" s="4"/>
      <c r="BC967" s="4"/>
      <c r="BD967" s="4"/>
      <c r="BE967" s="4"/>
      <c r="BF967" s="4"/>
      <c r="BG967" s="4"/>
      <c r="BH967" s="4"/>
      <c r="BI967" s="4"/>
      <c r="BJ967" s="4"/>
      <c r="BK967" s="4"/>
      <c r="BL967" s="4"/>
      <c r="BM967" s="4"/>
      <c r="BN967" s="4"/>
      <c r="BO967" s="4"/>
      <c r="BP967" s="4"/>
      <c r="BQ967" s="4"/>
      <c r="BR967" s="4"/>
      <c r="BS967" s="4"/>
      <c r="BT967" s="4"/>
      <c r="BU967" s="4"/>
      <c r="BV967" s="4"/>
      <c r="BW967" s="4"/>
      <c r="BX967" s="4"/>
      <c r="BY967" s="4"/>
      <c r="BZ967" s="4"/>
      <c r="CA967" s="4"/>
      <c r="CB967" s="4"/>
      <c r="CC967" s="4"/>
      <c r="CD967" s="4"/>
      <c r="CE967" s="4"/>
      <c r="CF967" s="4"/>
      <c r="CG967" s="4"/>
      <c r="CH967" s="4"/>
      <c r="CI967" s="4"/>
    </row>
    <row r="968" ht="14.25" customHeight="1" spans="1:87" x14ac:dyDescent="0.25">
      <c r="A968" s="4"/>
      <c r="B968" s="4"/>
      <c r="C968" s="4"/>
      <c r="D968" s="4"/>
      <c r="E968" s="4"/>
      <c r="F968" s="4"/>
      <c r="G968" s="4"/>
      <c r="H968" s="4"/>
      <c r="I968" s="4"/>
      <c r="J968" s="4"/>
      <c r="K968" s="242"/>
      <c r="L968" s="4"/>
      <c r="M968" s="4"/>
      <c r="N968" s="4"/>
      <c r="O968" s="4"/>
      <c r="P968" s="4"/>
      <c r="Q968" s="4"/>
      <c r="R968" s="4"/>
      <c r="S968" s="4"/>
      <c r="T968" s="4"/>
      <c r="U968" s="4"/>
      <c r="V968" s="4"/>
      <c r="W968" s="4"/>
      <c r="X968" s="4"/>
      <c r="Y968" s="4"/>
      <c r="Z968" s="4"/>
      <c r="AA968" s="4"/>
      <c r="AB968" s="4"/>
      <c r="AC968" s="4"/>
      <c r="AD968" s="4"/>
      <c r="AE968" s="4"/>
      <c r="AF968" s="4"/>
      <c r="AG968" s="4"/>
      <c r="AH968" s="4"/>
      <c r="AI968" s="4"/>
      <c r="AJ968" s="4"/>
      <c r="AK968" s="4"/>
      <c r="AL968" s="4"/>
      <c r="AM968" s="4"/>
      <c r="AN968" s="4"/>
      <c r="AO968" s="4"/>
      <c r="AP968" s="4"/>
      <c r="AQ968" s="4"/>
      <c r="AR968" s="4"/>
      <c r="AS968" s="4"/>
      <c r="AT968" s="4"/>
      <c r="AU968" s="4"/>
      <c r="AV968" s="4"/>
      <c r="AW968" s="4"/>
      <c r="AX968" s="4"/>
      <c r="AY968" s="4"/>
      <c r="AZ968" s="4"/>
      <c r="BA968" s="4"/>
      <c r="BB968" s="4"/>
      <c r="BC968" s="4"/>
      <c r="BD968" s="4"/>
      <c r="BE968" s="4"/>
      <c r="BF968" s="4"/>
      <c r="BG968" s="4"/>
      <c r="BH968" s="4"/>
      <c r="BI968" s="4"/>
      <c r="BJ968" s="4"/>
      <c r="BK968" s="4"/>
      <c r="BL968" s="4"/>
      <c r="BM968" s="4"/>
      <c r="BN968" s="4"/>
      <c r="BO968" s="4"/>
      <c r="BP968" s="4"/>
      <c r="BQ968" s="4"/>
      <c r="BR968" s="4"/>
      <c r="BS968" s="4"/>
      <c r="BT968" s="4"/>
      <c r="BU968" s="4"/>
      <c r="BV968" s="4"/>
      <c r="BW968" s="4"/>
      <c r="BX968" s="4"/>
      <c r="BY968" s="4"/>
      <c r="BZ968" s="4"/>
      <c r="CA968" s="4"/>
      <c r="CB968" s="4"/>
      <c r="CC968" s="4"/>
      <c r="CD968" s="4"/>
      <c r="CE968" s="4"/>
      <c r="CF968" s="4"/>
      <c r="CG968" s="4"/>
      <c r="CH968" s="4"/>
      <c r="CI968" s="4"/>
    </row>
    <row r="969" ht="14.25" customHeight="1" spans="1:87" x14ac:dyDescent="0.25">
      <c r="A969" s="4"/>
      <c r="B969" s="4"/>
      <c r="C969" s="4"/>
      <c r="D969" s="4"/>
      <c r="E969" s="4"/>
      <c r="F969" s="4"/>
      <c r="G969" s="4"/>
      <c r="H969" s="4"/>
      <c r="I969" s="4"/>
      <c r="J969" s="4"/>
      <c r="K969" s="242"/>
      <c r="L969" s="4"/>
      <c r="M969" s="4"/>
      <c r="N969" s="4"/>
      <c r="O969" s="4"/>
      <c r="P969" s="4"/>
      <c r="Q969" s="4"/>
      <c r="R969" s="4"/>
      <c r="S969" s="4"/>
      <c r="T969" s="4"/>
      <c r="U969" s="4"/>
      <c r="V969" s="4"/>
      <c r="W969" s="4"/>
      <c r="X969" s="4"/>
      <c r="Y969" s="4"/>
      <c r="Z969" s="4"/>
      <c r="AA969" s="4"/>
      <c r="AB969" s="4"/>
      <c r="AC969" s="4"/>
      <c r="AD969" s="4"/>
      <c r="AE969" s="4"/>
      <c r="AF969" s="4"/>
      <c r="AG969" s="4"/>
      <c r="AH969" s="4"/>
      <c r="AI969" s="4"/>
      <c r="AJ969" s="4"/>
      <c r="AK969" s="4"/>
      <c r="AL969" s="4"/>
      <c r="AM969" s="4"/>
      <c r="AN969" s="4"/>
      <c r="AO969" s="4"/>
      <c r="AP969" s="4"/>
      <c r="AQ969" s="4"/>
      <c r="AR969" s="4"/>
      <c r="AS969" s="4"/>
      <c r="AT969" s="4"/>
      <c r="AU969" s="4"/>
      <c r="AV969" s="4"/>
      <c r="AW969" s="4"/>
      <c r="AX969" s="4"/>
      <c r="AY969" s="4"/>
      <c r="AZ969" s="4"/>
      <c r="BA969" s="4"/>
      <c r="BB969" s="4"/>
      <c r="BC969" s="4"/>
      <c r="BD969" s="4"/>
      <c r="BE969" s="4"/>
      <c r="BF969" s="4"/>
      <c r="BG969" s="4"/>
      <c r="BH969" s="4"/>
      <c r="BI969" s="4"/>
      <c r="BJ969" s="4"/>
      <c r="BK969" s="4"/>
      <c r="BL969" s="4"/>
      <c r="BM969" s="4"/>
      <c r="BN969" s="4"/>
      <c r="BO969" s="4"/>
      <c r="BP969" s="4"/>
      <c r="BQ969" s="4"/>
      <c r="BR969" s="4"/>
      <c r="BS969" s="4"/>
      <c r="BT969" s="4"/>
      <c r="BU969" s="4"/>
      <c r="BV969" s="4"/>
      <c r="BW969" s="4"/>
      <c r="BX969" s="4"/>
      <c r="BY969" s="4"/>
      <c r="BZ969" s="4"/>
      <c r="CA969" s="4"/>
      <c r="CB969" s="4"/>
      <c r="CC969" s="4"/>
      <c r="CD969" s="4"/>
      <c r="CE969" s="4"/>
      <c r="CF969" s="4"/>
      <c r="CG969" s="4"/>
      <c r="CH969" s="4"/>
      <c r="CI969" s="4"/>
    </row>
    <row r="970" ht="14.25" customHeight="1" spans="1:87" x14ac:dyDescent="0.25">
      <c r="A970" s="4"/>
      <c r="B970" s="4"/>
      <c r="C970" s="4"/>
      <c r="D970" s="4"/>
      <c r="E970" s="4"/>
      <c r="F970" s="4"/>
      <c r="G970" s="4"/>
      <c r="H970" s="4"/>
      <c r="I970" s="4"/>
      <c r="J970" s="4"/>
      <c r="K970" s="242"/>
      <c r="L970" s="4"/>
      <c r="M970" s="4"/>
      <c r="N970" s="4"/>
      <c r="O970" s="4"/>
      <c r="P970" s="4"/>
      <c r="Q970" s="4"/>
      <c r="R970" s="4"/>
      <c r="S970" s="4"/>
      <c r="T970" s="4"/>
      <c r="U970" s="4"/>
      <c r="V970" s="4"/>
      <c r="W970" s="4"/>
      <c r="X970" s="4"/>
      <c r="Y970" s="4"/>
      <c r="Z970" s="4"/>
      <c r="AA970" s="4"/>
      <c r="AB970" s="4"/>
      <c r="AC970" s="4"/>
      <c r="AD970" s="4"/>
      <c r="AE970" s="4"/>
      <c r="AF970" s="4"/>
      <c r="AG970" s="4"/>
      <c r="AH970" s="4"/>
      <c r="AI970" s="4"/>
      <c r="AJ970" s="4"/>
      <c r="AK970" s="4"/>
      <c r="AL970" s="4"/>
      <c r="AM970" s="4"/>
      <c r="AN970" s="4"/>
      <c r="AO970" s="4"/>
      <c r="AP970" s="4"/>
      <c r="AQ970" s="4"/>
      <c r="AR970" s="4"/>
      <c r="AS970" s="4"/>
      <c r="AT970" s="4"/>
      <c r="AU970" s="4"/>
      <c r="AV970" s="4"/>
      <c r="AW970" s="4"/>
      <c r="AX970" s="4"/>
      <c r="AY970" s="4"/>
      <c r="AZ970" s="4"/>
      <c r="BA970" s="4"/>
      <c r="BB970" s="4"/>
      <c r="BC970" s="4"/>
      <c r="BD970" s="4"/>
      <c r="BE970" s="4"/>
      <c r="BF970" s="4"/>
      <c r="BG970" s="4"/>
      <c r="BH970" s="4"/>
      <c r="BI970" s="4"/>
      <c r="BJ970" s="4"/>
      <c r="BK970" s="4"/>
      <c r="BL970" s="4"/>
      <c r="BM970" s="4"/>
      <c r="BN970" s="4"/>
      <c r="BO970" s="4"/>
      <c r="BP970" s="4"/>
      <c r="BQ970" s="4"/>
      <c r="BR970" s="4"/>
      <c r="BS970" s="4"/>
      <c r="BT970" s="4"/>
      <c r="BU970" s="4"/>
      <c r="BV970" s="4"/>
      <c r="BW970" s="4"/>
      <c r="BX970" s="4"/>
      <c r="BY970" s="4"/>
      <c r="BZ970" s="4"/>
      <c r="CA970" s="4"/>
      <c r="CB970" s="4"/>
      <c r="CC970" s="4"/>
      <c r="CD970" s="4"/>
      <c r="CE970" s="4"/>
      <c r="CF970" s="4"/>
      <c r="CG970" s="4"/>
      <c r="CH970" s="4"/>
      <c r="CI970" s="4"/>
    </row>
    <row r="971" ht="14.25" customHeight="1" spans="1:87" x14ac:dyDescent="0.25">
      <c r="A971" s="4"/>
      <c r="B971" s="4"/>
      <c r="C971" s="4"/>
      <c r="D971" s="4"/>
      <c r="E971" s="4"/>
      <c r="F971" s="4"/>
      <c r="G971" s="4"/>
      <c r="H971" s="4"/>
      <c r="I971" s="4"/>
      <c r="J971" s="4"/>
      <c r="K971" s="242"/>
      <c r="L971" s="4"/>
      <c r="M971" s="4"/>
      <c r="N971" s="4"/>
      <c r="O971" s="4"/>
      <c r="P971" s="4"/>
      <c r="Q971" s="4"/>
      <c r="R971" s="4"/>
      <c r="S971" s="4"/>
      <c r="T971" s="4"/>
      <c r="U971" s="4"/>
      <c r="V971" s="4"/>
      <c r="W971" s="4"/>
      <c r="X971" s="4"/>
      <c r="Y971" s="4"/>
      <c r="Z971" s="4"/>
      <c r="AA971" s="4"/>
      <c r="AB971" s="4"/>
      <c r="AC971" s="4"/>
      <c r="AD971" s="4"/>
      <c r="AE971" s="4"/>
      <c r="AF971" s="4"/>
      <c r="AG971" s="4"/>
      <c r="AH971" s="4"/>
      <c r="AI971" s="4"/>
      <c r="AJ971" s="4"/>
      <c r="AK971" s="4"/>
      <c r="AL971" s="4"/>
      <c r="AM971" s="4"/>
      <c r="AN971" s="4"/>
      <c r="AO971" s="4"/>
      <c r="AP971" s="4"/>
      <c r="AQ971" s="4"/>
      <c r="AR971" s="4"/>
      <c r="AS971" s="4"/>
      <c r="AT971" s="4"/>
      <c r="AU971" s="4"/>
      <c r="AV971" s="4"/>
      <c r="AW971" s="4"/>
      <c r="AX971" s="4"/>
      <c r="AY971" s="4"/>
      <c r="AZ971" s="4"/>
      <c r="BA971" s="4"/>
      <c r="BB971" s="4"/>
      <c r="BC971" s="4"/>
      <c r="BD971" s="4"/>
      <c r="BE971" s="4"/>
      <c r="BF971" s="4"/>
      <c r="BG971" s="4"/>
      <c r="BH971" s="4"/>
      <c r="BI971" s="4"/>
      <c r="BJ971" s="4"/>
      <c r="BK971" s="4"/>
      <c r="BL971" s="4"/>
      <c r="BM971" s="4"/>
      <c r="BN971" s="4"/>
      <c r="BO971" s="4"/>
      <c r="BP971" s="4"/>
      <c r="BQ971" s="4"/>
      <c r="BR971" s="4"/>
      <c r="BS971" s="4"/>
      <c r="BT971" s="4"/>
      <c r="BU971" s="4"/>
      <c r="BV971" s="4"/>
      <c r="BW971" s="4"/>
      <c r="BX971" s="4"/>
      <c r="BY971" s="4"/>
      <c r="BZ971" s="4"/>
      <c r="CA971" s="4"/>
      <c r="CB971" s="4"/>
      <c r="CC971" s="4"/>
      <c r="CD971" s="4"/>
      <c r="CE971" s="4"/>
      <c r="CF971" s="4"/>
      <c r="CG971" s="4"/>
      <c r="CH971" s="4"/>
      <c r="CI971" s="4"/>
    </row>
    <row r="972" ht="14.25" customHeight="1" spans="1:87" x14ac:dyDescent="0.25">
      <c r="A972" s="4"/>
      <c r="B972" s="4"/>
      <c r="C972" s="4"/>
      <c r="D972" s="4"/>
      <c r="E972" s="4"/>
      <c r="F972" s="4"/>
      <c r="G972" s="4"/>
      <c r="H972" s="4"/>
      <c r="I972" s="4"/>
      <c r="J972" s="4"/>
      <c r="K972" s="242"/>
      <c r="L972" s="4"/>
      <c r="M972" s="4"/>
      <c r="N972" s="4"/>
      <c r="O972" s="4"/>
      <c r="P972" s="4"/>
      <c r="Q972" s="4"/>
      <c r="R972" s="4"/>
      <c r="S972" s="4"/>
      <c r="T972" s="4"/>
      <c r="U972" s="4"/>
      <c r="V972" s="4"/>
      <c r="W972" s="4"/>
      <c r="X972" s="4"/>
      <c r="Y972" s="4"/>
      <c r="Z972" s="4"/>
      <c r="AA972" s="4"/>
      <c r="AB972" s="4"/>
      <c r="AC972" s="4"/>
      <c r="AD972" s="4"/>
      <c r="AE972" s="4"/>
      <c r="AF972" s="4"/>
      <c r="AG972" s="4"/>
      <c r="AH972" s="4"/>
      <c r="AI972" s="4"/>
      <c r="AJ972" s="4"/>
      <c r="AK972" s="4"/>
      <c r="AL972" s="4"/>
      <c r="AM972" s="4"/>
      <c r="AN972" s="4"/>
      <c r="AO972" s="4"/>
      <c r="AP972" s="4"/>
      <c r="AQ972" s="4"/>
      <c r="AR972" s="4"/>
      <c r="AS972" s="4"/>
      <c r="AT972" s="4"/>
      <c r="AU972" s="4"/>
      <c r="AV972" s="4"/>
      <c r="AW972" s="4"/>
      <c r="AX972" s="4"/>
      <c r="AY972" s="4"/>
      <c r="AZ972" s="4"/>
      <c r="BA972" s="4"/>
      <c r="BB972" s="4"/>
      <c r="BC972" s="4"/>
      <c r="BD972" s="4"/>
      <c r="BE972" s="4"/>
      <c r="BF972" s="4"/>
      <c r="BG972" s="4"/>
      <c r="BH972" s="4"/>
      <c r="BI972" s="4"/>
      <c r="BJ972" s="4"/>
      <c r="BK972" s="4"/>
      <c r="BL972" s="4"/>
      <c r="BM972" s="4"/>
      <c r="BN972" s="4"/>
      <c r="BO972" s="4"/>
      <c r="BP972" s="4"/>
      <c r="BQ972" s="4"/>
      <c r="BR972" s="4"/>
      <c r="BS972" s="4"/>
      <c r="BT972" s="4"/>
      <c r="BU972" s="4"/>
      <c r="BV972" s="4"/>
      <c r="BW972" s="4"/>
      <c r="BX972" s="4"/>
      <c r="BY972" s="4"/>
      <c r="BZ972" s="4"/>
      <c r="CA972" s="4"/>
      <c r="CB972" s="4"/>
      <c r="CC972" s="4"/>
      <c r="CD972" s="4"/>
      <c r="CE972" s="4"/>
      <c r="CF972" s="4"/>
      <c r="CG972" s="4"/>
      <c r="CH972" s="4"/>
      <c r="CI972" s="4"/>
    </row>
    <row r="973" ht="14.25" customHeight="1" spans="1:87" x14ac:dyDescent="0.25">
      <c r="A973" s="4"/>
      <c r="B973" s="4"/>
      <c r="C973" s="4"/>
      <c r="D973" s="4"/>
      <c r="E973" s="4"/>
      <c r="F973" s="4"/>
      <c r="G973" s="4"/>
      <c r="H973" s="4"/>
      <c r="I973" s="4"/>
      <c r="J973" s="4"/>
      <c r="K973" s="242"/>
      <c r="L973" s="4"/>
      <c r="M973" s="4"/>
      <c r="N973" s="4"/>
      <c r="O973" s="4"/>
      <c r="P973" s="4"/>
      <c r="Q973" s="4"/>
      <c r="R973" s="4"/>
      <c r="S973" s="4"/>
      <c r="T973" s="4"/>
      <c r="U973" s="4"/>
      <c r="V973" s="4"/>
      <c r="W973" s="4"/>
      <c r="X973" s="4"/>
      <c r="Y973" s="4"/>
      <c r="Z973" s="4"/>
      <c r="AA973" s="4"/>
      <c r="AB973" s="4"/>
      <c r="AC973" s="4"/>
      <c r="AD973" s="4"/>
      <c r="AE973" s="4"/>
      <c r="AF973" s="4"/>
      <c r="AG973" s="4"/>
      <c r="AH973" s="4"/>
      <c r="AI973" s="4"/>
      <c r="AJ973" s="4"/>
      <c r="AK973" s="4"/>
      <c r="AL973" s="4"/>
      <c r="AM973" s="4"/>
      <c r="AN973" s="4"/>
      <c r="AO973" s="4"/>
      <c r="AP973" s="4"/>
      <c r="AQ973" s="4"/>
      <c r="AR973" s="4"/>
      <c r="AS973" s="4"/>
      <c r="AT973" s="4"/>
      <c r="AU973" s="4"/>
      <c r="AV973" s="4"/>
      <c r="AW973" s="4"/>
      <c r="AX973" s="4"/>
      <c r="AY973" s="4"/>
      <c r="AZ973" s="4"/>
      <c r="BA973" s="4"/>
      <c r="BB973" s="4"/>
      <c r="BC973" s="4"/>
      <c r="BD973" s="4"/>
      <c r="BE973" s="4"/>
      <c r="BF973" s="4"/>
      <c r="BG973" s="4"/>
      <c r="BH973" s="4"/>
      <c r="BI973" s="4"/>
      <c r="BJ973" s="4"/>
      <c r="BK973" s="4"/>
      <c r="BL973" s="4"/>
      <c r="BM973" s="4"/>
      <c r="BN973" s="4"/>
      <c r="BO973" s="4"/>
      <c r="BP973" s="4"/>
      <c r="BQ973" s="4"/>
      <c r="BR973" s="4"/>
      <c r="BS973" s="4"/>
      <c r="BT973" s="4"/>
      <c r="BU973" s="4"/>
      <c r="BV973" s="4"/>
      <c r="BW973" s="4"/>
      <c r="BX973" s="4"/>
      <c r="BY973" s="4"/>
      <c r="BZ973" s="4"/>
      <c r="CA973" s="4"/>
      <c r="CB973" s="4"/>
      <c r="CC973" s="4"/>
      <c r="CD973" s="4"/>
      <c r="CE973" s="4"/>
      <c r="CF973" s="4"/>
      <c r="CG973" s="4"/>
      <c r="CH973" s="4"/>
      <c r="CI973" s="4"/>
    </row>
    <row r="974" ht="14.25" customHeight="1" spans="1:87" x14ac:dyDescent="0.25">
      <c r="A974" s="4"/>
      <c r="B974" s="4"/>
      <c r="C974" s="4"/>
      <c r="D974" s="4"/>
      <c r="E974" s="4"/>
      <c r="F974" s="4"/>
      <c r="G974" s="4"/>
      <c r="H974" s="4"/>
      <c r="I974" s="4"/>
      <c r="J974" s="4"/>
      <c r="K974" s="242"/>
      <c r="L974" s="4"/>
      <c r="M974" s="4"/>
      <c r="N974" s="4"/>
      <c r="O974" s="4"/>
      <c r="P974" s="4"/>
      <c r="Q974" s="4"/>
      <c r="R974" s="4"/>
      <c r="S974" s="4"/>
      <c r="T974" s="4"/>
      <c r="U974" s="4"/>
      <c r="V974" s="4"/>
      <c r="W974" s="4"/>
      <c r="X974" s="4"/>
      <c r="Y974" s="4"/>
      <c r="Z974" s="4"/>
      <c r="AA974" s="4"/>
      <c r="AB974" s="4"/>
      <c r="AC974" s="4"/>
      <c r="AD974" s="4"/>
      <c r="AE974" s="4"/>
      <c r="AF974" s="4"/>
      <c r="AG974" s="4"/>
      <c r="AH974" s="4"/>
      <c r="AI974" s="4"/>
      <c r="AJ974" s="4"/>
      <c r="AK974" s="4"/>
      <c r="AL974" s="4"/>
      <c r="AM974" s="4"/>
      <c r="AN974" s="4"/>
      <c r="AO974" s="4"/>
      <c r="AP974" s="4"/>
      <c r="AQ974" s="4"/>
      <c r="AR974" s="4"/>
      <c r="AS974" s="4"/>
      <c r="AT974" s="4"/>
      <c r="AU974" s="4"/>
      <c r="AV974" s="4"/>
      <c r="AW974" s="4"/>
      <c r="AX974" s="4"/>
      <c r="AY974" s="4"/>
      <c r="AZ974" s="4"/>
      <c r="BA974" s="4"/>
      <c r="BB974" s="4"/>
      <c r="BC974" s="4"/>
      <c r="BD974" s="4"/>
      <c r="BE974" s="4"/>
      <c r="BF974" s="4"/>
      <c r="BG974" s="4"/>
      <c r="BH974" s="4"/>
      <c r="BI974" s="4"/>
      <c r="BJ974" s="4"/>
      <c r="BK974" s="4"/>
      <c r="BL974" s="4"/>
      <c r="BM974" s="4"/>
      <c r="BN974" s="4"/>
      <c r="BO974" s="4"/>
      <c r="BP974" s="4"/>
      <c r="BQ974" s="4"/>
      <c r="BR974" s="4"/>
      <c r="BS974" s="4"/>
      <c r="BT974" s="4"/>
      <c r="BU974" s="4"/>
      <c r="BV974" s="4"/>
      <c r="BW974" s="4"/>
      <c r="BX974" s="4"/>
      <c r="BY974" s="4"/>
      <c r="BZ974" s="4"/>
      <c r="CA974" s="4"/>
      <c r="CB974" s="4"/>
      <c r="CC974" s="4"/>
      <c r="CD974" s="4"/>
      <c r="CE974" s="4"/>
      <c r="CF974" s="4"/>
      <c r="CG974" s="4"/>
      <c r="CH974" s="4"/>
      <c r="CI974" s="4"/>
    </row>
    <row r="975" ht="14.25" customHeight="1" spans="1:87" x14ac:dyDescent="0.25">
      <c r="A975" s="4"/>
      <c r="B975" s="4"/>
      <c r="C975" s="4"/>
      <c r="D975" s="4"/>
      <c r="E975" s="4"/>
      <c r="F975" s="4"/>
      <c r="G975" s="4"/>
      <c r="H975" s="4"/>
      <c r="I975" s="4"/>
      <c r="J975" s="4"/>
      <c r="K975" s="242"/>
      <c r="L975" s="4"/>
      <c r="M975" s="4"/>
      <c r="N975" s="4"/>
      <c r="O975" s="4"/>
      <c r="P975" s="4"/>
      <c r="Q975" s="4"/>
      <c r="R975" s="4"/>
      <c r="S975" s="4"/>
      <c r="T975" s="4"/>
      <c r="U975" s="4"/>
      <c r="V975" s="4"/>
      <c r="W975" s="4"/>
      <c r="X975" s="4"/>
      <c r="Y975" s="4"/>
      <c r="Z975" s="4"/>
      <c r="AA975" s="4"/>
      <c r="AB975" s="4"/>
      <c r="AC975" s="4"/>
      <c r="AD975" s="4"/>
      <c r="AE975" s="4"/>
      <c r="AF975" s="4"/>
      <c r="AG975" s="4"/>
      <c r="AH975" s="4"/>
      <c r="AI975" s="4"/>
      <c r="AJ975" s="4"/>
      <c r="AK975" s="4"/>
      <c r="AL975" s="4"/>
      <c r="AM975" s="4"/>
      <c r="AN975" s="4"/>
      <c r="AO975" s="4"/>
      <c r="AP975" s="4"/>
      <c r="AQ975" s="4"/>
      <c r="AR975" s="4"/>
      <c r="AS975" s="4"/>
      <c r="AT975" s="4"/>
      <c r="AU975" s="4"/>
      <c r="AV975" s="4"/>
      <c r="AW975" s="4"/>
      <c r="AX975" s="4"/>
      <c r="AY975" s="4"/>
      <c r="AZ975" s="4"/>
      <c r="BA975" s="4"/>
      <c r="BB975" s="4"/>
      <c r="BC975" s="4"/>
      <c r="BD975" s="4"/>
      <c r="BE975" s="4"/>
      <c r="BF975" s="4"/>
      <c r="BG975" s="4"/>
      <c r="BH975" s="4"/>
      <c r="BI975" s="4"/>
      <c r="BJ975" s="4"/>
      <c r="BK975" s="4"/>
      <c r="BL975" s="4"/>
      <c r="BM975" s="4"/>
      <c r="BN975" s="4"/>
      <c r="BO975" s="4"/>
      <c r="BP975" s="4"/>
      <c r="BQ975" s="4"/>
      <c r="BR975" s="4"/>
      <c r="BS975" s="4"/>
      <c r="BT975" s="4"/>
      <c r="BU975" s="4"/>
      <c r="BV975" s="4"/>
      <c r="BW975" s="4"/>
      <c r="BX975" s="4"/>
      <c r="BY975" s="4"/>
      <c r="BZ975" s="4"/>
      <c r="CA975" s="4"/>
      <c r="CB975" s="4"/>
      <c r="CC975" s="4"/>
      <c r="CD975" s="4"/>
      <c r="CE975" s="4"/>
      <c r="CF975" s="4"/>
      <c r="CG975" s="4"/>
      <c r="CH975" s="4"/>
      <c r="CI975" s="4"/>
    </row>
    <row r="976" ht="14.25" customHeight="1" spans="1:87" x14ac:dyDescent="0.25">
      <c r="A976" s="4"/>
      <c r="B976" s="4"/>
      <c r="C976" s="4"/>
      <c r="D976" s="4"/>
      <c r="E976" s="4"/>
      <c r="F976" s="4"/>
      <c r="G976" s="4"/>
      <c r="H976" s="4"/>
      <c r="I976" s="4"/>
      <c r="J976" s="4"/>
      <c r="K976" s="242"/>
      <c r="L976" s="4"/>
      <c r="M976" s="4"/>
      <c r="N976" s="4"/>
      <c r="O976" s="4"/>
      <c r="P976" s="4"/>
      <c r="Q976" s="4"/>
      <c r="R976" s="4"/>
      <c r="S976" s="4"/>
      <c r="T976" s="4"/>
      <c r="U976" s="4"/>
      <c r="V976" s="4"/>
      <c r="W976" s="4"/>
      <c r="X976" s="4"/>
      <c r="Y976" s="4"/>
      <c r="Z976" s="4"/>
      <c r="AA976" s="4"/>
      <c r="AB976" s="4"/>
      <c r="AC976" s="4"/>
      <c r="AD976" s="4"/>
      <c r="AE976" s="4"/>
      <c r="AF976" s="4"/>
      <c r="AG976" s="4"/>
      <c r="AH976" s="4"/>
      <c r="AI976" s="4"/>
      <c r="AJ976" s="4"/>
      <c r="AK976" s="4"/>
      <c r="AL976" s="4"/>
      <c r="AM976" s="4"/>
      <c r="AN976" s="4"/>
      <c r="AO976" s="4"/>
      <c r="AP976" s="4"/>
      <c r="AQ976" s="4"/>
      <c r="AR976" s="4"/>
      <c r="AS976" s="4"/>
      <c r="AT976" s="4"/>
      <c r="AU976" s="4"/>
      <c r="AV976" s="4"/>
      <c r="AW976" s="4"/>
      <c r="AX976" s="4"/>
      <c r="AY976" s="4"/>
      <c r="AZ976" s="4"/>
      <c r="BA976" s="4"/>
      <c r="BB976" s="4"/>
      <c r="BC976" s="4"/>
      <c r="BD976" s="4"/>
      <c r="BE976" s="4"/>
      <c r="BF976" s="4"/>
      <c r="BG976" s="4"/>
      <c r="BH976" s="4"/>
      <c r="BI976" s="4"/>
      <c r="BJ976" s="4"/>
      <c r="BK976" s="4"/>
      <c r="BL976" s="4"/>
      <c r="BM976" s="4"/>
      <c r="BN976" s="4"/>
      <c r="BO976" s="4"/>
      <c r="BP976" s="4"/>
      <c r="BQ976" s="4"/>
      <c r="BR976" s="4"/>
      <c r="BS976" s="4"/>
      <c r="BT976" s="4"/>
      <c r="BU976" s="4"/>
      <c r="BV976" s="4"/>
      <c r="BW976" s="4"/>
      <c r="BX976" s="4"/>
      <c r="BY976" s="4"/>
      <c r="BZ976" s="4"/>
      <c r="CA976" s="4"/>
      <c r="CB976" s="4"/>
      <c r="CC976" s="4"/>
      <c r="CD976" s="4"/>
      <c r="CE976" s="4"/>
      <c r="CF976" s="4"/>
      <c r="CG976" s="4"/>
      <c r="CH976" s="4"/>
      <c r="CI976" s="4"/>
    </row>
    <row r="977" ht="14.25" customHeight="1" spans="1:87" x14ac:dyDescent="0.25">
      <c r="A977" s="4"/>
      <c r="B977" s="4"/>
      <c r="C977" s="4"/>
      <c r="D977" s="4"/>
      <c r="E977" s="4"/>
      <c r="F977" s="4"/>
      <c r="G977" s="4"/>
      <c r="H977" s="4"/>
      <c r="I977" s="4"/>
      <c r="J977" s="4"/>
      <c r="K977" s="242"/>
      <c r="L977" s="4"/>
      <c r="M977" s="4"/>
      <c r="N977" s="4"/>
      <c r="O977" s="4"/>
      <c r="P977" s="4"/>
      <c r="Q977" s="4"/>
      <c r="R977" s="4"/>
      <c r="S977" s="4"/>
      <c r="T977" s="4"/>
      <c r="U977" s="4"/>
      <c r="V977" s="4"/>
      <c r="W977" s="4"/>
      <c r="X977" s="4"/>
      <c r="Y977" s="4"/>
      <c r="Z977" s="4"/>
      <c r="AA977" s="4"/>
      <c r="AB977" s="4"/>
      <c r="AC977" s="4"/>
      <c r="AD977" s="4"/>
      <c r="AE977" s="4"/>
      <c r="AF977" s="4"/>
      <c r="AG977" s="4"/>
      <c r="AH977" s="4"/>
      <c r="AI977" s="4"/>
      <c r="AJ977" s="4"/>
      <c r="AK977" s="4"/>
      <c r="AL977" s="4"/>
      <c r="AM977" s="4"/>
      <c r="AN977" s="4"/>
      <c r="AO977" s="4"/>
      <c r="AP977" s="4"/>
      <c r="AQ977" s="4"/>
      <c r="AR977" s="4"/>
      <c r="AS977" s="4"/>
      <c r="AT977" s="4"/>
      <c r="AU977" s="4"/>
      <c r="AV977" s="4"/>
      <c r="AW977" s="4"/>
      <c r="AX977" s="4"/>
      <c r="AY977" s="4"/>
      <c r="AZ977" s="4"/>
      <c r="BA977" s="4"/>
      <c r="BB977" s="4"/>
      <c r="BC977" s="4"/>
      <c r="BD977" s="4"/>
      <c r="BE977" s="4"/>
      <c r="BF977" s="4"/>
      <c r="BG977" s="4"/>
      <c r="BH977" s="4"/>
      <c r="BI977" s="4"/>
      <c r="BJ977" s="4"/>
      <c r="BK977" s="4"/>
      <c r="BL977" s="4"/>
      <c r="BM977" s="4"/>
      <c r="BN977" s="4"/>
      <c r="BO977" s="4"/>
      <c r="BP977" s="4"/>
      <c r="BQ977" s="4"/>
      <c r="BR977" s="4"/>
      <c r="BS977" s="4"/>
      <c r="BT977" s="4"/>
      <c r="BU977" s="4"/>
      <c r="BV977" s="4"/>
      <c r="BW977" s="4"/>
      <c r="BX977" s="4"/>
      <c r="BY977" s="4"/>
      <c r="BZ977" s="4"/>
      <c r="CA977" s="4"/>
      <c r="CB977" s="4"/>
      <c r="CC977" s="4"/>
      <c r="CD977" s="4"/>
      <c r="CE977" s="4"/>
      <c r="CF977" s="4"/>
      <c r="CG977" s="4"/>
      <c r="CH977" s="4"/>
      <c r="CI977" s="4"/>
    </row>
    <row r="978" ht="14.25" customHeight="1" spans="1:87" x14ac:dyDescent="0.25">
      <c r="A978" s="4"/>
      <c r="B978" s="4"/>
      <c r="C978" s="4"/>
      <c r="D978" s="4"/>
      <c r="E978" s="4"/>
      <c r="F978" s="4"/>
      <c r="G978" s="4"/>
      <c r="H978" s="4"/>
      <c r="I978" s="4"/>
      <c r="J978" s="4"/>
      <c r="K978" s="242"/>
      <c r="L978" s="4"/>
      <c r="M978" s="4"/>
      <c r="N978" s="4"/>
      <c r="O978" s="4"/>
      <c r="P978" s="4"/>
      <c r="Q978" s="4"/>
      <c r="R978" s="4"/>
      <c r="S978" s="4"/>
      <c r="T978" s="4"/>
      <c r="U978" s="4"/>
      <c r="V978" s="4"/>
      <c r="W978" s="4"/>
      <c r="X978" s="4"/>
      <c r="Y978" s="4"/>
      <c r="Z978" s="4"/>
      <c r="AA978" s="4"/>
      <c r="AB978" s="4"/>
      <c r="AC978" s="4"/>
      <c r="AD978" s="4"/>
      <c r="AE978" s="4"/>
      <c r="AF978" s="4"/>
      <c r="AG978" s="4"/>
      <c r="AH978" s="4"/>
      <c r="AI978" s="4"/>
      <c r="AJ978" s="4"/>
      <c r="AK978" s="4"/>
      <c r="AL978" s="4"/>
      <c r="AM978" s="4"/>
      <c r="AN978" s="4"/>
      <c r="AO978" s="4"/>
      <c r="AP978" s="4"/>
      <c r="AQ978" s="4"/>
      <c r="AR978" s="4"/>
      <c r="AS978" s="4"/>
      <c r="AT978" s="4"/>
      <c r="AU978" s="4"/>
      <c r="AV978" s="4"/>
      <c r="AW978" s="4"/>
      <c r="AX978" s="4"/>
      <c r="AY978" s="4"/>
      <c r="AZ978" s="4"/>
      <c r="BA978" s="4"/>
      <c r="BB978" s="4"/>
      <c r="BC978" s="4"/>
      <c r="BD978" s="4"/>
      <c r="BE978" s="4"/>
      <c r="BF978" s="4"/>
      <c r="BG978" s="4"/>
      <c r="BH978" s="4"/>
      <c r="BI978" s="4"/>
      <c r="BJ978" s="4"/>
      <c r="BK978" s="4"/>
      <c r="BL978" s="4"/>
      <c r="BM978" s="4"/>
      <c r="BN978" s="4"/>
      <c r="BO978" s="4"/>
      <c r="BP978" s="4"/>
      <c r="BQ978" s="4"/>
      <c r="BR978" s="4"/>
      <c r="BS978" s="4"/>
      <c r="BT978" s="4"/>
      <c r="BU978" s="4"/>
      <c r="BV978" s="4"/>
      <c r="BW978" s="4"/>
      <c r="BX978" s="4"/>
      <c r="BY978" s="4"/>
      <c r="BZ978" s="4"/>
      <c r="CA978" s="4"/>
      <c r="CB978" s="4"/>
      <c r="CC978" s="4"/>
      <c r="CD978" s="4"/>
      <c r="CE978" s="4"/>
      <c r="CF978" s="4"/>
      <c r="CG978" s="4"/>
      <c r="CH978" s="4"/>
      <c r="CI978" s="4"/>
    </row>
    <row r="979" ht="14.25" customHeight="1" spans="1:87" x14ac:dyDescent="0.25">
      <c r="A979" s="4"/>
      <c r="B979" s="4"/>
      <c r="C979" s="4"/>
      <c r="D979" s="4"/>
      <c r="E979" s="4"/>
      <c r="F979" s="4"/>
      <c r="G979" s="4"/>
      <c r="H979" s="4"/>
      <c r="I979" s="4"/>
      <c r="J979" s="4"/>
      <c r="K979" s="242"/>
      <c r="L979" s="4"/>
      <c r="M979" s="4"/>
      <c r="N979" s="4"/>
      <c r="O979" s="4"/>
      <c r="P979" s="4"/>
      <c r="Q979" s="4"/>
      <c r="R979" s="4"/>
      <c r="S979" s="4"/>
      <c r="T979" s="4"/>
      <c r="U979" s="4"/>
      <c r="V979" s="4"/>
      <c r="W979" s="4"/>
      <c r="X979" s="4"/>
      <c r="Y979" s="4"/>
      <c r="Z979" s="4"/>
      <c r="AA979" s="4"/>
      <c r="AB979" s="4"/>
      <c r="AC979" s="4"/>
      <c r="AD979" s="4"/>
      <c r="AE979" s="4"/>
      <c r="AF979" s="4"/>
      <c r="AG979" s="4"/>
      <c r="AH979" s="4"/>
      <c r="AI979" s="4"/>
      <c r="AJ979" s="4"/>
      <c r="AK979" s="4"/>
      <c r="AL979" s="4"/>
      <c r="AM979" s="4"/>
      <c r="AN979" s="4"/>
      <c r="AO979" s="4"/>
      <c r="AP979" s="4"/>
      <c r="AQ979" s="4"/>
      <c r="AR979" s="4"/>
      <c r="AS979" s="4"/>
      <c r="AT979" s="4"/>
      <c r="AU979" s="4"/>
      <c r="AV979" s="4"/>
      <c r="AW979" s="4"/>
      <c r="AX979" s="4"/>
      <c r="AY979" s="4"/>
      <c r="AZ979" s="4"/>
      <c r="BA979" s="4"/>
      <c r="BB979" s="4"/>
      <c r="BC979" s="4"/>
      <c r="BD979" s="4"/>
      <c r="BE979" s="4"/>
      <c r="BF979" s="4"/>
      <c r="BG979" s="4"/>
      <c r="BH979" s="4"/>
      <c r="BI979" s="4"/>
      <c r="BJ979" s="4"/>
      <c r="BK979" s="4"/>
      <c r="BL979" s="4"/>
      <c r="BM979" s="4"/>
      <c r="BN979" s="4"/>
      <c r="BO979" s="4"/>
      <c r="BP979" s="4"/>
      <c r="BQ979" s="4"/>
      <c r="BR979" s="4"/>
      <c r="BS979" s="4"/>
      <c r="BT979" s="4"/>
      <c r="BU979" s="4"/>
      <c r="BV979" s="4"/>
      <c r="BW979" s="4"/>
      <c r="BX979" s="4"/>
      <c r="BY979" s="4"/>
      <c r="BZ979" s="4"/>
      <c r="CA979" s="4"/>
      <c r="CB979" s="4"/>
      <c r="CC979" s="4"/>
      <c r="CD979" s="4"/>
      <c r="CE979" s="4"/>
      <c r="CF979" s="4"/>
      <c r="CG979" s="4"/>
      <c r="CH979" s="4"/>
      <c r="CI979" s="4"/>
    </row>
    <row r="980" ht="14.25" customHeight="1" spans="1:87" x14ac:dyDescent="0.25">
      <c r="A980" s="4"/>
      <c r="B980" s="4"/>
      <c r="C980" s="4"/>
      <c r="D980" s="4"/>
      <c r="E980" s="4"/>
      <c r="F980" s="4"/>
      <c r="G980" s="4"/>
      <c r="H980" s="4"/>
      <c r="I980" s="4"/>
      <c r="J980" s="4"/>
      <c r="K980" s="242"/>
      <c r="L980" s="4"/>
      <c r="M980" s="4"/>
      <c r="N980" s="4"/>
      <c r="O980" s="4"/>
      <c r="P980" s="4"/>
      <c r="Q980" s="4"/>
      <c r="R980" s="4"/>
      <c r="S980" s="4"/>
      <c r="T980" s="4"/>
      <c r="U980" s="4"/>
      <c r="V980" s="4"/>
      <c r="W980" s="4"/>
      <c r="X980" s="4"/>
      <c r="Y980" s="4"/>
      <c r="Z980" s="4"/>
      <c r="AA980" s="4"/>
      <c r="AB980" s="4"/>
      <c r="AC980" s="4"/>
      <c r="AD980" s="4"/>
      <c r="AE980" s="4"/>
      <c r="AF980" s="4"/>
      <c r="AG980" s="4"/>
      <c r="AH980" s="4"/>
      <c r="AI980" s="4"/>
      <c r="AJ980" s="4"/>
      <c r="AK980" s="4"/>
      <c r="AL980" s="4"/>
      <c r="AM980" s="4"/>
      <c r="AN980" s="4"/>
      <c r="AO980" s="4"/>
      <c r="AP980" s="4"/>
      <c r="AQ980" s="4"/>
      <c r="AR980" s="4"/>
      <c r="AS980" s="4"/>
      <c r="AT980" s="4"/>
      <c r="AU980" s="4"/>
      <c r="AV980" s="4"/>
      <c r="AW980" s="4"/>
      <c r="AX980" s="4"/>
      <c r="AY980" s="4"/>
      <c r="AZ980" s="4"/>
      <c r="BA980" s="4"/>
      <c r="BB980" s="4"/>
      <c r="BC980" s="4"/>
      <c r="BD980" s="4"/>
      <c r="BE980" s="4"/>
      <c r="BF980" s="4"/>
      <c r="BG980" s="4"/>
      <c r="BH980" s="4"/>
      <c r="BI980" s="4"/>
      <c r="BJ980" s="4"/>
      <c r="BK980" s="4"/>
      <c r="BL980" s="4"/>
      <c r="BM980" s="4"/>
      <c r="BN980" s="4"/>
      <c r="BO980" s="4"/>
      <c r="BP980" s="4"/>
      <c r="BQ980" s="4"/>
      <c r="BR980" s="4"/>
      <c r="BS980" s="4"/>
      <c r="BT980" s="4"/>
      <c r="BU980" s="4"/>
      <c r="BV980" s="4"/>
      <c r="BW980" s="4"/>
      <c r="BX980" s="4"/>
      <c r="BY980" s="4"/>
      <c r="BZ980" s="4"/>
      <c r="CA980" s="4"/>
      <c r="CB980" s="4"/>
      <c r="CC980" s="4"/>
      <c r="CD980" s="4"/>
      <c r="CE980" s="4"/>
      <c r="CF980" s="4"/>
      <c r="CG980" s="4"/>
      <c r="CH980" s="4"/>
      <c r="CI980" s="4"/>
    </row>
    <row r="981" ht="14.25" customHeight="1" spans="1:87" x14ac:dyDescent="0.25">
      <c r="A981" s="4"/>
      <c r="B981" s="4"/>
      <c r="C981" s="4"/>
      <c r="D981" s="4"/>
      <c r="E981" s="4"/>
      <c r="F981" s="4"/>
      <c r="G981" s="4"/>
      <c r="H981" s="4"/>
      <c r="I981" s="4"/>
      <c r="J981" s="4"/>
      <c r="K981" s="242"/>
      <c r="L981" s="4"/>
      <c r="M981" s="4"/>
      <c r="N981" s="4"/>
      <c r="O981" s="4"/>
      <c r="P981" s="4"/>
      <c r="Q981" s="4"/>
      <c r="R981" s="4"/>
      <c r="S981" s="4"/>
      <c r="T981" s="4"/>
      <c r="U981" s="4"/>
      <c r="V981" s="4"/>
      <c r="W981" s="4"/>
      <c r="X981" s="4"/>
      <c r="Y981" s="4"/>
      <c r="Z981" s="4"/>
      <c r="AA981" s="4"/>
      <c r="AB981" s="4"/>
      <c r="AC981" s="4"/>
      <c r="AD981" s="4"/>
      <c r="AE981" s="4"/>
      <c r="AF981" s="4"/>
      <c r="AG981" s="4"/>
      <c r="AH981" s="4"/>
      <c r="AI981" s="4"/>
      <c r="AJ981" s="4"/>
      <c r="AK981" s="4"/>
      <c r="AL981" s="4"/>
      <c r="AM981" s="4"/>
      <c r="AN981" s="4"/>
      <c r="AO981" s="4"/>
      <c r="AP981" s="4"/>
      <c r="AQ981" s="4"/>
      <c r="AR981" s="4"/>
      <c r="AS981" s="4"/>
      <c r="AT981" s="4"/>
      <c r="AU981" s="4"/>
      <c r="AV981" s="4"/>
      <c r="AW981" s="4"/>
      <c r="AX981" s="4"/>
      <c r="AY981" s="4"/>
      <c r="AZ981" s="4"/>
      <c r="BA981" s="4"/>
      <c r="BB981" s="4"/>
      <c r="BC981" s="4"/>
      <c r="BD981" s="4"/>
      <c r="BE981" s="4"/>
      <c r="BF981" s="4"/>
      <c r="BG981" s="4"/>
      <c r="BH981" s="4"/>
      <c r="BI981" s="4"/>
      <c r="BJ981" s="4"/>
      <c r="BK981" s="4"/>
      <c r="BL981" s="4"/>
      <c r="BM981" s="4"/>
      <c r="BN981" s="4"/>
      <c r="BO981" s="4"/>
      <c r="BP981" s="4"/>
      <c r="BQ981" s="4"/>
      <c r="BR981" s="4"/>
      <c r="BS981" s="4"/>
      <c r="BT981" s="4"/>
      <c r="BU981" s="4"/>
      <c r="BV981" s="4"/>
      <c r="BW981" s="4"/>
      <c r="BX981" s="4"/>
      <c r="BY981" s="4"/>
      <c r="BZ981" s="4"/>
      <c r="CA981" s="4"/>
      <c r="CB981" s="4"/>
      <c r="CC981" s="4"/>
      <c r="CD981" s="4"/>
      <c r="CE981" s="4"/>
      <c r="CF981" s="4"/>
      <c r="CG981" s="4"/>
      <c r="CH981" s="4"/>
      <c r="CI981" s="4"/>
    </row>
    <row r="982" ht="14.25" customHeight="1" spans="1:87" x14ac:dyDescent="0.25">
      <c r="A982" s="4"/>
      <c r="B982" s="4"/>
      <c r="C982" s="4"/>
      <c r="D982" s="4"/>
      <c r="E982" s="4"/>
      <c r="F982" s="4"/>
      <c r="G982" s="4"/>
      <c r="H982" s="4"/>
      <c r="I982" s="4"/>
      <c r="J982" s="4"/>
      <c r="K982" s="242"/>
      <c r="L982" s="4"/>
      <c r="M982" s="4"/>
      <c r="N982" s="4"/>
      <c r="O982" s="4"/>
      <c r="P982" s="4"/>
      <c r="Q982" s="4"/>
      <c r="R982" s="4"/>
      <c r="S982" s="4"/>
      <c r="T982" s="4"/>
      <c r="U982" s="4"/>
      <c r="V982" s="4"/>
      <c r="W982" s="4"/>
      <c r="X982" s="4"/>
      <c r="Y982" s="4"/>
      <c r="Z982" s="4"/>
      <c r="AA982" s="4"/>
      <c r="AB982" s="4"/>
      <c r="AC982" s="4"/>
      <c r="AD982" s="4"/>
      <c r="AE982" s="4"/>
      <c r="AF982" s="4"/>
      <c r="AG982" s="4"/>
      <c r="AH982" s="4"/>
      <c r="AI982" s="4"/>
      <c r="AJ982" s="4"/>
      <c r="AK982" s="4"/>
      <c r="AL982" s="4"/>
      <c r="AM982" s="4"/>
      <c r="AN982" s="4"/>
      <c r="AO982" s="4"/>
      <c r="AP982" s="4"/>
      <c r="AQ982" s="4"/>
      <c r="AR982" s="4"/>
      <c r="AS982" s="4"/>
      <c r="AT982" s="4"/>
      <c r="AU982" s="4"/>
      <c r="AV982" s="4"/>
      <c r="AW982" s="4"/>
      <c r="AX982" s="4"/>
      <c r="AY982" s="4"/>
      <c r="AZ982" s="4"/>
      <c r="BA982" s="4"/>
      <c r="BB982" s="4"/>
      <c r="BC982" s="4"/>
      <c r="BD982" s="4"/>
      <c r="BE982" s="4"/>
      <c r="BF982" s="4"/>
      <c r="BG982" s="4"/>
      <c r="BH982" s="4"/>
      <c r="BI982" s="4"/>
      <c r="BJ982" s="4"/>
      <c r="BK982" s="4"/>
      <c r="BL982" s="4"/>
      <c r="BM982" s="4"/>
      <c r="BN982" s="4"/>
      <c r="BO982" s="4"/>
      <c r="BP982" s="4"/>
      <c r="BQ982" s="4"/>
      <c r="BR982" s="4"/>
      <c r="BS982" s="4"/>
      <c r="BT982" s="4"/>
      <c r="BU982" s="4"/>
      <c r="BV982" s="4"/>
      <c r="BW982" s="4"/>
      <c r="BX982" s="4"/>
      <c r="BY982" s="4"/>
      <c r="BZ982" s="4"/>
      <c r="CA982" s="4"/>
      <c r="CB982" s="4"/>
      <c r="CC982" s="4"/>
      <c r="CD982" s="4"/>
      <c r="CE982" s="4"/>
      <c r="CF982" s="4"/>
      <c r="CG982" s="4"/>
      <c r="CH982" s="4"/>
      <c r="CI982" s="4"/>
    </row>
    <row r="983" ht="14.25" customHeight="1" spans="1:87" x14ac:dyDescent="0.25">
      <c r="A983" s="4"/>
      <c r="B983" s="4"/>
      <c r="C983" s="4"/>
      <c r="D983" s="4"/>
      <c r="E983" s="4"/>
      <c r="F983" s="4"/>
      <c r="G983" s="4"/>
      <c r="H983" s="4"/>
      <c r="I983" s="4"/>
      <c r="J983" s="4"/>
      <c r="K983" s="242"/>
      <c r="L983" s="4"/>
      <c r="M983" s="4"/>
      <c r="N983" s="4"/>
      <c r="O983" s="4"/>
      <c r="P983" s="4"/>
      <c r="Q983" s="4"/>
      <c r="R983" s="4"/>
      <c r="S983" s="4"/>
      <c r="T983" s="4"/>
      <c r="U983" s="4"/>
      <c r="V983" s="4"/>
      <c r="W983" s="4"/>
      <c r="X983" s="4"/>
      <c r="Y983" s="4"/>
      <c r="Z983" s="4"/>
      <c r="AA983" s="4"/>
      <c r="AB983" s="4"/>
      <c r="AC983" s="4"/>
      <c r="AD983" s="4"/>
      <c r="AE983" s="4"/>
      <c r="AF983" s="4"/>
      <c r="AG983" s="4"/>
      <c r="AH983" s="4"/>
      <c r="AI983" s="4"/>
      <c r="AJ983" s="4"/>
      <c r="AK983" s="4"/>
      <c r="AL983" s="4"/>
      <c r="AM983" s="4"/>
      <c r="AN983" s="4"/>
      <c r="AO983" s="4"/>
      <c r="AP983" s="4"/>
      <c r="AQ983" s="4"/>
      <c r="AR983" s="4"/>
      <c r="AS983" s="4"/>
      <c r="AT983" s="4"/>
      <c r="AU983" s="4"/>
      <c r="AV983" s="4"/>
      <c r="AW983" s="4"/>
      <c r="AX983" s="4"/>
      <c r="AY983" s="4"/>
      <c r="AZ983" s="4"/>
      <c r="BA983" s="4"/>
      <c r="BB983" s="4"/>
      <c r="BC983" s="4"/>
      <c r="BD983" s="4"/>
      <c r="BE983" s="4"/>
      <c r="BF983" s="4"/>
      <c r="BG983" s="4"/>
      <c r="BH983" s="4"/>
      <c r="BI983" s="4"/>
      <c r="BJ983" s="4"/>
      <c r="BK983" s="4"/>
      <c r="BL983" s="4"/>
      <c r="BM983" s="4"/>
      <c r="BN983" s="4"/>
      <c r="BO983" s="4"/>
      <c r="BP983" s="4"/>
      <c r="BQ983" s="4"/>
      <c r="BR983" s="4"/>
      <c r="BS983" s="4"/>
      <c r="BT983" s="4"/>
      <c r="BU983" s="4"/>
      <c r="BV983" s="4"/>
      <c r="BW983" s="4"/>
      <c r="BX983" s="4"/>
      <c r="BY983" s="4"/>
      <c r="BZ983" s="4"/>
      <c r="CA983" s="4"/>
      <c r="CB983" s="4"/>
      <c r="CC983" s="4"/>
      <c r="CD983" s="4"/>
      <c r="CE983" s="4"/>
      <c r="CF983" s="4"/>
      <c r="CG983" s="4"/>
      <c r="CH983" s="4"/>
      <c r="CI983" s="4"/>
    </row>
    <row r="984" ht="14.25" customHeight="1" spans="1:87" x14ac:dyDescent="0.25">
      <c r="A984" s="4"/>
      <c r="B984" s="4"/>
      <c r="C984" s="4"/>
      <c r="D984" s="4"/>
      <c r="E984" s="4"/>
      <c r="F984" s="4"/>
      <c r="G984" s="4"/>
      <c r="H984" s="4"/>
      <c r="I984" s="4"/>
      <c r="J984" s="4"/>
      <c r="K984" s="242"/>
      <c r="L984" s="4"/>
      <c r="M984" s="4"/>
      <c r="N984" s="4"/>
      <c r="O984" s="4"/>
      <c r="P984" s="4"/>
      <c r="Q984" s="4"/>
      <c r="R984" s="4"/>
      <c r="S984" s="4"/>
      <c r="T984" s="4"/>
      <c r="U984" s="4"/>
      <c r="V984" s="4"/>
      <c r="W984" s="4"/>
      <c r="X984" s="4"/>
      <c r="Y984" s="4"/>
      <c r="Z984" s="4"/>
      <c r="AA984" s="4"/>
      <c r="AB984" s="4"/>
      <c r="AC984" s="4"/>
      <c r="AD984" s="4"/>
      <c r="AE984" s="4"/>
      <c r="AF984" s="4"/>
      <c r="AG984" s="4"/>
      <c r="AH984" s="4"/>
      <c r="AI984" s="4"/>
      <c r="AJ984" s="4"/>
      <c r="AK984" s="4"/>
      <c r="AL984" s="4"/>
      <c r="AM984" s="4"/>
      <c r="AN984" s="4"/>
      <c r="AO984" s="4"/>
      <c r="AP984" s="4"/>
      <c r="AQ984" s="4"/>
      <c r="AR984" s="4"/>
      <c r="AS984" s="4"/>
      <c r="AT984" s="4"/>
      <c r="AU984" s="4"/>
      <c r="AV984" s="4"/>
      <c r="AW984" s="4"/>
      <c r="AX984" s="4"/>
      <c r="AY984" s="4"/>
      <c r="AZ984" s="4"/>
      <c r="BA984" s="4"/>
      <c r="BB984" s="4"/>
      <c r="BC984" s="4"/>
      <c r="BD984" s="4"/>
      <c r="BE984" s="4"/>
      <c r="BF984" s="4"/>
      <c r="BG984" s="4"/>
      <c r="BH984" s="4"/>
      <c r="BI984" s="4"/>
      <c r="BJ984" s="4"/>
      <c r="BK984" s="4"/>
      <c r="BL984" s="4"/>
      <c r="BM984" s="4"/>
      <c r="BN984" s="4"/>
      <c r="BO984" s="4"/>
      <c r="BP984" s="4"/>
      <c r="BQ984" s="4"/>
      <c r="BR984" s="4"/>
      <c r="BS984" s="4"/>
      <c r="BT984" s="4"/>
      <c r="BU984" s="4"/>
      <c r="BV984" s="4"/>
      <c r="BW984" s="4"/>
      <c r="BX984" s="4"/>
      <c r="BY984" s="4"/>
      <c r="BZ984" s="4"/>
      <c r="CA984" s="4"/>
      <c r="CB984" s="4"/>
      <c r="CC984" s="4"/>
      <c r="CD984" s="4"/>
      <c r="CE984" s="4"/>
      <c r="CF984" s="4"/>
      <c r="CG984" s="4"/>
      <c r="CH984" s="4"/>
      <c r="CI984" s="4"/>
    </row>
    <row r="985" ht="14.25" customHeight="1" spans="1:87" x14ac:dyDescent="0.25">
      <c r="A985" s="4"/>
      <c r="B985" s="4"/>
      <c r="C985" s="4"/>
      <c r="D985" s="4"/>
      <c r="E985" s="4"/>
      <c r="F985" s="4"/>
      <c r="G985" s="4"/>
      <c r="H985" s="4"/>
      <c r="I985" s="4"/>
      <c r="J985" s="4"/>
      <c r="K985" s="242"/>
      <c r="L985" s="4"/>
      <c r="M985" s="4"/>
      <c r="N985" s="4"/>
      <c r="O985" s="4"/>
      <c r="P985" s="4"/>
      <c r="Q985" s="4"/>
      <c r="R985" s="4"/>
      <c r="S985" s="4"/>
      <c r="T985" s="4"/>
      <c r="U985" s="4"/>
      <c r="V985" s="4"/>
      <c r="W985" s="4"/>
      <c r="X985" s="4"/>
      <c r="Y985" s="4"/>
      <c r="Z985" s="4"/>
      <c r="AA985" s="4"/>
      <c r="AB985" s="4"/>
      <c r="AC985" s="4"/>
      <c r="AD985" s="4"/>
      <c r="AE985" s="4"/>
      <c r="AF985" s="4"/>
      <c r="AG985" s="4"/>
      <c r="AH985" s="4"/>
      <c r="AI985" s="4"/>
      <c r="AJ985" s="4"/>
      <c r="AK985" s="4"/>
      <c r="AL985" s="4"/>
      <c r="AM985" s="4"/>
      <c r="AN985" s="4"/>
      <c r="AO985" s="4"/>
      <c r="AP985" s="4"/>
      <c r="AQ985" s="4"/>
      <c r="AR985" s="4"/>
      <c r="AS985" s="4"/>
      <c r="AT985" s="4"/>
      <c r="AU985" s="4"/>
      <c r="AV985" s="4"/>
      <c r="AW985" s="4"/>
      <c r="AX985" s="4"/>
      <c r="AY985" s="4"/>
      <c r="AZ985" s="4"/>
      <c r="BA985" s="4"/>
      <c r="BB985" s="4"/>
      <c r="BC985" s="4"/>
      <c r="BD985" s="4"/>
      <c r="BE985" s="4"/>
      <c r="BF985" s="4"/>
      <c r="BG985" s="4"/>
      <c r="BH985" s="4"/>
      <c r="BI985" s="4"/>
      <c r="BJ985" s="4"/>
      <c r="BK985" s="4"/>
      <c r="BL985" s="4"/>
      <c r="BM985" s="4"/>
      <c r="BN985" s="4"/>
      <c r="BO985" s="4"/>
      <c r="BP985" s="4"/>
      <c r="BQ985" s="4"/>
      <c r="BR985" s="4"/>
      <c r="BS985" s="4"/>
      <c r="BT985" s="4"/>
      <c r="BU985" s="4"/>
      <c r="BV985" s="4"/>
      <c r="BW985" s="4"/>
      <c r="BX985" s="4"/>
      <c r="BY985" s="4"/>
      <c r="BZ985" s="4"/>
      <c r="CA985" s="4"/>
      <c r="CB985" s="4"/>
      <c r="CC985" s="4"/>
      <c r="CD985" s="4"/>
      <c r="CE985" s="4"/>
      <c r="CF985" s="4"/>
      <c r="CG985" s="4"/>
      <c r="CH985" s="4"/>
      <c r="CI985" s="4"/>
    </row>
    <row r="986" ht="14.25" customHeight="1" spans="1:87" x14ac:dyDescent="0.25">
      <c r="A986" s="4"/>
      <c r="B986" s="4"/>
      <c r="C986" s="4"/>
      <c r="D986" s="4"/>
      <c r="E986" s="4"/>
      <c r="F986" s="4"/>
      <c r="G986" s="4"/>
      <c r="H986" s="4"/>
      <c r="I986" s="4"/>
      <c r="J986" s="4"/>
      <c r="K986" s="242"/>
      <c r="L986" s="4"/>
      <c r="M986" s="4"/>
      <c r="N986" s="4"/>
      <c r="O986" s="4"/>
      <c r="P986" s="4"/>
      <c r="Q986" s="4"/>
      <c r="R986" s="4"/>
      <c r="S986" s="4"/>
      <c r="T986" s="4"/>
      <c r="U986" s="4"/>
      <c r="V986" s="4"/>
      <c r="W986" s="4"/>
      <c r="X986" s="4"/>
      <c r="Y986" s="4"/>
      <c r="Z986" s="4"/>
      <c r="AA986" s="4"/>
      <c r="AB986" s="4"/>
      <c r="AC986" s="4"/>
      <c r="AD986" s="4"/>
      <c r="AE986" s="4"/>
      <c r="AF986" s="4"/>
      <c r="AG986" s="4"/>
      <c r="AH986" s="4"/>
      <c r="AI986" s="4"/>
      <c r="AJ986" s="4"/>
      <c r="AK986" s="4"/>
      <c r="AL986" s="4"/>
      <c r="AM986" s="4"/>
      <c r="AN986" s="4"/>
      <c r="AO986" s="4"/>
      <c r="AP986" s="4"/>
      <c r="AQ986" s="4"/>
      <c r="AR986" s="4"/>
      <c r="AS986" s="4"/>
      <c r="AT986" s="4"/>
      <c r="AU986" s="4"/>
      <c r="AV986" s="4"/>
      <c r="AW986" s="4"/>
      <c r="AX986" s="4"/>
      <c r="AY986" s="4"/>
      <c r="AZ986" s="4"/>
      <c r="BA986" s="4"/>
      <c r="BB986" s="4"/>
      <c r="BC986" s="4"/>
      <c r="BD986" s="4"/>
      <c r="BE986" s="4"/>
      <c r="BF986" s="4"/>
      <c r="BG986" s="4"/>
      <c r="BH986" s="4"/>
      <c r="BI986" s="4"/>
      <c r="BJ986" s="4"/>
      <c r="BK986" s="4"/>
      <c r="BL986" s="4"/>
      <c r="BM986" s="4"/>
      <c r="BN986" s="4"/>
      <c r="BO986" s="4"/>
      <c r="BP986" s="4"/>
      <c r="BQ986" s="4"/>
      <c r="BR986" s="4"/>
      <c r="BS986" s="4"/>
      <c r="BT986" s="4"/>
      <c r="BU986" s="4"/>
      <c r="BV986" s="4"/>
      <c r="BW986" s="4"/>
      <c r="BX986" s="4"/>
      <c r="BY986" s="4"/>
      <c r="BZ986" s="4"/>
      <c r="CA986" s="4"/>
      <c r="CB986" s="4"/>
      <c r="CC986" s="4"/>
      <c r="CD986" s="4"/>
      <c r="CE986" s="4"/>
      <c r="CF986" s="4"/>
      <c r="CG986" s="4"/>
      <c r="CH986" s="4"/>
      <c r="CI986" s="4"/>
    </row>
    <row r="987" ht="14.25" customHeight="1" spans="1:87" x14ac:dyDescent="0.25">
      <c r="A987" s="4"/>
      <c r="B987" s="4"/>
      <c r="C987" s="4"/>
      <c r="D987" s="4"/>
      <c r="E987" s="4"/>
      <c r="F987" s="4"/>
      <c r="G987" s="4"/>
      <c r="H987" s="4"/>
      <c r="I987" s="4"/>
      <c r="J987" s="4"/>
      <c r="K987" s="242"/>
      <c r="L987" s="4"/>
      <c r="M987" s="4"/>
      <c r="N987" s="4"/>
      <c r="O987" s="4"/>
      <c r="P987" s="4"/>
      <c r="Q987" s="4"/>
      <c r="R987" s="4"/>
      <c r="S987" s="4"/>
      <c r="T987" s="4"/>
      <c r="U987" s="4"/>
      <c r="V987" s="4"/>
      <c r="W987" s="4"/>
      <c r="X987" s="4"/>
      <c r="Y987" s="4"/>
      <c r="Z987" s="4"/>
      <c r="AA987" s="4"/>
      <c r="AB987" s="4"/>
      <c r="AC987" s="4"/>
      <c r="AD987" s="4"/>
      <c r="AE987" s="4"/>
      <c r="AF987" s="4"/>
      <c r="AG987" s="4"/>
      <c r="AH987" s="4"/>
      <c r="AI987" s="4"/>
      <c r="AJ987" s="4"/>
      <c r="AK987" s="4"/>
      <c r="AL987" s="4"/>
      <c r="AM987" s="4"/>
      <c r="AN987" s="4"/>
      <c r="AO987" s="4"/>
      <c r="AP987" s="4"/>
      <c r="AQ987" s="4"/>
      <c r="AR987" s="4"/>
      <c r="AS987" s="4"/>
      <c r="AT987" s="4"/>
      <c r="AU987" s="4"/>
      <c r="AV987" s="4"/>
      <c r="AW987" s="4"/>
      <c r="AX987" s="4"/>
      <c r="AY987" s="4"/>
      <c r="AZ987" s="4"/>
      <c r="BA987" s="4"/>
      <c r="BB987" s="4"/>
      <c r="BC987" s="4"/>
      <c r="BD987" s="4"/>
      <c r="BE987" s="4"/>
      <c r="BF987" s="4"/>
      <c r="BG987" s="4"/>
      <c r="BH987" s="4"/>
      <c r="BI987" s="4"/>
      <c r="BJ987" s="4"/>
      <c r="BK987" s="4"/>
      <c r="BL987" s="4"/>
      <c r="BM987" s="4"/>
      <c r="BN987" s="4"/>
      <c r="BO987" s="4"/>
      <c r="BP987" s="4"/>
      <c r="BQ987" s="4"/>
      <c r="BR987" s="4"/>
      <c r="BS987" s="4"/>
      <c r="BT987" s="4"/>
      <c r="BU987" s="4"/>
      <c r="BV987" s="4"/>
      <c r="BW987" s="4"/>
      <c r="BX987" s="4"/>
      <c r="BY987" s="4"/>
      <c r="BZ987" s="4"/>
      <c r="CA987" s="4"/>
      <c r="CB987" s="4"/>
      <c r="CC987" s="4"/>
      <c r="CD987" s="4"/>
      <c r="CE987" s="4"/>
      <c r="CF987" s="4"/>
      <c r="CG987" s="4"/>
      <c r="CH987" s="4"/>
      <c r="CI987" s="4"/>
    </row>
    <row r="988" ht="14.25" customHeight="1" spans="1:87" x14ac:dyDescent="0.25">
      <c r="A988" s="4"/>
      <c r="B988" s="4"/>
      <c r="C988" s="4"/>
      <c r="D988" s="4"/>
      <c r="E988" s="4"/>
      <c r="F988" s="4"/>
      <c r="G988" s="4"/>
      <c r="H988" s="4"/>
      <c r="I988" s="4"/>
      <c r="J988" s="4"/>
      <c r="K988" s="242"/>
      <c r="L988" s="4"/>
      <c r="M988" s="4"/>
      <c r="N988" s="4"/>
      <c r="O988" s="4"/>
      <c r="P988" s="4"/>
      <c r="Q988" s="4"/>
      <c r="R988" s="4"/>
      <c r="S988" s="4"/>
      <c r="T988" s="4"/>
      <c r="U988" s="4"/>
      <c r="V988" s="4"/>
      <c r="W988" s="4"/>
      <c r="X988" s="4"/>
      <c r="Y988" s="4"/>
      <c r="Z988" s="4"/>
      <c r="AA988" s="4"/>
      <c r="AB988" s="4"/>
      <c r="AC988" s="4"/>
      <c r="AD988" s="4"/>
      <c r="AE988" s="4"/>
      <c r="AF988" s="4"/>
      <c r="AG988" s="4"/>
      <c r="AH988" s="4"/>
      <c r="AI988" s="4"/>
      <c r="AJ988" s="4"/>
      <c r="AK988" s="4"/>
      <c r="AL988" s="4"/>
      <c r="AM988" s="4"/>
      <c r="AN988" s="4"/>
      <c r="AO988" s="4"/>
      <c r="AP988" s="4"/>
      <c r="AQ988" s="4"/>
      <c r="AR988" s="4"/>
      <c r="AS988" s="4"/>
      <c r="AT988" s="4"/>
      <c r="AU988" s="4"/>
      <c r="AV988" s="4"/>
      <c r="AW988" s="4"/>
      <c r="AX988" s="4"/>
      <c r="AY988" s="4"/>
      <c r="AZ988" s="4"/>
      <c r="BA988" s="4"/>
      <c r="BB988" s="4"/>
      <c r="BC988" s="4"/>
      <c r="BD988" s="4"/>
      <c r="BE988" s="4"/>
      <c r="BF988" s="4"/>
      <c r="BG988" s="4"/>
      <c r="BH988" s="4"/>
      <c r="BI988" s="4"/>
      <c r="BJ988" s="4"/>
      <c r="BK988" s="4"/>
      <c r="BL988" s="4"/>
      <c r="BM988" s="4"/>
      <c r="BN988" s="4"/>
      <c r="BO988" s="4"/>
      <c r="BP988" s="4"/>
      <c r="BQ988" s="4"/>
      <c r="BR988" s="4"/>
      <c r="BS988" s="4"/>
      <c r="BT988" s="4"/>
      <c r="BU988" s="4"/>
      <c r="BV988" s="4"/>
      <c r="BW988" s="4"/>
      <c r="BX988" s="4"/>
      <c r="BY988" s="4"/>
      <c r="BZ988" s="4"/>
      <c r="CA988" s="4"/>
      <c r="CB988" s="4"/>
      <c r="CC988" s="4"/>
      <c r="CD988" s="4"/>
      <c r="CE988" s="4"/>
      <c r="CF988" s="4"/>
      <c r="CG988" s="4"/>
      <c r="CH988" s="4"/>
      <c r="CI988" s="4"/>
    </row>
    <row r="989" ht="14.25" customHeight="1" spans="1:87" x14ac:dyDescent="0.25">
      <c r="A989" s="4"/>
      <c r="B989" s="4"/>
      <c r="C989" s="4"/>
      <c r="D989" s="4"/>
      <c r="E989" s="4"/>
      <c r="F989" s="4"/>
      <c r="G989" s="4"/>
      <c r="H989" s="4"/>
      <c r="I989" s="4"/>
      <c r="J989" s="4"/>
      <c r="K989" s="242"/>
      <c r="L989" s="4"/>
      <c r="M989" s="4"/>
      <c r="N989" s="4"/>
      <c r="O989" s="4"/>
      <c r="P989" s="4"/>
      <c r="Q989" s="4"/>
      <c r="R989" s="4"/>
      <c r="S989" s="4"/>
      <c r="T989" s="4"/>
      <c r="U989" s="4"/>
      <c r="V989" s="4"/>
      <c r="W989" s="4"/>
      <c r="X989" s="4"/>
      <c r="Y989" s="4"/>
      <c r="Z989" s="4"/>
      <c r="AA989" s="4"/>
      <c r="AB989" s="4"/>
      <c r="AC989" s="4"/>
      <c r="AD989" s="4"/>
      <c r="AE989" s="4"/>
      <c r="AF989" s="4"/>
      <c r="AG989" s="4"/>
      <c r="AH989" s="4"/>
      <c r="AI989" s="4"/>
      <c r="AJ989" s="4"/>
      <c r="AK989" s="4"/>
      <c r="AL989" s="4"/>
      <c r="AM989" s="4"/>
      <c r="AN989" s="4"/>
      <c r="AO989" s="4"/>
      <c r="AP989" s="4"/>
      <c r="AQ989" s="4"/>
      <c r="AR989" s="4"/>
      <c r="AS989" s="4"/>
      <c r="AT989" s="4"/>
      <c r="AU989" s="4"/>
      <c r="AV989" s="4"/>
      <c r="AW989" s="4"/>
      <c r="AX989" s="4"/>
      <c r="AY989" s="4"/>
      <c r="AZ989" s="4"/>
      <c r="BA989" s="4"/>
      <c r="BB989" s="4"/>
      <c r="BC989" s="4"/>
      <c r="BD989" s="4"/>
      <c r="BE989" s="4"/>
      <c r="BF989" s="4"/>
      <c r="BG989" s="4"/>
      <c r="BH989" s="4"/>
      <c r="BI989" s="4"/>
      <c r="BJ989" s="4"/>
      <c r="BK989" s="4"/>
      <c r="BL989" s="4"/>
      <c r="BM989" s="4"/>
      <c r="BN989" s="4"/>
      <c r="BO989" s="4"/>
      <c r="BP989" s="4"/>
      <c r="BQ989" s="4"/>
      <c r="BR989" s="4"/>
      <c r="BS989" s="4"/>
      <c r="BT989" s="4"/>
      <c r="BU989" s="4"/>
      <c r="BV989" s="4"/>
      <c r="BW989" s="4"/>
      <c r="BX989" s="4"/>
      <c r="BY989" s="4"/>
      <c r="BZ989" s="4"/>
      <c r="CA989" s="4"/>
      <c r="CB989" s="4"/>
      <c r="CC989" s="4"/>
      <c r="CD989" s="4"/>
      <c r="CE989" s="4"/>
      <c r="CF989" s="4"/>
      <c r="CG989" s="4"/>
      <c r="CH989" s="4"/>
      <c r="CI989" s="4"/>
    </row>
    <row r="990" ht="14.25" customHeight="1" spans="1:87" x14ac:dyDescent="0.25">
      <c r="A990" s="4"/>
      <c r="B990" s="4"/>
      <c r="C990" s="4"/>
      <c r="D990" s="4"/>
      <c r="E990" s="4"/>
      <c r="F990" s="4"/>
      <c r="G990" s="4"/>
      <c r="H990" s="4"/>
      <c r="I990" s="4"/>
      <c r="J990" s="4"/>
      <c r="K990" s="242"/>
      <c r="L990" s="4"/>
      <c r="M990" s="4"/>
      <c r="N990" s="4"/>
      <c r="O990" s="4"/>
      <c r="P990" s="4"/>
      <c r="Q990" s="4"/>
      <c r="R990" s="4"/>
      <c r="S990" s="4"/>
      <c r="T990" s="4"/>
      <c r="U990" s="4"/>
      <c r="V990" s="4"/>
      <c r="W990" s="4"/>
      <c r="X990" s="4"/>
      <c r="Y990" s="4"/>
      <c r="Z990" s="4"/>
      <c r="AA990" s="4"/>
      <c r="AB990" s="4"/>
      <c r="AC990" s="4"/>
      <c r="AD990" s="4"/>
      <c r="AE990" s="4"/>
      <c r="AF990" s="4"/>
      <c r="AG990" s="4"/>
      <c r="AH990" s="4"/>
      <c r="AI990" s="4"/>
      <c r="AJ990" s="4"/>
      <c r="AK990" s="4"/>
      <c r="AL990" s="4"/>
      <c r="AM990" s="4"/>
      <c r="AN990" s="4"/>
      <c r="AO990" s="4"/>
      <c r="AP990" s="4"/>
      <c r="AQ990" s="4"/>
      <c r="AR990" s="4"/>
      <c r="AS990" s="4"/>
      <c r="AT990" s="4"/>
      <c r="AU990" s="4"/>
      <c r="AV990" s="4"/>
      <c r="AW990" s="4"/>
      <c r="AX990" s="4"/>
      <c r="AY990" s="4"/>
      <c r="AZ990" s="4"/>
      <c r="BA990" s="4"/>
      <c r="BB990" s="4"/>
      <c r="BC990" s="4"/>
      <c r="BD990" s="4"/>
      <c r="BE990" s="4"/>
      <c r="BF990" s="4"/>
      <c r="BG990" s="4"/>
      <c r="BH990" s="4"/>
      <c r="BI990" s="4"/>
      <c r="BJ990" s="4"/>
      <c r="BK990" s="4"/>
      <c r="BL990" s="4"/>
      <c r="BM990" s="4"/>
      <c r="BN990" s="4"/>
      <c r="BO990" s="4"/>
      <c r="BP990" s="4"/>
      <c r="BQ990" s="4"/>
      <c r="BR990" s="4"/>
      <c r="BS990" s="4"/>
      <c r="BT990" s="4"/>
      <c r="BU990" s="4"/>
      <c r="BV990" s="4"/>
      <c r="BW990" s="4"/>
      <c r="BX990" s="4"/>
      <c r="BY990" s="4"/>
      <c r="BZ990" s="4"/>
      <c r="CA990" s="4"/>
      <c r="CB990" s="4"/>
      <c r="CC990" s="4"/>
      <c r="CD990" s="4"/>
      <c r="CE990" s="4"/>
      <c r="CF990" s="4"/>
      <c r="CG990" s="4"/>
      <c r="CH990" s="4"/>
      <c r="CI990" s="4"/>
    </row>
    <row r="991" ht="14.25" customHeight="1" spans="1:87" x14ac:dyDescent="0.25">
      <c r="A991" s="4"/>
      <c r="B991" s="4"/>
      <c r="C991" s="4"/>
      <c r="D991" s="4"/>
      <c r="E991" s="4"/>
      <c r="F991" s="4"/>
      <c r="G991" s="4"/>
      <c r="H991" s="4"/>
      <c r="I991" s="4"/>
      <c r="J991" s="4"/>
      <c r="K991" s="242"/>
      <c r="L991" s="4"/>
      <c r="M991" s="4"/>
      <c r="N991" s="4"/>
      <c r="O991" s="4"/>
      <c r="P991" s="4"/>
      <c r="Q991" s="4"/>
      <c r="R991" s="4"/>
      <c r="S991" s="4"/>
      <c r="T991" s="4"/>
      <c r="U991" s="4"/>
      <c r="V991" s="4"/>
      <c r="W991" s="4"/>
      <c r="X991" s="4"/>
      <c r="Y991" s="4"/>
      <c r="Z991" s="4"/>
      <c r="AA991" s="4"/>
      <c r="AB991" s="4"/>
      <c r="AC991" s="4"/>
      <c r="AD991" s="4"/>
      <c r="AE991" s="4"/>
      <c r="AF991" s="4"/>
      <c r="AG991" s="4"/>
      <c r="AH991" s="4"/>
      <c r="AI991" s="4"/>
      <c r="AJ991" s="4"/>
      <c r="AK991" s="4"/>
      <c r="AL991" s="4"/>
      <c r="AM991" s="4"/>
      <c r="AN991" s="4"/>
      <c r="AO991" s="4"/>
      <c r="AP991" s="4"/>
      <c r="AQ991" s="4"/>
      <c r="AR991" s="4"/>
      <c r="AS991" s="4"/>
      <c r="AT991" s="4"/>
      <c r="AU991" s="4"/>
      <c r="AV991" s="4"/>
      <c r="AW991" s="4"/>
      <c r="AX991" s="4"/>
      <c r="AY991" s="4"/>
      <c r="AZ991" s="4"/>
      <c r="BA991" s="4"/>
      <c r="BB991" s="4"/>
      <c r="BC991" s="4"/>
      <c r="BD991" s="4"/>
      <c r="BE991" s="4"/>
      <c r="BF991" s="4"/>
      <c r="BG991" s="4"/>
      <c r="BH991" s="4"/>
      <c r="BI991" s="4"/>
      <c r="BJ991" s="4"/>
      <c r="BK991" s="4"/>
      <c r="BL991" s="4"/>
      <c r="BM991" s="4"/>
      <c r="BN991" s="4"/>
      <c r="BO991" s="4"/>
      <c r="BP991" s="4"/>
      <c r="BQ991" s="4"/>
      <c r="BR991" s="4"/>
      <c r="BS991" s="4"/>
      <c r="BT991" s="4"/>
      <c r="BU991" s="4"/>
      <c r="BV991" s="4"/>
      <c r="BW991" s="4"/>
      <c r="BX991" s="4"/>
      <c r="BY991" s="4"/>
      <c r="BZ991" s="4"/>
      <c r="CA991" s="4"/>
      <c r="CB991" s="4"/>
      <c r="CC991" s="4"/>
      <c r="CD991" s="4"/>
      <c r="CE991" s="4"/>
      <c r="CF991" s="4"/>
      <c r="CG991" s="4"/>
      <c r="CH991" s="4"/>
      <c r="CI991" s="4"/>
    </row>
    <row r="992" ht="14.25" customHeight="1" spans="1:87" x14ac:dyDescent="0.25">
      <c r="A992" s="4"/>
      <c r="B992" s="4"/>
      <c r="C992" s="4"/>
      <c r="D992" s="4"/>
      <c r="E992" s="4"/>
      <c r="F992" s="4"/>
      <c r="G992" s="4"/>
      <c r="H992" s="4"/>
      <c r="I992" s="4"/>
      <c r="J992" s="4"/>
      <c r="K992" s="242"/>
      <c r="L992" s="4"/>
      <c r="M992" s="4"/>
      <c r="N992" s="4"/>
      <c r="O992" s="4"/>
      <c r="P992" s="4"/>
      <c r="Q992" s="4"/>
      <c r="R992" s="4"/>
      <c r="S992" s="4"/>
      <c r="T992" s="4"/>
      <c r="U992" s="4"/>
      <c r="V992" s="4"/>
      <c r="W992" s="4"/>
      <c r="X992" s="4"/>
      <c r="Y992" s="4"/>
      <c r="Z992" s="4"/>
      <c r="AA992" s="4"/>
      <c r="AB992" s="4"/>
      <c r="AC992" s="4"/>
      <c r="AD992" s="4"/>
      <c r="AE992" s="4"/>
      <c r="AF992" s="4"/>
      <c r="AG992" s="4"/>
      <c r="AH992" s="4"/>
      <c r="AI992" s="4"/>
      <c r="AJ992" s="4"/>
      <c r="AK992" s="4"/>
      <c r="AL992" s="4"/>
      <c r="AM992" s="4"/>
      <c r="AN992" s="4"/>
      <c r="AO992" s="4"/>
      <c r="AP992" s="4"/>
      <c r="AQ992" s="4"/>
      <c r="AR992" s="4"/>
      <c r="AS992" s="4"/>
      <c r="AT992" s="4"/>
      <c r="AU992" s="4"/>
      <c r="AV992" s="4"/>
      <c r="AW992" s="4"/>
      <c r="AX992" s="4"/>
      <c r="AY992" s="4"/>
      <c r="AZ992" s="4"/>
      <c r="BA992" s="4"/>
      <c r="BB992" s="4"/>
      <c r="BC992" s="4"/>
      <c r="BD992" s="4"/>
      <c r="BE992" s="4"/>
      <c r="BF992" s="4"/>
      <c r="BG992" s="4"/>
      <c r="BH992" s="4"/>
      <c r="BI992" s="4"/>
      <c r="BJ992" s="4"/>
      <c r="BK992" s="4"/>
      <c r="BL992" s="4"/>
      <c r="BM992" s="4"/>
      <c r="BN992" s="4"/>
      <c r="BO992" s="4"/>
      <c r="BP992" s="4"/>
      <c r="BQ992" s="4"/>
      <c r="BR992" s="4"/>
      <c r="BS992" s="4"/>
      <c r="BT992" s="4"/>
      <c r="BU992" s="4"/>
      <c r="BV992" s="4"/>
      <c r="BW992" s="4"/>
      <c r="BX992" s="4"/>
      <c r="BY992" s="4"/>
      <c r="BZ992" s="4"/>
      <c r="CA992" s="4"/>
      <c r="CB992" s="4"/>
      <c r="CC992" s="4"/>
      <c r="CD992" s="4"/>
      <c r="CE992" s="4"/>
      <c r="CF992" s="4"/>
      <c r="CG992" s="4"/>
      <c r="CH992" s="4"/>
      <c r="CI992" s="4"/>
    </row>
    <row r="993" ht="14.25" customHeight="1" spans="1:87" x14ac:dyDescent="0.25">
      <c r="A993" s="4"/>
      <c r="B993" s="4"/>
      <c r="C993" s="4"/>
      <c r="D993" s="4"/>
      <c r="E993" s="4"/>
      <c r="F993" s="4"/>
      <c r="G993" s="4"/>
      <c r="H993" s="4"/>
      <c r="I993" s="4"/>
      <c r="J993" s="4"/>
      <c r="K993" s="242"/>
      <c r="L993" s="4"/>
      <c r="M993" s="4"/>
      <c r="N993" s="4"/>
      <c r="O993" s="4"/>
      <c r="P993" s="4"/>
      <c r="Q993" s="4"/>
      <c r="R993" s="4"/>
      <c r="S993" s="4"/>
      <c r="T993" s="4"/>
      <c r="U993" s="4"/>
      <c r="V993" s="4"/>
      <c r="W993" s="4"/>
      <c r="X993" s="4"/>
      <c r="Y993" s="4"/>
      <c r="Z993" s="4"/>
      <c r="AA993" s="4"/>
      <c r="AB993" s="4"/>
      <c r="AC993" s="4"/>
      <c r="AD993" s="4"/>
      <c r="AE993" s="4"/>
      <c r="AF993" s="4"/>
      <c r="AG993" s="4"/>
      <c r="AH993" s="4"/>
      <c r="AI993" s="4"/>
      <c r="AJ993" s="4"/>
      <c r="AK993" s="4"/>
      <c r="AL993" s="4"/>
      <c r="AM993" s="4"/>
      <c r="AN993" s="4"/>
      <c r="AO993" s="4"/>
      <c r="AP993" s="4"/>
      <c r="AQ993" s="4"/>
      <c r="AR993" s="4"/>
      <c r="AS993" s="4"/>
      <c r="AT993" s="4"/>
      <c r="AU993" s="4"/>
      <c r="AV993" s="4"/>
      <c r="AW993" s="4"/>
      <c r="AX993" s="4"/>
      <c r="AY993" s="4"/>
      <c r="AZ993" s="4"/>
      <c r="BA993" s="4"/>
      <c r="BB993" s="4"/>
      <c r="BC993" s="4"/>
      <c r="BD993" s="4"/>
      <c r="BE993" s="4"/>
      <c r="BF993" s="4"/>
      <c r="BG993" s="4"/>
      <c r="BH993" s="4"/>
      <c r="BI993" s="4"/>
      <c r="BJ993" s="4"/>
      <c r="BK993" s="4"/>
      <c r="BL993" s="4"/>
      <c r="BM993" s="4"/>
      <c r="BN993" s="4"/>
      <c r="BO993" s="4"/>
      <c r="BP993" s="4"/>
      <c r="BQ993" s="4"/>
      <c r="BR993" s="4"/>
      <c r="BS993" s="4"/>
      <c r="BT993" s="4"/>
      <c r="BU993" s="4"/>
      <c r="BV993" s="4"/>
      <c r="BW993" s="4"/>
      <c r="BX993" s="4"/>
      <c r="BY993" s="4"/>
      <c r="BZ993" s="4"/>
      <c r="CA993" s="4"/>
      <c r="CB993" s="4"/>
      <c r="CC993" s="4"/>
      <c r="CD993" s="4"/>
      <c r="CE993" s="4"/>
      <c r="CF993" s="4"/>
      <c r="CG993" s="4"/>
      <c r="CH993" s="4"/>
      <c r="CI993" s="4"/>
    </row>
    <row r="994" ht="14.25" customHeight="1" spans="1:87" x14ac:dyDescent="0.25">
      <c r="A994" s="4"/>
      <c r="B994" s="4"/>
      <c r="C994" s="4"/>
      <c r="D994" s="4"/>
      <c r="E994" s="4"/>
      <c r="F994" s="4"/>
      <c r="G994" s="4"/>
      <c r="H994" s="4"/>
      <c r="I994" s="4"/>
      <c r="J994" s="4"/>
      <c r="K994" s="242"/>
      <c r="L994" s="4"/>
      <c r="M994" s="4"/>
      <c r="N994" s="4"/>
      <c r="O994" s="4"/>
      <c r="P994" s="4"/>
      <c r="Q994" s="4"/>
      <c r="R994" s="4"/>
      <c r="S994" s="4"/>
      <c r="T994" s="4"/>
      <c r="U994" s="4"/>
      <c r="V994" s="4"/>
      <c r="W994" s="4"/>
      <c r="X994" s="4"/>
      <c r="Y994" s="4"/>
      <c r="Z994" s="4"/>
      <c r="AA994" s="4"/>
      <c r="AB994" s="4"/>
      <c r="AC994" s="4"/>
      <c r="AD994" s="4"/>
      <c r="AE994" s="4"/>
      <c r="AF994" s="4"/>
      <c r="AG994" s="4"/>
      <c r="AH994" s="4"/>
      <c r="AI994" s="4"/>
      <c r="AJ994" s="4"/>
      <c r="AK994" s="4"/>
      <c r="AL994" s="4"/>
      <c r="AM994" s="4"/>
      <c r="AN994" s="4"/>
      <c r="AO994" s="4"/>
      <c r="AP994" s="4"/>
      <c r="AQ994" s="4"/>
      <c r="AR994" s="4"/>
      <c r="AS994" s="4"/>
      <c r="AT994" s="4"/>
      <c r="AU994" s="4"/>
      <c r="AV994" s="4"/>
      <c r="AW994" s="4"/>
      <c r="AX994" s="4"/>
      <c r="AY994" s="4"/>
      <c r="AZ994" s="4"/>
      <c r="BA994" s="4"/>
      <c r="BB994" s="4"/>
      <c r="BC994" s="4"/>
      <c r="BD994" s="4"/>
      <c r="BE994" s="4"/>
      <c r="BF994" s="4"/>
      <c r="BG994" s="4"/>
      <c r="BH994" s="4"/>
      <c r="BI994" s="4"/>
      <c r="BJ994" s="4"/>
      <c r="BK994" s="4"/>
      <c r="BL994" s="4"/>
      <c r="BM994" s="4"/>
      <c r="BN994" s="4"/>
      <c r="BO994" s="4"/>
      <c r="BP994" s="4"/>
      <c r="BQ994" s="4"/>
      <c r="BR994" s="4"/>
      <c r="BS994" s="4"/>
      <c r="BT994" s="4"/>
      <c r="BU994" s="4"/>
      <c r="BV994" s="4"/>
      <c r="BW994" s="4"/>
      <c r="BX994" s="4"/>
      <c r="BY994" s="4"/>
      <c r="BZ994" s="4"/>
      <c r="CA994" s="4"/>
      <c r="CB994" s="4"/>
      <c r="CC994" s="4"/>
      <c r="CD994" s="4"/>
      <c r="CE994" s="4"/>
      <c r="CF994" s="4"/>
      <c r="CG994" s="4"/>
      <c r="CH994" s="4"/>
      <c r="CI994" s="4"/>
    </row>
    <row r="995" ht="14.25" customHeight="1" spans="1:87" x14ac:dyDescent="0.25">
      <c r="A995" s="4"/>
      <c r="B995" s="4"/>
      <c r="C995" s="4"/>
      <c r="D995" s="4"/>
      <c r="E995" s="4"/>
      <c r="F995" s="4"/>
      <c r="G995" s="4"/>
      <c r="H995" s="4"/>
      <c r="I995" s="4"/>
      <c r="J995" s="4"/>
      <c r="K995" s="242"/>
      <c r="L995" s="4"/>
      <c r="M995" s="4"/>
      <c r="N995" s="4"/>
      <c r="O995" s="4"/>
      <c r="P995" s="4"/>
      <c r="Q995" s="4"/>
      <c r="R995" s="4"/>
      <c r="S995" s="4"/>
      <c r="T995" s="4"/>
      <c r="U995" s="4"/>
      <c r="V995" s="4"/>
      <c r="W995" s="4"/>
      <c r="X995" s="4"/>
      <c r="Y995" s="4"/>
      <c r="Z995" s="4"/>
      <c r="AA995" s="4"/>
      <c r="AB995" s="4"/>
      <c r="AC995" s="4"/>
      <c r="AD995" s="4"/>
      <c r="AE995" s="4"/>
      <c r="AF995" s="4"/>
      <c r="AG995" s="4"/>
      <c r="AH995" s="4"/>
      <c r="AI995" s="4"/>
      <c r="AJ995" s="4"/>
      <c r="AK995" s="4"/>
      <c r="AL995" s="4"/>
      <c r="AM995" s="4"/>
      <c r="AN995" s="4"/>
      <c r="AO995" s="4"/>
      <c r="AP995" s="4"/>
      <c r="AQ995" s="4"/>
      <c r="AR995" s="4"/>
      <c r="AS995" s="4"/>
      <c r="AT995" s="4"/>
      <c r="AU995" s="4"/>
      <c r="AV995" s="4"/>
      <c r="AW995" s="4"/>
      <c r="AX995" s="4"/>
      <c r="AY995" s="4"/>
      <c r="AZ995" s="4"/>
      <c r="BA995" s="4"/>
      <c r="BB995" s="4"/>
      <c r="BC995" s="4"/>
      <c r="BD995" s="4"/>
      <c r="BE995" s="4"/>
      <c r="BF995" s="4"/>
      <c r="BG995" s="4"/>
      <c r="BH995" s="4"/>
      <c r="BI995" s="4"/>
      <c r="BJ995" s="4"/>
      <c r="BK995" s="4"/>
      <c r="BL995" s="4"/>
      <c r="BM995" s="4"/>
      <c r="BN995" s="4"/>
      <c r="BO995" s="4"/>
      <c r="BP995" s="4"/>
      <c r="BQ995" s="4"/>
      <c r="BR995" s="4"/>
      <c r="BS995" s="4"/>
      <c r="BT995" s="4"/>
      <c r="BU995" s="4"/>
      <c r="BV995" s="4"/>
      <c r="BW995" s="4"/>
      <c r="BX995" s="4"/>
      <c r="BY995" s="4"/>
      <c r="BZ995" s="4"/>
      <c r="CA995" s="4"/>
      <c r="CB995" s="4"/>
      <c r="CC995" s="4"/>
      <c r="CD995" s="4"/>
      <c r="CE995" s="4"/>
      <c r="CF995" s="4"/>
      <c r="CG995" s="4"/>
      <c r="CH995" s="4"/>
      <c r="CI995" s="4"/>
    </row>
    <row r="996" ht="14.25" customHeight="1" spans="1:87" x14ac:dyDescent="0.25">
      <c r="A996" s="4"/>
      <c r="B996" s="4"/>
      <c r="C996" s="4"/>
      <c r="D996" s="4"/>
      <c r="E996" s="4"/>
      <c r="F996" s="4"/>
      <c r="G996" s="4"/>
      <c r="H996" s="4"/>
      <c r="I996" s="4"/>
      <c r="J996" s="4"/>
      <c r="K996" s="242"/>
      <c r="L996" s="4"/>
      <c r="M996" s="4"/>
      <c r="N996" s="4"/>
      <c r="O996" s="4"/>
      <c r="P996" s="4"/>
      <c r="Q996" s="4"/>
      <c r="R996" s="4"/>
      <c r="S996" s="4"/>
      <c r="T996" s="4"/>
      <c r="U996" s="4"/>
      <c r="V996" s="4"/>
      <c r="W996" s="4"/>
      <c r="X996" s="4"/>
      <c r="Y996" s="4"/>
      <c r="Z996" s="4"/>
      <c r="AA996" s="4"/>
      <c r="AB996" s="4"/>
      <c r="AC996" s="4"/>
      <c r="AD996" s="4"/>
      <c r="AE996" s="4"/>
      <c r="AF996" s="4"/>
      <c r="AG996" s="4"/>
      <c r="AH996" s="4"/>
      <c r="AI996" s="4"/>
      <c r="AJ996" s="4"/>
      <c r="AK996" s="4"/>
      <c r="AL996" s="4"/>
      <c r="AM996" s="4"/>
      <c r="AN996" s="4"/>
      <c r="AO996" s="4"/>
      <c r="AP996" s="4"/>
      <c r="AQ996" s="4"/>
      <c r="AR996" s="4"/>
      <c r="AS996" s="4"/>
      <c r="AT996" s="4"/>
      <c r="AU996" s="4"/>
      <c r="AV996" s="4"/>
      <c r="AW996" s="4"/>
      <c r="AX996" s="4"/>
      <c r="AY996" s="4"/>
      <c r="AZ996" s="4"/>
      <c r="BA996" s="4"/>
      <c r="BB996" s="4"/>
      <c r="BC996" s="4"/>
      <c r="BD996" s="4"/>
      <c r="BE996" s="4"/>
      <c r="BF996" s="4"/>
      <c r="BG996" s="4"/>
      <c r="BH996" s="4"/>
      <c r="BI996" s="4"/>
      <c r="BJ996" s="4"/>
      <c r="BK996" s="4"/>
      <c r="BL996" s="4"/>
      <c r="BM996" s="4"/>
      <c r="BN996" s="4"/>
      <c r="BO996" s="4"/>
      <c r="BP996" s="4"/>
      <c r="BQ996" s="4"/>
      <c r="BR996" s="4"/>
      <c r="BS996" s="4"/>
      <c r="BT996" s="4"/>
      <c r="BU996" s="4"/>
      <c r="BV996" s="4"/>
      <c r="BW996" s="4"/>
      <c r="BX996" s="4"/>
      <c r="BY996" s="4"/>
      <c r="BZ996" s="4"/>
      <c r="CA996" s="4"/>
      <c r="CB996" s="4"/>
      <c r="CC996" s="4"/>
      <c r="CD996" s="4"/>
      <c r="CE996" s="4"/>
      <c r="CF996" s="4"/>
      <c r="CG996" s="4"/>
      <c r="CH996" s="4"/>
      <c r="CI996" s="4"/>
    </row>
    <row r="997" ht="14.25" customHeight="1" spans="1:87" x14ac:dyDescent="0.25">
      <c r="A997" s="4"/>
      <c r="B997" s="4"/>
      <c r="C997" s="4"/>
      <c r="D997" s="4"/>
      <c r="E997" s="4"/>
      <c r="F997" s="4"/>
      <c r="G997" s="4"/>
      <c r="H997" s="4"/>
      <c r="I997" s="4"/>
      <c r="J997" s="4"/>
      <c r="K997" s="242"/>
      <c r="L997" s="4"/>
      <c r="M997" s="4"/>
      <c r="N997" s="4"/>
      <c r="O997" s="4"/>
      <c r="P997" s="4"/>
      <c r="Q997" s="4"/>
      <c r="R997" s="4"/>
      <c r="S997" s="4"/>
      <c r="T997" s="4"/>
      <c r="U997" s="4"/>
      <c r="V997" s="4"/>
      <c r="W997" s="4"/>
      <c r="X997" s="4"/>
      <c r="Y997" s="4"/>
      <c r="Z997" s="4"/>
      <c r="AA997" s="4"/>
      <c r="AB997" s="4"/>
      <c r="AC997" s="4"/>
      <c r="AD997" s="4"/>
      <c r="AE997" s="4"/>
      <c r="AF997" s="4"/>
      <c r="AG997" s="4"/>
      <c r="AH997" s="4"/>
      <c r="AI997" s="4"/>
      <c r="AJ997" s="4"/>
      <c r="AK997" s="4"/>
      <c r="AL997" s="4"/>
      <c r="AM997" s="4"/>
      <c r="AN997" s="4"/>
      <c r="AO997" s="4"/>
      <c r="AP997" s="4"/>
      <c r="AQ997" s="4"/>
      <c r="AR997" s="4"/>
      <c r="AS997" s="4"/>
      <c r="AT997" s="4"/>
      <c r="AU997" s="4"/>
      <c r="AV997" s="4"/>
      <c r="AW997" s="4"/>
      <c r="AX997" s="4"/>
      <c r="AY997" s="4"/>
      <c r="AZ997" s="4"/>
      <c r="BA997" s="4"/>
      <c r="BB997" s="4"/>
      <c r="BC997" s="4"/>
      <c r="BD997" s="4"/>
      <c r="BE997" s="4"/>
      <c r="BF997" s="4"/>
      <c r="BG997" s="4"/>
      <c r="BH997" s="4"/>
      <c r="BI997" s="4"/>
      <c r="BJ997" s="4"/>
      <c r="BK997" s="4"/>
      <c r="BL997" s="4"/>
      <c r="BM997" s="4"/>
      <c r="BN997" s="4"/>
      <c r="BO997" s="4"/>
      <c r="BP997" s="4"/>
      <c r="BQ997" s="4"/>
      <c r="BR997" s="4"/>
      <c r="BS997" s="4"/>
      <c r="BT997" s="4"/>
      <c r="BU997" s="4"/>
      <c r="BV997" s="4"/>
      <c r="BW997" s="4"/>
      <c r="BX997" s="4"/>
      <c r="BY997" s="4"/>
      <c r="BZ997" s="4"/>
      <c r="CA997" s="4"/>
      <c r="CB997" s="4"/>
      <c r="CC997" s="4"/>
      <c r="CD997" s="4"/>
      <c r="CE997" s="4"/>
      <c r="CF997" s="4"/>
      <c r="CG997" s="4"/>
      <c r="CH997" s="4"/>
      <c r="CI997" s="4"/>
    </row>
    <row r="998" ht="14.25" customHeight="1" spans="1:87" x14ac:dyDescent="0.25">
      <c r="A998" s="4"/>
      <c r="B998" s="4"/>
      <c r="C998" s="4"/>
      <c r="D998" s="4"/>
      <c r="E998" s="4"/>
      <c r="F998" s="4"/>
      <c r="G998" s="4"/>
      <c r="H998" s="4"/>
      <c r="I998" s="4"/>
      <c r="J998" s="4"/>
      <c r="K998" s="242"/>
      <c r="L998" s="4"/>
      <c r="M998" s="4"/>
      <c r="N998" s="4"/>
      <c r="O998" s="4"/>
      <c r="P998" s="4"/>
      <c r="Q998" s="4"/>
      <c r="R998" s="4"/>
      <c r="S998" s="4"/>
      <c r="T998" s="4"/>
      <c r="U998" s="4"/>
      <c r="V998" s="4"/>
      <c r="W998" s="4"/>
      <c r="X998" s="4"/>
      <c r="Y998" s="4"/>
      <c r="Z998" s="4"/>
      <c r="AA998" s="4"/>
      <c r="AB998" s="4"/>
      <c r="AC998" s="4"/>
      <c r="AD998" s="4"/>
      <c r="AE998" s="4"/>
      <c r="AF998" s="4"/>
      <c r="AG998" s="4"/>
      <c r="AH998" s="4"/>
      <c r="AI998" s="4"/>
      <c r="AJ998" s="4"/>
      <c r="AK998" s="4"/>
      <c r="AL998" s="4"/>
      <c r="AM998" s="4"/>
      <c r="AN998" s="4"/>
      <c r="AO998" s="4"/>
      <c r="AP998" s="4"/>
      <c r="AQ998" s="4"/>
      <c r="AR998" s="4"/>
      <c r="AS998" s="4"/>
      <c r="AT998" s="4"/>
      <c r="AU998" s="4"/>
      <c r="AV998" s="4"/>
      <c r="AW998" s="4"/>
      <c r="AX998" s="4"/>
      <c r="AY998" s="4"/>
      <c r="AZ998" s="4"/>
      <c r="BA998" s="4"/>
      <c r="BB998" s="4"/>
      <c r="BC998" s="4"/>
      <c r="BD998" s="4"/>
      <c r="BE998" s="4"/>
      <c r="BF998" s="4"/>
      <c r="BG998" s="4"/>
      <c r="BH998" s="4"/>
      <c r="BI998" s="4"/>
      <c r="BJ998" s="4"/>
      <c r="BK998" s="4"/>
      <c r="BL998" s="4"/>
      <c r="BM998" s="4"/>
      <c r="BN998" s="4"/>
      <c r="BO998" s="4"/>
      <c r="BP998" s="4"/>
      <c r="BQ998" s="4"/>
      <c r="BR998" s="4"/>
      <c r="BS998" s="4"/>
      <c r="BT998" s="4"/>
      <c r="BU998" s="4"/>
      <c r="BV998" s="4"/>
      <c r="BW998" s="4"/>
      <c r="BX998" s="4"/>
      <c r="BY998" s="4"/>
      <c r="BZ998" s="4"/>
      <c r="CA998" s="4"/>
      <c r="CB998" s="4"/>
      <c r="CC998" s="4"/>
      <c r="CD998" s="4"/>
      <c r="CE998" s="4"/>
      <c r="CF998" s="4"/>
      <c r="CG998" s="4"/>
      <c r="CH998" s="4"/>
      <c r="CI998" s="4"/>
    </row>
    <row r="999" ht="14.25" customHeight="1" spans="1:87" x14ac:dyDescent="0.25">
      <c r="A999" s="4"/>
      <c r="B999" s="4"/>
      <c r="C999" s="4"/>
      <c r="D999" s="4"/>
      <c r="E999" s="4"/>
      <c r="F999" s="4"/>
      <c r="G999" s="4"/>
      <c r="H999" s="4"/>
      <c r="I999" s="4"/>
      <c r="J999" s="4"/>
      <c r="K999" s="242"/>
      <c r="L999" s="4"/>
      <c r="M999" s="4"/>
      <c r="N999" s="4"/>
      <c r="O999" s="4"/>
      <c r="P999" s="4"/>
      <c r="Q999" s="4"/>
      <c r="R999" s="4"/>
      <c r="S999" s="4"/>
      <c r="T999" s="4"/>
      <c r="U999" s="4"/>
      <c r="V999" s="4"/>
      <c r="W999" s="4"/>
      <c r="X999" s="4"/>
      <c r="Y999" s="4"/>
      <c r="Z999" s="4"/>
      <c r="AA999" s="4"/>
      <c r="AB999" s="4"/>
      <c r="AC999" s="4"/>
      <c r="AD999" s="4"/>
      <c r="AE999" s="4"/>
      <c r="AF999" s="4"/>
      <c r="AG999" s="4"/>
      <c r="AH999" s="4"/>
      <c r="AI999" s="4"/>
      <c r="AJ999" s="4"/>
      <c r="AK999" s="4"/>
      <c r="AL999" s="4"/>
      <c r="AM999" s="4"/>
      <c r="AN999" s="4"/>
      <c r="AO999" s="4"/>
      <c r="AP999" s="4"/>
      <c r="AQ999" s="4"/>
      <c r="AR999" s="4"/>
      <c r="AS999" s="4"/>
      <c r="AT999" s="4"/>
      <c r="AU999" s="4"/>
      <c r="AV999" s="4"/>
      <c r="AW999" s="4"/>
      <c r="AX999" s="4"/>
      <c r="AY999" s="4"/>
      <c r="AZ999" s="4"/>
      <c r="BA999" s="4"/>
      <c r="BB999" s="4"/>
      <c r="BC999" s="4"/>
      <c r="BD999" s="4"/>
      <c r="BE999" s="4"/>
      <c r="BF999" s="4"/>
      <c r="BG999" s="4"/>
      <c r="BH999" s="4"/>
      <c r="BI999" s="4"/>
      <c r="BJ999" s="4"/>
      <c r="BK999" s="4"/>
      <c r="BL999" s="4"/>
      <c r="BM999" s="4"/>
      <c r="BN999" s="4"/>
      <c r="BO999" s="4"/>
      <c r="BP999" s="4"/>
      <c r="BQ999" s="4"/>
      <c r="BR999" s="4"/>
      <c r="BS999" s="4"/>
      <c r="BT999" s="4"/>
      <c r="BU999" s="4"/>
      <c r="BV999" s="4"/>
      <c r="BW999" s="4"/>
      <c r="BX999" s="4"/>
      <c r="BY999" s="4"/>
      <c r="BZ999" s="4"/>
      <c r="CA999" s="4"/>
      <c r="CB999" s="4"/>
      <c r="CC999" s="4"/>
      <c r="CD999" s="4"/>
      <c r="CE999" s="4"/>
      <c r="CF999" s="4"/>
      <c r="CG999" s="4"/>
      <c r="CH999" s="4"/>
      <c r="CI999" s="4"/>
    </row>
    <row r="1000" ht="14.25" customHeight="1" spans="1:87" x14ac:dyDescent="0.25">
      <c r="A1000" s="4"/>
      <c r="B1000" s="4"/>
      <c r="C1000" s="4"/>
      <c r="D1000" s="4"/>
      <c r="E1000" s="4"/>
      <c r="F1000" s="4"/>
      <c r="G1000" s="4"/>
      <c r="H1000" s="4"/>
      <c r="I1000" s="4"/>
      <c r="J1000" s="4"/>
      <c r="K1000" s="242"/>
      <c r="L1000" s="4"/>
      <c r="M1000" s="4"/>
      <c r="N1000" s="4"/>
      <c r="O1000" s="4"/>
      <c r="P1000" s="4"/>
      <c r="Q1000" s="4"/>
      <c r="R1000" s="4"/>
      <c r="S1000" s="4"/>
      <c r="T1000" s="4"/>
      <c r="U1000" s="4"/>
      <c r="V1000" s="4"/>
      <c r="W1000" s="4"/>
      <c r="X1000" s="4"/>
      <c r="Y1000" s="4"/>
      <c r="Z1000" s="4"/>
      <c r="AA1000" s="4"/>
      <c r="AB1000" s="4"/>
      <c r="AC1000" s="4"/>
      <c r="AD1000" s="4"/>
      <c r="AE1000" s="4"/>
      <c r="AF1000" s="4"/>
      <c r="AG1000" s="4"/>
      <c r="AH1000" s="4"/>
      <c r="AI1000" s="4"/>
      <c r="AJ1000" s="4"/>
      <c r="AK1000" s="4"/>
      <c r="AL1000" s="4"/>
      <c r="AM1000" s="4"/>
      <c r="AN1000" s="4"/>
      <c r="AO1000" s="4"/>
      <c r="AP1000" s="4"/>
      <c r="AQ1000" s="4"/>
      <c r="AR1000" s="4"/>
      <c r="AS1000" s="4"/>
      <c r="AT1000" s="4"/>
      <c r="AU1000" s="4"/>
      <c r="AV1000" s="4"/>
      <c r="AW1000" s="4"/>
      <c r="AX1000" s="4"/>
      <c r="AY1000" s="4"/>
      <c r="AZ1000" s="4"/>
      <c r="BA1000" s="4"/>
      <c r="BB1000" s="4"/>
      <c r="BC1000" s="4"/>
      <c r="BD1000" s="4"/>
      <c r="BE1000" s="4"/>
      <c r="BF1000" s="4"/>
      <c r="BG1000" s="4"/>
      <c r="BH1000" s="4"/>
      <c r="BI1000" s="4"/>
      <c r="BJ1000" s="4"/>
      <c r="BK1000" s="4"/>
      <c r="BL1000" s="4"/>
      <c r="BM1000" s="4"/>
      <c r="BN1000" s="4"/>
      <c r="BO1000" s="4"/>
      <c r="BP1000" s="4"/>
      <c r="BQ1000" s="4"/>
      <c r="BR1000" s="4"/>
      <c r="BS1000" s="4"/>
      <c r="BT1000" s="4"/>
      <c r="BU1000" s="4"/>
      <c r="BV1000" s="4"/>
      <c r="BW1000" s="4"/>
      <c r="BX1000" s="4"/>
      <c r="BY1000" s="4"/>
      <c r="BZ1000" s="4"/>
      <c r="CA1000" s="4"/>
      <c r="CB1000" s="4"/>
      <c r="CC1000" s="4"/>
      <c r="CD1000" s="4"/>
      <c r="CE1000" s="4"/>
      <c r="CF1000" s="4"/>
      <c r="CG1000" s="4"/>
      <c r="CH1000" s="4"/>
      <c r="CI1000" s="4"/>
    </row>
  </sheetData>
  <mergeCells count="15">
    <mergeCell ref="L4:AI4"/>
    <mergeCell ref="AL4:BI4"/>
    <mergeCell ref="BL4:CI4"/>
    <mergeCell ref="L5:Q5"/>
    <mergeCell ref="R5:W5"/>
    <mergeCell ref="X5:AC5"/>
    <mergeCell ref="AD5:AI5"/>
    <mergeCell ref="AL5:AQ5"/>
    <mergeCell ref="AR5:AW5"/>
    <mergeCell ref="AX5:BC5"/>
    <mergeCell ref="BD5:BI5"/>
    <mergeCell ref="BL5:BQ5"/>
    <mergeCell ref="BR5:BW5"/>
    <mergeCell ref="BX5:CC5"/>
    <mergeCell ref="CD5:CI5"/>
  </mergeCells>
  <pageMargins left="0.7" right="0.7" top="0.75" bottom="0.75" header="0" footer="0"/>
  <pageSetup orientation="portrait" horizontalDpi="4294967295" verticalDpi="4294967295" scale="100" fitToWidth="1" fitToHeight="1" firstPageNumber="1" useFirstPageNumber="1" copies="1"/>
  <legacy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7F7F7F"/>
  </sheetPr>
  <dimension ref="A1:AG1000"/>
  <sheetViews>
    <sheetView workbookViewId="0" showGridLines="0" zoomScale="100" zoomScaleNormal="100">
      <pane ySplit="2" topLeftCell="A3" activePane="bottomLeft" state="frozen"/>
      <selection pane="bottomLeft" activeCell="B4" sqref="B4"/>
    </sheetView>
  </sheetViews>
  <sheetFormatPr defaultRowHeight="15" outlineLevelRow="1" outlineLevelCol="0" x14ac:dyDescent="0" defaultColWidth="14.5"/>
  <cols>
    <col min="1" max="2" width="1.6640625" customWidth="1"/>
    <col min="3" max="3" width="12.5" customWidth="1"/>
    <col min="4" max="4" width="10.5" customWidth="1"/>
    <col min="5" max="5" width="12.83203125" customWidth="1"/>
    <col min="6" max="15" width="10.5" customWidth="1"/>
    <col min="16" max="16" width="12.5" customWidth="1"/>
    <col min="17" max="18" width="10.5" customWidth="1"/>
    <col min="19" max="19" width="1.6640625" customWidth="1"/>
    <col min="20" max="25" width="10.5" customWidth="1"/>
    <col min="26" max="30" width="8.6640625" customWidth="1"/>
  </cols>
  <sheetData>
    <row r="1" ht="13.5" customHeight="1" spans="1:30" x14ac:dyDescent="0.25">
      <c r="A1" s="11"/>
      <c r="B1" s="11"/>
      <c r="C1" s="12" t="str">
        <f ca="1">Company_Name&amp;" - "&amp;MID(CELL("filename",A1),FIND("]",CELL("filename",A1))+1,255)&amp;": "&amp;Case_Scenario&amp;" Case"</f>
        <v>Lowe's Companies, Inc. - Charts: Base Case</v>
      </c>
      <c r="D1" s="11"/>
      <c r="E1" s="11"/>
      <c r="F1" s="11"/>
      <c r="G1" s="11"/>
      <c r="H1" s="11"/>
      <c r="I1" s="11"/>
      <c r="J1" s="11"/>
      <c r="K1" s="11"/>
      <c r="L1" s="11"/>
      <c r="M1" s="11"/>
      <c r="N1" s="11"/>
      <c r="O1" s="11"/>
      <c r="P1" s="11"/>
      <c r="Q1" s="11"/>
      <c r="R1" s="11"/>
      <c r="S1" s="11"/>
      <c r="T1" s="11"/>
      <c r="U1" s="11"/>
      <c r="V1" s="11"/>
      <c r="W1" s="11"/>
      <c r="X1" s="11"/>
      <c r="Y1" s="11"/>
      <c r="Z1" s="11"/>
      <c r="AA1" s="11"/>
      <c r="AB1" s="11"/>
      <c r="AC1" s="11"/>
      <c r="AD1" s="11"/>
    </row>
    <row r="2" ht="13.5" customHeight="1" spans="1:30" x14ac:dyDescent="0.25">
      <c r="A2" s="4"/>
      <c r="B2" s="4"/>
      <c r="C2" s="14" t="str">
        <f ca="1">Cover!C2</f>
        <v>$ in Millions Except Per Share Data</v>
      </c>
      <c r="D2" s="4"/>
      <c r="E2" s="4"/>
      <c r="F2" s="4"/>
      <c r="G2" s="4"/>
      <c r="H2" s="4"/>
      <c r="I2" s="4"/>
      <c r="J2" s="4"/>
      <c r="K2" s="4"/>
      <c r="L2" s="4"/>
      <c r="M2" s="4"/>
      <c r="N2" s="4"/>
      <c r="O2" s="4"/>
      <c r="P2" s="4"/>
      <c r="Q2" s="4"/>
      <c r="R2" s="4"/>
      <c r="S2" s="4"/>
      <c r="T2" s="4"/>
      <c r="U2" s="4"/>
      <c r="V2" s="4"/>
      <c r="W2" s="4"/>
      <c r="X2" s="4"/>
      <c r="Y2" s="4"/>
      <c r="Z2" s="4"/>
      <c r="AA2" s="4"/>
      <c r="AB2" s="4"/>
      <c r="AC2" s="4"/>
      <c r="AD2" s="4"/>
    </row>
    <row r="3" ht="13.5" customHeight="1" spans="1:30" x14ac:dyDescent="0.25">
      <c r="A3" s="5" t="s">
        <v>1</v>
      </c>
      <c r="B3" s="16"/>
      <c r="C3" s="16"/>
      <c r="D3" s="16"/>
      <c r="E3" s="16"/>
      <c r="F3" s="16"/>
      <c r="G3" s="16"/>
      <c r="H3" s="16"/>
      <c r="I3" s="16"/>
      <c r="J3" s="16"/>
      <c r="K3" s="16"/>
      <c r="L3" s="16"/>
      <c r="M3" s="16"/>
      <c r="N3" s="16"/>
      <c r="O3" s="16"/>
      <c r="P3" s="16"/>
      <c r="Q3" s="16"/>
      <c r="R3" s="16"/>
      <c r="S3" s="16" t="s">
        <v>1</v>
      </c>
      <c r="T3" s="16"/>
      <c r="U3" s="16"/>
      <c r="V3" s="16"/>
      <c r="W3" s="16"/>
      <c r="X3" s="16"/>
      <c r="Y3" s="16"/>
      <c r="Z3" s="16"/>
      <c r="AA3" s="16"/>
      <c r="AB3" s="16"/>
      <c r="AC3" s="16"/>
      <c r="AD3" s="16"/>
    </row>
    <row r="4" ht="13.5" customHeight="1" spans="1:30" x14ac:dyDescent="0.25">
      <c r="A4" s="17"/>
      <c r="B4" s="16"/>
      <c r="C4" s="110" t="s">
        <v>935</v>
      </c>
      <c r="D4" s="111"/>
      <c r="E4" s="111"/>
      <c r="F4" s="111"/>
      <c r="G4" s="111"/>
      <c r="H4" s="111"/>
      <c r="I4" s="111"/>
      <c r="J4" s="16"/>
      <c r="K4" s="16"/>
      <c r="L4" s="16"/>
      <c r="M4" s="16"/>
      <c r="N4" s="16"/>
      <c r="O4" s="16"/>
      <c r="P4" s="16"/>
      <c r="Q4" s="16"/>
      <c r="R4" s="16"/>
      <c r="S4" s="16"/>
      <c r="T4" s="16"/>
      <c r="U4" s="16"/>
      <c r="V4" s="16"/>
      <c r="W4" s="16"/>
      <c r="X4" s="16"/>
      <c r="Y4" s="16"/>
      <c r="Z4" s="16"/>
      <c r="AA4" s="16"/>
      <c r="AB4" s="16"/>
      <c r="AC4" s="16"/>
      <c r="AD4" s="16"/>
    </row>
    <row r="5" ht="13.5" customHeight="1" spans="1:30" x14ac:dyDescent="0.25">
      <c r="A5" s="17"/>
      <c r="B5" s="16"/>
      <c r="C5" s="199"/>
      <c r="D5" s="199"/>
      <c r="E5" s="199"/>
      <c r="F5" s="199"/>
      <c r="G5" s="199"/>
      <c r="H5" s="199"/>
      <c r="I5" s="199"/>
      <c r="J5" s="16"/>
      <c r="K5" s="16"/>
      <c r="L5" s="16"/>
      <c r="M5" s="16"/>
      <c r="N5" s="16"/>
      <c r="O5" s="16"/>
      <c r="P5" s="16"/>
      <c r="Q5" s="16"/>
      <c r="R5" s="16"/>
      <c r="S5" s="16"/>
      <c r="T5" s="16"/>
      <c r="U5" s="16"/>
      <c r="V5" s="16"/>
      <c r="W5" s="16"/>
      <c r="X5" s="16"/>
      <c r="Y5" s="16"/>
      <c r="Z5" s="16"/>
      <c r="AA5" s="16"/>
      <c r="AB5" s="16"/>
      <c r="AC5" s="16"/>
      <c r="AD5" s="16"/>
    </row>
    <row r="6" ht="13.5" customHeight="1" spans="1:30" x14ac:dyDescent="0.25">
      <c r="A6" s="17"/>
      <c r="B6" s="16"/>
      <c r="C6" s="190"/>
      <c r="D6" s="851">
        <f ca="1">Summary!T$6</f>
        <v>2023</v>
      </c>
      <c r="E6" s="851">
        <f ca="1">Summary!U$6</f>
        <v>2024</v>
      </c>
      <c r="F6" s="851">
        <f ca="1">Summary!V$6</f>
        <v>2025</v>
      </c>
      <c r="G6" s="851" t="str">
        <f ca="1">Summary!W$6</f>
        <v>2026e</v>
      </c>
      <c r="H6" s="851" t="str">
        <f ca="1">Summary!X$6</f>
        <v>2027e</v>
      </c>
      <c r="I6" s="852" t="str">
        <f ca="1">Summary!Y$6</f>
        <v>2028e</v>
      </c>
      <c r="J6" s="16"/>
      <c r="K6" s="853"/>
      <c r="L6" s="16"/>
      <c r="M6" s="16"/>
      <c r="N6" s="16"/>
      <c r="O6" s="16"/>
      <c r="P6" s="16"/>
      <c r="Q6" s="16"/>
      <c r="R6" s="16"/>
      <c r="S6" s="16"/>
      <c r="T6" s="16"/>
      <c r="U6" s="16"/>
      <c r="V6" s="16"/>
      <c r="W6" s="16"/>
      <c r="X6" s="16"/>
      <c r="Y6" s="16"/>
      <c r="Z6" s="16"/>
      <c r="AA6" s="16"/>
      <c r="AB6" s="16"/>
      <c r="AC6" s="16"/>
      <c r="AD6" s="16"/>
    </row>
    <row r="7" ht="13.5" customHeight="1" spans="1:30" x14ac:dyDescent="0.25">
      <c r="A7" s="17"/>
      <c r="B7" s="16"/>
      <c r="C7" s="854" t="s">
        <v>275</v>
      </c>
      <c r="D7" s="855">
        <f ca="1">Summary!T16</f>
        <v>0.05634632374595072</v>
      </c>
      <c r="E7" s="855">
        <f ca="1">Summary!U16</f>
        <v>0.08751455341797416</v>
      </c>
      <c r="F7" s="855">
        <f ca="1">Summary!V16</f>
        <v>0.12156657030927374</v>
      </c>
      <c r="G7" s="855">
        <f ca="1">Summary!W16</f>
        <v>0.08226262669098001</v>
      </c>
      <c r="H7" s="855">
        <f ca="1">Summary!X16</f>
        <v>-0.10015651845772622</v>
      </c>
      <c r="I7" s="855">
        <f ca="1">Summary!Y16</f>
        <v>-0.08923024548635708</v>
      </c>
      <c r="J7" s="16"/>
      <c r="K7" s="16"/>
      <c r="L7" s="16"/>
      <c r="M7" s="16"/>
      <c r="N7" s="16"/>
      <c r="O7" s="16"/>
      <c r="P7" s="16"/>
      <c r="Q7" s="16"/>
      <c r="R7" s="16"/>
      <c r="S7" s="16"/>
      <c r="T7" s="16"/>
      <c r="U7" s="16"/>
      <c r="V7" s="16"/>
      <c r="W7" s="16"/>
      <c r="X7" s="16"/>
      <c r="Y7" s="16"/>
      <c r="Z7" s="856"/>
      <c r="AA7" s="16"/>
      <c r="AB7" s="16"/>
      <c r="AC7" s="16"/>
      <c r="AD7" s="16"/>
    </row>
    <row r="8" ht="13.5" customHeight="1" spans="1:30" x14ac:dyDescent="0.25">
      <c r="A8" s="17"/>
      <c r="B8" s="16"/>
      <c r="C8" s="854" t="s">
        <v>292</v>
      </c>
      <c r="D8" s="855">
        <f ca="1">Summary!T28</f>
        <v>0.10295460601046151</v>
      </c>
      <c r="E8" s="855">
        <f ca="1">Summary!U28</f>
        <v>0.10761906081942674</v>
      </c>
      <c r="F8" s="855">
        <f ca="1">Summary!V28</f>
        <v>0.14634273468977757</v>
      </c>
      <c r="G8" s="855">
        <f ca="1">Summary!W28</f>
        <v>0.3882465934192454</v>
      </c>
      <c r="H8" s="855">
        <f ca="1">Summary!X28</f>
        <v>-0.08728209284612236</v>
      </c>
      <c r="I8" s="855">
        <f ca="1">Summary!Y28</f>
        <v>-0.07600000000000003</v>
      </c>
      <c r="J8" s="16"/>
      <c r="K8" s="16"/>
      <c r="L8" s="16"/>
      <c r="M8" s="16"/>
      <c r="N8" s="16"/>
      <c r="O8" s="16"/>
      <c r="P8" s="16"/>
      <c r="Q8" s="16"/>
      <c r="R8" s="16"/>
      <c r="S8" s="16"/>
      <c r="T8" s="16"/>
      <c r="U8" s="16"/>
      <c r="V8" s="16"/>
      <c r="W8" s="16"/>
      <c r="X8" s="16"/>
      <c r="Y8" s="16"/>
      <c r="Z8" s="16"/>
      <c r="AA8" s="16"/>
      <c r="AB8" s="16"/>
      <c r="AC8" s="16"/>
      <c r="AD8" s="16"/>
    </row>
    <row r="9" ht="13.5" customHeight="1" spans="1:30" x14ac:dyDescent="0.25">
      <c r="A9" s="17"/>
      <c r="B9" s="16"/>
      <c r="C9" s="857" t="s">
        <v>936</v>
      </c>
      <c r="D9" s="858">
        <f ca="1">Summary!T20</f>
        <v>0.03245032183875808</v>
      </c>
      <c r="E9" s="858">
        <f ca="1">Summary!U20</f>
        <v>0.059336364140378114</v>
      </c>
      <c r="F9" s="858">
        <f ca="1">Summary!V20</f>
        <v>0.06512494837996807</v>
      </c>
      <c r="G9" s="858">
        <f ca="1">Summary!W20</f>
        <v>0.33349120069286636</v>
      </c>
      <c r="H9" s="858">
        <f ca="1">Summary!X20</f>
        <v>-0.08335882582929674</v>
      </c>
      <c r="I9" s="858">
        <f ca="1">Summary!Y20</f>
        <v>-0.0780726626078125</v>
      </c>
      <c r="J9" s="16"/>
      <c r="K9" s="16"/>
      <c r="L9" s="16"/>
      <c r="M9" s="16"/>
      <c r="N9" s="16"/>
      <c r="O9" s="16"/>
      <c r="P9" s="16"/>
      <c r="Q9" s="16"/>
      <c r="R9" s="16"/>
      <c r="S9" s="16"/>
      <c r="T9" s="16"/>
      <c r="U9" s="16"/>
      <c r="V9" s="16"/>
      <c r="W9" s="16"/>
      <c r="X9" s="16"/>
      <c r="Y9" s="16"/>
      <c r="Z9" s="16"/>
      <c r="AA9" s="16"/>
      <c r="AB9" s="16"/>
      <c r="AC9" s="16"/>
      <c r="AD9" s="16"/>
    </row>
    <row r="10" ht="13.5" customHeight="1" spans="1:30" x14ac:dyDescent="0.25">
      <c r="A10" s="17"/>
      <c r="B10" s="16"/>
      <c r="C10" s="16"/>
      <c r="D10" s="16"/>
      <c r="E10" s="16"/>
      <c r="F10" s="16"/>
      <c r="G10" s="16"/>
      <c r="H10" s="16"/>
      <c r="I10" s="16"/>
      <c r="J10" s="16"/>
      <c r="K10" s="16"/>
      <c r="L10" s="16"/>
      <c r="M10" s="16"/>
      <c r="N10" s="16"/>
      <c r="O10" s="16"/>
      <c r="P10" s="16"/>
      <c r="Q10" s="16"/>
      <c r="R10" s="16"/>
      <c r="S10" s="16"/>
      <c r="T10" s="16"/>
      <c r="U10" s="16"/>
      <c r="V10" s="16"/>
      <c r="W10" s="16"/>
      <c r="X10" s="16"/>
      <c r="Y10" s="16"/>
      <c r="Z10" s="16"/>
      <c r="AA10" s="16"/>
      <c r="AB10" s="16"/>
      <c r="AC10" s="16"/>
      <c r="AD10" s="16"/>
    </row>
    <row r="11" ht="13.5" customHeight="1" spans="1:30" x14ac:dyDescent="0.25">
      <c r="A11" s="17"/>
      <c r="B11" s="16"/>
      <c r="C11" s="16"/>
      <c r="D11" s="16"/>
      <c r="E11" s="16"/>
      <c r="F11" s="16"/>
      <c r="G11" s="16"/>
      <c r="H11" s="16"/>
      <c r="I11" s="16"/>
      <c r="J11" s="16"/>
      <c r="K11" s="16"/>
      <c r="L11" s="16"/>
      <c r="M11" s="16"/>
      <c r="N11" s="16"/>
      <c r="O11" s="16"/>
      <c r="P11" s="16"/>
      <c r="Q11" s="16"/>
      <c r="R11" s="16"/>
      <c r="S11" s="16"/>
      <c r="T11" s="16"/>
      <c r="U11" s="16"/>
      <c r="V11" s="16"/>
      <c r="W11" s="16"/>
      <c r="X11" s="16"/>
      <c r="Y11" s="16"/>
      <c r="Z11" s="16"/>
      <c r="AA11" s="16"/>
      <c r="AB11" s="16"/>
      <c r="AC11" s="16"/>
      <c r="AD11" s="16"/>
    </row>
    <row r="12" ht="13.5" customHeight="1" spans="1:30" x14ac:dyDescent="0.25">
      <c r="A12" s="17"/>
      <c r="B12" s="16"/>
      <c r="C12" s="16"/>
      <c r="D12" s="16"/>
      <c r="E12" s="16"/>
      <c r="F12" s="16"/>
      <c r="G12" s="16"/>
      <c r="H12" s="16"/>
      <c r="I12" s="16"/>
      <c r="J12" s="16"/>
      <c r="K12" s="16"/>
      <c r="L12" s="16"/>
      <c r="M12" s="16"/>
      <c r="N12" s="16"/>
      <c r="O12" s="16"/>
      <c r="P12" s="16"/>
      <c r="Q12" s="16"/>
      <c r="R12" s="16"/>
      <c r="S12" s="16"/>
      <c r="T12" s="16"/>
      <c r="U12" s="16"/>
      <c r="V12" s="16"/>
      <c r="W12" s="16"/>
      <c r="X12" s="16"/>
      <c r="Y12" s="16"/>
      <c r="Z12" s="16"/>
      <c r="AA12" s="16"/>
      <c r="AB12" s="16"/>
      <c r="AC12" s="16"/>
      <c r="AD12" s="16"/>
    </row>
    <row r="13" ht="13.5" customHeight="1" spans="1:30" x14ac:dyDescent="0.25">
      <c r="A13" s="17"/>
      <c r="B13" s="16"/>
      <c r="C13" s="16"/>
      <c r="D13" s="16"/>
      <c r="E13" s="16"/>
      <c r="F13" s="16"/>
      <c r="G13" s="16"/>
      <c r="H13" s="16"/>
      <c r="I13" s="16"/>
      <c r="J13" s="16"/>
      <c r="K13" s="16"/>
      <c r="L13" s="16"/>
      <c r="M13" s="16"/>
      <c r="N13" s="16"/>
      <c r="O13" s="16"/>
      <c r="P13" s="16"/>
      <c r="Q13" s="16"/>
      <c r="R13" s="16"/>
      <c r="S13" s="16"/>
      <c r="T13" s="16"/>
      <c r="U13" s="16"/>
      <c r="V13" s="16"/>
      <c r="W13" s="16"/>
      <c r="X13" s="16"/>
      <c r="Y13" s="16"/>
      <c r="Z13" s="16"/>
      <c r="AA13" s="16"/>
      <c r="AB13" s="16"/>
      <c r="AC13" s="16"/>
      <c r="AD13" s="16"/>
    </row>
    <row r="14" ht="13.5" customHeight="1" spans="1:30" x14ac:dyDescent="0.25">
      <c r="A14" s="17"/>
      <c r="B14" s="16"/>
      <c r="C14" s="16"/>
      <c r="D14" s="16"/>
      <c r="E14" s="16"/>
      <c r="F14" s="16"/>
      <c r="G14" s="16"/>
      <c r="H14" s="16"/>
      <c r="I14" s="16"/>
      <c r="J14" s="16"/>
      <c r="K14" s="16"/>
      <c r="L14" s="16"/>
      <c r="M14" s="16"/>
      <c r="N14" s="16"/>
      <c r="O14" s="16"/>
      <c r="P14" s="16"/>
      <c r="Q14" s="16"/>
      <c r="R14" s="16"/>
      <c r="S14" s="16"/>
      <c r="T14" s="16"/>
      <c r="U14" s="16"/>
      <c r="V14" s="16"/>
      <c r="W14" s="16"/>
      <c r="X14" s="16"/>
      <c r="Y14" s="16"/>
      <c r="Z14" s="16"/>
      <c r="AA14" s="16"/>
      <c r="AB14" s="16"/>
      <c r="AC14" s="16"/>
      <c r="AD14" s="16"/>
    </row>
    <row r="15" ht="13.5" customHeight="1" spans="1:30" x14ac:dyDescent="0.25">
      <c r="A15" s="17"/>
      <c r="B15" s="16"/>
      <c r="C15" s="16"/>
      <c r="D15" s="16"/>
      <c r="E15" s="16"/>
      <c r="F15" s="16"/>
      <c r="G15" s="16"/>
      <c r="H15" s="16"/>
      <c r="I15" s="16"/>
      <c r="J15" s="16"/>
      <c r="K15" s="16"/>
      <c r="L15" s="16"/>
      <c r="M15" s="16"/>
      <c r="N15" s="16"/>
      <c r="O15" s="16"/>
      <c r="P15" s="16"/>
      <c r="Q15" s="16"/>
      <c r="R15" s="16"/>
      <c r="S15" s="16"/>
      <c r="T15" s="16"/>
      <c r="U15" s="16"/>
      <c r="V15" s="16"/>
      <c r="W15" s="16"/>
      <c r="X15" s="16"/>
      <c r="Y15" s="16"/>
      <c r="Z15" s="16"/>
      <c r="AA15" s="16"/>
      <c r="AB15" s="16"/>
      <c r="AC15" s="16"/>
      <c r="AD15" s="16"/>
    </row>
    <row r="16" ht="13.5" customHeight="1" spans="1:30" x14ac:dyDescent="0.25">
      <c r="A16" s="17"/>
      <c r="B16" s="16"/>
      <c r="C16" s="16"/>
      <c r="D16" s="16"/>
      <c r="E16" s="16"/>
      <c r="F16" s="16"/>
      <c r="G16" s="16"/>
      <c r="H16" s="16"/>
      <c r="I16" s="16"/>
      <c r="J16" s="16"/>
      <c r="K16" s="16"/>
      <c r="L16" s="16"/>
      <c r="M16" s="16"/>
      <c r="N16" s="16"/>
      <c r="O16" s="16"/>
      <c r="P16" s="16"/>
      <c r="Q16" s="16"/>
      <c r="R16" s="16"/>
      <c r="S16" s="16"/>
      <c r="T16" s="16"/>
      <c r="U16" s="16"/>
      <c r="V16" s="16"/>
      <c r="W16" s="16"/>
      <c r="X16" s="16"/>
      <c r="Y16" s="16"/>
      <c r="Z16" s="16"/>
      <c r="AA16" s="16"/>
      <c r="AB16" s="16"/>
      <c r="AC16" s="16"/>
      <c r="AD16" s="16"/>
    </row>
    <row r="17" ht="13.5" customHeight="1" spans="1:30" x14ac:dyDescent="0.25">
      <c r="A17" s="17"/>
      <c r="B17" s="16"/>
      <c r="C17" s="16"/>
      <c r="D17" s="16"/>
      <c r="E17" s="16"/>
      <c r="F17" s="16"/>
      <c r="G17" s="16"/>
      <c r="H17" s="16"/>
      <c r="I17" s="16"/>
      <c r="J17" s="16"/>
      <c r="K17" s="16"/>
      <c r="L17" s="16"/>
      <c r="M17" s="16"/>
      <c r="N17" s="16"/>
      <c r="O17" s="16"/>
      <c r="P17" s="16"/>
      <c r="Q17" s="16"/>
      <c r="R17" s="16"/>
      <c r="S17" s="16"/>
      <c r="T17" s="16"/>
      <c r="U17" s="16"/>
      <c r="V17" s="16"/>
      <c r="W17" s="16"/>
      <c r="X17" s="16"/>
      <c r="Y17" s="16"/>
      <c r="Z17" s="16"/>
      <c r="AA17" s="16"/>
      <c r="AB17" s="16"/>
      <c r="AC17" s="16"/>
      <c r="AD17" s="16"/>
    </row>
    <row r="18" ht="13.5" customHeight="1" spans="1:30" x14ac:dyDescent="0.25">
      <c r="A18" s="17"/>
      <c r="B18" s="16"/>
      <c r="C18" s="16"/>
      <c r="D18" s="16"/>
      <c r="E18" s="16"/>
      <c r="F18" s="16"/>
      <c r="G18" s="16"/>
      <c r="H18" s="16"/>
      <c r="I18" s="16"/>
      <c r="J18" s="16"/>
      <c r="K18" s="16"/>
      <c r="L18" s="16"/>
      <c r="M18" s="16"/>
      <c r="N18" s="16"/>
      <c r="O18" s="16"/>
      <c r="P18" s="16"/>
      <c r="Q18" s="16"/>
      <c r="R18" s="16"/>
      <c r="S18" s="16"/>
      <c r="T18" s="16"/>
      <c r="U18" s="16"/>
      <c r="V18" s="16"/>
      <c r="W18" s="16"/>
      <c r="X18" s="16"/>
      <c r="Y18" s="16"/>
      <c r="Z18" s="16"/>
      <c r="AA18" s="16"/>
      <c r="AB18" s="16"/>
      <c r="AC18" s="16"/>
      <c r="AD18" s="16"/>
    </row>
    <row r="19" ht="13.5" customHeight="1" spans="1:30" x14ac:dyDescent="0.25">
      <c r="A19" s="17"/>
      <c r="B19" s="16"/>
      <c r="C19" s="16"/>
      <c r="D19" s="16"/>
      <c r="E19" s="16"/>
      <c r="F19" s="16"/>
      <c r="G19" s="16"/>
      <c r="H19" s="16"/>
      <c r="I19" s="16"/>
      <c r="J19" s="16"/>
      <c r="K19" s="16"/>
      <c r="L19" s="16"/>
      <c r="M19" s="16"/>
      <c r="N19" s="16"/>
      <c r="O19" s="16"/>
      <c r="P19" s="16"/>
      <c r="Q19" s="16"/>
      <c r="R19" s="16"/>
      <c r="S19" s="16"/>
      <c r="T19" s="16"/>
      <c r="U19" s="16"/>
      <c r="V19" s="16"/>
      <c r="W19" s="16"/>
      <c r="X19" s="16"/>
      <c r="Y19" s="16"/>
      <c r="Z19" s="16"/>
      <c r="AA19" s="16"/>
      <c r="AB19" s="16"/>
      <c r="AC19" s="16"/>
      <c r="AD19" s="16"/>
    </row>
    <row r="20" ht="13.5" customHeight="1" spans="1:30" x14ac:dyDescent="0.25">
      <c r="A20" s="17"/>
      <c r="B20" s="16"/>
      <c r="C20" s="16"/>
      <c r="D20" s="16"/>
      <c r="E20" s="16"/>
      <c r="F20" s="16"/>
      <c r="G20" s="16"/>
      <c r="H20" s="16"/>
      <c r="I20" s="16"/>
      <c r="J20" s="16"/>
      <c r="K20" s="16"/>
      <c r="L20" s="16"/>
      <c r="M20" s="16"/>
      <c r="N20" s="16"/>
      <c r="O20" s="16"/>
      <c r="P20" s="16"/>
      <c r="Q20" s="16"/>
      <c r="R20" s="16"/>
      <c r="S20" s="16"/>
      <c r="T20" s="16"/>
      <c r="U20" s="16"/>
      <c r="V20" s="16"/>
      <c r="W20" s="16"/>
      <c r="X20" s="16"/>
      <c r="Y20" s="16"/>
      <c r="Z20" s="16"/>
      <c r="AA20" s="16"/>
      <c r="AB20" s="16"/>
      <c r="AC20" s="16"/>
      <c r="AD20" s="16"/>
    </row>
    <row r="21" ht="13.5" customHeight="1" spans="1:30" x14ac:dyDescent="0.25">
      <c r="A21" s="17"/>
      <c r="B21" s="16"/>
      <c r="C21" s="16"/>
      <c r="D21" s="16"/>
      <c r="E21" s="16"/>
      <c r="F21" s="16"/>
      <c r="G21" s="16"/>
      <c r="H21" s="16"/>
      <c r="I21" s="16"/>
      <c r="J21" s="16"/>
      <c r="K21" s="16"/>
      <c r="L21" s="16"/>
      <c r="M21" s="16"/>
      <c r="N21" s="16"/>
      <c r="O21" s="16"/>
      <c r="P21" s="16"/>
      <c r="Q21" s="16"/>
      <c r="R21" s="16"/>
      <c r="S21" s="16"/>
      <c r="T21" s="16"/>
      <c r="U21" s="16"/>
      <c r="V21" s="16"/>
      <c r="W21" s="16"/>
      <c r="X21" s="16"/>
      <c r="Y21" s="16"/>
      <c r="Z21" s="16"/>
      <c r="AA21" s="16"/>
      <c r="AB21" s="16"/>
      <c r="AC21" s="16"/>
      <c r="AD21" s="16"/>
    </row>
    <row r="22" ht="13.5" customHeight="1" spans="1:30" x14ac:dyDescent="0.25">
      <c r="A22" s="17"/>
      <c r="B22" s="16"/>
      <c r="C22" s="16"/>
      <c r="D22" s="16"/>
      <c r="E22" s="16"/>
      <c r="F22" s="16"/>
      <c r="G22" s="16"/>
      <c r="H22" s="16"/>
      <c r="I22" s="16"/>
      <c r="J22" s="16"/>
      <c r="K22" s="16"/>
      <c r="L22" s="16"/>
      <c r="M22" s="16"/>
      <c r="N22" s="16"/>
      <c r="O22" s="16"/>
      <c r="P22" s="16"/>
      <c r="Q22" s="16"/>
      <c r="R22" s="16"/>
      <c r="S22" s="16"/>
      <c r="T22" s="16"/>
      <c r="U22" s="16"/>
      <c r="V22" s="16"/>
      <c r="W22" s="16"/>
      <c r="X22" s="16"/>
      <c r="Y22" s="16"/>
      <c r="Z22" s="16"/>
      <c r="AA22" s="16"/>
      <c r="AB22" s="16"/>
      <c r="AC22" s="16"/>
      <c r="AD22" s="16"/>
    </row>
    <row r="23" ht="13.5" customHeight="1" spans="1:30" x14ac:dyDescent="0.25">
      <c r="A23" s="17"/>
      <c r="B23" s="16"/>
      <c r="C23" s="16"/>
      <c r="D23" s="16"/>
      <c r="E23" s="16"/>
      <c r="F23" s="16"/>
      <c r="G23" s="16"/>
      <c r="H23" s="16"/>
      <c r="I23" s="16"/>
      <c r="J23" s="16"/>
      <c r="K23" s="16"/>
      <c r="L23" s="16"/>
      <c r="M23" s="16"/>
      <c r="N23" s="16"/>
      <c r="O23" s="16"/>
      <c r="P23" s="16"/>
      <c r="Q23" s="16"/>
      <c r="R23" s="16"/>
      <c r="S23" s="16"/>
      <c r="T23" s="16"/>
      <c r="U23" s="16"/>
      <c r="V23" s="16"/>
      <c r="W23" s="16"/>
      <c r="X23" s="16"/>
      <c r="Y23" s="16"/>
      <c r="Z23" s="16"/>
      <c r="AA23" s="16"/>
      <c r="AB23" s="16"/>
      <c r="AC23" s="16"/>
      <c r="AD23" s="16"/>
    </row>
    <row r="24" ht="13.5" customHeight="1" spans="1:30" x14ac:dyDescent="0.25">
      <c r="A24" s="17"/>
      <c r="B24" s="16"/>
      <c r="C24" s="16"/>
      <c r="D24" s="16"/>
      <c r="E24" s="16"/>
      <c r="F24" s="16"/>
      <c r="G24" s="16"/>
      <c r="H24" s="16"/>
      <c r="I24" s="16"/>
      <c r="J24" s="16"/>
      <c r="K24" s="16"/>
      <c r="L24" s="16"/>
      <c r="M24" s="16"/>
      <c r="N24" s="16"/>
      <c r="O24" s="16"/>
      <c r="P24" s="16"/>
      <c r="Q24" s="16"/>
      <c r="R24" s="16"/>
      <c r="S24" s="16"/>
      <c r="T24" s="16"/>
      <c r="U24" s="16"/>
      <c r="V24" s="16"/>
      <c r="W24" s="16"/>
      <c r="X24" s="16"/>
      <c r="Y24" s="16"/>
      <c r="Z24" s="16"/>
      <c r="AA24" s="16"/>
      <c r="AB24" s="16"/>
      <c r="AC24" s="16"/>
      <c r="AD24" s="16"/>
    </row>
    <row r="25" ht="13.5" customHeight="1" spans="1:30" x14ac:dyDescent="0.25">
      <c r="A25" s="17" t="s">
        <v>1</v>
      </c>
      <c r="B25" s="16"/>
      <c r="C25" s="110" t="str">
        <f ca="1">Ticker&amp;" - Financial Analysis"</f>
        <v>LOW - Financial Analysis</v>
      </c>
      <c r="D25" s="111"/>
      <c r="E25" s="111"/>
      <c r="F25" s="111"/>
      <c r="G25" s="111"/>
      <c r="H25" s="111"/>
      <c r="I25" s="111"/>
      <c r="J25" s="111"/>
      <c r="K25" s="111"/>
      <c r="L25" s="111"/>
      <c r="M25" s="111"/>
      <c r="N25" s="111"/>
      <c r="O25" s="111"/>
      <c r="P25" s="111"/>
      <c r="Q25" s="111"/>
      <c r="R25" s="16"/>
      <c r="S25" s="16"/>
      <c r="T25" s="16"/>
      <c r="U25" s="16"/>
      <c r="V25" s="16"/>
      <c r="W25" s="16"/>
      <c r="X25" s="16"/>
      <c r="Y25" s="16"/>
      <c r="Z25" s="16"/>
      <c r="AA25" s="16"/>
      <c r="AB25" s="16"/>
      <c r="AC25" s="16"/>
      <c r="AD25" s="16"/>
    </row>
    <row r="26" ht="13.5" customHeight="1" spans="1:30" x14ac:dyDescent="0.25">
      <c r="A26" s="17"/>
      <c r="B26" s="16"/>
      <c r="C26" s="199"/>
      <c r="D26" s="199"/>
      <c r="E26" s="199"/>
      <c r="F26" s="199"/>
      <c r="G26" s="199"/>
      <c r="H26" s="199"/>
      <c r="I26" s="199"/>
      <c r="J26" s="16"/>
      <c r="K26" s="16"/>
      <c r="L26" s="16"/>
      <c r="M26" s="16"/>
      <c r="N26" s="16"/>
      <c r="O26" s="16"/>
      <c r="P26" s="16"/>
      <c r="Q26" s="16"/>
      <c r="R26" s="16"/>
      <c r="S26" s="16"/>
      <c r="T26" s="16"/>
      <c r="U26" s="16"/>
      <c r="V26" s="16"/>
      <c r="W26" s="16"/>
      <c r="X26" s="16"/>
      <c r="Y26" s="16"/>
      <c r="Z26" s="16"/>
      <c r="AA26" s="16"/>
      <c r="AB26" s="16"/>
      <c r="AC26" s="16"/>
      <c r="AD26" s="16"/>
    </row>
    <row r="27" ht="13.5" customHeight="1" spans="1:30" x14ac:dyDescent="0.25">
      <c r="A27" s="17"/>
      <c r="B27" s="16"/>
      <c r="C27" s="199"/>
      <c r="D27" s="199"/>
      <c r="E27" s="199"/>
      <c r="F27" s="199"/>
      <c r="G27" s="199"/>
      <c r="H27" s="199"/>
      <c r="I27" s="199"/>
      <c r="J27" s="16"/>
      <c r="K27" s="16"/>
      <c r="L27" s="16"/>
      <c r="M27" s="16"/>
      <c r="N27" s="16"/>
      <c r="O27" s="16"/>
      <c r="P27" s="16"/>
      <c r="Q27" s="16"/>
      <c r="R27" s="16"/>
      <c r="S27" s="16"/>
      <c r="T27" s="16"/>
      <c r="U27" s="16"/>
      <c r="V27" s="16"/>
      <c r="W27" s="16"/>
      <c r="X27" s="16"/>
      <c r="Y27" s="16"/>
      <c r="Z27" s="16"/>
      <c r="AA27" s="16"/>
      <c r="AB27" s="16"/>
      <c r="AC27" s="16"/>
      <c r="AD27" s="16"/>
    </row>
    <row r="28" ht="13.5" customHeight="1" spans="1:33" x14ac:dyDescent="0.25">
      <c r="A28" s="17"/>
      <c r="B28" s="16"/>
      <c r="C28" s="110" t="str">
        <f ca="1">'Revenue Build'!$C$32</f>
        <v>Home Improvement Retail Revenue</v>
      </c>
      <c r="D28" s="110"/>
      <c r="E28" s="110"/>
      <c r="F28" s="110"/>
      <c r="G28" s="110"/>
      <c r="H28" s="110"/>
      <c r="I28" s="110"/>
      <c r="J28" s="16"/>
      <c r="K28" s="110" t="str">
        <f ca="1">'Revenue Build'!$C$30</f>
        <v>Total Company Revenue</v>
      </c>
      <c r="L28" s="110"/>
      <c r="M28" s="110"/>
      <c r="N28" s="110"/>
      <c r="O28" s="110"/>
      <c r="P28" s="110"/>
      <c r="Q28" s="110"/>
      <c r="R28" s="16"/>
      <c r="S28" s="16"/>
      <c r="T28" s="16"/>
      <c r="U28" s="16"/>
      <c r="V28" s="16"/>
      <c r="W28" s="16"/>
      <c r="X28" s="16"/>
      <c r="Y28" s="16"/>
      <c r="Z28" s="16"/>
      <c r="AA28" s="16"/>
      <c r="AB28" s="16"/>
      <c r="AC28" s="16"/>
      <c r="AD28" s="16"/>
    </row>
    <row r="29" ht="13.5" customHeight="1" spans="1:30" x14ac:dyDescent="0.25">
      <c r="A29" s="17"/>
      <c r="B29" s="16"/>
      <c r="C29" s="199"/>
      <c r="D29" s="199"/>
      <c r="E29" s="199"/>
      <c r="F29" s="199"/>
      <c r="G29" s="199"/>
      <c r="H29" s="199"/>
      <c r="I29" s="199"/>
      <c r="J29" s="16"/>
      <c r="K29" s="16"/>
      <c r="L29" s="16"/>
      <c r="M29" s="16"/>
      <c r="N29" s="16"/>
      <c r="O29" s="16"/>
      <c r="P29" s="16"/>
      <c r="Q29" s="16"/>
      <c r="R29" s="16"/>
      <c r="S29" s="16"/>
      <c r="T29" s="16"/>
      <c r="U29" s="16"/>
      <c r="V29" s="16"/>
      <c r="W29" s="16"/>
      <c r="X29" s="16"/>
      <c r="Y29" s="16"/>
      <c r="Z29" s="16"/>
      <c r="AA29" s="16"/>
      <c r="AB29" s="16"/>
      <c r="AC29" s="16"/>
      <c r="AD29" s="16"/>
    </row>
    <row r="30" ht="13.5" customHeight="1" spans="1:30" x14ac:dyDescent="0.25">
      <c r="A30" s="17"/>
      <c r="B30" s="16"/>
      <c r="C30" s="190"/>
      <c r="D30" s="851">
        <f t="shared" ref="D30:I30" si="0" ca="1">D6</f>
        <v>2023</v>
      </c>
      <c r="E30" s="851">
        <f ca="1">E6</f>
        <v>2024</v>
      </c>
      <c r="F30" s="851">
        <f ca="1">F6</f>
        <v>2025</v>
      </c>
      <c r="G30" s="851" t="str">
        <f ca="1">G6</f>
        <v>2026e</v>
      </c>
      <c r="H30" s="851" t="str">
        <f ca="1">H6</f>
        <v>2027e</v>
      </c>
      <c r="I30" s="852" t="str">
        <f ca="1">I6</f>
        <v>2028e</v>
      </c>
      <c r="J30" s="16"/>
      <c r="K30" s="190"/>
      <c r="L30" s="851">
        <f t="shared" ref="L30:Q30" si="1" ca="1">D30</f>
        <v>2023</v>
      </c>
      <c r="M30" s="851">
        <f ca="1">E30</f>
        <v>2024</v>
      </c>
      <c r="N30" s="851">
        <f ca="1">F30</f>
        <v>2025</v>
      </c>
      <c r="O30" s="851" t="str">
        <f ca="1">G30</f>
        <v>2026e</v>
      </c>
      <c r="P30" s="851" t="str">
        <f ca="1">H30</f>
        <v>2027e</v>
      </c>
      <c r="Q30" s="852" t="str">
        <f ca="1">I30</f>
        <v>2028e</v>
      </c>
      <c r="R30" s="16"/>
      <c r="S30" s="16"/>
      <c r="T30" s="16"/>
      <c r="U30" s="16"/>
      <c r="V30" s="16"/>
      <c r="W30" s="16"/>
      <c r="X30" s="16"/>
      <c r="Y30" s="16"/>
      <c r="Z30" s="16"/>
      <c r="AA30" s="16"/>
      <c r="AB30" s="16"/>
      <c r="AC30" s="16"/>
      <c r="AD30" s="16"/>
    </row>
    <row r="31" ht="13.5" customHeight="1" spans="1:30" x14ac:dyDescent="0.25">
      <c r="A31" s="17"/>
      <c r="B31" s="16"/>
      <c r="C31" s="859" t="str">
        <f ca="1">C28</f>
        <v>Home Improvement Retail Revenue</v>
      </c>
      <c r="D31" s="832">
        <f t="array" ref="D31" ca="1">INDEX(Revenue_Data_Summary,MATCH($C31,'Revenue Build'!$C$28:$C$49,0),MATCH(Charts!D$30,'Revenue Build'!$C$28:$AG$28,0))</f>
        <v>71309</v>
      </c>
      <c r="E31" s="832">
        <f t="array" ref="E31" ca="1">INDEX(Revenue_Data_Summary,MATCH($C31,'Revenue Build'!$C$28:$C$49,0),MATCH(Charts!E$30,'Revenue Build'!$C$28:$AG$28,0))</f>
        <v>72148</v>
      </c>
      <c r="F31" s="832">
        <f t="array" ref="F31" ca="1">INDEX(Revenue_Data_Summary,MATCH($C31,'Revenue Build'!$C$28:$C$49,0),MATCH(Charts!F$30,'Revenue Build'!$C$28:$AG$28,0))</f>
        <v>89597</v>
      </c>
      <c r="G31" s="832">
        <f t="array" ref="G31" ca="1">INDEX(Revenue_Data_Summary,MATCH($C31,'Revenue Build'!$C$28:$C$49,0),MATCH(Charts!G$30,'Revenue Build'!$C$28:$AG$28,0))</f>
        <v>96682.1</v>
      </c>
      <c r="H31" s="832">
        <f t="array" ref="H31" ca="1">INDEX(Revenue_Data_Summary,MATCH($C31,'Revenue Build'!$C$28:$C$49,0),MATCH(Charts!H$30,'Revenue Build'!$C$28:$AG$28,0))</f>
        <v>105236.82134671998</v>
      </c>
      <c r="I31" s="832">
        <f t="array" ref="I31" ca="1">INDEX(Revenue_Data_Summary,MATCH($C31,'Revenue Build'!$C$28:$C$49,0),MATCH(Charts!I$30,'Revenue Build'!$C$28:$AG$28,0))</f>
        <v>107341.55777365438</v>
      </c>
      <c r="J31" s="16"/>
      <c r="K31" s="859" t="str">
        <f ca="1">K28</f>
        <v>Total Company Revenue</v>
      </c>
      <c r="L31" s="832">
        <f t="array" ref="L31" ca="1">INDEX(Revenue_Data_Summary,MATCH($K31,'Revenue Build'!$C$28:$C$49,0),MATCH(Charts!L$30,'Revenue Build'!$C$28:$AG$28,0))</f>
        <v>71309</v>
      </c>
      <c r="M31" s="832">
        <f t="array" ref="M31" ca="1">INDEX(Revenue_Data_Summary,MATCH($K31,'Revenue Build'!$C$28:$C$49,0),MATCH(Charts!M$30,'Revenue Build'!$C$28:$AG$28,0))</f>
        <v>72148</v>
      </c>
      <c r="N31" s="832">
        <f t="array" ref="N31" ca="1">INDEX(Revenue_Data_Summary,MATCH($K31,'Revenue Build'!$C$28:$C$49,0),MATCH(Charts!N$30,'Revenue Build'!$C$28:$AG$28,0))</f>
        <v>89597</v>
      </c>
      <c r="O31" s="832">
        <f t="array" ref="O31" ca="1">INDEX(Revenue_Data_Summary,MATCH($K31,'Revenue Build'!$C$28:$C$49,0),MATCH(Charts!O$30,'Revenue Build'!$C$28:$AG$28,0))</f>
        <v>96682.1</v>
      </c>
      <c r="P31" s="832">
        <f t="array" ref="P31" ca="1">INDEX(Revenue_Data_Summary,MATCH($K31,'Revenue Build'!$C$28:$C$49,0),MATCH(Charts!P$30,'Revenue Build'!$C$28:$AG$28,0))</f>
        <v>105236.82134671998</v>
      </c>
      <c r="Q31" s="832">
        <f t="array" ref="Q31" ca="1">INDEX(Revenue_Data_Summary,MATCH($K31,'Revenue Build'!$C$28:$C$49,0),MATCH(Charts!Q$30,'Revenue Build'!$C$28:$AG$28,0))</f>
        <v>107341.55777365438</v>
      </c>
      <c r="R31" s="16"/>
      <c r="S31" s="16"/>
      <c r="T31" s="16"/>
      <c r="U31" s="16"/>
      <c r="V31" s="16"/>
      <c r="W31" s="16"/>
      <c r="X31" s="16"/>
      <c r="Y31" s="16"/>
      <c r="Z31" s="16"/>
      <c r="AA31" s="16"/>
      <c r="AB31" s="16"/>
      <c r="AC31" s="16"/>
      <c r="AD31" s="16"/>
    </row>
    <row r="32" ht="13.5" customHeight="1" spans="1:30" x14ac:dyDescent="0.25">
      <c r="A32" s="17"/>
      <c r="B32" s="16"/>
      <c r="C32" s="857" t="s">
        <v>937</v>
      </c>
      <c r="D32" s="860">
        <v>0</v>
      </c>
      <c r="E32" s="861">
        <f t="shared" ref="E32:I32" si="2" ca="1">E31/D31-1</f>
        <v>0.01176569577472697</v>
      </c>
      <c r="F32" s="861">
        <f ca="1">F31/E31-1</f>
        <v>0.2418500859344681</v>
      </c>
      <c r="G32" s="861">
        <f ca="1">G31/F31-1</f>
        <v>0.07907742446733712</v>
      </c>
      <c r="H32" s="861">
        <f ca="1">H31/G31-1</f>
        <v>0.08848299061273979</v>
      </c>
      <c r="I32" s="861">
        <f ca="1">I31/H31-1</f>
        <v>0.020000000000000018</v>
      </c>
      <c r="J32" s="16"/>
      <c r="K32" s="857" t="s">
        <v>937</v>
      </c>
      <c r="L32" s="860">
        <v>0</v>
      </c>
      <c r="M32" s="861">
        <f t="shared" ref="M32:Q32" si="3" ca="1">M31/L31-1</f>
        <v>0.01176569577472697</v>
      </c>
      <c r="N32" s="861">
        <f ca="1">N31/M31-1</f>
        <v>0.2418500859344681</v>
      </c>
      <c r="O32" s="861">
        <f ca="1">O31/N31-1</f>
        <v>0.07907742446733712</v>
      </c>
      <c r="P32" s="861">
        <f ca="1">P31/O31-1</f>
        <v>0.08848299061273979</v>
      </c>
      <c r="Q32" s="861">
        <f ca="1">Q31/P31-1</f>
        <v>0.020000000000000018</v>
      </c>
      <c r="R32" s="16"/>
      <c r="S32" s="16"/>
      <c r="T32" s="16"/>
      <c r="U32" s="16"/>
      <c r="V32" s="16"/>
      <c r="W32" s="16"/>
      <c r="X32" s="16"/>
      <c r="Y32" s="16"/>
      <c r="Z32" s="16"/>
      <c r="AA32" s="16"/>
      <c r="AB32" s="16"/>
      <c r="AC32" s="16"/>
      <c r="AD32" s="16"/>
    </row>
    <row r="33" ht="13.5" customHeight="1" spans="1:30" x14ac:dyDescent="0.25">
      <c r="A33" s="17"/>
      <c r="B33" s="16"/>
      <c r="C33" s="16"/>
      <c r="D33" s="16"/>
      <c r="E33" s="16"/>
      <c r="F33" s="16"/>
      <c r="G33" s="16"/>
      <c r="H33" s="16"/>
      <c r="I33" s="16"/>
      <c r="J33" s="16"/>
      <c r="K33" s="16"/>
      <c r="L33" s="16"/>
      <c r="M33" s="16"/>
      <c r="N33" s="16"/>
      <c r="O33" s="16"/>
      <c r="P33" s="16"/>
      <c r="Q33" s="16"/>
      <c r="R33" s="16"/>
      <c r="S33" s="16"/>
      <c r="T33" s="16"/>
      <c r="U33" s="16"/>
      <c r="V33" s="16"/>
      <c r="W33" s="16"/>
      <c r="X33" s="16"/>
      <c r="Y33" s="16"/>
      <c r="Z33" s="16"/>
      <c r="AA33" s="16"/>
      <c r="AB33" s="16"/>
      <c r="AC33" s="16"/>
      <c r="AD33" s="16"/>
    </row>
    <row r="34" ht="13.5" customHeight="1" spans="1:30" x14ac:dyDescent="0.25">
      <c r="A34" s="17"/>
      <c r="B34" s="16"/>
      <c r="C34" s="16"/>
      <c r="D34" s="16"/>
      <c r="E34" s="16"/>
      <c r="F34" s="16"/>
      <c r="G34" s="16"/>
      <c r="H34" s="16"/>
      <c r="I34" s="16"/>
      <c r="J34" s="16"/>
      <c r="K34" s="16"/>
      <c r="L34" s="16"/>
      <c r="M34" s="16"/>
      <c r="N34" s="16"/>
      <c r="O34" s="16"/>
      <c r="P34" s="16"/>
      <c r="Q34" s="16"/>
      <c r="R34" s="16"/>
      <c r="S34" s="16"/>
      <c r="T34" s="16"/>
      <c r="U34" s="16"/>
      <c r="V34" s="16"/>
      <c r="W34" s="16"/>
      <c r="X34" s="16"/>
      <c r="Y34" s="16"/>
      <c r="Z34" s="16"/>
      <c r="AA34" s="16"/>
      <c r="AB34" s="16"/>
      <c r="AC34" s="16"/>
      <c r="AD34" s="16"/>
    </row>
    <row r="35" ht="13.5" customHeight="1" spans="1:30" x14ac:dyDescent="0.25">
      <c r="A35" s="17"/>
      <c r="B35" s="16"/>
      <c r="C35" s="16"/>
      <c r="D35" s="16"/>
      <c r="E35" s="16"/>
      <c r="F35" s="16"/>
      <c r="G35" s="16"/>
      <c r="H35" s="16"/>
      <c r="I35" s="16"/>
      <c r="J35" s="16"/>
      <c r="K35" s="16"/>
      <c r="L35" s="16"/>
      <c r="M35" s="16"/>
      <c r="N35" s="16"/>
      <c r="O35" s="16"/>
      <c r="P35" s="16"/>
      <c r="Q35" s="16"/>
      <c r="R35" s="16"/>
      <c r="S35" s="16"/>
      <c r="T35" s="16"/>
      <c r="U35" s="16"/>
      <c r="V35" s="16"/>
      <c r="W35" s="16"/>
      <c r="X35" s="16"/>
      <c r="Y35" s="16"/>
      <c r="Z35" s="16"/>
      <c r="AA35" s="16"/>
      <c r="AB35" s="16"/>
      <c r="AC35" s="16"/>
      <c r="AD35" s="16"/>
    </row>
    <row r="36" ht="13.5" customHeight="1" spans="1:30" x14ac:dyDescent="0.25">
      <c r="A36" s="17"/>
      <c r="B36" s="16"/>
      <c r="C36" s="16"/>
      <c r="D36" s="16"/>
      <c r="E36" s="16"/>
      <c r="F36" s="16"/>
      <c r="G36" s="16"/>
      <c r="H36" s="16"/>
      <c r="I36" s="16"/>
      <c r="J36" s="16"/>
      <c r="K36" s="16"/>
      <c r="L36" s="16"/>
      <c r="M36" s="16"/>
      <c r="N36" s="16"/>
      <c r="O36" s="16"/>
      <c r="P36" s="16"/>
      <c r="Q36" s="16"/>
      <c r="R36" s="16"/>
      <c r="S36" s="16"/>
      <c r="T36" s="16"/>
      <c r="U36" s="16"/>
      <c r="V36" s="16"/>
      <c r="W36" s="16"/>
      <c r="X36" s="16"/>
      <c r="Y36" s="16"/>
      <c r="Z36" s="16"/>
      <c r="AA36" s="16"/>
      <c r="AB36" s="16"/>
      <c r="AC36" s="16"/>
      <c r="AD36" s="16"/>
    </row>
    <row r="37" ht="13.5" customHeight="1" spans="1:30" x14ac:dyDescent="0.25">
      <c r="A37" s="17"/>
      <c r="B37" s="16"/>
      <c r="C37" s="16"/>
      <c r="D37" s="16"/>
      <c r="E37" s="16"/>
      <c r="F37" s="16"/>
      <c r="G37" s="16"/>
      <c r="H37" s="16"/>
      <c r="I37" s="16"/>
      <c r="J37" s="16"/>
      <c r="K37" s="16"/>
      <c r="L37" s="16"/>
      <c r="M37" s="16"/>
      <c r="N37" s="16"/>
      <c r="O37" s="16"/>
      <c r="P37" s="16"/>
      <c r="Q37" s="16"/>
      <c r="R37" s="16"/>
      <c r="S37" s="16"/>
      <c r="T37" s="16"/>
      <c r="U37" s="16"/>
      <c r="V37" s="16"/>
      <c r="W37" s="16"/>
      <c r="X37" s="16"/>
      <c r="Y37" s="16"/>
      <c r="Z37" s="16"/>
      <c r="AA37" s="16"/>
      <c r="AB37" s="16"/>
      <c r="AC37" s="16"/>
      <c r="AD37" s="16"/>
    </row>
    <row r="38" ht="13.5" customHeight="1" spans="1:30" x14ac:dyDescent="0.25">
      <c r="A38" s="17"/>
      <c r="B38" s="16"/>
      <c r="C38" s="16"/>
      <c r="D38" s="16"/>
      <c r="E38" s="16"/>
      <c r="F38" s="16"/>
      <c r="G38" s="16"/>
      <c r="H38" s="16"/>
      <c r="I38" s="16"/>
      <c r="J38" s="16"/>
      <c r="K38" s="16"/>
      <c r="L38" s="16"/>
      <c r="M38" s="16"/>
      <c r="N38" s="16"/>
      <c r="O38" s="16"/>
      <c r="P38" s="16"/>
      <c r="Q38" s="16"/>
      <c r="R38" s="16"/>
      <c r="S38" s="16"/>
      <c r="T38" s="16"/>
      <c r="U38" s="16"/>
      <c r="V38" s="16"/>
      <c r="W38" s="16"/>
      <c r="X38" s="16"/>
      <c r="Y38" s="16"/>
      <c r="Z38" s="16"/>
      <c r="AA38" s="16"/>
      <c r="AB38" s="16"/>
      <c r="AC38" s="16"/>
      <c r="AD38" s="16"/>
    </row>
    <row r="39" ht="13.5" customHeight="1" spans="1:30" x14ac:dyDescent="0.25">
      <c r="A39" s="17"/>
      <c r="B39" s="16"/>
      <c r="C39" s="16"/>
      <c r="D39" s="16"/>
      <c r="E39" s="16"/>
      <c r="F39" s="16"/>
      <c r="G39" s="16"/>
      <c r="H39" s="16"/>
      <c r="I39" s="16"/>
      <c r="J39" s="16"/>
      <c r="K39" s="16"/>
      <c r="L39" s="16"/>
      <c r="M39" s="16"/>
      <c r="N39" s="16"/>
      <c r="O39" s="16"/>
      <c r="P39" s="16"/>
      <c r="Q39" s="16"/>
      <c r="R39" s="16"/>
      <c r="S39" s="16"/>
      <c r="T39" s="16"/>
      <c r="U39" s="16"/>
      <c r="V39" s="16"/>
      <c r="W39" s="16"/>
      <c r="X39" s="16"/>
      <c r="Y39" s="16"/>
      <c r="Z39" s="16"/>
      <c r="AA39" s="16"/>
      <c r="AB39" s="16"/>
      <c r="AC39" s="16"/>
      <c r="AD39" s="16"/>
    </row>
    <row r="40" ht="13.5" customHeight="1" spans="1:30" x14ac:dyDescent="0.25">
      <c r="A40" s="17"/>
      <c r="B40" s="16"/>
      <c r="C40" s="16"/>
      <c r="D40" s="16"/>
      <c r="E40" s="16"/>
      <c r="F40" s="16"/>
      <c r="G40" s="16"/>
      <c r="H40" s="16"/>
      <c r="I40" s="16"/>
      <c r="J40" s="16"/>
      <c r="K40" s="16"/>
      <c r="L40" s="16"/>
      <c r="M40" s="16"/>
      <c r="N40" s="16"/>
      <c r="O40" s="16"/>
      <c r="P40" s="16"/>
      <c r="Q40" s="16"/>
      <c r="R40" s="16"/>
      <c r="S40" s="16"/>
      <c r="T40" s="16"/>
      <c r="U40" s="16"/>
      <c r="V40" s="16"/>
      <c r="W40" s="16"/>
      <c r="X40" s="16"/>
      <c r="Y40" s="16"/>
      <c r="Z40" s="16"/>
      <c r="AA40" s="16"/>
      <c r="AB40" s="16"/>
      <c r="AC40" s="16"/>
      <c r="AD40" s="16"/>
    </row>
    <row r="41" ht="13.5" customHeight="1" spans="1:30" x14ac:dyDescent="0.25">
      <c r="A41" s="17"/>
      <c r="B41" s="16"/>
      <c r="C41" s="16"/>
      <c r="D41" s="16"/>
      <c r="E41" s="16"/>
      <c r="F41" s="16"/>
      <c r="G41" s="16"/>
      <c r="H41" s="16"/>
      <c r="I41" s="16"/>
      <c r="J41" s="16"/>
      <c r="K41" s="16"/>
      <c r="L41" s="16"/>
      <c r="M41" s="16"/>
      <c r="N41" s="16"/>
      <c r="O41" s="16"/>
      <c r="P41" s="16"/>
      <c r="Q41" s="16"/>
      <c r="R41" s="16"/>
      <c r="S41" s="16"/>
      <c r="T41" s="16"/>
      <c r="U41" s="16"/>
      <c r="V41" s="16"/>
      <c r="W41" s="16"/>
      <c r="X41" s="16"/>
      <c r="Y41" s="16"/>
      <c r="Z41" s="16"/>
      <c r="AA41" s="16"/>
      <c r="AB41" s="16"/>
      <c r="AC41" s="16"/>
      <c r="AD41" s="16"/>
    </row>
    <row r="42" ht="13.5" customHeight="1" spans="1:30" x14ac:dyDescent="0.25">
      <c r="A42" s="17"/>
      <c r="B42" s="16"/>
      <c r="C42" s="16"/>
      <c r="D42" s="16"/>
      <c r="E42" s="16"/>
      <c r="F42" s="16"/>
      <c r="G42" s="16"/>
      <c r="H42" s="16"/>
      <c r="I42" s="16"/>
      <c r="J42" s="16"/>
      <c r="K42" s="16"/>
      <c r="L42" s="16"/>
      <c r="M42" s="16"/>
      <c r="N42" s="16"/>
      <c r="O42" s="16"/>
      <c r="P42" s="16"/>
      <c r="Q42" s="16"/>
      <c r="R42" s="16"/>
      <c r="S42" s="16"/>
      <c r="T42" s="16"/>
      <c r="U42" s="16"/>
      <c r="V42" s="16"/>
      <c r="W42" s="16"/>
      <c r="X42" s="16"/>
      <c r="Y42" s="16"/>
      <c r="Z42" s="16"/>
      <c r="AA42" s="16"/>
      <c r="AB42" s="16"/>
      <c r="AC42" s="16"/>
      <c r="AD42" s="16"/>
    </row>
    <row r="43" ht="13.5" customHeight="1" spans="1:30" x14ac:dyDescent="0.25">
      <c r="A43" s="17"/>
      <c r="B43" s="16"/>
      <c r="C43" s="16"/>
      <c r="D43" s="16"/>
      <c r="E43" s="16"/>
      <c r="F43" s="16"/>
      <c r="G43" s="16"/>
      <c r="H43" s="16"/>
      <c r="I43" s="16"/>
      <c r="J43" s="16"/>
      <c r="K43" s="16"/>
      <c r="L43" s="16"/>
      <c r="M43" s="16"/>
      <c r="N43" s="16"/>
      <c r="O43" s="16"/>
      <c r="P43" s="16"/>
      <c r="Q43" s="16"/>
      <c r="R43" s="16"/>
      <c r="S43" s="16"/>
      <c r="T43" s="16"/>
      <c r="U43" s="16"/>
      <c r="V43" s="16"/>
      <c r="W43" s="16"/>
      <c r="X43" s="16"/>
      <c r="Y43" s="16"/>
      <c r="Z43" s="16"/>
      <c r="AA43" s="16"/>
      <c r="AB43" s="16"/>
      <c r="AC43" s="16"/>
      <c r="AD43" s="16"/>
    </row>
    <row r="44" ht="13.5" customHeight="1" spans="1:30" x14ac:dyDescent="0.25">
      <c r="A44" s="17"/>
      <c r="B44" s="16"/>
      <c r="C44" s="16"/>
      <c r="D44" s="16"/>
      <c r="E44" s="16"/>
      <c r="F44" s="16"/>
      <c r="G44" s="16"/>
      <c r="H44" s="16"/>
      <c r="I44" s="16"/>
      <c r="J44" s="16"/>
      <c r="K44" s="16"/>
      <c r="L44" s="16"/>
      <c r="M44" s="16"/>
      <c r="N44" s="16"/>
      <c r="O44" s="16"/>
      <c r="P44" s="16"/>
      <c r="Q44" s="16"/>
      <c r="R44" s="16"/>
      <c r="S44" s="16"/>
      <c r="T44" s="16"/>
      <c r="U44" s="16"/>
      <c r="V44" s="16"/>
      <c r="W44" s="16"/>
      <c r="X44" s="16"/>
      <c r="Y44" s="16"/>
      <c r="Z44" s="16"/>
      <c r="AA44" s="16"/>
      <c r="AB44" s="16"/>
      <c r="AC44" s="16"/>
      <c r="AD44" s="16"/>
    </row>
    <row r="45" ht="13.5" customHeight="1" spans="1:30" x14ac:dyDescent="0.25">
      <c r="A45" s="17"/>
      <c r="B45" s="16"/>
      <c r="C45" s="16"/>
      <c r="D45" s="16"/>
      <c r="E45" s="16"/>
      <c r="F45" s="16"/>
      <c r="G45" s="16"/>
      <c r="H45" s="16"/>
      <c r="I45" s="16"/>
      <c r="J45" s="16"/>
      <c r="K45" s="16"/>
      <c r="L45" s="16"/>
      <c r="M45" s="16"/>
      <c r="N45" s="16"/>
      <c r="O45" s="16"/>
      <c r="P45" s="16"/>
      <c r="Q45" s="16"/>
      <c r="R45" s="16"/>
      <c r="S45" s="16"/>
      <c r="T45" s="16"/>
      <c r="U45" s="16"/>
      <c r="V45" s="16"/>
      <c r="W45" s="16"/>
      <c r="X45" s="16"/>
      <c r="Y45" s="16"/>
      <c r="Z45" s="16"/>
      <c r="AA45" s="16"/>
      <c r="AB45" s="16"/>
      <c r="AC45" s="16"/>
      <c r="AD45" s="16"/>
    </row>
    <row r="46" ht="13.5" customHeight="1" spans="1:30" x14ac:dyDescent="0.25">
      <c r="A46" s="17"/>
      <c r="B46" s="16"/>
      <c r="C46" s="16"/>
      <c r="D46" s="16"/>
      <c r="E46" s="16"/>
      <c r="F46" s="16"/>
      <c r="G46" s="16"/>
      <c r="H46" s="16"/>
      <c r="I46" s="16"/>
      <c r="J46" s="16"/>
      <c r="K46" s="16"/>
      <c r="L46" s="16"/>
      <c r="M46" s="16"/>
      <c r="N46" s="16"/>
      <c r="O46" s="16"/>
      <c r="P46" s="16"/>
      <c r="Q46" s="16"/>
      <c r="R46" s="16"/>
      <c r="S46" s="16"/>
      <c r="T46" s="16"/>
      <c r="U46" s="16"/>
      <c r="V46" s="16"/>
      <c r="W46" s="16"/>
      <c r="X46" s="16"/>
      <c r="Y46" s="16"/>
      <c r="Z46" s="16"/>
      <c r="AA46" s="16"/>
      <c r="AB46" s="16"/>
      <c r="AC46" s="16"/>
      <c r="AD46" s="16"/>
    </row>
    <row r="47" ht="13.5" customHeight="1" spans="1:30" x14ac:dyDescent="0.25">
      <c r="A47" s="17"/>
      <c r="B47" s="16"/>
      <c r="C47" s="16"/>
      <c r="D47" s="16"/>
      <c r="E47" s="16"/>
      <c r="F47" s="16"/>
      <c r="G47" s="16"/>
      <c r="H47" s="16"/>
      <c r="I47" s="16"/>
      <c r="J47" s="16"/>
      <c r="K47" s="16"/>
      <c r="L47" s="16"/>
      <c r="M47" s="16"/>
      <c r="N47" s="16"/>
      <c r="O47" s="16"/>
      <c r="P47" s="16"/>
      <c r="Q47" s="16"/>
      <c r="R47" s="16"/>
      <c r="S47" s="16"/>
      <c r="T47" s="16"/>
      <c r="U47" s="16"/>
      <c r="V47" s="16"/>
      <c r="W47" s="16"/>
      <c r="X47" s="16"/>
      <c r="Y47" s="16"/>
      <c r="Z47" s="16"/>
      <c r="AA47" s="16"/>
      <c r="AB47" s="16"/>
      <c r="AC47" s="16"/>
      <c r="AD47" s="16"/>
    </row>
    <row r="48" ht="13.5" customHeight="1" hidden="1" spans="1:30" x14ac:dyDescent="0.25" outlineLevel="1" collapsed="1">
      <c r="A48" s="17"/>
      <c r="B48" s="16"/>
      <c r="C48" s="110" t="str">
        <f ca="1">'Revenue Build'!$C$35</f>
        <v>Segment 2 Revenue</v>
      </c>
      <c r="D48" s="110"/>
      <c r="E48" s="110"/>
      <c r="F48" s="110"/>
      <c r="G48" s="110"/>
      <c r="H48" s="110"/>
      <c r="I48" s="110"/>
      <c r="J48" s="16"/>
      <c r="K48" s="110" t="str">
        <f ca="1">'Revenue Build'!$C$44</f>
        <v>Segment 5 Revenue</v>
      </c>
      <c r="L48" s="110"/>
      <c r="M48" s="110"/>
      <c r="N48" s="110"/>
      <c r="O48" s="110"/>
      <c r="P48" s="110"/>
      <c r="Q48" s="110"/>
      <c r="R48" s="16"/>
      <c r="S48" s="16"/>
      <c r="T48" s="16"/>
      <c r="U48" s="16"/>
      <c r="V48" s="16"/>
      <c r="W48" s="16"/>
      <c r="X48" s="16"/>
      <c r="Y48" s="16"/>
      <c r="Z48" s="16"/>
      <c r="AA48" s="16"/>
      <c r="AB48" s="16"/>
      <c r="AC48" s="16"/>
      <c r="AD48" s="16"/>
    </row>
    <row r="49" ht="13.5" customHeight="1" hidden="1" spans="1:30" x14ac:dyDescent="0.25" outlineLevel="1" collapsed="1">
      <c r="A49" s="17"/>
      <c r="B49" s="16"/>
      <c r="C49" s="16"/>
      <c r="D49" s="16"/>
      <c r="E49" s="16"/>
      <c r="F49" s="16"/>
      <c r="G49" s="16"/>
      <c r="H49" s="16"/>
      <c r="I49" s="16"/>
      <c r="J49" s="16"/>
      <c r="K49" s="16"/>
      <c r="L49" s="16"/>
      <c r="M49" s="16"/>
      <c r="N49" s="16"/>
      <c r="O49" s="16"/>
      <c r="P49" s="16"/>
      <c r="Q49" s="16"/>
      <c r="R49" s="16"/>
      <c r="S49" s="16"/>
      <c r="T49" s="16"/>
      <c r="U49" s="16"/>
      <c r="V49" s="16"/>
      <c r="W49" s="16"/>
      <c r="X49" s="16"/>
      <c r="Y49" s="16"/>
      <c r="Z49" s="16"/>
      <c r="AA49" s="16"/>
      <c r="AB49" s="16"/>
      <c r="AC49" s="16"/>
      <c r="AD49" s="16"/>
    </row>
    <row r="50" ht="13.5" customHeight="1" hidden="1" spans="1:30" x14ac:dyDescent="0.25" outlineLevel="1" collapsed="1">
      <c r="A50" s="17"/>
      <c r="B50" s="16"/>
      <c r="C50" s="190"/>
      <c r="D50" s="851">
        <f t="shared" ref="D50:I50" si="4" ca="1">D30</f>
        <v>2023</v>
      </c>
      <c r="E50" s="851">
        <f ca="1">E30</f>
        <v>2024</v>
      </c>
      <c r="F50" s="851">
        <f ca="1">F30</f>
        <v>2025</v>
      </c>
      <c r="G50" s="851" t="str">
        <f ca="1">G30</f>
        <v>2026e</v>
      </c>
      <c r="H50" s="851" t="str">
        <f ca="1">H30</f>
        <v>2027e</v>
      </c>
      <c r="I50" s="852" t="str">
        <f ca="1">I30</f>
        <v>2028e</v>
      </c>
      <c r="J50" s="16"/>
      <c r="K50" s="190"/>
      <c r="L50" s="851">
        <f t="shared" ref="L50:Q50" si="5" ca="1">L30</f>
        <v>2023</v>
      </c>
      <c r="M50" s="851">
        <f ca="1">M30</f>
        <v>2024</v>
      </c>
      <c r="N50" s="851">
        <f ca="1">N30</f>
        <v>2025</v>
      </c>
      <c r="O50" s="851" t="str">
        <f ca="1">O30</f>
        <v>2026e</v>
      </c>
      <c r="P50" s="851" t="str">
        <f ca="1">P30</f>
        <v>2027e</v>
      </c>
      <c r="Q50" s="852" t="str">
        <f ca="1">Q30</f>
        <v>2028e</v>
      </c>
      <c r="R50" s="16"/>
      <c r="S50" s="16"/>
      <c r="T50" s="16"/>
      <c r="U50" s="16"/>
      <c r="V50" s="16"/>
      <c r="W50" s="16"/>
      <c r="X50" s="16"/>
      <c r="Y50" s="16"/>
      <c r="Z50" s="16"/>
      <c r="AA50" s="16"/>
      <c r="AB50" s="16"/>
      <c r="AC50" s="16"/>
      <c r="AD50" s="16"/>
    </row>
    <row r="51" ht="13.5" customHeight="1" hidden="1" spans="1:30" x14ac:dyDescent="0.25" outlineLevel="1" collapsed="1">
      <c r="A51" s="17"/>
      <c r="B51" s="16"/>
      <c r="C51" s="859" t="str">
        <f ca="1">C48</f>
        <v>Segment 2 Revenue</v>
      </c>
      <c r="D51" s="832">
        <f t="array" ref="D51" ca="1">INDEX(Revenue_Data_Summary,MATCH($C51,'Revenue Build'!$C$28:$C$49,0),MATCH(Charts!D$50,'Revenue Build'!$C$28:$AG$28,0))</f>
        <v>0</v>
      </c>
      <c r="E51" s="832">
        <f t="array" ref="E51" ca="1">INDEX(Revenue_Data_Summary,MATCH($C51,'Revenue Build'!$C$28:$C$49,0),MATCH(Charts!E$50,'Revenue Build'!$C$28:$AG$28,0))</f>
        <v>0</v>
      </c>
      <c r="F51" s="832">
        <f t="array" ref="F51" ca="1">INDEX(Revenue_Data_Summary,MATCH($C51,'Revenue Build'!$C$28:$C$49,0),MATCH(Charts!F$50,'Revenue Build'!$C$28:$AG$28,0))</f>
        <v>0</v>
      </c>
      <c r="G51" s="832">
        <f t="array" ref="G51" ca="1">INDEX(Revenue_Data_Summary,MATCH($C51,'Revenue Build'!$C$28:$C$49,0),MATCH(Charts!G$50,'Revenue Build'!$C$28:$AG$28,0))</f>
        <v>0</v>
      </c>
      <c r="H51" s="832">
        <f t="array" ref="H51" ca="1">INDEX(Revenue_Data_Summary,MATCH($C51,'Revenue Build'!$C$28:$C$49,0),MATCH(Charts!H$50,'Revenue Build'!$C$28:$AG$28,0))</f>
        <v>0</v>
      </c>
      <c r="I51" s="832">
        <f t="array" ref="I51" ca="1">INDEX(Revenue_Data_Summary,MATCH($C51,'Revenue Build'!$C$28:$C$49,0),MATCH(Charts!I$50,'Revenue Build'!$C$28:$AG$28,0))</f>
        <v>0</v>
      </c>
      <c r="J51" s="16"/>
      <c r="K51" s="859" t="str">
        <f ca="1">K48</f>
        <v>Segment 5 Revenue</v>
      </c>
      <c r="L51" s="832">
        <f t="array" ref="L51" ca="1">INDEX(Revenue_Data_Summary,MATCH($K51,'Revenue Build'!$C$28:$C$49,0),MATCH(Charts!L$50,'Revenue Build'!$C$28:$AG$28,0))</f>
        <v>0</v>
      </c>
      <c r="M51" s="832">
        <f t="array" ref="M51" ca="1">INDEX(Revenue_Data_Summary,MATCH($K51,'Revenue Build'!$C$28:$C$49,0),MATCH(Charts!M$50,'Revenue Build'!$C$28:$AG$28,0))</f>
        <v>0</v>
      </c>
      <c r="N51" s="832">
        <f t="array" ref="N51" ca="1">INDEX(Revenue_Data_Summary,MATCH($K51,'Revenue Build'!$C$28:$C$49,0),MATCH(Charts!N$50,'Revenue Build'!$C$28:$AG$28,0))</f>
        <v>0</v>
      </c>
      <c r="O51" s="832">
        <f t="array" ref="O51" ca="1">INDEX(Revenue_Data_Summary,MATCH($K51,'Revenue Build'!$C$28:$C$49,0),MATCH(Charts!O$50,'Revenue Build'!$C$28:$AG$28,0))</f>
        <v>0</v>
      </c>
      <c r="P51" s="832">
        <f t="array" ref="P51" ca="1">INDEX(Revenue_Data_Summary,MATCH($K51,'Revenue Build'!$C$28:$C$49,0),MATCH(Charts!P$50,'Revenue Build'!$C$28:$AG$28,0))</f>
        <v>0</v>
      </c>
      <c r="Q51" s="832">
        <f t="array" ref="Q51" ca="1">INDEX(Revenue_Data_Summary,MATCH($K51,'Revenue Build'!$C$28:$C$49,0),MATCH(Charts!Q$50,'Revenue Build'!$C$28:$AG$28,0))</f>
        <v>0</v>
      </c>
      <c r="R51" s="16"/>
      <c r="S51" s="16"/>
      <c r="T51" s="16"/>
      <c r="U51" s="16"/>
      <c r="V51" s="16"/>
      <c r="W51" s="16"/>
      <c r="X51" s="16"/>
      <c r="Y51" s="16"/>
      <c r="Z51" s="16"/>
      <c r="AA51" s="16"/>
      <c r="AB51" s="16"/>
      <c r="AC51" s="16"/>
      <c r="AD51" s="16"/>
    </row>
    <row r="52" ht="13.5" customHeight="1" hidden="1" spans="1:30" x14ac:dyDescent="0.25" outlineLevel="1" collapsed="1">
      <c r="A52" s="17"/>
      <c r="B52" s="16"/>
      <c r="C52" s="857" t="s">
        <v>937</v>
      </c>
      <c r="D52" s="860">
        <v>0</v>
      </c>
      <c r="E52" s="861">
        <f ca="1">E51/D51-1</f>
      </c>
      <c r="F52" s="861">
        <f ca="1">F51/E51-1</f>
      </c>
      <c r="G52" s="861">
        <f ca="1">G51/F51-1</f>
      </c>
      <c r="H52" s="861">
        <f ca="1">H51/G51-1</f>
      </c>
      <c r="I52" s="861">
        <f ca="1">I51/H51-1</f>
      </c>
      <c r="J52" s="16"/>
      <c r="K52" s="857" t="s">
        <v>937</v>
      </c>
      <c r="L52" s="860">
        <v>0</v>
      </c>
      <c r="M52" s="861">
        <v>0</v>
      </c>
      <c r="N52" s="861">
        <f ca="1">N51/M51-1</f>
      </c>
      <c r="O52" s="861">
        <f ca="1">O51/N51-1</f>
      </c>
      <c r="P52" s="861">
        <f ca="1">P51/O51-1</f>
      </c>
      <c r="Q52" s="861">
        <f ca="1">Q51/P51-1</f>
      </c>
      <c r="R52" s="16"/>
      <c r="S52" s="16"/>
      <c r="T52" s="16"/>
      <c r="U52" s="16"/>
      <c r="V52" s="16"/>
      <c r="W52" s="16"/>
      <c r="X52" s="16"/>
      <c r="Y52" s="16"/>
      <c r="Z52" s="16"/>
      <c r="AA52" s="16"/>
      <c r="AB52" s="16"/>
      <c r="AC52" s="16"/>
      <c r="AD52" s="16"/>
    </row>
    <row r="53" ht="13.5" customHeight="1" hidden="1" spans="1:30" x14ac:dyDescent="0.25" outlineLevel="1" collapsed="1">
      <c r="A53" s="17"/>
      <c r="B53" s="16"/>
      <c r="C53" s="16"/>
      <c r="D53" s="16"/>
      <c r="E53" s="16"/>
      <c r="F53" s="16"/>
      <c r="G53" s="16"/>
      <c r="H53" s="16"/>
      <c r="I53" s="16"/>
      <c r="J53" s="16"/>
      <c r="K53" s="16"/>
      <c r="L53" s="16"/>
      <c r="M53" s="16"/>
      <c r="N53" s="16"/>
      <c r="O53" s="16"/>
      <c r="P53" s="16"/>
      <c r="Q53" s="16"/>
      <c r="R53" s="16"/>
      <c r="S53" s="16"/>
      <c r="T53" s="16"/>
      <c r="U53" s="16"/>
      <c r="V53" s="16"/>
      <c r="W53" s="16"/>
      <c r="X53" s="16"/>
      <c r="Y53" s="16"/>
      <c r="Z53" s="16"/>
      <c r="AA53" s="16"/>
      <c r="AB53" s="16"/>
      <c r="AC53" s="16"/>
      <c r="AD53" s="16"/>
    </row>
    <row r="54" ht="13.5" customHeight="1" hidden="1" spans="1:30" x14ac:dyDescent="0.25" outlineLevel="1" collapsed="1">
      <c r="A54" s="17"/>
      <c r="B54" s="16"/>
      <c r="C54" s="16"/>
      <c r="D54" s="16"/>
      <c r="E54" s="16"/>
      <c r="F54" s="16"/>
      <c r="G54" s="16"/>
      <c r="H54" s="16"/>
      <c r="I54" s="16"/>
      <c r="J54" s="16"/>
      <c r="K54" s="16"/>
      <c r="L54" s="16"/>
      <c r="M54" s="16"/>
      <c r="N54" s="16"/>
      <c r="O54" s="16"/>
      <c r="P54" s="16"/>
      <c r="Q54" s="16"/>
      <c r="R54" s="16"/>
      <c r="S54" s="16"/>
      <c r="T54" s="16"/>
      <c r="U54" s="16"/>
      <c r="V54" s="16"/>
      <c r="W54" s="16"/>
      <c r="X54" s="16"/>
      <c r="Y54" s="16"/>
      <c r="Z54" s="16"/>
      <c r="AA54" s="16"/>
      <c r="AB54" s="16"/>
      <c r="AC54" s="16"/>
      <c r="AD54" s="16"/>
    </row>
    <row r="55" ht="13.5" customHeight="1" hidden="1" spans="1:30" x14ac:dyDescent="0.25" outlineLevel="1" collapsed="1">
      <c r="A55" s="17"/>
      <c r="B55" s="16"/>
      <c r="C55" s="16"/>
      <c r="D55" s="16"/>
      <c r="E55" s="16"/>
      <c r="F55" s="16"/>
      <c r="G55" s="16"/>
      <c r="H55" s="16"/>
      <c r="I55" s="16"/>
      <c r="J55" s="16"/>
      <c r="K55" s="16"/>
      <c r="L55" s="16"/>
      <c r="M55" s="16"/>
      <c r="N55" s="16"/>
      <c r="O55" s="16"/>
      <c r="P55" s="16"/>
      <c r="Q55" s="16"/>
      <c r="R55" s="16"/>
      <c r="S55" s="16"/>
      <c r="T55" s="16"/>
      <c r="U55" s="16"/>
      <c r="V55" s="16"/>
      <c r="W55" s="16"/>
      <c r="X55" s="16"/>
      <c r="Y55" s="16"/>
      <c r="Z55" s="16"/>
      <c r="AA55" s="16"/>
      <c r="AB55" s="16"/>
      <c r="AC55" s="16"/>
      <c r="AD55" s="16"/>
    </row>
    <row r="56" ht="13.5" customHeight="1" hidden="1" spans="1:30" x14ac:dyDescent="0.25" outlineLevel="1" collapsed="1">
      <c r="A56" s="17"/>
      <c r="B56" s="16"/>
      <c r="C56" s="16"/>
      <c r="D56" s="16"/>
      <c r="E56" s="16"/>
      <c r="F56" s="16"/>
      <c r="G56" s="16"/>
      <c r="H56" s="16"/>
      <c r="I56" s="16"/>
      <c r="J56" s="16"/>
      <c r="K56" s="16"/>
      <c r="L56" s="16"/>
      <c r="M56" s="16"/>
      <c r="N56" s="16"/>
      <c r="O56" s="16"/>
      <c r="P56" s="16"/>
      <c r="Q56" s="16"/>
      <c r="R56" s="16"/>
      <c r="S56" s="16"/>
      <c r="T56" s="16"/>
      <c r="U56" s="16"/>
      <c r="V56" s="16"/>
      <c r="W56" s="16"/>
      <c r="X56" s="16"/>
      <c r="Y56" s="16"/>
      <c r="Z56" s="16"/>
      <c r="AA56" s="16"/>
      <c r="AB56" s="16"/>
      <c r="AC56" s="16"/>
      <c r="AD56" s="16"/>
    </row>
    <row r="57" ht="13.5" customHeight="1" hidden="1" spans="1:30" x14ac:dyDescent="0.25" outlineLevel="1" collapsed="1">
      <c r="A57" s="17"/>
      <c r="B57" s="16"/>
      <c r="C57" s="16"/>
      <c r="D57" s="16"/>
      <c r="E57" s="16"/>
      <c r="F57" s="16"/>
      <c r="G57" s="16"/>
      <c r="H57" s="16"/>
      <c r="I57" s="16"/>
      <c r="J57" s="16"/>
      <c r="K57" s="16"/>
      <c r="L57" s="16"/>
      <c r="M57" s="16"/>
      <c r="N57" s="16"/>
      <c r="O57" s="16"/>
      <c r="P57" s="16"/>
      <c r="Q57" s="16"/>
      <c r="R57" s="16"/>
      <c r="S57" s="16"/>
      <c r="T57" s="16"/>
      <c r="U57" s="16"/>
      <c r="V57" s="16"/>
      <c r="W57" s="16"/>
      <c r="X57" s="16"/>
      <c r="Y57" s="16"/>
      <c r="Z57" s="16"/>
      <c r="AA57" s="16"/>
      <c r="AB57" s="16"/>
      <c r="AC57" s="16"/>
      <c r="AD57" s="16"/>
    </row>
    <row r="58" ht="13.5" customHeight="1" hidden="1" spans="1:30" x14ac:dyDescent="0.25" outlineLevel="1" collapsed="1">
      <c r="A58" s="17"/>
      <c r="B58" s="16"/>
      <c r="C58" s="16"/>
      <c r="D58" s="16"/>
      <c r="E58" s="16"/>
      <c r="F58" s="16"/>
      <c r="G58" s="16"/>
      <c r="H58" s="16"/>
      <c r="I58" s="16"/>
      <c r="J58" s="16"/>
      <c r="K58" s="16"/>
      <c r="L58" s="16"/>
      <c r="M58" s="16"/>
      <c r="N58" s="16"/>
      <c r="O58" s="16"/>
      <c r="P58" s="16"/>
      <c r="Q58" s="16"/>
      <c r="R58" s="16"/>
      <c r="S58" s="16"/>
      <c r="T58" s="16"/>
      <c r="U58" s="16"/>
      <c r="V58" s="16"/>
      <c r="W58" s="16"/>
      <c r="X58" s="16"/>
      <c r="Y58" s="16"/>
      <c r="Z58" s="16"/>
      <c r="AA58" s="16"/>
      <c r="AB58" s="16"/>
      <c r="AC58" s="16"/>
      <c r="AD58" s="16"/>
    </row>
    <row r="59" ht="13.5" customHeight="1" hidden="1" spans="1:30" x14ac:dyDescent="0.25" outlineLevel="1" collapsed="1">
      <c r="A59" s="17"/>
      <c r="B59" s="16"/>
      <c r="C59" s="16"/>
      <c r="D59" s="16"/>
      <c r="E59" s="16"/>
      <c r="F59" s="16"/>
      <c r="G59" s="16"/>
      <c r="H59" s="16"/>
      <c r="I59" s="16"/>
      <c r="J59" s="16"/>
      <c r="K59" s="16"/>
      <c r="L59" s="16"/>
      <c r="M59" s="16"/>
      <c r="N59" s="16"/>
      <c r="O59" s="16"/>
      <c r="P59" s="16"/>
      <c r="Q59" s="16"/>
      <c r="R59" s="16"/>
      <c r="S59" s="16"/>
      <c r="T59" s="16"/>
      <c r="U59" s="16"/>
      <c r="V59" s="16"/>
      <c r="W59" s="16"/>
      <c r="X59" s="16"/>
      <c r="Y59" s="16"/>
      <c r="Z59" s="16"/>
      <c r="AA59" s="16"/>
      <c r="AB59" s="16"/>
      <c r="AC59" s="16"/>
      <c r="AD59" s="16"/>
    </row>
    <row r="60" ht="13.5" customHeight="1" hidden="1" spans="1:30" x14ac:dyDescent="0.25" outlineLevel="1" collapsed="1">
      <c r="A60" s="17"/>
      <c r="B60" s="16"/>
      <c r="C60" s="16"/>
      <c r="D60" s="16"/>
      <c r="E60" s="16"/>
      <c r="F60" s="16"/>
      <c r="G60" s="16"/>
      <c r="H60" s="16"/>
      <c r="I60" s="16"/>
      <c r="J60" s="16"/>
      <c r="K60" s="16"/>
      <c r="L60" s="16"/>
      <c r="M60" s="16"/>
      <c r="N60" s="16"/>
      <c r="O60" s="16"/>
      <c r="P60" s="16"/>
      <c r="Q60" s="16"/>
      <c r="R60" s="16"/>
      <c r="S60" s="16"/>
      <c r="T60" s="16"/>
      <c r="U60" s="16"/>
      <c r="V60" s="16"/>
      <c r="W60" s="16"/>
      <c r="X60" s="16"/>
      <c r="Y60" s="16"/>
      <c r="Z60" s="16"/>
      <c r="AA60" s="16"/>
      <c r="AB60" s="16"/>
      <c r="AC60" s="16"/>
      <c r="AD60" s="16"/>
    </row>
    <row r="61" ht="13.5" customHeight="1" hidden="1" spans="1:30" x14ac:dyDescent="0.25" outlineLevel="1" collapsed="1">
      <c r="A61" s="17"/>
      <c r="B61" s="16"/>
      <c r="C61" s="16"/>
      <c r="D61" s="16"/>
      <c r="E61" s="16"/>
      <c r="F61" s="16"/>
      <c r="G61" s="16"/>
      <c r="H61" s="16"/>
      <c r="I61" s="16"/>
      <c r="J61" s="16"/>
      <c r="K61" s="16"/>
      <c r="L61" s="16"/>
      <c r="M61" s="16"/>
      <c r="N61" s="16"/>
      <c r="O61" s="16"/>
      <c r="P61" s="16"/>
      <c r="Q61" s="16"/>
      <c r="R61" s="16"/>
      <c r="S61" s="16"/>
      <c r="T61" s="16"/>
      <c r="U61" s="16"/>
      <c r="V61" s="16"/>
      <c r="W61" s="16"/>
      <c r="X61" s="16"/>
      <c r="Y61" s="16"/>
      <c r="Z61" s="16"/>
      <c r="AA61" s="16"/>
      <c r="AB61" s="16"/>
      <c r="AC61" s="16"/>
      <c r="AD61" s="16"/>
    </row>
    <row r="62" ht="13.5" customHeight="1" hidden="1" spans="1:30" x14ac:dyDescent="0.25" outlineLevel="1" collapsed="1">
      <c r="A62" s="17"/>
      <c r="B62" s="16"/>
      <c r="C62" s="16"/>
      <c r="D62" s="16"/>
      <c r="E62" s="16"/>
      <c r="F62" s="16"/>
      <c r="G62" s="16"/>
      <c r="H62" s="16"/>
      <c r="I62" s="16"/>
      <c r="J62" s="16"/>
      <c r="K62" s="16"/>
      <c r="L62" s="16"/>
      <c r="M62" s="16"/>
      <c r="N62" s="16"/>
      <c r="O62" s="16"/>
      <c r="P62" s="16"/>
      <c r="Q62" s="16"/>
      <c r="R62" s="16"/>
      <c r="S62" s="16"/>
      <c r="T62" s="16"/>
      <c r="U62" s="16"/>
      <c r="V62" s="16"/>
      <c r="W62" s="16"/>
      <c r="X62" s="16"/>
      <c r="Y62" s="16"/>
      <c r="Z62" s="16"/>
      <c r="AA62" s="16"/>
      <c r="AB62" s="16"/>
      <c r="AC62" s="16"/>
      <c r="AD62" s="16"/>
    </row>
    <row r="63" ht="13.5" customHeight="1" hidden="1" spans="1:30" x14ac:dyDescent="0.25" outlineLevel="1" collapsed="1">
      <c r="A63" s="17"/>
      <c r="B63" s="16"/>
      <c r="C63" s="16"/>
      <c r="D63" s="16"/>
      <c r="E63" s="16"/>
      <c r="F63" s="16"/>
      <c r="G63" s="16"/>
      <c r="H63" s="16"/>
      <c r="I63" s="16"/>
      <c r="J63" s="16"/>
      <c r="K63" s="16"/>
      <c r="L63" s="16"/>
      <c r="M63" s="16"/>
      <c r="N63" s="16"/>
      <c r="O63" s="16"/>
      <c r="P63" s="16"/>
      <c r="Q63" s="16"/>
      <c r="R63" s="16"/>
      <c r="S63" s="16"/>
      <c r="T63" s="16"/>
      <c r="U63" s="16"/>
      <c r="V63" s="16"/>
      <c r="W63" s="16"/>
      <c r="X63" s="16"/>
      <c r="Y63" s="16"/>
      <c r="Z63" s="16"/>
      <c r="AA63" s="16"/>
      <c r="AB63" s="16"/>
      <c r="AC63" s="16"/>
      <c r="AD63" s="16"/>
    </row>
    <row r="64" ht="13.5" customHeight="1" hidden="1" spans="1:30" x14ac:dyDescent="0.25" outlineLevel="1" collapsed="1">
      <c r="A64" s="17"/>
      <c r="B64" s="16"/>
      <c r="C64" s="16"/>
      <c r="D64" s="16"/>
      <c r="E64" s="16"/>
      <c r="F64" s="16"/>
      <c r="G64" s="16"/>
      <c r="H64" s="16"/>
      <c r="I64" s="16"/>
      <c r="J64" s="16"/>
      <c r="K64" s="16"/>
      <c r="L64" s="16"/>
      <c r="M64" s="16"/>
      <c r="N64" s="16"/>
      <c r="O64" s="16"/>
      <c r="P64" s="16"/>
      <c r="Q64" s="16"/>
      <c r="R64" s="16"/>
      <c r="S64" s="16"/>
      <c r="T64" s="16"/>
      <c r="U64" s="16"/>
      <c r="V64" s="16"/>
      <c r="W64" s="16"/>
      <c r="X64" s="16"/>
      <c r="Y64" s="16"/>
      <c r="Z64" s="16"/>
      <c r="AA64" s="16"/>
      <c r="AB64" s="16"/>
      <c r="AC64" s="16"/>
      <c r="AD64" s="16"/>
    </row>
    <row r="65" ht="13.5" customHeight="1" hidden="1" spans="1:30" x14ac:dyDescent="0.25" outlineLevel="1" collapsed="1">
      <c r="A65" s="17"/>
      <c r="B65" s="16"/>
      <c r="C65" s="16"/>
      <c r="D65" s="16"/>
      <c r="E65" s="16"/>
      <c r="F65" s="16"/>
      <c r="G65" s="16"/>
      <c r="H65" s="16"/>
      <c r="I65" s="16"/>
      <c r="J65" s="16"/>
      <c r="K65" s="16"/>
      <c r="L65" s="16"/>
      <c r="M65" s="16"/>
      <c r="N65" s="16"/>
      <c r="O65" s="16"/>
      <c r="P65" s="16"/>
      <c r="Q65" s="16"/>
      <c r="R65" s="16"/>
      <c r="S65" s="16"/>
      <c r="T65" s="16"/>
      <c r="U65" s="16"/>
      <c r="V65" s="16"/>
      <c r="W65" s="16"/>
      <c r="X65" s="16"/>
      <c r="Y65" s="16"/>
      <c r="Z65" s="16"/>
      <c r="AA65" s="16"/>
      <c r="AB65" s="16"/>
      <c r="AC65" s="16"/>
      <c r="AD65" s="16"/>
    </row>
    <row r="66" ht="13.5" customHeight="1" spans="1:30" x14ac:dyDescent="0.25">
      <c r="A66" s="17"/>
      <c r="B66" s="16"/>
      <c r="C66" s="16"/>
      <c r="D66" s="16"/>
      <c r="E66" s="16"/>
      <c r="F66" s="16"/>
      <c r="G66" s="16"/>
      <c r="H66" s="16"/>
      <c r="I66" s="16"/>
      <c r="J66" s="16"/>
      <c r="K66" s="16"/>
      <c r="L66" s="16"/>
      <c r="M66" s="16"/>
      <c r="N66" s="16"/>
      <c r="O66" s="16"/>
      <c r="P66" s="16"/>
      <c r="Q66" s="16"/>
      <c r="R66" s="16"/>
      <c r="S66" s="16"/>
      <c r="T66" s="16"/>
      <c r="U66" s="16"/>
      <c r="V66" s="16"/>
      <c r="W66" s="16"/>
      <c r="X66" s="16"/>
      <c r="Y66" s="16"/>
      <c r="Z66" s="16"/>
      <c r="AA66" s="16"/>
      <c r="AB66" s="16"/>
      <c r="AC66" s="16"/>
      <c r="AD66" s="16"/>
    </row>
    <row r="67" ht="13.5" customHeight="1" spans="1:30" x14ac:dyDescent="0.25">
      <c r="A67" s="17"/>
      <c r="B67" s="16"/>
      <c r="C67" s="16"/>
      <c r="D67" s="16"/>
      <c r="E67" s="16"/>
      <c r="F67" s="16"/>
      <c r="G67" s="16"/>
      <c r="H67" s="16"/>
      <c r="I67" s="16"/>
      <c r="J67" s="16"/>
      <c r="K67" s="16"/>
      <c r="L67" s="16"/>
      <c r="M67" s="16"/>
      <c r="N67" s="16"/>
      <c r="O67" s="16"/>
      <c r="P67" s="16"/>
      <c r="Q67" s="16"/>
      <c r="R67" s="16"/>
      <c r="S67" s="16"/>
      <c r="T67" s="16"/>
      <c r="U67" s="16"/>
      <c r="V67" s="16"/>
      <c r="W67" s="16"/>
      <c r="X67" s="16"/>
      <c r="Y67" s="16"/>
      <c r="Z67" s="16"/>
      <c r="AA67" s="16"/>
      <c r="AB67" s="16"/>
      <c r="AC67" s="16"/>
      <c r="AD67" s="16"/>
    </row>
    <row r="68" ht="13.5" customHeight="1" spans="1:30" x14ac:dyDescent="0.25">
      <c r="A68" s="17" t="s">
        <v>1</v>
      </c>
      <c r="B68" s="16"/>
      <c r="C68" s="110" t="str">
        <f ca="1">Ticker&amp;" - Free Cash Flow"</f>
        <v>LOW - Free Cash Flow</v>
      </c>
      <c r="D68" s="110"/>
      <c r="E68" s="110"/>
      <c r="F68" s="110"/>
      <c r="G68" s="110"/>
      <c r="H68" s="110"/>
      <c r="I68" s="110"/>
      <c r="J68" s="199"/>
      <c r="K68" s="110" t="str">
        <f ca="1">Ticker&amp;" - Adj. EPS"</f>
        <v>LOW - Adj. EPS</v>
      </c>
      <c r="L68" s="110"/>
      <c r="M68" s="110"/>
      <c r="N68" s="110"/>
      <c r="O68" s="110"/>
      <c r="P68" s="110"/>
      <c r="Q68" s="110"/>
      <c r="R68" s="16"/>
      <c r="S68" s="16"/>
      <c r="T68" s="16"/>
      <c r="U68" s="16"/>
      <c r="V68" s="16"/>
      <c r="W68" s="16"/>
      <c r="X68" s="16"/>
      <c r="Y68" s="16"/>
      <c r="Z68" s="16"/>
      <c r="AA68" s="16"/>
      <c r="AB68" s="16"/>
      <c r="AC68" s="16"/>
      <c r="AD68" s="16"/>
    </row>
    <row r="69" ht="13.5" customHeight="1" spans="1:30" x14ac:dyDescent="0.25">
      <c r="A69" s="17"/>
      <c r="B69" s="16"/>
      <c r="C69" s="16"/>
      <c r="D69" s="16"/>
      <c r="E69" s="16"/>
      <c r="F69" s="16"/>
      <c r="G69" s="16"/>
      <c r="H69" s="16"/>
      <c r="I69" s="16"/>
      <c r="J69" s="16"/>
      <c r="K69" s="16"/>
      <c r="L69" s="16"/>
      <c r="M69" s="16"/>
      <c r="N69" s="16"/>
      <c r="O69" s="16"/>
      <c r="P69" s="16"/>
      <c r="Q69" s="16"/>
      <c r="R69" s="16"/>
      <c r="S69" s="16"/>
      <c r="T69" s="16"/>
      <c r="U69" s="16"/>
      <c r="V69" s="16"/>
      <c r="W69" s="16"/>
      <c r="X69" s="16"/>
      <c r="Y69" s="16"/>
      <c r="Z69" s="16"/>
      <c r="AA69" s="16"/>
      <c r="AB69" s="16"/>
      <c r="AC69" s="16"/>
      <c r="AD69" s="16"/>
    </row>
    <row r="70" ht="13.5" customHeight="1" spans="1:30" x14ac:dyDescent="0.25">
      <c r="A70" s="17"/>
      <c r="B70" s="16"/>
      <c r="C70" s="190"/>
      <c r="D70" s="851">
        <f t="shared" ref="D70:I70" si="6" ca="1">D50</f>
        <v>2023</v>
      </c>
      <c r="E70" s="851">
        <f ca="1">E50</f>
        <v>2024</v>
      </c>
      <c r="F70" s="851">
        <f ca="1">F50</f>
        <v>2025</v>
      </c>
      <c r="G70" s="851" t="str">
        <f ca="1">G50</f>
        <v>2026e</v>
      </c>
      <c r="H70" s="851" t="str">
        <f ca="1">H50</f>
        <v>2027e</v>
      </c>
      <c r="I70" s="852" t="str">
        <f ca="1">I50</f>
        <v>2028e</v>
      </c>
      <c r="J70" s="16"/>
      <c r="K70" s="190"/>
      <c r="L70" s="851">
        <f t="shared" ref="L70:Q70" si="7" ca="1">L50</f>
        <v>2023</v>
      </c>
      <c r="M70" s="851">
        <f ca="1">M50</f>
        <v>2024</v>
      </c>
      <c r="N70" s="851">
        <f ca="1">N50</f>
        <v>2025</v>
      </c>
      <c r="O70" s="851" t="str">
        <f ca="1">O50</f>
        <v>2026e</v>
      </c>
      <c r="P70" s="851" t="str">
        <f ca="1">P50</f>
        <v>2027e</v>
      </c>
      <c r="Q70" s="852" t="str">
        <f ca="1">Q50</f>
        <v>2028e</v>
      </c>
      <c r="R70" s="16"/>
      <c r="S70" s="16"/>
      <c r="T70" s="16"/>
      <c r="U70" s="16"/>
      <c r="V70" s="16"/>
      <c r="W70" s="16"/>
      <c r="X70" s="16"/>
      <c r="Y70" s="16"/>
      <c r="Z70" s="16"/>
      <c r="AA70" s="16"/>
      <c r="AB70" s="16"/>
      <c r="AC70" s="16"/>
      <c r="AD70" s="16"/>
    </row>
    <row r="71" ht="13.5" customHeight="1" spans="1:30" x14ac:dyDescent="0.25">
      <c r="A71" s="17"/>
      <c r="B71" s="16"/>
      <c r="C71" s="854" t="str">
        <f ca="1">Model!C112</f>
        <v>Free Cash Flow (FCF)</v>
      </c>
      <c r="D71" s="832">
        <f t="array" ref="D71" ca="1">INDEX(Data,MATCH($C71,Line_Items,0),MATCH(Charts!D$70,Fiscal_Periods,0))</f>
        <v>3799</v>
      </c>
      <c r="E71" s="832">
        <f t="array" ref="E71" ca="1">INDEX(Data,MATCH($C71,Line_Items,0),MATCH(Charts!E$70,Fiscal_Periods,0))</f>
        <v>2821</v>
      </c>
      <c r="F71" s="832">
        <f t="array" ref="F71" ca="1">INDEX(Data,MATCH($C71,Line_Items,0),MATCH(Charts!F$70,Fiscal_Periods,0))</f>
        <v>5715</v>
      </c>
      <c r="G71" s="832">
        <f ca="1">INDEX(Data,MATCH($C71,Line_Items,0),MATCH(Charts!G$70,Fiscal_Periods,0))</f>
      </c>
      <c r="H71" s="832">
        <f ca="1">INDEX(Data,MATCH($C71,Line_Items,0),MATCH(Charts!H$70,Fiscal_Periods,0))</f>
      </c>
      <c r="I71" s="832">
        <f ca="1">INDEX(Data,MATCH($C71,Line_Items,0),MATCH(Charts!I$70,Fiscal_Periods,0))</f>
      </c>
      <c r="J71" s="16"/>
      <c r="K71" s="854" t="str">
        <f ca="1">Model!C57</f>
        <v>Adj. EPS (Diluted)</v>
      </c>
      <c r="L71" s="862">
        <f t="array" ref="L71" ca="1">INDEX(Data,MATCH($K71,Line_Items,0),MATCH(Charts!L$70,Fiscal_Periods,0))</f>
        <v>5.194244694132335</v>
      </c>
      <c r="M71" s="862">
        <f t="array" ref="M71" ca="1">INDEX(Data,MATCH($K71,Line_Items,0),MATCH(Charts!M$70,Fiscal_Periods,0))</f>
        <v>5.579900124843945</v>
      </c>
      <c r="N71" s="862">
        <f t="array" ref="N71" ca="1">INDEX(Data,MATCH($K71,Line_Items,0),MATCH(Charts!N$70,Fiscal_Periods,0))</f>
        <v>8.875826666666669</v>
      </c>
      <c r="O71" s="862">
        <f ca="1">INDEX(Data,MATCH($K71,Line_Items,0),MATCH(Charts!O$70,Fiscal_Periods,0))</f>
      </c>
      <c r="P71" s="862">
        <f ca="1">INDEX(Data,MATCH($K71,Line_Items,0),MATCH(Charts!P$70,Fiscal_Periods,0))</f>
      </c>
      <c r="Q71" s="862">
        <f ca="1">INDEX(Data,MATCH($K71,Line_Items,0),MATCH(Charts!Q$70,Fiscal_Periods,0))</f>
      </c>
      <c r="R71" s="16"/>
      <c r="S71" s="16"/>
      <c r="T71" s="16"/>
      <c r="U71" s="16"/>
      <c r="V71" s="16"/>
      <c r="W71" s="16"/>
      <c r="X71" s="16"/>
      <c r="Y71" s="16"/>
      <c r="Z71" s="16"/>
      <c r="AA71" s="16"/>
      <c r="AB71" s="16"/>
      <c r="AC71" s="16"/>
      <c r="AD71" s="16"/>
    </row>
    <row r="72" ht="13.5" customHeight="1" spans="1:30" x14ac:dyDescent="0.25">
      <c r="A72" s="17"/>
      <c r="B72" s="16"/>
      <c r="C72" s="857" t="s">
        <v>937</v>
      </c>
      <c r="D72" s="860">
        <v>0</v>
      </c>
      <c r="E72" s="861">
        <f t="shared" ref="E72:I72" si="8" ca="1">E71/D71-1</f>
        <v>-0.257436167412477</v>
      </c>
      <c r="F72" s="861">
        <f ca="1">F71/E71-1</f>
        <v>1.0258773484579935</v>
      </c>
      <c r="G72" s="861">
        <f ca="1">G71/F71-1</f>
        <v>-1</v>
      </c>
      <c r="H72" s="861">
        <f ca="1">H71/G71-1</f>
      </c>
      <c r="I72" s="861">
        <f ca="1">I71/H71-1</f>
      </c>
      <c r="J72" s="16"/>
      <c r="K72" s="857" t="s">
        <v>937</v>
      </c>
      <c r="L72" s="860">
        <v>0</v>
      </c>
      <c r="M72" s="861">
        <f t="shared" ref="M72:Q72" si="9" ca="1">M71/L71-1</f>
        <v>0.07424668136009549</v>
      </c>
      <c r="N72" s="861">
        <f ca="1">N71/M71-1</f>
        <v>0.5906784114554204</v>
      </c>
      <c r="O72" s="861">
        <f ca="1">O71/N71-1</f>
        <v>-1</v>
      </c>
      <c r="P72" s="861">
        <f ca="1">P71/O71-1</f>
      </c>
      <c r="Q72" s="861">
        <f ca="1">Q71/P71-1</f>
      </c>
      <c r="R72" s="16"/>
      <c r="S72" s="16"/>
      <c r="T72" s="16"/>
      <c r="U72" s="16"/>
      <c r="V72" s="16"/>
      <c r="W72" s="16"/>
      <c r="X72" s="16"/>
      <c r="Y72" s="16"/>
      <c r="Z72" s="16"/>
      <c r="AA72" s="16"/>
      <c r="AB72" s="16"/>
      <c r="AC72" s="16"/>
      <c r="AD72" s="16"/>
    </row>
    <row r="73" ht="13.5" customHeight="1" spans="1:30" x14ac:dyDescent="0.25">
      <c r="A73" s="17"/>
      <c r="B73" s="16"/>
      <c r="C73" s="16"/>
      <c r="D73" s="16"/>
      <c r="E73" s="16"/>
      <c r="F73" s="16"/>
      <c r="G73" s="16"/>
      <c r="H73" s="16"/>
      <c r="I73" s="16"/>
      <c r="J73" s="16"/>
      <c r="K73" s="16"/>
      <c r="L73" s="16"/>
      <c r="M73" s="16"/>
      <c r="N73" s="16"/>
      <c r="O73" s="16"/>
      <c r="P73" s="16"/>
      <c r="Q73" s="16"/>
      <c r="R73" s="16"/>
      <c r="S73" s="16"/>
      <c r="T73" s="16"/>
      <c r="U73" s="16"/>
      <c r="V73" s="16"/>
      <c r="W73" s="16"/>
      <c r="X73" s="16"/>
      <c r="Y73" s="16"/>
      <c r="Z73" s="16"/>
      <c r="AA73" s="16"/>
      <c r="AB73" s="16"/>
      <c r="AC73" s="16"/>
      <c r="AD73" s="16"/>
    </row>
    <row r="74" ht="13.5" customHeight="1" spans="1:30" x14ac:dyDescent="0.25">
      <c r="A74" s="17"/>
      <c r="B74" s="16"/>
      <c r="C74" s="16"/>
      <c r="D74" s="16"/>
      <c r="E74" s="16"/>
      <c r="F74" s="16"/>
      <c r="G74" s="16"/>
      <c r="H74" s="16"/>
      <c r="I74" s="16"/>
      <c r="J74" s="16"/>
      <c r="K74" s="16"/>
      <c r="L74" s="16"/>
      <c r="M74" s="16"/>
      <c r="N74" s="16"/>
      <c r="O74" s="16"/>
      <c r="P74" s="16"/>
      <c r="Q74" s="16"/>
      <c r="R74" s="16"/>
      <c r="S74" s="16"/>
      <c r="T74" s="16"/>
      <c r="U74" s="16"/>
      <c r="V74" s="16"/>
      <c r="W74" s="16"/>
      <c r="X74" s="16"/>
      <c r="Y74" s="16"/>
      <c r="Z74" s="16"/>
      <c r="AA74" s="16"/>
      <c r="AB74" s="16"/>
      <c r="AC74" s="16"/>
      <c r="AD74" s="16"/>
    </row>
    <row r="75" ht="13.5" customHeight="1" spans="1:30" x14ac:dyDescent="0.25">
      <c r="A75" s="17"/>
      <c r="B75" s="16"/>
      <c r="C75" s="16"/>
      <c r="D75" s="16"/>
      <c r="E75" s="16"/>
      <c r="F75" s="16"/>
      <c r="G75" s="16"/>
      <c r="H75" s="16"/>
      <c r="I75" s="16"/>
      <c r="J75" s="16"/>
      <c r="K75" s="16"/>
      <c r="L75" s="16"/>
      <c r="M75" s="16"/>
      <c r="N75" s="16"/>
      <c r="O75" s="16"/>
      <c r="P75" s="16"/>
      <c r="Q75" s="16"/>
      <c r="R75" s="16"/>
      <c r="S75" s="16"/>
      <c r="T75" s="16"/>
      <c r="U75" s="16"/>
      <c r="V75" s="16"/>
      <c r="W75" s="16"/>
      <c r="X75" s="16"/>
      <c r="Y75" s="16"/>
      <c r="Z75" s="16"/>
      <c r="AA75" s="16"/>
      <c r="AB75" s="16"/>
      <c r="AC75" s="16"/>
      <c r="AD75" s="16"/>
    </row>
    <row r="76" ht="13.5" customHeight="1" spans="1:30" x14ac:dyDescent="0.25">
      <c r="A76" s="17"/>
      <c r="B76" s="16"/>
      <c r="C76" s="16"/>
      <c r="D76" s="16"/>
      <c r="E76" s="16"/>
      <c r="F76" s="16"/>
      <c r="G76" s="16"/>
      <c r="H76" s="16"/>
      <c r="I76" s="16"/>
      <c r="J76" s="16"/>
      <c r="K76" s="16"/>
      <c r="L76" s="16"/>
      <c r="M76" s="16"/>
      <c r="N76" s="16"/>
      <c r="O76" s="16"/>
      <c r="P76" s="16"/>
      <c r="Q76" s="16"/>
      <c r="R76" s="16"/>
      <c r="S76" s="16"/>
      <c r="T76" s="16"/>
      <c r="U76" s="16"/>
      <c r="V76" s="16"/>
      <c r="W76" s="16"/>
      <c r="X76" s="16"/>
      <c r="Y76" s="16"/>
      <c r="Z76" s="16"/>
      <c r="AA76" s="16"/>
      <c r="AB76" s="16"/>
      <c r="AC76" s="16"/>
      <c r="AD76" s="16"/>
    </row>
    <row r="77" ht="13.5" customHeight="1" spans="1:30" x14ac:dyDescent="0.25">
      <c r="A77" s="17"/>
      <c r="B77" s="16"/>
      <c r="C77" s="16"/>
      <c r="D77" s="16"/>
      <c r="E77" s="16"/>
      <c r="F77" s="16"/>
      <c r="G77" s="16"/>
      <c r="H77" s="16"/>
      <c r="I77" s="16"/>
      <c r="J77" s="16"/>
      <c r="K77" s="16"/>
      <c r="L77" s="16"/>
      <c r="M77" s="16"/>
      <c r="N77" s="16"/>
      <c r="O77" s="16"/>
      <c r="P77" s="16"/>
      <c r="Q77" s="16"/>
      <c r="R77" s="16"/>
      <c r="S77" s="16"/>
      <c r="T77" s="16"/>
      <c r="U77" s="16"/>
      <c r="V77" s="16"/>
      <c r="W77" s="16"/>
      <c r="X77" s="16"/>
      <c r="Y77" s="16"/>
      <c r="Z77" s="16"/>
      <c r="AA77" s="16"/>
      <c r="AB77" s="16"/>
      <c r="AC77" s="16"/>
      <c r="AD77" s="16"/>
    </row>
    <row r="78" ht="13.5" customHeight="1" spans="1:30" x14ac:dyDescent="0.25">
      <c r="A78" s="17"/>
      <c r="B78" s="16"/>
      <c r="C78" s="16"/>
      <c r="D78" s="16"/>
      <c r="E78" s="16"/>
      <c r="F78" s="16"/>
      <c r="G78" s="16"/>
      <c r="H78" s="16"/>
      <c r="I78" s="16"/>
      <c r="J78" s="16"/>
      <c r="K78" s="16"/>
      <c r="L78" s="16"/>
      <c r="M78" s="16"/>
      <c r="N78" s="16"/>
      <c r="O78" s="16"/>
      <c r="P78" s="16"/>
      <c r="Q78" s="16"/>
      <c r="R78" s="16"/>
      <c r="S78" s="16"/>
      <c r="T78" s="16"/>
      <c r="U78" s="16"/>
      <c r="V78" s="16"/>
      <c r="W78" s="16"/>
      <c r="X78" s="16"/>
      <c r="Y78" s="16"/>
      <c r="Z78" s="16"/>
      <c r="AA78" s="16"/>
      <c r="AB78" s="16"/>
      <c r="AC78" s="16"/>
      <c r="AD78" s="16"/>
    </row>
    <row r="79" ht="13.5" customHeight="1" spans="1:30" x14ac:dyDescent="0.25">
      <c r="A79" s="17"/>
      <c r="B79" s="16"/>
      <c r="C79" s="16"/>
      <c r="D79" s="16"/>
      <c r="E79" s="16"/>
      <c r="F79" s="16"/>
      <c r="G79" s="16"/>
      <c r="H79" s="16"/>
      <c r="I79" s="16"/>
      <c r="J79" s="16"/>
      <c r="K79" s="16"/>
      <c r="L79" s="16"/>
      <c r="M79" s="16"/>
      <c r="N79" s="16"/>
      <c r="O79" s="16"/>
      <c r="P79" s="16"/>
      <c r="Q79" s="16"/>
      <c r="R79" s="16"/>
      <c r="S79" s="16"/>
      <c r="T79" s="16"/>
      <c r="U79" s="16"/>
      <c r="V79" s="16"/>
      <c r="W79" s="16"/>
      <c r="X79" s="16"/>
      <c r="Y79" s="16"/>
      <c r="Z79" s="16"/>
      <c r="AA79" s="16"/>
      <c r="AB79" s="16"/>
      <c r="AC79" s="16"/>
      <c r="AD79" s="16"/>
    </row>
    <row r="80" ht="13.5" customHeight="1" spans="1:30" x14ac:dyDescent="0.25">
      <c r="A80" s="17"/>
      <c r="B80" s="16"/>
      <c r="C80" s="16"/>
      <c r="D80" s="16"/>
      <c r="E80" s="16"/>
      <c r="F80" s="16"/>
      <c r="G80" s="16"/>
      <c r="H80" s="16"/>
      <c r="I80" s="16"/>
      <c r="J80" s="16"/>
      <c r="K80" s="16"/>
      <c r="L80" s="16"/>
      <c r="M80" s="16"/>
      <c r="N80" s="16"/>
      <c r="O80" s="16"/>
      <c r="P80" s="16"/>
      <c r="Q80" s="16"/>
      <c r="R80" s="16"/>
      <c r="S80" s="16"/>
      <c r="T80" s="16"/>
      <c r="U80" s="16"/>
      <c r="V80" s="16"/>
      <c r="W80" s="16"/>
      <c r="X80" s="16"/>
      <c r="Y80" s="16"/>
      <c r="Z80" s="16"/>
      <c r="AA80" s="16"/>
      <c r="AB80" s="16"/>
      <c r="AC80" s="16"/>
      <c r="AD80" s="16"/>
    </row>
    <row r="81" ht="13.5" customHeight="1" spans="1:30" x14ac:dyDescent="0.25">
      <c r="A81" s="17"/>
      <c r="B81" s="16"/>
      <c r="C81" s="16"/>
      <c r="D81" s="16"/>
      <c r="E81" s="16"/>
      <c r="F81" s="16"/>
      <c r="G81" s="16"/>
      <c r="H81" s="16"/>
      <c r="I81" s="16"/>
      <c r="J81" s="16"/>
      <c r="K81" s="16"/>
      <c r="L81" s="16"/>
      <c r="M81" s="16"/>
      <c r="N81" s="16"/>
      <c r="O81" s="16"/>
      <c r="P81" s="16"/>
      <c r="Q81" s="16"/>
      <c r="R81" s="16"/>
      <c r="S81" s="16"/>
      <c r="T81" s="16"/>
      <c r="U81" s="16"/>
      <c r="V81" s="16"/>
      <c r="W81" s="16"/>
      <c r="X81" s="16"/>
      <c r="Y81" s="16"/>
      <c r="Z81" s="16"/>
      <c r="AA81" s="16"/>
      <c r="AB81" s="16"/>
      <c r="AC81" s="16"/>
      <c r="AD81" s="16"/>
    </row>
    <row r="82" ht="13.5" customHeight="1" spans="1:30" x14ac:dyDescent="0.25">
      <c r="A82" s="17"/>
      <c r="B82" s="16"/>
      <c r="C82" s="16"/>
      <c r="D82" s="16"/>
      <c r="E82" s="16"/>
      <c r="F82" s="16"/>
      <c r="G82" s="16"/>
      <c r="H82" s="16"/>
      <c r="I82" s="16"/>
      <c r="J82" s="16"/>
      <c r="K82" s="16"/>
      <c r="L82" s="16"/>
      <c r="M82" s="16"/>
      <c r="N82" s="16"/>
      <c r="O82" s="16"/>
      <c r="P82" s="16"/>
      <c r="Q82" s="16"/>
      <c r="R82" s="16"/>
      <c r="S82" s="16"/>
      <c r="T82" s="16"/>
      <c r="U82" s="16"/>
      <c r="V82" s="16"/>
      <c r="W82" s="16"/>
      <c r="X82" s="16"/>
      <c r="Y82" s="16"/>
      <c r="Z82" s="16"/>
      <c r="AA82" s="16"/>
      <c r="AB82" s="16"/>
      <c r="AC82" s="16"/>
      <c r="AD82" s="16"/>
    </row>
    <row r="83" ht="13.5" customHeight="1" spans="1:30" x14ac:dyDescent="0.25">
      <c r="A83" s="17"/>
      <c r="B83" s="16"/>
      <c r="C83" s="16"/>
      <c r="D83" s="16"/>
      <c r="E83" s="16"/>
      <c r="F83" s="16"/>
      <c r="G83" s="16"/>
      <c r="H83" s="16"/>
      <c r="I83" s="16"/>
      <c r="J83" s="16"/>
      <c r="K83" s="16"/>
      <c r="L83" s="16"/>
      <c r="M83" s="16"/>
      <c r="N83" s="16"/>
      <c r="O83" s="16"/>
      <c r="P83" s="16"/>
      <c r="Q83" s="16"/>
      <c r="R83" s="16"/>
      <c r="S83" s="16"/>
      <c r="T83" s="16"/>
      <c r="U83" s="16"/>
      <c r="V83" s="16"/>
      <c r="W83" s="16"/>
      <c r="X83" s="16"/>
      <c r="Y83" s="16"/>
      <c r="Z83" s="16"/>
      <c r="AA83" s="16"/>
      <c r="AB83" s="16"/>
      <c r="AC83" s="16"/>
      <c r="AD83" s="16"/>
    </row>
    <row r="84" ht="13.5" customHeight="1" spans="1:30" x14ac:dyDescent="0.25">
      <c r="A84" s="17"/>
      <c r="B84" s="16"/>
      <c r="C84" s="16"/>
      <c r="D84" s="16"/>
      <c r="E84" s="16"/>
      <c r="F84" s="16"/>
      <c r="G84" s="16"/>
      <c r="H84" s="16"/>
      <c r="I84" s="16"/>
      <c r="J84" s="16"/>
      <c r="K84" s="16"/>
      <c r="L84" s="16"/>
      <c r="M84" s="16"/>
      <c r="N84" s="16"/>
      <c r="O84" s="16"/>
      <c r="P84" s="16"/>
      <c r="Q84" s="16"/>
      <c r="R84" s="16"/>
      <c r="S84" s="16"/>
      <c r="T84" s="16"/>
      <c r="U84" s="16"/>
      <c r="V84" s="16"/>
      <c r="W84" s="16"/>
      <c r="X84" s="16"/>
      <c r="Y84" s="16"/>
      <c r="Z84" s="16"/>
      <c r="AA84" s="16"/>
      <c r="AB84" s="16"/>
      <c r="AC84" s="16"/>
      <c r="AD84" s="16"/>
    </row>
    <row r="85" ht="13.5" customHeight="1" spans="1:30" x14ac:dyDescent="0.25">
      <c r="A85" s="17"/>
      <c r="B85" s="16"/>
      <c r="C85" s="16"/>
      <c r="D85" s="16"/>
      <c r="E85" s="16"/>
      <c r="F85" s="16"/>
      <c r="G85" s="16"/>
      <c r="H85" s="16"/>
      <c r="I85" s="16"/>
      <c r="J85" s="16"/>
      <c r="K85" s="16"/>
      <c r="L85" s="16"/>
      <c r="M85" s="16"/>
      <c r="N85" s="16"/>
      <c r="O85" s="16"/>
      <c r="P85" s="16"/>
      <c r="Q85" s="16"/>
      <c r="R85" s="16"/>
      <c r="S85" s="16"/>
      <c r="T85" s="16"/>
      <c r="U85" s="16"/>
      <c r="V85" s="16"/>
      <c r="W85" s="16"/>
      <c r="X85" s="16"/>
      <c r="Y85" s="16"/>
      <c r="Z85" s="16"/>
      <c r="AA85" s="16"/>
      <c r="AB85" s="16"/>
      <c r="AC85" s="16"/>
      <c r="AD85" s="16"/>
    </row>
    <row r="86" ht="13.5" customHeight="1" spans="1:30" x14ac:dyDescent="0.25">
      <c r="A86" s="17"/>
      <c r="B86" s="16"/>
      <c r="C86" s="16"/>
      <c r="D86" s="16"/>
      <c r="E86" s="16"/>
      <c r="F86" s="16"/>
      <c r="G86" s="16"/>
      <c r="H86" s="16"/>
      <c r="I86" s="16"/>
      <c r="J86" s="16"/>
      <c r="K86" s="16"/>
      <c r="L86" s="16"/>
      <c r="M86" s="16"/>
      <c r="N86" s="16"/>
      <c r="O86" s="16"/>
      <c r="P86" s="16"/>
      <c r="Q86" s="16"/>
      <c r="R86" s="16"/>
      <c r="S86" s="16"/>
      <c r="T86" s="16"/>
      <c r="U86" s="16"/>
      <c r="V86" s="16"/>
      <c r="W86" s="16"/>
      <c r="X86" s="16"/>
      <c r="Y86" s="16"/>
      <c r="Z86" s="16"/>
      <c r="AA86" s="16"/>
      <c r="AB86" s="16"/>
      <c r="AC86" s="16"/>
      <c r="AD86" s="16"/>
    </row>
    <row r="87" ht="13.5" customHeight="1" spans="1:30" x14ac:dyDescent="0.25">
      <c r="A87" s="17"/>
      <c r="B87" s="16"/>
      <c r="C87" s="16"/>
      <c r="D87" s="16"/>
      <c r="E87" s="16"/>
      <c r="F87" s="16"/>
      <c r="G87" s="16"/>
      <c r="H87" s="16"/>
      <c r="I87" s="16"/>
      <c r="J87" s="16"/>
      <c r="K87" s="16"/>
      <c r="L87" s="16"/>
      <c r="M87" s="16"/>
      <c r="N87" s="16"/>
      <c r="O87" s="16"/>
      <c r="P87" s="16"/>
      <c r="Q87" s="16"/>
      <c r="R87" s="16"/>
      <c r="S87" s="16"/>
      <c r="T87" s="16"/>
      <c r="U87" s="16"/>
      <c r="V87" s="16"/>
      <c r="W87" s="16"/>
      <c r="X87" s="16"/>
      <c r="Y87" s="16"/>
      <c r="Z87" s="16"/>
      <c r="AA87" s="16"/>
      <c r="AB87" s="16"/>
      <c r="AC87" s="16"/>
      <c r="AD87" s="16"/>
    </row>
    <row r="88" ht="13.5" customHeight="1" spans="1:30" x14ac:dyDescent="0.25">
      <c r="A88" s="17"/>
      <c r="B88" s="16"/>
      <c r="C88" s="110" t="str">
        <f ca="1">'Revenue Build'!$C$30</f>
        <v>Total Company Revenue</v>
      </c>
      <c r="D88" s="110"/>
      <c r="E88" s="110"/>
      <c r="F88" s="110"/>
      <c r="G88" s="110"/>
      <c r="H88" s="110"/>
      <c r="I88" s="110"/>
      <c r="J88" s="110"/>
      <c r="K88" s="110"/>
      <c r="L88" s="110"/>
      <c r="M88" s="110"/>
      <c r="N88" s="110"/>
      <c r="O88" s="110"/>
      <c r="P88" s="110"/>
      <c r="Q88" s="110"/>
      <c r="R88" s="841" t="str">
        <f ca="1">Last_FQR</f>
        <v>2Q</v>
      </c>
      <c r="S88" s="16"/>
      <c r="T88" s="16"/>
      <c r="U88" s="16"/>
      <c r="V88" s="16"/>
      <c r="W88" s="16"/>
      <c r="X88" s="16"/>
      <c r="Y88" s="16"/>
      <c r="Z88" s="16"/>
      <c r="AA88" s="16"/>
      <c r="AB88" s="16"/>
      <c r="AC88" s="16"/>
      <c r="AD88" s="16"/>
    </row>
    <row r="89" ht="13.5" customHeight="1" spans="1:30" x14ac:dyDescent="0.25">
      <c r="A89" s="17"/>
      <c r="B89" s="16"/>
      <c r="C89" s="16"/>
      <c r="D89" s="16"/>
      <c r="E89" s="16"/>
      <c r="F89" s="16"/>
      <c r="G89" s="16"/>
      <c r="H89" s="16"/>
      <c r="I89" s="16"/>
      <c r="J89" s="16"/>
      <c r="K89" s="16"/>
      <c r="L89" s="16"/>
      <c r="M89" s="16"/>
      <c r="N89" s="16"/>
      <c r="O89" s="16"/>
      <c r="P89" s="16"/>
      <c r="Q89" s="16"/>
      <c r="R89" s="16"/>
      <c r="S89" s="16"/>
      <c r="T89" s="16"/>
      <c r="U89" s="16"/>
      <c r="V89" s="16"/>
      <c r="W89" s="16"/>
      <c r="X89" s="16"/>
      <c r="Y89" s="16"/>
      <c r="Z89" s="16"/>
      <c r="AA89" s="16"/>
      <c r="AB89" s="16"/>
      <c r="AC89" s="16"/>
      <c r="AD89" s="16"/>
    </row>
    <row r="90" ht="13.5" customHeight="1" spans="1:30" x14ac:dyDescent="0.25">
      <c r="A90" s="17"/>
      <c r="B90" s="16"/>
      <c r="C90" s="190"/>
      <c r="D90" s="851">
        <f t="shared" ref="D90:G90" si="10" ca="1">E90-1</f>
        <v>2019</v>
      </c>
      <c r="E90" s="851">
        <f ca="1">F90-1</f>
        <v>2020</v>
      </c>
      <c r="F90" s="851">
        <f ca="1">G90-1</f>
        <v>2021</v>
      </c>
      <c r="G90" s="851">
        <f ca="1">H90-1</f>
        <v>2022</v>
      </c>
      <c r="H90" s="851">
        <f t="shared" ref="H90:M90" si="11" ca="1">D70</f>
        <v>2023</v>
      </c>
      <c r="I90" s="851">
        <f ca="1">E70</f>
        <v>2024</v>
      </c>
      <c r="J90" s="851">
        <f ca="1">F70</f>
        <v>2025</v>
      </c>
      <c r="K90" s="851" t="str">
        <f ca="1">G70</f>
        <v>2026e</v>
      </c>
      <c r="L90" s="851" t="str">
        <f ca="1">H70</f>
        <v>2027e</v>
      </c>
      <c r="M90" s="851" t="str">
        <f ca="1">I70</f>
        <v>2028e</v>
      </c>
      <c r="N90" s="851" t="str">
        <f ca="1">H90&amp;" YTD"</f>
        <v>2023 YTD</v>
      </c>
      <c r="O90" s="851" t="str">
        <f ca="1">J90&amp;" YTD"</f>
        <v>2025 YTD</v>
      </c>
      <c r="P90" s="851" t="str">
        <f t="shared" ref="P90:Q90" si="12" ca="1">LEFT(G70,4)&amp;" YTD"</f>
        <v>2026 YTD</v>
      </c>
      <c r="Q90" s="852" t="str">
        <f ca="1">LEFT(H70,4)&amp;" YTD"</f>
        <v>2027 YTD</v>
      </c>
      <c r="R90" s="16"/>
      <c r="S90" s="16"/>
      <c r="T90" s="16"/>
      <c r="U90" s="16"/>
      <c r="V90" s="16"/>
      <c r="W90" s="16"/>
      <c r="X90" s="16"/>
      <c r="Y90" s="16"/>
      <c r="Z90" s="16"/>
      <c r="AA90" s="16"/>
      <c r="AB90" s="16"/>
      <c r="AC90" s="16"/>
      <c r="AD90" s="16"/>
    </row>
    <row r="91" ht="13.5" customHeight="1" spans="1:30" x14ac:dyDescent="0.25">
      <c r="A91" s="17"/>
      <c r="B91" s="16"/>
      <c r="C91" s="859" t="str">
        <f ca="1">C88</f>
        <v>Total Company Revenue</v>
      </c>
      <c r="D91" s="863">
        <v>56223</v>
      </c>
      <c r="E91" s="863">
        <v>59074</v>
      </c>
      <c r="F91" s="863">
        <v>65017</v>
      </c>
      <c r="G91" s="863">
        <v>68619</v>
      </c>
      <c r="H91" s="832">
        <f t="array" ref="H91" ca="1">INDEX(Revenue_Data_Summary,MATCH($C91,'Revenue Build'!$C$28:$C$49,0),MATCH(Charts!H$90,'Revenue Build'!$C$28:$AG$28,0))</f>
        <v>71309</v>
      </c>
      <c r="I91" s="832">
        <f t="array" ref="I91" ca="1">INDEX(Revenue_Data_Summary,MATCH($C91,'Revenue Build'!$C$28:$C$49,0),MATCH(Charts!I$90,'Revenue Build'!$C$28:$AG$28,0))</f>
        <v>72148</v>
      </c>
      <c r="J91" s="832">
        <f t="array" ref="J91" ca="1">INDEX(Revenue_Data_Summary,MATCH($C91,'Revenue Build'!$C$28:$C$49,0),MATCH(Charts!J$90,'Revenue Build'!$C$28:$AG$28,0))</f>
        <v>89597</v>
      </c>
      <c r="K91" s="832">
        <f t="array" ref="K91" ca="1">INDEX(Revenue_Data_Summary,MATCH($C91,'Revenue Build'!$C$28:$C$49,0),MATCH(Charts!K$90,'Revenue Build'!$C$28:$AG$28,0))</f>
        <v>96682.1</v>
      </c>
      <c r="L91" s="832">
        <f t="array" ref="L91" ca="1">INDEX(Revenue_Data_Summary,MATCH($C91,'Revenue Build'!$C$28:$C$49,0),MATCH(Charts!L$90,'Revenue Build'!$C$28:$AG$28,0))</f>
        <v>105236.82134671998</v>
      </c>
      <c r="M91" s="832">
        <f t="array" ref="M91" ca="1">INDEX(Revenue_Data_Summary,MATCH($C91,'Revenue Build'!$C$28:$C$49,0),MATCH(Charts!M$90,'Revenue Build'!$C$28:$AG$28,0))</f>
        <v>107341.55777365438</v>
      </c>
      <c r="N91" s="832">
        <f ca="1">IF(Charts!$R$88="1Q",SUM('Revenue Build'!K30),IF(Charts!$R$88="2Q",SUM('Revenue Build'!K30:L30),IF(Charts!$R$88="3Q",SUM('Revenue Build'!K30:M30),IF(Charts!$R$88="4Q",SUM('Revenue Build'!K30:N30),"N/A"))))</f>
        <v>38733</v>
      </c>
      <c r="O91" s="832">
        <f ca="1">IF(Charts!$R$88="1Q",SUM('Revenue Build'!P30),IF(Charts!$R$88="2Q",SUM('Revenue Build'!P30:Q30),IF(Charts!$R$88="3Q",SUM('Revenue Build'!P30:R30),IF(Charts!$R$88="4Q",SUM('Revenue Build'!P30:S30),"N/A"))))</f>
        <v>46977</v>
      </c>
      <c r="P91" s="832">
        <f ca="1">IF(Charts!$R$88="1Q",SUM('Revenue Build'!U30),IF(Charts!$R$88="2Q",SUM('Revenue Build'!U30:V30),IF(Charts!$R$88="3Q",SUM('Revenue Build'!U30:W30),IF(Charts!$R$88="4Q",SUM('Revenue Build'!U30:X30),"N/A"))))</f>
        <v>51992</v>
      </c>
      <c r="Q91" s="832">
        <f ca="1">IF(Charts!$R$88="1Q",SUM('Revenue Build'!V30),IF(Charts!$R$88="2Q",SUM('Revenue Build'!V30:W30),IF(Charts!$R$88="3Q",SUM('Revenue Build'!V30:X30),IF(Charts!$R$88="4Q",SUM('Revenue Build'!V30:Y30),"N/A"))))</f>
        <v>50488</v>
      </c>
      <c r="R91" s="832"/>
      <c r="S91" s="16"/>
      <c r="T91" s="832"/>
      <c r="U91" s="16"/>
      <c r="V91" s="16"/>
      <c r="W91" s="832"/>
      <c r="X91" s="832"/>
      <c r="Y91" s="16"/>
      <c r="Z91" s="16"/>
      <c r="AA91" s="16"/>
      <c r="AB91" s="16"/>
      <c r="AC91" s="16"/>
      <c r="AD91" s="832"/>
    </row>
    <row r="92" ht="13.5" customHeight="1" spans="1:30" x14ac:dyDescent="0.25">
      <c r="A92" s="17"/>
      <c r="B92" s="16"/>
      <c r="C92" s="857" t="s">
        <v>937</v>
      </c>
      <c r="D92" s="860">
        <v>0.053</v>
      </c>
      <c r="E92" s="861">
        <f t="shared" ref="E92:M92" si="13" ca="1">E91/D91-1</f>
        <v>0.05070878466108186</v>
      </c>
      <c r="F92" s="861">
        <f ca="1">F91/E91-1</f>
        <v>0.1006026339844941</v>
      </c>
      <c r="G92" s="861">
        <f ca="1">G91/F91-1</f>
        <v>0.055400895150499174</v>
      </c>
      <c r="H92" s="861">
        <f ca="1">H91/G91-1</f>
        <v>0.03920197029977124</v>
      </c>
      <c r="I92" s="861">
        <f ca="1">I91/H91-1</f>
        <v>0.01176569577472697</v>
      </c>
      <c r="J92" s="861">
        <f ca="1">J91/I91-1</f>
        <v>0.2418500859344681</v>
      </c>
      <c r="K92" s="861">
        <f ca="1">K91/J91-1</f>
        <v>0.07907742446733712</v>
      </c>
      <c r="L92" s="861">
        <f ca="1">L91/K91-1</f>
        <v>0.08848299061273979</v>
      </c>
      <c r="M92" s="861">
        <f ca="1">M91/L91-1</f>
        <v>0.020000000000000018</v>
      </c>
      <c r="N92" s="861">
        <v>0.175</v>
      </c>
      <c r="O92" s="861">
        <f t="shared" ref="O92:Q92" si="14" ca="1">O91/N91-1</f>
        <v>0.21284176283789025</v>
      </c>
      <c r="P92" s="861">
        <f ca="1">P91/O91-1</f>
        <v>0.10675436915937597</v>
      </c>
      <c r="Q92" s="861">
        <f ca="1">Q91/P91-1</f>
        <v>-0.028927527311894186</v>
      </c>
      <c r="R92" s="16"/>
      <c r="S92" s="16"/>
      <c r="T92" s="16"/>
      <c r="U92" s="16"/>
      <c r="V92" s="16"/>
      <c r="W92" s="16"/>
      <c r="X92" s="16"/>
      <c r="Y92" s="16"/>
      <c r="Z92" s="16"/>
      <c r="AA92" s="16"/>
      <c r="AB92" s="16"/>
      <c r="AC92" s="16"/>
      <c r="AD92" s="16"/>
    </row>
    <row r="93" ht="13.5" customHeight="1" spans="1:30" x14ac:dyDescent="0.25">
      <c r="A93" s="17"/>
      <c r="B93" s="16"/>
      <c r="C93" s="16"/>
      <c r="D93" s="860"/>
      <c r="E93" s="861"/>
      <c r="F93" s="861"/>
      <c r="G93" s="861"/>
      <c r="H93" s="861"/>
      <c r="I93" s="861"/>
      <c r="J93" s="861"/>
      <c r="K93" s="861"/>
      <c r="L93" s="861"/>
      <c r="M93" s="860"/>
      <c r="N93" s="861"/>
      <c r="O93" s="861"/>
      <c r="P93" s="861"/>
      <c r="Q93" s="16"/>
      <c r="R93" s="16"/>
      <c r="S93" s="16"/>
      <c r="T93" s="16"/>
      <c r="U93" s="16"/>
      <c r="V93" s="16"/>
      <c r="W93" s="16"/>
      <c r="X93" s="16"/>
      <c r="Y93" s="16"/>
      <c r="Z93" s="16"/>
      <c r="AA93" s="16"/>
      <c r="AB93" s="16"/>
      <c r="AC93" s="16"/>
      <c r="AD93" s="16"/>
    </row>
    <row r="94" ht="13.5" customHeight="1" spans="1:30" x14ac:dyDescent="0.25">
      <c r="A94" s="17"/>
      <c r="B94" s="16"/>
      <c r="C94" s="16"/>
      <c r="D94" s="860"/>
      <c r="E94" s="861"/>
      <c r="F94" s="861"/>
      <c r="G94" s="861"/>
      <c r="H94" s="861"/>
      <c r="I94" s="861"/>
      <c r="J94" s="861"/>
      <c r="K94" s="861"/>
      <c r="L94" s="861"/>
      <c r="M94" s="860"/>
      <c r="N94" s="861"/>
      <c r="O94" s="861"/>
      <c r="P94" s="861"/>
      <c r="Q94" s="16"/>
      <c r="R94" s="16"/>
      <c r="S94" s="16"/>
      <c r="T94" s="16"/>
      <c r="U94" s="16"/>
      <c r="V94" s="16"/>
      <c r="W94" s="16"/>
      <c r="X94" s="16"/>
      <c r="Y94" s="16"/>
      <c r="Z94" s="16"/>
      <c r="AA94" s="16"/>
      <c r="AB94" s="16"/>
      <c r="AC94" s="16"/>
      <c r="AD94" s="16"/>
    </row>
    <row r="95" ht="13.5" customHeight="1" spans="1:30" x14ac:dyDescent="0.25">
      <c r="A95" s="17"/>
      <c r="B95" s="16"/>
      <c r="C95" s="16"/>
      <c r="D95" s="16"/>
      <c r="E95" s="16"/>
      <c r="F95" s="16"/>
      <c r="G95" s="16"/>
      <c r="H95" s="16"/>
      <c r="I95" s="16"/>
      <c r="J95" s="16"/>
      <c r="K95" s="16"/>
      <c r="L95" s="16"/>
      <c r="M95" s="16"/>
      <c r="N95" s="16"/>
      <c r="O95" s="16"/>
      <c r="P95" s="16"/>
      <c r="Q95" s="16"/>
      <c r="R95" s="16"/>
      <c r="S95" s="16"/>
      <c r="T95" s="16"/>
      <c r="U95" s="16"/>
      <c r="V95" s="16"/>
      <c r="W95" s="16"/>
      <c r="X95" s="16"/>
      <c r="Y95" s="16"/>
      <c r="Z95" s="16"/>
      <c r="AA95" s="16"/>
      <c r="AB95" s="16"/>
      <c r="AC95" s="16"/>
      <c r="AD95" s="16"/>
    </row>
    <row r="96" ht="13.5" customHeight="1" spans="1:30" x14ac:dyDescent="0.25">
      <c r="A96" s="17"/>
      <c r="B96" s="16"/>
      <c r="C96" s="16"/>
      <c r="D96" s="16"/>
      <c r="E96" s="16"/>
      <c r="F96" s="16"/>
      <c r="G96" s="16"/>
      <c r="H96" s="16"/>
      <c r="I96" s="16"/>
      <c r="J96" s="16"/>
      <c r="K96" s="16"/>
      <c r="L96" s="16"/>
      <c r="M96" s="16"/>
      <c r="N96" s="16"/>
      <c r="O96" s="16"/>
      <c r="P96" s="16"/>
      <c r="Q96" s="16"/>
      <c r="R96" s="16"/>
      <c r="S96" s="16"/>
      <c r="T96" s="16"/>
      <c r="U96" s="16"/>
      <c r="V96" s="16"/>
      <c r="W96" s="16"/>
      <c r="X96" s="16"/>
      <c r="Y96" s="16"/>
      <c r="Z96" s="16"/>
      <c r="AA96" s="16"/>
      <c r="AB96" s="16"/>
      <c r="AC96" s="16"/>
      <c r="AD96" s="16"/>
    </row>
    <row r="97" ht="13.5" customHeight="1" spans="1:30" x14ac:dyDescent="0.25">
      <c r="A97" s="17"/>
      <c r="B97" s="16"/>
      <c r="C97" s="16"/>
      <c r="D97" s="16"/>
      <c r="E97" s="16"/>
      <c r="F97" s="16"/>
      <c r="G97" s="16"/>
      <c r="H97" s="16"/>
      <c r="I97" s="16"/>
      <c r="J97" s="16"/>
      <c r="K97" s="16"/>
      <c r="L97" s="16"/>
      <c r="M97" s="16"/>
      <c r="N97" s="16"/>
      <c r="O97" s="16"/>
      <c r="P97" s="16"/>
      <c r="Q97" s="16"/>
      <c r="R97" s="16"/>
      <c r="S97" s="16"/>
      <c r="T97" s="16"/>
      <c r="U97" s="16"/>
      <c r="V97" s="16"/>
      <c r="W97" s="16"/>
      <c r="X97" s="16"/>
      <c r="Y97" s="16"/>
      <c r="Z97" s="16"/>
      <c r="AA97" s="16"/>
      <c r="AB97" s="16"/>
      <c r="AC97" s="16"/>
      <c r="AD97" s="16"/>
    </row>
    <row r="98" ht="13.5" customHeight="1" spans="1:30" x14ac:dyDescent="0.25">
      <c r="A98" s="17"/>
      <c r="B98" s="16"/>
      <c r="C98" s="16"/>
      <c r="D98" s="16"/>
      <c r="E98" s="16"/>
      <c r="F98" s="16"/>
      <c r="G98" s="16"/>
      <c r="H98" s="16"/>
      <c r="I98" s="16"/>
      <c r="J98" s="16"/>
      <c r="K98" s="16"/>
      <c r="L98" s="16"/>
      <c r="M98" s="16"/>
      <c r="N98" s="16"/>
      <c r="O98" s="16"/>
      <c r="P98" s="16"/>
      <c r="Q98" s="16"/>
      <c r="R98" s="16"/>
      <c r="S98" s="16"/>
      <c r="T98" s="16"/>
      <c r="U98" s="16"/>
      <c r="V98" s="16"/>
      <c r="W98" s="16"/>
      <c r="X98" s="16"/>
      <c r="Y98" s="16"/>
      <c r="Z98" s="16"/>
      <c r="AA98" s="16"/>
      <c r="AB98" s="16"/>
      <c r="AC98" s="16"/>
      <c r="AD98" s="16"/>
    </row>
    <row r="99" ht="13.5" customHeight="1" spans="1:30" x14ac:dyDescent="0.25">
      <c r="A99" s="17"/>
      <c r="B99" s="16"/>
      <c r="C99" s="16"/>
      <c r="D99" s="16"/>
      <c r="E99" s="16"/>
      <c r="F99" s="16"/>
      <c r="G99" s="16"/>
      <c r="H99" s="16"/>
      <c r="I99" s="16"/>
      <c r="J99" s="16"/>
      <c r="K99" s="16"/>
      <c r="L99" s="16"/>
      <c r="M99" s="16"/>
      <c r="N99" s="16"/>
      <c r="O99" s="16"/>
      <c r="P99" s="16"/>
      <c r="Q99" s="16"/>
      <c r="R99" s="16"/>
      <c r="S99" s="16"/>
      <c r="T99" s="16"/>
      <c r="U99" s="16"/>
      <c r="V99" s="16"/>
      <c r="W99" s="16"/>
      <c r="X99" s="16"/>
      <c r="Y99" s="16"/>
      <c r="Z99" s="16"/>
      <c r="AA99" s="16"/>
      <c r="AB99" s="16"/>
      <c r="AC99" s="16"/>
      <c r="AD99" s="16"/>
    </row>
    <row r="100" ht="13.5" customHeight="1" spans="1:30" x14ac:dyDescent="0.25">
      <c r="A100" s="17"/>
      <c r="B100" s="16"/>
      <c r="C100" s="16"/>
      <c r="D100" s="16"/>
      <c r="E100" s="16"/>
      <c r="F100" s="16"/>
      <c r="G100" s="16"/>
      <c r="H100" s="16"/>
      <c r="I100" s="16"/>
      <c r="J100" s="16"/>
      <c r="K100" s="16"/>
      <c r="L100" s="16"/>
      <c r="M100" s="16"/>
      <c r="N100" s="16"/>
      <c r="O100" s="16"/>
      <c r="P100" s="16"/>
      <c r="Q100" s="16"/>
      <c r="R100" s="16"/>
      <c r="S100" s="16"/>
      <c r="T100" s="16"/>
      <c r="U100" s="16"/>
      <c r="V100" s="16"/>
      <c r="W100" s="16"/>
      <c r="X100" s="16"/>
      <c r="Y100" s="16"/>
      <c r="Z100" s="16"/>
      <c r="AA100" s="16"/>
      <c r="AB100" s="16"/>
      <c r="AC100" s="16"/>
      <c r="AD100" s="16"/>
    </row>
    <row r="101" ht="13.5" customHeight="1" spans="1:30" x14ac:dyDescent="0.25">
      <c r="A101" s="17"/>
      <c r="B101" s="16"/>
      <c r="C101" s="16"/>
      <c r="D101" s="16"/>
      <c r="E101" s="16"/>
      <c r="F101" s="16"/>
      <c r="G101" s="16"/>
      <c r="H101" s="16"/>
      <c r="I101" s="16"/>
      <c r="J101" s="16"/>
      <c r="K101" s="16"/>
      <c r="L101" s="16"/>
      <c r="M101" s="16"/>
      <c r="N101" s="16"/>
      <c r="O101" s="16"/>
      <c r="P101" s="16"/>
      <c r="Q101" s="16"/>
      <c r="R101" s="16"/>
      <c r="S101" s="16"/>
      <c r="T101" s="16"/>
      <c r="U101" s="16"/>
      <c r="V101" s="16"/>
      <c r="W101" s="16"/>
      <c r="X101" s="16"/>
      <c r="Y101" s="16"/>
      <c r="Z101" s="16"/>
      <c r="AA101" s="16"/>
      <c r="AB101" s="16"/>
      <c r="AC101" s="16"/>
      <c r="AD101" s="16"/>
    </row>
    <row r="102" ht="13.5" customHeight="1" spans="1:30" x14ac:dyDescent="0.25">
      <c r="A102" s="17"/>
      <c r="B102" s="16"/>
      <c r="C102" s="16"/>
      <c r="D102" s="16"/>
      <c r="E102" s="16"/>
      <c r="F102" s="16"/>
      <c r="G102" s="16"/>
      <c r="H102" s="16"/>
      <c r="I102" s="16"/>
      <c r="J102" s="16"/>
      <c r="K102" s="16"/>
      <c r="L102" s="16"/>
      <c r="M102" s="16"/>
      <c r="N102" s="16"/>
      <c r="O102" s="16"/>
      <c r="P102" s="16"/>
      <c r="Q102" s="16"/>
      <c r="R102" s="16"/>
      <c r="S102" s="16"/>
      <c r="T102" s="16"/>
      <c r="U102" s="16"/>
      <c r="V102" s="16"/>
      <c r="W102" s="16"/>
      <c r="X102" s="16"/>
      <c r="Y102" s="16"/>
      <c r="Z102" s="16"/>
      <c r="AA102" s="16"/>
      <c r="AB102" s="16"/>
      <c r="AC102" s="16"/>
      <c r="AD102" s="16"/>
    </row>
    <row r="103" ht="13.5" customHeight="1" spans="1:30" x14ac:dyDescent="0.25">
      <c r="A103" s="17"/>
      <c r="B103" s="16"/>
      <c r="C103" s="16"/>
      <c r="D103" s="16"/>
      <c r="E103" s="16"/>
      <c r="F103" s="16"/>
      <c r="G103" s="16"/>
      <c r="H103" s="16"/>
      <c r="I103" s="16"/>
      <c r="J103" s="16"/>
      <c r="K103" s="16"/>
      <c r="L103" s="16"/>
      <c r="M103" s="16"/>
      <c r="N103" s="16"/>
      <c r="O103" s="16"/>
      <c r="P103" s="16"/>
      <c r="Q103" s="16"/>
      <c r="R103" s="16"/>
      <c r="S103" s="16"/>
      <c r="T103" s="16"/>
      <c r="U103" s="16"/>
      <c r="V103" s="16"/>
      <c r="W103" s="16"/>
      <c r="X103" s="16"/>
      <c r="Y103" s="16"/>
      <c r="Z103" s="16"/>
      <c r="AA103" s="16"/>
      <c r="AB103" s="16"/>
      <c r="AC103" s="16"/>
      <c r="AD103" s="16"/>
    </row>
    <row r="104" ht="13.5" customHeight="1" spans="1:30" x14ac:dyDescent="0.25">
      <c r="A104" s="17"/>
      <c r="B104" s="16"/>
      <c r="C104" s="16"/>
      <c r="D104" s="16"/>
      <c r="E104" s="16"/>
      <c r="F104" s="16"/>
      <c r="G104" s="16"/>
      <c r="H104" s="16"/>
      <c r="I104" s="16"/>
      <c r="J104" s="16"/>
      <c r="K104" s="16"/>
      <c r="L104" s="16"/>
      <c r="M104" s="16"/>
      <c r="N104" s="16"/>
      <c r="O104" s="16"/>
      <c r="P104" s="16"/>
      <c r="Q104" s="16"/>
      <c r="R104" s="16"/>
      <c r="S104" s="16"/>
      <c r="T104" s="16"/>
      <c r="U104" s="16"/>
      <c r="V104" s="16"/>
      <c r="W104" s="16"/>
      <c r="X104" s="16"/>
      <c r="Y104" s="16"/>
      <c r="Z104" s="16"/>
      <c r="AA104" s="16"/>
      <c r="AB104" s="16"/>
      <c r="AC104" s="16"/>
      <c r="AD104" s="16"/>
    </row>
    <row r="105" ht="13.5" customHeight="1" spans="1:30" x14ac:dyDescent="0.25">
      <c r="A105" s="17"/>
      <c r="B105" s="16"/>
      <c r="C105" s="16"/>
      <c r="D105" s="16"/>
      <c r="E105" s="16"/>
      <c r="F105" s="16"/>
      <c r="G105" s="16"/>
      <c r="H105" s="16"/>
      <c r="I105" s="16"/>
      <c r="J105" s="16"/>
      <c r="K105" s="16"/>
      <c r="L105" s="16"/>
      <c r="M105" s="16"/>
      <c r="N105" s="16"/>
      <c r="O105" s="16"/>
      <c r="P105" s="16"/>
      <c r="Q105" s="16"/>
      <c r="R105" s="16"/>
      <c r="S105" s="16"/>
      <c r="T105" s="16"/>
      <c r="U105" s="16"/>
      <c r="V105" s="16"/>
      <c r="W105" s="16"/>
      <c r="X105" s="16"/>
      <c r="Y105" s="16"/>
      <c r="Z105" s="16"/>
      <c r="AA105" s="16"/>
      <c r="AB105" s="16"/>
      <c r="AC105" s="16"/>
      <c r="AD105" s="16"/>
    </row>
    <row r="106" ht="13.5" customHeight="1" spans="1:30" x14ac:dyDescent="0.25">
      <c r="A106" s="17"/>
      <c r="B106" s="16"/>
      <c r="C106" s="16"/>
      <c r="D106" s="16"/>
      <c r="E106" s="16"/>
      <c r="F106" s="16"/>
      <c r="G106" s="16"/>
      <c r="H106" s="16"/>
      <c r="I106" s="16"/>
      <c r="J106" s="16"/>
      <c r="K106" s="16"/>
      <c r="L106" s="16"/>
      <c r="M106" s="16"/>
      <c r="N106" s="16"/>
      <c r="O106" s="16"/>
      <c r="P106" s="16"/>
      <c r="Q106" s="16"/>
      <c r="R106" s="16"/>
      <c r="S106" s="16"/>
      <c r="T106" s="16"/>
      <c r="U106" s="16"/>
      <c r="V106" s="16"/>
      <c r="W106" s="16"/>
      <c r="X106" s="16"/>
      <c r="Y106" s="16"/>
      <c r="Z106" s="16"/>
      <c r="AA106" s="16"/>
      <c r="AB106" s="16"/>
      <c r="AC106" s="16"/>
      <c r="AD106" s="16"/>
    </row>
    <row r="107" ht="13.5" customHeight="1" spans="1:30" x14ac:dyDescent="0.25">
      <c r="A107" s="17"/>
      <c r="B107" s="16"/>
      <c r="C107" s="16"/>
      <c r="D107" s="16"/>
      <c r="E107" s="16"/>
      <c r="F107" s="16"/>
      <c r="G107" s="16"/>
      <c r="H107" s="16"/>
      <c r="I107" s="16"/>
      <c r="J107" s="16"/>
      <c r="K107" s="16"/>
      <c r="L107" s="16"/>
      <c r="M107" s="16"/>
      <c r="N107" s="16"/>
      <c r="O107" s="16"/>
      <c r="P107" s="16"/>
      <c r="Q107" s="16"/>
      <c r="R107" s="16"/>
      <c r="S107" s="16"/>
      <c r="T107" s="16"/>
      <c r="U107" s="16"/>
      <c r="V107" s="16"/>
      <c r="W107" s="16"/>
      <c r="X107" s="16"/>
      <c r="Y107" s="16"/>
      <c r="Z107" s="16"/>
      <c r="AA107" s="16"/>
      <c r="AB107" s="16"/>
      <c r="AC107" s="16"/>
      <c r="AD107" s="16"/>
    </row>
    <row r="108" ht="13.5" customHeight="1" spans="1:30" x14ac:dyDescent="0.25">
      <c r="A108" s="17"/>
      <c r="B108" s="16"/>
      <c r="C108" s="16"/>
      <c r="D108" s="16"/>
      <c r="E108" s="16"/>
      <c r="F108" s="16"/>
      <c r="G108" s="16"/>
      <c r="H108" s="16"/>
      <c r="I108" s="16"/>
      <c r="J108" s="16"/>
      <c r="K108" s="16"/>
      <c r="L108" s="16"/>
      <c r="M108" s="16"/>
      <c r="N108" s="16"/>
      <c r="O108" s="16"/>
      <c r="P108" s="16"/>
      <c r="Q108" s="16"/>
      <c r="R108" s="16"/>
      <c r="S108" s="16"/>
      <c r="T108" s="16"/>
      <c r="U108" s="16"/>
      <c r="V108" s="16"/>
      <c r="W108" s="16"/>
      <c r="X108" s="16"/>
      <c r="Y108" s="16"/>
      <c r="Z108" s="16"/>
      <c r="AA108" s="16"/>
      <c r="AB108" s="16"/>
      <c r="AC108" s="16"/>
      <c r="AD108" s="16"/>
    </row>
    <row r="109" ht="13.5" customHeight="1" spans="1:30" x14ac:dyDescent="0.25">
      <c r="A109" s="17"/>
      <c r="B109" s="16"/>
      <c r="C109" s="16"/>
      <c r="D109" s="16"/>
      <c r="E109" s="16"/>
      <c r="F109" s="16"/>
      <c r="G109" s="16"/>
      <c r="H109" s="16"/>
      <c r="I109" s="16"/>
      <c r="J109" s="16"/>
      <c r="K109" s="16"/>
      <c r="L109" s="16"/>
      <c r="M109" s="16"/>
      <c r="N109" s="16"/>
      <c r="O109" s="16"/>
      <c r="P109" s="16"/>
      <c r="Q109" s="16"/>
      <c r="R109" s="16"/>
      <c r="S109" s="16"/>
      <c r="T109" s="16"/>
      <c r="U109" s="16"/>
      <c r="V109" s="16"/>
      <c r="W109" s="16"/>
      <c r="X109" s="16"/>
      <c r="Y109" s="16"/>
      <c r="Z109" s="16"/>
      <c r="AA109" s="16"/>
      <c r="AB109" s="16"/>
      <c r="AC109" s="16"/>
      <c r="AD109" s="16"/>
    </row>
    <row r="110" ht="13.5" customHeight="1" spans="1:30" x14ac:dyDescent="0.25">
      <c r="A110" s="17"/>
      <c r="B110" s="16"/>
      <c r="C110" s="16"/>
      <c r="D110" s="16"/>
      <c r="E110" s="16"/>
      <c r="F110" s="16"/>
      <c r="G110" s="16"/>
      <c r="H110" s="16"/>
      <c r="I110" s="16"/>
      <c r="J110" s="16"/>
      <c r="K110" s="16"/>
      <c r="L110" s="16"/>
      <c r="M110" s="16"/>
      <c r="N110" s="16"/>
      <c r="O110" s="16"/>
      <c r="P110" s="16"/>
      <c r="Q110" s="16"/>
      <c r="R110" s="16"/>
      <c r="S110" s="16"/>
      <c r="T110" s="16"/>
      <c r="U110" s="16"/>
      <c r="V110" s="16"/>
      <c r="W110" s="16"/>
      <c r="X110" s="16"/>
      <c r="Y110" s="16"/>
      <c r="Z110" s="16"/>
      <c r="AA110" s="16"/>
      <c r="AB110" s="16"/>
      <c r="AC110" s="16"/>
      <c r="AD110" s="16"/>
    </row>
    <row r="111" ht="13.5" customHeight="1" spans="1:30" x14ac:dyDescent="0.25">
      <c r="A111" s="17"/>
      <c r="B111" s="16"/>
      <c r="C111" s="16"/>
      <c r="D111" s="16"/>
      <c r="E111" s="16"/>
      <c r="F111" s="16"/>
      <c r="G111" s="16"/>
      <c r="H111" s="16"/>
      <c r="I111" s="16"/>
      <c r="J111" s="16"/>
      <c r="K111" s="16"/>
      <c r="L111" s="16"/>
      <c r="M111" s="16"/>
      <c r="N111" s="16"/>
      <c r="O111" s="16"/>
      <c r="P111" s="16"/>
      <c r="Q111" s="16"/>
      <c r="R111" s="16"/>
      <c r="S111" s="16"/>
      <c r="T111" s="16"/>
      <c r="U111" s="16"/>
      <c r="V111" s="16"/>
      <c r="W111" s="16"/>
      <c r="X111" s="16"/>
      <c r="Y111" s="16"/>
      <c r="Z111" s="16"/>
      <c r="AA111" s="16"/>
      <c r="AB111" s="16"/>
      <c r="AC111" s="16"/>
      <c r="AD111" s="16"/>
    </row>
    <row r="112" ht="13.5" customHeight="1" spans="1:30" x14ac:dyDescent="0.25">
      <c r="A112" s="17"/>
      <c r="B112" s="16"/>
      <c r="C112" s="16"/>
      <c r="D112" s="16"/>
      <c r="E112" s="16"/>
      <c r="F112" s="16"/>
      <c r="G112" s="16"/>
      <c r="H112" s="16"/>
      <c r="I112" s="16"/>
      <c r="J112" s="16"/>
      <c r="K112" s="16"/>
      <c r="L112" s="16"/>
      <c r="M112" s="16"/>
      <c r="N112" s="16"/>
      <c r="O112" s="16"/>
      <c r="P112" s="16"/>
      <c r="Q112" s="16"/>
      <c r="R112" s="16"/>
      <c r="S112" s="16"/>
      <c r="T112" s="16"/>
      <c r="U112" s="16"/>
      <c r="V112" s="16"/>
      <c r="W112" s="16"/>
      <c r="X112" s="16"/>
      <c r="Y112" s="16"/>
      <c r="Z112" s="16"/>
      <c r="AA112" s="16"/>
      <c r="AB112" s="16"/>
      <c r="AC112" s="16"/>
      <c r="AD112" s="16"/>
    </row>
    <row r="113" ht="13.5" customHeight="1" spans="1:30" x14ac:dyDescent="0.25">
      <c r="A113" s="17"/>
      <c r="B113" s="16"/>
      <c r="C113" s="16"/>
      <c r="D113" s="16"/>
      <c r="E113" s="16"/>
      <c r="F113" s="16"/>
      <c r="G113" s="16"/>
      <c r="H113" s="16"/>
      <c r="I113" s="16"/>
      <c r="J113" s="16"/>
      <c r="K113" s="16"/>
      <c r="L113" s="16"/>
      <c r="M113" s="16"/>
      <c r="N113" s="16"/>
      <c r="O113" s="16"/>
      <c r="P113" s="16"/>
      <c r="Q113" s="16"/>
      <c r="R113" s="16"/>
      <c r="S113" s="16"/>
      <c r="T113" s="16"/>
      <c r="U113" s="16"/>
      <c r="V113" s="16"/>
      <c r="W113" s="16"/>
      <c r="X113" s="16"/>
      <c r="Y113" s="16"/>
      <c r="Z113" s="16"/>
      <c r="AA113" s="16"/>
      <c r="AB113" s="16"/>
      <c r="AC113" s="16"/>
      <c r="AD113" s="16"/>
    </row>
    <row r="114" ht="13.5" customHeight="1" spans="1:30" x14ac:dyDescent="0.25">
      <c r="A114" s="17" t="s">
        <v>1</v>
      </c>
      <c r="B114" s="16"/>
      <c r="C114" s="110" t="s">
        <v>938</v>
      </c>
      <c r="D114" s="111"/>
      <c r="E114" s="111"/>
      <c r="F114" s="111"/>
      <c r="G114" s="111"/>
      <c r="H114" s="111"/>
      <c r="I114" s="111"/>
      <c r="J114" s="111"/>
      <c r="K114" s="111"/>
      <c r="L114" s="111"/>
      <c r="M114" s="111"/>
      <c r="N114" s="111"/>
      <c r="O114" s="111"/>
      <c r="P114" s="111"/>
      <c r="Q114" s="111"/>
      <c r="R114" s="16"/>
      <c r="S114" s="16"/>
      <c r="T114" s="16"/>
      <c r="U114" s="16"/>
      <c r="V114" s="16"/>
      <c r="W114" s="16"/>
      <c r="X114" s="16"/>
      <c r="Y114" s="16"/>
      <c r="Z114" s="16"/>
      <c r="AA114" s="16"/>
      <c r="AB114" s="16"/>
      <c r="AC114" s="16"/>
      <c r="AD114" s="16"/>
    </row>
    <row r="115" ht="13.5" customHeight="1" spans="1:30" x14ac:dyDescent="0.25">
      <c r="A115" s="17"/>
      <c r="B115" s="16"/>
      <c r="C115" s="16"/>
      <c r="D115" s="16"/>
      <c r="E115" s="16"/>
      <c r="F115" s="16"/>
      <c r="G115" s="16"/>
      <c r="H115" s="16"/>
      <c r="I115" s="16"/>
      <c r="J115" s="16"/>
      <c r="K115" s="16"/>
      <c r="L115" s="16"/>
      <c r="M115" s="16"/>
      <c r="N115" s="16"/>
      <c r="O115" s="16"/>
      <c r="P115" s="16"/>
      <c r="Q115" s="16"/>
      <c r="R115" s="16"/>
      <c r="S115" s="16"/>
      <c r="T115" s="16"/>
      <c r="U115" s="16"/>
      <c r="V115" s="16"/>
      <c r="W115" s="16"/>
      <c r="X115" s="16"/>
      <c r="Y115" s="16"/>
      <c r="Z115" s="16"/>
      <c r="AA115" s="16"/>
      <c r="AB115" s="16"/>
      <c r="AC115" s="16"/>
      <c r="AD115" s="16"/>
    </row>
    <row r="116" ht="13.5" customHeight="1" spans="1:30" x14ac:dyDescent="0.25">
      <c r="A116" s="17"/>
      <c r="B116" s="16"/>
      <c r="C116" s="190"/>
      <c r="D116" s="864" t="str">
        <f ca="1">'Segment Analysis'!$C$16</f>
        <v>Home Improvement Retail</v>
      </c>
      <c r="E116" s="864" t="str">
        <f ca="1">'Segment Analysis'!$C$17</f>
        <v>Segment 2</v>
      </c>
      <c r="F116" s="864" t="str">
        <f ca="1">'Segment Analysis'!$C$20</f>
        <v>Segment 5</v>
      </c>
      <c r="G116" s="864" t="str">
        <f ca="1">'Segment Analysis'!$C$18</f>
        <v>Segment 3</v>
      </c>
      <c r="H116" s="864" t="str">
        <f ca="1">'Segment Analysis'!$C$19</f>
        <v>Segment 4</v>
      </c>
      <c r="I116" s="865" t="str">
        <f ca="1">'Segment Analysis'!$C$21</f>
        <v>Segment 6</v>
      </c>
      <c r="J116" s="84"/>
      <c r="K116" s="16"/>
      <c r="L116" s="16"/>
      <c r="M116" s="16"/>
      <c r="N116" s="16"/>
      <c r="O116" s="16"/>
      <c r="P116" s="16"/>
      <c r="Q116" s="16"/>
      <c r="R116" s="16"/>
      <c r="S116" s="16"/>
      <c r="T116" s="16"/>
      <c r="U116" s="16"/>
      <c r="V116" s="16"/>
      <c r="W116" s="16"/>
      <c r="X116" s="16"/>
      <c r="Y116" s="16"/>
      <c r="Z116" s="16"/>
      <c r="AA116" s="16"/>
      <c r="AB116" s="16"/>
      <c r="AC116" s="16"/>
      <c r="AD116" s="16"/>
    </row>
    <row r="117" ht="13.5" customHeight="1" spans="1:30" x14ac:dyDescent="0.25">
      <c r="A117" s="17"/>
      <c r="B117" s="16"/>
      <c r="C117" s="857" t="s">
        <v>939</v>
      </c>
      <c r="D117" s="866">
        <f ca="1">'Segment Analysis'!$T$16</f>
        <v>1</v>
      </c>
      <c r="E117" s="867">
        <f ca="1">'Segment Analysis'!$T$17</f>
        <v>1e-12</v>
      </c>
      <c r="F117" s="867">
        <f ca="1">'Segment Analysis'!$T$20</f>
        <v>1e-12</v>
      </c>
      <c r="G117" s="867">
        <f ca="1">'Segment Analysis'!$T$18</f>
        <v>1e-12</v>
      </c>
      <c r="H117" s="867">
        <f ca="1">'Segment Analysis'!$T$19</f>
        <v>1e-12</v>
      </c>
      <c r="I117" s="867">
        <f ca="1">'Segment Analysis'!$T$21</f>
        <v>1e-12</v>
      </c>
      <c r="J117" s="168" t="s">
        <v>940</v>
      </c>
      <c r="K117" s="868">
        <f ca="1">SUM(D117:I117)</f>
        <v>1</v>
      </c>
      <c r="L117" s="16" t="s">
        <v>941</v>
      </c>
      <c r="M117" s="16"/>
      <c r="N117" s="16"/>
      <c r="O117" s="16"/>
      <c r="P117" s="16"/>
      <c r="Q117" s="16"/>
      <c r="R117" s="16"/>
      <c r="S117" s="16"/>
      <c r="T117" s="16"/>
      <c r="U117" s="16"/>
      <c r="V117" s="16"/>
      <c r="W117" s="16"/>
      <c r="X117" s="16"/>
      <c r="Y117" s="16"/>
      <c r="Z117" s="16"/>
      <c r="AA117" s="16"/>
      <c r="AB117" s="16"/>
      <c r="AC117" s="16"/>
      <c r="AD117" s="16"/>
    </row>
    <row r="118" ht="13.5" customHeight="1" spans="1:30" x14ac:dyDescent="0.25">
      <c r="A118" s="17"/>
      <c r="B118" s="16"/>
      <c r="C118" s="16"/>
      <c r="D118" s="16"/>
      <c r="E118" s="16"/>
      <c r="F118" s="214"/>
      <c r="G118" s="16"/>
      <c r="H118" s="16"/>
      <c r="I118" s="16"/>
      <c r="J118" s="16"/>
      <c r="K118" s="16"/>
      <c r="L118" s="16"/>
      <c r="M118" s="16"/>
      <c r="N118" s="16"/>
      <c r="O118" s="16"/>
      <c r="P118" s="16"/>
      <c r="Q118" s="16"/>
      <c r="R118" s="16"/>
      <c r="S118" s="16"/>
      <c r="T118" s="16"/>
      <c r="U118" s="16"/>
      <c r="V118" s="16"/>
      <c r="W118" s="16"/>
      <c r="X118" s="16"/>
      <c r="Y118" s="16"/>
      <c r="Z118" s="16"/>
      <c r="AA118" s="16"/>
      <c r="AB118" s="16"/>
      <c r="AC118" s="16"/>
      <c r="AD118" s="16"/>
    </row>
    <row r="119" ht="13.5" customHeight="1" spans="1:30" x14ac:dyDescent="0.25">
      <c r="A119" s="17"/>
      <c r="B119" s="16"/>
      <c r="C119" s="16"/>
      <c r="D119" s="16"/>
      <c r="E119" s="16"/>
      <c r="F119" s="16"/>
      <c r="G119" s="16"/>
      <c r="H119" s="16"/>
      <c r="I119" s="16"/>
      <c r="J119" s="16"/>
      <c r="K119" s="16"/>
      <c r="L119" s="16"/>
      <c r="M119" s="16"/>
      <c r="N119" s="16"/>
      <c r="O119" s="16"/>
      <c r="P119" s="16"/>
      <c r="Q119" s="16"/>
      <c r="R119" s="869"/>
      <c r="S119" s="869"/>
      <c r="T119" s="869"/>
      <c r="U119" s="869"/>
      <c r="V119" s="869"/>
      <c r="W119" s="869"/>
      <c r="X119" s="16"/>
      <c r="Y119" s="16"/>
      <c r="Z119" s="16"/>
      <c r="AA119" s="16"/>
      <c r="AB119" s="16"/>
      <c r="AC119" s="16"/>
      <c r="AD119" s="16"/>
    </row>
    <row r="120" ht="13.5" customHeight="1" spans="1:30" x14ac:dyDescent="0.25">
      <c r="A120" s="17"/>
      <c r="B120" s="16"/>
      <c r="C120" s="16"/>
      <c r="D120" s="16"/>
      <c r="E120" s="16"/>
      <c r="F120" s="16"/>
      <c r="G120" s="16"/>
      <c r="H120" s="16"/>
      <c r="I120" s="16"/>
      <c r="J120" s="16"/>
      <c r="K120" s="16"/>
      <c r="L120" s="16"/>
      <c r="M120" s="16"/>
      <c r="N120" s="16"/>
      <c r="O120" s="16"/>
      <c r="P120" s="16"/>
      <c r="Q120" s="16"/>
      <c r="R120" s="16"/>
      <c r="S120" s="16"/>
      <c r="T120" s="16"/>
      <c r="U120" s="16"/>
      <c r="V120" s="16"/>
      <c r="W120" s="16"/>
      <c r="X120" s="16"/>
      <c r="Y120" s="16"/>
      <c r="Z120" s="16"/>
      <c r="AA120" s="16"/>
      <c r="AB120" s="16"/>
      <c r="AC120" s="16"/>
      <c r="AD120" s="16"/>
    </row>
    <row r="121" ht="13.5" customHeight="1" spans="1:30" x14ac:dyDescent="0.25">
      <c r="A121" s="17"/>
      <c r="B121" s="16"/>
      <c r="C121" s="16"/>
      <c r="D121" s="16"/>
      <c r="E121" s="16"/>
      <c r="F121" s="16"/>
      <c r="G121" s="16"/>
      <c r="H121" s="16"/>
      <c r="I121" s="16"/>
      <c r="J121" s="16"/>
      <c r="K121" s="16"/>
      <c r="L121" s="16"/>
      <c r="M121" s="16"/>
      <c r="N121" s="16"/>
      <c r="O121" s="16"/>
      <c r="P121" s="16"/>
      <c r="Q121" s="16"/>
      <c r="R121" s="16"/>
      <c r="S121" s="16"/>
      <c r="T121" s="16"/>
      <c r="U121" s="16"/>
      <c r="V121" s="16"/>
      <c r="W121" s="16"/>
      <c r="X121" s="16"/>
      <c r="Y121" s="16"/>
      <c r="Z121" s="16"/>
      <c r="AA121" s="16"/>
      <c r="AB121" s="16"/>
      <c r="AC121" s="16"/>
      <c r="AD121" s="16"/>
    </row>
    <row r="122" ht="13.5" customHeight="1" spans="1:30" x14ac:dyDescent="0.25">
      <c r="A122" s="17"/>
      <c r="B122" s="16"/>
      <c r="C122" s="16"/>
      <c r="D122" s="16"/>
      <c r="E122" s="16"/>
      <c r="F122" s="16"/>
      <c r="G122" s="16"/>
      <c r="H122" s="16"/>
      <c r="I122" s="16"/>
      <c r="J122" s="16"/>
      <c r="K122" s="16"/>
      <c r="L122" s="16"/>
      <c r="M122" s="16"/>
      <c r="N122" s="16"/>
      <c r="O122" s="16"/>
      <c r="P122" s="16"/>
      <c r="Q122" s="16"/>
      <c r="R122" s="16"/>
      <c r="S122" s="16"/>
      <c r="T122" s="16"/>
      <c r="U122" s="16"/>
      <c r="V122" s="16"/>
      <c r="W122" s="16"/>
      <c r="X122" s="16"/>
      <c r="Y122" s="16"/>
      <c r="Z122" s="16"/>
      <c r="AA122" s="16"/>
      <c r="AB122" s="16"/>
      <c r="AC122" s="16"/>
      <c r="AD122" s="16"/>
    </row>
    <row r="123" ht="13.5" customHeight="1" spans="1:30" x14ac:dyDescent="0.25">
      <c r="A123" s="17"/>
      <c r="B123" s="16"/>
      <c r="C123" s="16"/>
      <c r="D123" s="16"/>
      <c r="E123" s="16"/>
      <c r="F123" s="16"/>
      <c r="G123" s="16"/>
      <c r="H123" s="16"/>
      <c r="I123" s="16"/>
      <c r="J123" s="16"/>
      <c r="K123" s="16"/>
      <c r="L123" s="16"/>
      <c r="M123" s="16"/>
      <c r="N123" s="16"/>
      <c r="O123" s="16"/>
      <c r="P123" s="16"/>
      <c r="Q123" s="16"/>
      <c r="R123" s="16"/>
      <c r="S123" s="16"/>
      <c r="T123" s="16"/>
      <c r="U123" s="16"/>
      <c r="V123" s="16"/>
      <c r="W123" s="16"/>
      <c r="X123" s="16"/>
      <c r="Y123" s="16"/>
      <c r="Z123" s="16"/>
      <c r="AA123" s="16"/>
      <c r="AB123" s="16"/>
      <c r="AC123" s="16"/>
      <c r="AD123" s="16"/>
    </row>
    <row r="124" ht="13.5" customHeight="1" spans="1:30" x14ac:dyDescent="0.25">
      <c r="A124" s="17"/>
      <c r="B124" s="16"/>
      <c r="C124" s="16"/>
      <c r="D124" s="16"/>
      <c r="E124" s="16"/>
      <c r="F124" s="16"/>
      <c r="G124" s="16"/>
      <c r="H124" s="16"/>
      <c r="I124" s="16"/>
      <c r="J124" s="16"/>
      <c r="K124" s="16"/>
      <c r="L124" s="16"/>
      <c r="M124" s="16"/>
      <c r="N124" s="16"/>
      <c r="O124" s="16"/>
      <c r="P124" s="16"/>
      <c r="Q124" s="16"/>
      <c r="R124" s="16"/>
      <c r="S124" s="16"/>
      <c r="T124" s="16"/>
      <c r="U124" s="16"/>
      <c r="V124" s="16"/>
      <c r="W124" s="16"/>
      <c r="X124" s="16"/>
      <c r="Y124" s="16"/>
      <c r="Z124" s="16"/>
      <c r="AA124" s="16"/>
      <c r="AB124" s="16"/>
      <c r="AC124" s="16"/>
      <c r="AD124" s="16"/>
    </row>
    <row r="125" ht="13.5" customHeight="1" spans="1:30" x14ac:dyDescent="0.25">
      <c r="A125" s="17"/>
      <c r="B125" s="16"/>
      <c r="C125" s="16"/>
      <c r="D125" s="16"/>
      <c r="E125" s="16"/>
      <c r="F125" s="16"/>
      <c r="G125" s="16"/>
      <c r="H125" s="16"/>
      <c r="I125" s="16"/>
      <c r="J125" s="16"/>
      <c r="K125" s="16"/>
      <c r="L125" s="16"/>
      <c r="M125" s="16"/>
      <c r="N125" s="16"/>
      <c r="O125" s="16"/>
      <c r="P125" s="16"/>
      <c r="Q125" s="16"/>
      <c r="R125" s="16"/>
      <c r="S125" s="16"/>
      <c r="T125" s="16"/>
      <c r="U125" s="16"/>
      <c r="V125" s="16"/>
      <c r="W125" s="16"/>
      <c r="X125" s="16"/>
      <c r="Y125" s="16"/>
      <c r="Z125" s="16"/>
      <c r="AA125" s="16"/>
      <c r="AB125" s="16"/>
      <c r="AC125" s="16"/>
      <c r="AD125" s="16"/>
    </row>
    <row r="126" ht="13.5" customHeight="1" spans="1:30" x14ac:dyDescent="0.25">
      <c r="A126" s="17"/>
      <c r="B126" s="16"/>
      <c r="C126" s="16"/>
      <c r="D126" s="16"/>
      <c r="E126" s="16"/>
      <c r="F126" s="16"/>
      <c r="G126" s="16"/>
      <c r="H126" s="16"/>
      <c r="I126" s="16"/>
      <c r="J126" s="16"/>
      <c r="K126" s="16"/>
      <c r="L126" s="16"/>
      <c r="M126" s="16"/>
      <c r="N126" s="16"/>
      <c r="O126" s="16"/>
      <c r="P126" s="16"/>
      <c r="Q126" s="16"/>
      <c r="R126" s="16"/>
      <c r="S126" s="16"/>
      <c r="T126" s="16"/>
      <c r="U126" s="16"/>
      <c r="V126" s="16"/>
      <c r="W126" s="16"/>
      <c r="X126" s="16"/>
      <c r="Y126" s="16"/>
      <c r="Z126" s="16"/>
      <c r="AA126" s="16"/>
      <c r="AB126" s="16"/>
      <c r="AC126" s="16"/>
      <c r="AD126" s="16"/>
    </row>
    <row r="127" ht="13.5" customHeight="1" spans="1:30" x14ac:dyDescent="0.25">
      <c r="A127" s="17"/>
      <c r="B127" s="16"/>
      <c r="C127" s="16"/>
      <c r="D127" s="16"/>
      <c r="E127" s="16"/>
      <c r="F127" s="16"/>
      <c r="G127" s="16"/>
      <c r="H127" s="16"/>
      <c r="I127" s="16"/>
      <c r="J127" s="16"/>
      <c r="K127" s="16"/>
      <c r="L127" s="16"/>
      <c r="M127" s="16"/>
      <c r="N127" s="16"/>
      <c r="O127" s="16"/>
      <c r="P127" s="16"/>
      <c r="Q127" s="16"/>
      <c r="R127" s="16"/>
      <c r="S127" s="16"/>
      <c r="T127" s="16"/>
      <c r="U127" s="16"/>
      <c r="V127" s="16"/>
      <c r="W127" s="16"/>
      <c r="X127" s="16"/>
      <c r="Y127" s="16"/>
      <c r="Z127" s="16"/>
      <c r="AA127" s="16"/>
      <c r="AB127" s="16"/>
      <c r="AC127" s="16"/>
      <c r="AD127" s="16"/>
    </row>
    <row r="128" ht="13.5" customHeight="1" spans="1:30" x14ac:dyDescent="0.25">
      <c r="A128" s="17"/>
      <c r="B128" s="16"/>
      <c r="C128" s="16"/>
      <c r="D128" s="16"/>
      <c r="E128" s="16"/>
      <c r="F128" s="16"/>
      <c r="G128" s="16"/>
      <c r="H128" s="16"/>
      <c r="I128" s="16"/>
      <c r="J128" s="16"/>
      <c r="K128" s="16"/>
      <c r="L128" s="16"/>
      <c r="M128" s="16"/>
      <c r="N128" s="16"/>
      <c r="O128" s="16"/>
      <c r="P128" s="16"/>
      <c r="Q128" s="16"/>
      <c r="R128" s="16"/>
      <c r="S128" s="16"/>
      <c r="T128" s="16"/>
      <c r="U128" s="16"/>
      <c r="V128" s="16"/>
      <c r="W128" s="16"/>
      <c r="X128" s="16"/>
      <c r="Y128" s="16"/>
      <c r="Z128" s="16"/>
      <c r="AA128" s="16"/>
      <c r="AB128" s="16"/>
      <c r="AC128" s="16"/>
      <c r="AD128" s="16"/>
    </row>
    <row r="129" ht="13.5" customHeight="1" spans="1:30" x14ac:dyDescent="0.25">
      <c r="A129" s="17"/>
      <c r="B129" s="16"/>
      <c r="C129" s="16"/>
      <c r="D129" s="16"/>
      <c r="E129" s="16"/>
      <c r="F129" s="16"/>
      <c r="G129" s="16"/>
      <c r="H129" s="16"/>
      <c r="I129" s="16"/>
      <c r="J129" s="16"/>
      <c r="K129" s="16"/>
      <c r="L129" s="16"/>
      <c r="M129" s="16"/>
      <c r="N129" s="16"/>
      <c r="O129" s="16"/>
      <c r="P129" s="16"/>
      <c r="Q129" s="16"/>
      <c r="R129" s="16"/>
      <c r="S129" s="16"/>
      <c r="T129" s="16"/>
      <c r="U129" s="16"/>
      <c r="V129" s="16"/>
      <c r="W129" s="16"/>
      <c r="X129" s="16"/>
      <c r="Y129" s="16"/>
      <c r="Z129" s="16"/>
      <c r="AA129" s="16"/>
      <c r="AB129" s="16"/>
      <c r="AC129" s="16"/>
      <c r="AD129" s="16"/>
    </row>
    <row r="130" ht="13.5" customHeight="1" spans="1:30" x14ac:dyDescent="0.25">
      <c r="A130" s="17"/>
      <c r="B130" s="16"/>
      <c r="C130" s="16"/>
      <c r="D130" s="16"/>
      <c r="E130" s="16"/>
      <c r="F130" s="16"/>
      <c r="G130" s="16"/>
      <c r="H130" s="16"/>
      <c r="I130" s="16"/>
      <c r="J130" s="16"/>
      <c r="K130" s="16"/>
      <c r="L130" s="16"/>
      <c r="M130" s="16"/>
      <c r="N130" s="16"/>
      <c r="O130" s="16"/>
      <c r="P130" s="16"/>
      <c r="Q130" s="16"/>
      <c r="R130" s="16"/>
      <c r="S130" s="16"/>
      <c r="T130" s="16"/>
      <c r="U130" s="16"/>
      <c r="V130" s="16"/>
      <c r="W130" s="16"/>
      <c r="X130" s="16"/>
      <c r="Y130" s="16"/>
      <c r="Z130" s="16"/>
      <c r="AA130" s="16"/>
      <c r="AB130" s="16"/>
      <c r="AC130" s="16"/>
      <c r="AD130" s="16"/>
    </row>
    <row r="131" ht="13.5" customHeight="1" spans="1:30" x14ac:dyDescent="0.25">
      <c r="A131" s="17"/>
      <c r="B131" s="16"/>
      <c r="C131" s="16"/>
      <c r="D131" s="16"/>
      <c r="E131" s="16"/>
      <c r="F131" s="16"/>
      <c r="G131" s="16"/>
      <c r="H131" s="16"/>
      <c r="I131" s="16"/>
      <c r="J131" s="16"/>
      <c r="K131" s="16"/>
      <c r="L131" s="16"/>
      <c r="M131" s="16"/>
      <c r="N131" s="16"/>
      <c r="O131" s="16"/>
      <c r="P131" s="16"/>
      <c r="Q131" s="16"/>
      <c r="R131" s="16"/>
      <c r="S131" s="16"/>
      <c r="T131" s="16"/>
      <c r="U131" s="16"/>
      <c r="V131" s="16"/>
      <c r="W131" s="16"/>
      <c r="X131" s="16"/>
      <c r="Y131" s="16"/>
      <c r="Z131" s="16"/>
      <c r="AA131" s="16"/>
      <c r="AB131" s="16"/>
      <c r="AC131" s="16"/>
      <c r="AD131" s="16"/>
    </row>
    <row r="132" ht="13.5" customHeight="1" spans="1:30" x14ac:dyDescent="0.25">
      <c r="A132" s="17"/>
      <c r="B132" s="16"/>
      <c r="C132" s="16"/>
      <c r="D132" s="16"/>
      <c r="E132" s="16"/>
      <c r="F132" s="16"/>
      <c r="G132" s="16"/>
      <c r="H132" s="16"/>
      <c r="I132" s="16"/>
      <c r="J132" s="16"/>
      <c r="K132" s="16"/>
      <c r="L132" s="16"/>
      <c r="M132" s="16"/>
      <c r="N132" s="16"/>
      <c r="O132" s="16"/>
      <c r="P132" s="16"/>
      <c r="Q132" s="16"/>
      <c r="R132" s="16"/>
      <c r="S132" s="16"/>
      <c r="T132" s="16"/>
      <c r="U132" s="16"/>
      <c r="V132" s="16"/>
      <c r="W132" s="16"/>
      <c r="X132" s="16"/>
      <c r="Y132" s="16"/>
      <c r="Z132" s="16"/>
      <c r="AA132" s="16"/>
      <c r="AB132" s="16"/>
      <c r="AC132" s="16"/>
      <c r="AD132" s="16"/>
    </row>
    <row r="133" ht="13.5" customHeight="1" spans="1:30" x14ac:dyDescent="0.25">
      <c r="A133" s="17" t="s">
        <v>1</v>
      </c>
      <c r="B133" s="16"/>
      <c r="C133" s="110" t="str">
        <f ca="1">Ticker&amp;" - Debt Distribution"</f>
        <v>LOW - Debt Distribution</v>
      </c>
      <c r="D133" s="111"/>
      <c r="E133" s="111"/>
      <c r="F133" s="111"/>
      <c r="G133" s="111"/>
      <c r="H133" s="111"/>
      <c r="I133" s="111"/>
      <c r="J133" s="111"/>
      <c r="K133" s="111"/>
      <c r="L133" s="111"/>
      <c r="M133" s="111"/>
      <c r="N133" s="111"/>
      <c r="O133" s="111"/>
      <c r="P133" s="111"/>
      <c r="Q133" s="111"/>
      <c r="R133" s="16"/>
      <c r="S133" s="16"/>
      <c r="T133" s="16"/>
      <c r="U133" s="16"/>
      <c r="V133" s="16"/>
      <c r="W133" s="16"/>
      <c r="X133" s="16"/>
      <c r="Y133" s="16"/>
      <c r="Z133" s="16"/>
      <c r="AA133" s="16"/>
      <c r="AB133" s="16"/>
      <c r="AC133" s="16"/>
      <c r="AD133" s="16"/>
    </row>
    <row r="134" ht="13.5" customHeight="1" spans="1:30" x14ac:dyDescent="0.25">
      <c r="A134" s="17"/>
      <c r="B134" s="16"/>
      <c r="C134" s="47"/>
      <c r="D134" s="199"/>
      <c r="E134" s="199"/>
      <c r="F134" s="199"/>
      <c r="G134" s="199"/>
      <c r="H134" s="199"/>
      <c r="I134" s="199"/>
      <c r="J134" s="199"/>
      <c r="K134" s="199"/>
      <c r="L134" s="199"/>
      <c r="M134" s="199"/>
      <c r="N134" s="199"/>
      <c r="O134" s="199"/>
      <c r="P134" s="199"/>
      <c r="Q134" s="199"/>
      <c r="R134" s="16"/>
      <c r="S134" s="16"/>
      <c r="T134" s="16"/>
      <c r="U134" s="16"/>
      <c r="V134" s="16"/>
      <c r="W134" s="16"/>
      <c r="X134" s="16"/>
      <c r="Y134" s="16"/>
      <c r="Z134" s="16"/>
      <c r="AA134" s="16"/>
      <c r="AB134" s="16"/>
      <c r="AC134" s="16"/>
      <c r="AD134" s="16"/>
    </row>
    <row r="135" ht="13.5" customHeight="1" spans="1:30" x14ac:dyDescent="0.25">
      <c r="A135" s="17"/>
      <c r="B135" s="16"/>
      <c r="C135" s="190"/>
      <c r="D135" s="870">
        <v>2021</v>
      </c>
      <c r="E135" s="871">
        <f t="shared" ref="E135:Q135" si="15" ca="1">D135+1</f>
        <v>2022</v>
      </c>
      <c r="F135" s="871">
        <f ca="1">E135+1</f>
        <v>2023</v>
      </c>
      <c r="G135" s="871">
        <f ca="1">F135+1</f>
        <v>2024</v>
      </c>
      <c r="H135" s="871">
        <f ca="1">G135+1</f>
        <v>2025</v>
      </c>
      <c r="I135" s="871">
        <f ca="1">H135+1</f>
        <v>2026</v>
      </c>
      <c r="J135" s="871">
        <f ca="1">I135+1</f>
        <v>2027</v>
      </c>
      <c r="K135" s="871">
        <f ca="1">J135+1</f>
        <v>2028</v>
      </c>
      <c r="L135" s="871">
        <f ca="1">K135+1</f>
        <v>2029</v>
      </c>
      <c r="M135" s="871">
        <f ca="1">L135+1</f>
        <v>2030</v>
      </c>
      <c r="N135" s="871">
        <f ca="1">M135+1</f>
        <v>2031</v>
      </c>
      <c r="O135" s="871">
        <f ca="1">N135+1</f>
        <v>2032</v>
      </c>
      <c r="P135" s="871">
        <f ca="1">O135+1</f>
        <v>2033</v>
      </c>
      <c r="Q135" s="872">
        <f ca="1">P135+1</f>
        <v>2034</v>
      </c>
      <c r="R135" s="873"/>
      <c r="S135" s="873"/>
      <c r="T135" s="873"/>
      <c r="U135" s="873"/>
      <c r="V135" s="873"/>
      <c r="W135" s="873"/>
      <c r="X135" s="16"/>
      <c r="Y135" s="16"/>
      <c r="Z135" s="16"/>
      <c r="AA135" s="16"/>
      <c r="AB135" s="16"/>
      <c r="AC135" s="16"/>
      <c r="AD135" s="16"/>
    </row>
    <row r="136" ht="13.5" customHeight="1" spans="1:30" x14ac:dyDescent="0.25">
      <c r="A136" s="17"/>
      <c r="B136" s="16"/>
      <c r="C136" s="854" t="s">
        <v>942</v>
      </c>
      <c r="D136" s="863">
        <v>0</v>
      </c>
      <c r="E136" s="863">
        <v>0</v>
      </c>
      <c r="F136" s="863">
        <v>1980</v>
      </c>
      <c r="G136" s="863">
        <v>0</v>
      </c>
      <c r="H136" s="863">
        <v>1020</v>
      </c>
      <c r="I136" s="863">
        <v>0</v>
      </c>
      <c r="J136" s="863">
        <v>0</v>
      </c>
      <c r="K136" s="863">
        <v>0</v>
      </c>
      <c r="L136" s="863">
        <v>0</v>
      </c>
      <c r="M136" s="863">
        <v>0</v>
      </c>
      <c r="N136" s="863">
        <v>0</v>
      </c>
      <c r="O136" s="863">
        <v>0</v>
      </c>
      <c r="P136" s="863">
        <v>0</v>
      </c>
      <c r="Q136" s="863">
        <v>0</v>
      </c>
      <c r="R136" s="869"/>
      <c r="S136" s="869"/>
      <c r="T136" s="869"/>
      <c r="U136" s="869"/>
      <c r="V136" s="869"/>
      <c r="W136" s="869"/>
      <c r="X136" s="16"/>
      <c r="Y136" s="16"/>
      <c r="Z136" s="16"/>
      <c r="AA136" s="16"/>
      <c r="AB136" s="16"/>
      <c r="AC136" s="16"/>
      <c r="AD136" s="16"/>
    </row>
    <row r="137" ht="13.5" customHeight="1" spans="1:30" x14ac:dyDescent="0.25">
      <c r="A137" s="17"/>
      <c r="B137" s="16"/>
      <c r="C137" s="854" t="s">
        <v>943</v>
      </c>
      <c r="D137" s="874">
        <v>1025</v>
      </c>
      <c r="E137" s="874">
        <v>760</v>
      </c>
      <c r="F137" s="874">
        <v>505</v>
      </c>
      <c r="G137" s="874">
        <v>450</v>
      </c>
      <c r="H137" s="874">
        <v>1500</v>
      </c>
      <c r="I137" s="874">
        <v>1350</v>
      </c>
      <c r="J137" s="874">
        <v>1618</v>
      </c>
      <c r="K137" s="874">
        <v>225</v>
      </c>
      <c r="L137" s="874">
        <v>1811</v>
      </c>
      <c r="M137" s="874">
        <v>1250</v>
      </c>
      <c r="N137" s="874">
        <v>0</v>
      </c>
      <c r="O137" s="874">
        <v>0</v>
      </c>
      <c r="P137" s="874">
        <v>0</v>
      </c>
      <c r="Q137" s="874">
        <v>0</v>
      </c>
      <c r="R137" s="869"/>
      <c r="S137" s="869"/>
      <c r="T137" s="869"/>
      <c r="U137" s="869"/>
      <c r="V137" s="869"/>
      <c r="W137" s="869"/>
      <c r="X137" s="16"/>
      <c r="Y137" s="16"/>
      <c r="Z137" s="16"/>
      <c r="AA137" s="16"/>
      <c r="AB137" s="16"/>
      <c r="AC137" s="16"/>
      <c r="AD137" s="16"/>
    </row>
    <row r="138" ht="13.5" customHeight="1" spans="1:30" x14ac:dyDescent="0.25">
      <c r="A138" s="17"/>
      <c r="B138" s="16"/>
      <c r="C138" s="857" t="s">
        <v>944</v>
      </c>
      <c r="D138" s="874">
        <v>0</v>
      </c>
      <c r="E138" s="874">
        <v>0</v>
      </c>
      <c r="F138" s="874">
        <v>0</v>
      </c>
      <c r="G138" s="874">
        <v>0</v>
      </c>
      <c r="H138" s="874">
        <v>0</v>
      </c>
      <c r="I138" s="874">
        <v>0</v>
      </c>
      <c r="J138" s="874">
        <v>0</v>
      </c>
      <c r="K138" s="874">
        <v>0</v>
      </c>
      <c r="L138" s="874">
        <v>0</v>
      </c>
      <c r="M138" s="874">
        <v>0</v>
      </c>
      <c r="N138" s="874">
        <v>0</v>
      </c>
      <c r="O138" s="874">
        <v>0</v>
      </c>
      <c r="P138" s="874">
        <v>0</v>
      </c>
      <c r="Q138" s="874">
        <v>0</v>
      </c>
      <c r="R138" s="16"/>
      <c r="S138" s="16"/>
      <c r="T138" s="16"/>
      <c r="U138" s="16"/>
      <c r="V138" s="16"/>
      <c r="W138" s="16"/>
      <c r="X138" s="16"/>
      <c r="Y138" s="16"/>
      <c r="Z138" s="16"/>
      <c r="AA138" s="16"/>
      <c r="AB138" s="16"/>
      <c r="AC138" s="16"/>
      <c r="AD138" s="16"/>
    </row>
    <row r="139" ht="13.5" customHeight="1" spans="1:30" x14ac:dyDescent="0.25">
      <c r="A139" s="17"/>
      <c r="B139" s="16"/>
      <c r="C139" s="16"/>
      <c r="D139" s="16"/>
      <c r="E139" s="16"/>
      <c r="F139" s="16"/>
      <c r="G139" s="16"/>
      <c r="H139" s="16"/>
      <c r="I139" s="16"/>
      <c r="J139" s="16"/>
      <c r="K139" s="16"/>
      <c r="L139" s="16"/>
      <c r="M139" s="16"/>
      <c r="N139" s="16"/>
      <c r="O139" s="16"/>
      <c r="P139" s="16"/>
      <c r="Q139" s="16"/>
      <c r="R139" s="16"/>
      <c r="S139" s="16"/>
      <c r="T139" s="16"/>
      <c r="U139" s="16"/>
      <c r="V139" s="16"/>
      <c r="W139" s="16"/>
      <c r="X139" s="16"/>
      <c r="Y139" s="16"/>
      <c r="Z139" s="16"/>
      <c r="AA139" s="16"/>
      <c r="AB139" s="16"/>
      <c r="AC139" s="16"/>
      <c r="AD139" s="16"/>
    </row>
    <row r="140" ht="13.5" customHeight="1" spans="1:30" x14ac:dyDescent="0.25">
      <c r="A140" s="17"/>
      <c r="B140" s="16"/>
      <c r="C140" s="16"/>
      <c r="D140" s="16"/>
      <c r="E140" s="16"/>
      <c r="F140" s="16"/>
      <c r="G140" s="16"/>
      <c r="H140" s="16"/>
      <c r="I140" s="16"/>
      <c r="J140" s="16"/>
      <c r="K140" s="16"/>
      <c r="L140" s="16"/>
      <c r="M140" s="16"/>
      <c r="N140" s="16"/>
      <c r="O140" s="16"/>
      <c r="P140" s="16"/>
      <c r="Q140" s="16"/>
      <c r="R140" s="16"/>
      <c r="S140" s="16"/>
      <c r="T140" s="16"/>
      <c r="U140" s="16"/>
      <c r="V140" s="16"/>
      <c r="W140" s="16"/>
      <c r="X140" s="16"/>
      <c r="Y140" s="16"/>
      <c r="Z140" s="16"/>
      <c r="AA140" s="16"/>
      <c r="AB140" s="16"/>
      <c r="AC140" s="16"/>
      <c r="AD140" s="16"/>
    </row>
    <row r="141" ht="13.5" customHeight="1" spans="1:30" x14ac:dyDescent="0.25">
      <c r="A141" s="17"/>
      <c r="B141" s="16"/>
      <c r="C141" s="16"/>
      <c r="D141" s="16"/>
      <c r="E141" s="16"/>
      <c r="F141" s="16"/>
      <c r="G141" s="16"/>
      <c r="H141" s="16"/>
      <c r="I141" s="16"/>
      <c r="J141" s="16"/>
      <c r="K141" s="16"/>
      <c r="L141" s="16"/>
      <c r="M141" s="16"/>
      <c r="N141" s="16"/>
      <c r="O141" s="16"/>
      <c r="P141" s="16"/>
      <c r="Q141" s="16"/>
      <c r="R141" s="16"/>
      <c r="S141" s="16"/>
      <c r="T141" s="16"/>
      <c r="U141" s="16"/>
      <c r="V141" s="16"/>
      <c r="W141" s="16"/>
      <c r="X141" s="16"/>
      <c r="Y141" s="16"/>
      <c r="Z141" s="16"/>
      <c r="AA141" s="16"/>
      <c r="AB141" s="16"/>
      <c r="AC141" s="16"/>
      <c r="AD141" s="16"/>
    </row>
    <row r="142" ht="13.5" customHeight="1" spans="1:30" x14ac:dyDescent="0.25">
      <c r="A142" s="17"/>
      <c r="B142" s="16"/>
      <c r="C142" s="16"/>
      <c r="D142" s="16"/>
      <c r="E142" s="16"/>
      <c r="F142" s="16"/>
      <c r="G142" s="16"/>
      <c r="H142" s="16"/>
      <c r="I142" s="16"/>
      <c r="J142" s="16"/>
      <c r="K142" s="16"/>
      <c r="L142" s="16"/>
      <c r="M142" s="16"/>
      <c r="N142" s="16"/>
      <c r="O142" s="16"/>
      <c r="P142" s="16"/>
      <c r="Q142" s="16"/>
      <c r="R142" s="16"/>
      <c r="S142" s="16"/>
      <c r="T142" s="16"/>
      <c r="U142" s="16"/>
      <c r="V142" s="16"/>
      <c r="W142" s="16"/>
      <c r="X142" s="16"/>
      <c r="Y142" s="16"/>
      <c r="Z142" s="16"/>
      <c r="AA142" s="16"/>
      <c r="AB142" s="16"/>
      <c r="AC142" s="16"/>
      <c r="AD142" s="16"/>
    </row>
    <row r="143" ht="13.5" customHeight="1" spans="1:30" x14ac:dyDescent="0.25">
      <c r="A143" s="17"/>
      <c r="B143" s="16"/>
      <c r="C143" s="16"/>
      <c r="D143" s="16"/>
      <c r="E143" s="16"/>
      <c r="F143" s="16"/>
      <c r="G143" s="16"/>
      <c r="H143" s="16"/>
      <c r="I143" s="16"/>
      <c r="J143" s="16"/>
      <c r="K143" s="16"/>
      <c r="L143" s="16"/>
      <c r="M143" s="16"/>
      <c r="N143" s="16"/>
      <c r="O143" s="16"/>
      <c r="P143" s="16"/>
      <c r="Q143" s="16"/>
      <c r="R143" s="16"/>
      <c r="S143" s="16"/>
      <c r="T143" s="16"/>
      <c r="U143" s="16"/>
      <c r="V143" s="16"/>
      <c r="W143" s="16"/>
      <c r="X143" s="16"/>
      <c r="Y143" s="16"/>
      <c r="Z143" s="16"/>
      <c r="AA143" s="16"/>
      <c r="AB143" s="16"/>
      <c r="AC143" s="16"/>
      <c r="AD143" s="16"/>
    </row>
    <row r="144" ht="13.5" customHeight="1" spans="1:30" x14ac:dyDescent="0.25">
      <c r="A144" s="17"/>
      <c r="B144" s="16"/>
      <c r="C144" s="16"/>
      <c r="D144" s="16"/>
      <c r="E144" s="16"/>
      <c r="F144" s="16"/>
      <c r="G144" s="16"/>
      <c r="H144" s="16"/>
      <c r="I144" s="16"/>
      <c r="J144" s="16"/>
      <c r="K144" s="16"/>
      <c r="L144" s="16"/>
      <c r="M144" s="16"/>
      <c r="N144" s="16"/>
      <c r="O144" s="16"/>
      <c r="P144" s="16"/>
      <c r="Q144" s="16"/>
      <c r="R144" s="16"/>
      <c r="S144" s="16"/>
      <c r="T144" s="16"/>
      <c r="U144" s="16"/>
      <c r="V144" s="16"/>
      <c r="W144" s="16"/>
      <c r="X144" s="16"/>
      <c r="Y144" s="16"/>
      <c r="Z144" s="16"/>
      <c r="AA144" s="16"/>
      <c r="AB144" s="16"/>
      <c r="AC144" s="16"/>
      <c r="AD144" s="16"/>
    </row>
    <row r="145" ht="13.5" customHeight="1" spans="1:30" x14ac:dyDescent="0.25">
      <c r="A145" s="17"/>
      <c r="B145" s="16"/>
      <c r="C145" s="16"/>
      <c r="D145" s="16"/>
      <c r="E145" s="16"/>
      <c r="F145" s="16"/>
      <c r="G145" s="16"/>
      <c r="H145" s="16"/>
      <c r="I145" s="16"/>
      <c r="J145" s="16"/>
      <c r="K145" s="16"/>
      <c r="L145" s="16"/>
      <c r="M145" s="16"/>
      <c r="N145" s="16"/>
      <c r="O145" s="16"/>
      <c r="P145" s="16"/>
      <c r="Q145" s="16"/>
      <c r="R145" s="16"/>
      <c r="S145" s="16"/>
      <c r="T145" s="16"/>
      <c r="U145" s="16"/>
      <c r="V145" s="16"/>
      <c r="W145" s="16"/>
      <c r="X145" s="16"/>
      <c r="Y145" s="16"/>
      <c r="Z145" s="16"/>
      <c r="AA145" s="16"/>
      <c r="AB145" s="16"/>
      <c r="AC145" s="16"/>
      <c r="AD145" s="16"/>
    </row>
    <row r="146" ht="13.5" customHeight="1" spans="1:30" x14ac:dyDescent="0.25">
      <c r="A146" s="17"/>
      <c r="B146" s="16"/>
      <c r="C146" s="16"/>
      <c r="D146" s="16"/>
      <c r="E146" s="16"/>
      <c r="F146" s="16"/>
      <c r="G146" s="16"/>
      <c r="H146" s="16"/>
      <c r="I146" s="16"/>
      <c r="J146" s="16"/>
      <c r="K146" s="16"/>
      <c r="L146" s="16"/>
      <c r="M146" s="16"/>
      <c r="N146" s="16"/>
      <c r="O146" s="16"/>
      <c r="P146" s="16"/>
      <c r="Q146" s="16"/>
      <c r="R146" s="16"/>
      <c r="S146" s="16"/>
      <c r="T146" s="16"/>
      <c r="U146" s="16"/>
      <c r="V146" s="16"/>
      <c r="W146" s="16"/>
      <c r="X146" s="16"/>
      <c r="Y146" s="16"/>
      <c r="Z146" s="16"/>
      <c r="AA146" s="16"/>
      <c r="AB146" s="16"/>
      <c r="AC146" s="16"/>
      <c r="AD146" s="16"/>
    </row>
    <row r="147" ht="13.5" customHeight="1" spans="1:30" x14ac:dyDescent="0.25">
      <c r="A147" s="17"/>
      <c r="B147" s="16"/>
      <c r="C147" s="16"/>
      <c r="D147" s="16"/>
      <c r="E147" s="16"/>
      <c r="F147" s="16"/>
      <c r="G147" s="16"/>
      <c r="H147" s="16"/>
      <c r="I147" s="16"/>
      <c r="J147" s="16"/>
      <c r="K147" s="16"/>
      <c r="L147" s="16"/>
      <c r="M147" s="16"/>
      <c r="N147" s="16"/>
      <c r="O147" s="16"/>
      <c r="P147" s="16"/>
      <c r="Q147" s="16"/>
      <c r="R147" s="16"/>
      <c r="S147" s="16"/>
      <c r="T147" s="16"/>
      <c r="U147" s="16"/>
      <c r="V147" s="16"/>
      <c r="W147" s="16"/>
      <c r="X147" s="16"/>
      <c r="Y147" s="16"/>
      <c r="Z147" s="16"/>
      <c r="AA147" s="16"/>
      <c r="AB147" s="16"/>
      <c r="AC147" s="16"/>
      <c r="AD147" s="16"/>
    </row>
    <row r="148" ht="13.5" customHeight="1" spans="1:30" x14ac:dyDescent="0.25">
      <c r="A148" s="17"/>
      <c r="B148" s="16"/>
      <c r="C148" s="16"/>
      <c r="D148" s="16"/>
      <c r="E148" s="16"/>
      <c r="F148" s="16"/>
      <c r="G148" s="16"/>
      <c r="H148" s="16"/>
      <c r="I148" s="16"/>
      <c r="J148" s="16"/>
      <c r="K148" s="16"/>
      <c r="L148" s="16"/>
      <c r="M148" s="16"/>
      <c r="N148" s="16"/>
      <c r="O148" s="16"/>
      <c r="P148" s="16"/>
      <c r="Q148" s="16"/>
      <c r="R148" s="16"/>
      <c r="S148" s="16"/>
      <c r="T148" s="16"/>
      <c r="U148" s="16"/>
      <c r="V148" s="16"/>
      <c r="W148" s="16"/>
      <c r="X148" s="16"/>
      <c r="Y148" s="16"/>
      <c r="Z148" s="16"/>
      <c r="AA148" s="16"/>
      <c r="AB148" s="16"/>
      <c r="AC148" s="16"/>
      <c r="AD148" s="16"/>
    </row>
    <row r="149" ht="13.5" customHeight="1" spans="1:30" x14ac:dyDescent="0.25">
      <c r="A149" s="17"/>
      <c r="B149" s="16"/>
      <c r="C149" s="16"/>
      <c r="D149" s="16"/>
      <c r="E149" s="16"/>
      <c r="F149" s="16"/>
      <c r="G149" s="16"/>
      <c r="H149" s="16"/>
      <c r="I149" s="16"/>
      <c r="J149" s="16"/>
      <c r="K149" s="16"/>
      <c r="L149" s="16"/>
      <c r="M149" s="16"/>
      <c r="N149" s="16"/>
      <c r="O149" s="16"/>
      <c r="P149" s="16"/>
      <c r="Q149" s="16"/>
      <c r="R149" s="16"/>
      <c r="S149" s="16"/>
      <c r="T149" s="16"/>
      <c r="U149" s="16"/>
      <c r="V149" s="16"/>
      <c r="W149" s="16"/>
      <c r="X149" s="16"/>
      <c r="Y149" s="16"/>
      <c r="Z149" s="16"/>
      <c r="AA149" s="16"/>
      <c r="AB149" s="16"/>
      <c r="AC149" s="16"/>
      <c r="AD149" s="16"/>
    </row>
    <row r="150" ht="13.5" customHeight="1" spans="1:30" x14ac:dyDescent="0.25">
      <c r="A150" s="17"/>
      <c r="B150" s="16"/>
      <c r="C150" s="16"/>
      <c r="D150" s="16"/>
      <c r="E150" s="16"/>
      <c r="F150" s="16"/>
      <c r="G150" s="16"/>
      <c r="H150" s="16"/>
      <c r="I150" s="16"/>
      <c r="J150" s="16"/>
      <c r="K150" s="16"/>
      <c r="L150" s="16"/>
      <c r="M150" s="16"/>
      <c r="N150" s="16"/>
      <c r="O150" s="16"/>
      <c r="P150" s="16"/>
      <c r="Q150" s="16"/>
      <c r="R150" s="16"/>
      <c r="S150" s="16"/>
      <c r="T150" s="16"/>
      <c r="U150" s="16"/>
      <c r="V150" s="16"/>
      <c r="W150" s="16"/>
      <c r="X150" s="16"/>
      <c r="Y150" s="16"/>
      <c r="Z150" s="16"/>
      <c r="AA150" s="16"/>
      <c r="AB150" s="16"/>
      <c r="AC150" s="16"/>
      <c r="AD150" s="16"/>
    </row>
    <row r="151" ht="13.5" customHeight="1" spans="1:30" x14ac:dyDescent="0.25">
      <c r="A151" s="17"/>
      <c r="B151" s="16"/>
      <c r="C151" s="16"/>
      <c r="D151" s="16"/>
      <c r="E151" s="16"/>
      <c r="F151" s="16"/>
      <c r="G151" s="16"/>
      <c r="H151" s="16"/>
      <c r="I151" s="16"/>
      <c r="J151" s="16"/>
      <c r="K151" s="16"/>
      <c r="L151" s="16"/>
      <c r="M151" s="16"/>
      <c r="N151" s="16"/>
      <c r="O151" s="16"/>
      <c r="P151" s="16"/>
      <c r="Q151" s="16"/>
      <c r="R151" s="16"/>
      <c r="S151" s="16"/>
      <c r="T151" s="16"/>
      <c r="U151" s="16"/>
      <c r="V151" s="16"/>
      <c r="W151" s="16"/>
      <c r="X151" s="16"/>
      <c r="Y151" s="16"/>
      <c r="Z151" s="16"/>
      <c r="AA151" s="16"/>
      <c r="AB151" s="16"/>
      <c r="AC151" s="16"/>
      <c r="AD151" s="16"/>
    </row>
    <row r="152" ht="13.5" customHeight="1" spans="1:30" x14ac:dyDescent="0.25">
      <c r="A152" s="17"/>
      <c r="B152" s="16"/>
      <c r="C152" s="16"/>
      <c r="D152" s="16"/>
      <c r="E152" s="16"/>
      <c r="F152" s="16"/>
      <c r="G152" s="16"/>
      <c r="H152" s="16"/>
      <c r="I152" s="16"/>
      <c r="J152" s="16"/>
      <c r="K152" s="16"/>
      <c r="L152" s="16"/>
      <c r="M152" s="16"/>
      <c r="N152" s="16"/>
      <c r="O152" s="16"/>
      <c r="P152" s="16"/>
      <c r="Q152" s="16"/>
      <c r="R152" s="16"/>
      <c r="S152" s="16"/>
      <c r="T152" s="16"/>
      <c r="U152" s="16"/>
      <c r="V152" s="16"/>
      <c r="W152" s="16"/>
      <c r="X152" s="16"/>
      <c r="Y152" s="16"/>
      <c r="Z152" s="16"/>
      <c r="AA152" s="16"/>
      <c r="AB152" s="16"/>
      <c r="AC152" s="16"/>
      <c r="AD152" s="16"/>
    </row>
    <row r="153" ht="13.5" customHeight="1" spans="1:30" x14ac:dyDescent="0.25">
      <c r="A153" s="17"/>
      <c r="B153" s="16"/>
      <c r="C153" s="16"/>
      <c r="D153" s="16"/>
      <c r="E153" s="16"/>
      <c r="F153" s="16"/>
      <c r="G153" s="16"/>
      <c r="H153" s="16"/>
      <c r="I153" s="16"/>
      <c r="J153" s="16"/>
      <c r="K153" s="16"/>
      <c r="L153" s="16"/>
      <c r="M153" s="16"/>
      <c r="N153" s="16"/>
      <c r="O153" s="16"/>
      <c r="P153" s="16"/>
      <c r="Q153" s="16"/>
      <c r="R153" s="16"/>
      <c r="S153" s="16"/>
      <c r="T153" s="16"/>
      <c r="U153" s="16"/>
      <c r="V153" s="16"/>
      <c r="W153" s="16"/>
      <c r="X153" s="16"/>
      <c r="Y153" s="16"/>
      <c r="Z153" s="16"/>
      <c r="AA153" s="16"/>
      <c r="AB153" s="16"/>
      <c r="AC153" s="16"/>
      <c r="AD153" s="16"/>
    </row>
    <row r="154" ht="13.5" customHeight="1" hidden="1" spans="1:30" x14ac:dyDescent="0.25" outlineLevel="1" collapsed="1">
      <c r="A154" s="17" t="s">
        <v>1</v>
      </c>
      <c r="B154" s="16"/>
      <c r="C154" s="110" t="s">
        <v>945</v>
      </c>
      <c r="D154" s="111"/>
      <c r="E154" s="111"/>
      <c r="F154" s="111"/>
      <c r="G154" s="111"/>
      <c r="H154" s="111"/>
      <c r="I154" s="111"/>
      <c r="J154" s="111"/>
      <c r="K154" s="111"/>
      <c r="L154" s="111"/>
      <c r="M154" s="111"/>
      <c r="N154" s="111"/>
      <c r="O154" s="111"/>
      <c r="P154" s="111"/>
      <c r="Q154" s="111"/>
      <c r="R154" s="16"/>
      <c r="S154" s="16"/>
      <c r="T154" s="16"/>
      <c r="U154" s="16"/>
      <c r="V154" s="16"/>
      <c r="W154" s="16"/>
      <c r="X154" s="16"/>
      <c r="Y154" s="16"/>
      <c r="Z154" s="16"/>
      <c r="AA154" s="16"/>
      <c r="AB154" s="16"/>
      <c r="AC154" s="16"/>
      <c r="AD154" s="16"/>
    </row>
    <row r="155" ht="13.5" customHeight="1" hidden="1" spans="1:30" x14ac:dyDescent="0.25" outlineLevel="1" collapsed="1">
      <c r="A155" s="17"/>
      <c r="B155" s="16"/>
      <c r="C155" s="16"/>
      <c r="D155" s="16"/>
      <c r="E155" s="16"/>
      <c r="F155" s="16"/>
      <c r="G155" s="16"/>
      <c r="H155" s="16"/>
      <c r="I155" s="16"/>
      <c r="J155" s="16"/>
      <c r="K155" s="16"/>
      <c r="L155" s="16"/>
      <c r="M155" s="16"/>
      <c r="N155" s="16"/>
      <c r="O155" s="16"/>
      <c r="P155" s="16"/>
      <c r="Q155" s="16"/>
      <c r="R155" s="16"/>
      <c r="S155" s="16"/>
      <c r="T155" s="16"/>
      <c r="U155" s="16"/>
      <c r="V155" s="16"/>
      <c r="W155" s="16"/>
      <c r="X155" s="16"/>
      <c r="Y155" s="16"/>
      <c r="Z155" s="16"/>
      <c r="AA155" s="16"/>
      <c r="AB155" s="16"/>
      <c r="AC155" s="16"/>
      <c r="AD155" s="16"/>
    </row>
    <row r="156" ht="13.5" customHeight="1" hidden="1" spans="1:30" x14ac:dyDescent="0.25" outlineLevel="1" collapsed="1">
      <c r="A156" s="17"/>
      <c r="B156" s="16"/>
      <c r="C156" s="16"/>
      <c r="D156" s="16"/>
      <c r="E156" s="16"/>
      <c r="F156" s="16"/>
      <c r="G156" s="16"/>
      <c r="H156" s="16"/>
      <c r="I156" s="16"/>
      <c r="J156" s="16"/>
      <c r="K156" s="16"/>
      <c r="L156" s="16"/>
      <c r="M156" s="16"/>
      <c r="N156" s="16"/>
      <c r="O156" s="16"/>
      <c r="P156" s="16"/>
      <c r="Q156" s="16"/>
      <c r="R156" s="16"/>
      <c r="S156" s="16"/>
      <c r="T156" s="16"/>
      <c r="U156" s="16"/>
      <c r="V156" s="16"/>
      <c r="W156" s="16"/>
      <c r="X156" s="16"/>
      <c r="Y156" s="16"/>
      <c r="Z156" s="16"/>
      <c r="AA156" s="16"/>
      <c r="AB156" s="16"/>
      <c r="AC156" s="16"/>
      <c r="AD156" s="16"/>
    </row>
    <row r="157" ht="13.5" customHeight="1" hidden="1" spans="1:30" x14ac:dyDescent="0.25" outlineLevel="1" collapsed="1">
      <c r="A157" s="17"/>
      <c r="B157" s="16"/>
      <c r="C157" s="110" t="s">
        <v>946</v>
      </c>
      <c r="D157" s="110"/>
      <c r="E157" s="110"/>
      <c r="F157" s="110"/>
      <c r="G157" s="110"/>
      <c r="H157" s="110"/>
      <c r="I157" s="110"/>
      <c r="J157" s="16"/>
      <c r="K157" s="110" t="s">
        <v>947</v>
      </c>
      <c r="L157" s="110"/>
      <c r="M157" s="110"/>
      <c r="N157" s="110"/>
      <c r="O157" s="110"/>
      <c r="P157" s="110"/>
      <c r="Q157" s="110"/>
      <c r="R157" s="16"/>
      <c r="S157" s="16"/>
      <c r="T157" s="16"/>
      <c r="U157" s="16"/>
      <c r="V157" s="16"/>
      <c r="W157" s="16"/>
      <c r="X157" s="16"/>
      <c r="Y157" s="16"/>
      <c r="Z157" s="16"/>
      <c r="AA157" s="16"/>
      <c r="AB157" s="16"/>
      <c r="AC157" s="16"/>
      <c r="AD157" s="16"/>
    </row>
    <row r="158" ht="13.5" customHeight="1" hidden="1" spans="1:30" x14ac:dyDescent="0.25" outlineLevel="1" collapsed="1">
      <c r="A158" s="17"/>
      <c r="B158" s="16"/>
      <c r="C158" s="16"/>
      <c r="D158" s="16"/>
      <c r="E158" s="16"/>
      <c r="F158" s="16"/>
      <c r="G158" s="16"/>
      <c r="H158" s="16"/>
      <c r="I158" s="16"/>
      <c r="J158" s="16"/>
      <c r="K158" s="16"/>
      <c r="L158" s="16"/>
      <c r="M158" s="16"/>
      <c r="N158" s="16"/>
      <c r="O158" s="16"/>
      <c r="P158" s="16"/>
      <c r="Q158" s="16"/>
      <c r="R158" s="16"/>
      <c r="S158" s="16"/>
      <c r="T158" s="16"/>
      <c r="U158" s="16"/>
      <c r="V158" s="16"/>
      <c r="W158" s="16"/>
      <c r="X158" s="16"/>
      <c r="Y158" s="16"/>
      <c r="Z158" s="16"/>
      <c r="AA158" s="16"/>
      <c r="AB158" s="16"/>
      <c r="AC158" s="16"/>
      <c r="AD158" s="16"/>
    </row>
    <row r="159" ht="13.5" customHeight="1" hidden="1" spans="1:30" x14ac:dyDescent="0.25" outlineLevel="1" collapsed="1">
      <c r="A159" s="17"/>
      <c r="B159" s="16"/>
      <c r="C159" s="190"/>
      <c r="D159" s="875">
        <v>42735</v>
      </c>
      <c r="E159" s="876">
        <f t="shared" ref="E159:I159" si="16" ca="1">EDATE(D159,12)</f>
        <v>43100</v>
      </c>
      <c r="F159" s="876">
        <f ca="1">EDATE(E159,12)</f>
        <v>43465</v>
      </c>
      <c r="G159" s="876">
        <f ca="1">EDATE(F159,12)</f>
        <v>43830</v>
      </c>
      <c r="H159" s="876">
        <f ca="1">EDATE(G159,12)</f>
        <v>44196</v>
      </c>
      <c r="I159" s="877">
        <f ca="1">EDATE(H159,12)</f>
        <v>44561</v>
      </c>
      <c r="J159" s="16"/>
      <c r="K159" s="190" t="s">
        <v>948</v>
      </c>
      <c r="L159" s="875">
        <v>41639</v>
      </c>
      <c r="M159" s="876">
        <f t="shared" ref="M159:Q159" si="17" ca="1">EDATE(L159,12)</f>
        <v>42004</v>
      </c>
      <c r="N159" s="876">
        <f ca="1">EDATE(M159,12)</f>
        <v>42369</v>
      </c>
      <c r="O159" s="876">
        <f ca="1">EDATE(N159,12)</f>
        <v>42735</v>
      </c>
      <c r="P159" s="876">
        <f ca="1">EDATE(O159,12)</f>
        <v>43100</v>
      </c>
      <c r="Q159" s="877">
        <f ca="1">EDATE(P159,12)</f>
        <v>43465</v>
      </c>
      <c r="R159" s="16"/>
      <c r="S159" s="16"/>
      <c r="T159" s="16"/>
      <c r="U159" s="16"/>
      <c r="V159" s="16"/>
      <c r="W159" s="16"/>
      <c r="X159" s="16"/>
      <c r="Y159" s="16"/>
      <c r="Z159" s="16"/>
      <c r="AA159" s="16"/>
      <c r="AB159" s="16"/>
      <c r="AC159" s="16"/>
      <c r="AD159" s="16"/>
    </row>
    <row r="160" ht="13.5" customHeight="1" hidden="1" spans="1:30" x14ac:dyDescent="0.25" outlineLevel="1" collapsed="1">
      <c r="A160" s="17"/>
      <c r="B160" s="16"/>
      <c r="C160" s="857" t="s">
        <v>949</v>
      </c>
      <c r="D160" s="863">
        <v>380</v>
      </c>
      <c r="E160" s="863">
        <v>400</v>
      </c>
      <c r="F160" s="863">
        <v>420</v>
      </c>
      <c r="G160" s="863">
        <v>460</v>
      </c>
      <c r="H160" s="863">
        <v>480</v>
      </c>
      <c r="I160" s="863">
        <v>490</v>
      </c>
      <c r="J160" s="16"/>
      <c r="K160" s="857" t="s">
        <v>950</v>
      </c>
      <c r="L160" s="860">
        <v>0.1</v>
      </c>
      <c r="M160" s="860">
        <v>0.11</v>
      </c>
      <c r="N160" s="860">
        <v>0.12</v>
      </c>
      <c r="O160" s="860">
        <v>0.13</v>
      </c>
      <c r="P160" s="860">
        <v>0.14</v>
      </c>
      <c r="Q160" s="860">
        <v>0.15</v>
      </c>
      <c r="R160" s="16"/>
      <c r="S160" s="16"/>
      <c r="T160" s="16"/>
      <c r="U160" s="16"/>
      <c r="V160" s="16"/>
      <c r="W160" s="16"/>
      <c r="X160" s="16"/>
      <c r="Y160" s="16"/>
      <c r="Z160" s="16"/>
      <c r="AA160" s="16"/>
      <c r="AB160" s="16"/>
      <c r="AC160" s="16"/>
      <c r="AD160" s="16"/>
    </row>
    <row r="161" ht="13.5" customHeight="1" hidden="1" spans="1:30" x14ac:dyDescent="0.25" outlineLevel="1" collapsed="1">
      <c r="A161" s="17"/>
      <c r="B161" s="16"/>
      <c r="C161" s="16"/>
      <c r="D161" s="16"/>
      <c r="E161" s="16"/>
      <c r="F161" s="16"/>
      <c r="G161" s="16"/>
      <c r="H161" s="16"/>
      <c r="I161" s="16"/>
      <c r="J161" s="16"/>
      <c r="K161" s="16"/>
      <c r="L161" s="16"/>
      <c r="M161" s="16"/>
      <c r="N161" s="16"/>
      <c r="O161" s="16"/>
      <c r="P161" s="16"/>
      <c r="Q161" s="16"/>
      <c r="R161" s="16"/>
      <c r="S161" s="16"/>
      <c r="T161" s="16"/>
      <c r="U161" s="16"/>
      <c r="V161" s="16"/>
      <c r="W161" s="16"/>
      <c r="X161" s="16"/>
      <c r="Y161" s="16"/>
      <c r="Z161" s="16"/>
      <c r="AA161" s="16"/>
      <c r="AB161" s="16"/>
      <c r="AC161" s="16"/>
      <c r="AD161" s="16"/>
    </row>
    <row r="162" ht="13.5" customHeight="1" hidden="1" spans="1:30" x14ac:dyDescent="0.25" outlineLevel="1" collapsed="1">
      <c r="A162" s="17"/>
      <c r="B162" s="16"/>
      <c r="C162" s="16"/>
      <c r="D162" s="16"/>
      <c r="E162" s="16"/>
      <c r="F162" s="16"/>
      <c r="G162" s="16"/>
      <c r="H162" s="16"/>
      <c r="I162" s="16"/>
      <c r="J162" s="16"/>
      <c r="K162" s="16"/>
      <c r="L162" s="16"/>
      <c r="M162" s="16"/>
      <c r="N162" s="16"/>
      <c r="O162" s="16"/>
      <c r="P162" s="16"/>
      <c r="Q162" s="16"/>
      <c r="R162" s="16"/>
      <c r="S162" s="16"/>
      <c r="T162" s="16"/>
      <c r="U162" s="16"/>
      <c r="V162" s="16"/>
      <c r="W162" s="16"/>
      <c r="X162" s="16"/>
      <c r="Y162" s="16"/>
      <c r="Z162" s="16"/>
      <c r="AA162" s="16"/>
      <c r="AB162" s="16"/>
      <c r="AC162" s="16"/>
      <c r="AD162" s="16"/>
    </row>
    <row r="163" ht="13.5" customHeight="1" hidden="1" spans="1:30" x14ac:dyDescent="0.25" outlineLevel="1" collapsed="1">
      <c r="A163" s="17"/>
      <c r="B163" s="16"/>
      <c r="C163" s="16"/>
      <c r="D163" s="16"/>
      <c r="E163" s="16"/>
      <c r="F163" s="16"/>
      <c r="G163" s="16"/>
      <c r="H163" s="16"/>
      <c r="I163" s="16"/>
      <c r="J163" s="16"/>
      <c r="K163" s="16"/>
      <c r="L163" s="16"/>
      <c r="M163" s="16"/>
      <c r="N163" s="16"/>
      <c r="O163" s="16"/>
      <c r="P163" s="16"/>
      <c r="Q163" s="16"/>
      <c r="R163" s="16"/>
      <c r="S163" s="16"/>
      <c r="T163" s="16"/>
      <c r="U163" s="16"/>
      <c r="V163" s="16"/>
      <c r="W163" s="16"/>
      <c r="X163" s="16"/>
      <c r="Y163" s="16"/>
      <c r="Z163" s="16"/>
      <c r="AA163" s="16"/>
      <c r="AB163" s="16"/>
      <c r="AC163" s="16"/>
      <c r="AD163" s="16"/>
    </row>
    <row r="164" ht="13.5" customHeight="1" hidden="1" spans="1:30" x14ac:dyDescent="0.25" outlineLevel="1" collapsed="1">
      <c r="A164" s="17"/>
      <c r="B164" s="16"/>
      <c r="C164" s="16"/>
      <c r="D164" s="16"/>
      <c r="E164" s="16"/>
      <c r="F164" s="16"/>
      <c r="G164" s="16"/>
      <c r="H164" s="16"/>
      <c r="I164" s="16"/>
      <c r="J164" s="16"/>
      <c r="K164" s="16"/>
      <c r="L164" s="16"/>
      <c r="M164" s="16"/>
      <c r="N164" s="16"/>
      <c r="O164" s="16"/>
      <c r="P164" s="16"/>
      <c r="Q164" s="16"/>
      <c r="R164" s="16"/>
      <c r="S164" s="16"/>
      <c r="T164" s="16"/>
      <c r="U164" s="16"/>
      <c r="V164" s="16"/>
      <c r="W164" s="16"/>
      <c r="X164" s="16"/>
      <c r="Y164" s="16"/>
      <c r="Z164" s="16"/>
      <c r="AA164" s="16"/>
      <c r="AB164" s="16"/>
      <c r="AC164" s="16"/>
      <c r="AD164" s="16"/>
    </row>
    <row r="165" ht="13.5" customHeight="1" hidden="1" spans="1:30" x14ac:dyDescent="0.25" outlineLevel="1" collapsed="1">
      <c r="A165" s="17"/>
      <c r="B165" s="16"/>
      <c r="C165" s="16"/>
      <c r="D165" s="16"/>
      <c r="E165" s="16"/>
      <c r="F165" s="16"/>
      <c r="G165" s="16"/>
      <c r="H165" s="16"/>
      <c r="I165" s="16"/>
      <c r="J165" s="16"/>
      <c r="K165" s="16"/>
      <c r="L165" s="16"/>
      <c r="M165" s="16"/>
      <c r="N165" s="16"/>
      <c r="O165" s="16"/>
      <c r="P165" s="16"/>
      <c r="Q165" s="16"/>
      <c r="R165" s="16"/>
      <c r="S165" s="16"/>
      <c r="T165" s="16"/>
      <c r="U165" s="16"/>
      <c r="V165" s="16"/>
      <c r="W165" s="16"/>
      <c r="X165" s="16"/>
      <c r="Y165" s="16"/>
      <c r="Z165" s="16"/>
      <c r="AA165" s="16"/>
      <c r="AB165" s="16"/>
      <c r="AC165" s="16"/>
      <c r="AD165" s="16"/>
    </row>
    <row r="166" ht="13.5" customHeight="1" hidden="1" spans="1:30" x14ac:dyDescent="0.25" outlineLevel="1" collapsed="1">
      <c r="A166" s="17"/>
      <c r="B166" s="16"/>
      <c r="C166" s="16"/>
      <c r="D166" s="16"/>
      <c r="E166" s="16"/>
      <c r="F166" s="16"/>
      <c r="G166" s="16"/>
      <c r="H166" s="16"/>
      <c r="I166" s="16"/>
      <c r="J166" s="16"/>
      <c r="K166" s="16"/>
      <c r="L166" s="16"/>
      <c r="M166" s="16"/>
      <c r="N166" s="16"/>
      <c r="O166" s="16"/>
      <c r="P166" s="16"/>
      <c r="Q166" s="16"/>
      <c r="R166" s="16"/>
      <c r="S166" s="16"/>
      <c r="T166" s="16"/>
      <c r="U166" s="16"/>
      <c r="V166" s="16"/>
      <c r="W166" s="16"/>
      <c r="X166" s="16"/>
      <c r="Y166" s="16"/>
      <c r="Z166" s="16"/>
      <c r="AA166" s="16"/>
      <c r="AB166" s="16"/>
      <c r="AC166" s="16"/>
      <c r="AD166" s="16"/>
    </row>
    <row r="167" ht="13.5" customHeight="1" hidden="1" spans="1:30" x14ac:dyDescent="0.25" outlineLevel="1" collapsed="1">
      <c r="A167" s="17"/>
      <c r="B167" s="16"/>
      <c r="C167" s="16"/>
      <c r="D167" s="16"/>
      <c r="E167" s="16"/>
      <c r="F167" s="16"/>
      <c r="G167" s="16"/>
      <c r="H167" s="16"/>
      <c r="I167" s="16"/>
      <c r="J167" s="16"/>
      <c r="K167" s="16"/>
      <c r="L167" s="16"/>
      <c r="M167" s="16"/>
      <c r="N167" s="16"/>
      <c r="O167" s="16"/>
      <c r="P167" s="16"/>
      <c r="Q167" s="16"/>
      <c r="R167" s="16"/>
      <c r="S167" s="16"/>
      <c r="T167" s="16"/>
      <c r="U167" s="16"/>
      <c r="V167" s="16"/>
      <c r="W167" s="16"/>
      <c r="X167" s="16"/>
      <c r="Y167" s="16"/>
      <c r="Z167" s="16"/>
      <c r="AA167" s="16"/>
      <c r="AB167" s="16"/>
      <c r="AC167" s="16"/>
      <c r="AD167" s="16"/>
    </row>
    <row r="168" ht="13.5" customHeight="1" hidden="1" spans="1:30" x14ac:dyDescent="0.25" outlineLevel="1" collapsed="1">
      <c r="A168" s="17"/>
      <c r="B168" s="16"/>
      <c r="C168" s="16"/>
      <c r="D168" s="16"/>
      <c r="E168" s="16"/>
      <c r="F168" s="16"/>
      <c r="G168" s="16"/>
      <c r="H168" s="16"/>
      <c r="I168" s="16"/>
      <c r="J168" s="16"/>
      <c r="K168" s="16"/>
      <c r="L168" s="16"/>
      <c r="M168" s="16"/>
      <c r="N168" s="16"/>
      <c r="O168" s="16"/>
      <c r="P168" s="16"/>
      <c r="Q168" s="16"/>
      <c r="R168" s="16"/>
      <c r="S168" s="16"/>
      <c r="T168" s="16"/>
      <c r="U168" s="16"/>
      <c r="V168" s="16"/>
      <c r="W168" s="16"/>
      <c r="X168" s="16"/>
      <c r="Y168" s="16"/>
      <c r="Z168" s="16"/>
      <c r="AA168" s="16"/>
      <c r="AB168" s="16"/>
      <c r="AC168" s="16"/>
      <c r="AD168" s="16"/>
    </row>
    <row r="169" ht="13.5" customHeight="1" hidden="1" spans="1:30" x14ac:dyDescent="0.25" outlineLevel="1" collapsed="1">
      <c r="A169" s="17"/>
      <c r="B169" s="16"/>
      <c r="C169" s="16"/>
      <c r="D169" s="16"/>
      <c r="E169" s="16"/>
      <c r="F169" s="16"/>
      <c r="G169" s="16"/>
      <c r="H169" s="16"/>
      <c r="I169" s="16"/>
      <c r="J169" s="16"/>
      <c r="K169" s="16"/>
      <c r="L169" s="16"/>
      <c r="M169" s="16"/>
      <c r="N169" s="16"/>
      <c r="O169" s="16"/>
      <c r="P169" s="16"/>
      <c r="Q169" s="16"/>
      <c r="R169" s="16"/>
      <c r="S169" s="16"/>
      <c r="T169" s="16"/>
      <c r="U169" s="16"/>
      <c r="V169" s="16"/>
      <c r="W169" s="16"/>
      <c r="X169" s="16"/>
      <c r="Y169" s="16"/>
      <c r="Z169" s="16"/>
      <c r="AA169" s="16"/>
      <c r="AB169" s="16"/>
      <c r="AC169" s="16"/>
      <c r="AD169" s="16"/>
    </row>
    <row r="170" ht="13.5" customHeight="1" hidden="1" spans="1:30" x14ac:dyDescent="0.25" outlineLevel="1" collapsed="1">
      <c r="A170" s="17"/>
      <c r="B170" s="16"/>
      <c r="C170" s="16"/>
      <c r="D170" s="16"/>
      <c r="E170" s="16"/>
      <c r="F170" s="16"/>
      <c r="G170" s="16"/>
      <c r="H170" s="16"/>
      <c r="I170" s="16"/>
      <c r="J170" s="16"/>
      <c r="K170" s="16"/>
      <c r="L170" s="16"/>
      <c r="M170" s="16"/>
      <c r="N170" s="16"/>
      <c r="O170" s="16"/>
      <c r="P170" s="16"/>
      <c r="Q170" s="16"/>
      <c r="R170" s="16"/>
      <c r="S170" s="16"/>
      <c r="T170" s="16"/>
      <c r="U170" s="16"/>
      <c r="V170" s="16"/>
      <c r="W170" s="16"/>
      <c r="X170" s="16"/>
      <c r="Y170" s="16"/>
      <c r="Z170" s="16"/>
      <c r="AA170" s="16"/>
      <c r="AB170" s="16"/>
      <c r="AC170" s="16"/>
      <c r="AD170" s="16"/>
    </row>
    <row r="171" ht="13.5" customHeight="1" hidden="1" spans="1:30" x14ac:dyDescent="0.25" outlineLevel="1" collapsed="1">
      <c r="A171" s="17"/>
      <c r="B171" s="16"/>
      <c r="C171" s="16"/>
      <c r="D171" s="16"/>
      <c r="E171" s="16"/>
      <c r="F171" s="16"/>
      <c r="G171" s="16"/>
      <c r="H171" s="16"/>
      <c r="I171" s="16"/>
      <c r="J171" s="16"/>
      <c r="K171" s="16"/>
      <c r="L171" s="16"/>
      <c r="M171" s="16"/>
      <c r="N171" s="16"/>
      <c r="O171" s="16"/>
      <c r="P171" s="16"/>
      <c r="Q171" s="16"/>
      <c r="R171" s="16"/>
      <c r="S171" s="16"/>
      <c r="T171" s="16"/>
      <c r="U171" s="16"/>
      <c r="V171" s="16"/>
      <c r="W171" s="16"/>
      <c r="X171" s="16"/>
      <c r="Y171" s="16"/>
      <c r="Z171" s="16"/>
      <c r="AA171" s="16"/>
      <c r="AB171" s="16"/>
      <c r="AC171" s="16"/>
      <c r="AD171" s="16"/>
    </row>
    <row r="172" ht="13.5" customHeight="1" hidden="1" spans="1:30" x14ac:dyDescent="0.25" outlineLevel="1" collapsed="1">
      <c r="A172" s="17"/>
      <c r="B172" s="16"/>
      <c r="C172" s="16"/>
      <c r="D172" s="16"/>
      <c r="E172" s="16"/>
      <c r="F172" s="16"/>
      <c r="G172" s="16"/>
      <c r="H172" s="16"/>
      <c r="I172" s="16"/>
      <c r="J172" s="16"/>
      <c r="K172" s="16"/>
      <c r="L172" s="16"/>
      <c r="M172" s="16"/>
      <c r="N172" s="16"/>
      <c r="O172" s="16"/>
      <c r="P172" s="16"/>
      <c r="Q172" s="16"/>
      <c r="R172" s="16"/>
      <c r="S172" s="16"/>
      <c r="T172" s="16"/>
      <c r="U172" s="16"/>
      <c r="V172" s="16"/>
      <c r="W172" s="16"/>
      <c r="X172" s="16"/>
      <c r="Y172" s="16"/>
      <c r="Z172" s="16"/>
      <c r="AA172" s="16"/>
      <c r="AB172" s="16"/>
      <c r="AC172" s="16"/>
      <c r="AD172" s="16"/>
    </row>
    <row r="173" ht="13.5" customHeight="1" hidden="1" spans="1:30" x14ac:dyDescent="0.25" outlineLevel="1" collapsed="1">
      <c r="A173" s="17"/>
      <c r="B173" s="16"/>
      <c r="C173" s="16"/>
      <c r="D173" s="16"/>
      <c r="E173" s="16"/>
      <c r="F173" s="16"/>
      <c r="G173" s="16"/>
      <c r="H173" s="16"/>
      <c r="I173" s="16"/>
      <c r="J173" s="16"/>
      <c r="K173" s="16"/>
      <c r="L173" s="16"/>
      <c r="M173" s="16"/>
      <c r="N173" s="16"/>
      <c r="O173" s="16"/>
      <c r="P173" s="16"/>
      <c r="Q173" s="16"/>
      <c r="R173" s="16"/>
      <c r="S173" s="16"/>
      <c r="T173" s="16"/>
      <c r="U173" s="16"/>
      <c r="V173" s="16"/>
      <c r="W173" s="16"/>
      <c r="X173" s="16"/>
      <c r="Y173" s="16"/>
      <c r="Z173" s="16"/>
      <c r="AA173" s="16"/>
      <c r="AB173" s="16"/>
      <c r="AC173" s="16"/>
      <c r="AD173" s="16"/>
    </row>
    <row r="174" ht="13.5" customHeight="1" hidden="1" spans="1:30" x14ac:dyDescent="0.25" outlineLevel="1" collapsed="1">
      <c r="A174" s="17"/>
      <c r="B174" s="16"/>
      <c r="C174" s="16"/>
      <c r="D174" s="16"/>
      <c r="E174" s="16"/>
      <c r="F174" s="16"/>
      <c r="G174" s="16"/>
      <c r="H174" s="16"/>
      <c r="I174" s="16"/>
      <c r="J174" s="16"/>
      <c r="K174" s="16"/>
      <c r="L174" s="16"/>
      <c r="M174" s="16"/>
      <c r="N174" s="16"/>
      <c r="O174" s="16"/>
      <c r="P174" s="16"/>
      <c r="Q174" s="16"/>
      <c r="R174" s="16"/>
      <c r="S174" s="16"/>
      <c r="T174" s="16"/>
      <c r="U174" s="16"/>
      <c r="V174" s="16"/>
      <c r="W174" s="16"/>
      <c r="X174" s="16"/>
      <c r="Y174" s="16"/>
      <c r="Z174" s="16"/>
      <c r="AA174" s="16"/>
      <c r="AB174" s="16"/>
      <c r="AC174" s="16"/>
      <c r="AD174" s="16"/>
    </row>
    <row r="175" ht="13.5" customHeight="1" hidden="1" spans="1:30" x14ac:dyDescent="0.25" outlineLevel="1" collapsed="1">
      <c r="A175" s="17"/>
      <c r="B175" s="16"/>
      <c r="C175" s="16"/>
      <c r="D175" s="16"/>
      <c r="E175" s="16"/>
      <c r="F175" s="16"/>
      <c r="G175" s="16"/>
      <c r="H175" s="16"/>
      <c r="I175" s="16"/>
      <c r="J175" s="16"/>
      <c r="K175" s="16"/>
      <c r="L175" s="16"/>
      <c r="M175" s="16"/>
      <c r="N175" s="16"/>
      <c r="O175" s="16"/>
      <c r="P175" s="16"/>
      <c r="Q175" s="16"/>
      <c r="R175" s="16"/>
      <c r="S175" s="16"/>
      <c r="T175" s="16"/>
      <c r="U175" s="16"/>
      <c r="V175" s="16"/>
      <c r="W175" s="16"/>
      <c r="X175" s="16"/>
      <c r="Y175" s="16"/>
      <c r="Z175" s="16"/>
      <c r="AA175" s="16"/>
      <c r="AB175" s="16"/>
      <c r="AC175" s="16"/>
      <c r="AD175" s="16"/>
    </row>
    <row r="176" ht="13.5" customHeight="1" spans="1:30" x14ac:dyDescent="0.25">
      <c r="A176" s="17"/>
      <c r="B176" s="16"/>
      <c r="C176" s="16"/>
      <c r="D176" s="16"/>
      <c r="E176" s="16"/>
      <c r="F176" s="16"/>
      <c r="G176" s="16"/>
      <c r="H176" s="16"/>
      <c r="I176" s="16"/>
      <c r="J176" s="16"/>
      <c r="K176" s="16"/>
      <c r="L176" s="16"/>
      <c r="M176" s="16"/>
      <c r="N176" s="16"/>
      <c r="O176" s="16"/>
      <c r="P176" s="16"/>
      <c r="Q176" s="16"/>
      <c r="R176" s="16"/>
      <c r="S176" s="16"/>
      <c r="T176" s="16"/>
      <c r="U176" s="16"/>
      <c r="V176" s="16"/>
      <c r="W176" s="16"/>
      <c r="X176" s="16"/>
      <c r="Y176" s="16"/>
      <c r="Z176" s="16"/>
      <c r="AA176" s="16"/>
      <c r="AB176" s="16"/>
      <c r="AC176" s="16"/>
      <c r="AD176" s="16"/>
    </row>
    <row r="177" ht="13.5" customHeight="1" spans="1:30" x14ac:dyDescent="0.25">
      <c r="A177" s="17" t="s">
        <v>1</v>
      </c>
      <c r="B177" s="16"/>
      <c r="C177" s="110" t="str">
        <f ca="1">Ticker&amp;" - One Year Stock Price Performance"</f>
        <v>LOW - One Year Stock Price Performance</v>
      </c>
      <c r="D177" s="111"/>
      <c r="E177" s="111"/>
      <c r="F177" s="111"/>
      <c r="G177" s="111"/>
      <c r="H177" s="111"/>
      <c r="I177" s="111"/>
      <c r="J177" s="111"/>
      <c r="K177" s="111"/>
      <c r="L177" s="111"/>
      <c r="M177" s="111"/>
      <c r="N177" s="111"/>
      <c r="O177" s="111"/>
      <c r="P177" s="111"/>
      <c r="Q177" s="111"/>
      <c r="R177" s="16"/>
      <c r="S177" s="16"/>
      <c r="T177" s="16"/>
      <c r="U177" s="16"/>
      <c r="V177" s="16"/>
      <c r="W177" s="16"/>
      <c r="X177" s="16"/>
      <c r="Y177" s="16"/>
      <c r="Z177" s="16"/>
      <c r="AA177" s="16"/>
      <c r="AB177" s="16"/>
      <c r="AC177" s="16"/>
      <c r="AD177" s="16"/>
    </row>
    <row r="178" ht="13.5" customHeight="1" spans="1:30" x14ac:dyDescent="0.25">
      <c r="A178" s="17"/>
      <c r="B178" s="16"/>
      <c r="C178" s="16"/>
      <c r="D178" s="16"/>
      <c r="E178" s="16"/>
      <c r="F178" s="84" t="s">
        <v>951</v>
      </c>
      <c r="G178" s="66"/>
      <c r="H178" s="66"/>
      <c r="I178" s="16"/>
      <c r="J178" s="16"/>
      <c r="K178" s="16"/>
      <c r="L178" s="16"/>
      <c r="M178" s="16"/>
      <c r="N178" s="16"/>
      <c r="O178" s="16"/>
      <c r="P178" s="16"/>
      <c r="Q178" s="16"/>
      <c r="R178" s="16"/>
      <c r="S178" s="16"/>
      <c r="T178" s="16"/>
      <c r="U178" s="16"/>
      <c r="V178" s="16"/>
      <c r="W178" s="16"/>
      <c r="X178" s="16"/>
      <c r="Y178" s="16"/>
      <c r="Z178" s="16"/>
      <c r="AA178" s="16"/>
      <c r="AB178" s="16"/>
      <c r="AC178" s="16"/>
      <c r="AD178" s="16"/>
    </row>
    <row r="179" ht="13.5" customHeight="1" spans="1:30" x14ac:dyDescent="0.25">
      <c r="A179" s="17"/>
      <c r="B179" s="16"/>
      <c r="C179" s="210" t="s">
        <v>182</v>
      </c>
      <c r="D179" s="210" t="s">
        <v>952</v>
      </c>
      <c r="E179" s="210" t="s">
        <v>255</v>
      </c>
      <c r="F179" s="210" t="s">
        <v>253</v>
      </c>
      <c r="G179" s="210" t="s">
        <v>252</v>
      </c>
      <c r="H179" s="210" t="s">
        <v>251</v>
      </c>
      <c r="I179" s="16"/>
      <c r="J179" s="16"/>
      <c r="K179" s="16"/>
      <c r="L179" s="16"/>
      <c r="M179" s="16"/>
      <c r="N179" s="239" t="s">
        <v>953</v>
      </c>
      <c r="O179" s="240"/>
      <c r="P179" s="241"/>
      <c r="Q179" s="16"/>
      <c r="R179" s="16"/>
      <c r="S179" s="16"/>
      <c r="T179" s="16"/>
      <c r="U179" s="16"/>
      <c r="V179" s="16"/>
      <c r="W179" s="16"/>
      <c r="X179" s="16"/>
      <c r="Y179" s="16"/>
      <c r="Z179" s="16"/>
      <c r="AA179" s="16"/>
      <c r="AB179" s="16"/>
      <c r="AC179" s="16"/>
      <c r="AD179" s="16"/>
    </row>
    <row r="180" ht="13.5" customHeight="1" spans="1:30" x14ac:dyDescent="0.25">
      <c r="A180" s="17"/>
      <c r="B180" s="16"/>
      <c r="C180" s="850">
        <f ca="1">EDATE(C181,18)</f>
        <v>44984</v>
      </c>
      <c r="D180" s="84"/>
      <c r="E180" s="84"/>
      <c r="F180" s="436">
        <v>167</v>
      </c>
      <c r="G180" s="436">
        <v>236</v>
      </c>
      <c r="H180" s="436">
        <v>295</v>
      </c>
      <c r="I180" s="16"/>
      <c r="J180" s="16"/>
      <c r="K180" s="16"/>
      <c r="L180" s="16"/>
      <c r="M180" s="16"/>
      <c r="N180" s="84"/>
      <c r="O180" s="84"/>
      <c r="P180" s="84"/>
      <c r="Q180" s="16"/>
      <c r="R180" s="16"/>
      <c r="S180" s="16"/>
      <c r="T180" s="16"/>
      <c r="U180" s="16"/>
      <c r="V180" s="16"/>
      <c r="W180" s="16"/>
      <c r="X180" s="16"/>
      <c r="Y180" s="16"/>
      <c r="Z180" s="16"/>
      <c r="AA180" s="16"/>
      <c r="AB180" s="16"/>
      <c r="AC180" s="16"/>
      <c r="AD180" s="16"/>
    </row>
    <row r="181" ht="13.5" customHeight="1" spans="1:30" x14ac:dyDescent="0.25">
      <c r="A181" s="17"/>
      <c r="B181" s="16"/>
      <c r="C181" s="878">
        <v>44435</v>
      </c>
      <c r="D181" s="436">
        <v>205.899994</v>
      </c>
      <c r="E181" s="874">
        <v>2769871</v>
      </c>
      <c r="F181" s="127">
        <f t="shared" ref="F181:H181" si="18" ca="1">$D$181</f>
        <v>205.899994</v>
      </c>
      <c r="G181" s="127">
        <f ca="1">$D$181</f>
        <v>205.899994</v>
      </c>
      <c r="H181" s="127">
        <f ca="1">$D$181</f>
        <v>205.899994</v>
      </c>
      <c r="I181" s="16"/>
      <c r="J181" s="16"/>
      <c r="K181" s="16"/>
      <c r="L181" s="16"/>
      <c r="M181" s="16"/>
      <c r="N181" s="16"/>
      <c r="O181" s="16"/>
      <c r="P181" s="16"/>
      <c r="Q181" s="16"/>
      <c r="R181" s="16"/>
      <c r="S181" s="16"/>
      <c r="T181" s="16"/>
      <c r="U181" s="16"/>
      <c r="V181" s="16"/>
      <c r="W181" s="16"/>
      <c r="X181" s="16"/>
      <c r="Y181" s="16"/>
      <c r="Z181" s="16"/>
      <c r="AA181" s="16"/>
      <c r="AB181" s="16"/>
      <c r="AC181" s="16"/>
      <c r="AD181" s="16"/>
    </row>
    <row r="182" ht="13.5" customHeight="1" spans="1:30" x14ac:dyDescent="0.25">
      <c r="A182" s="17"/>
      <c r="B182" s="16"/>
      <c r="C182" s="878">
        <v>44434</v>
      </c>
      <c r="D182" s="879">
        <v>205.649994</v>
      </c>
      <c r="E182" s="874">
        <v>3250400</v>
      </c>
      <c r="F182" s="16"/>
      <c r="G182" s="16"/>
      <c r="H182" s="16"/>
      <c r="I182" s="16"/>
      <c r="J182" s="16"/>
      <c r="K182" s="16"/>
      <c r="L182" s="16"/>
      <c r="M182" s="16"/>
      <c r="N182" s="84"/>
      <c r="O182" s="210" t="s">
        <v>166</v>
      </c>
      <c r="P182" s="210" t="s">
        <v>255</v>
      </c>
      <c r="Q182" s="16"/>
      <c r="R182" s="16"/>
      <c r="S182" s="16"/>
      <c r="T182" s="16"/>
      <c r="U182" s="16"/>
      <c r="V182" s="16"/>
      <c r="W182" s="16"/>
      <c r="X182" s="16"/>
      <c r="Y182" s="16"/>
      <c r="Z182" s="16"/>
      <c r="AA182" s="16"/>
      <c r="AB182" s="16"/>
      <c r="AC182" s="16"/>
      <c r="AD182" s="16"/>
    </row>
    <row r="183" ht="13.5" customHeight="1" spans="1:30" x14ac:dyDescent="0.25">
      <c r="A183" s="17"/>
      <c r="B183" s="16"/>
      <c r="C183" s="878">
        <v>44433</v>
      </c>
      <c r="D183" s="879">
        <v>206.179993</v>
      </c>
      <c r="E183" s="874">
        <v>2628800</v>
      </c>
      <c r="F183" s="16"/>
      <c r="G183" s="16"/>
      <c r="H183" s="16"/>
      <c r="I183" s="16"/>
      <c r="J183" s="16"/>
      <c r="K183" s="16"/>
      <c r="L183" s="16"/>
      <c r="M183" s="16"/>
      <c r="N183" s="189" t="s">
        <v>167</v>
      </c>
      <c r="O183" s="231">
        <f ca="1">MAX(D181:D447)*1.1</f>
        <v>231.47700400000002</v>
      </c>
      <c r="P183" s="136">
        <f ca="1">MAX(E181:E447)</f>
        <v>18087800</v>
      </c>
      <c r="Q183" s="16"/>
      <c r="R183" s="16"/>
      <c r="S183" s="16"/>
      <c r="T183" s="16"/>
      <c r="U183" s="16"/>
      <c r="V183" s="16"/>
      <c r="W183" s="16"/>
      <c r="X183" s="16"/>
      <c r="Y183" s="16"/>
      <c r="Z183" s="16"/>
      <c r="AA183" s="16"/>
      <c r="AB183" s="16"/>
      <c r="AC183" s="16"/>
      <c r="AD183" s="16"/>
    </row>
    <row r="184" ht="13.5" customHeight="1" spans="1:30" x14ac:dyDescent="0.25">
      <c r="A184" s="17"/>
      <c r="B184" s="16"/>
      <c r="C184" s="878">
        <v>44432</v>
      </c>
      <c r="D184" s="879">
        <v>203.389999</v>
      </c>
      <c r="E184" s="874">
        <v>4110400</v>
      </c>
      <c r="F184" s="16"/>
      <c r="G184" s="16"/>
      <c r="H184" s="16"/>
      <c r="I184" s="16"/>
      <c r="J184" s="16"/>
      <c r="K184" s="16"/>
      <c r="L184" s="16"/>
      <c r="M184" s="16"/>
      <c r="N184" s="189" t="s">
        <v>168</v>
      </c>
      <c r="O184" s="231">
        <f t="shared" ref="O184:P184" si="19" ca="1">MIN(D181:D447)*0.9</f>
        <v>130.6723068</v>
      </c>
      <c r="P184" s="136">
        <f ca="1">MIN(E181:E447)*0.9</f>
        <v>940140</v>
      </c>
      <c r="Q184" s="16"/>
      <c r="R184" s="16"/>
      <c r="S184" s="16"/>
      <c r="T184" s="16"/>
      <c r="U184" s="16"/>
      <c r="V184" s="16"/>
      <c r="W184" s="16"/>
      <c r="X184" s="16"/>
      <c r="Y184" s="16"/>
      <c r="Z184" s="16"/>
      <c r="AA184" s="16"/>
      <c r="AB184" s="16"/>
      <c r="AC184" s="16"/>
      <c r="AD184" s="16"/>
    </row>
    <row r="185" ht="13.5" customHeight="1" spans="1:30" x14ac:dyDescent="0.25">
      <c r="A185" s="17"/>
      <c r="B185" s="16"/>
      <c r="C185" s="878">
        <v>44431</v>
      </c>
      <c r="D185" s="879">
        <v>206.059998</v>
      </c>
      <c r="E185" s="874">
        <v>4195200</v>
      </c>
      <c r="F185" s="16"/>
      <c r="G185" s="16"/>
      <c r="H185" s="16"/>
      <c r="I185" s="16"/>
      <c r="J185" s="16"/>
      <c r="K185" s="16"/>
      <c r="L185" s="16"/>
      <c r="M185" s="16"/>
      <c r="N185" s="16"/>
      <c r="O185" s="16"/>
      <c r="P185" s="16"/>
      <c r="Q185" s="16"/>
      <c r="R185" s="16"/>
      <c r="S185" s="16"/>
      <c r="T185" s="16"/>
      <c r="U185" s="16"/>
      <c r="V185" s="16"/>
      <c r="W185" s="16"/>
      <c r="X185" s="16"/>
      <c r="Y185" s="16"/>
      <c r="Z185" s="16"/>
      <c r="AA185" s="16"/>
      <c r="AB185" s="16"/>
      <c r="AC185" s="16"/>
      <c r="AD185" s="16"/>
    </row>
    <row r="186" ht="13.5" customHeight="1" spans="1:30" x14ac:dyDescent="0.25">
      <c r="A186" s="17"/>
      <c r="B186" s="16"/>
      <c r="C186" s="878">
        <v>44428</v>
      </c>
      <c r="D186" s="879">
        <v>208.210007</v>
      </c>
      <c r="E186" s="874">
        <v>4914400</v>
      </c>
      <c r="F186" s="16"/>
      <c r="G186" s="16"/>
      <c r="H186" s="16"/>
      <c r="I186" s="16"/>
      <c r="J186" s="16"/>
      <c r="K186" s="16"/>
      <c r="L186" s="16"/>
      <c r="M186" s="16"/>
      <c r="N186" s="16"/>
      <c r="O186" s="16"/>
      <c r="P186" s="16"/>
      <c r="Q186" s="16"/>
      <c r="R186" s="16"/>
      <c r="S186" s="16"/>
      <c r="T186" s="16"/>
      <c r="U186" s="16"/>
      <c r="V186" s="16"/>
      <c r="W186" s="16"/>
      <c r="X186" s="16"/>
      <c r="Y186" s="16"/>
      <c r="Z186" s="16"/>
      <c r="AA186" s="16"/>
      <c r="AB186" s="16"/>
      <c r="AC186" s="16"/>
      <c r="AD186" s="16"/>
    </row>
    <row r="187" ht="13.5" customHeight="1" spans="1:30" x14ac:dyDescent="0.25">
      <c r="A187" s="17"/>
      <c r="B187" s="16"/>
      <c r="C187" s="878">
        <v>44427</v>
      </c>
      <c r="D187" s="879">
        <v>202.589996</v>
      </c>
      <c r="E187" s="874">
        <v>5378300</v>
      </c>
      <c r="F187" s="16"/>
      <c r="G187" s="16"/>
      <c r="H187" s="16"/>
      <c r="I187" s="16"/>
      <c r="J187" s="16"/>
      <c r="K187" s="16"/>
      <c r="L187" s="16"/>
      <c r="M187" s="16"/>
      <c r="N187" s="16"/>
      <c r="O187" s="16"/>
      <c r="P187" s="16"/>
      <c r="Q187" s="16"/>
      <c r="R187" s="16"/>
      <c r="S187" s="16"/>
      <c r="T187" s="16"/>
      <c r="U187" s="16"/>
      <c r="V187" s="16"/>
      <c r="W187" s="16"/>
      <c r="X187" s="16"/>
      <c r="Y187" s="16"/>
      <c r="Z187" s="16"/>
      <c r="AA187" s="16"/>
      <c r="AB187" s="16"/>
      <c r="AC187" s="16"/>
      <c r="AD187" s="16"/>
    </row>
    <row r="188" ht="13.5" customHeight="1" spans="1:30" x14ac:dyDescent="0.25">
      <c r="A188" s="17"/>
      <c r="B188" s="16"/>
      <c r="C188" s="878">
        <v>44426</v>
      </c>
      <c r="D188" s="879">
        <v>199.729996</v>
      </c>
      <c r="E188" s="874">
        <v>16992700</v>
      </c>
      <c r="F188" s="16"/>
      <c r="G188" s="16"/>
      <c r="H188" s="16"/>
      <c r="I188" s="16"/>
      <c r="J188" s="16"/>
      <c r="K188" s="16"/>
      <c r="L188" s="16"/>
      <c r="M188" s="16"/>
      <c r="N188" s="16"/>
      <c r="O188" s="16"/>
      <c r="P188" s="16"/>
      <c r="Q188" s="16"/>
      <c r="R188" s="16"/>
      <c r="S188" s="16"/>
      <c r="T188" s="16"/>
      <c r="U188" s="16"/>
      <c r="V188" s="16"/>
      <c r="W188" s="16"/>
      <c r="X188" s="16"/>
      <c r="Y188" s="16"/>
      <c r="Z188" s="16"/>
      <c r="AA188" s="16"/>
      <c r="AB188" s="16"/>
      <c r="AC188" s="16"/>
      <c r="AD188" s="16"/>
    </row>
    <row r="189" ht="13.5" customHeight="1" spans="1:30" x14ac:dyDescent="0.25">
      <c r="A189" s="17"/>
      <c r="B189" s="16"/>
      <c r="C189" s="878">
        <v>44425</v>
      </c>
      <c r="D189" s="879">
        <v>182.259995</v>
      </c>
      <c r="E189" s="874">
        <v>8256400</v>
      </c>
      <c r="F189" s="16"/>
      <c r="G189" s="16"/>
      <c r="H189" s="16"/>
      <c r="I189" s="16"/>
      <c r="J189" s="16"/>
      <c r="K189" s="16"/>
      <c r="L189" s="16"/>
      <c r="M189" s="16"/>
      <c r="N189" s="16"/>
      <c r="O189" s="16"/>
      <c r="P189" s="16"/>
      <c r="Q189" s="16"/>
      <c r="R189" s="16"/>
      <c r="S189" s="16"/>
      <c r="T189" s="16"/>
      <c r="U189" s="16"/>
      <c r="V189" s="16"/>
      <c r="W189" s="16"/>
      <c r="X189" s="16"/>
      <c r="Y189" s="16"/>
      <c r="Z189" s="16"/>
      <c r="AA189" s="16"/>
      <c r="AB189" s="16"/>
      <c r="AC189" s="16"/>
      <c r="AD189" s="16"/>
    </row>
    <row r="190" ht="13.5" customHeight="1" spans="1:30" x14ac:dyDescent="0.25">
      <c r="A190" s="17"/>
      <c r="B190" s="16"/>
      <c r="C190" s="878">
        <v>44424</v>
      </c>
      <c r="D190" s="879">
        <v>193.479996</v>
      </c>
      <c r="E190" s="874">
        <v>3485800</v>
      </c>
      <c r="F190" s="16"/>
      <c r="G190" s="16"/>
      <c r="H190" s="16"/>
      <c r="I190" s="16"/>
      <c r="J190" s="16"/>
      <c r="K190" s="16"/>
      <c r="L190" s="16"/>
      <c r="M190" s="16"/>
      <c r="N190" s="16"/>
      <c r="O190" s="16"/>
      <c r="P190" s="16"/>
      <c r="Q190" s="16"/>
      <c r="R190" s="16"/>
      <c r="S190" s="16"/>
      <c r="T190" s="16"/>
      <c r="U190" s="16"/>
      <c r="V190" s="16"/>
      <c r="W190" s="16"/>
      <c r="X190" s="16"/>
      <c r="Y190" s="16"/>
      <c r="Z190" s="16"/>
      <c r="AA190" s="16"/>
      <c r="AB190" s="16"/>
      <c r="AC190" s="16"/>
      <c r="AD190" s="16"/>
    </row>
    <row r="191" ht="13.5" customHeight="1" spans="1:30" x14ac:dyDescent="0.25">
      <c r="A191" s="17"/>
      <c r="B191" s="16"/>
      <c r="C191" s="878">
        <v>44421</v>
      </c>
      <c r="D191" s="879">
        <v>190.509995</v>
      </c>
      <c r="E191" s="874">
        <v>2399300</v>
      </c>
      <c r="F191" s="16"/>
      <c r="G191" s="16"/>
      <c r="H191" s="16"/>
      <c r="I191" s="16"/>
      <c r="J191" s="16"/>
      <c r="K191" s="16"/>
      <c r="L191" s="16"/>
      <c r="M191" s="16"/>
      <c r="N191" s="16"/>
      <c r="O191" s="16"/>
      <c r="P191" s="16"/>
      <c r="Q191" s="16"/>
      <c r="R191" s="16"/>
      <c r="S191" s="16"/>
      <c r="T191" s="16"/>
      <c r="U191" s="16"/>
      <c r="V191" s="16"/>
      <c r="W191" s="16"/>
      <c r="X191" s="16"/>
      <c r="Y191" s="16"/>
      <c r="Z191" s="16"/>
      <c r="AA191" s="16"/>
      <c r="AB191" s="16"/>
      <c r="AC191" s="16"/>
      <c r="AD191" s="16"/>
    </row>
    <row r="192" ht="13.5" customHeight="1" spans="1:30" x14ac:dyDescent="0.25">
      <c r="A192" s="17"/>
      <c r="B192" s="16"/>
      <c r="C192" s="878">
        <v>44420</v>
      </c>
      <c r="D192" s="879">
        <v>192</v>
      </c>
      <c r="E192" s="874">
        <v>2753600</v>
      </c>
      <c r="F192" s="16"/>
      <c r="G192" s="16"/>
      <c r="H192" s="16"/>
      <c r="I192" s="16"/>
      <c r="J192" s="16"/>
      <c r="K192" s="16"/>
      <c r="L192" s="16"/>
      <c r="M192" s="16"/>
      <c r="N192" s="16"/>
      <c r="O192" s="16"/>
      <c r="P192" s="16"/>
      <c r="Q192" s="16"/>
      <c r="R192" s="16"/>
      <c r="S192" s="16"/>
      <c r="T192" s="16"/>
      <c r="U192" s="16"/>
      <c r="V192" s="16"/>
      <c r="W192" s="16"/>
      <c r="X192" s="16"/>
      <c r="Y192" s="16"/>
      <c r="Z192" s="16"/>
      <c r="AA192" s="16"/>
      <c r="AB192" s="16"/>
      <c r="AC192" s="16"/>
      <c r="AD192" s="16"/>
    </row>
    <row r="193" ht="13.5" customHeight="1" spans="1:30" x14ac:dyDescent="0.25">
      <c r="A193" s="17"/>
      <c r="B193" s="16"/>
      <c r="C193" s="878">
        <v>44419</v>
      </c>
      <c r="D193" s="879">
        <v>194.520004</v>
      </c>
      <c r="E193" s="874">
        <v>3367300</v>
      </c>
      <c r="F193" s="16"/>
      <c r="G193" s="16"/>
      <c r="H193" s="16"/>
      <c r="I193" s="16"/>
      <c r="J193" s="16"/>
      <c r="K193" s="16"/>
      <c r="L193" s="16"/>
      <c r="M193" s="16"/>
      <c r="N193" s="16"/>
      <c r="O193" s="16"/>
      <c r="P193" s="16"/>
      <c r="Q193" s="16"/>
      <c r="R193" s="16"/>
      <c r="S193" s="16"/>
      <c r="T193" s="16"/>
      <c r="U193" s="16"/>
      <c r="V193" s="16"/>
      <c r="W193" s="16"/>
      <c r="X193" s="16"/>
      <c r="Y193" s="16"/>
      <c r="Z193" s="16"/>
      <c r="AA193" s="16"/>
      <c r="AB193" s="16"/>
      <c r="AC193" s="16"/>
      <c r="AD193" s="16"/>
    </row>
    <row r="194" ht="13.5" customHeight="1" spans="1:30" x14ac:dyDescent="0.25">
      <c r="A194" s="17"/>
      <c r="B194" s="16"/>
      <c r="C194" s="878">
        <v>44418</v>
      </c>
      <c r="D194" s="879">
        <v>189.729996</v>
      </c>
      <c r="E194" s="874">
        <v>2548300</v>
      </c>
      <c r="F194" s="16"/>
      <c r="G194" s="16"/>
      <c r="H194" s="16"/>
      <c r="I194" s="16"/>
      <c r="J194" s="16"/>
      <c r="K194" s="16"/>
      <c r="L194" s="16"/>
      <c r="M194" s="16"/>
      <c r="N194" s="16"/>
      <c r="O194" s="16"/>
      <c r="P194" s="16"/>
      <c r="Q194" s="16"/>
      <c r="R194" s="16"/>
      <c r="S194" s="16"/>
      <c r="T194" s="16"/>
      <c r="U194" s="16"/>
      <c r="V194" s="16"/>
      <c r="W194" s="16"/>
      <c r="X194" s="16"/>
      <c r="Y194" s="16"/>
      <c r="Z194" s="16"/>
      <c r="AA194" s="16"/>
      <c r="AB194" s="16"/>
      <c r="AC194" s="16"/>
      <c r="AD194" s="16"/>
    </row>
    <row r="195" ht="13.5" customHeight="1" spans="1:30" x14ac:dyDescent="0.25">
      <c r="A195" s="17"/>
      <c r="B195" s="16"/>
      <c r="C195" s="878">
        <v>44417</v>
      </c>
      <c r="D195" s="879">
        <v>187.990005</v>
      </c>
      <c r="E195" s="874">
        <v>2296200</v>
      </c>
      <c r="F195" s="16"/>
      <c r="G195" s="16"/>
      <c r="H195" s="16"/>
      <c r="I195" s="16"/>
      <c r="J195" s="16"/>
      <c r="K195" s="16"/>
      <c r="L195" s="16"/>
      <c r="M195" s="16"/>
      <c r="N195" s="16"/>
      <c r="O195" s="16"/>
      <c r="P195" s="16"/>
      <c r="Q195" s="16"/>
      <c r="R195" s="16"/>
      <c r="S195" s="16"/>
      <c r="T195" s="16"/>
      <c r="U195" s="16"/>
      <c r="V195" s="16"/>
      <c r="W195" s="16"/>
      <c r="X195" s="16"/>
      <c r="Y195" s="16"/>
      <c r="Z195" s="16"/>
      <c r="AA195" s="16"/>
      <c r="AB195" s="16"/>
      <c r="AC195" s="16"/>
      <c r="AD195" s="16"/>
    </row>
    <row r="196" ht="13.5" customHeight="1" spans="1:30" x14ac:dyDescent="0.25">
      <c r="A196" s="17"/>
      <c r="B196" s="16"/>
      <c r="C196" s="878">
        <v>44414</v>
      </c>
      <c r="D196" s="879">
        <v>190.160004</v>
      </c>
      <c r="E196" s="874">
        <v>2853800</v>
      </c>
      <c r="F196" s="16"/>
      <c r="G196" s="16"/>
      <c r="H196" s="16"/>
      <c r="I196" s="16"/>
      <c r="J196" s="16"/>
      <c r="K196" s="16"/>
      <c r="L196" s="16"/>
      <c r="M196" s="16"/>
      <c r="N196" s="16"/>
      <c r="O196" s="16"/>
      <c r="P196" s="16"/>
      <c r="Q196" s="16"/>
      <c r="R196" s="16"/>
      <c r="S196" s="16"/>
      <c r="T196" s="16"/>
      <c r="U196" s="16"/>
      <c r="V196" s="16"/>
      <c r="W196" s="16"/>
      <c r="X196" s="16"/>
      <c r="Y196" s="16"/>
      <c r="Z196" s="16"/>
      <c r="AA196" s="16"/>
      <c r="AB196" s="16"/>
      <c r="AC196" s="16"/>
      <c r="AD196" s="16"/>
    </row>
    <row r="197" ht="13.5" customHeight="1" spans="1:30" x14ac:dyDescent="0.25">
      <c r="A197" s="17"/>
      <c r="B197" s="16"/>
      <c r="C197" s="878">
        <v>44413</v>
      </c>
      <c r="D197" s="879">
        <v>190.679993</v>
      </c>
      <c r="E197" s="874">
        <v>2335500</v>
      </c>
      <c r="F197" s="16"/>
      <c r="G197" s="16"/>
      <c r="H197" s="16"/>
      <c r="I197" s="16"/>
      <c r="J197" s="16"/>
      <c r="K197" s="16"/>
      <c r="L197" s="16"/>
      <c r="M197" s="16"/>
      <c r="N197" s="16"/>
      <c r="O197" s="16"/>
      <c r="P197" s="16"/>
      <c r="Q197" s="16"/>
      <c r="R197" s="16"/>
      <c r="S197" s="16"/>
      <c r="T197" s="16"/>
      <c r="U197" s="16"/>
      <c r="V197" s="16"/>
      <c r="W197" s="16"/>
      <c r="X197" s="16"/>
      <c r="Y197" s="16"/>
      <c r="Z197" s="16"/>
      <c r="AA197" s="16"/>
      <c r="AB197" s="16"/>
      <c r="AC197" s="16"/>
      <c r="AD197" s="16"/>
    </row>
    <row r="198" ht="13.5" customHeight="1" spans="1:30" x14ac:dyDescent="0.25">
      <c r="A198" s="17"/>
      <c r="B198" s="16"/>
      <c r="C198" s="878">
        <v>44412</v>
      </c>
      <c r="D198" s="879">
        <v>189.899994</v>
      </c>
      <c r="E198" s="874">
        <v>3162200</v>
      </c>
      <c r="F198" s="16"/>
      <c r="G198" s="16"/>
      <c r="H198" s="16"/>
      <c r="I198" s="16"/>
      <c r="J198" s="16"/>
      <c r="K198" s="16"/>
      <c r="L198" s="16"/>
      <c r="M198" s="16"/>
      <c r="N198" s="16"/>
      <c r="O198" s="16"/>
      <c r="P198" s="16"/>
      <c r="Q198" s="16"/>
      <c r="R198" s="16"/>
      <c r="S198" s="16"/>
      <c r="T198" s="16"/>
      <c r="U198" s="16"/>
      <c r="V198" s="16"/>
      <c r="W198" s="16"/>
      <c r="X198" s="16"/>
      <c r="Y198" s="16"/>
      <c r="Z198" s="16"/>
      <c r="AA198" s="16"/>
      <c r="AB198" s="16"/>
      <c r="AC198" s="16"/>
      <c r="AD198" s="16"/>
    </row>
    <row r="199" ht="13.5" customHeight="1" spans="1:30" x14ac:dyDescent="0.25">
      <c r="A199" s="17"/>
      <c r="B199" s="16"/>
      <c r="C199" s="878">
        <v>44411</v>
      </c>
      <c r="D199" s="879">
        <v>193.949997</v>
      </c>
      <c r="E199" s="874">
        <v>2335100</v>
      </c>
      <c r="F199" s="16"/>
      <c r="G199" s="16"/>
      <c r="H199" s="16"/>
      <c r="I199" s="16"/>
      <c r="J199" s="16"/>
      <c r="K199" s="16"/>
      <c r="L199" s="16"/>
      <c r="M199" s="16"/>
      <c r="N199" s="16"/>
      <c r="O199" s="16"/>
      <c r="P199" s="16"/>
      <c r="Q199" s="16"/>
      <c r="R199" s="16"/>
      <c r="S199" s="16"/>
      <c r="T199" s="16"/>
      <c r="U199" s="16"/>
      <c r="V199" s="16"/>
      <c r="W199" s="16"/>
      <c r="X199" s="16"/>
      <c r="Y199" s="16"/>
      <c r="Z199" s="16"/>
      <c r="AA199" s="16"/>
      <c r="AB199" s="16"/>
      <c r="AC199" s="16"/>
      <c r="AD199" s="16"/>
    </row>
    <row r="200" ht="13.5" customHeight="1" spans="1:30" x14ac:dyDescent="0.25">
      <c r="A200" s="17"/>
      <c r="B200" s="16"/>
      <c r="C200" s="878">
        <v>44410</v>
      </c>
      <c r="D200" s="879">
        <v>190.960007</v>
      </c>
      <c r="E200" s="874">
        <v>3051700</v>
      </c>
      <c r="F200" s="16"/>
      <c r="G200" s="16"/>
      <c r="H200" s="16"/>
      <c r="I200" s="16"/>
      <c r="J200" s="16"/>
      <c r="K200" s="16"/>
      <c r="L200" s="16"/>
      <c r="M200" s="16"/>
      <c r="N200" s="16"/>
      <c r="O200" s="16"/>
      <c r="P200" s="16"/>
      <c r="Q200" s="16"/>
      <c r="R200" s="16"/>
      <c r="S200" s="16"/>
      <c r="T200" s="16"/>
      <c r="U200" s="16"/>
      <c r="V200" s="16"/>
      <c r="W200" s="16"/>
      <c r="X200" s="16"/>
      <c r="Y200" s="16"/>
      <c r="Z200" s="16"/>
      <c r="AA200" s="16"/>
      <c r="AB200" s="16"/>
      <c r="AC200" s="16"/>
      <c r="AD200" s="16"/>
    </row>
    <row r="201" ht="13.5" customHeight="1" spans="1:30" x14ac:dyDescent="0.25">
      <c r="A201" s="17"/>
      <c r="B201" s="16"/>
      <c r="C201" s="878">
        <v>44407</v>
      </c>
      <c r="D201" s="879">
        <v>192.690002</v>
      </c>
      <c r="E201" s="874">
        <v>2841600</v>
      </c>
      <c r="F201" s="16"/>
      <c r="G201" s="16"/>
      <c r="H201" s="16"/>
      <c r="I201" s="16"/>
      <c r="J201" s="16"/>
      <c r="K201" s="16"/>
      <c r="L201" s="16"/>
      <c r="M201" s="16"/>
      <c r="N201" s="16"/>
      <c r="O201" s="16"/>
      <c r="P201" s="16"/>
      <c r="Q201" s="16"/>
      <c r="R201" s="16"/>
      <c r="S201" s="16"/>
      <c r="T201" s="16"/>
      <c r="U201" s="16"/>
      <c r="V201" s="16"/>
      <c r="W201" s="16"/>
      <c r="X201" s="16"/>
      <c r="Y201" s="16"/>
      <c r="Z201" s="16"/>
      <c r="AA201" s="16"/>
      <c r="AB201" s="16"/>
      <c r="AC201" s="16"/>
      <c r="AD201" s="16"/>
    </row>
    <row r="202" ht="13.5" customHeight="1" spans="1:30" x14ac:dyDescent="0.25">
      <c r="A202" s="17"/>
      <c r="B202" s="16"/>
      <c r="C202" s="878">
        <v>44406</v>
      </c>
      <c r="D202" s="879">
        <v>193.619995</v>
      </c>
      <c r="E202" s="874">
        <v>2532800</v>
      </c>
      <c r="F202" s="16"/>
      <c r="G202" s="16"/>
      <c r="H202" s="16"/>
      <c r="I202" s="16"/>
      <c r="J202" s="16"/>
      <c r="K202" s="16"/>
      <c r="L202" s="16"/>
      <c r="M202" s="16"/>
      <c r="N202" s="16"/>
      <c r="O202" s="16"/>
      <c r="P202" s="16"/>
      <c r="Q202" s="16"/>
      <c r="R202" s="16"/>
      <c r="S202" s="16"/>
      <c r="T202" s="16"/>
      <c r="U202" s="16"/>
      <c r="V202" s="16"/>
      <c r="W202" s="16"/>
      <c r="X202" s="16"/>
      <c r="Y202" s="16"/>
      <c r="Z202" s="16"/>
      <c r="AA202" s="16"/>
      <c r="AB202" s="16"/>
      <c r="AC202" s="16"/>
      <c r="AD202" s="16"/>
    </row>
    <row r="203" ht="13.5" customHeight="1" spans="1:30" x14ac:dyDescent="0.25">
      <c r="A203" s="17"/>
      <c r="B203" s="16"/>
      <c r="C203" s="878">
        <v>44405</v>
      </c>
      <c r="D203" s="879">
        <v>192.389999</v>
      </c>
      <c r="E203" s="874">
        <v>2152500</v>
      </c>
      <c r="F203" s="16"/>
      <c r="G203" s="16"/>
      <c r="H203" s="16"/>
      <c r="I203" s="16"/>
      <c r="J203" s="16"/>
      <c r="K203" s="16"/>
      <c r="L203" s="16"/>
      <c r="M203" s="16"/>
      <c r="N203" s="16"/>
      <c r="O203" s="16"/>
      <c r="P203" s="16"/>
      <c r="Q203" s="16"/>
      <c r="R203" s="16"/>
      <c r="S203" s="16"/>
      <c r="T203" s="16"/>
      <c r="U203" s="16"/>
      <c r="V203" s="16"/>
      <c r="W203" s="16"/>
      <c r="X203" s="16"/>
      <c r="Y203" s="16"/>
      <c r="Z203" s="16"/>
      <c r="AA203" s="16"/>
      <c r="AB203" s="16"/>
      <c r="AC203" s="16"/>
      <c r="AD203" s="16"/>
    </row>
    <row r="204" ht="13.5" customHeight="1" spans="1:30" x14ac:dyDescent="0.25">
      <c r="A204" s="17"/>
      <c r="B204" s="16"/>
      <c r="C204" s="878">
        <v>44404</v>
      </c>
      <c r="D204" s="879">
        <v>193.509995</v>
      </c>
      <c r="E204" s="874">
        <v>4106100</v>
      </c>
      <c r="F204" s="16"/>
      <c r="G204" s="16"/>
      <c r="H204" s="16"/>
      <c r="I204" s="16"/>
      <c r="J204" s="16"/>
      <c r="K204" s="16"/>
      <c r="L204" s="16"/>
      <c r="M204" s="16"/>
      <c r="N204" s="16"/>
      <c r="O204" s="16"/>
      <c r="P204" s="16"/>
      <c r="Q204" s="16"/>
      <c r="R204" s="16"/>
      <c r="S204" s="16"/>
      <c r="T204" s="16"/>
      <c r="U204" s="16"/>
      <c r="V204" s="16"/>
      <c r="W204" s="16"/>
      <c r="X204" s="16"/>
      <c r="Y204" s="16"/>
      <c r="Z204" s="16"/>
      <c r="AA204" s="16"/>
      <c r="AB204" s="16"/>
      <c r="AC204" s="16"/>
      <c r="AD204" s="16"/>
    </row>
    <row r="205" ht="13.5" customHeight="1" spans="1:30" x14ac:dyDescent="0.25">
      <c r="A205" s="17"/>
      <c r="B205" s="16"/>
      <c r="C205" s="878">
        <v>44403</v>
      </c>
      <c r="D205" s="879">
        <v>197.740005</v>
      </c>
      <c r="E205" s="874">
        <v>3422200</v>
      </c>
      <c r="F205" s="16"/>
      <c r="G205" s="16"/>
      <c r="H205" s="16"/>
      <c r="I205" s="16"/>
      <c r="J205" s="16"/>
      <c r="K205" s="16"/>
      <c r="L205" s="16"/>
      <c r="M205" s="16"/>
      <c r="N205" s="16"/>
      <c r="O205" s="16"/>
      <c r="P205" s="16"/>
      <c r="Q205" s="16"/>
      <c r="R205" s="16"/>
      <c r="S205" s="16"/>
      <c r="T205" s="16"/>
      <c r="U205" s="16"/>
      <c r="V205" s="16"/>
      <c r="W205" s="16"/>
      <c r="X205" s="16"/>
      <c r="Y205" s="16"/>
      <c r="Z205" s="16"/>
      <c r="AA205" s="16"/>
      <c r="AB205" s="16"/>
      <c r="AC205" s="16"/>
      <c r="AD205" s="16"/>
    </row>
    <row r="206" ht="13.5" customHeight="1" spans="1:30" x14ac:dyDescent="0.25">
      <c r="A206" s="17"/>
      <c r="B206" s="16"/>
      <c r="C206" s="878">
        <v>44400</v>
      </c>
      <c r="D206" s="879">
        <v>200.839996</v>
      </c>
      <c r="E206" s="874">
        <v>3358100</v>
      </c>
      <c r="F206" s="16"/>
      <c r="G206" s="16"/>
      <c r="H206" s="16"/>
      <c r="I206" s="16"/>
      <c r="J206" s="16"/>
      <c r="K206" s="16"/>
      <c r="L206" s="16"/>
      <c r="M206" s="16"/>
      <c r="N206" s="16"/>
      <c r="O206" s="16"/>
      <c r="P206" s="16"/>
      <c r="Q206" s="16"/>
      <c r="R206" s="16"/>
      <c r="S206" s="16"/>
      <c r="T206" s="16"/>
      <c r="U206" s="16"/>
      <c r="V206" s="16"/>
      <c r="W206" s="16"/>
      <c r="X206" s="16"/>
      <c r="Y206" s="16"/>
      <c r="Z206" s="16"/>
      <c r="AA206" s="16"/>
      <c r="AB206" s="16"/>
      <c r="AC206" s="16"/>
      <c r="AD206" s="16"/>
    </row>
    <row r="207" ht="13.5" customHeight="1" spans="1:30" x14ac:dyDescent="0.25">
      <c r="A207" s="17"/>
      <c r="B207" s="16"/>
      <c r="C207" s="878">
        <v>44399</v>
      </c>
      <c r="D207" s="879">
        <v>196.770004</v>
      </c>
      <c r="E207" s="874">
        <v>3244100</v>
      </c>
      <c r="F207" s="16"/>
      <c r="G207" s="16"/>
      <c r="H207" s="16"/>
      <c r="I207" s="16"/>
      <c r="J207" s="16"/>
      <c r="K207" s="16"/>
      <c r="L207" s="16"/>
      <c r="M207" s="16"/>
      <c r="N207" s="16"/>
      <c r="O207" s="16"/>
      <c r="P207" s="16"/>
      <c r="Q207" s="16"/>
      <c r="R207" s="16"/>
      <c r="S207" s="16"/>
      <c r="T207" s="16"/>
      <c r="U207" s="16"/>
      <c r="V207" s="16"/>
      <c r="W207" s="16"/>
      <c r="X207" s="16"/>
      <c r="Y207" s="16"/>
      <c r="Z207" s="16"/>
      <c r="AA207" s="16"/>
      <c r="AB207" s="16"/>
      <c r="AC207" s="16"/>
      <c r="AD207" s="16"/>
    </row>
    <row r="208" ht="13.5" customHeight="1" spans="1:30" x14ac:dyDescent="0.25">
      <c r="A208" s="17"/>
      <c r="B208" s="16"/>
      <c r="C208" s="878">
        <v>44398</v>
      </c>
      <c r="D208" s="879">
        <v>195.130005</v>
      </c>
      <c r="E208" s="874">
        <v>2112900</v>
      </c>
      <c r="F208" s="16"/>
      <c r="G208" s="16"/>
      <c r="H208" s="16"/>
      <c r="I208" s="16"/>
      <c r="J208" s="16"/>
      <c r="K208" s="16"/>
      <c r="L208" s="16"/>
      <c r="M208" s="16"/>
      <c r="N208" s="16"/>
      <c r="O208" s="16"/>
      <c r="P208" s="16"/>
      <c r="Q208" s="16"/>
      <c r="R208" s="16"/>
      <c r="S208" s="16"/>
      <c r="T208" s="16"/>
      <c r="U208" s="16"/>
      <c r="V208" s="16"/>
      <c r="W208" s="16"/>
      <c r="X208" s="16"/>
      <c r="Y208" s="16"/>
      <c r="Z208" s="16"/>
      <c r="AA208" s="16"/>
      <c r="AB208" s="16"/>
      <c r="AC208" s="16"/>
      <c r="AD208" s="16"/>
    </row>
    <row r="209" ht="13.5" customHeight="1" spans="1:30" x14ac:dyDescent="0.25">
      <c r="A209" s="17"/>
      <c r="B209" s="16"/>
      <c r="C209" s="878">
        <v>44397</v>
      </c>
      <c r="D209" s="879">
        <v>194.110001</v>
      </c>
      <c r="E209" s="874">
        <v>2882400</v>
      </c>
      <c r="F209" s="16"/>
      <c r="G209" s="16"/>
      <c r="H209" s="16"/>
      <c r="I209" s="16"/>
      <c r="J209" s="16"/>
      <c r="K209" s="16"/>
      <c r="L209" s="16"/>
      <c r="M209" s="16"/>
      <c r="N209" s="16"/>
      <c r="O209" s="16"/>
      <c r="P209" s="16"/>
      <c r="Q209" s="16"/>
      <c r="R209" s="16"/>
      <c r="S209" s="16"/>
      <c r="T209" s="16"/>
      <c r="U209" s="16"/>
      <c r="V209" s="16"/>
      <c r="W209" s="16"/>
      <c r="X209" s="16"/>
      <c r="Y209" s="16"/>
      <c r="Z209" s="16"/>
      <c r="AA209" s="16"/>
      <c r="AB209" s="16"/>
      <c r="AC209" s="16"/>
      <c r="AD209" s="16"/>
    </row>
    <row r="210" ht="13.5" customHeight="1" spans="1:30" x14ac:dyDescent="0.25">
      <c r="A210" s="17"/>
      <c r="B210" s="16"/>
      <c r="C210" s="878">
        <v>44396</v>
      </c>
      <c r="D210" s="879">
        <v>192.099991</v>
      </c>
      <c r="E210" s="874">
        <v>5214000</v>
      </c>
      <c r="F210" s="16"/>
      <c r="G210" s="16"/>
      <c r="H210" s="16"/>
      <c r="I210" s="16"/>
      <c r="J210" s="16"/>
      <c r="K210" s="16"/>
      <c r="L210" s="16"/>
      <c r="M210" s="16"/>
      <c r="N210" s="16"/>
      <c r="O210" s="16"/>
      <c r="P210" s="16"/>
      <c r="Q210" s="16"/>
      <c r="R210" s="16"/>
      <c r="S210" s="16"/>
      <c r="T210" s="16"/>
      <c r="U210" s="16"/>
      <c r="V210" s="16"/>
      <c r="W210" s="16"/>
      <c r="X210" s="16"/>
      <c r="Y210" s="16"/>
      <c r="Z210" s="16"/>
      <c r="AA210" s="16"/>
      <c r="AB210" s="16"/>
      <c r="AC210" s="16"/>
      <c r="AD210" s="16"/>
    </row>
    <row r="211" ht="13.5" customHeight="1" spans="1:30" x14ac:dyDescent="0.25">
      <c r="A211" s="17"/>
      <c r="B211" s="16"/>
      <c r="C211" s="878">
        <v>44393</v>
      </c>
      <c r="D211" s="879">
        <v>195.326569</v>
      </c>
      <c r="E211" s="874">
        <v>4920700</v>
      </c>
      <c r="F211" s="16"/>
      <c r="G211" s="16"/>
      <c r="H211" s="16"/>
      <c r="I211" s="16"/>
      <c r="J211" s="16"/>
      <c r="K211" s="16"/>
      <c r="L211" s="16"/>
      <c r="M211" s="16"/>
      <c r="N211" s="16"/>
      <c r="O211" s="16"/>
      <c r="P211" s="16"/>
      <c r="Q211" s="16"/>
      <c r="R211" s="16"/>
      <c r="S211" s="16"/>
      <c r="T211" s="16"/>
      <c r="U211" s="16"/>
      <c r="V211" s="16"/>
      <c r="W211" s="16"/>
      <c r="X211" s="16"/>
      <c r="Y211" s="16"/>
      <c r="Z211" s="16"/>
      <c r="AA211" s="16"/>
      <c r="AB211" s="16"/>
      <c r="AC211" s="16"/>
      <c r="AD211" s="16"/>
    </row>
    <row r="212" ht="13.5" customHeight="1" spans="1:30" x14ac:dyDescent="0.25">
      <c r="A212" s="17"/>
      <c r="B212" s="16"/>
      <c r="C212" s="878">
        <v>44392</v>
      </c>
      <c r="D212" s="879">
        <v>194.938187</v>
      </c>
      <c r="E212" s="874">
        <v>3188000</v>
      </c>
      <c r="F212" s="16"/>
      <c r="G212" s="16"/>
      <c r="H212" s="16"/>
      <c r="I212" s="16"/>
      <c r="J212" s="16"/>
      <c r="K212" s="16"/>
      <c r="L212" s="16"/>
      <c r="M212" s="16"/>
      <c r="N212" s="16"/>
      <c r="O212" s="16"/>
      <c r="P212" s="16"/>
      <c r="Q212" s="16"/>
      <c r="R212" s="16"/>
      <c r="S212" s="16"/>
      <c r="T212" s="16"/>
      <c r="U212" s="16"/>
      <c r="V212" s="16"/>
      <c r="W212" s="16"/>
      <c r="X212" s="16"/>
      <c r="Y212" s="16"/>
      <c r="Z212" s="16"/>
      <c r="AA212" s="16"/>
      <c r="AB212" s="16"/>
      <c r="AC212" s="16"/>
      <c r="AD212" s="16"/>
    </row>
    <row r="213" ht="13.5" customHeight="1" spans="1:30" x14ac:dyDescent="0.25">
      <c r="A213" s="17"/>
      <c r="B213" s="16"/>
      <c r="C213" s="878">
        <v>44391</v>
      </c>
      <c r="D213" s="879">
        <v>191.940674</v>
      </c>
      <c r="E213" s="874">
        <v>2943300</v>
      </c>
      <c r="F213" s="16"/>
      <c r="G213" s="16"/>
      <c r="H213" s="16"/>
      <c r="I213" s="16"/>
      <c r="J213" s="16"/>
      <c r="K213" s="16"/>
      <c r="L213" s="16"/>
      <c r="M213" s="16"/>
      <c r="N213" s="16"/>
      <c r="O213" s="16"/>
      <c r="P213" s="16"/>
      <c r="Q213" s="16"/>
      <c r="R213" s="16"/>
      <c r="S213" s="16"/>
      <c r="T213" s="16"/>
      <c r="U213" s="16"/>
      <c r="V213" s="16"/>
      <c r="W213" s="16"/>
      <c r="X213" s="16"/>
      <c r="Y213" s="16"/>
      <c r="Z213" s="16"/>
      <c r="AA213" s="16"/>
      <c r="AB213" s="16"/>
      <c r="AC213" s="16"/>
      <c r="AD213" s="16"/>
    </row>
    <row r="214" ht="13.5" customHeight="1" spans="1:30" x14ac:dyDescent="0.25">
      <c r="A214" s="17"/>
      <c r="B214" s="16"/>
      <c r="C214" s="878">
        <v>44390</v>
      </c>
      <c r="D214" s="879">
        <v>193.474274</v>
      </c>
      <c r="E214" s="874">
        <v>3191900</v>
      </c>
      <c r="F214" s="16"/>
      <c r="G214" s="16"/>
      <c r="H214" s="16"/>
      <c r="I214" s="16"/>
      <c r="J214" s="16"/>
      <c r="K214" s="16"/>
      <c r="L214" s="16"/>
      <c r="M214" s="16"/>
      <c r="N214" s="16"/>
      <c r="O214" s="16"/>
      <c r="P214" s="16"/>
      <c r="Q214" s="16"/>
      <c r="R214" s="16"/>
      <c r="S214" s="16"/>
      <c r="T214" s="16"/>
      <c r="U214" s="16"/>
      <c r="V214" s="16"/>
      <c r="W214" s="16"/>
      <c r="X214" s="16"/>
      <c r="Y214" s="16"/>
      <c r="Z214" s="16"/>
      <c r="AA214" s="16"/>
      <c r="AB214" s="16"/>
      <c r="AC214" s="16"/>
      <c r="AD214" s="16"/>
    </row>
    <row r="215" ht="13.5" customHeight="1" spans="1:30" x14ac:dyDescent="0.25">
      <c r="A215" s="17"/>
      <c r="B215" s="16"/>
      <c r="C215" s="878">
        <v>44389</v>
      </c>
      <c r="D215" s="879">
        <v>194.758926</v>
      </c>
      <c r="E215" s="874">
        <v>2405600</v>
      </c>
      <c r="F215" s="16"/>
      <c r="G215" s="16"/>
      <c r="H215" s="16"/>
      <c r="I215" s="16"/>
      <c r="J215" s="16"/>
      <c r="K215" s="16"/>
      <c r="L215" s="16"/>
      <c r="M215" s="16"/>
      <c r="N215" s="16"/>
      <c r="O215" s="16"/>
      <c r="P215" s="16"/>
      <c r="Q215" s="16"/>
      <c r="R215" s="16"/>
      <c r="S215" s="16"/>
      <c r="T215" s="16"/>
      <c r="U215" s="16"/>
      <c r="V215" s="16"/>
      <c r="W215" s="16"/>
      <c r="X215" s="16"/>
      <c r="Y215" s="16"/>
      <c r="Z215" s="16"/>
      <c r="AA215" s="16"/>
      <c r="AB215" s="16"/>
      <c r="AC215" s="16"/>
      <c r="AD215" s="16"/>
    </row>
    <row r="216" ht="13.5" customHeight="1" spans="1:30" x14ac:dyDescent="0.25">
      <c r="A216" s="17"/>
      <c r="B216" s="16"/>
      <c r="C216" s="878">
        <v>44386</v>
      </c>
      <c r="D216" s="879">
        <v>194.519928</v>
      </c>
      <c r="E216" s="874">
        <v>2436300</v>
      </c>
      <c r="F216" s="16"/>
      <c r="G216" s="16"/>
      <c r="H216" s="16"/>
      <c r="I216" s="16"/>
      <c r="J216" s="16"/>
      <c r="K216" s="16"/>
      <c r="L216" s="16"/>
      <c r="M216" s="16"/>
      <c r="N216" s="16"/>
      <c r="O216" s="16"/>
      <c r="P216" s="16"/>
      <c r="Q216" s="16"/>
      <c r="R216" s="16"/>
      <c r="S216" s="16"/>
      <c r="T216" s="16"/>
      <c r="U216" s="16"/>
      <c r="V216" s="16"/>
      <c r="W216" s="16"/>
      <c r="X216" s="16"/>
      <c r="Y216" s="16"/>
      <c r="Z216" s="16"/>
      <c r="AA216" s="16"/>
      <c r="AB216" s="16"/>
      <c r="AC216" s="16"/>
      <c r="AD216" s="16"/>
    </row>
    <row r="217" ht="13.5" customHeight="1" spans="1:30" x14ac:dyDescent="0.25">
      <c r="A217" s="17"/>
      <c r="B217" s="16"/>
      <c r="C217" s="878">
        <v>44385</v>
      </c>
      <c r="D217" s="879">
        <v>192.000412</v>
      </c>
      <c r="E217" s="874">
        <v>3993600</v>
      </c>
      <c r="F217" s="16"/>
      <c r="G217" s="16"/>
      <c r="H217" s="16"/>
      <c r="I217" s="16"/>
      <c r="J217" s="16"/>
      <c r="K217" s="16"/>
      <c r="L217" s="16"/>
      <c r="M217" s="16"/>
      <c r="N217" s="16"/>
      <c r="O217" s="16"/>
      <c r="P217" s="16"/>
      <c r="Q217" s="16"/>
      <c r="R217" s="16"/>
      <c r="S217" s="16"/>
      <c r="T217" s="16"/>
      <c r="U217" s="16"/>
      <c r="V217" s="16"/>
      <c r="W217" s="16"/>
      <c r="X217" s="16"/>
      <c r="Y217" s="16"/>
      <c r="Z217" s="16"/>
      <c r="AA217" s="16"/>
      <c r="AB217" s="16"/>
      <c r="AC217" s="16"/>
      <c r="AD217" s="16"/>
    </row>
    <row r="218" ht="13.5" customHeight="1" spans="1:30" x14ac:dyDescent="0.25">
      <c r="A218" s="17"/>
      <c r="B218" s="16"/>
      <c r="C218" s="878">
        <v>44384</v>
      </c>
      <c r="D218" s="879">
        <v>195.067642</v>
      </c>
      <c r="E218" s="874">
        <v>3647100</v>
      </c>
      <c r="F218" s="16"/>
      <c r="G218" s="16"/>
      <c r="H218" s="16"/>
      <c r="I218" s="16"/>
      <c r="J218" s="16"/>
      <c r="K218" s="16"/>
      <c r="L218" s="16"/>
      <c r="M218" s="16"/>
      <c r="N218" s="16"/>
      <c r="O218" s="16"/>
      <c r="P218" s="16"/>
      <c r="Q218" s="16"/>
      <c r="R218" s="16"/>
      <c r="S218" s="16"/>
      <c r="T218" s="16"/>
      <c r="U218" s="16"/>
      <c r="V218" s="16"/>
      <c r="W218" s="16"/>
      <c r="X218" s="16"/>
      <c r="Y218" s="16"/>
      <c r="Z218" s="16"/>
      <c r="AA218" s="16"/>
      <c r="AB218" s="16"/>
      <c r="AC218" s="16"/>
      <c r="AD218" s="16"/>
    </row>
    <row r="219" ht="13.5" customHeight="1" spans="1:30" x14ac:dyDescent="0.25">
      <c r="A219" s="17"/>
      <c r="B219" s="16"/>
      <c r="C219" s="878">
        <v>44383</v>
      </c>
      <c r="D219" s="879">
        <v>193.942322</v>
      </c>
      <c r="E219" s="874">
        <v>2588300</v>
      </c>
      <c r="F219" s="16"/>
      <c r="G219" s="16"/>
      <c r="H219" s="16"/>
      <c r="I219" s="16"/>
      <c r="J219" s="16"/>
      <c r="K219" s="16"/>
      <c r="L219" s="16"/>
      <c r="M219" s="16"/>
      <c r="N219" s="16"/>
      <c r="O219" s="16"/>
      <c r="P219" s="16"/>
      <c r="Q219" s="16"/>
      <c r="R219" s="16"/>
      <c r="S219" s="16"/>
      <c r="T219" s="16"/>
      <c r="U219" s="16"/>
      <c r="V219" s="16"/>
      <c r="W219" s="16"/>
      <c r="X219" s="16"/>
      <c r="Y219" s="16"/>
      <c r="Z219" s="16"/>
      <c r="AA219" s="16"/>
      <c r="AB219" s="16"/>
      <c r="AC219" s="16"/>
      <c r="AD219" s="16"/>
    </row>
    <row r="220" ht="13.5" customHeight="1" spans="1:30" x14ac:dyDescent="0.25">
      <c r="A220" s="17"/>
      <c r="B220" s="16"/>
      <c r="C220" s="878">
        <v>44379</v>
      </c>
      <c r="D220" s="879">
        <v>194.898346</v>
      </c>
      <c r="E220" s="874">
        <v>2553000</v>
      </c>
      <c r="F220" s="16"/>
      <c r="G220" s="16"/>
      <c r="H220" s="16"/>
      <c r="I220" s="16"/>
      <c r="J220" s="16"/>
      <c r="K220" s="16"/>
      <c r="L220" s="16"/>
      <c r="M220" s="16"/>
      <c r="N220" s="16"/>
      <c r="O220" s="16"/>
      <c r="P220" s="16"/>
      <c r="Q220" s="16"/>
      <c r="R220" s="16"/>
      <c r="S220" s="16"/>
      <c r="T220" s="16"/>
      <c r="U220" s="16"/>
      <c r="V220" s="16"/>
      <c r="W220" s="16"/>
      <c r="X220" s="16"/>
      <c r="Y220" s="16"/>
      <c r="Z220" s="16"/>
      <c r="AA220" s="16"/>
      <c r="AB220" s="16"/>
      <c r="AC220" s="16"/>
      <c r="AD220" s="16"/>
    </row>
    <row r="221" ht="13.5" customHeight="1" spans="1:30" x14ac:dyDescent="0.25">
      <c r="A221" s="17"/>
      <c r="B221" s="16"/>
      <c r="C221" s="878">
        <v>44378</v>
      </c>
      <c r="D221" s="879">
        <v>195.007889</v>
      </c>
      <c r="E221" s="874">
        <v>2456300</v>
      </c>
      <c r="F221" s="16"/>
      <c r="G221" s="16"/>
      <c r="H221" s="16"/>
      <c r="I221" s="16"/>
      <c r="J221" s="16"/>
      <c r="K221" s="16"/>
      <c r="L221" s="16"/>
      <c r="M221" s="16"/>
      <c r="N221" s="16"/>
      <c r="O221" s="16"/>
      <c r="P221" s="16"/>
      <c r="Q221" s="16"/>
      <c r="R221" s="16"/>
      <c r="S221" s="16"/>
      <c r="T221" s="16"/>
      <c r="U221" s="16"/>
      <c r="V221" s="16"/>
      <c r="W221" s="16"/>
      <c r="X221" s="16"/>
      <c r="Y221" s="16"/>
      <c r="Z221" s="16"/>
      <c r="AA221" s="16"/>
      <c r="AB221" s="16"/>
      <c r="AC221" s="16"/>
      <c r="AD221" s="16"/>
    </row>
    <row r="222" ht="13.5" customHeight="1" spans="1:30" x14ac:dyDescent="0.25">
      <c r="A222" s="17"/>
      <c r="B222" s="16"/>
      <c r="C222" s="878">
        <v>44377</v>
      </c>
      <c r="D222" s="879">
        <v>193.165558</v>
      </c>
      <c r="E222" s="874">
        <v>2715900</v>
      </c>
      <c r="F222" s="16"/>
      <c r="G222" s="16"/>
      <c r="H222" s="16"/>
      <c r="I222" s="16"/>
      <c r="J222" s="16"/>
      <c r="K222" s="16"/>
      <c r="L222" s="16"/>
      <c r="M222" s="16"/>
      <c r="N222" s="16"/>
      <c r="O222" s="16"/>
      <c r="P222" s="16"/>
      <c r="Q222" s="16"/>
      <c r="R222" s="16"/>
      <c r="S222" s="16"/>
      <c r="T222" s="16"/>
      <c r="U222" s="16"/>
      <c r="V222" s="16"/>
      <c r="W222" s="16"/>
      <c r="X222" s="16"/>
      <c r="Y222" s="16"/>
      <c r="Z222" s="16"/>
      <c r="AA222" s="16"/>
      <c r="AB222" s="16"/>
      <c r="AC222" s="16"/>
      <c r="AD222" s="16"/>
    </row>
    <row r="223" ht="13.5" customHeight="1" spans="1:30" x14ac:dyDescent="0.25">
      <c r="A223" s="17"/>
      <c r="B223" s="16"/>
      <c r="C223" s="878">
        <v>44376</v>
      </c>
      <c r="D223" s="879">
        <v>193.394608</v>
      </c>
      <c r="E223" s="874">
        <v>2628800</v>
      </c>
      <c r="F223" s="16"/>
      <c r="G223" s="16"/>
      <c r="H223" s="16"/>
      <c r="I223" s="16"/>
      <c r="J223" s="16"/>
      <c r="K223" s="16"/>
      <c r="L223" s="16"/>
      <c r="M223" s="16"/>
      <c r="N223" s="16"/>
      <c r="O223" s="16"/>
      <c r="P223" s="16"/>
      <c r="Q223" s="16"/>
      <c r="R223" s="16"/>
      <c r="S223" s="16"/>
      <c r="T223" s="16"/>
      <c r="U223" s="16"/>
      <c r="V223" s="16"/>
      <c r="W223" s="16"/>
      <c r="X223" s="16"/>
      <c r="Y223" s="16"/>
      <c r="Z223" s="16"/>
      <c r="AA223" s="16"/>
      <c r="AB223" s="16"/>
      <c r="AC223" s="16"/>
      <c r="AD223" s="16"/>
    </row>
    <row r="224" ht="13.5" customHeight="1" spans="1:30" x14ac:dyDescent="0.25">
      <c r="A224" s="17"/>
      <c r="B224" s="16"/>
      <c r="C224" s="878">
        <v>44375</v>
      </c>
      <c r="D224" s="879">
        <v>192.408722</v>
      </c>
      <c r="E224" s="874">
        <v>2510600</v>
      </c>
      <c r="F224" s="16"/>
      <c r="G224" s="16"/>
      <c r="H224" s="16"/>
      <c r="I224" s="16"/>
      <c r="J224" s="16"/>
      <c r="K224" s="16"/>
      <c r="L224" s="16"/>
      <c r="M224" s="16"/>
      <c r="N224" s="16"/>
      <c r="O224" s="16"/>
      <c r="P224" s="16"/>
      <c r="Q224" s="16"/>
      <c r="R224" s="16"/>
      <c r="S224" s="16"/>
      <c r="T224" s="16"/>
      <c r="U224" s="16"/>
      <c r="V224" s="16"/>
      <c r="W224" s="16"/>
      <c r="X224" s="16"/>
      <c r="Y224" s="16"/>
      <c r="Z224" s="16"/>
      <c r="AA224" s="16"/>
      <c r="AB224" s="16"/>
      <c r="AC224" s="16"/>
      <c r="AD224" s="16"/>
    </row>
    <row r="225" ht="13.5" customHeight="1" spans="1:30" x14ac:dyDescent="0.25">
      <c r="A225" s="17"/>
      <c r="B225" s="16"/>
      <c r="C225" s="878">
        <v>44372</v>
      </c>
      <c r="D225" s="879">
        <v>191.860992</v>
      </c>
      <c r="E225" s="874">
        <v>4149500</v>
      </c>
      <c r="F225" s="16"/>
      <c r="G225" s="16"/>
      <c r="H225" s="16"/>
      <c r="I225" s="16"/>
      <c r="J225" s="16"/>
      <c r="K225" s="16"/>
      <c r="L225" s="16"/>
      <c r="M225" s="16"/>
      <c r="N225" s="16"/>
      <c r="O225" s="16"/>
      <c r="P225" s="16"/>
      <c r="Q225" s="16"/>
      <c r="R225" s="16"/>
      <c r="S225" s="16"/>
      <c r="T225" s="16"/>
      <c r="U225" s="16"/>
      <c r="V225" s="16"/>
      <c r="W225" s="16"/>
      <c r="X225" s="16"/>
      <c r="Y225" s="16"/>
      <c r="Z225" s="16"/>
      <c r="AA225" s="16"/>
      <c r="AB225" s="16"/>
      <c r="AC225" s="16"/>
      <c r="AD225" s="16"/>
    </row>
    <row r="226" ht="13.5" customHeight="1" spans="1:30" x14ac:dyDescent="0.25">
      <c r="A226" s="17"/>
      <c r="B226" s="16"/>
      <c r="C226" s="878">
        <v>44371</v>
      </c>
      <c r="D226" s="879">
        <v>190.954773</v>
      </c>
      <c r="E226" s="874">
        <v>2767800</v>
      </c>
      <c r="F226" s="16"/>
      <c r="G226" s="16"/>
      <c r="H226" s="16"/>
      <c r="I226" s="16"/>
      <c r="J226" s="16"/>
      <c r="K226" s="16"/>
      <c r="L226" s="16"/>
      <c r="M226" s="16"/>
      <c r="N226" s="16"/>
      <c r="O226" s="16"/>
      <c r="P226" s="16"/>
      <c r="Q226" s="16"/>
      <c r="R226" s="16"/>
      <c r="S226" s="16"/>
      <c r="T226" s="16"/>
      <c r="U226" s="16"/>
      <c r="V226" s="16"/>
      <c r="W226" s="16"/>
      <c r="X226" s="16"/>
      <c r="Y226" s="16"/>
      <c r="Z226" s="16"/>
      <c r="AA226" s="16"/>
      <c r="AB226" s="16"/>
      <c r="AC226" s="16"/>
      <c r="AD226" s="16"/>
    </row>
    <row r="227" ht="13.5" customHeight="1" spans="1:30" x14ac:dyDescent="0.25">
      <c r="A227" s="17"/>
      <c r="B227" s="16"/>
      <c r="C227" s="878">
        <v>44370</v>
      </c>
      <c r="D227" s="879">
        <v>190.34729</v>
      </c>
      <c r="E227" s="874">
        <v>2835900</v>
      </c>
      <c r="F227" s="16"/>
      <c r="G227" s="16"/>
      <c r="H227" s="16"/>
      <c r="I227" s="16"/>
      <c r="J227" s="16"/>
      <c r="K227" s="16"/>
      <c r="L227" s="16"/>
      <c r="M227" s="16"/>
      <c r="N227" s="16"/>
      <c r="O227" s="16"/>
      <c r="P227" s="16"/>
      <c r="Q227" s="16"/>
      <c r="R227" s="16"/>
      <c r="S227" s="16"/>
      <c r="T227" s="16"/>
      <c r="U227" s="16"/>
      <c r="V227" s="16"/>
      <c r="W227" s="16"/>
      <c r="X227" s="16"/>
      <c r="Y227" s="16"/>
      <c r="Z227" s="16"/>
      <c r="AA227" s="16"/>
      <c r="AB227" s="16"/>
      <c r="AC227" s="16"/>
      <c r="AD227" s="16"/>
    </row>
    <row r="228" ht="13.5" customHeight="1" spans="1:30" x14ac:dyDescent="0.25">
      <c r="A228" s="17"/>
      <c r="B228" s="16"/>
      <c r="C228" s="878">
        <v>44369</v>
      </c>
      <c r="D228" s="879">
        <v>190.924896</v>
      </c>
      <c r="E228" s="874">
        <v>3995700</v>
      </c>
      <c r="F228" s="16"/>
      <c r="G228" s="16"/>
      <c r="H228" s="16"/>
      <c r="I228" s="16"/>
      <c r="J228" s="16"/>
      <c r="K228" s="16"/>
      <c r="L228" s="16"/>
      <c r="M228" s="16"/>
      <c r="N228" s="16"/>
      <c r="O228" s="16"/>
      <c r="P228" s="16"/>
      <c r="Q228" s="16"/>
      <c r="R228" s="16"/>
      <c r="S228" s="16"/>
      <c r="T228" s="16"/>
      <c r="U228" s="16"/>
      <c r="V228" s="16"/>
      <c r="W228" s="16"/>
      <c r="X228" s="16"/>
      <c r="Y228" s="16"/>
      <c r="Z228" s="16"/>
      <c r="AA228" s="16"/>
      <c r="AB228" s="16"/>
      <c r="AC228" s="16"/>
      <c r="AD228" s="16"/>
    </row>
    <row r="229" ht="13.5" customHeight="1" spans="1:30" x14ac:dyDescent="0.25">
      <c r="A229" s="17"/>
      <c r="B229" s="16"/>
      <c r="C229" s="878">
        <v>44368</v>
      </c>
      <c r="D229" s="879">
        <v>188.09668</v>
      </c>
      <c r="E229" s="874">
        <v>4539400</v>
      </c>
      <c r="F229" s="16"/>
      <c r="G229" s="16"/>
      <c r="H229" s="16"/>
      <c r="I229" s="16"/>
      <c r="J229" s="16"/>
      <c r="K229" s="16"/>
      <c r="L229" s="16"/>
      <c r="M229" s="16"/>
      <c r="N229" s="16"/>
      <c r="O229" s="16"/>
      <c r="P229" s="16"/>
      <c r="Q229" s="16"/>
      <c r="R229" s="16"/>
      <c r="S229" s="16"/>
      <c r="T229" s="16"/>
      <c r="U229" s="16"/>
      <c r="V229" s="16"/>
      <c r="W229" s="16"/>
      <c r="X229" s="16"/>
      <c r="Y229" s="16"/>
      <c r="Z229" s="16"/>
      <c r="AA229" s="16"/>
      <c r="AB229" s="16"/>
      <c r="AC229" s="16"/>
      <c r="AD229" s="16"/>
    </row>
    <row r="230" ht="13.5" customHeight="1" spans="1:30" x14ac:dyDescent="0.25">
      <c r="A230" s="17"/>
      <c r="B230" s="16"/>
      <c r="C230" s="878">
        <v>44365</v>
      </c>
      <c r="D230" s="879">
        <v>186.104965</v>
      </c>
      <c r="E230" s="874">
        <v>9316900</v>
      </c>
      <c r="F230" s="16"/>
      <c r="G230" s="16"/>
      <c r="H230" s="16"/>
      <c r="I230" s="16"/>
      <c r="J230" s="16"/>
      <c r="K230" s="16"/>
      <c r="L230" s="16"/>
      <c r="M230" s="16"/>
      <c r="N230" s="16"/>
      <c r="O230" s="16"/>
      <c r="P230" s="16"/>
      <c r="Q230" s="16"/>
      <c r="R230" s="16"/>
      <c r="S230" s="16"/>
      <c r="T230" s="16"/>
      <c r="U230" s="16"/>
      <c r="V230" s="16"/>
      <c r="W230" s="16"/>
      <c r="X230" s="16"/>
      <c r="Y230" s="16"/>
      <c r="Z230" s="16"/>
      <c r="AA230" s="16"/>
      <c r="AB230" s="16"/>
      <c r="AC230" s="16"/>
      <c r="AD230" s="16"/>
    </row>
    <row r="231" ht="13.5" customHeight="1" spans="1:30" x14ac:dyDescent="0.25">
      <c r="A231" s="17"/>
      <c r="B231" s="16"/>
      <c r="C231" s="878">
        <v>44364</v>
      </c>
      <c r="D231" s="879">
        <v>186.065125</v>
      </c>
      <c r="E231" s="874">
        <v>4260900</v>
      </c>
      <c r="F231" s="16"/>
      <c r="G231" s="16"/>
      <c r="H231" s="16"/>
      <c r="I231" s="16"/>
      <c r="J231" s="16"/>
      <c r="K231" s="16"/>
      <c r="L231" s="16"/>
      <c r="M231" s="16"/>
      <c r="N231" s="16"/>
      <c r="O231" s="16"/>
      <c r="P231" s="16"/>
      <c r="Q231" s="16"/>
      <c r="R231" s="16"/>
      <c r="S231" s="16"/>
      <c r="T231" s="16"/>
      <c r="U231" s="16"/>
      <c r="V231" s="16"/>
      <c r="W231" s="16"/>
      <c r="X231" s="16"/>
      <c r="Y231" s="16"/>
      <c r="Z231" s="16"/>
      <c r="AA231" s="16"/>
      <c r="AB231" s="16"/>
      <c r="AC231" s="16"/>
      <c r="AD231" s="16"/>
    </row>
    <row r="232" ht="13.5" customHeight="1" spans="1:30" x14ac:dyDescent="0.25">
      <c r="A232" s="17"/>
      <c r="B232" s="16"/>
      <c r="C232" s="878">
        <v>44363</v>
      </c>
      <c r="D232" s="879">
        <v>185.42778</v>
      </c>
      <c r="E232" s="874">
        <v>4175800</v>
      </c>
      <c r="F232" s="16"/>
      <c r="G232" s="16"/>
      <c r="H232" s="16"/>
      <c r="I232" s="16"/>
      <c r="J232" s="16"/>
      <c r="K232" s="16"/>
      <c r="L232" s="16"/>
      <c r="M232" s="16"/>
      <c r="N232" s="16"/>
      <c r="O232" s="16"/>
      <c r="P232" s="16"/>
      <c r="Q232" s="16"/>
      <c r="R232" s="16"/>
      <c r="S232" s="16"/>
      <c r="T232" s="16"/>
      <c r="U232" s="16"/>
      <c r="V232" s="16"/>
      <c r="W232" s="16"/>
      <c r="X232" s="16"/>
      <c r="Y232" s="16"/>
      <c r="Z232" s="16"/>
      <c r="AA232" s="16"/>
      <c r="AB232" s="16"/>
      <c r="AC232" s="16"/>
      <c r="AD232" s="16"/>
    </row>
    <row r="233" ht="13.5" customHeight="1" spans="1:30" x14ac:dyDescent="0.25">
      <c r="A233" s="17"/>
      <c r="B233" s="16"/>
      <c r="C233" s="878">
        <v>44362</v>
      </c>
      <c r="D233" s="879">
        <v>187.10083</v>
      </c>
      <c r="E233" s="874">
        <v>4472600</v>
      </c>
      <c r="F233" s="16"/>
      <c r="G233" s="16"/>
      <c r="H233" s="16"/>
      <c r="I233" s="16"/>
      <c r="J233" s="16"/>
      <c r="K233" s="16"/>
      <c r="L233" s="16"/>
      <c r="M233" s="16"/>
      <c r="N233" s="16"/>
      <c r="O233" s="16"/>
      <c r="P233" s="16"/>
      <c r="Q233" s="16"/>
      <c r="R233" s="16"/>
      <c r="S233" s="16"/>
      <c r="T233" s="16"/>
      <c r="U233" s="16"/>
      <c r="V233" s="16"/>
      <c r="W233" s="16"/>
      <c r="X233" s="16"/>
      <c r="Y233" s="16"/>
      <c r="Z233" s="16"/>
      <c r="AA233" s="16"/>
      <c r="AB233" s="16"/>
      <c r="AC233" s="16"/>
      <c r="AD233" s="16"/>
    </row>
    <row r="234" ht="13.5" customHeight="1" spans="1:30" x14ac:dyDescent="0.25">
      <c r="A234" s="17"/>
      <c r="B234" s="16"/>
      <c r="C234" s="878">
        <v>44361</v>
      </c>
      <c r="D234" s="879">
        <v>188.873444</v>
      </c>
      <c r="E234" s="874">
        <v>3257700</v>
      </c>
      <c r="F234" s="16"/>
      <c r="G234" s="16"/>
      <c r="H234" s="16"/>
      <c r="I234" s="16"/>
      <c r="J234" s="16"/>
      <c r="K234" s="16"/>
      <c r="L234" s="16"/>
      <c r="M234" s="16"/>
      <c r="N234" s="16"/>
      <c r="O234" s="16"/>
      <c r="P234" s="16"/>
      <c r="Q234" s="16"/>
      <c r="R234" s="16"/>
      <c r="S234" s="16"/>
      <c r="T234" s="16"/>
      <c r="U234" s="16"/>
      <c r="V234" s="16"/>
      <c r="W234" s="16"/>
      <c r="X234" s="16"/>
      <c r="Y234" s="16"/>
      <c r="Z234" s="16"/>
      <c r="AA234" s="16"/>
      <c r="AB234" s="16"/>
      <c r="AC234" s="16"/>
      <c r="AD234" s="16"/>
    </row>
    <row r="235" ht="13.5" customHeight="1" spans="1:30" x14ac:dyDescent="0.25">
      <c r="A235" s="17"/>
      <c r="B235" s="16"/>
      <c r="C235" s="878">
        <v>44358</v>
      </c>
      <c r="D235" s="879">
        <v>190.018661</v>
      </c>
      <c r="E235" s="874">
        <v>3127800</v>
      </c>
      <c r="F235" s="16"/>
      <c r="G235" s="16"/>
      <c r="H235" s="16"/>
      <c r="I235" s="16"/>
      <c r="J235" s="16"/>
      <c r="K235" s="16"/>
      <c r="L235" s="16"/>
      <c r="M235" s="16"/>
      <c r="N235" s="16"/>
      <c r="O235" s="16"/>
      <c r="P235" s="16"/>
      <c r="Q235" s="16"/>
      <c r="R235" s="16"/>
      <c r="S235" s="16"/>
      <c r="T235" s="16"/>
      <c r="U235" s="16"/>
      <c r="V235" s="16"/>
      <c r="W235" s="16"/>
      <c r="X235" s="16"/>
      <c r="Y235" s="16"/>
      <c r="Z235" s="16"/>
      <c r="AA235" s="16"/>
      <c r="AB235" s="16"/>
      <c r="AC235" s="16"/>
      <c r="AD235" s="16"/>
    </row>
    <row r="236" ht="13.5" customHeight="1" spans="1:30" x14ac:dyDescent="0.25">
      <c r="A236" s="17"/>
      <c r="B236" s="16"/>
      <c r="C236" s="878">
        <v>44357</v>
      </c>
      <c r="D236" s="879">
        <v>187.997086</v>
      </c>
      <c r="E236" s="874">
        <v>3905800</v>
      </c>
      <c r="F236" s="16"/>
      <c r="G236" s="16"/>
      <c r="H236" s="16"/>
      <c r="I236" s="16"/>
      <c r="J236" s="16"/>
      <c r="K236" s="16"/>
      <c r="L236" s="16"/>
      <c r="M236" s="16"/>
      <c r="N236" s="16"/>
      <c r="O236" s="16"/>
      <c r="P236" s="16"/>
      <c r="Q236" s="16"/>
      <c r="R236" s="16"/>
      <c r="S236" s="16"/>
      <c r="T236" s="16"/>
      <c r="U236" s="16"/>
      <c r="V236" s="16"/>
      <c r="W236" s="16"/>
      <c r="X236" s="16"/>
      <c r="Y236" s="16"/>
      <c r="Z236" s="16"/>
      <c r="AA236" s="16"/>
      <c r="AB236" s="16"/>
      <c r="AC236" s="16"/>
      <c r="AD236" s="16"/>
    </row>
    <row r="237" ht="13.5" customHeight="1" spans="1:30" x14ac:dyDescent="0.25">
      <c r="A237" s="17"/>
      <c r="B237" s="16"/>
      <c r="C237" s="878">
        <v>44356</v>
      </c>
      <c r="D237" s="879">
        <v>189.80954</v>
      </c>
      <c r="E237" s="874">
        <v>3638900</v>
      </c>
      <c r="F237" s="16"/>
      <c r="G237" s="16"/>
      <c r="H237" s="16"/>
      <c r="I237" s="16"/>
      <c r="J237" s="16"/>
      <c r="K237" s="16"/>
      <c r="L237" s="16"/>
      <c r="M237" s="16"/>
      <c r="N237" s="16"/>
      <c r="O237" s="16"/>
      <c r="P237" s="16"/>
      <c r="Q237" s="16"/>
      <c r="R237" s="16"/>
      <c r="S237" s="16"/>
      <c r="T237" s="16"/>
      <c r="U237" s="16"/>
      <c r="V237" s="16"/>
      <c r="W237" s="16"/>
      <c r="X237" s="16"/>
      <c r="Y237" s="16"/>
      <c r="Z237" s="16"/>
      <c r="AA237" s="16"/>
      <c r="AB237" s="16"/>
      <c r="AC237" s="16"/>
      <c r="AD237" s="16"/>
    </row>
    <row r="238" ht="13.5" customHeight="1" spans="1:30" x14ac:dyDescent="0.25">
      <c r="A238" s="17"/>
      <c r="B238" s="16"/>
      <c r="C238" s="878">
        <v>44355</v>
      </c>
      <c r="D238" s="879">
        <v>190.606216</v>
      </c>
      <c r="E238" s="874">
        <v>3604600</v>
      </c>
      <c r="F238" s="16"/>
      <c r="G238" s="16"/>
      <c r="H238" s="16"/>
      <c r="I238" s="16"/>
      <c r="J238" s="16"/>
      <c r="K238" s="16"/>
      <c r="L238" s="16"/>
      <c r="M238" s="16"/>
      <c r="N238" s="16"/>
      <c r="O238" s="16"/>
      <c r="P238" s="16"/>
      <c r="Q238" s="16"/>
      <c r="R238" s="16"/>
      <c r="S238" s="16"/>
      <c r="T238" s="16"/>
      <c r="U238" s="16"/>
      <c r="V238" s="16"/>
      <c r="W238" s="16"/>
      <c r="X238" s="16"/>
      <c r="Y238" s="16"/>
      <c r="Z238" s="16"/>
      <c r="AA238" s="16"/>
      <c r="AB238" s="16"/>
      <c r="AC238" s="16"/>
      <c r="AD238" s="16"/>
    </row>
    <row r="239" ht="13.5" customHeight="1" spans="1:30" x14ac:dyDescent="0.25">
      <c r="A239" s="17"/>
      <c r="B239" s="16"/>
      <c r="C239" s="878">
        <v>44354</v>
      </c>
      <c r="D239" s="879">
        <v>189.460983</v>
      </c>
      <c r="E239" s="874">
        <v>2913500</v>
      </c>
      <c r="F239" s="16"/>
      <c r="G239" s="16"/>
      <c r="H239" s="16"/>
      <c r="I239" s="16"/>
      <c r="J239" s="16"/>
      <c r="K239" s="16"/>
      <c r="L239" s="16"/>
      <c r="M239" s="16"/>
      <c r="N239" s="16"/>
      <c r="O239" s="16"/>
      <c r="P239" s="16"/>
      <c r="Q239" s="16"/>
      <c r="R239" s="16"/>
      <c r="S239" s="16"/>
      <c r="T239" s="16"/>
      <c r="U239" s="16"/>
      <c r="V239" s="16"/>
      <c r="W239" s="16"/>
      <c r="X239" s="16"/>
      <c r="Y239" s="16"/>
      <c r="Z239" s="16"/>
      <c r="AA239" s="16"/>
      <c r="AB239" s="16"/>
      <c r="AC239" s="16"/>
      <c r="AD239" s="16"/>
    </row>
    <row r="240" ht="13.5" customHeight="1" spans="1:30" x14ac:dyDescent="0.25">
      <c r="A240" s="17"/>
      <c r="B240" s="16"/>
      <c r="C240" s="878">
        <v>44351</v>
      </c>
      <c r="D240" s="879">
        <v>189.122406</v>
      </c>
      <c r="E240" s="874">
        <v>4210500</v>
      </c>
      <c r="F240" s="16"/>
      <c r="G240" s="16"/>
      <c r="H240" s="16"/>
      <c r="I240" s="16"/>
      <c r="J240" s="16"/>
      <c r="K240" s="16"/>
      <c r="L240" s="16"/>
      <c r="M240" s="16"/>
      <c r="N240" s="16"/>
      <c r="O240" s="16"/>
      <c r="P240" s="16"/>
      <c r="Q240" s="16"/>
      <c r="R240" s="16"/>
      <c r="S240" s="16"/>
      <c r="T240" s="16"/>
      <c r="U240" s="16"/>
      <c r="V240" s="16"/>
      <c r="W240" s="16"/>
      <c r="X240" s="16"/>
      <c r="Y240" s="16"/>
      <c r="Z240" s="16"/>
      <c r="AA240" s="16"/>
      <c r="AB240" s="16"/>
      <c r="AC240" s="16"/>
      <c r="AD240" s="16"/>
    </row>
    <row r="241" ht="13.5" customHeight="1" spans="1:30" x14ac:dyDescent="0.25">
      <c r="A241" s="17"/>
      <c r="B241" s="16"/>
      <c r="C241" s="878">
        <v>44350</v>
      </c>
      <c r="D241" s="879">
        <v>189.510788</v>
      </c>
      <c r="E241" s="874">
        <v>3469200</v>
      </c>
      <c r="F241" s="16"/>
      <c r="G241" s="16"/>
      <c r="H241" s="16"/>
      <c r="I241" s="16"/>
      <c r="J241" s="16"/>
      <c r="K241" s="16"/>
      <c r="L241" s="16"/>
      <c r="M241" s="16"/>
      <c r="N241" s="16"/>
      <c r="O241" s="16"/>
      <c r="P241" s="16"/>
      <c r="Q241" s="16"/>
      <c r="R241" s="16"/>
      <c r="S241" s="16"/>
      <c r="T241" s="16"/>
      <c r="U241" s="16"/>
      <c r="V241" s="16"/>
      <c r="W241" s="16"/>
      <c r="X241" s="16"/>
      <c r="Y241" s="16"/>
      <c r="Z241" s="16"/>
      <c r="AA241" s="16"/>
      <c r="AB241" s="16"/>
      <c r="AC241" s="16"/>
      <c r="AD241" s="16"/>
    </row>
    <row r="242" ht="13.5" customHeight="1" spans="1:30" x14ac:dyDescent="0.25">
      <c r="A242" s="17"/>
      <c r="B242" s="16"/>
      <c r="C242" s="878">
        <v>44349</v>
      </c>
      <c r="D242" s="879">
        <v>189.978836</v>
      </c>
      <c r="E242" s="874">
        <v>3997700</v>
      </c>
      <c r="F242" s="16"/>
      <c r="G242" s="16"/>
      <c r="H242" s="16"/>
      <c r="I242" s="16"/>
      <c r="J242" s="16"/>
      <c r="K242" s="16"/>
      <c r="L242" s="16"/>
      <c r="M242" s="16"/>
      <c r="N242" s="16"/>
      <c r="O242" s="16"/>
      <c r="P242" s="16"/>
      <c r="Q242" s="16"/>
      <c r="R242" s="16"/>
      <c r="S242" s="16"/>
      <c r="T242" s="16"/>
      <c r="U242" s="16"/>
      <c r="V242" s="16"/>
      <c r="W242" s="16"/>
      <c r="X242" s="16"/>
      <c r="Y242" s="16"/>
      <c r="Z242" s="16"/>
      <c r="AA242" s="16"/>
      <c r="AB242" s="16"/>
      <c r="AC242" s="16"/>
      <c r="AD242" s="16"/>
    </row>
    <row r="243" ht="13.5" customHeight="1" spans="1:30" x14ac:dyDescent="0.25">
      <c r="A243" s="17"/>
      <c r="B243" s="16"/>
      <c r="C243" s="878">
        <v>44348</v>
      </c>
      <c r="D243" s="879">
        <v>191.054367</v>
      </c>
      <c r="E243" s="874">
        <v>4105600</v>
      </c>
      <c r="F243" s="16"/>
      <c r="G243" s="16"/>
      <c r="H243" s="16"/>
      <c r="I243" s="16"/>
      <c r="J243" s="16"/>
      <c r="K243" s="16"/>
      <c r="L243" s="16"/>
      <c r="M243" s="16"/>
      <c r="N243" s="16"/>
      <c r="O243" s="16"/>
      <c r="P243" s="16"/>
      <c r="Q243" s="16"/>
      <c r="R243" s="16"/>
      <c r="S243" s="16"/>
      <c r="T243" s="16"/>
      <c r="U243" s="16"/>
      <c r="V243" s="16"/>
      <c r="W243" s="16"/>
      <c r="X243" s="16"/>
      <c r="Y243" s="16"/>
      <c r="Z243" s="16"/>
      <c r="AA243" s="16"/>
      <c r="AB243" s="16"/>
      <c r="AC243" s="16"/>
      <c r="AD243" s="16"/>
    </row>
    <row r="244" ht="13.5" customHeight="1" spans="1:30" x14ac:dyDescent="0.25">
      <c r="A244" s="17"/>
      <c r="B244" s="16"/>
      <c r="C244" s="878">
        <v>44344</v>
      </c>
      <c r="D244" s="879">
        <v>194.022003</v>
      </c>
      <c r="E244" s="874">
        <v>3619400</v>
      </c>
      <c r="F244" s="16"/>
      <c r="G244" s="16"/>
      <c r="H244" s="16"/>
      <c r="I244" s="16"/>
      <c r="J244" s="16"/>
      <c r="K244" s="16"/>
      <c r="L244" s="16"/>
      <c r="M244" s="16"/>
      <c r="N244" s="16"/>
      <c r="O244" s="16"/>
      <c r="P244" s="16"/>
      <c r="Q244" s="16"/>
      <c r="R244" s="16"/>
      <c r="S244" s="16"/>
      <c r="T244" s="16"/>
      <c r="U244" s="16"/>
      <c r="V244" s="16"/>
      <c r="W244" s="16"/>
      <c r="X244" s="16"/>
      <c r="Y244" s="16"/>
      <c r="Z244" s="16"/>
      <c r="AA244" s="16"/>
      <c r="AB244" s="16"/>
      <c r="AC244" s="16"/>
      <c r="AD244" s="16"/>
    </row>
    <row r="245" ht="13.5" customHeight="1" spans="1:30" x14ac:dyDescent="0.25">
      <c r="A245" s="17"/>
      <c r="B245" s="16"/>
      <c r="C245" s="878">
        <v>44343</v>
      </c>
      <c r="D245" s="879">
        <v>192.9664</v>
      </c>
      <c r="E245" s="874">
        <v>5126500</v>
      </c>
      <c r="F245" s="16"/>
      <c r="G245" s="16"/>
      <c r="H245" s="16"/>
      <c r="I245" s="16"/>
      <c r="J245" s="16"/>
      <c r="K245" s="16"/>
      <c r="L245" s="16"/>
      <c r="M245" s="16"/>
      <c r="N245" s="16"/>
      <c r="O245" s="16"/>
      <c r="P245" s="16"/>
      <c r="Q245" s="16"/>
      <c r="R245" s="16"/>
      <c r="S245" s="16"/>
      <c r="T245" s="16"/>
      <c r="U245" s="16"/>
      <c r="V245" s="16"/>
      <c r="W245" s="16"/>
      <c r="X245" s="16"/>
      <c r="Y245" s="16"/>
      <c r="Z245" s="16"/>
      <c r="AA245" s="16"/>
      <c r="AB245" s="16"/>
      <c r="AC245" s="16"/>
      <c r="AD245" s="16"/>
    </row>
    <row r="246" ht="13.5" customHeight="1" spans="1:30" x14ac:dyDescent="0.25">
      <c r="A246" s="17"/>
      <c r="B246" s="16"/>
      <c r="C246" s="878">
        <v>44342</v>
      </c>
      <c r="D246" s="879">
        <v>192.797104</v>
      </c>
      <c r="E246" s="874">
        <v>3565600</v>
      </c>
      <c r="F246" s="16"/>
      <c r="G246" s="16"/>
      <c r="H246" s="16"/>
      <c r="I246" s="16"/>
      <c r="J246" s="16"/>
      <c r="K246" s="16"/>
      <c r="L246" s="16"/>
      <c r="M246" s="16"/>
      <c r="N246" s="16"/>
      <c r="O246" s="16"/>
      <c r="P246" s="16"/>
      <c r="Q246" s="16"/>
      <c r="R246" s="16"/>
      <c r="S246" s="16"/>
      <c r="T246" s="16"/>
      <c r="U246" s="16"/>
      <c r="V246" s="16"/>
      <c r="W246" s="16"/>
      <c r="X246" s="16"/>
      <c r="Y246" s="16"/>
      <c r="Z246" s="16"/>
      <c r="AA246" s="16"/>
      <c r="AB246" s="16"/>
      <c r="AC246" s="16"/>
      <c r="AD246" s="16"/>
    </row>
    <row r="247" ht="13.5" customHeight="1" spans="1:30" x14ac:dyDescent="0.25">
      <c r="A247" s="17"/>
      <c r="B247" s="16"/>
      <c r="C247" s="878">
        <v>44341</v>
      </c>
      <c r="D247" s="879">
        <v>192.219513</v>
      </c>
      <c r="E247" s="874">
        <v>4089300</v>
      </c>
      <c r="F247" s="16"/>
      <c r="G247" s="16"/>
      <c r="H247" s="16"/>
      <c r="I247" s="16"/>
      <c r="J247" s="16"/>
      <c r="K247" s="16"/>
      <c r="L247" s="16"/>
      <c r="M247" s="16"/>
      <c r="N247" s="16"/>
      <c r="O247" s="16"/>
      <c r="P247" s="16"/>
      <c r="Q247" s="16"/>
      <c r="R247" s="16"/>
      <c r="S247" s="16"/>
      <c r="T247" s="16"/>
      <c r="U247" s="16"/>
      <c r="V247" s="16"/>
      <c r="W247" s="16"/>
      <c r="X247" s="16"/>
      <c r="Y247" s="16"/>
      <c r="Z247" s="16"/>
      <c r="AA247" s="16"/>
      <c r="AB247" s="16"/>
      <c r="AC247" s="16"/>
      <c r="AD247" s="16"/>
    </row>
    <row r="248" ht="13.5" customHeight="1" spans="1:30" x14ac:dyDescent="0.25">
      <c r="A248" s="17"/>
      <c r="B248" s="16"/>
      <c r="C248" s="878">
        <v>44340</v>
      </c>
      <c r="D248" s="879">
        <v>189.869293</v>
      </c>
      <c r="E248" s="874">
        <v>3396200</v>
      </c>
      <c r="F248" s="16"/>
      <c r="G248" s="16"/>
      <c r="H248" s="16"/>
      <c r="I248" s="16"/>
      <c r="J248" s="16"/>
      <c r="K248" s="16"/>
      <c r="L248" s="16"/>
      <c r="M248" s="16"/>
      <c r="N248" s="16"/>
      <c r="O248" s="16"/>
      <c r="P248" s="16"/>
      <c r="Q248" s="16"/>
      <c r="R248" s="16"/>
      <c r="S248" s="16"/>
      <c r="T248" s="16"/>
      <c r="U248" s="16"/>
      <c r="V248" s="16"/>
      <c r="W248" s="16"/>
      <c r="X248" s="16"/>
      <c r="Y248" s="16"/>
      <c r="Z248" s="16"/>
      <c r="AA248" s="16"/>
      <c r="AB248" s="16"/>
      <c r="AC248" s="16"/>
      <c r="AD248" s="16"/>
    </row>
    <row r="249" ht="13.5" customHeight="1" spans="1:30" x14ac:dyDescent="0.25">
      <c r="A249" s="17"/>
      <c r="B249" s="16"/>
      <c r="C249" s="878">
        <v>44337</v>
      </c>
      <c r="D249" s="879">
        <v>191.671783</v>
      </c>
      <c r="E249" s="874">
        <v>4032700</v>
      </c>
      <c r="F249" s="16"/>
      <c r="G249" s="16"/>
      <c r="H249" s="16"/>
      <c r="I249" s="16"/>
      <c r="J249" s="16"/>
      <c r="K249" s="16"/>
      <c r="L249" s="16"/>
      <c r="M249" s="16"/>
      <c r="N249" s="16"/>
      <c r="O249" s="16"/>
      <c r="P249" s="16"/>
      <c r="Q249" s="16"/>
      <c r="R249" s="16"/>
      <c r="S249" s="16"/>
      <c r="T249" s="16"/>
      <c r="U249" s="16"/>
      <c r="V249" s="16"/>
      <c r="W249" s="16"/>
      <c r="X249" s="16"/>
      <c r="Y249" s="16"/>
      <c r="Z249" s="16"/>
      <c r="AA249" s="16"/>
      <c r="AB249" s="16"/>
      <c r="AC249" s="16"/>
      <c r="AD249" s="16"/>
    </row>
    <row r="250" ht="13.5" customHeight="1" spans="1:30" x14ac:dyDescent="0.25">
      <c r="A250" s="17"/>
      <c r="B250" s="16"/>
      <c r="C250" s="878">
        <v>44336</v>
      </c>
      <c r="D250" s="879">
        <v>192.607895</v>
      </c>
      <c r="E250" s="874">
        <v>4397700</v>
      </c>
      <c r="F250" s="16"/>
      <c r="G250" s="16"/>
      <c r="H250" s="16"/>
      <c r="I250" s="16"/>
      <c r="J250" s="16"/>
      <c r="K250" s="16"/>
      <c r="L250" s="16"/>
      <c r="M250" s="16"/>
      <c r="N250" s="16"/>
      <c r="O250" s="16"/>
      <c r="P250" s="16"/>
      <c r="Q250" s="16"/>
      <c r="R250" s="16"/>
      <c r="S250" s="16"/>
      <c r="T250" s="16"/>
      <c r="U250" s="16"/>
      <c r="V250" s="16"/>
      <c r="W250" s="16"/>
      <c r="X250" s="16"/>
      <c r="Y250" s="16"/>
      <c r="Z250" s="16"/>
      <c r="AA250" s="16"/>
      <c r="AB250" s="16"/>
      <c r="AC250" s="16"/>
      <c r="AD250" s="16"/>
    </row>
    <row r="251" ht="13.5" customHeight="1" spans="1:30" x14ac:dyDescent="0.25">
      <c r="A251" s="17"/>
      <c r="B251" s="16"/>
      <c r="C251" s="878">
        <v>44335</v>
      </c>
      <c r="D251" s="879">
        <v>189.929047</v>
      </c>
      <c r="E251" s="874">
        <v>6797900</v>
      </c>
      <c r="F251" s="16"/>
      <c r="G251" s="16"/>
      <c r="H251" s="16"/>
      <c r="I251" s="16"/>
      <c r="J251" s="16"/>
      <c r="K251" s="16"/>
      <c r="L251" s="16"/>
      <c r="M251" s="16"/>
      <c r="N251" s="16"/>
      <c r="O251" s="16"/>
      <c r="P251" s="16"/>
      <c r="Q251" s="16"/>
      <c r="R251" s="16"/>
      <c r="S251" s="16"/>
      <c r="T251" s="16"/>
      <c r="U251" s="16"/>
      <c r="V251" s="16"/>
      <c r="W251" s="16"/>
      <c r="X251" s="16"/>
      <c r="Y251" s="16"/>
      <c r="Z251" s="16"/>
      <c r="AA251" s="16"/>
      <c r="AB251" s="16"/>
      <c r="AC251" s="16"/>
      <c r="AD251" s="16"/>
    </row>
    <row r="252" ht="13.5" customHeight="1" spans="1:30" x14ac:dyDescent="0.25">
      <c r="A252" s="17"/>
      <c r="B252" s="16"/>
      <c r="C252" s="878">
        <v>44334</v>
      </c>
      <c r="D252" s="879">
        <v>191.950623</v>
      </c>
      <c r="E252" s="874">
        <v>5691500</v>
      </c>
      <c r="F252" s="16"/>
      <c r="G252" s="16"/>
      <c r="H252" s="16"/>
      <c r="I252" s="16"/>
      <c r="J252" s="16"/>
      <c r="K252" s="16"/>
      <c r="L252" s="16"/>
      <c r="M252" s="16"/>
      <c r="N252" s="16"/>
      <c r="O252" s="16"/>
      <c r="P252" s="16"/>
      <c r="Q252" s="16"/>
      <c r="R252" s="16"/>
      <c r="S252" s="16"/>
      <c r="T252" s="16"/>
      <c r="U252" s="16"/>
      <c r="V252" s="16"/>
      <c r="W252" s="16"/>
      <c r="X252" s="16"/>
      <c r="Y252" s="16"/>
      <c r="Z252" s="16"/>
      <c r="AA252" s="16"/>
      <c r="AB252" s="16"/>
      <c r="AC252" s="16"/>
      <c r="AD252" s="16"/>
    </row>
    <row r="253" ht="13.5" customHeight="1" spans="1:30" x14ac:dyDescent="0.25">
      <c r="A253" s="17"/>
      <c r="B253" s="16"/>
      <c r="C253" s="878">
        <v>44333</v>
      </c>
      <c r="D253" s="879">
        <v>193.324905</v>
      </c>
      <c r="E253" s="874">
        <v>5798800</v>
      </c>
      <c r="F253" s="16"/>
      <c r="G253" s="16"/>
      <c r="H253" s="16"/>
      <c r="I253" s="16"/>
      <c r="J253" s="16"/>
      <c r="K253" s="16"/>
      <c r="L253" s="16"/>
      <c r="M253" s="16"/>
      <c r="N253" s="16"/>
      <c r="O253" s="16"/>
      <c r="P253" s="16"/>
      <c r="Q253" s="16"/>
      <c r="R253" s="16"/>
      <c r="S253" s="16"/>
      <c r="T253" s="16"/>
      <c r="U253" s="16"/>
      <c r="V253" s="16"/>
      <c r="W253" s="16"/>
      <c r="X253" s="16"/>
      <c r="Y253" s="16"/>
      <c r="Z253" s="16"/>
      <c r="AA253" s="16"/>
      <c r="AB253" s="16"/>
      <c r="AC253" s="16"/>
      <c r="AD253" s="16"/>
    </row>
    <row r="254" ht="13.5" customHeight="1" spans="1:30" x14ac:dyDescent="0.25">
      <c r="A254" s="17"/>
      <c r="B254" s="16"/>
      <c r="C254" s="878">
        <v>44330</v>
      </c>
      <c r="D254" s="879">
        <v>198.085083</v>
      </c>
      <c r="E254" s="874">
        <v>3743000</v>
      </c>
      <c r="F254" s="16"/>
      <c r="G254" s="16"/>
      <c r="H254" s="16"/>
      <c r="I254" s="16"/>
      <c r="J254" s="16"/>
      <c r="K254" s="16"/>
      <c r="L254" s="16"/>
      <c r="M254" s="16"/>
      <c r="N254" s="16"/>
      <c r="O254" s="16"/>
      <c r="P254" s="16"/>
      <c r="Q254" s="16"/>
      <c r="R254" s="16"/>
      <c r="S254" s="16"/>
      <c r="T254" s="16"/>
      <c r="U254" s="16"/>
      <c r="V254" s="16"/>
      <c r="W254" s="16"/>
      <c r="X254" s="16"/>
      <c r="Y254" s="16"/>
      <c r="Z254" s="16"/>
      <c r="AA254" s="16"/>
      <c r="AB254" s="16"/>
      <c r="AC254" s="16"/>
      <c r="AD254" s="16"/>
    </row>
    <row r="255" ht="13.5" customHeight="1" spans="1:30" x14ac:dyDescent="0.25">
      <c r="A255" s="17"/>
      <c r="B255" s="16"/>
      <c r="C255" s="878">
        <v>44329</v>
      </c>
      <c r="D255" s="879">
        <v>199.50914</v>
      </c>
      <c r="E255" s="874">
        <v>4494000</v>
      </c>
      <c r="F255" s="16"/>
      <c r="G255" s="16"/>
      <c r="H255" s="16"/>
      <c r="I255" s="16"/>
      <c r="J255" s="16"/>
      <c r="K255" s="16"/>
      <c r="L255" s="16"/>
      <c r="M255" s="16"/>
      <c r="N255" s="16"/>
      <c r="O255" s="16"/>
      <c r="P255" s="16"/>
      <c r="Q255" s="16"/>
      <c r="R255" s="16"/>
      <c r="S255" s="16"/>
      <c r="T255" s="16"/>
      <c r="U255" s="16"/>
      <c r="V255" s="16"/>
      <c r="W255" s="16"/>
      <c r="X255" s="16"/>
      <c r="Y255" s="16"/>
      <c r="Z255" s="16"/>
      <c r="AA255" s="16"/>
      <c r="AB255" s="16"/>
      <c r="AC255" s="16"/>
      <c r="AD255" s="16"/>
    </row>
    <row r="256" ht="13.5" customHeight="1" spans="1:30" x14ac:dyDescent="0.25">
      <c r="A256" s="17"/>
      <c r="B256" s="16"/>
      <c r="C256" s="878">
        <v>44328</v>
      </c>
      <c r="D256" s="879">
        <v>194.72905</v>
      </c>
      <c r="E256" s="874">
        <v>5406600</v>
      </c>
      <c r="F256" s="16"/>
      <c r="G256" s="16"/>
      <c r="H256" s="16"/>
      <c r="I256" s="16"/>
      <c r="J256" s="16"/>
      <c r="K256" s="16"/>
      <c r="L256" s="16"/>
      <c r="M256" s="16"/>
      <c r="N256" s="16"/>
      <c r="O256" s="16"/>
      <c r="P256" s="16"/>
      <c r="Q256" s="16"/>
      <c r="R256" s="16"/>
      <c r="S256" s="16"/>
      <c r="T256" s="16"/>
      <c r="U256" s="16"/>
      <c r="V256" s="16"/>
      <c r="W256" s="16"/>
      <c r="X256" s="16"/>
      <c r="Y256" s="16"/>
      <c r="Z256" s="16"/>
      <c r="AA256" s="16"/>
      <c r="AB256" s="16"/>
      <c r="AC256" s="16"/>
      <c r="AD256" s="16"/>
    </row>
    <row r="257" ht="13.5" customHeight="1" spans="1:30" x14ac:dyDescent="0.25">
      <c r="A257" s="17"/>
      <c r="B257" s="16"/>
      <c r="C257" s="878">
        <v>44327</v>
      </c>
      <c r="D257" s="879">
        <v>204.488403</v>
      </c>
      <c r="E257" s="874">
        <v>4449200</v>
      </c>
      <c r="F257" s="16"/>
      <c r="G257" s="16"/>
      <c r="H257" s="16"/>
      <c r="I257" s="16"/>
      <c r="J257" s="16"/>
      <c r="K257" s="16"/>
      <c r="L257" s="16"/>
      <c r="M257" s="16"/>
      <c r="N257" s="16"/>
      <c r="O257" s="16"/>
      <c r="P257" s="16"/>
      <c r="Q257" s="16"/>
      <c r="R257" s="16"/>
      <c r="S257" s="16"/>
      <c r="T257" s="16"/>
      <c r="U257" s="16"/>
      <c r="V257" s="16"/>
      <c r="W257" s="16"/>
      <c r="X257" s="16"/>
      <c r="Y257" s="16"/>
      <c r="Z257" s="16"/>
      <c r="AA257" s="16"/>
      <c r="AB257" s="16"/>
      <c r="AC257" s="16"/>
      <c r="AD257" s="16"/>
    </row>
    <row r="258" ht="13.5" customHeight="1" spans="1:30" x14ac:dyDescent="0.25">
      <c r="A258" s="17"/>
      <c r="B258" s="16"/>
      <c r="C258" s="878">
        <v>44326</v>
      </c>
      <c r="D258" s="879">
        <v>210.43364</v>
      </c>
      <c r="E258" s="874">
        <v>4476900</v>
      </c>
      <c r="F258" s="16"/>
      <c r="G258" s="16"/>
      <c r="H258" s="16"/>
      <c r="I258" s="16"/>
      <c r="J258" s="16"/>
      <c r="K258" s="16"/>
      <c r="L258" s="16"/>
      <c r="M258" s="16"/>
      <c r="N258" s="16"/>
      <c r="O258" s="16"/>
      <c r="P258" s="16"/>
      <c r="Q258" s="16"/>
      <c r="R258" s="16"/>
      <c r="S258" s="16"/>
      <c r="T258" s="16"/>
      <c r="U258" s="16"/>
      <c r="V258" s="16"/>
      <c r="W258" s="16"/>
      <c r="X258" s="16"/>
      <c r="Y258" s="16"/>
      <c r="Z258" s="16"/>
      <c r="AA258" s="16"/>
      <c r="AB258" s="16"/>
      <c r="AC258" s="16"/>
      <c r="AD258" s="16"/>
    </row>
    <row r="259" ht="13.5" customHeight="1" spans="1:30" x14ac:dyDescent="0.25">
      <c r="A259" s="17"/>
      <c r="B259" s="16"/>
      <c r="C259" s="878">
        <v>44323</v>
      </c>
      <c r="D259" s="879">
        <v>207.535706</v>
      </c>
      <c r="E259" s="874">
        <v>3694800</v>
      </c>
      <c r="F259" s="16"/>
      <c r="G259" s="16"/>
      <c r="H259" s="16"/>
      <c r="I259" s="16"/>
      <c r="J259" s="16"/>
      <c r="K259" s="16"/>
      <c r="L259" s="16"/>
      <c r="M259" s="16"/>
      <c r="N259" s="16"/>
      <c r="O259" s="16"/>
      <c r="P259" s="16"/>
      <c r="Q259" s="16"/>
      <c r="R259" s="16"/>
      <c r="S259" s="16"/>
      <c r="T259" s="16"/>
      <c r="U259" s="16"/>
      <c r="V259" s="16"/>
      <c r="W259" s="16"/>
      <c r="X259" s="16"/>
      <c r="Y259" s="16"/>
      <c r="Z259" s="16"/>
      <c r="AA259" s="16"/>
      <c r="AB259" s="16"/>
      <c r="AC259" s="16"/>
      <c r="AD259" s="16"/>
    </row>
    <row r="260" ht="13.5" customHeight="1" spans="1:30" x14ac:dyDescent="0.25">
      <c r="A260" s="17"/>
      <c r="B260" s="16"/>
      <c r="C260" s="878">
        <v>44322</v>
      </c>
      <c r="D260" s="879">
        <v>205.085922</v>
      </c>
      <c r="E260" s="874">
        <v>4525200</v>
      </c>
      <c r="F260" s="16"/>
      <c r="G260" s="16"/>
      <c r="H260" s="16"/>
      <c r="I260" s="16"/>
      <c r="J260" s="16"/>
      <c r="K260" s="16"/>
      <c r="L260" s="16"/>
      <c r="M260" s="16"/>
      <c r="N260" s="16"/>
      <c r="O260" s="16"/>
      <c r="P260" s="16"/>
      <c r="Q260" s="16"/>
      <c r="R260" s="16"/>
      <c r="S260" s="16"/>
      <c r="T260" s="16"/>
      <c r="U260" s="16"/>
      <c r="V260" s="16"/>
      <c r="W260" s="16"/>
      <c r="X260" s="16"/>
      <c r="Y260" s="16"/>
      <c r="Z260" s="16"/>
      <c r="AA260" s="16"/>
      <c r="AB260" s="16"/>
      <c r="AC260" s="16"/>
      <c r="AD260" s="16"/>
    </row>
    <row r="261" ht="13.5" customHeight="1" spans="1:30" x14ac:dyDescent="0.25">
      <c r="A261" s="17"/>
      <c r="B261" s="16"/>
      <c r="C261" s="878">
        <v>44321</v>
      </c>
      <c r="D261" s="879">
        <v>199.170547</v>
      </c>
      <c r="E261" s="874">
        <v>3715300</v>
      </c>
      <c r="F261" s="16"/>
      <c r="G261" s="16"/>
      <c r="H261" s="16"/>
      <c r="I261" s="16"/>
      <c r="J261" s="16"/>
      <c r="K261" s="16"/>
      <c r="L261" s="16"/>
      <c r="M261" s="16"/>
      <c r="N261" s="16"/>
      <c r="O261" s="16"/>
      <c r="P261" s="16"/>
      <c r="Q261" s="16"/>
      <c r="R261" s="16"/>
      <c r="S261" s="16"/>
      <c r="T261" s="16"/>
      <c r="U261" s="16"/>
      <c r="V261" s="16"/>
      <c r="W261" s="16"/>
      <c r="X261" s="16"/>
      <c r="Y261" s="16"/>
      <c r="Z261" s="16"/>
      <c r="AA261" s="16"/>
      <c r="AB261" s="16"/>
      <c r="AC261" s="16"/>
      <c r="AD261" s="16"/>
    </row>
    <row r="262" ht="13.5" customHeight="1" spans="1:30" x14ac:dyDescent="0.25">
      <c r="A262" s="17"/>
      <c r="B262" s="16"/>
      <c r="C262" s="878">
        <v>44320</v>
      </c>
      <c r="D262" s="879">
        <v>199.469315</v>
      </c>
      <c r="E262" s="874">
        <v>4150100</v>
      </c>
      <c r="F262" s="16"/>
      <c r="G262" s="16"/>
      <c r="H262" s="16"/>
      <c r="I262" s="16"/>
      <c r="J262" s="16"/>
      <c r="K262" s="16"/>
      <c r="L262" s="16"/>
      <c r="M262" s="16"/>
      <c r="N262" s="16"/>
      <c r="O262" s="16"/>
      <c r="P262" s="16"/>
      <c r="Q262" s="16"/>
      <c r="R262" s="16"/>
      <c r="S262" s="16"/>
      <c r="T262" s="16"/>
      <c r="U262" s="16"/>
      <c r="V262" s="16"/>
      <c r="W262" s="16"/>
      <c r="X262" s="16"/>
      <c r="Y262" s="16"/>
      <c r="Z262" s="16"/>
      <c r="AA262" s="16"/>
      <c r="AB262" s="16"/>
      <c r="AC262" s="16"/>
      <c r="AD262" s="16"/>
    </row>
    <row r="263" ht="13.5" customHeight="1" spans="1:30" x14ac:dyDescent="0.25">
      <c r="A263" s="17"/>
      <c r="B263" s="16"/>
      <c r="C263" s="878">
        <v>44319</v>
      </c>
      <c r="D263" s="879">
        <v>198.373871</v>
      </c>
      <c r="E263" s="874">
        <v>4629500</v>
      </c>
      <c r="F263" s="16"/>
      <c r="G263" s="16"/>
      <c r="H263" s="16"/>
      <c r="I263" s="16"/>
      <c r="J263" s="16"/>
      <c r="K263" s="16"/>
      <c r="L263" s="16"/>
      <c r="M263" s="16"/>
      <c r="N263" s="16"/>
      <c r="O263" s="16"/>
      <c r="P263" s="16"/>
      <c r="Q263" s="16"/>
      <c r="R263" s="16"/>
      <c r="S263" s="16"/>
      <c r="T263" s="16"/>
      <c r="U263" s="16"/>
      <c r="V263" s="16"/>
      <c r="W263" s="16"/>
      <c r="X263" s="16"/>
      <c r="Y263" s="16"/>
      <c r="Z263" s="16"/>
      <c r="AA263" s="16"/>
      <c r="AB263" s="16"/>
      <c r="AC263" s="16"/>
      <c r="AD263" s="16"/>
    </row>
    <row r="264" ht="13.5" customHeight="1" spans="1:30" x14ac:dyDescent="0.25">
      <c r="A264" s="17"/>
      <c r="B264" s="16"/>
      <c r="C264" s="878">
        <v>44316</v>
      </c>
      <c r="D264" s="879">
        <v>195.436111</v>
      </c>
      <c r="E264" s="874">
        <v>4255500</v>
      </c>
      <c r="F264" s="16"/>
      <c r="G264" s="16"/>
      <c r="H264" s="16"/>
      <c r="I264" s="16"/>
      <c r="J264" s="16"/>
      <c r="K264" s="16"/>
      <c r="L264" s="16"/>
      <c r="M264" s="16"/>
      <c r="N264" s="16"/>
      <c r="O264" s="16"/>
      <c r="P264" s="16"/>
      <c r="Q264" s="16"/>
      <c r="R264" s="16"/>
      <c r="S264" s="16"/>
      <c r="T264" s="16"/>
      <c r="U264" s="16"/>
      <c r="V264" s="16"/>
      <c r="W264" s="16"/>
      <c r="X264" s="16"/>
      <c r="Y264" s="16"/>
      <c r="Z264" s="16"/>
      <c r="AA264" s="16"/>
      <c r="AB264" s="16"/>
      <c r="AC264" s="16"/>
      <c r="AD264" s="16"/>
    </row>
    <row r="265" ht="13.5" customHeight="1" spans="1:30" x14ac:dyDescent="0.25">
      <c r="A265" s="17"/>
      <c r="B265" s="16"/>
      <c r="C265" s="878">
        <v>44315</v>
      </c>
      <c r="D265" s="879">
        <v>197.61702</v>
      </c>
      <c r="E265" s="874">
        <v>3860200</v>
      </c>
      <c r="F265" s="16"/>
      <c r="G265" s="16"/>
      <c r="H265" s="16"/>
      <c r="I265" s="16"/>
      <c r="J265" s="16"/>
      <c r="K265" s="16"/>
      <c r="L265" s="16"/>
      <c r="M265" s="16"/>
      <c r="N265" s="16"/>
      <c r="O265" s="16"/>
      <c r="P265" s="16"/>
      <c r="Q265" s="16"/>
      <c r="R265" s="16"/>
      <c r="S265" s="16"/>
      <c r="T265" s="16"/>
      <c r="U265" s="16"/>
      <c r="V265" s="16"/>
      <c r="W265" s="16"/>
      <c r="X265" s="16"/>
      <c r="Y265" s="16"/>
      <c r="Z265" s="16"/>
      <c r="AA265" s="16"/>
      <c r="AB265" s="16"/>
      <c r="AC265" s="16"/>
      <c r="AD265" s="16"/>
    </row>
    <row r="266" ht="13.5" customHeight="1" spans="1:30" x14ac:dyDescent="0.25">
      <c r="A266" s="17"/>
      <c r="B266" s="16"/>
      <c r="C266" s="878">
        <v>44314</v>
      </c>
      <c r="D266" s="879">
        <v>195.246887</v>
      </c>
      <c r="E266" s="874">
        <v>4939200</v>
      </c>
      <c r="F266" s="16"/>
      <c r="G266" s="16"/>
      <c r="H266" s="16"/>
      <c r="I266" s="16"/>
      <c r="J266" s="16"/>
      <c r="K266" s="16"/>
      <c r="L266" s="16"/>
      <c r="M266" s="16"/>
      <c r="N266" s="16"/>
      <c r="O266" s="16"/>
      <c r="P266" s="16"/>
      <c r="Q266" s="16"/>
      <c r="R266" s="16"/>
      <c r="S266" s="16"/>
      <c r="T266" s="16"/>
      <c r="U266" s="16"/>
      <c r="V266" s="16"/>
      <c r="W266" s="16"/>
      <c r="X266" s="16"/>
      <c r="Y266" s="16"/>
      <c r="Z266" s="16"/>
      <c r="AA266" s="16"/>
      <c r="AB266" s="16"/>
      <c r="AC266" s="16"/>
      <c r="AD266" s="16"/>
    </row>
    <row r="267" ht="13.5" customHeight="1" spans="1:30" x14ac:dyDescent="0.25">
      <c r="A267" s="17"/>
      <c r="B267" s="16"/>
      <c r="C267" s="878">
        <v>44313</v>
      </c>
      <c r="D267" s="879">
        <v>198.224503</v>
      </c>
      <c r="E267" s="874">
        <v>3453900</v>
      </c>
      <c r="F267" s="16"/>
      <c r="G267" s="16"/>
      <c r="H267" s="16"/>
      <c r="I267" s="16"/>
      <c r="J267" s="16"/>
      <c r="K267" s="16"/>
      <c r="L267" s="16"/>
      <c r="M267" s="16"/>
      <c r="N267" s="16"/>
      <c r="O267" s="16"/>
      <c r="P267" s="16"/>
      <c r="Q267" s="16"/>
      <c r="R267" s="16"/>
      <c r="S267" s="16"/>
      <c r="T267" s="16"/>
      <c r="U267" s="16"/>
      <c r="V267" s="16"/>
      <c r="W267" s="16"/>
      <c r="X267" s="16"/>
      <c r="Y267" s="16"/>
      <c r="Z267" s="16"/>
      <c r="AA267" s="16"/>
      <c r="AB267" s="16"/>
      <c r="AC267" s="16"/>
      <c r="AD267" s="16"/>
    </row>
    <row r="268" ht="13.5" customHeight="1" spans="1:30" x14ac:dyDescent="0.25">
      <c r="A268" s="17"/>
      <c r="B268" s="16"/>
      <c r="C268" s="878">
        <v>44312</v>
      </c>
      <c r="D268" s="879">
        <v>198.363922</v>
      </c>
      <c r="E268" s="874">
        <v>3017000</v>
      </c>
      <c r="F268" s="16"/>
      <c r="G268" s="16"/>
      <c r="H268" s="16"/>
      <c r="I268" s="16"/>
      <c r="J268" s="16"/>
      <c r="K268" s="16"/>
      <c r="L268" s="16"/>
      <c r="M268" s="16"/>
      <c r="N268" s="16"/>
      <c r="O268" s="16"/>
      <c r="P268" s="16"/>
      <c r="Q268" s="16"/>
      <c r="R268" s="16"/>
      <c r="S268" s="16"/>
      <c r="T268" s="16"/>
      <c r="U268" s="16"/>
      <c r="V268" s="16"/>
      <c r="W268" s="16"/>
      <c r="X268" s="16"/>
      <c r="Y268" s="16"/>
      <c r="Z268" s="16"/>
      <c r="AA268" s="16"/>
      <c r="AB268" s="16"/>
      <c r="AC268" s="16"/>
      <c r="AD268" s="16"/>
    </row>
    <row r="269" ht="13.5" customHeight="1" spans="1:30" x14ac:dyDescent="0.25">
      <c r="A269" s="17"/>
      <c r="B269" s="16"/>
      <c r="C269" s="878">
        <v>44309</v>
      </c>
      <c r="D269" s="879">
        <v>200.096695</v>
      </c>
      <c r="E269" s="874">
        <v>3634000</v>
      </c>
      <c r="F269" s="16"/>
      <c r="G269" s="16"/>
      <c r="H269" s="16"/>
      <c r="I269" s="16"/>
      <c r="J269" s="16"/>
      <c r="K269" s="16"/>
      <c r="L269" s="16"/>
      <c r="M269" s="16"/>
      <c r="N269" s="16"/>
      <c r="O269" s="16"/>
      <c r="P269" s="16"/>
      <c r="Q269" s="16"/>
      <c r="R269" s="16"/>
      <c r="S269" s="16"/>
      <c r="T269" s="16"/>
      <c r="U269" s="16"/>
      <c r="V269" s="16"/>
      <c r="W269" s="16"/>
      <c r="X269" s="16"/>
      <c r="Y269" s="16"/>
      <c r="Z269" s="16"/>
      <c r="AA269" s="16"/>
      <c r="AB269" s="16"/>
      <c r="AC269" s="16"/>
      <c r="AD269" s="16"/>
    </row>
    <row r="270" ht="13.5" customHeight="1" spans="1:30" x14ac:dyDescent="0.25">
      <c r="A270" s="17"/>
      <c r="B270" s="16"/>
      <c r="C270" s="878">
        <v>44308</v>
      </c>
      <c r="D270" s="879">
        <v>200.465164</v>
      </c>
      <c r="E270" s="874">
        <v>3713000</v>
      </c>
      <c r="F270" s="16"/>
      <c r="G270" s="16"/>
      <c r="H270" s="16"/>
      <c r="I270" s="16"/>
      <c r="J270" s="16"/>
      <c r="K270" s="16"/>
      <c r="L270" s="16"/>
      <c r="M270" s="16"/>
      <c r="N270" s="16"/>
      <c r="O270" s="16"/>
      <c r="P270" s="16"/>
      <c r="Q270" s="16"/>
      <c r="R270" s="16"/>
      <c r="S270" s="16"/>
      <c r="T270" s="16"/>
      <c r="U270" s="16"/>
      <c r="V270" s="16"/>
      <c r="W270" s="16"/>
      <c r="X270" s="16"/>
      <c r="Y270" s="16"/>
      <c r="Z270" s="16"/>
      <c r="AA270" s="16"/>
      <c r="AB270" s="16"/>
      <c r="AC270" s="16"/>
      <c r="AD270" s="16"/>
    </row>
    <row r="271" ht="13.5" customHeight="1" spans="1:30" x14ac:dyDescent="0.25">
      <c r="A271" s="17"/>
      <c r="B271" s="16"/>
      <c r="C271" s="878">
        <v>44307</v>
      </c>
      <c r="D271" s="879">
        <v>203.064346</v>
      </c>
      <c r="E271" s="874">
        <v>2716600</v>
      </c>
      <c r="F271" s="16"/>
      <c r="G271" s="16"/>
      <c r="H271" s="16"/>
      <c r="I271" s="16"/>
      <c r="J271" s="16"/>
      <c r="K271" s="16"/>
      <c r="L271" s="16"/>
      <c r="M271" s="16"/>
      <c r="N271" s="16"/>
      <c r="O271" s="16"/>
      <c r="P271" s="16"/>
      <c r="Q271" s="16"/>
      <c r="R271" s="16"/>
      <c r="S271" s="16"/>
      <c r="T271" s="16"/>
      <c r="U271" s="16"/>
      <c r="V271" s="16"/>
      <c r="W271" s="16"/>
      <c r="X271" s="16"/>
      <c r="Y271" s="16"/>
      <c r="Z271" s="16"/>
      <c r="AA271" s="16"/>
      <c r="AB271" s="16"/>
      <c r="AC271" s="16"/>
      <c r="AD271" s="16"/>
    </row>
    <row r="272" ht="13.5" customHeight="1" spans="1:30" x14ac:dyDescent="0.25">
      <c r="A272" s="17"/>
      <c r="B272" s="16"/>
      <c r="C272" s="878">
        <v>44306</v>
      </c>
      <c r="D272" s="879">
        <v>201.929077</v>
      </c>
      <c r="E272" s="874">
        <v>3006200</v>
      </c>
      <c r="F272" s="16"/>
      <c r="G272" s="16"/>
      <c r="H272" s="16"/>
      <c r="I272" s="16"/>
      <c r="J272" s="16"/>
      <c r="K272" s="16"/>
      <c r="L272" s="16"/>
      <c r="M272" s="16"/>
      <c r="N272" s="16"/>
      <c r="O272" s="16"/>
      <c r="P272" s="16"/>
      <c r="Q272" s="16"/>
      <c r="R272" s="16"/>
      <c r="S272" s="16"/>
      <c r="T272" s="16"/>
      <c r="U272" s="16"/>
      <c r="V272" s="16"/>
      <c r="W272" s="16"/>
      <c r="X272" s="16"/>
      <c r="Y272" s="16"/>
      <c r="Z272" s="16"/>
      <c r="AA272" s="16"/>
      <c r="AB272" s="16"/>
      <c r="AC272" s="16"/>
      <c r="AD272" s="16"/>
    </row>
    <row r="273" ht="13.5" customHeight="1" spans="1:30" x14ac:dyDescent="0.25">
      <c r="A273" s="17"/>
      <c r="B273" s="16"/>
      <c r="C273" s="878">
        <v>44305</v>
      </c>
      <c r="D273" s="879">
        <v>202.566422</v>
      </c>
      <c r="E273" s="874">
        <v>3828800</v>
      </c>
      <c r="F273" s="16"/>
      <c r="G273" s="16"/>
      <c r="H273" s="16"/>
      <c r="I273" s="16"/>
      <c r="J273" s="16"/>
      <c r="K273" s="16"/>
      <c r="L273" s="16"/>
      <c r="M273" s="16"/>
      <c r="N273" s="16"/>
      <c r="O273" s="16"/>
      <c r="P273" s="16"/>
      <c r="Q273" s="16"/>
      <c r="R273" s="16"/>
      <c r="S273" s="16"/>
      <c r="T273" s="16"/>
      <c r="U273" s="16"/>
      <c r="V273" s="16"/>
      <c r="W273" s="16"/>
      <c r="X273" s="16"/>
      <c r="Y273" s="16"/>
      <c r="Z273" s="16"/>
      <c r="AA273" s="16"/>
      <c r="AB273" s="16"/>
      <c r="AC273" s="16"/>
      <c r="AD273" s="16"/>
    </row>
    <row r="274" ht="13.5" customHeight="1" spans="1:30" x14ac:dyDescent="0.25">
      <c r="A274" s="17"/>
      <c r="B274" s="16"/>
      <c r="C274" s="878">
        <v>44302</v>
      </c>
      <c r="D274" s="879">
        <v>206.776413</v>
      </c>
      <c r="E274" s="874">
        <v>6359800</v>
      </c>
      <c r="F274" s="16"/>
      <c r="G274" s="16"/>
      <c r="H274" s="16"/>
      <c r="I274" s="16"/>
      <c r="J274" s="16"/>
      <c r="K274" s="16"/>
      <c r="L274" s="16"/>
      <c r="M274" s="16"/>
      <c r="N274" s="16"/>
      <c r="O274" s="16"/>
      <c r="P274" s="16"/>
      <c r="Q274" s="16"/>
      <c r="R274" s="16"/>
      <c r="S274" s="16"/>
      <c r="T274" s="16"/>
      <c r="U274" s="16"/>
      <c r="V274" s="16"/>
      <c r="W274" s="16"/>
      <c r="X274" s="16"/>
      <c r="Y274" s="16"/>
      <c r="Z274" s="16"/>
      <c r="AA274" s="16"/>
      <c r="AB274" s="16"/>
      <c r="AC274" s="16"/>
      <c r="AD274" s="16"/>
    </row>
    <row r="275" ht="13.5" customHeight="1" spans="1:30" x14ac:dyDescent="0.25">
      <c r="A275" s="17"/>
      <c r="B275" s="16"/>
      <c r="C275" s="878">
        <v>44301</v>
      </c>
      <c r="D275" s="879">
        <v>203.122467</v>
      </c>
      <c r="E275" s="874">
        <v>3656300</v>
      </c>
      <c r="F275" s="16"/>
      <c r="G275" s="16"/>
      <c r="H275" s="16"/>
      <c r="I275" s="16"/>
      <c r="J275" s="16"/>
      <c r="K275" s="16"/>
      <c r="L275" s="16"/>
      <c r="M275" s="16"/>
      <c r="N275" s="16"/>
      <c r="O275" s="16"/>
      <c r="P275" s="16"/>
      <c r="Q275" s="16"/>
      <c r="R275" s="16"/>
      <c r="S275" s="16"/>
      <c r="T275" s="16"/>
      <c r="U275" s="16"/>
      <c r="V275" s="16"/>
      <c r="W275" s="16"/>
      <c r="X275" s="16"/>
      <c r="Y275" s="16"/>
      <c r="Z275" s="16"/>
      <c r="AA275" s="16"/>
      <c r="AB275" s="16"/>
      <c r="AC275" s="16"/>
      <c r="AD275" s="16"/>
    </row>
    <row r="276" ht="13.5" customHeight="1" spans="1:30" x14ac:dyDescent="0.25">
      <c r="A276" s="17"/>
      <c r="B276" s="16"/>
      <c r="C276" s="878">
        <v>44300</v>
      </c>
      <c r="D276" s="879">
        <v>200.09404</v>
      </c>
      <c r="E276" s="874">
        <v>3371900</v>
      </c>
      <c r="F276" s="16"/>
      <c r="G276" s="16"/>
      <c r="H276" s="16"/>
      <c r="I276" s="16"/>
      <c r="J276" s="16"/>
      <c r="K276" s="16"/>
      <c r="L276" s="16"/>
      <c r="M276" s="16"/>
      <c r="N276" s="16"/>
      <c r="O276" s="16"/>
      <c r="P276" s="16"/>
      <c r="Q276" s="16"/>
      <c r="R276" s="16"/>
      <c r="S276" s="16"/>
      <c r="T276" s="16"/>
      <c r="U276" s="16"/>
      <c r="V276" s="16"/>
      <c r="W276" s="16"/>
      <c r="X276" s="16"/>
      <c r="Y276" s="16"/>
      <c r="Z276" s="16"/>
      <c r="AA276" s="16"/>
      <c r="AB276" s="16"/>
      <c r="AC276" s="16"/>
      <c r="AD276" s="16"/>
    </row>
    <row r="277" ht="13.5" customHeight="1" spans="1:30" x14ac:dyDescent="0.25">
      <c r="A277" s="17"/>
      <c r="B277" s="16"/>
      <c r="C277" s="878">
        <v>44299</v>
      </c>
      <c r="D277" s="879">
        <v>198.306778</v>
      </c>
      <c r="E277" s="874">
        <v>2964500</v>
      </c>
      <c r="F277" s="16"/>
      <c r="G277" s="16"/>
      <c r="H277" s="16"/>
      <c r="I277" s="16"/>
      <c r="J277" s="16"/>
      <c r="K277" s="16"/>
      <c r="L277" s="16"/>
      <c r="M277" s="16"/>
      <c r="N277" s="16"/>
      <c r="O277" s="16"/>
      <c r="P277" s="16"/>
      <c r="Q277" s="16"/>
      <c r="R277" s="16"/>
      <c r="S277" s="16"/>
      <c r="T277" s="16"/>
      <c r="U277" s="16"/>
      <c r="V277" s="16"/>
      <c r="W277" s="16"/>
      <c r="X277" s="16"/>
      <c r="Y277" s="16"/>
      <c r="Z277" s="16"/>
      <c r="AA277" s="16"/>
      <c r="AB277" s="16"/>
      <c r="AC277" s="16"/>
      <c r="AD277" s="16"/>
    </row>
    <row r="278" ht="13.5" customHeight="1" spans="1:30" x14ac:dyDescent="0.25">
      <c r="A278" s="17"/>
      <c r="B278" s="16"/>
      <c r="C278" s="878">
        <v>44298</v>
      </c>
      <c r="D278" s="879">
        <v>199.230179</v>
      </c>
      <c r="E278" s="874">
        <v>3647900</v>
      </c>
      <c r="F278" s="16"/>
      <c r="G278" s="16"/>
      <c r="H278" s="16"/>
      <c r="I278" s="16"/>
      <c r="J278" s="16"/>
      <c r="K278" s="16"/>
      <c r="L278" s="16"/>
      <c r="M278" s="16"/>
      <c r="N278" s="16"/>
      <c r="O278" s="16"/>
      <c r="P278" s="16"/>
      <c r="Q278" s="16"/>
      <c r="R278" s="16"/>
      <c r="S278" s="16"/>
      <c r="T278" s="16"/>
      <c r="U278" s="16"/>
      <c r="V278" s="16"/>
      <c r="W278" s="16"/>
      <c r="X278" s="16"/>
      <c r="Y278" s="16"/>
      <c r="Z278" s="16"/>
      <c r="AA278" s="16"/>
      <c r="AB278" s="16"/>
      <c r="AC278" s="16"/>
      <c r="AD278" s="16"/>
    </row>
    <row r="279" ht="13.5" customHeight="1" spans="1:30" x14ac:dyDescent="0.25">
      <c r="A279" s="17"/>
      <c r="B279" s="16"/>
      <c r="C279" s="878">
        <v>44295</v>
      </c>
      <c r="D279" s="879">
        <v>197.105331</v>
      </c>
      <c r="E279" s="874">
        <v>3168500</v>
      </c>
      <c r="F279" s="16"/>
      <c r="G279" s="16"/>
      <c r="H279" s="16"/>
      <c r="I279" s="16"/>
      <c r="J279" s="16"/>
      <c r="K279" s="16"/>
      <c r="L279" s="16"/>
      <c r="M279" s="16"/>
      <c r="N279" s="16"/>
      <c r="O279" s="16"/>
      <c r="P279" s="16"/>
      <c r="Q279" s="16"/>
      <c r="R279" s="16"/>
      <c r="S279" s="16"/>
      <c r="T279" s="16"/>
      <c r="U279" s="16"/>
      <c r="V279" s="16"/>
      <c r="W279" s="16"/>
      <c r="X279" s="16"/>
      <c r="Y279" s="16"/>
      <c r="Z279" s="16"/>
      <c r="AA279" s="16"/>
      <c r="AB279" s="16"/>
      <c r="AC279" s="16"/>
      <c r="AD279" s="16"/>
    </row>
    <row r="280" ht="13.5" customHeight="1" spans="1:30" x14ac:dyDescent="0.25">
      <c r="A280" s="17"/>
      <c r="B280" s="16"/>
      <c r="C280" s="878">
        <v>44294</v>
      </c>
      <c r="D280" s="879">
        <v>192.83577</v>
      </c>
      <c r="E280" s="874">
        <v>2684300</v>
      </c>
      <c r="F280" s="16"/>
      <c r="G280" s="16"/>
      <c r="H280" s="16"/>
      <c r="I280" s="16"/>
      <c r="J280" s="16"/>
      <c r="K280" s="16"/>
      <c r="L280" s="16"/>
      <c r="M280" s="16"/>
      <c r="N280" s="16"/>
      <c r="O280" s="16"/>
      <c r="P280" s="16"/>
      <c r="Q280" s="16"/>
      <c r="R280" s="16"/>
      <c r="S280" s="16"/>
      <c r="T280" s="16"/>
      <c r="U280" s="16"/>
      <c r="V280" s="16"/>
      <c r="W280" s="16"/>
      <c r="X280" s="16"/>
      <c r="Y280" s="16"/>
      <c r="Z280" s="16"/>
      <c r="AA280" s="16"/>
      <c r="AB280" s="16"/>
      <c r="AC280" s="16"/>
      <c r="AD280" s="16"/>
    </row>
    <row r="281" ht="13.5" customHeight="1" spans="1:30" x14ac:dyDescent="0.25">
      <c r="A281" s="17"/>
      <c r="B281" s="16"/>
      <c r="C281" s="878">
        <v>44293</v>
      </c>
      <c r="D281" s="879">
        <v>192.299591</v>
      </c>
      <c r="E281" s="874">
        <v>3276300</v>
      </c>
      <c r="F281" s="16"/>
      <c r="G281" s="16"/>
      <c r="H281" s="16"/>
      <c r="I281" s="16"/>
      <c r="J281" s="16"/>
      <c r="K281" s="16"/>
      <c r="L281" s="16"/>
      <c r="M281" s="16"/>
      <c r="N281" s="16"/>
      <c r="O281" s="16"/>
      <c r="P281" s="16"/>
      <c r="Q281" s="16"/>
      <c r="R281" s="16"/>
      <c r="S281" s="16"/>
      <c r="T281" s="16"/>
      <c r="U281" s="16"/>
      <c r="V281" s="16"/>
      <c r="W281" s="16"/>
      <c r="X281" s="16"/>
      <c r="Y281" s="16"/>
      <c r="Z281" s="16"/>
      <c r="AA281" s="16"/>
      <c r="AB281" s="16"/>
      <c r="AC281" s="16"/>
      <c r="AD281" s="16"/>
    </row>
    <row r="282" ht="13.5" customHeight="1" spans="1:30" x14ac:dyDescent="0.25">
      <c r="A282" s="17"/>
      <c r="B282" s="16"/>
      <c r="C282" s="878">
        <v>44292</v>
      </c>
      <c r="D282" s="879">
        <v>192.825821</v>
      </c>
      <c r="E282" s="874">
        <v>2917700</v>
      </c>
      <c r="F282" s="16"/>
      <c r="G282" s="16"/>
      <c r="H282" s="16"/>
      <c r="I282" s="16"/>
      <c r="J282" s="16"/>
      <c r="K282" s="16"/>
      <c r="L282" s="16"/>
      <c r="M282" s="16"/>
      <c r="N282" s="16"/>
      <c r="O282" s="16"/>
      <c r="P282" s="16"/>
      <c r="Q282" s="16"/>
      <c r="R282" s="16"/>
      <c r="S282" s="16"/>
      <c r="T282" s="16"/>
      <c r="U282" s="16"/>
      <c r="V282" s="16"/>
      <c r="W282" s="16"/>
      <c r="X282" s="16"/>
      <c r="Y282" s="16"/>
      <c r="Z282" s="16"/>
      <c r="AA282" s="16"/>
      <c r="AB282" s="16"/>
      <c r="AC282" s="16"/>
      <c r="AD282" s="16"/>
    </row>
    <row r="283" ht="13.5" customHeight="1" spans="1:30" x14ac:dyDescent="0.25">
      <c r="A283" s="17"/>
      <c r="B283" s="16"/>
      <c r="C283" s="878">
        <v>44291</v>
      </c>
      <c r="D283" s="879">
        <v>192.359146</v>
      </c>
      <c r="E283" s="874">
        <v>3507200</v>
      </c>
      <c r="F283" s="16"/>
      <c r="G283" s="16"/>
      <c r="H283" s="16"/>
      <c r="I283" s="16"/>
      <c r="J283" s="16"/>
      <c r="K283" s="16"/>
      <c r="L283" s="16"/>
      <c r="M283" s="16"/>
      <c r="N283" s="16"/>
      <c r="O283" s="16"/>
      <c r="P283" s="16"/>
      <c r="Q283" s="16"/>
      <c r="R283" s="16"/>
      <c r="S283" s="16"/>
      <c r="T283" s="16"/>
      <c r="U283" s="16"/>
      <c r="V283" s="16"/>
      <c r="W283" s="16"/>
      <c r="X283" s="16"/>
      <c r="Y283" s="16"/>
      <c r="Z283" s="16"/>
      <c r="AA283" s="16"/>
      <c r="AB283" s="16"/>
      <c r="AC283" s="16"/>
      <c r="AD283" s="16"/>
    </row>
    <row r="284" ht="13.5" customHeight="1" spans="1:30" x14ac:dyDescent="0.25">
      <c r="A284" s="17"/>
      <c r="B284" s="16"/>
      <c r="C284" s="878">
        <v>44287</v>
      </c>
      <c r="D284" s="879">
        <v>189.966217</v>
      </c>
      <c r="E284" s="874">
        <v>3192200</v>
      </c>
      <c r="F284" s="16"/>
      <c r="G284" s="16"/>
      <c r="H284" s="16"/>
      <c r="I284" s="16"/>
      <c r="J284" s="16"/>
      <c r="K284" s="16"/>
      <c r="L284" s="16"/>
      <c r="M284" s="16"/>
      <c r="N284" s="16"/>
      <c r="O284" s="16"/>
      <c r="P284" s="16"/>
      <c r="Q284" s="16"/>
      <c r="R284" s="16"/>
      <c r="S284" s="16"/>
      <c r="T284" s="16"/>
      <c r="U284" s="16"/>
      <c r="V284" s="16"/>
      <c r="W284" s="16"/>
      <c r="X284" s="16"/>
      <c r="Y284" s="16"/>
      <c r="Z284" s="16"/>
      <c r="AA284" s="16"/>
      <c r="AB284" s="16"/>
      <c r="AC284" s="16"/>
      <c r="AD284" s="16"/>
    </row>
    <row r="285" ht="13.5" customHeight="1" spans="1:30" x14ac:dyDescent="0.25">
      <c r="A285" s="17"/>
      <c r="B285" s="16"/>
      <c r="C285" s="878">
        <v>44286</v>
      </c>
      <c r="D285" s="879">
        <v>188.834259</v>
      </c>
      <c r="E285" s="874">
        <v>3564200</v>
      </c>
      <c r="F285" s="16"/>
      <c r="G285" s="16"/>
      <c r="H285" s="16"/>
      <c r="I285" s="16"/>
      <c r="J285" s="16"/>
      <c r="K285" s="16"/>
      <c r="L285" s="16"/>
      <c r="M285" s="16"/>
      <c r="N285" s="16"/>
      <c r="O285" s="16"/>
      <c r="P285" s="16"/>
      <c r="Q285" s="16"/>
      <c r="R285" s="16"/>
      <c r="S285" s="16"/>
      <c r="T285" s="16"/>
      <c r="U285" s="16"/>
      <c r="V285" s="16"/>
      <c r="W285" s="16"/>
      <c r="X285" s="16"/>
      <c r="Y285" s="16"/>
      <c r="Z285" s="16"/>
      <c r="AA285" s="16"/>
      <c r="AB285" s="16"/>
      <c r="AC285" s="16"/>
      <c r="AD285" s="16"/>
    </row>
    <row r="286" ht="13.5" customHeight="1" spans="1:30" x14ac:dyDescent="0.25">
      <c r="A286" s="17"/>
      <c r="B286" s="16"/>
      <c r="C286" s="878">
        <v>44285</v>
      </c>
      <c r="D286" s="879">
        <v>188.675415</v>
      </c>
      <c r="E286" s="874">
        <v>3547600</v>
      </c>
      <c r="F286" s="16"/>
      <c r="G286" s="16"/>
      <c r="H286" s="16"/>
      <c r="I286" s="16"/>
      <c r="J286" s="16"/>
      <c r="K286" s="16"/>
      <c r="L286" s="16"/>
      <c r="M286" s="16"/>
      <c r="N286" s="16"/>
      <c r="O286" s="16"/>
      <c r="P286" s="16"/>
      <c r="Q286" s="16"/>
      <c r="R286" s="16"/>
      <c r="S286" s="16"/>
      <c r="T286" s="16"/>
      <c r="U286" s="16"/>
      <c r="V286" s="16"/>
      <c r="W286" s="16"/>
      <c r="X286" s="16"/>
      <c r="Y286" s="16"/>
      <c r="Z286" s="16"/>
      <c r="AA286" s="16"/>
      <c r="AB286" s="16"/>
      <c r="AC286" s="16"/>
      <c r="AD286" s="16"/>
    </row>
    <row r="287" ht="13.5" customHeight="1" spans="1:30" x14ac:dyDescent="0.25">
      <c r="A287" s="17"/>
      <c r="B287" s="16"/>
      <c r="C287" s="878">
        <v>44284</v>
      </c>
      <c r="D287" s="879">
        <v>187.285309</v>
      </c>
      <c r="E287" s="874">
        <v>3970900</v>
      </c>
      <c r="F287" s="16"/>
      <c r="G287" s="16"/>
      <c r="H287" s="16"/>
      <c r="I287" s="16"/>
      <c r="J287" s="16"/>
      <c r="K287" s="16"/>
      <c r="L287" s="16"/>
      <c r="M287" s="16"/>
      <c r="N287" s="16"/>
      <c r="O287" s="16"/>
      <c r="P287" s="16"/>
      <c r="Q287" s="16"/>
      <c r="R287" s="16"/>
      <c r="S287" s="16"/>
      <c r="T287" s="16"/>
      <c r="U287" s="16"/>
      <c r="V287" s="16"/>
      <c r="W287" s="16"/>
      <c r="X287" s="16"/>
      <c r="Y287" s="16"/>
      <c r="Z287" s="16"/>
      <c r="AA287" s="16"/>
      <c r="AB287" s="16"/>
      <c r="AC287" s="16"/>
      <c r="AD287" s="16"/>
    </row>
    <row r="288" ht="13.5" customHeight="1" spans="1:30" x14ac:dyDescent="0.25">
      <c r="A288" s="17"/>
      <c r="B288" s="16"/>
      <c r="C288" s="878">
        <v>44281</v>
      </c>
      <c r="D288" s="879">
        <v>190.254166</v>
      </c>
      <c r="E288" s="874">
        <v>4795200</v>
      </c>
      <c r="F288" s="16"/>
      <c r="G288" s="16"/>
      <c r="H288" s="16"/>
      <c r="I288" s="16"/>
      <c r="J288" s="16"/>
      <c r="K288" s="16"/>
      <c r="L288" s="16"/>
      <c r="M288" s="16"/>
      <c r="N288" s="16"/>
      <c r="O288" s="16"/>
      <c r="P288" s="16"/>
      <c r="Q288" s="16"/>
      <c r="R288" s="16"/>
      <c r="S288" s="16"/>
      <c r="T288" s="16"/>
      <c r="U288" s="16"/>
      <c r="V288" s="16"/>
      <c r="W288" s="16"/>
      <c r="X288" s="16"/>
      <c r="Y288" s="16"/>
      <c r="Z288" s="16"/>
      <c r="AA288" s="16"/>
      <c r="AB288" s="16"/>
      <c r="AC288" s="16"/>
      <c r="AD288" s="16"/>
    </row>
    <row r="289" ht="13.5" customHeight="1" spans="1:30" x14ac:dyDescent="0.25">
      <c r="A289" s="17"/>
      <c r="B289" s="16"/>
      <c r="C289" s="878">
        <v>44280</v>
      </c>
      <c r="D289" s="879">
        <v>183.859726</v>
      </c>
      <c r="E289" s="874">
        <v>4543300</v>
      </c>
      <c r="F289" s="16"/>
      <c r="G289" s="16"/>
      <c r="H289" s="16"/>
      <c r="I289" s="16"/>
      <c r="J289" s="16"/>
      <c r="K289" s="16"/>
      <c r="L289" s="16"/>
      <c r="M289" s="16"/>
      <c r="N289" s="16"/>
      <c r="O289" s="16"/>
      <c r="P289" s="16"/>
      <c r="Q289" s="16"/>
      <c r="R289" s="16"/>
      <c r="S289" s="16"/>
      <c r="T289" s="16"/>
      <c r="U289" s="16"/>
      <c r="V289" s="16"/>
      <c r="W289" s="16"/>
      <c r="X289" s="16"/>
      <c r="Y289" s="16"/>
      <c r="Z289" s="16"/>
      <c r="AA289" s="16"/>
      <c r="AB289" s="16"/>
      <c r="AC289" s="16"/>
      <c r="AD289" s="16"/>
    </row>
    <row r="290" ht="13.5" customHeight="1" spans="1:30" x14ac:dyDescent="0.25">
      <c r="A290" s="17"/>
      <c r="B290" s="16"/>
      <c r="C290" s="878">
        <v>44279</v>
      </c>
      <c r="D290" s="879">
        <v>179.401489</v>
      </c>
      <c r="E290" s="874">
        <v>3555400</v>
      </c>
      <c r="F290" s="16"/>
      <c r="G290" s="16"/>
      <c r="H290" s="16"/>
      <c r="I290" s="16"/>
      <c r="J290" s="16"/>
      <c r="K290" s="16"/>
      <c r="L290" s="16"/>
      <c r="M290" s="16"/>
      <c r="N290" s="16"/>
      <c r="O290" s="16"/>
      <c r="P290" s="16"/>
      <c r="Q290" s="16"/>
      <c r="R290" s="16"/>
      <c r="S290" s="16"/>
      <c r="T290" s="16"/>
      <c r="U290" s="16"/>
      <c r="V290" s="16"/>
      <c r="W290" s="16"/>
      <c r="X290" s="16"/>
      <c r="Y290" s="16"/>
      <c r="Z290" s="16"/>
      <c r="AA290" s="16"/>
      <c r="AB290" s="16"/>
      <c r="AC290" s="16"/>
      <c r="AD290" s="16"/>
    </row>
    <row r="291" ht="13.5" customHeight="1" spans="1:30" x14ac:dyDescent="0.25">
      <c r="A291" s="17"/>
      <c r="B291" s="16"/>
      <c r="C291" s="878">
        <v>44278</v>
      </c>
      <c r="D291" s="879">
        <v>179.123474</v>
      </c>
      <c r="E291" s="874">
        <v>3324400</v>
      </c>
      <c r="F291" s="16"/>
      <c r="G291" s="16"/>
      <c r="H291" s="16"/>
      <c r="I291" s="16"/>
      <c r="J291" s="16"/>
      <c r="K291" s="16"/>
      <c r="L291" s="16"/>
      <c r="M291" s="16"/>
      <c r="N291" s="16"/>
      <c r="O291" s="16"/>
      <c r="P291" s="16"/>
      <c r="Q291" s="16"/>
      <c r="R291" s="16"/>
      <c r="S291" s="16"/>
      <c r="T291" s="16"/>
      <c r="U291" s="16"/>
      <c r="V291" s="16"/>
      <c r="W291" s="16"/>
      <c r="X291" s="16"/>
      <c r="Y291" s="16"/>
      <c r="Z291" s="16"/>
      <c r="AA291" s="16"/>
      <c r="AB291" s="16"/>
      <c r="AC291" s="16"/>
      <c r="AD291" s="16"/>
    </row>
    <row r="292" ht="13.5" customHeight="1" spans="1:30" x14ac:dyDescent="0.25">
      <c r="A292" s="17"/>
      <c r="B292" s="16"/>
      <c r="C292" s="878">
        <v>44277</v>
      </c>
      <c r="D292" s="879">
        <v>180.602936</v>
      </c>
      <c r="E292" s="874">
        <v>4700200</v>
      </c>
      <c r="F292" s="16"/>
      <c r="G292" s="16"/>
      <c r="H292" s="16"/>
      <c r="I292" s="16"/>
      <c r="J292" s="16"/>
      <c r="K292" s="16"/>
      <c r="L292" s="16"/>
      <c r="M292" s="16"/>
      <c r="N292" s="16"/>
      <c r="O292" s="16"/>
      <c r="P292" s="16"/>
      <c r="Q292" s="16"/>
      <c r="R292" s="16"/>
      <c r="S292" s="16"/>
      <c r="T292" s="16"/>
      <c r="U292" s="16"/>
      <c r="V292" s="16"/>
      <c r="W292" s="16"/>
      <c r="X292" s="16"/>
      <c r="Y292" s="16"/>
      <c r="Z292" s="16"/>
      <c r="AA292" s="16"/>
      <c r="AB292" s="16"/>
      <c r="AC292" s="16"/>
      <c r="AD292" s="16"/>
    </row>
    <row r="293" ht="13.5" customHeight="1" spans="1:30" x14ac:dyDescent="0.25">
      <c r="A293" s="17"/>
      <c r="B293" s="16"/>
      <c r="C293" s="878">
        <v>44274</v>
      </c>
      <c r="D293" s="879">
        <v>178.219925</v>
      </c>
      <c r="E293" s="874">
        <v>8525100</v>
      </c>
      <c r="F293" s="16"/>
      <c r="G293" s="16"/>
      <c r="H293" s="16"/>
      <c r="I293" s="16"/>
      <c r="J293" s="16"/>
      <c r="K293" s="16"/>
      <c r="L293" s="16"/>
      <c r="M293" s="16"/>
      <c r="N293" s="16"/>
      <c r="O293" s="16"/>
      <c r="P293" s="16"/>
      <c r="Q293" s="16"/>
      <c r="R293" s="16"/>
      <c r="S293" s="16"/>
      <c r="T293" s="16"/>
      <c r="U293" s="16"/>
      <c r="V293" s="16"/>
      <c r="W293" s="16"/>
      <c r="X293" s="16"/>
      <c r="Y293" s="16"/>
      <c r="Z293" s="16"/>
      <c r="AA293" s="16"/>
      <c r="AB293" s="16"/>
      <c r="AC293" s="16"/>
      <c r="AD293" s="16"/>
    </row>
    <row r="294" ht="13.5" customHeight="1" spans="1:30" x14ac:dyDescent="0.25">
      <c r="A294" s="17"/>
      <c r="B294" s="16"/>
      <c r="C294" s="878">
        <v>44273</v>
      </c>
      <c r="D294" s="879">
        <v>173.632599</v>
      </c>
      <c r="E294" s="874">
        <v>3888100</v>
      </c>
      <c r="F294" s="16"/>
      <c r="G294" s="16"/>
      <c r="H294" s="16"/>
      <c r="I294" s="16"/>
      <c r="J294" s="16"/>
      <c r="K294" s="16"/>
      <c r="L294" s="16"/>
      <c r="M294" s="16"/>
      <c r="N294" s="16"/>
      <c r="O294" s="16"/>
      <c r="P294" s="16"/>
      <c r="Q294" s="16"/>
      <c r="R294" s="16"/>
      <c r="S294" s="16"/>
      <c r="T294" s="16"/>
      <c r="U294" s="16"/>
      <c r="V294" s="16"/>
      <c r="W294" s="16"/>
      <c r="X294" s="16"/>
      <c r="Y294" s="16"/>
      <c r="Z294" s="16"/>
      <c r="AA294" s="16"/>
      <c r="AB294" s="16"/>
      <c r="AC294" s="16"/>
      <c r="AD294" s="16"/>
    </row>
    <row r="295" ht="13.5" customHeight="1" spans="1:30" x14ac:dyDescent="0.25">
      <c r="A295" s="17"/>
      <c r="B295" s="16"/>
      <c r="C295" s="878">
        <v>44272</v>
      </c>
      <c r="D295" s="879">
        <v>173.205658</v>
      </c>
      <c r="E295" s="874">
        <v>3119900</v>
      </c>
      <c r="F295" s="16"/>
      <c r="G295" s="16"/>
      <c r="H295" s="16"/>
      <c r="I295" s="16"/>
      <c r="J295" s="16"/>
      <c r="K295" s="16"/>
      <c r="L295" s="16"/>
      <c r="M295" s="16"/>
      <c r="N295" s="16"/>
      <c r="O295" s="16"/>
      <c r="P295" s="16"/>
      <c r="Q295" s="16"/>
      <c r="R295" s="16"/>
      <c r="S295" s="16"/>
      <c r="T295" s="16"/>
      <c r="U295" s="16"/>
      <c r="V295" s="16"/>
      <c r="W295" s="16"/>
      <c r="X295" s="16"/>
      <c r="Y295" s="16"/>
      <c r="Z295" s="16"/>
      <c r="AA295" s="16"/>
      <c r="AB295" s="16"/>
      <c r="AC295" s="16"/>
      <c r="AD295" s="16"/>
    </row>
    <row r="296" ht="13.5" customHeight="1" spans="1:30" x14ac:dyDescent="0.25">
      <c r="A296" s="17"/>
      <c r="B296" s="16"/>
      <c r="C296" s="878">
        <v>44271</v>
      </c>
      <c r="D296" s="879">
        <v>174.089371</v>
      </c>
      <c r="E296" s="874">
        <v>3737200</v>
      </c>
      <c r="F296" s="16"/>
      <c r="G296" s="16"/>
      <c r="H296" s="16"/>
      <c r="I296" s="16"/>
      <c r="J296" s="16"/>
      <c r="K296" s="16"/>
      <c r="L296" s="16"/>
      <c r="M296" s="16"/>
      <c r="N296" s="16"/>
      <c r="O296" s="16"/>
      <c r="P296" s="16"/>
      <c r="Q296" s="16"/>
      <c r="R296" s="16"/>
      <c r="S296" s="16"/>
      <c r="T296" s="16"/>
      <c r="U296" s="16"/>
      <c r="V296" s="16"/>
      <c r="W296" s="16"/>
      <c r="X296" s="16"/>
      <c r="Y296" s="16"/>
      <c r="Z296" s="16"/>
      <c r="AA296" s="16"/>
      <c r="AB296" s="16"/>
      <c r="AC296" s="16"/>
      <c r="AD296" s="16"/>
    </row>
    <row r="297" ht="13.5" customHeight="1" spans="1:30" x14ac:dyDescent="0.25">
      <c r="A297" s="17"/>
      <c r="B297" s="16"/>
      <c r="C297" s="878">
        <v>44270</v>
      </c>
      <c r="D297" s="879">
        <v>172.967346</v>
      </c>
      <c r="E297" s="874">
        <v>3745200</v>
      </c>
      <c r="F297" s="16"/>
      <c r="G297" s="16"/>
      <c r="H297" s="16"/>
      <c r="I297" s="16"/>
      <c r="J297" s="16"/>
      <c r="K297" s="16"/>
      <c r="L297" s="16"/>
      <c r="M297" s="16"/>
      <c r="N297" s="16"/>
      <c r="O297" s="16"/>
      <c r="P297" s="16"/>
      <c r="Q297" s="16"/>
      <c r="R297" s="16"/>
      <c r="S297" s="16"/>
      <c r="T297" s="16"/>
      <c r="U297" s="16"/>
      <c r="V297" s="16"/>
      <c r="W297" s="16"/>
      <c r="X297" s="16"/>
      <c r="Y297" s="16"/>
      <c r="Z297" s="16"/>
      <c r="AA297" s="16"/>
      <c r="AB297" s="16"/>
      <c r="AC297" s="16"/>
      <c r="AD297" s="16"/>
    </row>
    <row r="298" ht="13.5" customHeight="1" spans="1:30" x14ac:dyDescent="0.25">
      <c r="A298" s="17"/>
      <c r="B298" s="16"/>
      <c r="C298" s="878">
        <v>44267</v>
      </c>
      <c r="D298" s="879">
        <v>170.336105</v>
      </c>
      <c r="E298" s="874">
        <v>3638700</v>
      </c>
      <c r="F298" s="16"/>
      <c r="G298" s="16"/>
      <c r="H298" s="16"/>
      <c r="I298" s="16"/>
      <c r="J298" s="16"/>
      <c r="K298" s="16"/>
      <c r="L298" s="16"/>
      <c r="M298" s="16"/>
      <c r="N298" s="16"/>
      <c r="O298" s="16"/>
      <c r="P298" s="16"/>
      <c r="Q298" s="16"/>
      <c r="R298" s="16"/>
      <c r="S298" s="16"/>
      <c r="T298" s="16"/>
      <c r="U298" s="16"/>
      <c r="V298" s="16"/>
      <c r="W298" s="16"/>
      <c r="X298" s="16"/>
      <c r="Y298" s="16"/>
      <c r="Z298" s="16"/>
      <c r="AA298" s="16"/>
      <c r="AB298" s="16"/>
      <c r="AC298" s="16"/>
      <c r="AD298" s="16"/>
    </row>
    <row r="299" ht="13.5" customHeight="1" spans="1:30" x14ac:dyDescent="0.25">
      <c r="A299" s="17"/>
      <c r="B299" s="16"/>
      <c r="C299" s="878">
        <v>44266</v>
      </c>
      <c r="D299" s="879">
        <v>169.541763</v>
      </c>
      <c r="E299" s="874">
        <v>4989600</v>
      </c>
      <c r="F299" s="16"/>
      <c r="G299" s="16"/>
      <c r="H299" s="16"/>
      <c r="I299" s="16"/>
      <c r="J299" s="16"/>
      <c r="K299" s="16"/>
      <c r="L299" s="16"/>
      <c r="M299" s="16"/>
      <c r="N299" s="16"/>
      <c r="O299" s="16"/>
      <c r="P299" s="16"/>
      <c r="Q299" s="16"/>
      <c r="R299" s="16"/>
      <c r="S299" s="16"/>
      <c r="T299" s="16"/>
      <c r="U299" s="16"/>
      <c r="V299" s="16"/>
      <c r="W299" s="16"/>
      <c r="X299" s="16"/>
      <c r="Y299" s="16"/>
      <c r="Z299" s="16"/>
      <c r="AA299" s="16"/>
      <c r="AB299" s="16"/>
      <c r="AC299" s="16"/>
      <c r="AD299" s="16"/>
    </row>
    <row r="300" ht="13.5" customHeight="1" spans="1:30" x14ac:dyDescent="0.25">
      <c r="A300" s="17"/>
      <c r="B300" s="16"/>
      <c r="C300" s="878">
        <v>44265</v>
      </c>
      <c r="D300" s="879">
        <v>167.267975</v>
      </c>
      <c r="E300" s="874">
        <v>3394900</v>
      </c>
      <c r="F300" s="16"/>
      <c r="G300" s="16"/>
      <c r="H300" s="16"/>
      <c r="I300" s="16"/>
      <c r="J300" s="16"/>
      <c r="K300" s="16"/>
      <c r="L300" s="16"/>
      <c r="M300" s="16"/>
      <c r="N300" s="16"/>
      <c r="O300" s="16"/>
      <c r="P300" s="16"/>
      <c r="Q300" s="16"/>
      <c r="R300" s="16"/>
      <c r="S300" s="16"/>
      <c r="T300" s="16"/>
      <c r="U300" s="16"/>
      <c r="V300" s="16"/>
      <c r="W300" s="16"/>
      <c r="X300" s="16"/>
      <c r="Y300" s="16"/>
      <c r="Z300" s="16"/>
      <c r="AA300" s="16"/>
      <c r="AB300" s="16"/>
      <c r="AC300" s="16"/>
      <c r="AD300" s="16"/>
    </row>
    <row r="301" ht="13.5" customHeight="1" spans="1:30" x14ac:dyDescent="0.25">
      <c r="A301" s="17"/>
      <c r="B301" s="16"/>
      <c r="C301" s="878">
        <v>44264</v>
      </c>
      <c r="D301" s="879">
        <v>164.81546</v>
      </c>
      <c r="E301" s="874">
        <v>4585200</v>
      </c>
      <c r="F301" s="16"/>
      <c r="G301" s="16"/>
      <c r="H301" s="16"/>
      <c r="I301" s="16"/>
      <c r="J301" s="16"/>
      <c r="K301" s="16"/>
      <c r="L301" s="16"/>
      <c r="M301" s="16"/>
      <c r="N301" s="16"/>
      <c r="O301" s="16"/>
      <c r="P301" s="16"/>
      <c r="Q301" s="16"/>
      <c r="R301" s="16"/>
      <c r="S301" s="16"/>
      <c r="T301" s="16"/>
      <c r="U301" s="16"/>
      <c r="V301" s="16"/>
      <c r="W301" s="16"/>
      <c r="X301" s="16"/>
      <c r="Y301" s="16"/>
      <c r="Z301" s="16"/>
      <c r="AA301" s="16"/>
      <c r="AB301" s="16"/>
      <c r="AC301" s="16"/>
      <c r="AD301" s="16"/>
    </row>
    <row r="302" ht="13.5" customHeight="1" spans="1:30" x14ac:dyDescent="0.25">
      <c r="A302" s="17"/>
      <c r="B302" s="16"/>
      <c r="C302" s="878">
        <v>44263</v>
      </c>
      <c r="D302" s="879">
        <v>161.767166</v>
      </c>
      <c r="E302" s="874">
        <v>4613400</v>
      </c>
      <c r="F302" s="16"/>
      <c r="G302" s="16"/>
      <c r="H302" s="16"/>
      <c r="I302" s="16"/>
      <c r="J302" s="16"/>
      <c r="K302" s="16"/>
      <c r="L302" s="16"/>
      <c r="M302" s="16"/>
      <c r="N302" s="16"/>
      <c r="O302" s="16"/>
      <c r="P302" s="16"/>
      <c r="Q302" s="16"/>
      <c r="R302" s="16"/>
      <c r="S302" s="16"/>
      <c r="T302" s="16"/>
      <c r="U302" s="16"/>
      <c r="V302" s="16"/>
      <c r="W302" s="16"/>
      <c r="X302" s="16"/>
      <c r="Y302" s="16"/>
      <c r="Z302" s="16"/>
      <c r="AA302" s="16"/>
      <c r="AB302" s="16"/>
      <c r="AC302" s="16"/>
      <c r="AD302" s="16"/>
    </row>
    <row r="303" ht="13.5" customHeight="1" spans="1:30" x14ac:dyDescent="0.25">
      <c r="A303" s="17"/>
      <c r="B303" s="16"/>
      <c r="C303" s="878">
        <v>44260</v>
      </c>
      <c r="D303" s="879">
        <v>157.457886</v>
      </c>
      <c r="E303" s="874">
        <v>5143100</v>
      </c>
      <c r="F303" s="16"/>
      <c r="G303" s="16"/>
      <c r="H303" s="16"/>
      <c r="I303" s="16"/>
      <c r="J303" s="16"/>
      <c r="K303" s="16"/>
      <c r="L303" s="16"/>
      <c r="M303" s="16"/>
      <c r="N303" s="16"/>
      <c r="O303" s="16"/>
      <c r="P303" s="16"/>
      <c r="Q303" s="16"/>
      <c r="R303" s="16"/>
      <c r="S303" s="16"/>
      <c r="T303" s="16"/>
      <c r="U303" s="16"/>
      <c r="V303" s="16"/>
      <c r="W303" s="16"/>
      <c r="X303" s="16"/>
      <c r="Y303" s="16"/>
      <c r="Z303" s="16"/>
      <c r="AA303" s="16"/>
      <c r="AB303" s="16"/>
      <c r="AC303" s="16"/>
      <c r="AD303" s="16"/>
    </row>
    <row r="304" ht="13.5" customHeight="1" spans="1:30" x14ac:dyDescent="0.25">
      <c r="A304" s="17"/>
      <c r="B304" s="16"/>
      <c r="C304" s="878">
        <v>44259</v>
      </c>
      <c r="D304" s="879">
        <v>152.681915</v>
      </c>
      <c r="E304" s="874">
        <v>7792700</v>
      </c>
      <c r="F304" s="16"/>
      <c r="G304" s="16"/>
      <c r="H304" s="16"/>
      <c r="I304" s="16"/>
      <c r="J304" s="16"/>
      <c r="K304" s="16"/>
      <c r="L304" s="16"/>
      <c r="M304" s="16"/>
      <c r="N304" s="16"/>
      <c r="O304" s="16"/>
      <c r="P304" s="16"/>
      <c r="Q304" s="16"/>
      <c r="R304" s="16"/>
      <c r="S304" s="16"/>
      <c r="T304" s="16"/>
      <c r="U304" s="16"/>
      <c r="V304" s="16"/>
      <c r="W304" s="16"/>
      <c r="X304" s="16"/>
      <c r="Y304" s="16"/>
      <c r="Z304" s="16"/>
      <c r="AA304" s="16"/>
      <c r="AB304" s="16"/>
      <c r="AC304" s="16"/>
      <c r="AD304" s="16"/>
    </row>
    <row r="305" ht="13.5" customHeight="1" spans="1:30" x14ac:dyDescent="0.25">
      <c r="A305" s="17"/>
      <c r="B305" s="16"/>
      <c r="C305" s="878">
        <v>44258</v>
      </c>
      <c r="D305" s="879">
        <v>157.169922</v>
      </c>
      <c r="E305" s="874">
        <v>5238500</v>
      </c>
      <c r="F305" s="16"/>
      <c r="G305" s="16"/>
      <c r="H305" s="16"/>
      <c r="I305" s="16"/>
      <c r="J305" s="16"/>
      <c r="K305" s="16"/>
      <c r="L305" s="16"/>
      <c r="M305" s="16"/>
      <c r="N305" s="16"/>
      <c r="O305" s="16"/>
      <c r="P305" s="16"/>
      <c r="Q305" s="16"/>
      <c r="R305" s="16"/>
      <c r="S305" s="16"/>
      <c r="T305" s="16"/>
      <c r="U305" s="16"/>
      <c r="V305" s="16"/>
      <c r="W305" s="16"/>
      <c r="X305" s="16"/>
      <c r="Y305" s="16"/>
      <c r="Z305" s="16"/>
      <c r="AA305" s="16"/>
      <c r="AB305" s="16"/>
      <c r="AC305" s="16"/>
      <c r="AD305" s="16"/>
    </row>
    <row r="306" ht="13.5" customHeight="1" spans="1:30" x14ac:dyDescent="0.25">
      <c r="A306" s="17"/>
      <c r="B306" s="16"/>
      <c r="C306" s="878">
        <v>44257</v>
      </c>
      <c r="D306" s="879">
        <v>161.89624</v>
      </c>
      <c r="E306" s="874">
        <v>4330900</v>
      </c>
      <c r="F306" s="16"/>
      <c r="G306" s="16"/>
      <c r="H306" s="16"/>
      <c r="I306" s="16"/>
      <c r="J306" s="16"/>
      <c r="K306" s="16"/>
      <c r="L306" s="16"/>
      <c r="M306" s="16"/>
      <c r="N306" s="16"/>
      <c r="O306" s="16"/>
      <c r="P306" s="16"/>
      <c r="Q306" s="16"/>
      <c r="R306" s="16"/>
      <c r="S306" s="16"/>
      <c r="T306" s="16"/>
      <c r="U306" s="16"/>
      <c r="V306" s="16"/>
      <c r="W306" s="16"/>
      <c r="X306" s="16"/>
      <c r="Y306" s="16"/>
      <c r="Z306" s="16"/>
      <c r="AA306" s="16"/>
      <c r="AB306" s="16"/>
      <c r="AC306" s="16"/>
      <c r="AD306" s="16"/>
    </row>
    <row r="307" ht="13.5" customHeight="1" spans="1:30" x14ac:dyDescent="0.25">
      <c r="A307" s="17"/>
      <c r="B307" s="16"/>
      <c r="C307" s="878">
        <v>44256</v>
      </c>
      <c r="D307" s="879">
        <v>160.794098</v>
      </c>
      <c r="E307" s="874">
        <v>3361100</v>
      </c>
      <c r="F307" s="16"/>
      <c r="G307" s="16"/>
      <c r="H307" s="16"/>
      <c r="I307" s="16"/>
      <c r="J307" s="16"/>
      <c r="K307" s="16"/>
      <c r="L307" s="16"/>
      <c r="M307" s="16"/>
      <c r="N307" s="16"/>
      <c r="O307" s="16"/>
      <c r="P307" s="16"/>
      <c r="Q307" s="16"/>
      <c r="R307" s="16"/>
      <c r="S307" s="16"/>
      <c r="T307" s="16"/>
      <c r="U307" s="16"/>
      <c r="V307" s="16"/>
      <c r="W307" s="16"/>
      <c r="X307" s="16"/>
      <c r="Y307" s="16"/>
      <c r="Z307" s="16"/>
      <c r="AA307" s="16"/>
      <c r="AB307" s="16"/>
      <c r="AC307" s="16"/>
      <c r="AD307" s="16"/>
    </row>
    <row r="308" ht="13.5" customHeight="1" spans="1:30" x14ac:dyDescent="0.25">
      <c r="A308" s="17"/>
      <c r="B308" s="16"/>
      <c r="C308" s="878">
        <v>44253</v>
      </c>
      <c r="D308" s="879">
        <v>158.619598</v>
      </c>
      <c r="E308" s="874">
        <v>6030400</v>
      </c>
      <c r="F308" s="16"/>
      <c r="G308" s="16"/>
      <c r="H308" s="16"/>
      <c r="I308" s="16"/>
      <c r="J308" s="16"/>
      <c r="K308" s="16"/>
      <c r="L308" s="16"/>
      <c r="M308" s="16"/>
      <c r="N308" s="16"/>
      <c r="O308" s="16"/>
      <c r="P308" s="16"/>
      <c r="Q308" s="16"/>
      <c r="R308" s="16"/>
      <c r="S308" s="16"/>
      <c r="T308" s="16"/>
      <c r="U308" s="16"/>
      <c r="V308" s="16"/>
      <c r="W308" s="16"/>
      <c r="X308" s="16"/>
      <c r="Y308" s="16"/>
      <c r="Z308" s="16"/>
      <c r="AA308" s="16"/>
      <c r="AB308" s="16"/>
      <c r="AC308" s="16"/>
      <c r="AD308" s="16"/>
    </row>
    <row r="309" ht="13.5" customHeight="1" spans="1:30" x14ac:dyDescent="0.25">
      <c r="A309" s="17"/>
      <c r="B309" s="16"/>
      <c r="C309" s="878">
        <v>44252</v>
      </c>
      <c r="D309" s="879">
        <v>157.398315</v>
      </c>
      <c r="E309" s="874">
        <v>6639300</v>
      </c>
      <c r="F309" s="16"/>
      <c r="G309" s="16"/>
      <c r="H309" s="16"/>
      <c r="I309" s="16"/>
      <c r="J309" s="16"/>
      <c r="K309" s="16"/>
      <c r="L309" s="16"/>
      <c r="M309" s="16"/>
      <c r="N309" s="16"/>
      <c r="O309" s="16"/>
      <c r="P309" s="16"/>
      <c r="Q309" s="16"/>
      <c r="R309" s="16"/>
      <c r="S309" s="16"/>
      <c r="T309" s="16"/>
      <c r="U309" s="16"/>
      <c r="V309" s="16"/>
      <c r="W309" s="16"/>
      <c r="X309" s="16"/>
      <c r="Y309" s="16"/>
      <c r="Z309" s="16"/>
      <c r="AA309" s="16"/>
      <c r="AB309" s="16"/>
      <c r="AC309" s="16"/>
      <c r="AD309" s="16"/>
    </row>
    <row r="310" ht="13.5" customHeight="1" spans="1:30" x14ac:dyDescent="0.25">
      <c r="A310" s="17"/>
      <c r="B310" s="16"/>
      <c r="C310" s="878">
        <v>44251</v>
      </c>
      <c r="D310" s="879">
        <v>161.161484</v>
      </c>
      <c r="E310" s="874">
        <v>9972300</v>
      </c>
      <c r="F310" s="16"/>
      <c r="G310" s="16"/>
      <c r="H310" s="16"/>
      <c r="I310" s="16"/>
      <c r="J310" s="16"/>
      <c r="K310" s="16"/>
      <c r="L310" s="16"/>
      <c r="M310" s="16"/>
      <c r="N310" s="16"/>
      <c r="O310" s="16"/>
      <c r="P310" s="16"/>
      <c r="Q310" s="16"/>
      <c r="R310" s="16"/>
      <c r="S310" s="16"/>
      <c r="T310" s="16"/>
      <c r="U310" s="16"/>
      <c r="V310" s="16"/>
      <c r="W310" s="16"/>
      <c r="X310" s="16"/>
      <c r="Y310" s="16"/>
      <c r="Z310" s="16"/>
      <c r="AA310" s="16"/>
      <c r="AB310" s="16"/>
      <c r="AC310" s="16"/>
      <c r="AD310" s="16"/>
    </row>
    <row r="311" ht="13.5" customHeight="1" spans="1:30" x14ac:dyDescent="0.25">
      <c r="A311" s="17"/>
      <c r="B311" s="16"/>
      <c r="C311" s="878">
        <v>44250</v>
      </c>
      <c r="D311" s="879">
        <v>167.397049</v>
      </c>
      <c r="E311" s="874">
        <v>5149500</v>
      </c>
      <c r="F311" s="16"/>
      <c r="G311" s="16"/>
      <c r="H311" s="16"/>
      <c r="I311" s="16"/>
      <c r="J311" s="16"/>
      <c r="K311" s="16"/>
      <c r="L311" s="16"/>
      <c r="M311" s="16"/>
      <c r="N311" s="16"/>
      <c r="O311" s="16"/>
      <c r="P311" s="16"/>
      <c r="Q311" s="16"/>
      <c r="R311" s="16"/>
      <c r="S311" s="16"/>
      <c r="T311" s="16"/>
      <c r="U311" s="16"/>
      <c r="V311" s="16"/>
      <c r="W311" s="16"/>
      <c r="X311" s="16"/>
      <c r="Y311" s="16"/>
      <c r="Z311" s="16"/>
      <c r="AA311" s="16"/>
      <c r="AB311" s="16"/>
      <c r="AC311" s="16"/>
      <c r="AD311" s="16"/>
    </row>
    <row r="312" ht="13.5" customHeight="1" spans="1:30" x14ac:dyDescent="0.25">
      <c r="A312" s="17"/>
      <c r="B312" s="16"/>
      <c r="C312" s="878">
        <v>44249</v>
      </c>
      <c r="D312" s="879">
        <v>171.190018</v>
      </c>
      <c r="E312" s="874">
        <v>3767700</v>
      </c>
      <c r="F312" s="16"/>
      <c r="G312" s="16"/>
      <c r="H312" s="16"/>
      <c r="I312" s="16"/>
      <c r="J312" s="16"/>
      <c r="K312" s="16"/>
      <c r="L312" s="16"/>
      <c r="M312" s="16"/>
      <c r="N312" s="16"/>
      <c r="O312" s="16"/>
      <c r="P312" s="16"/>
      <c r="Q312" s="16"/>
      <c r="R312" s="16"/>
      <c r="S312" s="16"/>
      <c r="T312" s="16"/>
      <c r="U312" s="16"/>
      <c r="V312" s="16"/>
      <c r="W312" s="16"/>
      <c r="X312" s="16"/>
      <c r="Y312" s="16"/>
      <c r="Z312" s="16"/>
      <c r="AA312" s="16"/>
      <c r="AB312" s="16"/>
      <c r="AC312" s="16"/>
      <c r="AD312" s="16"/>
    </row>
    <row r="313" ht="13.5" customHeight="1" spans="1:30" x14ac:dyDescent="0.25">
      <c r="A313" s="17"/>
      <c r="B313" s="16"/>
      <c r="C313" s="878">
        <v>44246</v>
      </c>
      <c r="D313" s="879">
        <v>176.283722</v>
      </c>
      <c r="E313" s="874">
        <v>2842000</v>
      </c>
      <c r="F313" s="16"/>
      <c r="G313" s="16"/>
      <c r="H313" s="16"/>
      <c r="I313" s="16"/>
      <c r="J313" s="16"/>
      <c r="K313" s="16"/>
      <c r="L313" s="16"/>
      <c r="M313" s="16"/>
      <c r="N313" s="16"/>
      <c r="O313" s="16"/>
      <c r="P313" s="16"/>
      <c r="Q313" s="16"/>
      <c r="R313" s="16"/>
      <c r="S313" s="16"/>
      <c r="T313" s="16"/>
      <c r="U313" s="16"/>
      <c r="V313" s="16"/>
      <c r="W313" s="16"/>
      <c r="X313" s="16"/>
      <c r="Y313" s="16"/>
      <c r="Z313" s="16"/>
      <c r="AA313" s="16"/>
      <c r="AB313" s="16"/>
      <c r="AC313" s="16"/>
      <c r="AD313" s="16"/>
    </row>
    <row r="314" ht="13.5" customHeight="1" spans="1:30" x14ac:dyDescent="0.25">
      <c r="A314" s="17"/>
      <c r="B314" s="16"/>
      <c r="C314" s="878">
        <v>44245</v>
      </c>
      <c r="D314" s="879">
        <v>175.906418</v>
      </c>
      <c r="E314" s="874">
        <v>2758700</v>
      </c>
      <c r="F314" s="16"/>
      <c r="G314" s="16"/>
      <c r="H314" s="16"/>
      <c r="I314" s="16"/>
      <c r="J314" s="16"/>
      <c r="K314" s="16"/>
      <c r="L314" s="16"/>
      <c r="M314" s="16"/>
      <c r="N314" s="16"/>
      <c r="O314" s="16"/>
      <c r="P314" s="16"/>
      <c r="Q314" s="16"/>
      <c r="R314" s="16"/>
      <c r="S314" s="16"/>
      <c r="T314" s="16"/>
      <c r="U314" s="16"/>
      <c r="V314" s="16"/>
      <c r="W314" s="16"/>
      <c r="X314" s="16"/>
      <c r="Y314" s="16"/>
      <c r="Z314" s="16"/>
      <c r="AA314" s="16"/>
      <c r="AB314" s="16"/>
      <c r="AC314" s="16"/>
      <c r="AD314" s="16"/>
    </row>
    <row r="315" ht="13.5" customHeight="1" spans="1:30" x14ac:dyDescent="0.25">
      <c r="A315" s="17"/>
      <c r="B315" s="16"/>
      <c r="C315" s="878">
        <v>44244</v>
      </c>
      <c r="D315" s="879">
        <v>175.876633</v>
      </c>
      <c r="E315" s="874">
        <v>2244100</v>
      </c>
      <c r="F315" s="16"/>
      <c r="G315" s="16"/>
      <c r="H315" s="16"/>
      <c r="I315" s="16"/>
      <c r="J315" s="16"/>
      <c r="K315" s="16"/>
      <c r="L315" s="16"/>
      <c r="M315" s="16"/>
      <c r="N315" s="16"/>
      <c r="O315" s="16"/>
      <c r="P315" s="16"/>
      <c r="Q315" s="16"/>
      <c r="R315" s="16"/>
      <c r="S315" s="16"/>
      <c r="T315" s="16"/>
      <c r="U315" s="16"/>
      <c r="V315" s="16"/>
      <c r="W315" s="16"/>
      <c r="X315" s="16"/>
      <c r="Y315" s="16"/>
      <c r="Z315" s="16"/>
      <c r="AA315" s="16"/>
      <c r="AB315" s="16"/>
      <c r="AC315" s="16"/>
      <c r="AD315" s="16"/>
    </row>
    <row r="316" ht="13.5" customHeight="1" spans="1:30" x14ac:dyDescent="0.25">
      <c r="A316" s="17"/>
      <c r="B316" s="16"/>
      <c r="C316" s="878">
        <v>44243</v>
      </c>
      <c r="D316" s="879">
        <v>172.828339</v>
      </c>
      <c r="E316" s="874">
        <v>2947700</v>
      </c>
      <c r="F316" s="16"/>
      <c r="G316" s="16"/>
      <c r="H316" s="16"/>
      <c r="I316" s="16"/>
      <c r="J316" s="16"/>
      <c r="K316" s="16"/>
      <c r="L316" s="16"/>
      <c r="M316" s="16"/>
      <c r="N316" s="16"/>
      <c r="O316" s="16"/>
      <c r="P316" s="16"/>
      <c r="Q316" s="16"/>
      <c r="R316" s="16"/>
      <c r="S316" s="16"/>
      <c r="T316" s="16"/>
      <c r="U316" s="16"/>
      <c r="V316" s="16"/>
      <c r="W316" s="16"/>
      <c r="X316" s="16"/>
      <c r="Y316" s="16"/>
      <c r="Z316" s="16"/>
      <c r="AA316" s="16"/>
      <c r="AB316" s="16"/>
      <c r="AC316" s="16"/>
      <c r="AD316" s="16"/>
    </row>
    <row r="317" ht="13.5" customHeight="1" spans="1:30" x14ac:dyDescent="0.25">
      <c r="A317" s="17"/>
      <c r="B317" s="16"/>
      <c r="C317" s="878">
        <v>44239</v>
      </c>
      <c r="D317" s="879">
        <v>175.906418</v>
      </c>
      <c r="E317" s="874">
        <v>2035500</v>
      </c>
      <c r="F317" s="16"/>
      <c r="G317" s="16"/>
      <c r="H317" s="16"/>
      <c r="I317" s="16"/>
      <c r="J317" s="16"/>
      <c r="K317" s="16"/>
      <c r="L317" s="16"/>
      <c r="M317" s="16"/>
      <c r="N317" s="16"/>
      <c r="O317" s="16"/>
      <c r="P317" s="16"/>
      <c r="Q317" s="16"/>
      <c r="R317" s="16"/>
      <c r="S317" s="16"/>
      <c r="T317" s="16"/>
      <c r="U317" s="16"/>
      <c r="V317" s="16"/>
      <c r="W317" s="16"/>
      <c r="X317" s="16"/>
      <c r="Y317" s="16"/>
      <c r="Z317" s="16"/>
      <c r="AA317" s="16"/>
      <c r="AB317" s="16"/>
      <c r="AC317" s="16"/>
      <c r="AD317" s="16"/>
    </row>
    <row r="318" ht="13.5" customHeight="1" spans="1:30" x14ac:dyDescent="0.25">
      <c r="A318" s="17"/>
      <c r="B318" s="16"/>
      <c r="C318" s="878">
        <v>44238</v>
      </c>
      <c r="D318" s="879">
        <v>174.486511</v>
      </c>
      <c r="E318" s="874">
        <v>2783900</v>
      </c>
      <c r="F318" s="16"/>
      <c r="G318" s="16"/>
      <c r="H318" s="16"/>
      <c r="I318" s="16"/>
      <c r="J318" s="16"/>
      <c r="K318" s="16"/>
      <c r="L318" s="16"/>
      <c r="M318" s="16"/>
      <c r="N318" s="16"/>
      <c r="O318" s="16"/>
      <c r="P318" s="16"/>
      <c r="Q318" s="16"/>
      <c r="R318" s="16"/>
      <c r="S318" s="16"/>
      <c r="T318" s="16"/>
      <c r="U318" s="16"/>
      <c r="V318" s="16"/>
      <c r="W318" s="16"/>
      <c r="X318" s="16"/>
      <c r="Y318" s="16"/>
      <c r="Z318" s="16"/>
      <c r="AA318" s="16"/>
      <c r="AB318" s="16"/>
      <c r="AC318" s="16"/>
      <c r="AD318" s="16"/>
    </row>
    <row r="319" ht="13.5" customHeight="1" spans="1:30" x14ac:dyDescent="0.25">
      <c r="A319" s="17"/>
      <c r="B319" s="16"/>
      <c r="C319" s="878">
        <v>44237</v>
      </c>
      <c r="D319" s="879">
        <v>175.98584</v>
      </c>
      <c r="E319" s="874">
        <v>2837900</v>
      </c>
      <c r="F319" s="16"/>
      <c r="G319" s="16"/>
      <c r="H319" s="16"/>
      <c r="I319" s="16"/>
      <c r="J319" s="16"/>
      <c r="K319" s="16"/>
      <c r="L319" s="16"/>
      <c r="M319" s="16"/>
      <c r="N319" s="16"/>
      <c r="O319" s="16"/>
      <c r="P319" s="16"/>
      <c r="Q319" s="16"/>
      <c r="R319" s="16"/>
      <c r="S319" s="16"/>
      <c r="T319" s="16"/>
      <c r="U319" s="16"/>
      <c r="V319" s="16"/>
      <c r="W319" s="16"/>
      <c r="X319" s="16"/>
      <c r="Y319" s="16"/>
      <c r="Z319" s="16"/>
      <c r="AA319" s="16"/>
      <c r="AB319" s="16"/>
      <c r="AC319" s="16"/>
      <c r="AD319" s="16"/>
    </row>
    <row r="320" ht="13.5" customHeight="1" spans="1:30" x14ac:dyDescent="0.25">
      <c r="A320" s="17"/>
      <c r="B320" s="16"/>
      <c r="C320" s="878">
        <v>44236</v>
      </c>
      <c r="D320" s="879">
        <v>176.522018</v>
      </c>
      <c r="E320" s="874">
        <v>2723800</v>
      </c>
      <c r="F320" s="16"/>
      <c r="G320" s="16"/>
      <c r="H320" s="16"/>
      <c r="I320" s="16"/>
      <c r="J320" s="16"/>
      <c r="K320" s="16"/>
      <c r="L320" s="16"/>
      <c r="M320" s="16"/>
      <c r="N320" s="16"/>
      <c r="O320" s="16"/>
      <c r="P320" s="16"/>
      <c r="Q320" s="16"/>
      <c r="R320" s="16"/>
      <c r="S320" s="16"/>
      <c r="T320" s="16"/>
      <c r="U320" s="16"/>
      <c r="V320" s="16"/>
      <c r="W320" s="16"/>
      <c r="X320" s="16"/>
      <c r="Y320" s="16"/>
      <c r="Z320" s="16"/>
      <c r="AA320" s="16"/>
      <c r="AB320" s="16"/>
      <c r="AC320" s="16"/>
      <c r="AD320" s="16"/>
    </row>
    <row r="321" ht="13.5" customHeight="1" spans="1:30" x14ac:dyDescent="0.25">
      <c r="A321" s="17"/>
      <c r="B321" s="16"/>
      <c r="C321" s="878">
        <v>44235</v>
      </c>
      <c r="D321" s="879">
        <v>177.902176</v>
      </c>
      <c r="E321" s="874">
        <v>3421800</v>
      </c>
      <c r="F321" s="16"/>
      <c r="G321" s="16"/>
      <c r="H321" s="16"/>
      <c r="I321" s="16"/>
      <c r="J321" s="16"/>
      <c r="K321" s="16"/>
      <c r="L321" s="16"/>
      <c r="M321" s="16"/>
      <c r="N321" s="16"/>
      <c r="O321" s="16"/>
      <c r="P321" s="16"/>
      <c r="Q321" s="16"/>
      <c r="R321" s="16"/>
      <c r="S321" s="16"/>
      <c r="T321" s="16"/>
      <c r="U321" s="16"/>
      <c r="V321" s="16"/>
      <c r="W321" s="16"/>
      <c r="X321" s="16"/>
      <c r="Y321" s="16"/>
      <c r="Z321" s="16"/>
      <c r="AA321" s="16"/>
      <c r="AB321" s="16"/>
      <c r="AC321" s="16"/>
      <c r="AD321" s="16"/>
    </row>
    <row r="322" ht="13.5" customHeight="1" spans="1:30" x14ac:dyDescent="0.25">
      <c r="A322" s="17"/>
      <c r="B322" s="16"/>
      <c r="C322" s="878">
        <v>44232</v>
      </c>
      <c r="D322" s="879">
        <v>173.791473</v>
      </c>
      <c r="E322" s="874">
        <v>2562700</v>
      </c>
      <c r="F322" s="16"/>
      <c r="G322" s="16"/>
      <c r="H322" s="16"/>
      <c r="I322" s="16"/>
      <c r="J322" s="16"/>
      <c r="K322" s="16"/>
      <c r="L322" s="16"/>
      <c r="M322" s="16"/>
      <c r="N322" s="16"/>
      <c r="O322" s="16"/>
      <c r="P322" s="16"/>
      <c r="Q322" s="16"/>
      <c r="R322" s="16"/>
      <c r="S322" s="16"/>
      <c r="T322" s="16"/>
      <c r="U322" s="16"/>
      <c r="V322" s="16"/>
      <c r="W322" s="16"/>
      <c r="X322" s="16"/>
      <c r="Y322" s="16"/>
      <c r="Z322" s="16"/>
      <c r="AA322" s="16"/>
      <c r="AB322" s="16"/>
      <c r="AC322" s="16"/>
      <c r="AD322" s="16"/>
    </row>
    <row r="323" ht="13.5" customHeight="1" spans="1:30" x14ac:dyDescent="0.25">
      <c r="A323" s="17"/>
      <c r="B323" s="16"/>
      <c r="C323" s="878">
        <v>44231</v>
      </c>
      <c r="D323" s="879">
        <v>171.805634</v>
      </c>
      <c r="E323" s="874">
        <v>2679800</v>
      </c>
      <c r="F323" s="16"/>
      <c r="G323" s="16"/>
      <c r="H323" s="16"/>
      <c r="I323" s="16"/>
      <c r="J323" s="16"/>
      <c r="K323" s="16"/>
      <c r="L323" s="16"/>
      <c r="M323" s="16"/>
      <c r="N323" s="16"/>
      <c r="O323" s="16"/>
      <c r="P323" s="16"/>
      <c r="Q323" s="16"/>
      <c r="R323" s="16"/>
      <c r="S323" s="16"/>
      <c r="T323" s="16"/>
      <c r="U323" s="16"/>
      <c r="V323" s="16"/>
      <c r="W323" s="16"/>
      <c r="X323" s="16"/>
      <c r="Y323" s="16"/>
      <c r="Z323" s="16"/>
      <c r="AA323" s="16"/>
      <c r="AB323" s="16"/>
      <c r="AC323" s="16"/>
      <c r="AD323" s="16"/>
    </row>
    <row r="324" ht="13.5" customHeight="1" spans="1:30" x14ac:dyDescent="0.25">
      <c r="A324" s="17"/>
      <c r="B324" s="16"/>
      <c r="C324" s="878">
        <v>44230</v>
      </c>
      <c r="D324" s="879">
        <v>168.677933</v>
      </c>
      <c r="E324" s="874">
        <v>2996500</v>
      </c>
      <c r="F324" s="16"/>
      <c r="G324" s="16"/>
      <c r="H324" s="16"/>
      <c r="I324" s="16"/>
      <c r="J324" s="16"/>
      <c r="K324" s="16"/>
      <c r="L324" s="16"/>
      <c r="M324" s="16"/>
      <c r="N324" s="16"/>
      <c r="O324" s="16"/>
      <c r="P324" s="16"/>
      <c r="Q324" s="16"/>
      <c r="R324" s="16"/>
      <c r="S324" s="16"/>
      <c r="T324" s="16"/>
      <c r="U324" s="16"/>
      <c r="V324" s="16"/>
      <c r="W324" s="16"/>
      <c r="X324" s="16"/>
      <c r="Y324" s="16"/>
      <c r="Z324" s="16"/>
      <c r="AA324" s="16"/>
      <c r="AB324" s="16"/>
      <c r="AC324" s="16"/>
      <c r="AD324" s="16"/>
    </row>
    <row r="325" ht="13.5" customHeight="1" spans="1:30" x14ac:dyDescent="0.25">
      <c r="A325" s="17"/>
      <c r="B325" s="16"/>
      <c r="C325" s="878">
        <v>44229</v>
      </c>
      <c r="D325" s="879">
        <v>165.480713</v>
      </c>
      <c r="E325" s="874">
        <v>3181900</v>
      </c>
      <c r="F325" s="16"/>
      <c r="G325" s="16"/>
      <c r="H325" s="16"/>
      <c r="I325" s="16"/>
      <c r="J325" s="16"/>
      <c r="K325" s="16"/>
      <c r="L325" s="16"/>
      <c r="M325" s="16"/>
      <c r="N325" s="16"/>
      <c r="O325" s="16"/>
      <c r="P325" s="16"/>
      <c r="Q325" s="16"/>
      <c r="R325" s="16"/>
      <c r="S325" s="16"/>
      <c r="T325" s="16"/>
      <c r="U325" s="16"/>
      <c r="V325" s="16"/>
      <c r="W325" s="16"/>
      <c r="X325" s="16"/>
      <c r="Y325" s="16"/>
      <c r="Z325" s="16"/>
      <c r="AA325" s="16"/>
      <c r="AB325" s="16"/>
      <c r="AC325" s="16"/>
      <c r="AD325" s="16"/>
    </row>
    <row r="326" ht="13.5" customHeight="1" spans="1:30" x14ac:dyDescent="0.25">
      <c r="A326" s="17"/>
      <c r="B326" s="16"/>
      <c r="C326" s="878">
        <v>44228</v>
      </c>
      <c r="D326" s="879">
        <v>162.213989</v>
      </c>
      <c r="E326" s="874">
        <v>3898500</v>
      </c>
      <c r="F326" s="16"/>
      <c r="G326" s="16"/>
      <c r="H326" s="16"/>
      <c r="I326" s="16"/>
      <c r="J326" s="16"/>
      <c r="K326" s="16"/>
      <c r="L326" s="16"/>
      <c r="M326" s="16"/>
      <c r="N326" s="16"/>
      <c r="O326" s="16"/>
      <c r="P326" s="16"/>
      <c r="Q326" s="16"/>
      <c r="R326" s="16"/>
      <c r="S326" s="16"/>
      <c r="T326" s="16"/>
      <c r="U326" s="16"/>
      <c r="V326" s="16"/>
      <c r="W326" s="16"/>
      <c r="X326" s="16"/>
      <c r="Y326" s="16"/>
      <c r="Z326" s="16"/>
      <c r="AA326" s="16"/>
      <c r="AB326" s="16"/>
      <c r="AC326" s="16"/>
      <c r="AD326" s="16"/>
    </row>
    <row r="327" ht="13.5" customHeight="1" spans="1:30" x14ac:dyDescent="0.25">
      <c r="A327" s="17"/>
      <c r="B327" s="16"/>
      <c r="C327" s="878">
        <v>44225</v>
      </c>
      <c r="D327" s="879">
        <v>165.669373</v>
      </c>
      <c r="E327" s="874">
        <v>4400500</v>
      </c>
      <c r="F327" s="16"/>
      <c r="G327" s="16"/>
      <c r="H327" s="16"/>
      <c r="I327" s="16"/>
      <c r="J327" s="16"/>
      <c r="K327" s="16"/>
      <c r="L327" s="16"/>
      <c r="M327" s="16"/>
      <c r="N327" s="16"/>
      <c r="O327" s="16"/>
      <c r="P327" s="16"/>
      <c r="Q327" s="16"/>
      <c r="R327" s="16"/>
      <c r="S327" s="16"/>
      <c r="T327" s="16"/>
      <c r="U327" s="16"/>
      <c r="V327" s="16"/>
      <c r="W327" s="16"/>
      <c r="X327" s="16"/>
      <c r="Y327" s="16"/>
      <c r="Z327" s="16"/>
      <c r="AA327" s="16"/>
      <c r="AB327" s="16"/>
      <c r="AC327" s="16"/>
      <c r="AD327" s="16"/>
    </row>
    <row r="328" ht="13.5" customHeight="1" spans="1:30" x14ac:dyDescent="0.25">
      <c r="A328" s="17"/>
      <c r="B328" s="16"/>
      <c r="C328" s="878">
        <v>44224</v>
      </c>
      <c r="D328" s="879">
        <v>171.12051400000001</v>
      </c>
      <c r="E328" s="874">
        <v>3816600</v>
      </c>
      <c r="F328" s="16"/>
      <c r="G328" s="16"/>
      <c r="H328" s="16"/>
      <c r="I328" s="16"/>
      <c r="J328" s="16"/>
      <c r="K328" s="16"/>
      <c r="L328" s="16"/>
      <c r="M328" s="16"/>
      <c r="N328" s="16"/>
      <c r="O328" s="16"/>
      <c r="P328" s="16"/>
      <c r="Q328" s="16"/>
      <c r="R328" s="16"/>
      <c r="S328" s="16"/>
      <c r="T328" s="16"/>
      <c r="U328" s="16"/>
      <c r="V328" s="16"/>
      <c r="W328" s="16"/>
      <c r="X328" s="16"/>
      <c r="Y328" s="16"/>
      <c r="Z328" s="16"/>
      <c r="AA328" s="16"/>
      <c r="AB328" s="16"/>
      <c r="AC328" s="16"/>
      <c r="AD328" s="16"/>
    </row>
    <row r="329" ht="13.5" customHeight="1" spans="1:30" x14ac:dyDescent="0.25">
      <c r="A329" s="17"/>
      <c r="B329" s="16"/>
      <c r="C329" s="878">
        <v>44223</v>
      </c>
      <c r="D329" s="879">
        <v>166.523285</v>
      </c>
      <c r="E329" s="874">
        <v>4762700</v>
      </c>
      <c r="F329" s="16"/>
      <c r="G329" s="16"/>
      <c r="H329" s="16"/>
      <c r="I329" s="16"/>
      <c r="J329" s="16"/>
      <c r="K329" s="16"/>
      <c r="L329" s="16"/>
      <c r="M329" s="16"/>
      <c r="N329" s="16"/>
      <c r="O329" s="16"/>
      <c r="P329" s="16"/>
      <c r="Q329" s="16"/>
      <c r="R329" s="16"/>
      <c r="S329" s="16"/>
      <c r="T329" s="16"/>
      <c r="U329" s="16"/>
      <c r="V329" s="16"/>
      <c r="W329" s="16"/>
      <c r="X329" s="16"/>
      <c r="Y329" s="16"/>
      <c r="Z329" s="16"/>
      <c r="AA329" s="16"/>
      <c r="AB329" s="16"/>
      <c r="AC329" s="16"/>
      <c r="AD329" s="16"/>
    </row>
    <row r="330" ht="13.5" customHeight="1" spans="1:30" x14ac:dyDescent="0.25">
      <c r="A330" s="17"/>
      <c r="B330" s="16"/>
      <c r="C330" s="878">
        <v>44222</v>
      </c>
      <c r="D330" s="879">
        <v>172.470886</v>
      </c>
      <c r="E330" s="874">
        <v>2496200</v>
      </c>
      <c r="F330" s="16"/>
      <c r="G330" s="16"/>
      <c r="H330" s="16"/>
      <c r="I330" s="16"/>
      <c r="J330" s="16"/>
      <c r="K330" s="16"/>
      <c r="L330" s="16"/>
      <c r="M330" s="16"/>
      <c r="N330" s="16"/>
      <c r="O330" s="16"/>
      <c r="P330" s="16"/>
      <c r="Q330" s="16"/>
      <c r="R330" s="16"/>
      <c r="S330" s="16"/>
      <c r="T330" s="16"/>
      <c r="U330" s="16"/>
      <c r="V330" s="16"/>
      <c r="W330" s="16"/>
      <c r="X330" s="16"/>
      <c r="Y330" s="16"/>
      <c r="Z330" s="16"/>
      <c r="AA330" s="16"/>
      <c r="AB330" s="16"/>
      <c r="AC330" s="16"/>
      <c r="AD330" s="16"/>
    </row>
    <row r="331" ht="13.5" customHeight="1" spans="1:30" x14ac:dyDescent="0.25">
      <c r="A331" s="17"/>
      <c r="B331" s="16"/>
      <c r="C331" s="878">
        <v>44221</v>
      </c>
      <c r="D331" s="879">
        <v>172.868073</v>
      </c>
      <c r="E331" s="874">
        <v>4764100</v>
      </c>
      <c r="F331" s="16"/>
      <c r="G331" s="16"/>
      <c r="H331" s="16"/>
      <c r="I331" s="16"/>
      <c r="J331" s="16"/>
      <c r="K331" s="16"/>
      <c r="L331" s="16"/>
      <c r="M331" s="16"/>
      <c r="N331" s="16"/>
      <c r="O331" s="16"/>
      <c r="P331" s="16"/>
      <c r="Q331" s="16"/>
      <c r="R331" s="16"/>
      <c r="S331" s="16"/>
      <c r="T331" s="16"/>
      <c r="U331" s="16"/>
      <c r="V331" s="16"/>
      <c r="W331" s="16"/>
      <c r="X331" s="16"/>
      <c r="Y331" s="16"/>
      <c r="Z331" s="16"/>
      <c r="AA331" s="16"/>
      <c r="AB331" s="16"/>
      <c r="AC331" s="16"/>
      <c r="AD331" s="16"/>
    </row>
    <row r="332" ht="13.5" customHeight="1" spans="1:30" x14ac:dyDescent="0.25">
      <c r="A332" s="17"/>
      <c r="B332" s="16"/>
      <c r="C332" s="878">
        <v>44218</v>
      </c>
      <c r="D332" s="879">
        <v>171.180084</v>
      </c>
      <c r="E332" s="874">
        <v>3612300</v>
      </c>
      <c r="F332" s="16"/>
      <c r="G332" s="16"/>
      <c r="H332" s="16"/>
      <c r="I332" s="16"/>
      <c r="J332" s="16"/>
      <c r="K332" s="16"/>
      <c r="L332" s="16"/>
      <c r="M332" s="16"/>
      <c r="N332" s="16"/>
      <c r="O332" s="16"/>
      <c r="P332" s="16"/>
      <c r="Q332" s="16"/>
      <c r="R332" s="16"/>
      <c r="S332" s="16"/>
      <c r="T332" s="16"/>
      <c r="U332" s="16"/>
      <c r="V332" s="16"/>
      <c r="W332" s="16"/>
      <c r="X332" s="16"/>
      <c r="Y332" s="16"/>
      <c r="Z332" s="16"/>
      <c r="AA332" s="16"/>
      <c r="AB332" s="16"/>
      <c r="AC332" s="16"/>
      <c r="AD332" s="16"/>
    </row>
    <row r="333" ht="13.5" customHeight="1" spans="1:30" x14ac:dyDescent="0.25">
      <c r="A333" s="17"/>
      <c r="B333" s="16"/>
      <c r="C333" s="878">
        <v>44217</v>
      </c>
      <c r="D333" s="879">
        <v>171.12051400000001</v>
      </c>
      <c r="E333" s="874">
        <v>5322600</v>
      </c>
      <c r="F333" s="16"/>
      <c r="G333" s="16"/>
      <c r="H333" s="16"/>
      <c r="I333" s="16"/>
      <c r="J333" s="16"/>
      <c r="K333" s="16"/>
      <c r="L333" s="16"/>
      <c r="M333" s="16"/>
      <c r="N333" s="16"/>
      <c r="O333" s="16"/>
      <c r="P333" s="16"/>
      <c r="Q333" s="16"/>
      <c r="R333" s="16"/>
      <c r="S333" s="16"/>
      <c r="T333" s="16"/>
      <c r="U333" s="16"/>
      <c r="V333" s="16"/>
      <c r="W333" s="16"/>
      <c r="X333" s="16"/>
      <c r="Y333" s="16"/>
      <c r="Z333" s="16"/>
      <c r="AA333" s="16"/>
      <c r="AB333" s="16"/>
      <c r="AC333" s="16"/>
      <c r="AD333" s="16"/>
    </row>
    <row r="334" ht="13.5" customHeight="1" spans="1:30" x14ac:dyDescent="0.25">
      <c r="A334" s="17"/>
      <c r="B334" s="16"/>
      <c r="C334" s="878">
        <v>44216</v>
      </c>
      <c r="D334" s="879">
        <v>171.170151</v>
      </c>
      <c r="E334" s="874">
        <v>3899800</v>
      </c>
      <c r="F334" s="16"/>
      <c r="G334" s="16"/>
      <c r="H334" s="16"/>
      <c r="I334" s="16"/>
      <c r="J334" s="16"/>
      <c r="K334" s="16"/>
      <c r="L334" s="16"/>
      <c r="M334" s="16"/>
      <c r="N334" s="16"/>
      <c r="O334" s="16"/>
      <c r="P334" s="16"/>
      <c r="Q334" s="16"/>
      <c r="R334" s="16"/>
      <c r="S334" s="16"/>
      <c r="T334" s="16"/>
      <c r="U334" s="16"/>
      <c r="V334" s="16"/>
      <c r="W334" s="16"/>
      <c r="X334" s="16"/>
      <c r="Y334" s="16"/>
      <c r="Z334" s="16"/>
      <c r="AA334" s="16"/>
      <c r="AB334" s="16"/>
      <c r="AC334" s="16"/>
      <c r="AD334" s="16"/>
    </row>
    <row r="335" ht="13.5" customHeight="1" spans="1:30" x14ac:dyDescent="0.25">
      <c r="A335" s="17"/>
      <c r="B335" s="16"/>
      <c r="C335" s="878">
        <v>44215</v>
      </c>
      <c r="D335" s="879">
        <v>169.551682</v>
      </c>
      <c r="E335" s="874">
        <v>4683100</v>
      </c>
      <c r="F335" s="16"/>
      <c r="G335" s="16"/>
      <c r="H335" s="16"/>
      <c r="I335" s="16"/>
      <c r="J335" s="16"/>
      <c r="K335" s="16"/>
      <c r="L335" s="16"/>
      <c r="M335" s="16"/>
      <c r="N335" s="16"/>
      <c r="O335" s="16"/>
      <c r="P335" s="16"/>
      <c r="Q335" s="16"/>
      <c r="R335" s="16"/>
      <c r="S335" s="16"/>
      <c r="T335" s="16"/>
      <c r="U335" s="16"/>
      <c r="V335" s="16"/>
      <c r="W335" s="16"/>
      <c r="X335" s="16"/>
      <c r="Y335" s="16"/>
      <c r="Z335" s="16"/>
      <c r="AA335" s="16"/>
      <c r="AB335" s="16"/>
      <c r="AC335" s="16"/>
      <c r="AD335" s="16"/>
    </row>
    <row r="336" ht="13.5" customHeight="1" spans="1:30" x14ac:dyDescent="0.25">
      <c r="A336" s="17"/>
      <c r="B336" s="16"/>
      <c r="C336" s="878">
        <v>44211</v>
      </c>
      <c r="D336" s="879">
        <v>169.531845</v>
      </c>
      <c r="E336" s="874">
        <v>3727200</v>
      </c>
      <c r="F336" s="16"/>
      <c r="G336" s="16"/>
      <c r="H336" s="16"/>
      <c r="I336" s="16"/>
      <c r="J336" s="16"/>
      <c r="K336" s="16"/>
      <c r="L336" s="16"/>
      <c r="M336" s="16"/>
      <c r="N336" s="16"/>
      <c r="O336" s="16"/>
      <c r="P336" s="16"/>
      <c r="Q336" s="16"/>
      <c r="R336" s="16"/>
      <c r="S336" s="16"/>
      <c r="T336" s="16"/>
      <c r="U336" s="16"/>
      <c r="V336" s="16"/>
      <c r="W336" s="16"/>
      <c r="X336" s="16"/>
      <c r="Y336" s="16"/>
      <c r="Z336" s="16"/>
      <c r="AA336" s="16"/>
      <c r="AB336" s="16"/>
      <c r="AC336" s="16"/>
      <c r="AD336" s="16"/>
    </row>
    <row r="337" ht="13.5" customHeight="1" spans="1:30" x14ac:dyDescent="0.25">
      <c r="A337" s="17"/>
      <c r="B337" s="16"/>
      <c r="C337" s="878">
        <v>44210</v>
      </c>
      <c r="D337" s="879">
        <v>168.591858</v>
      </c>
      <c r="E337" s="874">
        <v>4090900</v>
      </c>
      <c r="F337" s="16"/>
      <c r="G337" s="16"/>
      <c r="H337" s="16"/>
      <c r="I337" s="16"/>
      <c r="J337" s="16"/>
      <c r="K337" s="16"/>
      <c r="L337" s="16"/>
      <c r="M337" s="16"/>
      <c r="N337" s="16"/>
      <c r="O337" s="16"/>
      <c r="P337" s="16"/>
      <c r="Q337" s="16"/>
      <c r="R337" s="16"/>
      <c r="S337" s="16"/>
      <c r="T337" s="16"/>
      <c r="U337" s="16"/>
      <c r="V337" s="16"/>
      <c r="W337" s="16"/>
      <c r="X337" s="16"/>
      <c r="Y337" s="16"/>
      <c r="Z337" s="16"/>
      <c r="AA337" s="16"/>
      <c r="AB337" s="16"/>
      <c r="AC337" s="16"/>
      <c r="AD337" s="16"/>
    </row>
    <row r="338" ht="13.5" customHeight="1" spans="1:30" x14ac:dyDescent="0.25">
      <c r="A338" s="17"/>
      <c r="B338" s="16"/>
      <c r="C338" s="878">
        <v>44209</v>
      </c>
      <c r="D338" s="879">
        <v>168.037766</v>
      </c>
      <c r="E338" s="874">
        <v>3291800</v>
      </c>
      <c r="F338" s="16"/>
      <c r="G338" s="16"/>
      <c r="H338" s="16"/>
      <c r="I338" s="16"/>
      <c r="J338" s="16"/>
      <c r="K338" s="16"/>
      <c r="L338" s="16"/>
      <c r="M338" s="16"/>
      <c r="N338" s="16"/>
      <c r="O338" s="16"/>
      <c r="P338" s="16"/>
      <c r="Q338" s="16"/>
      <c r="R338" s="16"/>
      <c r="S338" s="16"/>
      <c r="T338" s="16"/>
      <c r="U338" s="16"/>
      <c r="V338" s="16"/>
      <c r="W338" s="16"/>
      <c r="X338" s="16"/>
      <c r="Y338" s="16"/>
      <c r="Z338" s="16"/>
      <c r="AA338" s="16"/>
      <c r="AB338" s="16"/>
      <c r="AC338" s="16"/>
      <c r="AD338" s="16"/>
    </row>
    <row r="339" ht="13.5" customHeight="1" spans="1:30" x14ac:dyDescent="0.25">
      <c r="A339" s="17"/>
      <c r="B339" s="16"/>
      <c r="C339" s="878">
        <v>44208</v>
      </c>
      <c r="D339" s="879">
        <v>167.206635</v>
      </c>
      <c r="E339" s="874">
        <v>4036900</v>
      </c>
      <c r="F339" s="16"/>
      <c r="G339" s="16"/>
      <c r="H339" s="16"/>
      <c r="I339" s="16"/>
      <c r="J339" s="16"/>
      <c r="K339" s="16"/>
      <c r="L339" s="16"/>
      <c r="M339" s="16"/>
      <c r="N339" s="16"/>
      <c r="O339" s="16"/>
      <c r="P339" s="16"/>
      <c r="Q339" s="16"/>
      <c r="R339" s="16"/>
      <c r="S339" s="16"/>
      <c r="T339" s="16"/>
      <c r="U339" s="16"/>
      <c r="V339" s="16"/>
      <c r="W339" s="16"/>
      <c r="X339" s="16"/>
      <c r="Y339" s="16"/>
      <c r="Z339" s="16"/>
      <c r="AA339" s="16"/>
      <c r="AB339" s="16"/>
      <c r="AC339" s="16"/>
      <c r="AD339" s="16"/>
    </row>
    <row r="340" ht="13.5" customHeight="1" spans="1:30" x14ac:dyDescent="0.25">
      <c r="A340" s="17"/>
      <c r="B340" s="16"/>
      <c r="C340" s="878">
        <v>44207</v>
      </c>
      <c r="D340" s="879">
        <v>164.564804</v>
      </c>
      <c r="E340" s="874">
        <v>3005200</v>
      </c>
      <c r="F340" s="16"/>
      <c r="G340" s="16"/>
      <c r="H340" s="16"/>
      <c r="I340" s="16"/>
      <c r="J340" s="16"/>
      <c r="K340" s="16"/>
      <c r="L340" s="16"/>
      <c r="M340" s="16"/>
      <c r="N340" s="16"/>
      <c r="O340" s="16"/>
      <c r="P340" s="16"/>
      <c r="Q340" s="16"/>
      <c r="R340" s="16"/>
      <c r="S340" s="16"/>
      <c r="T340" s="16"/>
      <c r="U340" s="16"/>
      <c r="V340" s="16"/>
      <c r="W340" s="16"/>
      <c r="X340" s="16"/>
      <c r="Y340" s="16"/>
      <c r="Z340" s="16"/>
      <c r="AA340" s="16"/>
      <c r="AB340" s="16"/>
      <c r="AC340" s="16"/>
      <c r="AD340" s="16"/>
    </row>
    <row r="341" ht="13.5" customHeight="1" spans="1:30" x14ac:dyDescent="0.25">
      <c r="A341" s="17"/>
      <c r="B341" s="16"/>
      <c r="C341" s="878">
        <v>44204</v>
      </c>
      <c r="D341" s="879">
        <v>163.308212</v>
      </c>
      <c r="E341" s="874">
        <v>4971200</v>
      </c>
      <c r="F341" s="16"/>
      <c r="G341" s="16"/>
      <c r="H341" s="16"/>
      <c r="I341" s="16"/>
      <c r="J341" s="16"/>
      <c r="K341" s="16"/>
      <c r="L341" s="16"/>
      <c r="M341" s="16"/>
      <c r="N341" s="16"/>
      <c r="O341" s="16"/>
      <c r="P341" s="16"/>
      <c r="Q341" s="16"/>
      <c r="R341" s="16"/>
      <c r="S341" s="16"/>
      <c r="T341" s="16"/>
      <c r="U341" s="16"/>
      <c r="V341" s="16"/>
      <c r="W341" s="16"/>
      <c r="X341" s="16"/>
      <c r="Y341" s="16"/>
      <c r="Z341" s="16"/>
      <c r="AA341" s="16"/>
      <c r="AB341" s="16"/>
      <c r="AC341" s="16"/>
      <c r="AD341" s="16"/>
    </row>
    <row r="342" ht="13.5" customHeight="1" spans="1:30" x14ac:dyDescent="0.25">
      <c r="A342" s="17"/>
      <c r="B342" s="16"/>
      <c r="C342" s="878">
        <v>44203</v>
      </c>
      <c r="D342" s="879">
        <v>161.982361</v>
      </c>
      <c r="E342" s="874">
        <v>4144100</v>
      </c>
      <c r="F342" s="16"/>
      <c r="G342" s="16"/>
      <c r="H342" s="16"/>
      <c r="I342" s="16"/>
      <c r="J342" s="16"/>
      <c r="K342" s="16"/>
      <c r="L342" s="16"/>
      <c r="M342" s="16"/>
      <c r="N342" s="16"/>
      <c r="O342" s="16"/>
      <c r="P342" s="16"/>
      <c r="Q342" s="16"/>
      <c r="R342" s="16"/>
      <c r="S342" s="16"/>
      <c r="T342" s="16"/>
      <c r="U342" s="16"/>
      <c r="V342" s="16"/>
      <c r="W342" s="16"/>
      <c r="X342" s="16"/>
      <c r="Y342" s="16"/>
      <c r="Z342" s="16"/>
      <c r="AA342" s="16"/>
      <c r="AB342" s="16"/>
      <c r="AC342" s="16"/>
      <c r="AD342" s="16"/>
    </row>
    <row r="343" ht="13.5" customHeight="1" spans="1:30" x14ac:dyDescent="0.25">
      <c r="A343" s="17"/>
      <c r="B343" s="16"/>
      <c r="C343" s="878">
        <v>44202</v>
      </c>
      <c r="D343" s="879">
        <v>161.349121</v>
      </c>
      <c r="E343" s="874">
        <v>4937000</v>
      </c>
      <c r="F343" s="16"/>
      <c r="G343" s="16"/>
      <c r="H343" s="16"/>
      <c r="I343" s="16"/>
      <c r="J343" s="16"/>
      <c r="K343" s="16"/>
      <c r="L343" s="16"/>
      <c r="M343" s="16"/>
      <c r="N343" s="16"/>
      <c r="O343" s="16"/>
      <c r="P343" s="16"/>
      <c r="Q343" s="16"/>
      <c r="R343" s="16"/>
      <c r="S343" s="16"/>
      <c r="T343" s="16"/>
      <c r="U343" s="16"/>
      <c r="V343" s="16"/>
      <c r="W343" s="16"/>
      <c r="X343" s="16"/>
      <c r="Y343" s="16"/>
      <c r="Z343" s="16"/>
      <c r="AA343" s="16"/>
      <c r="AB343" s="16"/>
      <c r="AC343" s="16"/>
      <c r="AD343" s="16"/>
    </row>
    <row r="344" ht="13.5" customHeight="1" spans="1:30" x14ac:dyDescent="0.25">
      <c r="A344" s="17"/>
      <c r="B344" s="16"/>
      <c r="C344" s="878">
        <v>44201</v>
      </c>
      <c r="D344" s="879">
        <v>159.221786</v>
      </c>
      <c r="E344" s="874">
        <v>3911900</v>
      </c>
      <c r="F344" s="16"/>
      <c r="G344" s="16"/>
      <c r="H344" s="16"/>
      <c r="I344" s="16"/>
      <c r="J344" s="16"/>
      <c r="K344" s="16"/>
      <c r="L344" s="16"/>
      <c r="M344" s="16"/>
      <c r="N344" s="16"/>
      <c r="O344" s="16"/>
      <c r="P344" s="16"/>
      <c r="Q344" s="16"/>
      <c r="R344" s="16"/>
      <c r="S344" s="16"/>
      <c r="T344" s="16"/>
      <c r="U344" s="16"/>
      <c r="V344" s="16"/>
      <c r="W344" s="16"/>
      <c r="X344" s="16"/>
      <c r="Y344" s="16"/>
      <c r="Z344" s="16"/>
      <c r="AA344" s="16"/>
      <c r="AB344" s="16"/>
      <c r="AC344" s="16"/>
      <c r="AD344" s="16"/>
    </row>
    <row r="345" ht="13.5" customHeight="1" spans="1:30" x14ac:dyDescent="0.25">
      <c r="A345" s="17"/>
      <c r="B345" s="16"/>
      <c r="C345" s="878">
        <v>44200</v>
      </c>
      <c r="D345" s="879">
        <v>158.6875</v>
      </c>
      <c r="E345" s="874">
        <v>7243400</v>
      </c>
      <c r="F345" s="16"/>
      <c r="G345" s="16"/>
      <c r="H345" s="16"/>
      <c r="I345" s="16"/>
      <c r="J345" s="16"/>
      <c r="K345" s="16"/>
      <c r="L345" s="16"/>
      <c r="M345" s="16"/>
      <c r="N345" s="16"/>
      <c r="O345" s="16"/>
      <c r="P345" s="16"/>
      <c r="Q345" s="16"/>
      <c r="R345" s="16"/>
      <c r="S345" s="16"/>
      <c r="T345" s="16"/>
      <c r="U345" s="16"/>
      <c r="V345" s="16"/>
      <c r="W345" s="16"/>
      <c r="X345" s="16"/>
      <c r="Y345" s="16"/>
      <c r="Z345" s="16"/>
      <c r="AA345" s="16"/>
      <c r="AB345" s="16"/>
      <c r="AC345" s="16"/>
      <c r="AD345" s="16"/>
    </row>
    <row r="346" ht="13.5" customHeight="1" spans="1:30" x14ac:dyDescent="0.25">
      <c r="A346" s="17"/>
      <c r="B346" s="16"/>
      <c r="C346" s="878">
        <v>44196</v>
      </c>
      <c r="D346" s="879">
        <v>158.816116</v>
      </c>
      <c r="E346" s="874">
        <v>2335300</v>
      </c>
      <c r="F346" s="16"/>
      <c r="G346" s="16"/>
      <c r="H346" s="16"/>
      <c r="I346" s="16"/>
      <c r="J346" s="16"/>
      <c r="K346" s="16"/>
      <c r="L346" s="16"/>
      <c r="M346" s="16"/>
      <c r="N346" s="16"/>
      <c r="O346" s="16"/>
      <c r="P346" s="16"/>
      <c r="Q346" s="16"/>
      <c r="R346" s="16"/>
      <c r="S346" s="16"/>
      <c r="T346" s="16"/>
      <c r="U346" s="16"/>
      <c r="V346" s="16"/>
      <c r="W346" s="16"/>
      <c r="X346" s="16"/>
      <c r="Y346" s="16"/>
      <c r="Z346" s="16"/>
      <c r="AA346" s="16"/>
      <c r="AB346" s="16"/>
      <c r="AC346" s="16"/>
      <c r="AD346" s="16"/>
    </row>
    <row r="347" ht="13.5" customHeight="1" spans="1:30" x14ac:dyDescent="0.25">
      <c r="A347" s="17"/>
      <c r="B347" s="16"/>
      <c r="C347" s="878">
        <v>44195</v>
      </c>
      <c r="D347" s="879">
        <v>158.865585</v>
      </c>
      <c r="E347" s="874">
        <v>3227000</v>
      </c>
      <c r="F347" s="16"/>
      <c r="G347" s="16"/>
      <c r="H347" s="16"/>
      <c r="I347" s="16"/>
      <c r="J347" s="16"/>
      <c r="K347" s="16"/>
      <c r="L347" s="16"/>
      <c r="M347" s="16"/>
      <c r="N347" s="16"/>
      <c r="O347" s="16"/>
      <c r="P347" s="16"/>
      <c r="Q347" s="16"/>
      <c r="R347" s="16"/>
      <c r="S347" s="16"/>
      <c r="T347" s="16"/>
      <c r="U347" s="16"/>
      <c r="V347" s="16"/>
      <c r="W347" s="16"/>
      <c r="X347" s="16"/>
      <c r="Y347" s="16"/>
      <c r="Z347" s="16"/>
      <c r="AA347" s="16"/>
      <c r="AB347" s="16"/>
      <c r="AC347" s="16"/>
      <c r="AD347" s="16"/>
    </row>
    <row r="348" ht="13.5" customHeight="1" spans="1:30" x14ac:dyDescent="0.25">
      <c r="A348" s="17"/>
      <c r="B348" s="16"/>
      <c r="C348" s="878">
        <v>44194</v>
      </c>
      <c r="D348" s="879">
        <v>158.845795</v>
      </c>
      <c r="E348" s="874">
        <v>3326100</v>
      </c>
      <c r="F348" s="16"/>
      <c r="G348" s="16"/>
      <c r="H348" s="16"/>
      <c r="I348" s="16"/>
      <c r="J348" s="16"/>
      <c r="K348" s="16"/>
      <c r="L348" s="16"/>
      <c r="M348" s="16"/>
      <c r="N348" s="16"/>
      <c r="O348" s="16"/>
      <c r="P348" s="16"/>
      <c r="Q348" s="16"/>
      <c r="R348" s="16"/>
      <c r="S348" s="16"/>
      <c r="T348" s="16"/>
      <c r="U348" s="16"/>
      <c r="V348" s="16"/>
      <c r="W348" s="16"/>
      <c r="X348" s="16"/>
      <c r="Y348" s="16"/>
      <c r="Z348" s="16"/>
      <c r="AA348" s="16"/>
      <c r="AB348" s="16"/>
      <c r="AC348" s="16"/>
      <c r="AD348" s="16"/>
    </row>
    <row r="349" ht="13.5" customHeight="1" spans="1:30" x14ac:dyDescent="0.25">
      <c r="A349" s="17"/>
      <c r="B349" s="16"/>
      <c r="C349" s="878">
        <v>44193</v>
      </c>
      <c r="D349" s="879">
        <v>160.329971</v>
      </c>
      <c r="E349" s="874">
        <v>2635000</v>
      </c>
      <c r="F349" s="16"/>
      <c r="G349" s="16"/>
      <c r="H349" s="16"/>
      <c r="I349" s="16"/>
      <c r="J349" s="16"/>
      <c r="K349" s="16"/>
      <c r="L349" s="16"/>
      <c r="M349" s="16"/>
      <c r="N349" s="16"/>
      <c r="O349" s="16"/>
      <c r="P349" s="16"/>
      <c r="Q349" s="16"/>
      <c r="R349" s="16"/>
      <c r="S349" s="16"/>
      <c r="T349" s="16"/>
      <c r="U349" s="16"/>
      <c r="V349" s="16"/>
      <c r="W349" s="16"/>
      <c r="X349" s="16"/>
      <c r="Y349" s="16"/>
      <c r="Z349" s="16"/>
      <c r="AA349" s="16"/>
      <c r="AB349" s="16"/>
      <c r="AC349" s="16"/>
      <c r="AD349" s="16"/>
    </row>
    <row r="350" ht="13.5" customHeight="1" spans="1:30" x14ac:dyDescent="0.25">
      <c r="A350" s="17"/>
      <c r="B350" s="16"/>
      <c r="C350" s="878">
        <v>44189</v>
      </c>
      <c r="D350" s="879">
        <v>161.052277</v>
      </c>
      <c r="E350" s="874">
        <v>1044600</v>
      </c>
      <c r="F350" s="16"/>
      <c r="G350" s="16"/>
      <c r="H350" s="16"/>
      <c r="I350" s="16"/>
      <c r="J350" s="16"/>
      <c r="K350" s="16"/>
      <c r="L350" s="16"/>
      <c r="M350" s="16"/>
      <c r="N350" s="16"/>
      <c r="O350" s="16"/>
      <c r="P350" s="16"/>
      <c r="Q350" s="16"/>
      <c r="R350" s="16"/>
      <c r="S350" s="16"/>
      <c r="T350" s="16"/>
      <c r="U350" s="16"/>
      <c r="V350" s="16"/>
      <c r="W350" s="16"/>
      <c r="X350" s="16"/>
      <c r="Y350" s="16"/>
      <c r="Z350" s="16"/>
      <c r="AA350" s="16"/>
      <c r="AB350" s="16"/>
      <c r="AC350" s="16"/>
      <c r="AD350" s="16"/>
    </row>
    <row r="351" ht="13.5" customHeight="1" spans="1:30" x14ac:dyDescent="0.25">
      <c r="A351" s="17"/>
      <c r="B351" s="16"/>
      <c r="C351" s="878">
        <v>44188</v>
      </c>
      <c r="D351" s="879">
        <v>160.715866</v>
      </c>
      <c r="E351" s="874">
        <v>3613700</v>
      </c>
      <c r="F351" s="16"/>
      <c r="G351" s="16"/>
      <c r="H351" s="16"/>
      <c r="I351" s="16"/>
      <c r="J351" s="16"/>
      <c r="K351" s="16"/>
      <c r="L351" s="16"/>
      <c r="M351" s="16"/>
      <c r="N351" s="16"/>
      <c r="O351" s="16"/>
      <c r="P351" s="16"/>
      <c r="Q351" s="16"/>
      <c r="R351" s="16"/>
      <c r="S351" s="16"/>
      <c r="T351" s="16"/>
      <c r="U351" s="16"/>
      <c r="V351" s="16"/>
      <c r="W351" s="16"/>
      <c r="X351" s="16"/>
      <c r="Y351" s="16"/>
      <c r="Z351" s="16"/>
      <c r="AA351" s="16"/>
      <c r="AB351" s="16"/>
      <c r="AC351" s="16"/>
      <c r="AD351" s="16"/>
    </row>
    <row r="352" ht="13.5" customHeight="1" spans="1:30" x14ac:dyDescent="0.25">
      <c r="A352" s="17"/>
      <c r="B352" s="16"/>
      <c r="C352" s="878">
        <v>44187</v>
      </c>
      <c r="D352" s="879">
        <v>162.872864</v>
      </c>
      <c r="E352" s="874">
        <v>3274200</v>
      </c>
      <c r="F352" s="16"/>
      <c r="G352" s="16"/>
      <c r="H352" s="16"/>
      <c r="I352" s="16"/>
      <c r="J352" s="16"/>
      <c r="K352" s="16"/>
      <c r="L352" s="16"/>
      <c r="M352" s="16"/>
      <c r="N352" s="16"/>
      <c r="O352" s="16"/>
      <c r="P352" s="16"/>
      <c r="Q352" s="16"/>
      <c r="R352" s="16"/>
      <c r="S352" s="16"/>
      <c r="T352" s="16"/>
      <c r="U352" s="16"/>
      <c r="V352" s="16"/>
      <c r="W352" s="16"/>
      <c r="X352" s="16"/>
      <c r="Y352" s="16"/>
      <c r="Z352" s="16"/>
      <c r="AA352" s="16"/>
      <c r="AB352" s="16"/>
      <c r="AC352" s="16"/>
      <c r="AD352" s="16"/>
    </row>
    <row r="353" ht="13.5" customHeight="1" spans="1:30" x14ac:dyDescent="0.25">
      <c r="A353" s="17"/>
      <c r="B353" s="16"/>
      <c r="C353" s="878">
        <v>44186</v>
      </c>
      <c r="D353" s="879">
        <v>162.595825</v>
      </c>
      <c r="E353" s="874">
        <v>5153100</v>
      </c>
      <c r="F353" s="16"/>
      <c r="G353" s="16"/>
      <c r="H353" s="16"/>
      <c r="I353" s="16"/>
      <c r="J353" s="16"/>
      <c r="K353" s="16"/>
      <c r="L353" s="16"/>
      <c r="M353" s="16"/>
      <c r="N353" s="16"/>
      <c r="O353" s="16"/>
      <c r="P353" s="16"/>
      <c r="Q353" s="16"/>
      <c r="R353" s="16"/>
      <c r="S353" s="16"/>
      <c r="T353" s="16"/>
      <c r="U353" s="16"/>
      <c r="V353" s="16"/>
      <c r="W353" s="16"/>
      <c r="X353" s="16"/>
      <c r="Y353" s="16"/>
      <c r="Z353" s="16"/>
      <c r="AA353" s="16"/>
      <c r="AB353" s="16"/>
      <c r="AC353" s="16"/>
      <c r="AD353" s="16"/>
    </row>
    <row r="354" ht="13.5" customHeight="1" spans="1:30" x14ac:dyDescent="0.25">
      <c r="A354" s="17"/>
      <c r="B354" s="16"/>
      <c r="C354" s="878">
        <v>44183</v>
      </c>
      <c r="D354" s="879">
        <v>161.477722</v>
      </c>
      <c r="E354" s="874">
        <v>11916900</v>
      </c>
      <c r="F354" s="16"/>
      <c r="G354" s="16"/>
      <c r="H354" s="16"/>
      <c r="I354" s="16"/>
      <c r="J354" s="16"/>
      <c r="K354" s="16"/>
      <c r="L354" s="16"/>
      <c r="M354" s="16"/>
      <c r="N354" s="16"/>
      <c r="O354" s="16"/>
      <c r="P354" s="16"/>
      <c r="Q354" s="16"/>
      <c r="R354" s="16"/>
      <c r="S354" s="16"/>
      <c r="T354" s="16"/>
      <c r="U354" s="16"/>
      <c r="V354" s="16"/>
      <c r="W354" s="16"/>
      <c r="X354" s="16"/>
      <c r="Y354" s="16"/>
      <c r="Z354" s="16"/>
      <c r="AA354" s="16"/>
      <c r="AB354" s="16"/>
      <c r="AC354" s="16"/>
      <c r="AD354" s="16"/>
    </row>
    <row r="355" ht="13.5" customHeight="1" spans="1:30" x14ac:dyDescent="0.25">
      <c r="A355" s="17"/>
      <c r="B355" s="16"/>
      <c r="C355" s="878">
        <v>44182</v>
      </c>
      <c r="D355" s="879">
        <v>161.814148</v>
      </c>
      <c r="E355" s="874">
        <v>4471500</v>
      </c>
      <c r="F355" s="16"/>
      <c r="G355" s="16"/>
      <c r="H355" s="16"/>
      <c r="I355" s="16"/>
      <c r="J355" s="16"/>
      <c r="K355" s="16"/>
      <c r="L355" s="16"/>
      <c r="M355" s="16"/>
      <c r="N355" s="16"/>
      <c r="O355" s="16"/>
      <c r="P355" s="16"/>
      <c r="Q355" s="16"/>
      <c r="R355" s="16"/>
      <c r="S355" s="16"/>
      <c r="T355" s="16"/>
      <c r="U355" s="16"/>
      <c r="V355" s="16"/>
      <c r="W355" s="16"/>
      <c r="X355" s="16"/>
      <c r="Y355" s="16"/>
      <c r="Z355" s="16"/>
      <c r="AA355" s="16"/>
      <c r="AB355" s="16"/>
      <c r="AC355" s="16"/>
      <c r="AD355" s="16"/>
    </row>
    <row r="356" ht="13.5" customHeight="1" spans="1:30" x14ac:dyDescent="0.25">
      <c r="A356" s="17"/>
      <c r="B356" s="16"/>
      <c r="C356" s="878">
        <v>44181</v>
      </c>
      <c r="D356" s="879">
        <v>161.477722</v>
      </c>
      <c r="E356" s="874">
        <v>4443500</v>
      </c>
      <c r="F356" s="16"/>
      <c r="G356" s="16"/>
      <c r="H356" s="16"/>
      <c r="I356" s="16"/>
      <c r="J356" s="16"/>
      <c r="K356" s="16"/>
      <c r="L356" s="16"/>
      <c r="M356" s="16"/>
      <c r="N356" s="16"/>
      <c r="O356" s="16"/>
      <c r="P356" s="16"/>
      <c r="Q356" s="16"/>
      <c r="R356" s="16"/>
      <c r="S356" s="16"/>
      <c r="T356" s="16"/>
      <c r="U356" s="16"/>
      <c r="V356" s="16"/>
      <c r="W356" s="16"/>
      <c r="X356" s="16"/>
      <c r="Y356" s="16"/>
      <c r="Z356" s="16"/>
      <c r="AA356" s="16"/>
      <c r="AB356" s="16"/>
      <c r="AC356" s="16"/>
      <c r="AD356" s="16"/>
    </row>
    <row r="357" ht="13.5" customHeight="1" spans="1:30" x14ac:dyDescent="0.25">
      <c r="A357" s="17"/>
      <c r="B357" s="16"/>
      <c r="C357" s="878">
        <v>44180</v>
      </c>
      <c r="D357" s="879">
        <v>161.606369</v>
      </c>
      <c r="E357" s="874">
        <v>4764700</v>
      </c>
      <c r="F357" s="16"/>
      <c r="G357" s="16"/>
      <c r="H357" s="16"/>
      <c r="I357" s="16"/>
      <c r="J357" s="16"/>
      <c r="K357" s="16"/>
      <c r="L357" s="16"/>
      <c r="M357" s="16"/>
      <c r="N357" s="16"/>
      <c r="O357" s="16"/>
      <c r="P357" s="16"/>
      <c r="Q357" s="16"/>
      <c r="R357" s="16"/>
      <c r="S357" s="16"/>
      <c r="T357" s="16"/>
      <c r="U357" s="16"/>
      <c r="V357" s="16"/>
      <c r="W357" s="16"/>
      <c r="X357" s="16"/>
      <c r="Y357" s="16"/>
      <c r="Z357" s="16"/>
      <c r="AA357" s="16"/>
      <c r="AB357" s="16"/>
      <c r="AC357" s="16"/>
      <c r="AD357" s="16"/>
    </row>
    <row r="358" ht="13.5" customHeight="1" spans="1:30" x14ac:dyDescent="0.25">
      <c r="A358" s="17"/>
      <c r="B358" s="16"/>
      <c r="C358" s="878">
        <v>44179</v>
      </c>
      <c r="D358" s="879">
        <v>158.400558</v>
      </c>
      <c r="E358" s="874">
        <v>4654000</v>
      </c>
      <c r="F358" s="16"/>
      <c r="G358" s="16"/>
      <c r="H358" s="16"/>
      <c r="I358" s="16"/>
      <c r="J358" s="16"/>
      <c r="K358" s="16"/>
      <c r="L358" s="16"/>
      <c r="M358" s="16"/>
      <c r="N358" s="16"/>
      <c r="O358" s="16"/>
      <c r="P358" s="16"/>
      <c r="Q358" s="16"/>
      <c r="R358" s="16"/>
      <c r="S358" s="16"/>
      <c r="T358" s="16"/>
      <c r="U358" s="16"/>
      <c r="V358" s="16"/>
      <c r="W358" s="16"/>
      <c r="X358" s="16"/>
      <c r="Y358" s="16"/>
      <c r="Z358" s="16"/>
      <c r="AA358" s="16"/>
      <c r="AB358" s="16"/>
      <c r="AC358" s="16"/>
      <c r="AD358" s="16"/>
    </row>
    <row r="359" ht="13.5" customHeight="1" spans="1:30" x14ac:dyDescent="0.25">
      <c r="A359" s="17"/>
      <c r="B359" s="16"/>
      <c r="C359" s="878">
        <v>44176</v>
      </c>
      <c r="D359" s="879">
        <v>156.15451</v>
      </c>
      <c r="E359" s="874">
        <v>5292600</v>
      </c>
      <c r="F359" s="16"/>
      <c r="G359" s="16"/>
      <c r="H359" s="16"/>
      <c r="I359" s="16"/>
      <c r="J359" s="16"/>
      <c r="K359" s="16"/>
      <c r="L359" s="16"/>
      <c r="M359" s="16"/>
      <c r="N359" s="16"/>
      <c r="O359" s="16"/>
      <c r="P359" s="16"/>
      <c r="Q359" s="16"/>
      <c r="R359" s="16"/>
      <c r="S359" s="16"/>
      <c r="T359" s="16"/>
      <c r="U359" s="16"/>
      <c r="V359" s="16"/>
      <c r="W359" s="16"/>
      <c r="X359" s="16"/>
      <c r="Y359" s="16"/>
      <c r="Z359" s="16"/>
      <c r="AA359" s="16"/>
      <c r="AB359" s="16"/>
      <c r="AC359" s="16"/>
      <c r="AD359" s="16"/>
    </row>
    <row r="360" ht="13.5" customHeight="1" spans="1:30" x14ac:dyDescent="0.25">
      <c r="A360" s="17"/>
      <c r="B360" s="16"/>
      <c r="C360" s="878">
        <v>44175</v>
      </c>
      <c r="D360" s="879">
        <v>158.529175</v>
      </c>
      <c r="E360" s="874">
        <v>6647400</v>
      </c>
      <c r="F360" s="16"/>
      <c r="G360" s="16"/>
      <c r="H360" s="16"/>
      <c r="I360" s="16"/>
      <c r="J360" s="16"/>
      <c r="K360" s="16"/>
      <c r="L360" s="16"/>
      <c r="M360" s="16"/>
      <c r="N360" s="16"/>
      <c r="O360" s="16"/>
      <c r="P360" s="16"/>
      <c r="Q360" s="16"/>
      <c r="R360" s="16"/>
      <c r="S360" s="16"/>
      <c r="T360" s="16"/>
      <c r="U360" s="16"/>
      <c r="V360" s="16"/>
      <c r="W360" s="16"/>
      <c r="X360" s="16"/>
      <c r="Y360" s="16"/>
      <c r="Z360" s="16"/>
      <c r="AA360" s="16"/>
      <c r="AB360" s="16"/>
      <c r="AC360" s="16"/>
      <c r="AD360" s="16"/>
    </row>
    <row r="361" ht="13.5" customHeight="1" spans="1:30" x14ac:dyDescent="0.25">
      <c r="A361" s="17"/>
      <c r="B361" s="16"/>
      <c r="C361" s="878">
        <v>44174</v>
      </c>
      <c r="D361" s="879">
        <v>158.44014</v>
      </c>
      <c r="E361" s="874">
        <v>11093300</v>
      </c>
      <c r="F361" s="16"/>
      <c r="G361" s="16"/>
      <c r="H361" s="16"/>
      <c r="I361" s="16"/>
      <c r="J361" s="16"/>
      <c r="K361" s="16"/>
      <c r="L361" s="16"/>
      <c r="M361" s="16"/>
      <c r="N361" s="16"/>
      <c r="O361" s="16"/>
      <c r="P361" s="16"/>
      <c r="Q361" s="16"/>
      <c r="R361" s="16"/>
      <c r="S361" s="16"/>
      <c r="T361" s="16"/>
      <c r="U361" s="16"/>
      <c r="V361" s="16"/>
      <c r="W361" s="16"/>
      <c r="X361" s="16"/>
      <c r="Y361" s="16"/>
      <c r="Z361" s="16"/>
      <c r="AA361" s="16"/>
      <c r="AB361" s="16"/>
      <c r="AC361" s="16"/>
      <c r="AD361" s="16"/>
    </row>
    <row r="362" ht="13.5" customHeight="1" spans="1:30" x14ac:dyDescent="0.25">
      <c r="A362" s="17"/>
      <c r="B362" s="16"/>
      <c r="C362" s="878">
        <v>44173</v>
      </c>
      <c r="D362" s="879">
        <v>149.643951</v>
      </c>
      <c r="E362" s="874">
        <v>6737300</v>
      </c>
      <c r="F362" s="16"/>
      <c r="G362" s="16"/>
      <c r="H362" s="16"/>
      <c r="I362" s="16"/>
      <c r="J362" s="16"/>
      <c r="K362" s="16"/>
      <c r="L362" s="16"/>
      <c r="M362" s="16"/>
      <c r="N362" s="16"/>
      <c r="O362" s="16"/>
      <c r="P362" s="16"/>
      <c r="Q362" s="16"/>
      <c r="R362" s="16"/>
      <c r="S362" s="16"/>
      <c r="T362" s="16"/>
      <c r="U362" s="16"/>
      <c r="V362" s="16"/>
      <c r="W362" s="16"/>
      <c r="X362" s="16"/>
      <c r="Y362" s="16"/>
      <c r="Z362" s="16"/>
      <c r="AA362" s="16"/>
      <c r="AB362" s="16"/>
      <c r="AC362" s="16"/>
      <c r="AD362" s="16"/>
    </row>
    <row r="363" ht="13.5" customHeight="1" spans="1:30" x14ac:dyDescent="0.25">
      <c r="A363" s="17"/>
      <c r="B363" s="16"/>
      <c r="C363" s="878">
        <v>44172</v>
      </c>
      <c r="D363" s="879">
        <v>150.386032</v>
      </c>
      <c r="E363" s="874">
        <v>7306800</v>
      </c>
      <c r="F363" s="16"/>
      <c r="G363" s="16"/>
      <c r="H363" s="16"/>
      <c r="I363" s="16"/>
      <c r="J363" s="16"/>
      <c r="K363" s="16"/>
      <c r="L363" s="16"/>
      <c r="M363" s="16"/>
      <c r="N363" s="16"/>
      <c r="O363" s="16"/>
      <c r="P363" s="16"/>
      <c r="Q363" s="16"/>
      <c r="R363" s="16"/>
      <c r="S363" s="16"/>
      <c r="T363" s="16"/>
      <c r="U363" s="16"/>
      <c r="V363" s="16"/>
      <c r="W363" s="16"/>
      <c r="X363" s="16"/>
      <c r="Y363" s="16"/>
      <c r="Z363" s="16"/>
      <c r="AA363" s="16"/>
      <c r="AB363" s="16"/>
      <c r="AC363" s="16"/>
      <c r="AD363" s="16"/>
    </row>
    <row r="364" ht="13.5" customHeight="1" spans="1:30" x14ac:dyDescent="0.25">
      <c r="A364" s="17"/>
      <c r="B364" s="16"/>
      <c r="C364" s="878">
        <v>44169</v>
      </c>
      <c r="D364" s="879">
        <v>148.417038</v>
      </c>
      <c r="E364" s="874">
        <v>4709100</v>
      </c>
      <c r="F364" s="16"/>
      <c r="G364" s="16"/>
      <c r="H364" s="16"/>
      <c r="I364" s="16"/>
      <c r="J364" s="16"/>
      <c r="K364" s="16"/>
      <c r="L364" s="16"/>
      <c r="M364" s="16"/>
      <c r="N364" s="16"/>
      <c r="O364" s="16"/>
      <c r="P364" s="16"/>
      <c r="Q364" s="16"/>
      <c r="R364" s="16"/>
      <c r="S364" s="16"/>
      <c r="T364" s="16"/>
      <c r="U364" s="16"/>
      <c r="V364" s="16"/>
      <c r="W364" s="16"/>
      <c r="X364" s="16"/>
      <c r="Y364" s="16"/>
      <c r="Z364" s="16"/>
      <c r="AA364" s="16"/>
      <c r="AB364" s="16"/>
      <c r="AC364" s="16"/>
      <c r="AD364" s="16"/>
    </row>
    <row r="365" ht="13.5" customHeight="1" spans="1:30" x14ac:dyDescent="0.25">
      <c r="A365" s="17"/>
      <c r="B365" s="16"/>
      <c r="C365" s="878">
        <v>44168</v>
      </c>
      <c r="D365" s="879">
        <v>150.366241</v>
      </c>
      <c r="E365" s="874">
        <v>4870100</v>
      </c>
      <c r="F365" s="16"/>
      <c r="G365" s="16"/>
      <c r="H365" s="16"/>
      <c r="I365" s="16"/>
      <c r="J365" s="16"/>
      <c r="K365" s="16"/>
      <c r="L365" s="16"/>
      <c r="M365" s="16"/>
      <c r="N365" s="16"/>
      <c r="O365" s="16"/>
      <c r="P365" s="16"/>
      <c r="Q365" s="16"/>
      <c r="R365" s="16"/>
      <c r="S365" s="16"/>
      <c r="T365" s="16"/>
      <c r="U365" s="16"/>
      <c r="V365" s="16"/>
      <c r="W365" s="16"/>
      <c r="X365" s="16"/>
      <c r="Y365" s="16"/>
      <c r="Z365" s="16"/>
      <c r="AA365" s="16"/>
      <c r="AB365" s="16"/>
      <c r="AC365" s="16"/>
      <c r="AD365" s="16"/>
    </row>
    <row r="366" ht="13.5" customHeight="1" spans="1:30" x14ac:dyDescent="0.25">
      <c r="A366" s="17"/>
      <c r="B366" s="16"/>
      <c r="C366" s="878">
        <v>44167</v>
      </c>
      <c r="D366" s="879">
        <v>150.207947</v>
      </c>
      <c r="E366" s="874">
        <v>5133100</v>
      </c>
      <c r="F366" s="16"/>
      <c r="G366" s="16"/>
      <c r="H366" s="16"/>
      <c r="I366" s="16"/>
      <c r="J366" s="16"/>
      <c r="K366" s="16"/>
      <c r="L366" s="16"/>
      <c r="M366" s="16"/>
      <c r="N366" s="16"/>
      <c r="O366" s="16"/>
      <c r="P366" s="16"/>
      <c r="Q366" s="16"/>
      <c r="R366" s="16"/>
      <c r="S366" s="16"/>
      <c r="T366" s="16"/>
      <c r="U366" s="16"/>
      <c r="V366" s="16"/>
      <c r="W366" s="16"/>
      <c r="X366" s="16"/>
      <c r="Y366" s="16"/>
      <c r="Z366" s="16"/>
      <c r="AA366" s="16"/>
      <c r="AB366" s="16"/>
      <c r="AC366" s="16"/>
      <c r="AD366" s="16"/>
    </row>
    <row r="367" ht="13.5" customHeight="1" spans="1:30" x14ac:dyDescent="0.25">
      <c r="A367" s="17"/>
      <c r="B367" s="16"/>
      <c r="C367" s="878">
        <v>44166</v>
      </c>
      <c r="D367" s="879">
        <v>151.781143</v>
      </c>
      <c r="E367" s="874">
        <v>6103700</v>
      </c>
      <c r="F367" s="16"/>
      <c r="G367" s="16"/>
      <c r="H367" s="16"/>
      <c r="I367" s="16"/>
      <c r="J367" s="16"/>
      <c r="K367" s="16"/>
      <c r="L367" s="16"/>
      <c r="M367" s="16"/>
      <c r="N367" s="16"/>
      <c r="O367" s="16"/>
      <c r="P367" s="16"/>
      <c r="Q367" s="16"/>
      <c r="R367" s="16"/>
      <c r="S367" s="16"/>
      <c r="T367" s="16"/>
      <c r="U367" s="16"/>
      <c r="V367" s="16"/>
      <c r="W367" s="16"/>
      <c r="X367" s="16"/>
      <c r="Y367" s="16"/>
      <c r="Z367" s="16"/>
      <c r="AA367" s="16"/>
      <c r="AB367" s="16"/>
      <c r="AC367" s="16"/>
      <c r="AD367" s="16"/>
    </row>
    <row r="368" ht="13.5" customHeight="1" spans="1:30" x14ac:dyDescent="0.25">
      <c r="A368" s="17"/>
      <c r="B368" s="16"/>
      <c r="C368" s="878">
        <v>44165</v>
      </c>
      <c r="D368" s="879">
        <v>154.175629</v>
      </c>
      <c r="E368" s="874">
        <v>7292400</v>
      </c>
      <c r="F368" s="16"/>
      <c r="G368" s="16"/>
      <c r="H368" s="16"/>
      <c r="I368" s="16"/>
      <c r="J368" s="16"/>
      <c r="K368" s="16"/>
      <c r="L368" s="16"/>
      <c r="M368" s="16"/>
      <c r="N368" s="16"/>
      <c r="O368" s="16"/>
      <c r="P368" s="16"/>
      <c r="Q368" s="16"/>
      <c r="R368" s="16"/>
      <c r="S368" s="16"/>
      <c r="T368" s="16"/>
      <c r="U368" s="16"/>
      <c r="V368" s="16"/>
      <c r="W368" s="16"/>
      <c r="X368" s="16"/>
      <c r="Y368" s="16"/>
      <c r="Z368" s="16"/>
      <c r="AA368" s="16"/>
      <c r="AB368" s="16"/>
      <c r="AC368" s="16"/>
      <c r="AD368" s="16"/>
    </row>
    <row r="369" ht="13.5" customHeight="1" spans="1:30" x14ac:dyDescent="0.25">
      <c r="A369" s="17"/>
      <c r="B369" s="16"/>
      <c r="C369" s="878">
        <v>44162</v>
      </c>
      <c r="D369" s="879">
        <v>153.03775</v>
      </c>
      <c r="E369" s="874">
        <v>2081300</v>
      </c>
      <c r="F369" s="16"/>
      <c r="G369" s="16"/>
      <c r="H369" s="16"/>
      <c r="I369" s="16"/>
      <c r="J369" s="16"/>
      <c r="K369" s="16"/>
      <c r="L369" s="16"/>
      <c r="M369" s="16"/>
      <c r="N369" s="16"/>
      <c r="O369" s="16"/>
      <c r="P369" s="16"/>
      <c r="Q369" s="16"/>
      <c r="R369" s="16"/>
      <c r="S369" s="16"/>
      <c r="T369" s="16"/>
      <c r="U369" s="16"/>
      <c r="V369" s="16"/>
      <c r="W369" s="16"/>
      <c r="X369" s="16"/>
      <c r="Y369" s="16"/>
      <c r="Z369" s="16"/>
      <c r="AA369" s="16"/>
      <c r="AB369" s="16"/>
      <c r="AC369" s="16"/>
      <c r="AD369" s="16"/>
    </row>
    <row r="370" ht="13.5" customHeight="1" spans="1:30" x14ac:dyDescent="0.25">
      <c r="A370" s="17"/>
      <c r="B370" s="16"/>
      <c r="C370" s="878">
        <v>44160</v>
      </c>
      <c r="D370" s="879">
        <v>153.245529</v>
      </c>
      <c r="E370" s="874">
        <v>5228300</v>
      </c>
      <c r="F370" s="16"/>
      <c r="G370" s="16"/>
      <c r="H370" s="16"/>
      <c r="I370" s="16"/>
      <c r="J370" s="16"/>
      <c r="K370" s="16"/>
      <c r="L370" s="16"/>
      <c r="M370" s="16"/>
      <c r="N370" s="16"/>
      <c r="O370" s="16"/>
      <c r="P370" s="16"/>
      <c r="Q370" s="16"/>
      <c r="R370" s="16"/>
      <c r="S370" s="16"/>
      <c r="T370" s="16"/>
      <c r="U370" s="16"/>
      <c r="V370" s="16"/>
      <c r="W370" s="16"/>
      <c r="X370" s="16"/>
      <c r="Y370" s="16"/>
      <c r="Z370" s="16"/>
      <c r="AA370" s="16"/>
      <c r="AB370" s="16"/>
      <c r="AC370" s="16"/>
      <c r="AD370" s="16"/>
    </row>
    <row r="371" ht="13.5" customHeight="1" spans="1:30" x14ac:dyDescent="0.25">
      <c r="A371" s="17"/>
      <c r="B371" s="16"/>
      <c r="C371" s="878">
        <v>44159</v>
      </c>
      <c r="D371" s="879">
        <v>153.324707</v>
      </c>
      <c r="E371" s="874">
        <v>7190200</v>
      </c>
      <c r="F371" s="16"/>
      <c r="G371" s="16"/>
      <c r="H371" s="16"/>
      <c r="I371" s="16"/>
      <c r="J371" s="16"/>
      <c r="K371" s="16"/>
      <c r="L371" s="16"/>
      <c r="M371" s="16"/>
      <c r="N371" s="16"/>
      <c r="O371" s="16"/>
      <c r="P371" s="16"/>
      <c r="Q371" s="16"/>
      <c r="R371" s="16"/>
      <c r="S371" s="16"/>
      <c r="T371" s="16"/>
      <c r="U371" s="16"/>
      <c r="V371" s="16"/>
      <c r="W371" s="16"/>
      <c r="X371" s="16"/>
      <c r="Y371" s="16"/>
      <c r="Z371" s="16"/>
      <c r="AA371" s="16"/>
      <c r="AB371" s="16"/>
      <c r="AC371" s="16"/>
      <c r="AD371" s="16"/>
    </row>
    <row r="372" ht="13.5" customHeight="1" spans="1:30" x14ac:dyDescent="0.25">
      <c r="A372" s="17"/>
      <c r="B372" s="16"/>
      <c r="C372" s="878">
        <v>44158</v>
      </c>
      <c r="D372" s="879">
        <v>152.048294</v>
      </c>
      <c r="E372" s="874">
        <v>6978500</v>
      </c>
      <c r="F372" s="16"/>
      <c r="G372" s="16"/>
      <c r="H372" s="16"/>
      <c r="I372" s="16"/>
      <c r="J372" s="16"/>
      <c r="K372" s="16"/>
      <c r="L372" s="16"/>
      <c r="M372" s="16"/>
      <c r="N372" s="16"/>
      <c r="O372" s="16"/>
      <c r="P372" s="16"/>
      <c r="Q372" s="16"/>
      <c r="R372" s="16"/>
      <c r="S372" s="16"/>
      <c r="T372" s="16"/>
      <c r="U372" s="16"/>
      <c r="V372" s="16"/>
      <c r="W372" s="16"/>
      <c r="X372" s="16"/>
      <c r="Y372" s="16"/>
      <c r="Z372" s="16"/>
      <c r="AA372" s="16"/>
      <c r="AB372" s="16"/>
      <c r="AC372" s="16"/>
      <c r="AD372" s="16"/>
    </row>
    <row r="373" ht="13.5" customHeight="1" spans="1:30" x14ac:dyDescent="0.25">
      <c r="A373" s="17"/>
      <c r="B373" s="16"/>
      <c r="C373" s="878">
        <v>44155</v>
      </c>
      <c r="D373" s="879">
        <v>148.347763</v>
      </c>
      <c r="E373" s="874">
        <v>6005800</v>
      </c>
      <c r="F373" s="16"/>
      <c r="G373" s="16"/>
      <c r="H373" s="16"/>
      <c r="I373" s="16"/>
      <c r="J373" s="16"/>
      <c r="K373" s="16"/>
      <c r="L373" s="16"/>
      <c r="M373" s="16"/>
      <c r="N373" s="16"/>
      <c r="O373" s="16"/>
      <c r="P373" s="16"/>
      <c r="Q373" s="16"/>
      <c r="R373" s="16"/>
      <c r="S373" s="16"/>
      <c r="T373" s="16"/>
      <c r="U373" s="16"/>
      <c r="V373" s="16"/>
      <c r="W373" s="16"/>
      <c r="X373" s="16"/>
      <c r="Y373" s="16"/>
      <c r="Z373" s="16"/>
      <c r="AA373" s="16"/>
      <c r="AB373" s="16"/>
      <c r="AC373" s="16"/>
      <c r="AD373" s="16"/>
    </row>
    <row r="374" ht="13.5" customHeight="1" spans="1:30" x14ac:dyDescent="0.25">
      <c r="A374" s="17"/>
      <c r="B374" s="16"/>
      <c r="C374" s="878">
        <v>44154</v>
      </c>
      <c r="D374" s="879">
        <v>148.021255</v>
      </c>
      <c r="E374" s="874">
        <v>9393700</v>
      </c>
      <c r="F374" s="16"/>
      <c r="G374" s="16"/>
      <c r="H374" s="16"/>
      <c r="I374" s="16"/>
      <c r="J374" s="16"/>
      <c r="K374" s="16"/>
      <c r="L374" s="16"/>
      <c r="M374" s="16"/>
      <c r="N374" s="16"/>
      <c r="O374" s="16"/>
      <c r="P374" s="16"/>
      <c r="Q374" s="16"/>
      <c r="R374" s="16"/>
      <c r="S374" s="16"/>
      <c r="T374" s="16"/>
      <c r="U374" s="16"/>
      <c r="V374" s="16"/>
      <c r="W374" s="16"/>
      <c r="X374" s="16"/>
      <c r="Y374" s="16"/>
      <c r="Z374" s="16"/>
      <c r="AA374" s="16"/>
      <c r="AB374" s="16"/>
      <c r="AC374" s="16"/>
      <c r="AD374" s="16"/>
    </row>
    <row r="375" ht="13.5" customHeight="1" spans="1:30" x14ac:dyDescent="0.25">
      <c r="A375" s="17"/>
      <c r="B375" s="16"/>
      <c r="C375" s="878">
        <v>44153</v>
      </c>
      <c r="D375" s="879">
        <v>145.191452</v>
      </c>
      <c r="E375" s="874">
        <v>18087800</v>
      </c>
      <c r="F375" s="16"/>
      <c r="G375" s="16"/>
      <c r="H375" s="16"/>
      <c r="I375" s="16"/>
      <c r="J375" s="16"/>
      <c r="K375" s="16"/>
      <c r="L375" s="16"/>
      <c r="M375" s="16"/>
      <c r="N375" s="16"/>
      <c r="O375" s="16"/>
      <c r="P375" s="16"/>
      <c r="Q375" s="16"/>
      <c r="R375" s="16"/>
      <c r="S375" s="16"/>
      <c r="T375" s="16"/>
      <c r="U375" s="16"/>
      <c r="V375" s="16"/>
      <c r="W375" s="16"/>
      <c r="X375" s="16"/>
      <c r="Y375" s="16"/>
      <c r="Z375" s="16"/>
      <c r="AA375" s="16"/>
      <c r="AB375" s="16"/>
      <c r="AC375" s="16"/>
      <c r="AD375" s="16"/>
    </row>
    <row r="376" ht="13.5" customHeight="1" spans="1:30" x14ac:dyDescent="0.25">
      <c r="A376" s="17"/>
      <c r="B376" s="16"/>
      <c r="C376" s="878">
        <v>44152</v>
      </c>
      <c r="D376" s="879">
        <v>158.172989</v>
      </c>
      <c r="E376" s="874">
        <v>5642100</v>
      </c>
      <c r="F376" s="16"/>
      <c r="G376" s="16"/>
      <c r="H376" s="16"/>
      <c r="I376" s="16"/>
      <c r="J376" s="16"/>
      <c r="K376" s="16"/>
      <c r="L376" s="16"/>
      <c r="M376" s="16"/>
      <c r="N376" s="16"/>
      <c r="O376" s="16"/>
      <c r="P376" s="16"/>
      <c r="Q376" s="16"/>
      <c r="R376" s="16"/>
      <c r="S376" s="16"/>
      <c r="T376" s="16"/>
      <c r="U376" s="16"/>
      <c r="V376" s="16"/>
      <c r="W376" s="16"/>
      <c r="X376" s="16"/>
      <c r="Y376" s="16"/>
      <c r="Z376" s="16"/>
      <c r="AA376" s="16"/>
      <c r="AB376" s="16"/>
      <c r="AC376" s="16"/>
      <c r="AD376" s="16"/>
    </row>
    <row r="377" ht="13.5" customHeight="1" spans="1:30" x14ac:dyDescent="0.25">
      <c r="A377" s="17"/>
      <c r="B377" s="16"/>
      <c r="C377" s="878">
        <v>44151</v>
      </c>
      <c r="D377" s="879">
        <v>160.191452</v>
      </c>
      <c r="E377" s="874">
        <v>5005400</v>
      </c>
      <c r="F377" s="16"/>
      <c r="G377" s="16"/>
      <c r="H377" s="16"/>
      <c r="I377" s="16"/>
      <c r="J377" s="16"/>
      <c r="K377" s="16"/>
      <c r="L377" s="16"/>
      <c r="M377" s="16"/>
      <c r="N377" s="16"/>
      <c r="O377" s="16"/>
      <c r="P377" s="16"/>
      <c r="Q377" s="16"/>
      <c r="R377" s="16"/>
      <c r="S377" s="16"/>
      <c r="T377" s="16"/>
      <c r="U377" s="16"/>
      <c r="V377" s="16"/>
      <c r="W377" s="16"/>
      <c r="X377" s="16"/>
      <c r="Y377" s="16"/>
      <c r="Z377" s="16"/>
      <c r="AA377" s="16"/>
      <c r="AB377" s="16"/>
      <c r="AC377" s="16"/>
      <c r="AD377" s="16"/>
    </row>
    <row r="378" ht="13.5" customHeight="1" spans="1:30" x14ac:dyDescent="0.25">
      <c r="A378" s="17"/>
      <c r="B378" s="16"/>
      <c r="C378" s="878">
        <v>44148</v>
      </c>
      <c r="D378" s="879">
        <v>157.549637</v>
      </c>
      <c r="E378" s="874">
        <v>4036000</v>
      </c>
      <c r="F378" s="16"/>
      <c r="G378" s="16"/>
      <c r="H378" s="16"/>
      <c r="I378" s="16"/>
      <c r="J378" s="16"/>
      <c r="K378" s="16"/>
      <c r="L378" s="16"/>
      <c r="M378" s="16"/>
      <c r="N378" s="16"/>
      <c r="O378" s="16"/>
      <c r="P378" s="16"/>
      <c r="Q378" s="16"/>
      <c r="R378" s="16"/>
      <c r="S378" s="16"/>
      <c r="T378" s="16"/>
      <c r="U378" s="16"/>
      <c r="V378" s="16"/>
      <c r="W378" s="16"/>
      <c r="X378" s="16"/>
      <c r="Y378" s="16"/>
      <c r="Z378" s="16"/>
      <c r="AA378" s="16"/>
      <c r="AB378" s="16"/>
      <c r="AC378" s="16"/>
      <c r="AD378" s="16"/>
    </row>
    <row r="379" ht="13.5" customHeight="1" spans="1:30" x14ac:dyDescent="0.25">
      <c r="A379" s="17"/>
      <c r="B379" s="16"/>
      <c r="C379" s="878">
        <v>44147</v>
      </c>
      <c r="D379" s="879">
        <v>156.31282</v>
      </c>
      <c r="E379" s="874">
        <v>3893900</v>
      </c>
      <c r="F379" s="16"/>
      <c r="G379" s="16"/>
      <c r="H379" s="16"/>
      <c r="I379" s="16"/>
      <c r="J379" s="16"/>
      <c r="K379" s="16"/>
      <c r="L379" s="16"/>
      <c r="M379" s="16"/>
      <c r="N379" s="16"/>
      <c r="O379" s="16"/>
      <c r="P379" s="16"/>
      <c r="Q379" s="16"/>
      <c r="R379" s="16"/>
      <c r="S379" s="16"/>
      <c r="T379" s="16"/>
      <c r="U379" s="16"/>
      <c r="V379" s="16"/>
      <c r="W379" s="16"/>
      <c r="X379" s="16"/>
      <c r="Y379" s="16"/>
      <c r="Z379" s="16"/>
      <c r="AA379" s="16"/>
      <c r="AB379" s="16"/>
      <c r="AC379" s="16"/>
      <c r="AD379" s="16"/>
    </row>
    <row r="380" ht="13.5" customHeight="1" spans="1:30" x14ac:dyDescent="0.25">
      <c r="A380" s="17"/>
      <c r="B380" s="16"/>
      <c r="C380" s="878">
        <v>44146</v>
      </c>
      <c r="D380" s="879">
        <v>156.332611</v>
      </c>
      <c r="E380" s="874">
        <v>4551700</v>
      </c>
      <c r="F380" s="16"/>
      <c r="G380" s="16"/>
      <c r="H380" s="16"/>
      <c r="I380" s="16"/>
      <c r="J380" s="16"/>
      <c r="K380" s="16"/>
      <c r="L380" s="16"/>
      <c r="M380" s="16"/>
      <c r="N380" s="16"/>
      <c r="O380" s="16"/>
      <c r="P380" s="16"/>
      <c r="Q380" s="16"/>
      <c r="R380" s="16"/>
      <c r="S380" s="16"/>
      <c r="T380" s="16"/>
      <c r="U380" s="16"/>
      <c r="V380" s="16"/>
      <c r="W380" s="16"/>
      <c r="X380" s="16"/>
      <c r="Y380" s="16"/>
      <c r="Z380" s="16"/>
      <c r="AA380" s="16"/>
      <c r="AB380" s="16"/>
      <c r="AC380" s="16"/>
      <c r="AD380" s="16"/>
    </row>
    <row r="381" ht="13.5" customHeight="1" spans="1:30" x14ac:dyDescent="0.25">
      <c r="A381" s="17"/>
      <c r="B381" s="16"/>
      <c r="C381" s="878">
        <v>44145</v>
      </c>
      <c r="D381" s="879">
        <v>154.066772</v>
      </c>
      <c r="E381" s="874">
        <v>5925100</v>
      </c>
      <c r="F381" s="16"/>
      <c r="G381" s="16"/>
      <c r="H381" s="16"/>
      <c r="I381" s="16"/>
      <c r="J381" s="16"/>
      <c r="K381" s="16"/>
      <c r="L381" s="16"/>
      <c r="M381" s="16"/>
      <c r="N381" s="16"/>
      <c r="O381" s="16"/>
      <c r="P381" s="16"/>
      <c r="Q381" s="16"/>
      <c r="R381" s="16"/>
      <c r="S381" s="16"/>
      <c r="T381" s="16"/>
      <c r="U381" s="16"/>
      <c r="V381" s="16"/>
      <c r="W381" s="16"/>
      <c r="X381" s="16"/>
      <c r="Y381" s="16"/>
      <c r="Z381" s="16"/>
      <c r="AA381" s="16"/>
      <c r="AB381" s="16"/>
      <c r="AC381" s="16"/>
      <c r="AD381" s="16"/>
    </row>
    <row r="382" ht="13.5" customHeight="1" spans="1:30" x14ac:dyDescent="0.25">
      <c r="A382" s="17"/>
      <c r="B382" s="16"/>
      <c r="C382" s="878">
        <v>44144</v>
      </c>
      <c r="D382" s="879">
        <v>151.830627</v>
      </c>
      <c r="E382" s="874">
        <v>10765200</v>
      </c>
      <c r="F382" s="16"/>
      <c r="G382" s="16"/>
      <c r="H382" s="16"/>
      <c r="I382" s="16"/>
      <c r="J382" s="16"/>
      <c r="K382" s="16"/>
      <c r="L382" s="16"/>
      <c r="M382" s="16"/>
      <c r="N382" s="16"/>
      <c r="O382" s="16"/>
      <c r="P382" s="16"/>
      <c r="Q382" s="16"/>
      <c r="R382" s="16"/>
      <c r="S382" s="16"/>
      <c r="T382" s="16"/>
      <c r="U382" s="16"/>
      <c r="V382" s="16"/>
      <c r="W382" s="16"/>
      <c r="X382" s="16"/>
      <c r="Y382" s="16"/>
      <c r="Z382" s="16"/>
      <c r="AA382" s="16"/>
      <c r="AB382" s="16"/>
      <c r="AC382" s="16"/>
      <c r="AD382" s="16"/>
    </row>
    <row r="383" ht="13.5" customHeight="1" spans="1:30" x14ac:dyDescent="0.25">
      <c r="A383" s="17"/>
      <c r="B383" s="16"/>
      <c r="C383" s="878">
        <v>44141</v>
      </c>
      <c r="D383" s="879">
        <v>166.741592</v>
      </c>
      <c r="E383" s="874">
        <v>2672900</v>
      </c>
      <c r="F383" s="16"/>
      <c r="G383" s="16"/>
      <c r="H383" s="16"/>
      <c r="I383" s="16"/>
      <c r="J383" s="16"/>
      <c r="K383" s="16"/>
      <c r="L383" s="16"/>
      <c r="M383" s="16"/>
      <c r="N383" s="16"/>
      <c r="O383" s="16"/>
      <c r="P383" s="16"/>
      <c r="Q383" s="16"/>
      <c r="R383" s="16"/>
      <c r="S383" s="16"/>
      <c r="T383" s="16"/>
      <c r="U383" s="16"/>
      <c r="V383" s="16"/>
      <c r="W383" s="16"/>
      <c r="X383" s="16"/>
      <c r="Y383" s="16"/>
      <c r="Z383" s="16"/>
      <c r="AA383" s="16"/>
      <c r="AB383" s="16"/>
      <c r="AC383" s="16"/>
      <c r="AD383" s="16"/>
    </row>
    <row r="384" ht="13.5" customHeight="1" spans="1:30" x14ac:dyDescent="0.25">
      <c r="A384" s="17"/>
      <c r="B384" s="16"/>
      <c r="C384" s="878">
        <v>44140</v>
      </c>
      <c r="D384" s="879">
        <v>167.463882</v>
      </c>
      <c r="E384" s="874">
        <v>4088100</v>
      </c>
      <c r="F384" s="16"/>
      <c r="G384" s="16"/>
      <c r="H384" s="16"/>
      <c r="I384" s="16"/>
      <c r="J384" s="16"/>
      <c r="K384" s="16"/>
      <c r="L384" s="16"/>
      <c r="M384" s="16"/>
      <c r="N384" s="16"/>
      <c r="O384" s="16"/>
      <c r="P384" s="16"/>
      <c r="Q384" s="16"/>
      <c r="R384" s="16"/>
      <c r="S384" s="16"/>
      <c r="T384" s="16"/>
      <c r="U384" s="16"/>
      <c r="V384" s="16"/>
      <c r="W384" s="16"/>
      <c r="X384" s="16"/>
      <c r="Y384" s="16"/>
      <c r="Z384" s="16"/>
      <c r="AA384" s="16"/>
      <c r="AB384" s="16"/>
      <c r="AC384" s="16"/>
      <c r="AD384" s="16"/>
    </row>
    <row r="385" ht="13.5" customHeight="1" spans="1:30" x14ac:dyDescent="0.25">
      <c r="A385" s="17"/>
      <c r="B385" s="16"/>
      <c r="C385" s="878">
        <v>44139</v>
      </c>
      <c r="D385" s="879">
        <v>166.444763</v>
      </c>
      <c r="E385" s="874">
        <v>5006500</v>
      </c>
      <c r="F385" s="16"/>
      <c r="G385" s="16"/>
      <c r="H385" s="16"/>
      <c r="I385" s="16"/>
      <c r="J385" s="16"/>
      <c r="K385" s="16"/>
      <c r="L385" s="16"/>
      <c r="M385" s="16"/>
      <c r="N385" s="16"/>
      <c r="O385" s="16"/>
      <c r="P385" s="16"/>
      <c r="Q385" s="16"/>
      <c r="R385" s="16"/>
      <c r="S385" s="16"/>
      <c r="T385" s="16"/>
      <c r="U385" s="16"/>
      <c r="V385" s="16"/>
      <c r="W385" s="16"/>
      <c r="X385" s="16"/>
      <c r="Y385" s="16"/>
      <c r="Z385" s="16"/>
      <c r="AA385" s="16"/>
      <c r="AB385" s="16"/>
      <c r="AC385" s="16"/>
      <c r="AD385" s="16"/>
    </row>
    <row r="386" ht="13.5" customHeight="1" spans="1:30" x14ac:dyDescent="0.25">
      <c r="A386" s="17"/>
      <c r="B386" s="16"/>
      <c r="C386" s="878">
        <v>44138</v>
      </c>
      <c r="D386" s="879">
        <v>162.91243</v>
      </c>
      <c r="E386" s="874">
        <v>2908200</v>
      </c>
      <c r="F386" s="16"/>
      <c r="G386" s="16"/>
      <c r="H386" s="16"/>
      <c r="I386" s="16"/>
      <c r="J386" s="16"/>
      <c r="K386" s="16"/>
      <c r="L386" s="16"/>
      <c r="M386" s="16"/>
      <c r="N386" s="16"/>
      <c r="O386" s="16"/>
      <c r="P386" s="16"/>
      <c r="Q386" s="16"/>
      <c r="R386" s="16"/>
      <c r="S386" s="16"/>
      <c r="T386" s="16"/>
      <c r="U386" s="16"/>
      <c r="V386" s="16"/>
      <c r="W386" s="16"/>
      <c r="X386" s="16"/>
      <c r="Y386" s="16"/>
      <c r="Z386" s="16"/>
      <c r="AA386" s="16"/>
      <c r="AB386" s="16"/>
      <c r="AC386" s="16"/>
      <c r="AD386" s="16"/>
    </row>
    <row r="387" ht="13.5" customHeight="1" spans="1:30" x14ac:dyDescent="0.25">
      <c r="A387" s="17"/>
      <c r="B387" s="16"/>
      <c r="C387" s="878">
        <v>44137</v>
      </c>
      <c r="D387" s="879">
        <v>158.539078</v>
      </c>
      <c r="E387" s="874">
        <v>2978900</v>
      </c>
      <c r="F387" s="16"/>
      <c r="G387" s="16"/>
      <c r="H387" s="16"/>
      <c r="I387" s="16"/>
      <c r="J387" s="16"/>
      <c r="K387" s="16"/>
      <c r="L387" s="16"/>
      <c r="M387" s="16"/>
      <c r="N387" s="16"/>
      <c r="O387" s="16"/>
      <c r="P387" s="16"/>
      <c r="Q387" s="16"/>
      <c r="R387" s="16"/>
      <c r="S387" s="16"/>
      <c r="T387" s="16"/>
      <c r="U387" s="16"/>
      <c r="V387" s="16"/>
      <c r="W387" s="16"/>
      <c r="X387" s="16"/>
      <c r="Y387" s="16"/>
      <c r="Z387" s="16"/>
      <c r="AA387" s="16"/>
      <c r="AB387" s="16"/>
      <c r="AC387" s="16"/>
      <c r="AD387" s="16"/>
    </row>
    <row r="388" ht="13.5" customHeight="1" spans="1:30" x14ac:dyDescent="0.25">
      <c r="A388" s="17"/>
      <c r="B388" s="16"/>
      <c r="C388" s="878">
        <v>44134</v>
      </c>
      <c r="D388" s="879">
        <v>156.431549</v>
      </c>
      <c r="E388" s="874">
        <v>3948900</v>
      </c>
      <c r="F388" s="16"/>
      <c r="G388" s="16"/>
      <c r="H388" s="16"/>
      <c r="I388" s="16"/>
      <c r="J388" s="16"/>
      <c r="K388" s="16"/>
      <c r="L388" s="16"/>
      <c r="M388" s="16"/>
      <c r="N388" s="16"/>
      <c r="O388" s="16"/>
      <c r="P388" s="16"/>
      <c r="Q388" s="16"/>
      <c r="R388" s="16"/>
      <c r="S388" s="16"/>
      <c r="T388" s="16"/>
      <c r="U388" s="16"/>
      <c r="V388" s="16"/>
      <c r="W388" s="16"/>
      <c r="X388" s="16"/>
      <c r="Y388" s="16"/>
      <c r="Z388" s="16"/>
      <c r="AA388" s="16"/>
      <c r="AB388" s="16"/>
      <c r="AC388" s="16"/>
      <c r="AD388" s="16"/>
    </row>
    <row r="389" ht="13.5" customHeight="1" spans="1:30" x14ac:dyDescent="0.25">
      <c r="A389" s="17"/>
      <c r="B389" s="16"/>
      <c r="C389" s="878">
        <v>44133</v>
      </c>
      <c r="D389" s="879">
        <v>159.053589</v>
      </c>
      <c r="E389" s="874">
        <v>3697800</v>
      </c>
      <c r="F389" s="16"/>
      <c r="G389" s="16"/>
      <c r="H389" s="16"/>
      <c r="I389" s="16"/>
      <c r="J389" s="16"/>
      <c r="K389" s="16"/>
      <c r="L389" s="16"/>
      <c r="M389" s="16"/>
      <c r="N389" s="16"/>
      <c r="O389" s="16"/>
      <c r="P389" s="16"/>
      <c r="Q389" s="16"/>
      <c r="R389" s="16"/>
      <c r="S389" s="16"/>
      <c r="T389" s="16"/>
      <c r="U389" s="16"/>
      <c r="V389" s="16"/>
      <c r="W389" s="16"/>
      <c r="X389" s="16"/>
      <c r="Y389" s="16"/>
      <c r="Z389" s="16"/>
      <c r="AA389" s="16"/>
      <c r="AB389" s="16"/>
      <c r="AC389" s="16"/>
      <c r="AD389" s="16"/>
    </row>
    <row r="390" ht="13.5" customHeight="1" spans="1:30" x14ac:dyDescent="0.25">
      <c r="A390" s="17"/>
      <c r="B390" s="16"/>
      <c r="C390" s="878">
        <v>44132</v>
      </c>
      <c r="D390" s="879">
        <v>159.716522</v>
      </c>
      <c r="E390" s="874">
        <v>4947700</v>
      </c>
      <c r="F390" s="16"/>
      <c r="G390" s="16"/>
      <c r="H390" s="16"/>
      <c r="I390" s="16"/>
      <c r="J390" s="16"/>
      <c r="K390" s="16"/>
      <c r="L390" s="16"/>
      <c r="M390" s="16"/>
      <c r="N390" s="16"/>
      <c r="O390" s="16"/>
      <c r="P390" s="16"/>
      <c r="Q390" s="16"/>
      <c r="R390" s="16"/>
      <c r="S390" s="16"/>
      <c r="T390" s="16"/>
      <c r="U390" s="16"/>
      <c r="V390" s="16"/>
      <c r="W390" s="16"/>
      <c r="X390" s="16"/>
      <c r="Y390" s="16"/>
      <c r="Z390" s="16"/>
      <c r="AA390" s="16"/>
      <c r="AB390" s="16"/>
      <c r="AC390" s="16"/>
      <c r="AD390" s="16"/>
    </row>
    <row r="391" ht="13.5" customHeight="1" spans="1:30" x14ac:dyDescent="0.25">
      <c r="A391" s="17"/>
      <c r="B391" s="16"/>
      <c r="C391" s="878">
        <v>44131</v>
      </c>
      <c r="D391" s="879">
        <v>163.397263</v>
      </c>
      <c r="E391" s="874">
        <v>4425700</v>
      </c>
      <c r="F391" s="16"/>
      <c r="G391" s="16"/>
      <c r="H391" s="16"/>
      <c r="I391" s="16"/>
      <c r="J391" s="16"/>
      <c r="K391" s="16"/>
      <c r="L391" s="16"/>
      <c r="M391" s="16"/>
      <c r="N391" s="16"/>
      <c r="O391" s="16"/>
      <c r="P391" s="16"/>
      <c r="Q391" s="16"/>
      <c r="R391" s="16"/>
      <c r="S391" s="16"/>
      <c r="T391" s="16"/>
      <c r="U391" s="16"/>
      <c r="V391" s="16"/>
      <c r="W391" s="16"/>
      <c r="X391" s="16"/>
      <c r="Y391" s="16"/>
      <c r="Z391" s="16"/>
      <c r="AA391" s="16"/>
      <c r="AB391" s="16"/>
      <c r="AC391" s="16"/>
      <c r="AD391" s="16"/>
    </row>
    <row r="392" ht="13.5" customHeight="1" spans="1:30" x14ac:dyDescent="0.25">
      <c r="A392" s="17"/>
      <c r="B392" s="16"/>
      <c r="C392" s="878">
        <v>44130</v>
      </c>
      <c r="D392" s="879">
        <v>166.355698</v>
      </c>
      <c r="E392" s="874">
        <v>4380800</v>
      </c>
      <c r="F392" s="16"/>
      <c r="G392" s="16"/>
      <c r="H392" s="16"/>
      <c r="I392" s="16"/>
      <c r="J392" s="16"/>
      <c r="K392" s="16"/>
      <c r="L392" s="16"/>
      <c r="M392" s="16"/>
      <c r="N392" s="16"/>
      <c r="O392" s="16"/>
      <c r="P392" s="16"/>
      <c r="Q392" s="16"/>
      <c r="R392" s="16"/>
      <c r="S392" s="16"/>
      <c r="T392" s="16"/>
      <c r="U392" s="16"/>
      <c r="V392" s="16"/>
      <c r="W392" s="16"/>
      <c r="X392" s="16"/>
      <c r="Y392" s="16"/>
      <c r="Z392" s="16"/>
      <c r="AA392" s="16"/>
      <c r="AB392" s="16"/>
      <c r="AC392" s="16"/>
      <c r="AD392" s="16"/>
    </row>
    <row r="393" ht="13.5" customHeight="1" spans="1:30" x14ac:dyDescent="0.25">
      <c r="A393" s="17"/>
      <c r="B393" s="16"/>
      <c r="C393" s="878">
        <v>44127</v>
      </c>
      <c r="D393" s="879">
        <v>170.323395</v>
      </c>
      <c r="E393" s="874">
        <v>2963100</v>
      </c>
      <c r="F393" s="16"/>
      <c r="G393" s="16"/>
      <c r="H393" s="16"/>
      <c r="I393" s="16"/>
      <c r="J393" s="16"/>
      <c r="K393" s="16"/>
      <c r="L393" s="16"/>
      <c r="M393" s="16"/>
      <c r="N393" s="16"/>
      <c r="O393" s="16"/>
      <c r="P393" s="16"/>
      <c r="Q393" s="16"/>
      <c r="R393" s="16"/>
      <c r="S393" s="16"/>
      <c r="T393" s="16"/>
      <c r="U393" s="16"/>
      <c r="V393" s="16"/>
      <c r="W393" s="16"/>
      <c r="X393" s="16"/>
      <c r="Y393" s="16"/>
      <c r="Z393" s="16"/>
      <c r="AA393" s="16"/>
      <c r="AB393" s="16"/>
      <c r="AC393" s="16"/>
      <c r="AD393" s="16"/>
    </row>
    <row r="394" ht="13.5" customHeight="1" spans="1:30" x14ac:dyDescent="0.25">
      <c r="A394" s="17"/>
      <c r="B394" s="16"/>
      <c r="C394" s="878">
        <v>44126</v>
      </c>
      <c r="D394" s="879">
        <v>169.44278</v>
      </c>
      <c r="E394" s="874">
        <v>3266800</v>
      </c>
      <c r="F394" s="16"/>
      <c r="G394" s="16"/>
      <c r="H394" s="16"/>
      <c r="I394" s="16"/>
      <c r="J394" s="16"/>
      <c r="K394" s="16"/>
      <c r="L394" s="16"/>
      <c r="M394" s="16"/>
      <c r="N394" s="16"/>
      <c r="O394" s="16"/>
      <c r="P394" s="16"/>
      <c r="Q394" s="16"/>
      <c r="R394" s="16"/>
      <c r="S394" s="16"/>
      <c r="T394" s="16"/>
      <c r="U394" s="16"/>
      <c r="V394" s="16"/>
      <c r="W394" s="16"/>
      <c r="X394" s="16"/>
      <c r="Y394" s="16"/>
      <c r="Z394" s="16"/>
      <c r="AA394" s="16"/>
      <c r="AB394" s="16"/>
      <c r="AC394" s="16"/>
      <c r="AD394" s="16"/>
    </row>
    <row r="395" ht="13.5" customHeight="1" spans="1:30" x14ac:dyDescent="0.25">
      <c r="A395" s="17"/>
      <c r="B395" s="16"/>
      <c r="C395" s="878">
        <v>44125</v>
      </c>
      <c r="D395" s="879">
        <v>172.658478</v>
      </c>
      <c r="E395" s="874">
        <v>3431800</v>
      </c>
      <c r="F395" s="16"/>
      <c r="G395" s="16"/>
      <c r="H395" s="16"/>
      <c r="I395" s="16"/>
      <c r="J395" s="16"/>
      <c r="K395" s="16"/>
      <c r="L395" s="16"/>
      <c r="M395" s="16"/>
      <c r="N395" s="16"/>
      <c r="O395" s="16"/>
      <c r="P395" s="16"/>
      <c r="Q395" s="16"/>
      <c r="R395" s="16"/>
      <c r="S395" s="16"/>
      <c r="T395" s="16"/>
      <c r="U395" s="16"/>
      <c r="V395" s="16"/>
      <c r="W395" s="16"/>
      <c r="X395" s="16"/>
      <c r="Y395" s="16"/>
      <c r="Z395" s="16"/>
      <c r="AA395" s="16"/>
      <c r="AB395" s="16"/>
      <c r="AC395" s="16"/>
      <c r="AD395" s="16"/>
    </row>
    <row r="396" ht="13.5" customHeight="1" spans="1:30" x14ac:dyDescent="0.25">
      <c r="A396" s="17"/>
      <c r="B396" s="16"/>
      <c r="C396" s="878">
        <v>44124</v>
      </c>
      <c r="D396" s="879">
        <v>175.221146</v>
      </c>
      <c r="E396" s="874">
        <v>3603800</v>
      </c>
      <c r="F396" s="16"/>
      <c r="G396" s="16"/>
      <c r="H396" s="16"/>
      <c r="I396" s="16"/>
      <c r="J396" s="16"/>
      <c r="K396" s="16"/>
      <c r="L396" s="16"/>
      <c r="M396" s="16"/>
      <c r="N396" s="16"/>
      <c r="O396" s="16"/>
      <c r="P396" s="16"/>
      <c r="Q396" s="16"/>
      <c r="R396" s="16"/>
      <c r="S396" s="16"/>
      <c r="T396" s="16"/>
      <c r="U396" s="16"/>
      <c r="V396" s="16"/>
      <c r="W396" s="16"/>
      <c r="X396" s="16"/>
      <c r="Y396" s="16"/>
      <c r="Z396" s="16"/>
      <c r="AA396" s="16"/>
      <c r="AB396" s="16"/>
      <c r="AC396" s="16"/>
      <c r="AD396" s="16"/>
    </row>
    <row r="397" ht="13.5" customHeight="1" spans="1:30" x14ac:dyDescent="0.25">
      <c r="A397" s="17"/>
      <c r="B397" s="16"/>
      <c r="C397" s="878">
        <v>44123</v>
      </c>
      <c r="D397" s="879">
        <v>172.688187</v>
      </c>
      <c r="E397" s="874">
        <v>4073200</v>
      </c>
      <c r="F397" s="16"/>
      <c r="G397" s="16"/>
      <c r="H397" s="16"/>
      <c r="I397" s="16"/>
      <c r="J397" s="16"/>
      <c r="K397" s="16"/>
      <c r="L397" s="16"/>
      <c r="M397" s="16"/>
      <c r="N397" s="16"/>
      <c r="O397" s="16"/>
      <c r="P397" s="16"/>
      <c r="Q397" s="16"/>
      <c r="R397" s="16"/>
      <c r="S397" s="16"/>
      <c r="T397" s="16"/>
      <c r="U397" s="16"/>
      <c r="V397" s="16"/>
      <c r="W397" s="16"/>
      <c r="X397" s="16"/>
      <c r="Y397" s="16"/>
      <c r="Z397" s="16"/>
      <c r="AA397" s="16"/>
      <c r="AB397" s="16"/>
      <c r="AC397" s="16"/>
      <c r="AD397" s="16"/>
    </row>
    <row r="398" ht="13.5" customHeight="1" spans="1:30" x14ac:dyDescent="0.25">
      <c r="A398" s="17"/>
      <c r="B398" s="16"/>
      <c r="C398" s="878">
        <v>44120</v>
      </c>
      <c r="D398" s="879">
        <v>175.222321</v>
      </c>
      <c r="E398" s="874">
        <v>3879100</v>
      </c>
      <c r="F398" s="16"/>
      <c r="G398" s="16"/>
      <c r="H398" s="16"/>
      <c r="I398" s="16"/>
      <c r="J398" s="16"/>
      <c r="K398" s="16"/>
      <c r="L398" s="16"/>
      <c r="M398" s="16"/>
      <c r="N398" s="16"/>
      <c r="O398" s="16"/>
      <c r="P398" s="16"/>
      <c r="Q398" s="16"/>
      <c r="R398" s="16"/>
      <c r="S398" s="16"/>
      <c r="T398" s="16"/>
      <c r="U398" s="16"/>
      <c r="V398" s="16"/>
      <c r="W398" s="16"/>
      <c r="X398" s="16"/>
      <c r="Y398" s="16"/>
      <c r="Z398" s="16"/>
      <c r="AA398" s="16"/>
      <c r="AB398" s="16"/>
      <c r="AC398" s="16"/>
      <c r="AD398" s="16"/>
    </row>
    <row r="399" ht="13.5" customHeight="1" spans="1:30" x14ac:dyDescent="0.25">
      <c r="A399" s="17"/>
      <c r="B399" s="16"/>
      <c r="C399" s="878">
        <v>44119</v>
      </c>
      <c r="D399" s="879">
        <v>173.693954</v>
      </c>
      <c r="E399" s="874">
        <v>3631600</v>
      </c>
      <c r="F399" s="16"/>
      <c r="G399" s="16"/>
      <c r="H399" s="16"/>
      <c r="I399" s="16"/>
      <c r="J399" s="16"/>
      <c r="K399" s="16"/>
      <c r="L399" s="16"/>
      <c r="M399" s="16"/>
      <c r="N399" s="16"/>
      <c r="O399" s="16"/>
      <c r="P399" s="16"/>
      <c r="Q399" s="16"/>
      <c r="R399" s="16"/>
      <c r="S399" s="16"/>
      <c r="T399" s="16"/>
      <c r="U399" s="16"/>
      <c r="V399" s="16"/>
      <c r="W399" s="16"/>
      <c r="X399" s="16"/>
      <c r="Y399" s="16"/>
      <c r="Z399" s="16"/>
      <c r="AA399" s="16"/>
      <c r="AB399" s="16"/>
      <c r="AC399" s="16"/>
      <c r="AD399" s="16"/>
    </row>
    <row r="400" ht="13.5" customHeight="1" spans="1:30" x14ac:dyDescent="0.25">
      <c r="A400" s="17"/>
      <c r="B400" s="16"/>
      <c r="C400" s="878">
        <v>44118</v>
      </c>
      <c r="D400" s="879">
        <v>171.189362</v>
      </c>
      <c r="E400" s="874">
        <v>3474800</v>
      </c>
      <c r="F400" s="16"/>
      <c r="G400" s="16"/>
      <c r="H400" s="16"/>
      <c r="I400" s="16"/>
      <c r="J400" s="16"/>
      <c r="K400" s="16"/>
      <c r="L400" s="16"/>
      <c r="M400" s="16"/>
      <c r="N400" s="16"/>
      <c r="O400" s="16"/>
      <c r="P400" s="16"/>
      <c r="Q400" s="16"/>
      <c r="R400" s="16"/>
      <c r="S400" s="16"/>
      <c r="T400" s="16"/>
      <c r="U400" s="16"/>
      <c r="V400" s="16"/>
      <c r="W400" s="16"/>
      <c r="X400" s="16"/>
      <c r="Y400" s="16"/>
      <c r="Z400" s="16"/>
      <c r="AA400" s="16"/>
      <c r="AB400" s="16"/>
      <c r="AC400" s="16"/>
      <c r="AD400" s="16"/>
    </row>
    <row r="401" ht="13.5" customHeight="1" spans="1:30" x14ac:dyDescent="0.25">
      <c r="A401" s="17"/>
      <c r="B401" s="16"/>
      <c r="C401" s="878">
        <v>44117</v>
      </c>
      <c r="D401" s="879">
        <v>172.885376</v>
      </c>
      <c r="E401" s="874">
        <v>2987800</v>
      </c>
      <c r="F401" s="16"/>
      <c r="G401" s="16"/>
      <c r="H401" s="16"/>
      <c r="I401" s="16"/>
      <c r="J401" s="16"/>
      <c r="K401" s="16"/>
      <c r="L401" s="16"/>
      <c r="M401" s="16"/>
      <c r="N401" s="16"/>
      <c r="O401" s="16"/>
      <c r="P401" s="16"/>
      <c r="Q401" s="16"/>
      <c r="R401" s="16"/>
      <c r="S401" s="16"/>
      <c r="T401" s="16"/>
      <c r="U401" s="16"/>
      <c r="V401" s="16"/>
      <c r="W401" s="16"/>
      <c r="X401" s="16"/>
      <c r="Y401" s="16"/>
      <c r="Z401" s="16"/>
      <c r="AA401" s="16"/>
      <c r="AB401" s="16"/>
      <c r="AC401" s="16"/>
      <c r="AD401" s="16"/>
    </row>
    <row r="402" ht="13.5" customHeight="1" spans="1:30" x14ac:dyDescent="0.25">
      <c r="A402" s="17"/>
      <c r="B402" s="16"/>
      <c r="C402" s="878">
        <v>44116</v>
      </c>
      <c r="D402" s="879">
        <v>170.321625</v>
      </c>
      <c r="E402" s="874">
        <v>3377900</v>
      </c>
      <c r="F402" s="16"/>
      <c r="G402" s="16"/>
      <c r="H402" s="16"/>
      <c r="I402" s="16"/>
      <c r="J402" s="16"/>
      <c r="K402" s="16"/>
      <c r="L402" s="16"/>
      <c r="M402" s="16"/>
      <c r="N402" s="16"/>
      <c r="O402" s="16"/>
      <c r="P402" s="16"/>
      <c r="Q402" s="16"/>
      <c r="R402" s="16"/>
      <c r="S402" s="16"/>
      <c r="T402" s="16"/>
      <c r="U402" s="16"/>
      <c r="V402" s="16"/>
      <c r="W402" s="16"/>
      <c r="X402" s="16"/>
      <c r="Y402" s="16"/>
      <c r="Z402" s="16"/>
      <c r="AA402" s="16"/>
      <c r="AB402" s="16"/>
      <c r="AC402" s="16"/>
      <c r="AD402" s="16"/>
    </row>
    <row r="403" ht="13.5" customHeight="1" spans="1:30" x14ac:dyDescent="0.25">
      <c r="A403" s="17"/>
      <c r="B403" s="16"/>
      <c r="C403" s="878">
        <v>44113</v>
      </c>
      <c r="D403" s="879">
        <v>170.814651</v>
      </c>
      <c r="E403" s="874">
        <v>4593700</v>
      </c>
      <c r="F403" s="16"/>
      <c r="G403" s="16"/>
      <c r="H403" s="16"/>
      <c r="I403" s="16"/>
      <c r="J403" s="16"/>
      <c r="K403" s="16"/>
      <c r="L403" s="16"/>
      <c r="M403" s="16"/>
      <c r="N403" s="16"/>
      <c r="O403" s="16"/>
      <c r="P403" s="16"/>
      <c r="Q403" s="16"/>
      <c r="R403" s="16"/>
      <c r="S403" s="16"/>
      <c r="T403" s="16"/>
      <c r="U403" s="16"/>
      <c r="V403" s="16"/>
      <c r="W403" s="16"/>
      <c r="X403" s="16"/>
      <c r="Y403" s="16"/>
      <c r="Z403" s="16"/>
      <c r="AA403" s="16"/>
      <c r="AB403" s="16"/>
      <c r="AC403" s="16"/>
      <c r="AD403" s="16"/>
    </row>
    <row r="404" ht="13.5" customHeight="1" spans="1:30" x14ac:dyDescent="0.25">
      <c r="A404" s="17"/>
      <c r="B404" s="16"/>
      <c r="C404" s="878">
        <v>44112</v>
      </c>
      <c r="D404" s="879">
        <v>168.487564</v>
      </c>
      <c r="E404" s="874">
        <v>3105700</v>
      </c>
      <c r="F404" s="16"/>
      <c r="G404" s="16"/>
      <c r="H404" s="16"/>
      <c r="I404" s="16"/>
      <c r="J404" s="16"/>
      <c r="K404" s="16"/>
      <c r="L404" s="16"/>
      <c r="M404" s="16"/>
      <c r="N404" s="16"/>
      <c r="O404" s="16"/>
      <c r="P404" s="16"/>
      <c r="Q404" s="16"/>
      <c r="R404" s="16"/>
      <c r="S404" s="16"/>
      <c r="T404" s="16"/>
      <c r="U404" s="16"/>
      <c r="V404" s="16"/>
      <c r="W404" s="16"/>
      <c r="X404" s="16"/>
      <c r="Y404" s="16"/>
      <c r="Z404" s="16"/>
      <c r="AA404" s="16"/>
      <c r="AB404" s="16"/>
      <c r="AC404" s="16"/>
      <c r="AD404" s="16"/>
    </row>
    <row r="405" ht="13.5" customHeight="1" spans="1:30" x14ac:dyDescent="0.25">
      <c r="A405" s="17"/>
      <c r="B405" s="16"/>
      <c r="C405" s="878">
        <v>44111</v>
      </c>
      <c r="D405" s="879">
        <v>166.121033</v>
      </c>
      <c r="E405" s="874">
        <v>2587400</v>
      </c>
      <c r="F405" s="16"/>
      <c r="G405" s="16"/>
      <c r="H405" s="16"/>
      <c r="I405" s="16"/>
      <c r="J405" s="16"/>
      <c r="K405" s="16"/>
      <c r="L405" s="16"/>
      <c r="M405" s="16"/>
      <c r="N405" s="16"/>
      <c r="O405" s="16"/>
      <c r="P405" s="16"/>
      <c r="Q405" s="16"/>
      <c r="R405" s="16"/>
      <c r="S405" s="16"/>
      <c r="T405" s="16"/>
      <c r="U405" s="16"/>
      <c r="V405" s="16"/>
      <c r="W405" s="16"/>
      <c r="X405" s="16"/>
      <c r="Y405" s="16"/>
      <c r="Z405" s="16"/>
      <c r="AA405" s="16"/>
      <c r="AB405" s="16"/>
      <c r="AC405" s="16"/>
      <c r="AD405" s="16"/>
    </row>
    <row r="406" ht="13.5" customHeight="1" spans="1:30" x14ac:dyDescent="0.25">
      <c r="A406" s="17"/>
      <c r="B406" s="16"/>
      <c r="C406" s="878">
        <v>44110</v>
      </c>
      <c r="D406" s="879">
        <v>162.689545</v>
      </c>
      <c r="E406" s="874">
        <v>2765600</v>
      </c>
      <c r="F406" s="16"/>
      <c r="G406" s="16"/>
      <c r="H406" s="16"/>
      <c r="I406" s="16"/>
      <c r="J406" s="16"/>
      <c r="K406" s="16"/>
      <c r="L406" s="16"/>
      <c r="M406" s="16"/>
      <c r="N406" s="16"/>
      <c r="O406" s="16"/>
      <c r="P406" s="16"/>
      <c r="Q406" s="16"/>
      <c r="R406" s="16"/>
      <c r="S406" s="16"/>
      <c r="T406" s="16"/>
      <c r="U406" s="16"/>
      <c r="V406" s="16"/>
      <c r="W406" s="16"/>
      <c r="X406" s="16"/>
      <c r="Y406" s="16"/>
      <c r="Z406" s="16"/>
      <c r="AA406" s="16"/>
      <c r="AB406" s="16"/>
      <c r="AC406" s="16"/>
      <c r="AD406" s="16"/>
    </row>
    <row r="407" ht="13.5" customHeight="1" spans="1:30" x14ac:dyDescent="0.25">
      <c r="A407" s="17"/>
      <c r="B407" s="16"/>
      <c r="C407" s="878">
        <v>44109</v>
      </c>
      <c r="D407" s="879">
        <v>166.190063</v>
      </c>
      <c r="E407" s="874">
        <v>2437400</v>
      </c>
      <c r="F407" s="16"/>
      <c r="G407" s="16"/>
      <c r="H407" s="16"/>
      <c r="I407" s="16"/>
      <c r="J407" s="16"/>
      <c r="K407" s="16"/>
      <c r="L407" s="16"/>
      <c r="M407" s="16"/>
      <c r="N407" s="16"/>
      <c r="O407" s="16"/>
      <c r="P407" s="16"/>
      <c r="Q407" s="16"/>
      <c r="R407" s="16"/>
      <c r="S407" s="16"/>
      <c r="T407" s="16"/>
      <c r="U407" s="16"/>
      <c r="V407" s="16"/>
      <c r="W407" s="16"/>
      <c r="X407" s="16"/>
      <c r="Y407" s="16"/>
      <c r="Z407" s="16"/>
      <c r="AA407" s="16"/>
      <c r="AB407" s="16"/>
      <c r="AC407" s="16"/>
      <c r="AD407" s="16"/>
    </row>
    <row r="408" ht="13.5" customHeight="1" spans="1:30" x14ac:dyDescent="0.25">
      <c r="A408" s="17"/>
      <c r="B408" s="16"/>
      <c r="C408" s="878">
        <v>44106</v>
      </c>
      <c r="D408" s="879">
        <v>164.168625</v>
      </c>
      <c r="E408" s="874">
        <v>2026600</v>
      </c>
      <c r="F408" s="16"/>
      <c r="G408" s="16"/>
      <c r="H408" s="16"/>
      <c r="I408" s="16"/>
      <c r="J408" s="16"/>
      <c r="K408" s="16"/>
      <c r="L408" s="16"/>
      <c r="M408" s="16"/>
      <c r="N408" s="16"/>
      <c r="O408" s="16"/>
      <c r="P408" s="16"/>
      <c r="Q408" s="16"/>
      <c r="R408" s="16"/>
      <c r="S408" s="16"/>
      <c r="T408" s="16"/>
      <c r="U408" s="16"/>
      <c r="V408" s="16"/>
      <c r="W408" s="16"/>
      <c r="X408" s="16"/>
      <c r="Y408" s="16"/>
      <c r="Z408" s="16"/>
      <c r="AA408" s="16"/>
      <c r="AB408" s="16"/>
      <c r="AC408" s="16"/>
      <c r="AD408" s="16"/>
    </row>
    <row r="409" ht="13.5" customHeight="1" spans="1:30" x14ac:dyDescent="0.25">
      <c r="A409" s="17"/>
      <c r="B409" s="16"/>
      <c r="C409" s="878">
        <v>44105</v>
      </c>
      <c r="D409" s="879">
        <v>164.839157</v>
      </c>
      <c r="E409" s="874">
        <v>2677200</v>
      </c>
      <c r="F409" s="16"/>
      <c r="G409" s="16"/>
      <c r="H409" s="16"/>
      <c r="I409" s="16"/>
      <c r="J409" s="16"/>
      <c r="K409" s="16"/>
      <c r="L409" s="16"/>
      <c r="M409" s="16"/>
      <c r="N409" s="16"/>
      <c r="O409" s="16"/>
      <c r="P409" s="16"/>
      <c r="Q409" s="16"/>
      <c r="R409" s="16"/>
      <c r="S409" s="16"/>
      <c r="T409" s="16"/>
      <c r="U409" s="16"/>
      <c r="V409" s="16"/>
      <c r="W409" s="16"/>
      <c r="X409" s="16"/>
      <c r="Y409" s="16"/>
      <c r="Z409" s="16"/>
      <c r="AA409" s="16"/>
      <c r="AB409" s="16"/>
      <c r="AC409" s="16"/>
      <c r="AD409" s="16"/>
    </row>
    <row r="410" ht="13.5" customHeight="1" spans="1:30" x14ac:dyDescent="0.25">
      <c r="A410" s="17"/>
      <c r="B410" s="16"/>
      <c r="C410" s="878">
        <v>44104</v>
      </c>
      <c r="D410" s="879">
        <v>163.547424</v>
      </c>
      <c r="E410" s="874">
        <v>4198600</v>
      </c>
      <c r="F410" s="16"/>
      <c r="G410" s="16"/>
      <c r="H410" s="16"/>
      <c r="I410" s="16"/>
      <c r="J410" s="16"/>
      <c r="K410" s="16"/>
      <c r="L410" s="16"/>
      <c r="M410" s="16"/>
      <c r="N410" s="16"/>
      <c r="O410" s="16"/>
      <c r="P410" s="16"/>
      <c r="Q410" s="16"/>
      <c r="R410" s="16"/>
      <c r="S410" s="16"/>
      <c r="T410" s="16"/>
      <c r="U410" s="16"/>
      <c r="V410" s="16"/>
      <c r="W410" s="16"/>
      <c r="X410" s="16"/>
      <c r="Y410" s="16"/>
      <c r="Z410" s="16"/>
      <c r="AA410" s="16"/>
      <c r="AB410" s="16"/>
      <c r="AC410" s="16"/>
      <c r="AD410" s="16"/>
    </row>
    <row r="411" ht="13.5" customHeight="1" spans="1:30" x14ac:dyDescent="0.25">
      <c r="A411" s="17"/>
      <c r="B411" s="16"/>
      <c r="C411" s="878">
        <v>44103</v>
      </c>
      <c r="D411" s="879">
        <v>159.99762</v>
      </c>
      <c r="E411" s="874">
        <v>2212000</v>
      </c>
      <c r="F411" s="16"/>
      <c r="G411" s="16"/>
      <c r="H411" s="16"/>
      <c r="I411" s="16"/>
      <c r="J411" s="16"/>
      <c r="K411" s="16"/>
      <c r="L411" s="16"/>
      <c r="M411" s="16"/>
      <c r="N411" s="16"/>
      <c r="O411" s="16"/>
      <c r="P411" s="16"/>
      <c r="Q411" s="16"/>
      <c r="R411" s="16"/>
      <c r="S411" s="16"/>
      <c r="T411" s="16"/>
      <c r="U411" s="16"/>
      <c r="V411" s="16"/>
      <c r="W411" s="16"/>
      <c r="X411" s="16"/>
      <c r="Y411" s="16"/>
      <c r="Z411" s="16"/>
      <c r="AA411" s="16"/>
      <c r="AB411" s="16"/>
      <c r="AC411" s="16"/>
      <c r="AD411" s="16"/>
    </row>
    <row r="412" ht="13.5" customHeight="1" spans="1:30" x14ac:dyDescent="0.25">
      <c r="A412" s="17"/>
      <c r="B412" s="16"/>
      <c r="C412" s="878">
        <v>44102</v>
      </c>
      <c r="D412" s="879">
        <v>160.322998</v>
      </c>
      <c r="E412" s="874">
        <v>2815700</v>
      </c>
      <c r="F412" s="16"/>
      <c r="G412" s="16"/>
      <c r="H412" s="16"/>
      <c r="I412" s="16"/>
      <c r="J412" s="16"/>
      <c r="K412" s="16"/>
      <c r="L412" s="16"/>
      <c r="M412" s="16"/>
      <c r="N412" s="16"/>
      <c r="O412" s="16"/>
      <c r="P412" s="16"/>
      <c r="Q412" s="16"/>
      <c r="R412" s="16"/>
      <c r="S412" s="16"/>
      <c r="T412" s="16"/>
      <c r="U412" s="16"/>
      <c r="V412" s="16"/>
      <c r="W412" s="16"/>
      <c r="X412" s="16"/>
      <c r="Y412" s="16"/>
      <c r="Z412" s="16"/>
      <c r="AA412" s="16"/>
      <c r="AB412" s="16"/>
      <c r="AC412" s="16"/>
      <c r="AD412" s="16"/>
    </row>
    <row r="413" ht="13.5" customHeight="1" spans="1:30" x14ac:dyDescent="0.25">
      <c r="A413" s="17"/>
      <c r="B413" s="16"/>
      <c r="C413" s="878">
        <v>44099</v>
      </c>
      <c r="D413" s="879">
        <v>157.325409</v>
      </c>
      <c r="E413" s="874">
        <v>2828600</v>
      </c>
      <c r="F413" s="16"/>
      <c r="G413" s="16"/>
      <c r="H413" s="16"/>
      <c r="I413" s="16"/>
      <c r="J413" s="16"/>
      <c r="K413" s="16"/>
      <c r="L413" s="16"/>
      <c r="M413" s="16"/>
      <c r="N413" s="16"/>
      <c r="O413" s="16"/>
      <c r="P413" s="16"/>
      <c r="Q413" s="16"/>
      <c r="R413" s="16"/>
      <c r="S413" s="16"/>
      <c r="T413" s="16"/>
      <c r="U413" s="16"/>
      <c r="V413" s="16"/>
      <c r="W413" s="16"/>
      <c r="X413" s="16"/>
      <c r="Y413" s="16"/>
      <c r="Z413" s="16"/>
      <c r="AA413" s="16"/>
      <c r="AB413" s="16"/>
      <c r="AC413" s="16"/>
      <c r="AD413" s="16"/>
    </row>
    <row r="414" ht="13.5" customHeight="1" spans="1:30" x14ac:dyDescent="0.25">
      <c r="A414" s="17"/>
      <c r="B414" s="16"/>
      <c r="C414" s="878">
        <v>44098</v>
      </c>
      <c r="D414" s="879">
        <v>156.309769</v>
      </c>
      <c r="E414" s="874">
        <v>3888600</v>
      </c>
      <c r="F414" s="16"/>
      <c r="G414" s="16"/>
      <c r="H414" s="16"/>
      <c r="I414" s="16"/>
      <c r="J414" s="16"/>
      <c r="K414" s="16"/>
      <c r="L414" s="16"/>
      <c r="M414" s="16"/>
      <c r="N414" s="16"/>
      <c r="O414" s="16"/>
      <c r="P414" s="16"/>
      <c r="Q414" s="16"/>
      <c r="R414" s="16"/>
      <c r="S414" s="16"/>
      <c r="T414" s="16"/>
      <c r="U414" s="16"/>
      <c r="V414" s="16"/>
      <c r="W414" s="16"/>
      <c r="X414" s="16"/>
      <c r="Y414" s="16"/>
      <c r="Z414" s="16"/>
      <c r="AA414" s="16"/>
      <c r="AB414" s="16"/>
      <c r="AC414" s="16"/>
      <c r="AD414" s="16"/>
    </row>
    <row r="415" ht="13.5" customHeight="1" spans="1:30" x14ac:dyDescent="0.25">
      <c r="A415" s="17"/>
      <c r="B415" s="16"/>
      <c r="C415" s="878">
        <v>44097</v>
      </c>
      <c r="D415" s="879">
        <v>156.398514</v>
      </c>
      <c r="E415" s="874">
        <v>3245500</v>
      </c>
      <c r="F415" s="16"/>
      <c r="G415" s="16"/>
      <c r="H415" s="16"/>
      <c r="I415" s="16"/>
      <c r="J415" s="16"/>
      <c r="K415" s="16"/>
      <c r="L415" s="16"/>
      <c r="M415" s="16"/>
      <c r="N415" s="16"/>
      <c r="O415" s="16"/>
      <c r="P415" s="16"/>
      <c r="Q415" s="16"/>
      <c r="R415" s="16"/>
      <c r="S415" s="16"/>
      <c r="T415" s="16"/>
      <c r="U415" s="16"/>
      <c r="V415" s="16"/>
      <c r="W415" s="16"/>
      <c r="X415" s="16"/>
      <c r="Y415" s="16"/>
      <c r="Z415" s="16"/>
      <c r="AA415" s="16"/>
      <c r="AB415" s="16"/>
      <c r="AC415" s="16"/>
      <c r="AD415" s="16"/>
    </row>
    <row r="416" ht="13.5" customHeight="1" spans="1:30" x14ac:dyDescent="0.25">
      <c r="A416" s="17"/>
      <c r="B416" s="16"/>
      <c r="C416" s="878">
        <v>44096</v>
      </c>
      <c r="D416" s="879">
        <v>159.297531</v>
      </c>
      <c r="E416" s="874">
        <v>3526300</v>
      </c>
      <c r="F416" s="16"/>
      <c r="G416" s="16"/>
      <c r="H416" s="16"/>
      <c r="I416" s="16"/>
      <c r="J416" s="16"/>
      <c r="K416" s="16"/>
      <c r="L416" s="16"/>
      <c r="M416" s="16"/>
      <c r="N416" s="16"/>
      <c r="O416" s="16"/>
      <c r="P416" s="16"/>
      <c r="Q416" s="16"/>
      <c r="R416" s="16"/>
      <c r="S416" s="16"/>
      <c r="T416" s="16"/>
      <c r="U416" s="16"/>
      <c r="V416" s="16"/>
      <c r="W416" s="16"/>
      <c r="X416" s="16"/>
      <c r="Y416" s="16"/>
      <c r="Z416" s="16"/>
      <c r="AA416" s="16"/>
      <c r="AB416" s="16"/>
      <c r="AC416" s="16"/>
      <c r="AD416" s="16"/>
    </row>
    <row r="417" ht="13.5" customHeight="1" spans="1:30" x14ac:dyDescent="0.25">
      <c r="A417" s="17"/>
      <c r="B417" s="16"/>
      <c r="C417" s="878">
        <v>44095</v>
      </c>
      <c r="D417" s="879">
        <v>157.37471</v>
      </c>
      <c r="E417" s="874">
        <v>3929500</v>
      </c>
      <c r="F417" s="16"/>
      <c r="G417" s="16"/>
      <c r="H417" s="16"/>
      <c r="I417" s="16"/>
      <c r="J417" s="16"/>
      <c r="K417" s="16"/>
      <c r="L417" s="16"/>
      <c r="M417" s="16"/>
      <c r="N417" s="16"/>
      <c r="O417" s="16"/>
      <c r="P417" s="16"/>
      <c r="Q417" s="16"/>
      <c r="R417" s="16"/>
      <c r="S417" s="16"/>
      <c r="T417" s="16"/>
      <c r="U417" s="16"/>
      <c r="V417" s="16"/>
      <c r="W417" s="16"/>
      <c r="X417" s="16"/>
      <c r="Y417" s="16"/>
      <c r="Z417" s="16"/>
      <c r="AA417" s="16"/>
      <c r="AB417" s="16"/>
      <c r="AC417" s="16"/>
      <c r="AD417" s="16"/>
    </row>
    <row r="418" ht="13.5" customHeight="1" spans="1:30" x14ac:dyDescent="0.25">
      <c r="A418" s="17"/>
      <c r="B418" s="16"/>
      <c r="C418" s="878">
        <v>44092</v>
      </c>
      <c r="D418" s="879">
        <v>157.867737</v>
      </c>
      <c r="E418" s="874">
        <v>5484700</v>
      </c>
      <c r="F418" s="16"/>
      <c r="G418" s="16"/>
      <c r="H418" s="16"/>
      <c r="I418" s="16"/>
      <c r="J418" s="16"/>
      <c r="K418" s="16"/>
      <c r="L418" s="16"/>
      <c r="M418" s="16"/>
      <c r="N418" s="16"/>
      <c r="O418" s="16"/>
      <c r="P418" s="16"/>
      <c r="Q418" s="16"/>
      <c r="R418" s="16"/>
      <c r="S418" s="16"/>
      <c r="T418" s="16"/>
      <c r="U418" s="16"/>
      <c r="V418" s="16"/>
      <c r="W418" s="16"/>
      <c r="X418" s="16"/>
      <c r="Y418" s="16"/>
      <c r="Z418" s="16"/>
      <c r="AA418" s="16"/>
      <c r="AB418" s="16"/>
      <c r="AC418" s="16"/>
      <c r="AD418" s="16"/>
    </row>
    <row r="419" ht="13.5" customHeight="1" spans="1:30" x14ac:dyDescent="0.25">
      <c r="A419" s="17"/>
      <c r="B419" s="16"/>
      <c r="C419" s="878">
        <v>44091</v>
      </c>
      <c r="D419" s="879">
        <v>161.496429</v>
      </c>
      <c r="E419" s="874">
        <v>3717800</v>
      </c>
      <c r="F419" s="16"/>
      <c r="G419" s="16"/>
      <c r="H419" s="16"/>
      <c r="I419" s="16"/>
      <c r="J419" s="16"/>
      <c r="K419" s="16"/>
      <c r="L419" s="16"/>
      <c r="M419" s="16"/>
      <c r="N419" s="16"/>
      <c r="O419" s="16"/>
      <c r="P419" s="16"/>
      <c r="Q419" s="16"/>
      <c r="R419" s="16"/>
      <c r="S419" s="16"/>
      <c r="T419" s="16"/>
      <c r="U419" s="16"/>
      <c r="V419" s="16"/>
      <c r="W419" s="16"/>
      <c r="X419" s="16"/>
      <c r="Y419" s="16"/>
      <c r="Z419" s="16"/>
      <c r="AA419" s="16"/>
      <c r="AB419" s="16"/>
      <c r="AC419" s="16"/>
      <c r="AD419" s="16"/>
    </row>
    <row r="420" ht="13.5" customHeight="1" spans="1:30" x14ac:dyDescent="0.25">
      <c r="A420" s="17"/>
      <c r="B420" s="16"/>
      <c r="C420" s="878">
        <v>44090</v>
      </c>
      <c r="D420" s="879">
        <v>164.385574</v>
      </c>
      <c r="E420" s="874">
        <v>3814700</v>
      </c>
      <c r="F420" s="16"/>
      <c r="G420" s="16"/>
      <c r="H420" s="16"/>
      <c r="I420" s="16"/>
      <c r="J420" s="16"/>
      <c r="K420" s="16"/>
      <c r="L420" s="16"/>
      <c r="M420" s="16"/>
      <c r="N420" s="16"/>
      <c r="O420" s="16"/>
      <c r="P420" s="16"/>
      <c r="Q420" s="16"/>
      <c r="R420" s="16"/>
      <c r="S420" s="16"/>
      <c r="T420" s="16"/>
      <c r="U420" s="16"/>
      <c r="V420" s="16"/>
      <c r="W420" s="16"/>
      <c r="X420" s="16"/>
      <c r="Y420" s="16"/>
      <c r="Z420" s="16"/>
      <c r="AA420" s="16"/>
      <c r="AB420" s="16"/>
      <c r="AC420" s="16"/>
      <c r="AD420" s="16"/>
    </row>
    <row r="421" ht="13.5" customHeight="1" spans="1:30" x14ac:dyDescent="0.25">
      <c r="A421" s="17"/>
      <c r="B421" s="16"/>
      <c r="C421" s="878">
        <v>44089</v>
      </c>
      <c r="D421" s="879">
        <v>166.673218</v>
      </c>
      <c r="E421" s="874">
        <v>3998100</v>
      </c>
      <c r="F421" s="16"/>
      <c r="G421" s="16"/>
      <c r="H421" s="16"/>
      <c r="I421" s="16"/>
      <c r="J421" s="16"/>
      <c r="K421" s="16"/>
      <c r="L421" s="16"/>
      <c r="M421" s="16"/>
      <c r="N421" s="16"/>
      <c r="O421" s="16"/>
      <c r="P421" s="16"/>
      <c r="Q421" s="16"/>
      <c r="R421" s="16"/>
      <c r="S421" s="16"/>
      <c r="T421" s="16"/>
      <c r="U421" s="16"/>
      <c r="V421" s="16"/>
      <c r="W421" s="16"/>
      <c r="X421" s="16"/>
      <c r="Y421" s="16"/>
      <c r="Z421" s="16"/>
      <c r="AA421" s="16"/>
      <c r="AB421" s="16"/>
      <c r="AC421" s="16"/>
      <c r="AD421" s="16"/>
    </row>
    <row r="422" ht="13.5" customHeight="1" spans="1:30" x14ac:dyDescent="0.25">
      <c r="A422" s="17"/>
      <c r="B422" s="16"/>
      <c r="C422" s="878">
        <v>44088</v>
      </c>
      <c r="D422" s="879">
        <v>162.886765</v>
      </c>
      <c r="E422" s="874">
        <v>3583300</v>
      </c>
      <c r="F422" s="16"/>
      <c r="G422" s="16"/>
      <c r="H422" s="16"/>
      <c r="I422" s="16"/>
      <c r="J422" s="16"/>
      <c r="K422" s="16"/>
      <c r="L422" s="16"/>
      <c r="M422" s="16"/>
      <c r="N422" s="16"/>
      <c r="O422" s="16"/>
      <c r="P422" s="16"/>
      <c r="Q422" s="16"/>
      <c r="R422" s="16"/>
      <c r="S422" s="16"/>
      <c r="T422" s="16"/>
      <c r="U422" s="16"/>
      <c r="V422" s="16"/>
      <c r="W422" s="16"/>
      <c r="X422" s="16"/>
      <c r="Y422" s="16"/>
      <c r="Z422" s="16"/>
      <c r="AA422" s="16"/>
      <c r="AB422" s="16"/>
      <c r="AC422" s="16"/>
      <c r="AD422" s="16"/>
    </row>
    <row r="423" ht="13.5" customHeight="1" spans="1:30" x14ac:dyDescent="0.25">
      <c r="A423" s="17"/>
      <c r="B423" s="16"/>
      <c r="C423" s="878">
        <v>44085</v>
      </c>
      <c r="D423" s="879">
        <v>159.632767</v>
      </c>
      <c r="E423" s="874">
        <v>4870800</v>
      </c>
      <c r="F423" s="16"/>
      <c r="G423" s="16"/>
      <c r="H423" s="16"/>
      <c r="I423" s="16"/>
      <c r="J423" s="16"/>
      <c r="K423" s="16"/>
      <c r="L423" s="16"/>
      <c r="M423" s="16"/>
      <c r="N423" s="16"/>
      <c r="O423" s="16"/>
      <c r="P423" s="16"/>
      <c r="Q423" s="16"/>
      <c r="R423" s="16"/>
      <c r="S423" s="16"/>
      <c r="T423" s="16"/>
      <c r="U423" s="16"/>
      <c r="V423" s="16"/>
      <c r="W423" s="16"/>
      <c r="X423" s="16"/>
      <c r="Y423" s="16"/>
      <c r="Z423" s="16"/>
      <c r="AA423" s="16"/>
      <c r="AB423" s="16"/>
      <c r="AC423" s="16"/>
      <c r="AD423" s="16"/>
    </row>
    <row r="424" ht="13.5" customHeight="1" spans="1:30" x14ac:dyDescent="0.25">
      <c r="A424" s="17"/>
      <c r="B424" s="16"/>
      <c r="C424" s="878">
        <v>44084</v>
      </c>
      <c r="D424" s="879">
        <v>156.122421</v>
      </c>
      <c r="E424" s="874">
        <v>4129200</v>
      </c>
      <c r="F424" s="16"/>
      <c r="G424" s="16"/>
      <c r="H424" s="16"/>
      <c r="I424" s="16"/>
      <c r="J424" s="16"/>
      <c r="K424" s="16"/>
      <c r="L424" s="16"/>
      <c r="M424" s="16"/>
      <c r="N424" s="16"/>
      <c r="O424" s="16"/>
      <c r="P424" s="16"/>
      <c r="Q424" s="16"/>
      <c r="R424" s="16"/>
      <c r="S424" s="16"/>
      <c r="T424" s="16"/>
      <c r="U424" s="16"/>
      <c r="V424" s="16"/>
      <c r="W424" s="16"/>
      <c r="X424" s="16"/>
      <c r="Y424" s="16"/>
      <c r="Z424" s="16"/>
      <c r="AA424" s="16"/>
      <c r="AB424" s="16"/>
      <c r="AC424" s="16"/>
      <c r="AD424" s="16"/>
    </row>
    <row r="425" ht="13.5" customHeight="1" spans="1:30" x14ac:dyDescent="0.25">
      <c r="A425" s="17"/>
      <c r="B425" s="16"/>
      <c r="C425" s="878">
        <v>44083</v>
      </c>
      <c r="D425" s="879">
        <v>157.305664</v>
      </c>
      <c r="E425" s="874">
        <v>4382600</v>
      </c>
      <c r="F425" s="16"/>
      <c r="G425" s="16"/>
      <c r="H425" s="16"/>
      <c r="I425" s="16"/>
      <c r="J425" s="16"/>
      <c r="K425" s="16"/>
      <c r="L425" s="16"/>
      <c r="M425" s="16"/>
      <c r="N425" s="16"/>
      <c r="O425" s="16"/>
      <c r="P425" s="16"/>
      <c r="Q425" s="16"/>
      <c r="R425" s="16"/>
      <c r="S425" s="16"/>
      <c r="T425" s="16"/>
      <c r="U425" s="16"/>
      <c r="V425" s="16"/>
      <c r="W425" s="16"/>
      <c r="X425" s="16"/>
      <c r="Y425" s="16"/>
      <c r="Z425" s="16"/>
      <c r="AA425" s="16"/>
      <c r="AB425" s="16"/>
      <c r="AC425" s="16"/>
      <c r="AD425" s="16"/>
    </row>
    <row r="426" ht="13.5" customHeight="1" spans="1:30" x14ac:dyDescent="0.25">
      <c r="A426" s="17"/>
      <c r="B426" s="16"/>
      <c r="C426" s="878">
        <v>44082</v>
      </c>
      <c r="D426" s="879">
        <v>151.59642</v>
      </c>
      <c r="E426" s="874">
        <v>4892800</v>
      </c>
      <c r="F426" s="16"/>
      <c r="G426" s="16"/>
      <c r="H426" s="16"/>
      <c r="I426" s="16"/>
      <c r="J426" s="16"/>
      <c r="K426" s="16"/>
      <c r="L426" s="16"/>
      <c r="M426" s="16"/>
      <c r="N426" s="16"/>
      <c r="O426" s="16"/>
      <c r="P426" s="16"/>
      <c r="Q426" s="16"/>
      <c r="R426" s="16"/>
      <c r="S426" s="16"/>
      <c r="T426" s="16"/>
      <c r="U426" s="16"/>
      <c r="V426" s="16"/>
      <c r="W426" s="16"/>
      <c r="X426" s="16"/>
      <c r="Y426" s="16"/>
      <c r="Z426" s="16"/>
      <c r="AA426" s="16"/>
      <c r="AB426" s="16"/>
      <c r="AC426" s="16"/>
      <c r="AD426" s="16"/>
    </row>
    <row r="427" ht="13.5" customHeight="1" spans="1:30" x14ac:dyDescent="0.25">
      <c r="A427" s="17"/>
      <c r="B427" s="16"/>
      <c r="C427" s="878">
        <v>44078</v>
      </c>
      <c r="D427" s="879">
        <v>154.209442</v>
      </c>
      <c r="E427" s="874">
        <v>6303800</v>
      </c>
      <c r="F427" s="16"/>
      <c r="G427" s="16"/>
      <c r="H427" s="16"/>
      <c r="I427" s="16"/>
      <c r="J427" s="16"/>
      <c r="K427" s="16"/>
      <c r="L427" s="16"/>
      <c r="M427" s="16"/>
      <c r="N427" s="16"/>
      <c r="O427" s="16"/>
      <c r="P427" s="16"/>
      <c r="Q427" s="16"/>
      <c r="R427" s="16"/>
      <c r="S427" s="16"/>
      <c r="T427" s="16"/>
      <c r="U427" s="16"/>
      <c r="V427" s="16"/>
      <c r="W427" s="16"/>
      <c r="X427" s="16"/>
      <c r="Y427" s="16"/>
      <c r="Z427" s="16"/>
      <c r="AA427" s="16"/>
      <c r="AB427" s="16"/>
      <c r="AC427" s="16"/>
      <c r="AD427" s="16"/>
    </row>
    <row r="428" ht="13.5" customHeight="1" spans="1:30" x14ac:dyDescent="0.25">
      <c r="A428" s="17"/>
      <c r="B428" s="16"/>
      <c r="C428" s="878">
        <v>44077</v>
      </c>
      <c r="D428" s="879">
        <v>159.267929</v>
      </c>
      <c r="E428" s="874">
        <v>5734400</v>
      </c>
      <c r="F428" s="16"/>
      <c r="G428" s="16"/>
      <c r="H428" s="16"/>
      <c r="I428" s="16"/>
      <c r="J428" s="16"/>
      <c r="K428" s="16"/>
      <c r="L428" s="16"/>
      <c r="M428" s="16"/>
      <c r="N428" s="16"/>
      <c r="O428" s="16"/>
      <c r="P428" s="16"/>
      <c r="Q428" s="16"/>
      <c r="R428" s="16"/>
      <c r="S428" s="16"/>
      <c r="T428" s="16"/>
      <c r="U428" s="16"/>
      <c r="V428" s="16"/>
      <c r="W428" s="16"/>
      <c r="X428" s="16"/>
      <c r="Y428" s="16"/>
      <c r="Z428" s="16"/>
      <c r="AA428" s="16"/>
      <c r="AB428" s="16"/>
      <c r="AC428" s="16"/>
      <c r="AD428" s="16"/>
    </row>
    <row r="429" ht="13.5" customHeight="1" spans="1:30" x14ac:dyDescent="0.25">
      <c r="A429" s="17"/>
      <c r="B429" s="16"/>
      <c r="C429" s="878">
        <v>44076</v>
      </c>
      <c r="D429" s="879">
        <v>168.112869</v>
      </c>
      <c r="E429" s="874">
        <v>4262700</v>
      </c>
      <c r="F429" s="16"/>
      <c r="G429" s="16"/>
      <c r="H429" s="16"/>
      <c r="I429" s="16"/>
      <c r="J429" s="16"/>
      <c r="K429" s="16"/>
      <c r="L429" s="16"/>
      <c r="M429" s="16"/>
      <c r="N429" s="16"/>
      <c r="O429" s="16"/>
      <c r="P429" s="16"/>
      <c r="Q429" s="16"/>
      <c r="R429" s="16"/>
      <c r="S429" s="16"/>
      <c r="T429" s="16"/>
      <c r="U429" s="16"/>
      <c r="V429" s="16"/>
      <c r="W429" s="16"/>
      <c r="X429" s="16"/>
      <c r="Y429" s="16"/>
      <c r="Z429" s="16"/>
      <c r="AA429" s="16"/>
      <c r="AB429" s="16"/>
      <c r="AC429" s="16"/>
      <c r="AD429" s="16"/>
    </row>
    <row r="430" ht="13.5" customHeight="1" spans="1:30" x14ac:dyDescent="0.25">
      <c r="A430" s="17"/>
      <c r="B430" s="16"/>
      <c r="C430" s="878">
        <v>44075</v>
      </c>
      <c r="D430" s="879">
        <v>165.253281</v>
      </c>
      <c r="E430" s="874">
        <v>4284400</v>
      </c>
      <c r="F430" s="16"/>
      <c r="G430" s="16"/>
      <c r="H430" s="16"/>
      <c r="I430" s="16"/>
      <c r="J430" s="16"/>
      <c r="K430" s="16"/>
      <c r="L430" s="16"/>
      <c r="M430" s="16"/>
      <c r="N430" s="16"/>
      <c r="O430" s="16"/>
      <c r="P430" s="16"/>
      <c r="Q430" s="16"/>
      <c r="R430" s="16"/>
      <c r="S430" s="16"/>
      <c r="T430" s="16"/>
      <c r="U430" s="16"/>
      <c r="V430" s="16"/>
      <c r="W430" s="16"/>
      <c r="X430" s="16"/>
      <c r="Y430" s="16"/>
      <c r="Z430" s="16"/>
      <c r="AA430" s="16"/>
      <c r="AB430" s="16"/>
      <c r="AC430" s="16"/>
      <c r="AD430" s="16"/>
    </row>
    <row r="431" ht="13.5" customHeight="1" spans="1:30" x14ac:dyDescent="0.25">
      <c r="A431" s="17"/>
      <c r="B431" s="16"/>
      <c r="C431" s="878">
        <v>44074</v>
      </c>
      <c r="D431" s="879">
        <v>162.393753</v>
      </c>
      <c r="E431" s="874">
        <v>3421300</v>
      </c>
      <c r="F431" s="16"/>
      <c r="G431" s="16"/>
      <c r="H431" s="16"/>
      <c r="I431" s="16"/>
      <c r="J431" s="16"/>
      <c r="K431" s="16"/>
      <c r="L431" s="16"/>
      <c r="M431" s="16"/>
      <c r="N431" s="16"/>
      <c r="O431" s="16"/>
      <c r="P431" s="16"/>
      <c r="Q431" s="16"/>
      <c r="R431" s="16"/>
      <c r="S431" s="16"/>
      <c r="T431" s="16"/>
      <c r="U431" s="16"/>
      <c r="V431" s="16"/>
      <c r="W431" s="16"/>
      <c r="X431" s="16"/>
      <c r="Y431" s="16"/>
      <c r="Z431" s="16"/>
      <c r="AA431" s="16"/>
      <c r="AB431" s="16"/>
      <c r="AC431" s="16"/>
      <c r="AD431" s="16"/>
    </row>
    <row r="432" ht="13.5" customHeight="1" spans="1:30" x14ac:dyDescent="0.25">
      <c r="A432" s="17"/>
      <c r="B432" s="16"/>
      <c r="C432" s="878">
        <v>44071</v>
      </c>
      <c r="D432" s="879">
        <v>163.202301</v>
      </c>
      <c r="E432" s="874">
        <v>3291400</v>
      </c>
      <c r="F432" s="16"/>
      <c r="G432" s="16"/>
      <c r="H432" s="16"/>
      <c r="I432" s="16"/>
      <c r="J432" s="16"/>
      <c r="K432" s="16"/>
      <c r="L432" s="16"/>
      <c r="M432" s="16"/>
      <c r="N432" s="16"/>
      <c r="O432" s="16"/>
      <c r="P432" s="16"/>
      <c r="Q432" s="16"/>
      <c r="R432" s="16"/>
      <c r="S432" s="16"/>
      <c r="T432" s="16"/>
      <c r="U432" s="16"/>
      <c r="V432" s="16"/>
      <c r="W432" s="16"/>
      <c r="X432" s="16"/>
      <c r="Y432" s="16"/>
      <c r="Z432" s="16"/>
      <c r="AA432" s="16"/>
      <c r="AB432" s="16"/>
      <c r="AC432" s="16"/>
      <c r="AD432" s="16"/>
    </row>
    <row r="433" ht="13.5" customHeight="1" spans="1:30" x14ac:dyDescent="0.25">
      <c r="A433" s="17"/>
      <c r="B433" s="16"/>
      <c r="C433" s="878">
        <v>44070</v>
      </c>
      <c r="D433" s="879">
        <v>163.99115</v>
      </c>
      <c r="E433" s="874">
        <v>4425000</v>
      </c>
      <c r="F433" s="16"/>
      <c r="G433" s="16"/>
      <c r="H433" s="16"/>
      <c r="I433" s="16"/>
      <c r="J433" s="16"/>
      <c r="K433" s="16"/>
      <c r="L433" s="16"/>
      <c r="M433" s="16"/>
      <c r="N433" s="16"/>
      <c r="O433" s="16"/>
      <c r="P433" s="16"/>
      <c r="Q433" s="16"/>
      <c r="R433" s="16"/>
      <c r="S433" s="16"/>
      <c r="T433" s="16"/>
      <c r="U433" s="16"/>
      <c r="V433" s="16"/>
      <c r="W433" s="16"/>
      <c r="X433" s="16"/>
      <c r="Y433" s="16"/>
      <c r="Z433" s="16"/>
      <c r="AA433" s="16"/>
      <c r="AB433" s="16"/>
      <c r="AC433" s="16"/>
      <c r="AD433" s="16"/>
    </row>
    <row r="434" ht="13.5" customHeight="1" spans="1:30" x14ac:dyDescent="0.25">
      <c r="A434" s="17"/>
      <c r="B434" s="16"/>
      <c r="C434" s="878"/>
      <c r="D434" s="879"/>
      <c r="E434" s="874"/>
      <c r="F434" s="16"/>
      <c r="G434" s="16"/>
      <c r="H434" s="16"/>
      <c r="I434" s="16"/>
      <c r="J434" s="16"/>
      <c r="K434" s="16"/>
      <c r="L434" s="16"/>
      <c r="M434" s="16"/>
      <c r="N434" s="16"/>
      <c r="O434" s="16"/>
      <c r="P434" s="16"/>
      <c r="Q434" s="16"/>
      <c r="R434" s="16"/>
      <c r="S434" s="16"/>
      <c r="T434" s="16"/>
      <c r="U434" s="16"/>
      <c r="V434" s="16"/>
      <c r="W434" s="16"/>
      <c r="X434" s="16"/>
      <c r="Y434" s="16"/>
      <c r="Z434" s="16"/>
      <c r="AA434" s="16"/>
      <c r="AB434" s="16"/>
      <c r="AC434" s="16"/>
      <c r="AD434" s="16"/>
    </row>
    <row r="435" ht="13.5" customHeight="1" spans="1:30" x14ac:dyDescent="0.25">
      <c r="A435" s="17"/>
      <c r="B435" s="16"/>
      <c r="C435" s="878"/>
      <c r="D435" s="879"/>
      <c r="E435" s="874"/>
      <c r="F435" s="16"/>
      <c r="G435" s="16"/>
      <c r="H435" s="16"/>
      <c r="I435" s="16"/>
      <c r="J435" s="16"/>
      <c r="K435" s="16"/>
      <c r="L435" s="16"/>
      <c r="M435" s="16"/>
      <c r="N435" s="16"/>
      <c r="O435" s="16"/>
      <c r="P435" s="16"/>
      <c r="Q435" s="16"/>
      <c r="R435" s="16"/>
      <c r="S435" s="16"/>
      <c r="T435" s="16"/>
      <c r="U435" s="16"/>
      <c r="V435" s="16"/>
      <c r="W435" s="16"/>
      <c r="X435" s="16"/>
      <c r="Y435" s="16"/>
      <c r="Z435" s="16"/>
      <c r="AA435" s="16"/>
      <c r="AB435" s="16"/>
      <c r="AC435" s="16"/>
      <c r="AD435" s="16"/>
    </row>
    <row r="436" ht="13.5" customHeight="1" spans="1:30" x14ac:dyDescent="0.25">
      <c r="A436" s="17"/>
      <c r="B436" s="16"/>
      <c r="C436" s="878"/>
      <c r="D436" s="879"/>
      <c r="E436" s="874"/>
      <c r="F436" s="16"/>
      <c r="G436" s="16"/>
      <c r="H436" s="16"/>
      <c r="I436" s="16"/>
      <c r="J436" s="16"/>
      <c r="K436" s="16"/>
      <c r="L436" s="16"/>
      <c r="M436" s="16"/>
      <c r="N436" s="16"/>
      <c r="O436" s="16"/>
      <c r="P436" s="16"/>
      <c r="Q436" s="16"/>
      <c r="R436" s="16"/>
      <c r="S436" s="16"/>
      <c r="T436" s="16"/>
      <c r="U436" s="16"/>
      <c r="V436" s="16"/>
      <c r="W436" s="16"/>
      <c r="X436" s="16"/>
      <c r="Y436" s="16"/>
      <c r="Z436" s="16"/>
      <c r="AA436" s="16"/>
      <c r="AB436" s="16"/>
      <c r="AC436" s="16"/>
      <c r="AD436" s="16"/>
    </row>
    <row r="437" ht="13.5" customHeight="1" spans="1:30" x14ac:dyDescent="0.25">
      <c r="A437" s="17"/>
      <c r="B437" s="16"/>
      <c r="C437" s="878"/>
      <c r="D437" s="879"/>
      <c r="E437" s="874"/>
      <c r="F437" s="16"/>
      <c r="G437" s="16"/>
      <c r="H437" s="16"/>
      <c r="I437" s="16"/>
      <c r="J437" s="16"/>
      <c r="K437" s="16"/>
      <c r="L437" s="16"/>
      <c r="M437" s="16"/>
      <c r="N437" s="16"/>
      <c r="O437" s="16"/>
      <c r="P437" s="16"/>
      <c r="Q437" s="16"/>
      <c r="R437" s="16"/>
      <c r="S437" s="16"/>
      <c r="T437" s="16"/>
      <c r="U437" s="16"/>
      <c r="V437" s="16"/>
      <c r="W437" s="16"/>
      <c r="X437" s="16"/>
      <c r="Y437" s="16"/>
      <c r="Z437" s="16"/>
      <c r="AA437" s="16"/>
      <c r="AB437" s="16"/>
      <c r="AC437" s="16"/>
      <c r="AD437" s="16"/>
    </row>
    <row r="438" ht="13.5" customHeight="1" spans="1:30" x14ac:dyDescent="0.25">
      <c r="A438" s="17"/>
      <c r="B438" s="16"/>
      <c r="C438" s="878"/>
      <c r="D438" s="879"/>
      <c r="E438" s="874"/>
      <c r="F438" s="16"/>
      <c r="G438" s="16"/>
      <c r="H438" s="16"/>
      <c r="I438" s="16"/>
      <c r="J438" s="16"/>
      <c r="K438" s="16"/>
      <c r="L438" s="16"/>
      <c r="M438" s="16"/>
      <c r="N438" s="16"/>
      <c r="O438" s="16"/>
      <c r="P438" s="16"/>
      <c r="Q438" s="16"/>
      <c r="R438" s="16"/>
      <c r="S438" s="16"/>
      <c r="T438" s="16"/>
      <c r="U438" s="16"/>
      <c r="V438" s="16"/>
      <c r="W438" s="16"/>
      <c r="X438" s="16"/>
      <c r="Y438" s="16"/>
      <c r="Z438" s="16"/>
      <c r="AA438" s="16"/>
      <c r="AB438" s="16"/>
      <c r="AC438" s="16"/>
      <c r="AD438" s="16"/>
    </row>
    <row r="439" ht="13.5" customHeight="1" spans="1:30" x14ac:dyDescent="0.25">
      <c r="A439" s="17"/>
      <c r="B439" s="16"/>
      <c r="C439" s="878"/>
      <c r="D439" s="879"/>
      <c r="E439" s="874"/>
      <c r="F439" s="16"/>
      <c r="G439" s="16"/>
      <c r="H439" s="16"/>
      <c r="I439" s="16"/>
      <c r="J439" s="16"/>
      <c r="K439" s="16"/>
      <c r="L439" s="16"/>
      <c r="M439" s="16"/>
      <c r="N439" s="16"/>
      <c r="O439" s="16"/>
      <c r="P439" s="16"/>
      <c r="Q439" s="16"/>
      <c r="R439" s="16"/>
      <c r="S439" s="16"/>
      <c r="T439" s="16"/>
      <c r="U439" s="16"/>
      <c r="V439" s="16"/>
      <c r="W439" s="16"/>
      <c r="X439" s="16"/>
      <c r="Y439" s="16"/>
      <c r="Z439" s="16"/>
      <c r="AA439" s="16"/>
      <c r="AB439" s="16"/>
      <c r="AC439" s="16"/>
      <c r="AD439" s="16"/>
    </row>
    <row r="440" ht="13.5" customHeight="1" spans="1:30" x14ac:dyDescent="0.25">
      <c r="A440" s="17"/>
      <c r="B440" s="16"/>
      <c r="C440" s="878"/>
      <c r="D440" s="879"/>
      <c r="E440" s="874"/>
      <c r="F440" s="16"/>
      <c r="G440" s="16"/>
      <c r="H440" s="16"/>
      <c r="I440" s="16"/>
      <c r="J440" s="16"/>
      <c r="K440" s="16"/>
      <c r="L440" s="16"/>
      <c r="M440" s="16"/>
      <c r="N440" s="16"/>
      <c r="O440" s="16"/>
      <c r="P440" s="16"/>
      <c r="Q440" s="16"/>
      <c r="R440" s="16"/>
      <c r="S440" s="16"/>
      <c r="T440" s="16"/>
      <c r="U440" s="16"/>
      <c r="V440" s="16"/>
      <c r="W440" s="16"/>
      <c r="X440" s="16"/>
      <c r="Y440" s="16"/>
      <c r="Z440" s="16"/>
      <c r="AA440" s="16"/>
      <c r="AB440" s="16"/>
      <c r="AC440" s="16"/>
      <c r="AD440" s="16"/>
    </row>
    <row r="441" ht="13.5" customHeight="1" spans="1:30" x14ac:dyDescent="0.25">
      <c r="A441" s="17"/>
      <c r="B441" s="16"/>
      <c r="C441" s="878"/>
      <c r="D441" s="879"/>
      <c r="E441" s="874"/>
      <c r="F441" s="16"/>
      <c r="G441" s="16"/>
      <c r="H441" s="16"/>
      <c r="I441" s="16"/>
      <c r="J441" s="16"/>
      <c r="K441" s="16"/>
      <c r="L441" s="16"/>
      <c r="M441" s="16"/>
      <c r="N441" s="16"/>
      <c r="O441" s="16"/>
      <c r="P441" s="16"/>
      <c r="Q441" s="16"/>
      <c r="R441" s="16"/>
      <c r="S441" s="16"/>
      <c r="T441" s="16"/>
      <c r="U441" s="16"/>
      <c r="V441" s="16"/>
      <c r="W441" s="16"/>
      <c r="X441" s="16"/>
      <c r="Y441" s="16"/>
      <c r="Z441" s="16"/>
      <c r="AA441" s="16"/>
      <c r="AB441" s="16"/>
      <c r="AC441" s="16"/>
      <c r="AD441" s="16"/>
    </row>
    <row r="442" ht="13.5" customHeight="1" spans="1:30" x14ac:dyDescent="0.25">
      <c r="A442" s="17"/>
      <c r="B442" s="16"/>
      <c r="C442" s="878"/>
      <c r="D442" s="879"/>
      <c r="E442" s="874"/>
      <c r="F442" s="16"/>
      <c r="G442" s="16"/>
      <c r="H442" s="16"/>
      <c r="I442" s="16"/>
      <c r="J442" s="16"/>
      <c r="K442" s="16"/>
      <c r="L442" s="16"/>
      <c r="M442" s="16"/>
      <c r="N442" s="16"/>
      <c r="O442" s="16"/>
      <c r="P442" s="16"/>
      <c r="Q442" s="16"/>
      <c r="R442" s="16"/>
      <c r="S442" s="16"/>
      <c r="T442" s="16"/>
      <c r="U442" s="16"/>
      <c r="V442" s="16"/>
      <c r="W442" s="16"/>
      <c r="X442" s="16"/>
      <c r="Y442" s="16"/>
      <c r="Z442" s="16"/>
      <c r="AA442" s="16"/>
      <c r="AB442" s="16"/>
      <c r="AC442" s="16"/>
      <c r="AD442" s="16"/>
    </row>
    <row r="443" ht="13.5" customHeight="1" spans="1:30" x14ac:dyDescent="0.25">
      <c r="A443" s="17"/>
      <c r="B443" s="16"/>
      <c r="C443" s="878"/>
      <c r="D443" s="879"/>
      <c r="E443" s="874"/>
      <c r="F443" s="16"/>
      <c r="G443" s="16"/>
      <c r="H443" s="16"/>
      <c r="I443" s="16"/>
      <c r="J443" s="16"/>
      <c r="K443" s="16"/>
      <c r="L443" s="16"/>
      <c r="M443" s="16"/>
      <c r="N443" s="16"/>
      <c r="O443" s="16"/>
      <c r="P443" s="16"/>
      <c r="Q443" s="16"/>
      <c r="R443" s="16"/>
      <c r="S443" s="16"/>
      <c r="T443" s="16"/>
      <c r="U443" s="16"/>
      <c r="V443" s="16"/>
      <c r="W443" s="16"/>
      <c r="X443" s="16"/>
      <c r="Y443" s="16"/>
      <c r="Z443" s="16"/>
      <c r="AA443" s="16"/>
      <c r="AB443" s="16"/>
      <c r="AC443" s="16"/>
      <c r="AD443" s="16"/>
    </row>
    <row r="444" ht="13.5" customHeight="1" spans="1:30" x14ac:dyDescent="0.25">
      <c r="A444" s="17"/>
      <c r="B444" s="16"/>
      <c r="C444" s="878"/>
      <c r="D444" s="879"/>
      <c r="E444" s="874"/>
      <c r="F444" s="16"/>
      <c r="G444" s="16"/>
      <c r="H444" s="16"/>
      <c r="I444" s="16"/>
      <c r="J444" s="16"/>
      <c r="K444" s="16"/>
      <c r="L444" s="16"/>
      <c r="M444" s="16"/>
      <c r="N444" s="16"/>
      <c r="O444" s="16"/>
      <c r="P444" s="16"/>
      <c r="Q444" s="16"/>
      <c r="R444" s="16"/>
      <c r="S444" s="16"/>
      <c r="T444" s="16"/>
      <c r="U444" s="16"/>
      <c r="V444" s="16"/>
      <c r="W444" s="16"/>
      <c r="X444" s="16"/>
      <c r="Y444" s="16"/>
      <c r="Z444" s="16"/>
      <c r="AA444" s="16"/>
      <c r="AB444" s="16"/>
      <c r="AC444" s="16"/>
      <c r="AD444" s="16"/>
    </row>
    <row r="445" ht="13.5" customHeight="1" spans="1:30" x14ac:dyDescent="0.25">
      <c r="A445" s="17"/>
      <c r="B445" s="16"/>
      <c r="C445" s="878"/>
      <c r="D445" s="879"/>
      <c r="E445" s="874"/>
      <c r="F445" s="16"/>
      <c r="G445" s="16"/>
      <c r="H445" s="16"/>
      <c r="I445" s="16"/>
      <c r="J445" s="16"/>
      <c r="K445" s="16"/>
      <c r="L445" s="16"/>
      <c r="M445" s="16"/>
      <c r="N445" s="16"/>
      <c r="O445" s="16"/>
      <c r="P445" s="16"/>
      <c r="Q445" s="16"/>
      <c r="R445" s="16"/>
      <c r="S445" s="16"/>
      <c r="T445" s="16"/>
      <c r="U445" s="16"/>
      <c r="V445" s="16"/>
      <c r="W445" s="16"/>
      <c r="X445" s="16"/>
      <c r="Y445" s="16"/>
      <c r="Z445" s="16"/>
      <c r="AA445" s="16"/>
      <c r="AB445" s="16"/>
      <c r="AC445" s="16"/>
      <c r="AD445" s="16"/>
    </row>
    <row r="446" ht="13.5" customHeight="1" spans="1:30" x14ac:dyDescent="0.25">
      <c r="A446" s="17"/>
      <c r="B446" s="16"/>
      <c r="C446" s="878"/>
      <c r="D446" s="879"/>
      <c r="E446" s="874"/>
      <c r="F446" s="16"/>
      <c r="G446" s="16"/>
      <c r="H446" s="16"/>
      <c r="I446" s="16"/>
      <c r="J446" s="16"/>
      <c r="K446" s="16"/>
      <c r="L446" s="16"/>
      <c r="M446" s="16"/>
      <c r="N446" s="16"/>
      <c r="O446" s="16"/>
      <c r="P446" s="16"/>
      <c r="Q446" s="16"/>
      <c r="R446" s="16"/>
      <c r="S446" s="16"/>
      <c r="T446" s="16"/>
      <c r="U446" s="16"/>
      <c r="V446" s="16"/>
      <c r="W446" s="16"/>
      <c r="X446" s="16"/>
      <c r="Y446" s="16"/>
      <c r="Z446" s="16"/>
      <c r="AA446" s="16"/>
      <c r="AB446" s="16"/>
      <c r="AC446" s="16"/>
      <c r="AD446" s="16"/>
    </row>
    <row r="447" ht="13.5" customHeight="1" spans="1:30" x14ac:dyDescent="0.25">
      <c r="A447" s="17"/>
      <c r="B447" s="16"/>
      <c r="C447" s="878"/>
      <c r="D447" s="879"/>
      <c r="E447" s="874"/>
      <c r="F447" s="16"/>
      <c r="G447" s="16"/>
      <c r="H447" s="16"/>
      <c r="I447" s="16"/>
      <c r="J447" s="16"/>
      <c r="K447" s="16"/>
      <c r="L447" s="16"/>
      <c r="M447" s="16"/>
      <c r="N447" s="16"/>
      <c r="O447" s="16"/>
      <c r="P447" s="16"/>
      <c r="Q447" s="16"/>
      <c r="R447" s="16"/>
      <c r="S447" s="16"/>
      <c r="T447" s="16"/>
      <c r="U447" s="16"/>
      <c r="V447" s="16"/>
      <c r="W447" s="16"/>
      <c r="X447" s="16"/>
      <c r="Y447" s="16"/>
      <c r="Z447" s="16"/>
      <c r="AA447" s="16"/>
      <c r="AB447" s="16"/>
      <c r="AC447" s="16"/>
      <c r="AD447" s="16"/>
    </row>
    <row r="448" ht="13.5" customHeight="1" spans="1:30" x14ac:dyDescent="0.25">
      <c r="A448" s="17" t="s">
        <v>1</v>
      </c>
      <c r="B448" s="16"/>
      <c r="C448" s="16"/>
      <c r="D448" s="16"/>
      <c r="E448" s="16"/>
      <c r="F448" s="16"/>
      <c r="G448" s="16"/>
      <c r="H448" s="16"/>
      <c r="I448" s="16"/>
      <c r="J448" s="16"/>
      <c r="K448" s="16"/>
      <c r="L448" s="16"/>
      <c r="M448" s="16"/>
      <c r="N448" s="16"/>
      <c r="O448" s="16"/>
      <c r="P448" s="16"/>
      <c r="Q448" s="16"/>
      <c r="R448" s="16"/>
      <c r="S448" s="16" t="s">
        <v>1</v>
      </c>
      <c r="T448" s="16"/>
      <c r="U448" s="16"/>
      <c r="V448" s="16"/>
      <c r="W448" s="16"/>
      <c r="X448" s="16"/>
      <c r="Y448" s="16"/>
      <c r="Z448" s="16"/>
      <c r="AA448" s="16"/>
      <c r="AB448" s="16"/>
      <c r="AC448" s="16"/>
      <c r="AD448" s="16"/>
    </row>
    <row r="449" ht="13.5" customHeight="1" spans="1:30" x14ac:dyDescent="0.25">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c r="AA449" s="4"/>
      <c r="AB449" s="4"/>
      <c r="AC449" s="4"/>
      <c r="AD449" s="4"/>
    </row>
    <row r="450" ht="13.5" customHeight="1" spans="1:30" x14ac:dyDescent="0.25">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c r="AA450" s="4"/>
      <c r="AB450" s="4"/>
      <c r="AC450" s="4"/>
      <c r="AD450" s="4"/>
    </row>
    <row r="451" ht="13.5" customHeight="1" spans="1:30" x14ac:dyDescent="0.25">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c r="AA451" s="4"/>
      <c r="AB451" s="4"/>
      <c r="AC451" s="4"/>
      <c r="AD451" s="4"/>
    </row>
    <row r="452" ht="13.5" customHeight="1" spans="1:30" x14ac:dyDescent="0.25">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c r="AA452" s="4"/>
      <c r="AB452" s="4"/>
      <c r="AC452" s="4"/>
      <c r="AD452" s="4"/>
    </row>
    <row r="453" ht="13.5" customHeight="1" spans="1:30" x14ac:dyDescent="0.25">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c r="AA453" s="4"/>
      <c r="AB453" s="4"/>
      <c r="AC453" s="4"/>
      <c r="AD453" s="4"/>
    </row>
    <row r="454" ht="13.5" customHeight="1" spans="1:30" x14ac:dyDescent="0.25">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c r="AA454" s="4"/>
      <c r="AB454" s="4"/>
      <c r="AC454" s="4"/>
      <c r="AD454" s="4"/>
    </row>
    <row r="455" ht="13.5" customHeight="1" spans="1:30" x14ac:dyDescent="0.2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c r="AA455" s="4"/>
      <c r="AB455" s="4"/>
      <c r="AC455" s="4"/>
      <c r="AD455" s="4"/>
    </row>
    <row r="456" ht="13.5" customHeight="1" spans="1:30" x14ac:dyDescent="0.25">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c r="AA456" s="4"/>
      <c r="AB456" s="4"/>
      <c r="AC456" s="4"/>
      <c r="AD456" s="4"/>
    </row>
    <row r="457" ht="13.5" customHeight="1" spans="1:30" x14ac:dyDescent="0.25">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c r="AA457" s="4"/>
      <c r="AB457" s="4"/>
      <c r="AC457" s="4"/>
      <c r="AD457" s="4"/>
    </row>
    <row r="458" ht="13.5" customHeight="1" spans="1:30" x14ac:dyDescent="0.25">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c r="AA458" s="4"/>
      <c r="AB458" s="4"/>
      <c r="AC458" s="4"/>
      <c r="AD458" s="4"/>
    </row>
    <row r="459" ht="13.5" customHeight="1" spans="1:30" x14ac:dyDescent="0.25">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c r="AA459" s="4"/>
      <c r="AB459" s="4"/>
      <c r="AC459" s="4"/>
      <c r="AD459" s="4"/>
    </row>
    <row r="460" ht="13.5" customHeight="1" spans="1:30" x14ac:dyDescent="0.25">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c r="AA460" s="4"/>
      <c r="AB460" s="4"/>
      <c r="AC460" s="4"/>
      <c r="AD460" s="4"/>
    </row>
    <row r="461" ht="13.5" customHeight="1" spans="1:30" x14ac:dyDescent="0.25">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c r="AA461" s="4"/>
      <c r="AB461" s="4"/>
      <c r="AC461" s="4"/>
      <c r="AD461" s="4"/>
    </row>
    <row r="462" ht="13.5" customHeight="1" spans="1:30" x14ac:dyDescent="0.25">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c r="AA462" s="4"/>
      <c r="AB462" s="4"/>
      <c r="AC462" s="4"/>
      <c r="AD462" s="4"/>
    </row>
    <row r="463" ht="13.5" customHeight="1" spans="1:30" x14ac:dyDescent="0.25">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c r="AA463" s="4"/>
      <c r="AB463" s="4"/>
      <c r="AC463" s="4"/>
      <c r="AD463" s="4"/>
    </row>
    <row r="464" ht="13.5" customHeight="1" spans="1:30" x14ac:dyDescent="0.25">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c r="AA464" s="4"/>
      <c r="AB464" s="4"/>
      <c r="AC464" s="4"/>
      <c r="AD464" s="4"/>
    </row>
    <row r="465" ht="13.5" customHeight="1" spans="1:30" x14ac:dyDescent="0.2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c r="AA465" s="4"/>
      <c r="AB465" s="4"/>
      <c r="AC465" s="4"/>
      <c r="AD465" s="4"/>
    </row>
    <row r="466" ht="13.5" customHeight="1" spans="1:30" x14ac:dyDescent="0.25">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c r="AA466" s="4"/>
      <c r="AB466" s="4"/>
      <c r="AC466" s="4"/>
      <c r="AD466" s="4"/>
    </row>
    <row r="467" ht="13.5" customHeight="1" spans="1:30" x14ac:dyDescent="0.25">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c r="AA467" s="4"/>
      <c r="AB467" s="4"/>
      <c r="AC467" s="4"/>
      <c r="AD467" s="4"/>
    </row>
    <row r="468" ht="13.5" customHeight="1" spans="1:30" x14ac:dyDescent="0.25">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c r="AA468" s="4"/>
      <c r="AB468" s="4"/>
      <c r="AC468" s="4"/>
      <c r="AD468" s="4"/>
    </row>
    <row r="469" ht="13.5" customHeight="1" spans="1:30" x14ac:dyDescent="0.25">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c r="AA469" s="4"/>
      <c r="AB469" s="4"/>
      <c r="AC469" s="4"/>
      <c r="AD469" s="4"/>
    </row>
    <row r="470" ht="13.5" customHeight="1" spans="1:30" x14ac:dyDescent="0.25">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c r="AA470" s="4"/>
      <c r="AB470" s="4"/>
      <c r="AC470" s="4"/>
      <c r="AD470" s="4"/>
    </row>
    <row r="471" ht="13.5" customHeight="1" spans="1:30" x14ac:dyDescent="0.25">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c r="AA471" s="4"/>
      <c r="AB471" s="4"/>
      <c r="AC471" s="4"/>
      <c r="AD471" s="4"/>
    </row>
    <row r="472" ht="13.5" customHeight="1" spans="1:30" x14ac:dyDescent="0.25">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c r="AA472" s="4"/>
      <c r="AB472" s="4"/>
      <c r="AC472" s="4"/>
      <c r="AD472" s="4"/>
    </row>
    <row r="473" ht="13.5" customHeight="1" spans="1:30" x14ac:dyDescent="0.25">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c r="AA473" s="4"/>
      <c r="AB473" s="4"/>
      <c r="AC473" s="4"/>
      <c r="AD473" s="4"/>
    </row>
    <row r="474" ht="13.5" customHeight="1" spans="1:30" x14ac:dyDescent="0.25">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c r="AA474" s="4"/>
      <c r="AB474" s="4"/>
      <c r="AC474" s="4"/>
      <c r="AD474" s="4"/>
    </row>
    <row r="475" ht="13.5" customHeight="1" spans="1:30" x14ac:dyDescent="0.2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c r="AA475" s="4"/>
      <c r="AB475" s="4"/>
      <c r="AC475" s="4"/>
      <c r="AD475" s="4"/>
    </row>
    <row r="476" ht="13.5" customHeight="1" spans="1:30" x14ac:dyDescent="0.25">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c r="AA476" s="4"/>
      <c r="AB476" s="4"/>
      <c r="AC476" s="4"/>
      <c r="AD476" s="4"/>
    </row>
    <row r="477" ht="13.5" customHeight="1" spans="1:30" x14ac:dyDescent="0.25">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c r="AA477" s="4"/>
      <c r="AB477" s="4"/>
      <c r="AC477" s="4"/>
      <c r="AD477" s="4"/>
    </row>
    <row r="478" ht="13.5" customHeight="1" spans="1:30" x14ac:dyDescent="0.25">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c r="AA478" s="4"/>
      <c r="AB478" s="4"/>
      <c r="AC478" s="4"/>
      <c r="AD478" s="4"/>
    </row>
    <row r="479" ht="13.5" customHeight="1" spans="1:30" x14ac:dyDescent="0.25">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c r="AA479" s="4"/>
      <c r="AB479" s="4"/>
      <c r="AC479" s="4"/>
      <c r="AD479" s="4"/>
    </row>
    <row r="480" ht="13.5" customHeight="1" spans="1:30" x14ac:dyDescent="0.25">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c r="AA480" s="4"/>
      <c r="AB480" s="4"/>
      <c r="AC480" s="4"/>
      <c r="AD480" s="4"/>
    </row>
    <row r="481" ht="13.5" customHeight="1" spans="1:30" x14ac:dyDescent="0.25">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c r="AA481" s="4"/>
      <c r="AB481" s="4"/>
      <c r="AC481" s="4"/>
      <c r="AD481" s="4"/>
    </row>
    <row r="482" ht="13.5" customHeight="1" spans="1:30" x14ac:dyDescent="0.25">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c r="AA482" s="4"/>
      <c r="AB482" s="4"/>
      <c r="AC482" s="4"/>
      <c r="AD482" s="4"/>
    </row>
    <row r="483" ht="13.5" customHeight="1" spans="1:30" x14ac:dyDescent="0.25">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c r="AA483" s="4"/>
      <c r="AB483" s="4"/>
      <c r="AC483" s="4"/>
      <c r="AD483" s="4"/>
    </row>
    <row r="484" ht="13.5" customHeight="1" spans="1:30" x14ac:dyDescent="0.25">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c r="AA484" s="4"/>
      <c r="AB484" s="4"/>
      <c r="AC484" s="4"/>
      <c r="AD484" s="4"/>
    </row>
    <row r="485" ht="13.5" customHeight="1" spans="1:30" x14ac:dyDescent="0.2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c r="AA485" s="4"/>
      <c r="AB485" s="4"/>
      <c r="AC485" s="4"/>
      <c r="AD485" s="4"/>
    </row>
    <row r="486" ht="13.5" customHeight="1" spans="1:30" x14ac:dyDescent="0.25">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c r="AA486" s="4"/>
      <c r="AB486" s="4"/>
      <c r="AC486" s="4"/>
      <c r="AD486" s="4"/>
    </row>
    <row r="487" ht="13.5" customHeight="1" spans="1:30" x14ac:dyDescent="0.25">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c r="AA487" s="4"/>
      <c r="AB487" s="4"/>
      <c r="AC487" s="4"/>
      <c r="AD487" s="4"/>
    </row>
    <row r="488" ht="13.5" customHeight="1" spans="1:30" x14ac:dyDescent="0.25">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c r="AA488" s="4"/>
      <c r="AB488" s="4"/>
      <c r="AC488" s="4"/>
      <c r="AD488" s="4"/>
    </row>
    <row r="489" ht="13.5" customHeight="1" spans="1:30" x14ac:dyDescent="0.25">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c r="AA489" s="4"/>
      <c r="AB489" s="4"/>
      <c r="AC489" s="4"/>
      <c r="AD489" s="4"/>
    </row>
    <row r="490" ht="13.5" customHeight="1" spans="1:30" x14ac:dyDescent="0.25">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c r="AA490" s="4"/>
      <c r="AB490" s="4"/>
      <c r="AC490" s="4"/>
      <c r="AD490" s="4"/>
    </row>
    <row r="491" ht="13.5" customHeight="1" spans="1:30" x14ac:dyDescent="0.25">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c r="AA491" s="4"/>
      <c r="AB491" s="4"/>
      <c r="AC491" s="4"/>
      <c r="AD491" s="4"/>
    </row>
    <row r="492" ht="13.5" customHeight="1" spans="1:30" x14ac:dyDescent="0.25">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c r="AA492" s="4"/>
      <c r="AB492" s="4"/>
      <c r="AC492" s="4"/>
      <c r="AD492" s="4"/>
    </row>
    <row r="493" ht="13.5" customHeight="1" spans="1:30" x14ac:dyDescent="0.25">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c r="AA493" s="4"/>
      <c r="AB493" s="4"/>
      <c r="AC493" s="4"/>
      <c r="AD493" s="4"/>
    </row>
    <row r="494" ht="13.5" customHeight="1" spans="1:30" x14ac:dyDescent="0.25">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c r="AA494" s="4"/>
      <c r="AB494" s="4"/>
      <c r="AC494" s="4"/>
      <c r="AD494" s="4"/>
    </row>
    <row r="495" ht="13.5" customHeight="1" spans="1:30" x14ac:dyDescent="0.2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c r="AA495" s="4"/>
      <c r="AB495" s="4"/>
      <c r="AC495" s="4"/>
      <c r="AD495" s="4"/>
    </row>
    <row r="496" ht="13.5" customHeight="1" spans="1:30" x14ac:dyDescent="0.25">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c r="AA496" s="4"/>
      <c r="AB496" s="4"/>
      <c r="AC496" s="4"/>
      <c r="AD496" s="4"/>
    </row>
    <row r="497" ht="13.5" customHeight="1" spans="1:30" x14ac:dyDescent="0.25">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c r="AA497" s="4"/>
      <c r="AB497" s="4"/>
      <c r="AC497" s="4"/>
      <c r="AD497" s="4"/>
    </row>
    <row r="498" ht="13.5" customHeight="1" spans="1:30" x14ac:dyDescent="0.25">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c r="AA498" s="4"/>
      <c r="AB498" s="4"/>
      <c r="AC498" s="4"/>
      <c r="AD498" s="4"/>
    </row>
    <row r="499" ht="13.5" customHeight="1" spans="1:30" x14ac:dyDescent="0.25">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c r="AA499" s="4"/>
      <c r="AB499" s="4"/>
      <c r="AC499" s="4"/>
      <c r="AD499" s="4"/>
    </row>
    <row r="500" ht="13.5" customHeight="1" spans="1:30" x14ac:dyDescent="0.25">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c r="AA500" s="4"/>
      <c r="AB500" s="4"/>
      <c r="AC500" s="4"/>
      <c r="AD500" s="4"/>
    </row>
    <row r="501" ht="13.5" customHeight="1" spans="1:30" x14ac:dyDescent="0.25">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c r="AA501" s="4"/>
      <c r="AB501" s="4"/>
      <c r="AC501" s="4"/>
      <c r="AD501" s="4"/>
    </row>
    <row r="502" ht="13.5" customHeight="1" spans="1:30" x14ac:dyDescent="0.25">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c r="AA502" s="4"/>
      <c r="AB502" s="4"/>
      <c r="AC502" s="4"/>
      <c r="AD502" s="4"/>
    </row>
    <row r="503" ht="13.5" customHeight="1" spans="1:30" x14ac:dyDescent="0.25">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c r="AA503" s="4"/>
      <c r="AB503" s="4"/>
      <c r="AC503" s="4"/>
      <c r="AD503" s="4"/>
    </row>
    <row r="504" ht="13.5" customHeight="1" spans="1:30" x14ac:dyDescent="0.25">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c r="AA504" s="4"/>
      <c r="AB504" s="4"/>
      <c r="AC504" s="4"/>
      <c r="AD504" s="4"/>
    </row>
    <row r="505" ht="13.5" customHeight="1" spans="1:30" x14ac:dyDescent="0.2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c r="AA505" s="4"/>
      <c r="AB505" s="4"/>
      <c r="AC505" s="4"/>
      <c r="AD505" s="4"/>
    </row>
    <row r="506" ht="13.5" customHeight="1" spans="1:30" x14ac:dyDescent="0.25">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c r="AA506" s="4"/>
      <c r="AB506" s="4"/>
      <c r="AC506" s="4"/>
      <c r="AD506" s="4"/>
    </row>
    <row r="507" ht="13.5" customHeight="1" spans="1:30" x14ac:dyDescent="0.25">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c r="AA507" s="4"/>
      <c r="AB507" s="4"/>
      <c r="AC507" s="4"/>
      <c r="AD507" s="4"/>
    </row>
    <row r="508" ht="13.5" customHeight="1" spans="1:30" x14ac:dyDescent="0.25">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c r="AA508" s="4"/>
      <c r="AB508" s="4"/>
      <c r="AC508" s="4"/>
      <c r="AD508" s="4"/>
    </row>
    <row r="509" ht="13.5" customHeight="1" spans="1:30" x14ac:dyDescent="0.25">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c r="AA509" s="4"/>
      <c r="AB509" s="4"/>
      <c r="AC509" s="4"/>
      <c r="AD509" s="4"/>
    </row>
    <row r="510" ht="13.5" customHeight="1" spans="1:30" x14ac:dyDescent="0.25">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c r="AA510" s="4"/>
      <c r="AB510" s="4"/>
      <c r="AC510" s="4"/>
      <c r="AD510" s="4"/>
    </row>
    <row r="511" ht="13.5" customHeight="1" spans="1:30" x14ac:dyDescent="0.25">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c r="AA511" s="4"/>
      <c r="AB511" s="4"/>
      <c r="AC511" s="4"/>
      <c r="AD511" s="4"/>
    </row>
    <row r="512" ht="13.5" customHeight="1" spans="1:30" x14ac:dyDescent="0.25">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c r="AA512" s="4"/>
      <c r="AB512" s="4"/>
      <c r="AC512" s="4"/>
      <c r="AD512" s="4"/>
    </row>
    <row r="513" ht="13.5" customHeight="1" spans="1:30" x14ac:dyDescent="0.25">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c r="AA513" s="4"/>
      <c r="AB513" s="4"/>
      <c r="AC513" s="4"/>
      <c r="AD513" s="4"/>
    </row>
    <row r="514" ht="13.5" customHeight="1" spans="1:30" x14ac:dyDescent="0.25">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c r="AA514" s="4"/>
      <c r="AB514" s="4"/>
      <c r="AC514" s="4"/>
      <c r="AD514" s="4"/>
    </row>
    <row r="515" ht="13.5" customHeight="1" spans="1:30" x14ac:dyDescent="0.2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c r="AA515" s="4"/>
      <c r="AB515" s="4"/>
      <c r="AC515" s="4"/>
      <c r="AD515" s="4"/>
    </row>
    <row r="516" ht="13.5" customHeight="1" spans="1:30" x14ac:dyDescent="0.25">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c r="AA516" s="4"/>
      <c r="AB516" s="4"/>
      <c r="AC516" s="4"/>
      <c r="AD516" s="4"/>
    </row>
    <row r="517" ht="13.5" customHeight="1" spans="1:30" x14ac:dyDescent="0.25">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c r="AA517" s="4"/>
      <c r="AB517" s="4"/>
      <c r="AC517" s="4"/>
      <c r="AD517" s="4"/>
    </row>
    <row r="518" ht="13.5" customHeight="1" spans="1:30" x14ac:dyDescent="0.25">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c r="AA518" s="4"/>
      <c r="AB518" s="4"/>
      <c r="AC518" s="4"/>
      <c r="AD518" s="4"/>
    </row>
    <row r="519" ht="13.5" customHeight="1" spans="1:30" x14ac:dyDescent="0.25">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c r="AA519" s="4"/>
      <c r="AB519" s="4"/>
      <c r="AC519" s="4"/>
      <c r="AD519" s="4"/>
    </row>
    <row r="520" ht="13.5" customHeight="1" spans="1:30" x14ac:dyDescent="0.25">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c r="AA520" s="4"/>
      <c r="AB520" s="4"/>
      <c r="AC520" s="4"/>
      <c r="AD520" s="4"/>
    </row>
    <row r="521" ht="13.5" customHeight="1" spans="1:30" x14ac:dyDescent="0.25">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c r="AA521" s="4"/>
      <c r="AB521" s="4"/>
      <c r="AC521" s="4"/>
      <c r="AD521" s="4"/>
    </row>
    <row r="522" ht="13.5" customHeight="1" spans="1:30" x14ac:dyDescent="0.25">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c r="AA522" s="4"/>
      <c r="AB522" s="4"/>
      <c r="AC522" s="4"/>
      <c r="AD522" s="4"/>
    </row>
    <row r="523" ht="13.5" customHeight="1" spans="1:30" x14ac:dyDescent="0.25">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c r="AA523" s="4"/>
      <c r="AB523" s="4"/>
      <c r="AC523" s="4"/>
      <c r="AD523" s="4"/>
    </row>
    <row r="524" ht="13.5" customHeight="1" spans="1:30" x14ac:dyDescent="0.25">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c r="AA524" s="4"/>
      <c r="AB524" s="4"/>
      <c r="AC524" s="4"/>
      <c r="AD524" s="4"/>
    </row>
    <row r="525" ht="13.5" customHeight="1" spans="1:30" x14ac:dyDescent="0.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c r="AA525" s="4"/>
      <c r="AB525" s="4"/>
      <c r="AC525" s="4"/>
      <c r="AD525" s="4"/>
    </row>
    <row r="526" ht="13.5" customHeight="1" spans="1:30" x14ac:dyDescent="0.25">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c r="AA526" s="4"/>
      <c r="AB526" s="4"/>
      <c r="AC526" s="4"/>
      <c r="AD526" s="4"/>
    </row>
    <row r="527" ht="13.5" customHeight="1" spans="1:30" x14ac:dyDescent="0.25">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c r="AA527" s="4"/>
      <c r="AB527" s="4"/>
      <c r="AC527" s="4"/>
      <c r="AD527" s="4"/>
    </row>
    <row r="528" ht="13.5" customHeight="1" spans="1:30" x14ac:dyDescent="0.25">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c r="AA528" s="4"/>
      <c r="AB528" s="4"/>
      <c r="AC528" s="4"/>
      <c r="AD528" s="4"/>
    </row>
    <row r="529" ht="13.5" customHeight="1" spans="1:30" x14ac:dyDescent="0.25">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c r="AA529" s="4"/>
      <c r="AB529" s="4"/>
      <c r="AC529" s="4"/>
      <c r="AD529" s="4"/>
    </row>
    <row r="530" ht="13.5" customHeight="1" spans="1:30" x14ac:dyDescent="0.25">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c r="AA530" s="4"/>
      <c r="AB530" s="4"/>
      <c r="AC530" s="4"/>
      <c r="AD530" s="4"/>
    </row>
    <row r="531" ht="13.5" customHeight="1" spans="1:30" x14ac:dyDescent="0.25">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c r="AA531" s="4"/>
      <c r="AB531" s="4"/>
      <c r="AC531" s="4"/>
      <c r="AD531" s="4"/>
    </row>
    <row r="532" ht="13.5" customHeight="1" spans="1:30" x14ac:dyDescent="0.25">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c r="AA532" s="4"/>
      <c r="AB532" s="4"/>
      <c r="AC532" s="4"/>
      <c r="AD532" s="4"/>
    </row>
    <row r="533" ht="13.5" customHeight="1" spans="1:30" x14ac:dyDescent="0.25">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c r="AA533" s="4"/>
      <c r="AB533" s="4"/>
      <c r="AC533" s="4"/>
      <c r="AD533" s="4"/>
    </row>
    <row r="534" ht="13.5" customHeight="1" spans="1:30" x14ac:dyDescent="0.25">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c r="AA534" s="4"/>
      <c r="AB534" s="4"/>
      <c r="AC534" s="4"/>
      <c r="AD534" s="4"/>
    </row>
    <row r="535" ht="13.5" customHeight="1" spans="1:30" x14ac:dyDescent="0.2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c r="AA535" s="4"/>
      <c r="AB535" s="4"/>
      <c r="AC535" s="4"/>
      <c r="AD535" s="4"/>
    </row>
    <row r="536" ht="13.5" customHeight="1" spans="1:30" x14ac:dyDescent="0.25">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c r="AA536" s="4"/>
      <c r="AB536" s="4"/>
      <c r="AC536" s="4"/>
      <c r="AD536" s="4"/>
    </row>
    <row r="537" ht="13.5" customHeight="1" spans="1:30" x14ac:dyDescent="0.25">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c r="AA537" s="4"/>
      <c r="AB537" s="4"/>
      <c r="AC537" s="4"/>
      <c r="AD537" s="4"/>
    </row>
    <row r="538" ht="13.5" customHeight="1" spans="1:30" x14ac:dyDescent="0.25">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c r="AA538" s="4"/>
      <c r="AB538" s="4"/>
      <c r="AC538" s="4"/>
      <c r="AD538" s="4"/>
    </row>
    <row r="539" ht="13.5" customHeight="1" spans="1:30" x14ac:dyDescent="0.25">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c r="AA539" s="4"/>
      <c r="AB539" s="4"/>
      <c r="AC539" s="4"/>
      <c r="AD539" s="4"/>
    </row>
    <row r="540" ht="13.5" customHeight="1" spans="1:30" x14ac:dyDescent="0.25">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c r="AA540" s="4"/>
      <c r="AB540" s="4"/>
      <c r="AC540" s="4"/>
      <c r="AD540" s="4"/>
    </row>
    <row r="541" ht="13.5" customHeight="1" spans="1:30" x14ac:dyDescent="0.25">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c r="AA541" s="4"/>
      <c r="AB541" s="4"/>
      <c r="AC541" s="4"/>
      <c r="AD541" s="4"/>
    </row>
    <row r="542" ht="13.5" customHeight="1" spans="1:30" x14ac:dyDescent="0.25">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c r="AA542" s="4"/>
      <c r="AB542" s="4"/>
      <c r="AC542" s="4"/>
      <c r="AD542" s="4"/>
    </row>
    <row r="543" ht="13.5" customHeight="1" spans="1:30" x14ac:dyDescent="0.25">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c r="AA543" s="4"/>
      <c r="AB543" s="4"/>
      <c r="AC543" s="4"/>
      <c r="AD543" s="4"/>
    </row>
    <row r="544" ht="13.5" customHeight="1" spans="1:30" x14ac:dyDescent="0.25">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c r="AA544" s="4"/>
      <c r="AB544" s="4"/>
      <c r="AC544" s="4"/>
      <c r="AD544" s="4"/>
    </row>
    <row r="545" ht="13.5" customHeight="1" spans="1:30" x14ac:dyDescent="0.2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c r="AA545" s="4"/>
      <c r="AB545" s="4"/>
      <c r="AC545" s="4"/>
      <c r="AD545" s="4"/>
    </row>
    <row r="546" ht="13.5" customHeight="1" spans="1:30" x14ac:dyDescent="0.25">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c r="AA546" s="4"/>
      <c r="AB546" s="4"/>
      <c r="AC546" s="4"/>
      <c r="AD546" s="4"/>
    </row>
    <row r="547" ht="13.5" customHeight="1" spans="1:30" x14ac:dyDescent="0.25">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c r="AA547" s="4"/>
      <c r="AB547" s="4"/>
      <c r="AC547" s="4"/>
      <c r="AD547" s="4"/>
    </row>
    <row r="548" ht="13.5" customHeight="1" spans="1:30" x14ac:dyDescent="0.25">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c r="AA548" s="4"/>
      <c r="AB548" s="4"/>
      <c r="AC548" s="4"/>
      <c r="AD548" s="4"/>
    </row>
    <row r="549" ht="13.5" customHeight="1" spans="1:30" x14ac:dyDescent="0.25">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c r="AA549" s="4"/>
      <c r="AB549" s="4"/>
      <c r="AC549" s="4"/>
      <c r="AD549" s="4"/>
    </row>
    <row r="550" ht="13.5" customHeight="1" spans="1:30" x14ac:dyDescent="0.25">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c r="AA550" s="4"/>
      <c r="AB550" s="4"/>
      <c r="AC550" s="4"/>
      <c r="AD550" s="4"/>
    </row>
    <row r="551" ht="13.5" customHeight="1" spans="1:30" x14ac:dyDescent="0.25">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c r="AA551" s="4"/>
      <c r="AB551" s="4"/>
      <c r="AC551" s="4"/>
      <c r="AD551" s="4"/>
    </row>
    <row r="552" ht="13.5" customHeight="1" spans="1:30" x14ac:dyDescent="0.25">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c r="AA552" s="4"/>
      <c r="AB552" s="4"/>
      <c r="AC552" s="4"/>
      <c r="AD552" s="4"/>
    </row>
    <row r="553" ht="13.5" customHeight="1" spans="1:30" x14ac:dyDescent="0.25">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c r="AA553" s="4"/>
      <c r="AB553" s="4"/>
      <c r="AC553" s="4"/>
      <c r="AD553" s="4"/>
    </row>
    <row r="554" ht="13.5" customHeight="1" spans="1:30" x14ac:dyDescent="0.25">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c r="AA554" s="4"/>
      <c r="AB554" s="4"/>
      <c r="AC554" s="4"/>
      <c r="AD554" s="4"/>
    </row>
    <row r="555" ht="13.5" customHeight="1" spans="1:30" x14ac:dyDescent="0.2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c r="AA555" s="4"/>
      <c r="AB555" s="4"/>
      <c r="AC555" s="4"/>
      <c r="AD555" s="4"/>
    </row>
    <row r="556" ht="13.5" customHeight="1" spans="1:30" x14ac:dyDescent="0.25">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c r="AA556" s="4"/>
      <c r="AB556" s="4"/>
      <c r="AC556" s="4"/>
      <c r="AD556" s="4"/>
    </row>
    <row r="557" ht="13.5" customHeight="1" spans="1:30" x14ac:dyDescent="0.25">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c r="AA557" s="4"/>
      <c r="AB557" s="4"/>
      <c r="AC557" s="4"/>
      <c r="AD557" s="4"/>
    </row>
    <row r="558" ht="13.5" customHeight="1" spans="1:30" x14ac:dyDescent="0.25">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c r="AA558" s="4"/>
      <c r="AB558" s="4"/>
      <c r="AC558" s="4"/>
      <c r="AD558" s="4"/>
    </row>
    <row r="559" ht="13.5" customHeight="1" spans="1:30" x14ac:dyDescent="0.25">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c r="AA559" s="4"/>
      <c r="AB559" s="4"/>
      <c r="AC559" s="4"/>
      <c r="AD559" s="4"/>
    </row>
    <row r="560" ht="13.5" customHeight="1" spans="1:30" x14ac:dyDescent="0.25">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c r="AA560" s="4"/>
      <c r="AB560" s="4"/>
      <c r="AC560" s="4"/>
      <c r="AD560" s="4"/>
    </row>
    <row r="561" ht="13.5" customHeight="1" spans="1:30" x14ac:dyDescent="0.25">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c r="AA561" s="4"/>
      <c r="AB561" s="4"/>
      <c r="AC561" s="4"/>
      <c r="AD561" s="4"/>
    </row>
    <row r="562" ht="13.5" customHeight="1" spans="1:30" x14ac:dyDescent="0.25">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c r="AA562" s="4"/>
      <c r="AB562" s="4"/>
      <c r="AC562" s="4"/>
      <c r="AD562" s="4"/>
    </row>
    <row r="563" ht="13.5" customHeight="1" spans="1:30" x14ac:dyDescent="0.25">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c r="AA563" s="4"/>
      <c r="AB563" s="4"/>
      <c r="AC563" s="4"/>
      <c r="AD563" s="4"/>
    </row>
    <row r="564" ht="13.5" customHeight="1" spans="1:30" x14ac:dyDescent="0.25">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c r="AA564" s="4"/>
      <c r="AB564" s="4"/>
      <c r="AC564" s="4"/>
      <c r="AD564" s="4"/>
    </row>
    <row r="565" ht="13.5" customHeight="1" spans="1:30" x14ac:dyDescent="0.2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c r="AA565" s="4"/>
      <c r="AB565" s="4"/>
      <c r="AC565" s="4"/>
      <c r="AD565" s="4"/>
    </row>
    <row r="566" ht="13.5" customHeight="1" spans="1:30" x14ac:dyDescent="0.25">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c r="AA566" s="4"/>
      <c r="AB566" s="4"/>
      <c r="AC566" s="4"/>
      <c r="AD566" s="4"/>
    </row>
    <row r="567" ht="13.5" customHeight="1" spans="1:30" x14ac:dyDescent="0.25">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c r="AA567" s="4"/>
      <c r="AB567" s="4"/>
      <c r="AC567" s="4"/>
      <c r="AD567" s="4"/>
    </row>
    <row r="568" ht="13.5" customHeight="1" spans="1:30" x14ac:dyDescent="0.25">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c r="AA568" s="4"/>
      <c r="AB568" s="4"/>
      <c r="AC568" s="4"/>
      <c r="AD568" s="4"/>
    </row>
    <row r="569" ht="13.5" customHeight="1" spans="1:30" x14ac:dyDescent="0.25">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c r="AA569" s="4"/>
      <c r="AB569" s="4"/>
      <c r="AC569" s="4"/>
      <c r="AD569" s="4"/>
    </row>
    <row r="570" ht="13.5" customHeight="1" spans="1:30" x14ac:dyDescent="0.25">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c r="AA570" s="4"/>
      <c r="AB570" s="4"/>
      <c r="AC570" s="4"/>
      <c r="AD570" s="4"/>
    </row>
    <row r="571" ht="13.5" customHeight="1" spans="1:30" x14ac:dyDescent="0.25">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c r="AA571" s="4"/>
      <c r="AB571" s="4"/>
      <c r="AC571" s="4"/>
      <c r="AD571" s="4"/>
    </row>
    <row r="572" ht="13.5" customHeight="1" spans="1:30" x14ac:dyDescent="0.25">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c r="AA572" s="4"/>
      <c r="AB572" s="4"/>
      <c r="AC572" s="4"/>
      <c r="AD572" s="4"/>
    </row>
    <row r="573" ht="13.5" customHeight="1" spans="1:30" x14ac:dyDescent="0.25">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c r="AA573" s="4"/>
      <c r="AB573" s="4"/>
      <c r="AC573" s="4"/>
      <c r="AD573" s="4"/>
    </row>
    <row r="574" ht="13.5" customHeight="1" spans="1:30" x14ac:dyDescent="0.25">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c r="AA574" s="4"/>
      <c r="AB574" s="4"/>
      <c r="AC574" s="4"/>
      <c r="AD574" s="4"/>
    </row>
    <row r="575" ht="13.5" customHeight="1" spans="1:30" x14ac:dyDescent="0.2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c r="AA575" s="4"/>
      <c r="AB575" s="4"/>
      <c r="AC575" s="4"/>
      <c r="AD575" s="4"/>
    </row>
    <row r="576" ht="13.5" customHeight="1" spans="1:30" x14ac:dyDescent="0.25">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c r="AA576" s="4"/>
      <c r="AB576" s="4"/>
      <c r="AC576" s="4"/>
      <c r="AD576" s="4"/>
    </row>
    <row r="577" ht="13.5" customHeight="1" spans="1:30" x14ac:dyDescent="0.25">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c r="AA577" s="4"/>
      <c r="AB577" s="4"/>
      <c r="AC577" s="4"/>
      <c r="AD577" s="4"/>
    </row>
    <row r="578" ht="13.5" customHeight="1" spans="1:30" x14ac:dyDescent="0.25">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c r="AA578" s="4"/>
      <c r="AB578" s="4"/>
      <c r="AC578" s="4"/>
      <c r="AD578" s="4"/>
    </row>
    <row r="579" ht="13.5" customHeight="1" spans="1:30" x14ac:dyDescent="0.25">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c r="AA579" s="4"/>
      <c r="AB579" s="4"/>
      <c r="AC579" s="4"/>
      <c r="AD579" s="4"/>
    </row>
    <row r="580" ht="13.5" customHeight="1" spans="1:30" x14ac:dyDescent="0.25">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c r="AA580" s="4"/>
      <c r="AB580" s="4"/>
      <c r="AC580" s="4"/>
      <c r="AD580" s="4"/>
    </row>
    <row r="581" ht="13.5" customHeight="1" spans="1:30" x14ac:dyDescent="0.25">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c r="AA581" s="4"/>
      <c r="AB581" s="4"/>
      <c r="AC581" s="4"/>
      <c r="AD581" s="4"/>
    </row>
    <row r="582" ht="13.5" customHeight="1" spans="1:30" x14ac:dyDescent="0.25">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c r="AA582" s="4"/>
      <c r="AB582" s="4"/>
      <c r="AC582" s="4"/>
      <c r="AD582" s="4"/>
    </row>
    <row r="583" ht="13.5" customHeight="1" spans="1:30" x14ac:dyDescent="0.25">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c r="AA583" s="4"/>
      <c r="AB583" s="4"/>
      <c r="AC583" s="4"/>
      <c r="AD583" s="4"/>
    </row>
    <row r="584" ht="13.5" customHeight="1" spans="1:30" x14ac:dyDescent="0.25">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c r="AA584" s="4"/>
      <c r="AB584" s="4"/>
      <c r="AC584" s="4"/>
      <c r="AD584" s="4"/>
    </row>
    <row r="585" ht="13.5" customHeight="1" spans="1:30" x14ac:dyDescent="0.2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c r="AA585" s="4"/>
      <c r="AB585" s="4"/>
      <c r="AC585" s="4"/>
      <c r="AD585" s="4"/>
    </row>
    <row r="586" ht="13.5" customHeight="1" spans="1:30" x14ac:dyDescent="0.25">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c r="AA586" s="4"/>
      <c r="AB586" s="4"/>
      <c r="AC586" s="4"/>
      <c r="AD586" s="4"/>
    </row>
    <row r="587" ht="13.5" customHeight="1" spans="1:30" x14ac:dyDescent="0.25">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c r="AA587" s="4"/>
      <c r="AB587" s="4"/>
      <c r="AC587" s="4"/>
      <c r="AD587" s="4"/>
    </row>
    <row r="588" ht="13.5" customHeight="1" spans="1:30" x14ac:dyDescent="0.25">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c r="AA588" s="4"/>
      <c r="AB588" s="4"/>
      <c r="AC588" s="4"/>
      <c r="AD588" s="4"/>
    </row>
    <row r="589" ht="13.5" customHeight="1" spans="1:30" x14ac:dyDescent="0.25">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c r="AA589" s="4"/>
      <c r="AB589" s="4"/>
      <c r="AC589" s="4"/>
      <c r="AD589" s="4"/>
    </row>
    <row r="590" ht="13.5" customHeight="1" spans="1:30" x14ac:dyDescent="0.25">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c r="AA590" s="4"/>
      <c r="AB590" s="4"/>
      <c r="AC590" s="4"/>
      <c r="AD590" s="4"/>
    </row>
    <row r="591" ht="13.5" customHeight="1" spans="1:30" x14ac:dyDescent="0.25">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c r="AA591" s="4"/>
      <c r="AB591" s="4"/>
      <c r="AC591" s="4"/>
      <c r="AD591" s="4"/>
    </row>
    <row r="592" ht="13.5" customHeight="1" spans="1:30" x14ac:dyDescent="0.25">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c r="AA592" s="4"/>
      <c r="AB592" s="4"/>
      <c r="AC592" s="4"/>
      <c r="AD592" s="4"/>
    </row>
    <row r="593" ht="13.5" customHeight="1" spans="1:30" x14ac:dyDescent="0.25">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c r="AA593" s="4"/>
      <c r="AB593" s="4"/>
      <c r="AC593" s="4"/>
      <c r="AD593" s="4"/>
    </row>
    <row r="594" ht="13.5" customHeight="1" spans="1:30" x14ac:dyDescent="0.25">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c r="AA594" s="4"/>
      <c r="AB594" s="4"/>
      <c r="AC594" s="4"/>
      <c r="AD594" s="4"/>
    </row>
    <row r="595" ht="13.5" customHeight="1" spans="1:30" x14ac:dyDescent="0.2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c r="AA595" s="4"/>
      <c r="AB595" s="4"/>
      <c r="AC595" s="4"/>
      <c r="AD595" s="4"/>
    </row>
    <row r="596" ht="13.5" customHeight="1" spans="1:30" x14ac:dyDescent="0.25">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c r="AA596" s="4"/>
      <c r="AB596" s="4"/>
      <c r="AC596" s="4"/>
      <c r="AD596" s="4"/>
    </row>
    <row r="597" ht="13.5" customHeight="1" spans="1:30" x14ac:dyDescent="0.25">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c r="AA597" s="4"/>
      <c r="AB597" s="4"/>
      <c r="AC597" s="4"/>
      <c r="AD597" s="4"/>
    </row>
    <row r="598" ht="13.5" customHeight="1" spans="1:30" x14ac:dyDescent="0.25">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c r="AA598" s="4"/>
      <c r="AB598" s="4"/>
      <c r="AC598" s="4"/>
      <c r="AD598" s="4"/>
    </row>
    <row r="599" ht="13.5" customHeight="1" spans="1:30" x14ac:dyDescent="0.25">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c r="AA599" s="4"/>
      <c r="AB599" s="4"/>
      <c r="AC599" s="4"/>
      <c r="AD599" s="4"/>
    </row>
    <row r="600" ht="13.5" customHeight="1" spans="1:30" x14ac:dyDescent="0.25">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c r="AA600" s="4"/>
      <c r="AB600" s="4"/>
      <c r="AC600" s="4"/>
      <c r="AD600" s="4"/>
    </row>
    <row r="601" ht="13.5" customHeight="1" spans="1:30" x14ac:dyDescent="0.25">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c r="AA601" s="4"/>
      <c r="AB601" s="4"/>
      <c r="AC601" s="4"/>
      <c r="AD601" s="4"/>
    </row>
    <row r="602" ht="13.5" customHeight="1" spans="1:30" x14ac:dyDescent="0.25">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c r="AA602" s="4"/>
      <c r="AB602" s="4"/>
      <c r="AC602" s="4"/>
      <c r="AD602" s="4"/>
    </row>
    <row r="603" ht="13.5" customHeight="1" spans="1:30" x14ac:dyDescent="0.25">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c r="AA603" s="4"/>
      <c r="AB603" s="4"/>
      <c r="AC603" s="4"/>
      <c r="AD603" s="4"/>
    </row>
    <row r="604" ht="13.5" customHeight="1" spans="1:30" x14ac:dyDescent="0.25">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c r="AA604" s="4"/>
      <c r="AB604" s="4"/>
      <c r="AC604" s="4"/>
      <c r="AD604" s="4"/>
    </row>
    <row r="605" ht="13.5" customHeight="1" spans="1:30" x14ac:dyDescent="0.2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c r="AA605" s="4"/>
      <c r="AB605" s="4"/>
      <c r="AC605" s="4"/>
      <c r="AD605" s="4"/>
    </row>
    <row r="606" ht="13.5" customHeight="1" spans="1:30" x14ac:dyDescent="0.25">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c r="AA606" s="4"/>
      <c r="AB606" s="4"/>
      <c r="AC606" s="4"/>
      <c r="AD606" s="4"/>
    </row>
    <row r="607" ht="13.5" customHeight="1" spans="1:30" x14ac:dyDescent="0.25">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c r="AA607" s="4"/>
      <c r="AB607" s="4"/>
      <c r="AC607" s="4"/>
      <c r="AD607" s="4"/>
    </row>
    <row r="608" ht="13.5" customHeight="1" spans="1:30" x14ac:dyDescent="0.25">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c r="AA608" s="4"/>
      <c r="AB608" s="4"/>
      <c r="AC608" s="4"/>
      <c r="AD608" s="4"/>
    </row>
    <row r="609" ht="13.5" customHeight="1" spans="1:30" x14ac:dyDescent="0.25">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c r="AA609" s="4"/>
      <c r="AB609" s="4"/>
      <c r="AC609" s="4"/>
      <c r="AD609" s="4"/>
    </row>
    <row r="610" ht="13.5" customHeight="1" spans="1:30" x14ac:dyDescent="0.25">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c r="AA610" s="4"/>
      <c r="AB610" s="4"/>
      <c r="AC610" s="4"/>
      <c r="AD610" s="4"/>
    </row>
    <row r="611" ht="13.5" customHeight="1" spans="1:30" x14ac:dyDescent="0.25">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c r="AA611" s="4"/>
      <c r="AB611" s="4"/>
      <c r="AC611" s="4"/>
      <c r="AD611" s="4"/>
    </row>
    <row r="612" ht="13.5" customHeight="1" spans="1:30" x14ac:dyDescent="0.25">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c r="AA612" s="4"/>
      <c r="AB612" s="4"/>
      <c r="AC612" s="4"/>
      <c r="AD612" s="4"/>
    </row>
    <row r="613" ht="13.5" customHeight="1" spans="1:30" x14ac:dyDescent="0.25">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c r="AA613" s="4"/>
      <c r="AB613" s="4"/>
      <c r="AC613" s="4"/>
      <c r="AD613" s="4"/>
    </row>
    <row r="614" ht="13.5" customHeight="1" spans="1:30" x14ac:dyDescent="0.25">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c r="AA614" s="4"/>
      <c r="AB614" s="4"/>
      <c r="AC614" s="4"/>
      <c r="AD614" s="4"/>
    </row>
    <row r="615" ht="13.5" customHeight="1" spans="1:30" x14ac:dyDescent="0.2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c r="AA615" s="4"/>
      <c r="AB615" s="4"/>
      <c r="AC615" s="4"/>
      <c r="AD615" s="4"/>
    </row>
    <row r="616" ht="13.5" customHeight="1" spans="1:30" x14ac:dyDescent="0.25">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c r="AA616" s="4"/>
      <c r="AB616" s="4"/>
      <c r="AC616" s="4"/>
      <c r="AD616" s="4"/>
    </row>
    <row r="617" ht="13.5" customHeight="1" spans="1:30" x14ac:dyDescent="0.25">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c r="AA617" s="4"/>
      <c r="AB617" s="4"/>
      <c r="AC617" s="4"/>
      <c r="AD617" s="4"/>
    </row>
    <row r="618" ht="13.5" customHeight="1" spans="1:30" x14ac:dyDescent="0.25">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c r="AA618" s="4"/>
      <c r="AB618" s="4"/>
      <c r="AC618" s="4"/>
      <c r="AD618" s="4"/>
    </row>
    <row r="619" ht="13.5" customHeight="1" spans="1:30" x14ac:dyDescent="0.25">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c r="AA619" s="4"/>
      <c r="AB619" s="4"/>
      <c r="AC619" s="4"/>
      <c r="AD619" s="4"/>
    </row>
    <row r="620" ht="13.5" customHeight="1" spans="1:30" x14ac:dyDescent="0.25">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c r="AA620" s="4"/>
      <c r="AB620" s="4"/>
      <c r="AC620" s="4"/>
      <c r="AD620" s="4"/>
    </row>
    <row r="621" ht="13.5" customHeight="1" spans="1:30" x14ac:dyDescent="0.25">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c r="AA621" s="4"/>
      <c r="AB621" s="4"/>
      <c r="AC621" s="4"/>
      <c r="AD621" s="4"/>
    </row>
    <row r="622" ht="13.5" customHeight="1" spans="1:30" x14ac:dyDescent="0.25">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c r="AA622" s="4"/>
      <c r="AB622" s="4"/>
      <c r="AC622" s="4"/>
      <c r="AD622" s="4"/>
    </row>
    <row r="623" ht="13.5" customHeight="1" spans="1:30" x14ac:dyDescent="0.25">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c r="AA623" s="4"/>
      <c r="AB623" s="4"/>
      <c r="AC623" s="4"/>
      <c r="AD623" s="4"/>
    </row>
    <row r="624" ht="13.5" customHeight="1" spans="1:30" x14ac:dyDescent="0.25">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c r="AA624" s="4"/>
      <c r="AB624" s="4"/>
      <c r="AC624" s="4"/>
      <c r="AD624" s="4"/>
    </row>
    <row r="625" ht="13.5" customHeight="1" spans="1:30" x14ac:dyDescent="0.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c r="AA625" s="4"/>
      <c r="AB625" s="4"/>
      <c r="AC625" s="4"/>
      <c r="AD625" s="4"/>
    </row>
    <row r="626" ht="13.5" customHeight="1" spans="1:30" x14ac:dyDescent="0.25">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c r="AA626" s="4"/>
      <c r="AB626" s="4"/>
      <c r="AC626" s="4"/>
      <c r="AD626" s="4"/>
    </row>
    <row r="627" ht="13.5" customHeight="1" spans="1:30" x14ac:dyDescent="0.25">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c r="AA627" s="4"/>
      <c r="AB627" s="4"/>
      <c r="AC627" s="4"/>
      <c r="AD627" s="4"/>
    </row>
    <row r="628" ht="13.5" customHeight="1" spans="1:30" x14ac:dyDescent="0.25">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c r="AA628" s="4"/>
      <c r="AB628" s="4"/>
      <c r="AC628" s="4"/>
      <c r="AD628" s="4"/>
    </row>
    <row r="629" ht="13.5" customHeight="1" spans="1:30" x14ac:dyDescent="0.25">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c r="AA629" s="4"/>
      <c r="AB629" s="4"/>
      <c r="AC629" s="4"/>
      <c r="AD629" s="4"/>
    </row>
    <row r="630" ht="13.5" customHeight="1" spans="1:30" x14ac:dyDescent="0.25">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c r="AA630" s="4"/>
      <c r="AB630" s="4"/>
      <c r="AC630" s="4"/>
      <c r="AD630" s="4"/>
    </row>
    <row r="631" ht="13.5" customHeight="1" spans="1:30" x14ac:dyDescent="0.25">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c r="AA631" s="4"/>
      <c r="AB631" s="4"/>
      <c r="AC631" s="4"/>
      <c r="AD631" s="4"/>
    </row>
    <row r="632" ht="13.5" customHeight="1" spans="1:30" x14ac:dyDescent="0.25">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c r="AA632" s="4"/>
      <c r="AB632" s="4"/>
      <c r="AC632" s="4"/>
      <c r="AD632" s="4"/>
    </row>
    <row r="633" ht="13.5" customHeight="1" spans="1:30" x14ac:dyDescent="0.25">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c r="AA633" s="4"/>
      <c r="AB633" s="4"/>
      <c r="AC633" s="4"/>
      <c r="AD633" s="4"/>
    </row>
    <row r="634" ht="13.5" customHeight="1" spans="1:30" x14ac:dyDescent="0.25">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c r="AA634" s="4"/>
      <c r="AB634" s="4"/>
      <c r="AC634" s="4"/>
      <c r="AD634" s="4"/>
    </row>
    <row r="635" ht="13.5" customHeight="1" spans="1:30" x14ac:dyDescent="0.2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c r="AA635" s="4"/>
      <c r="AB635" s="4"/>
      <c r="AC635" s="4"/>
      <c r="AD635" s="4"/>
    </row>
    <row r="636" ht="13.5" customHeight="1" spans="1:30" x14ac:dyDescent="0.25">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c r="AA636" s="4"/>
      <c r="AB636" s="4"/>
      <c r="AC636" s="4"/>
      <c r="AD636" s="4"/>
    </row>
    <row r="637" ht="13.5" customHeight="1" spans="1:30" x14ac:dyDescent="0.25">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c r="AA637" s="4"/>
      <c r="AB637" s="4"/>
      <c r="AC637" s="4"/>
      <c r="AD637" s="4"/>
    </row>
    <row r="638" ht="13.5" customHeight="1" spans="1:30" x14ac:dyDescent="0.25">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c r="AA638" s="4"/>
      <c r="AB638" s="4"/>
      <c r="AC638" s="4"/>
      <c r="AD638" s="4"/>
    </row>
    <row r="639" ht="13.5" customHeight="1" spans="1:30" x14ac:dyDescent="0.25">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c r="AA639" s="4"/>
      <c r="AB639" s="4"/>
      <c r="AC639" s="4"/>
      <c r="AD639" s="4"/>
    </row>
    <row r="640" ht="13.5" customHeight="1" spans="1:30" x14ac:dyDescent="0.25">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c r="AA640" s="4"/>
      <c r="AB640" s="4"/>
      <c r="AC640" s="4"/>
      <c r="AD640" s="4"/>
    </row>
    <row r="641" ht="13.5" customHeight="1" spans="1:30" x14ac:dyDescent="0.25">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c r="AA641" s="4"/>
      <c r="AB641" s="4"/>
      <c r="AC641" s="4"/>
      <c r="AD641" s="4"/>
    </row>
    <row r="642" ht="13.5" customHeight="1" spans="1:30" x14ac:dyDescent="0.25">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c r="AA642" s="4"/>
      <c r="AB642" s="4"/>
      <c r="AC642" s="4"/>
      <c r="AD642" s="4"/>
    </row>
    <row r="643" ht="13.5" customHeight="1" spans="1:30" x14ac:dyDescent="0.25">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c r="AA643" s="4"/>
      <c r="AB643" s="4"/>
      <c r="AC643" s="4"/>
      <c r="AD643" s="4"/>
    </row>
    <row r="644" ht="13.5" customHeight="1" spans="1:30" x14ac:dyDescent="0.25">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c r="AA644" s="4"/>
      <c r="AB644" s="4"/>
      <c r="AC644" s="4"/>
      <c r="AD644" s="4"/>
    </row>
    <row r="645" ht="13.5" customHeight="1" spans="1:30" x14ac:dyDescent="0.2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c r="AA645" s="4"/>
      <c r="AB645" s="4"/>
      <c r="AC645" s="4"/>
      <c r="AD645" s="4"/>
    </row>
    <row r="646" ht="13.5" customHeight="1" spans="1:30" x14ac:dyDescent="0.25">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c r="AA646" s="4"/>
      <c r="AB646" s="4"/>
      <c r="AC646" s="4"/>
      <c r="AD646" s="4"/>
    </row>
    <row r="647" ht="13.5" customHeight="1" spans="1:30" x14ac:dyDescent="0.25">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c r="AA647" s="4"/>
      <c r="AB647" s="4"/>
      <c r="AC647" s="4"/>
      <c r="AD647" s="4"/>
    </row>
    <row r="648" ht="13.5" customHeight="1" spans="1:30" x14ac:dyDescent="0.25">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c r="AA648" s="4"/>
      <c r="AB648" s="4"/>
      <c r="AC648" s="4"/>
      <c r="AD648" s="4"/>
    </row>
    <row r="649" ht="13.5" customHeight="1" spans="1:30" x14ac:dyDescent="0.25">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c r="AA649" s="4"/>
      <c r="AB649" s="4"/>
      <c r="AC649" s="4"/>
      <c r="AD649" s="4"/>
    </row>
    <row r="650" ht="13.5" customHeight="1" spans="1:30" x14ac:dyDescent="0.25">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c r="AA650" s="4"/>
      <c r="AB650" s="4"/>
      <c r="AC650" s="4"/>
      <c r="AD650" s="4"/>
    </row>
    <row r="651" ht="13.5" customHeight="1" spans="1:30" x14ac:dyDescent="0.25">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c r="AA651" s="4"/>
      <c r="AB651" s="4"/>
      <c r="AC651" s="4"/>
      <c r="AD651" s="4"/>
    </row>
    <row r="652" ht="13.5" customHeight="1" spans="1:30" x14ac:dyDescent="0.25">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c r="AA652" s="4"/>
      <c r="AB652" s="4"/>
      <c r="AC652" s="4"/>
      <c r="AD652" s="4"/>
    </row>
    <row r="653" ht="13.5" customHeight="1" spans="1:30" x14ac:dyDescent="0.25">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c r="AA653" s="4"/>
      <c r="AB653" s="4"/>
      <c r="AC653" s="4"/>
      <c r="AD653" s="4"/>
    </row>
    <row r="654" ht="13.5" customHeight="1" spans="1:30" x14ac:dyDescent="0.25">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c r="AA654" s="4"/>
      <c r="AB654" s="4"/>
      <c r="AC654" s="4"/>
      <c r="AD654" s="4"/>
    </row>
    <row r="655" ht="13.5" customHeight="1" spans="1:30" x14ac:dyDescent="0.2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c r="AA655" s="4"/>
      <c r="AB655" s="4"/>
      <c r="AC655" s="4"/>
      <c r="AD655" s="4"/>
    </row>
    <row r="656" ht="13.5" customHeight="1" spans="1:30" x14ac:dyDescent="0.25">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c r="AA656" s="4"/>
      <c r="AB656" s="4"/>
      <c r="AC656" s="4"/>
      <c r="AD656" s="4"/>
    </row>
    <row r="657" ht="13.5" customHeight="1" spans="1:30" x14ac:dyDescent="0.25">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c r="AA657" s="4"/>
      <c r="AB657" s="4"/>
      <c r="AC657" s="4"/>
      <c r="AD657" s="4"/>
    </row>
    <row r="658" ht="13.5" customHeight="1" spans="1:30" x14ac:dyDescent="0.25">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c r="AA658" s="4"/>
      <c r="AB658" s="4"/>
      <c r="AC658" s="4"/>
      <c r="AD658" s="4"/>
    </row>
    <row r="659" ht="13.5" customHeight="1" spans="1:30" x14ac:dyDescent="0.25">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c r="AA659" s="4"/>
      <c r="AB659" s="4"/>
      <c r="AC659" s="4"/>
      <c r="AD659" s="4"/>
    </row>
    <row r="660" ht="13.5" customHeight="1" spans="1:30" x14ac:dyDescent="0.25">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c r="AA660" s="4"/>
      <c r="AB660" s="4"/>
      <c r="AC660" s="4"/>
      <c r="AD660" s="4"/>
    </row>
    <row r="661" ht="13.5" customHeight="1" spans="1:30" x14ac:dyDescent="0.25">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c r="AA661" s="4"/>
      <c r="AB661" s="4"/>
      <c r="AC661" s="4"/>
      <c r="AD661" s="4"/>
    </row>
    <row r="662" ht="13.5" customHeight="1" spans="1:30" x14ac:dyDescent="0.25">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c r="AA662" s="4"/>
      <c r="AB662" s="4"/>
      <c r="AC662" s="4"/>
      <c r="AD662" s="4"/>
    </row>
    <row r="663" ht="13.5" customHeight="1" spans="1:30" x14ac:dyDescent="0.25">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c r="AA663" s="4"/>
      <c r="AB663" s="4"/>
      <c r="AC663" s="4"/>
      <c r="AD663" s="4"/>
    </row>
    <row r="664" ht="13.5" customHeight="1" spans="1:30" x14ac:dyDescent="0.25">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c r="AA664" s="4"/>
      <c r="AB664" s="4"/>
      <c r="AC664" s="4"/>
      <c r="AD664" s="4"/>
    </row>
    <row r="665" ht="13.5" customHeight="1" spans="1:30" x14ac:dyDescent="0.2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c r="AA665" s="4"/>
      <c r="AB665" s="4"/>
      <c r="AC665" s="4"/>
      <c r="AD665" s="4"/>
    </row>
    <row r="666" ht="13.5" customHeight="1" spans="1:30" x14ac:dyDescent="0.25">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c r="AA666" s="4"/>
      <c r="AB666" s="4"/>
      <c r="AC666" s="4"/>
      <c r="AD666" s="4"/>
    </row>
    <row r="667" ht="13.5" customHeight="1" spans="1:30" x14ac:dyDescent="0.25">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c r="AA667" s="4"/>
      <c r="AB667" s="4"/>
      <c r="AC667" s="4"/>
      <c r="AD667" s="4"/>
    </row>
    <row r="668" ht="13.5" customHeight="1" spans="1:30" x14ac:dyDescent="0.25">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c r="AA668" s="4"/>
      <c r="AB668" s="4"/>
      <c r="AC668" s="4"/>
      <c r="AD668" s="4"/>
    </row>
    <row r="669" ht="13.5" customHeight="1" spans="1:30" x14ac:dyDescent="0.25">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c r="AA669" s="4"/>
      <c r="AB669" s="4"/>
      <c r="AC669" s="4"/>
      <c r="AD669" s="4"/>
    </row>
    <row r="670" ht="13.5" customHeight="1" spans="1:30" x14ac:dyDescent="0.25">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c r="AA670" s="4"/>
      <c r="AB670" s="4"/>
      <c r="AC670" s="4"/>
      <c r="AD670" s="4"/>
    </row>
    <row r="671" ht="13.5" customHeight="1" spans="1:30" x14ac:dyDescent="0.25">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c r="AA671" s="4"/>
      <c r="AB671" s="4"/>
      <c r="AC671" s="4"/>
      <c r="AD671" s="4"/>
    </row>
    <row r="672" ht="13.5" customHeight="1" spans="1:30" x14ac:dyDescent="0.25">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c r="AA672" s="4"/>
      <c r="AB672" s="4"/>
      <c r="AC672" s="4"/>
      <c r="AD672" s="4"/>
    </row>
    <row r="673" ht="13.5" customHeight="1" spans="1:30" x14ac:dyDescent="0.25">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c r="AA673" s="4"/>
      <c r="AB673" s="4"/>
      <c r="AC673" s="4"/>
      <c r="AD673" s="4"/>
    </row>
    <row r="674" ht="13.5" customHeight="1" spans="1:30" x14ac:dyDescent="0.25">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c r="AA674" s="4"/>
      <c r="AB674" s="4"/>
      <c r="AC674" s="4"/>
      <c r="AD674" s="4"/>
    </row>
    <row r="675" ht="13.5" customHeight="1" spans="1:30" x14ac:dyDescent="0.2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c r="AA675" s="4"/>
      <c r="AB675" s="4"/>
      <c r="AC675" s="4"/>
      <c r="AD675" s="4"/>
    </row>
    <row r="676" ht="13.5" customHeight="1" spans="1:30" x14ac:dyDescent="0.25">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c r="AA676" s="4"/>
      <c r="AB676" s="4"/>
      <c r="AC676" s="4"/>
      <c r="AD676" s="4"/>
    </row>
    <row r="677" ht="13.5" customHeight="1" spans="1:30" x14ac:dyDescent="0.25">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c r="AA677" s="4"/>
      <c r="AB677" s="4"/>
      <c r="AC677" s="4"/>
      <c r="AD677" s="4"/>
    </row>
    <row r="678" ht="13.5" customHeight="1" spans="1:30" x14ac:dyDescent="0.25">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c r="AA678" s="4"/>
      <c r="AB678" s="4"/>
      <c r="AC678" s="4"/>
      <c r="AD678" s="4"/>
    </row>
    <row r="679" ht="13.5" customHeight="1" spans="1:30" x14ac:dyDescent="0.25">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c r="AA679" s="4"/>
      <c r="AB679" s="4"/>
      <c r="AC679" s="4"/>
      <c r="AD679" s="4"/>
    </row>
    <row r="680" ht="13.5" customHeight="1" spans="1:30" x14ac:dyDescent="0.25">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c r="AA680" s="4"/>
      <c r="AB680" s="4"/>
      <c r="AC680" s="4"/>
      <c r="AD680" s="4"/>
    </row>
    <row r="681" ht="13.5" customHeight="1" spans="1:30" x14ac:dyDescent="0.25">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c r="AA681" s="4"/>
      <c r="AB681" s="4"/>
      <c r="AC681" s="4"/>
      <c r="AD681" s="4"/>
    </row>
    <row r="682" ht="13.5" customHeight="1" spans="1:30" x14ac:dyDescent="0.25">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c r="AA682" s="4"/>
      <c r="AB682" s="4"/>
      <c r="AC682" s="4"/>
      <c r="AD682" s="4"/>
    </row>
    <row r="683" ht="13.5" customHeight="1" spans="1:30" x14ac:dyDescent="0.25">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c r="AA683" s="4"/>
      <c r="AB683" s="4"/>
      <c r="AC683" s="4"/>
      <c r="AD683" s="4"/>
    </row>
    <row r="684" ht="13.5" customHeight="1" spans="1:30" x14ac:dyDescent="0.25">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c r="AA684" s="4"/>
      <c r="AB684" s="4"/>
      <c r="AC684" s="4"/>
      <c r="AD684" s="4"/>
    </row>
    <row r="685" ht="13.5" customHeight="1" spans="1:30" x14ac:dyDescent="0.2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c r="AA685" s="4"/>
      <c r="AB685" s="4"/>
      <c r="AC685" s="4"/>
      <c r="AD685" s="4"/>
    </row>
    <row r="686" ht="13.5" customHeight="1" spans="1:30" x14ac:dyDescent="0.25">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c r="AA686" s="4"/>
      <c r="AB686" s="4"/>
      <c r="AC686" s="4"/>
      <c r="AD686" s="4"/>
    </row>
    <row r="687" ht="13.5" customHeight="1" spans="1:30" x14ac:dyDescent="0.25">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c r="AA687" s="4"/>
      <c r="AB687" s="4"/>
      <c r="AC687" s="4"/>
      <c r="AD687" s="4"/>
    </row>
    <row r="688" ht="13.5" customHeight="1" spans="1:30" x14ac:dyDescent="0.25">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c r="AA688" s="4"/>
      <c r="AB688" s="4"/>
      <c r="AC688" s="4"/>
      <c r="AD688" s="4"/>
    </row>
    <row r="689" ht="13.5" customHeight="1" spans="1:30" x14ac:dyDescent="0.25">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c r="AA689" s="4"/>
      <c r="AB689" s="4"/>
      <c r="AC689" s="4"/>
      <c r="AD689" s="4"/>
    </row>
    <row r="690" ht="13.5" customHeight="1" spans="1:30" x14ac:dyDescent="0.25">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c r="AA690" s="4"/>
      <c r="AB690" s="4"/>
      <c r="AC690" s="4"/>
      <c r="AD690" s="4"/>
    </row>
    <row r="691" ht="13.5" customHeight="1" spans="1:30" x14ac:dyDescent="0.25">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c r="AA691" s="4"/>
      <c r="AB691" s="4"/>
      <c r="AC691" s="4"/>
      <c r="AD691" s="4"/>
    </row>
    <row r="692" ht="13.5" customHeight="1" spans="1:30" x14ac:dyDescent="0.25">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c r="AA692" s="4"/>
      <c r="AB692" s="4"/>
      <c r="AC692" s="4"/>
      <c r="AD692" s="4"/>
    </row>
    <row r="693" ht="13.5" customHeight="1" spans="1:30" x14ac:dyDescent="0.25">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c r="AA693" s="4"/>
      <c r="AB693" s="4"/>
      <c r="AC693" s="4"/>
      <c r="AD693" s="4"/>
    </row>
    <row r="694" ht="13.5" customHeight="1" spans="1:30" x14ac:dyDescent="0.25">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c r="AA694" s="4"/>
      <c r="AB694" s="4"/>
      <c r="AC694" s="4"/>
      <c r="AD694" s="4"/>
    </row>
    <row r="695" ht="13.5" customHeight="1" spans="1:30" x14ac:dyDescent="0.2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c r="AA695" s="4"/>
      <c r="AB695" s="4"/>
      <c r="AC695" s="4"/>
      <c r="AD695" s="4"/>
    </row>
    <row r="696" ht="13.5" customHeight="1" spans="1:30" x14ac:dyDescent="0.25">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c r="AA696" s="4"/>
      <c r="AB696" s="4"/>
      <c r="AC696" s="4"/>
      <c r="AD696" s="4"/>
    </row>
    <row r="697" ht="13.5" customHeight="1" spans="1:30" x14ac:dyDescent="0.25">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c r="AA697" s="4"/>
      <c r="AB697" s="4"/>
      <c r="AC697" s="4"/>
      <c r="AD697" s="4"/>
    </row>
    <row r="698" ht="13.5" customHeight="1" spans="1:30" x14ac:dyDescent="0.25">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c r="AA698" s="4"/>
      <c r="AB698" s="4"/>
      <c r="AC698" s="4"/>
      <c r="AD698" s="4"/>
    </row>
    <row r="699" ht="13.5" customHeight="1" spans="1:30" x14ac:dyDescent="0.25">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c r="AA699" s="4"/>
      <c r="AB699" s="4"/>
      <c r="AC699" s="4"/>
      <c r="AD699" s="4"/>
    </row>
    <row r="700" ht="13.5" customHeight="1" spans="1:30" x14ac:dyDescent="0.25">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c r="AA700" s="4"/>
      <c r="AB700" s="4"/>
      <c r="AC700" s="4"/>
      <c r="AD700" s="4"/>
    </row>
    <row r="701" ht="13.5" customHeight="1" spans="1:30" x14ac:dyDescent="0.25">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c r="AA701" s="4"/>
      <c r="AB701" s="4"/>
      <c r="AC701" s="4"/>
      <c r="AD701" s="4"/>
    </row>
    <row r="702" ht="13.5" customHeight="1" spans="1:30" x14ac:dyDescent="0.25">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c r="AA702" s="4"/>
      <c r="AB702" s="4"/>
      <c r="AC702" s="4"/>
      <c r="AD702" s="4"/>
    </row>
    <row r="703" ht="13.5" customHeight="1" spans="1:30" x14ac:dyDescent="0.25">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c r="AA703" s="4"/>
      <c r="AB703" s="4"/>
      <c r="AC703" s="4"/>
      <c r="AD703" s="4"/>
    </row>
    <row r="704" ht="13.5" customHeight="1" spans="1:30" x14ac:dyDescent="0.25">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c r="AA704" s="4"/>
      <c r="AB704" s="4"/>
      <c r="AC704" s="4"/>
      <c r="AD704" s="4"/>
    </row>
    <row r="705" ht="13.5" customHeight="1" spans="1:30" x14ac:dyDescent="0.2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c r="AA705" s="4"/>
      <c r="AB705" s="4"/>
      <c r="AC705" s="4"/>
      <c r="AD705" s="4"/>
    </row>
    <row r="706" ht="13.5" customHeight="1" spans="1:30" x14ac:dyDescent="0.25">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c r="AA706" s="4"/>
      <c r="AB706" s="4"/>
      <c r="AC706" s="4"/>
      <c r="AD706" s="4"/>
    </row>
    <row r="707" ht="13.5" customHeight="1" spans="1:30" x14ac:dyDescent="0.25">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c r="AA707" s="4"/>
      <c r="AB707" s="4"/>
      <c r="AC707" s="4"/>
      <c r="AD707" s="4"/>
    </row>
    <row r="708" ht="13.5" customHeight="1" spans="1:30" x14ac:dyDescent="0.25">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c r="AA708" s="4"/>
      <c r="AB708" s="4"/>
      <c r="AC708" s="4"/>
      <c r="AD708" s="4"/>
    </row>
    <row r="709" ht="13.5" customHeight="1" spans="1:30" x14ac:dyDescent="0.25">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c r="AA709" s="4"/>
      <c r="AB709" s="4"/>
      <c r="AC709" s="4"/>
      <c r="AD709" s="4"/>
    </row>
    <row r="710" ht="13.5" customHeight="1" spans="1:30" x14ac:dyDescent="0.25">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c r="AA710" s="4"/>
      <c r="AB710" s="4"/>
      <c r="AC710" s="4"/>
      <c r="AD710" s="4"/>
    </row>
    <row r="711" ht="13.5" customHeight="1" spans="1:30" x14ac:dyDescent="0.25">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c r="AA711" s="4"/>
      <c r="AB711" s="4"/>
      <c r="AC711" s="4"/>
      <c r="AD711" s="4"/>
    </row>
    <row r="712" ht="13.5" customHeight="1" spans="1:30" x14ac:dyDescent="0.25">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c r="AA712" s="4"/>
      <c r="AB712" s="4"/>
      <c r="AC712" s="4"/>
      <c r="AD712" s="4"/>
    </row>
    <row r="713" ht="13.5" customHeight="1" spans="1:30" x14ac:dyDescent="0.25">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c r="AA713" s="4"/>
      <c r="AB713" s="4"/>
      <c r="AC713" s="4"/>
      <c r="AD713" s="4"/>
    </row>
    <row r="714" ht="13.5" customHeight="1" spans="1:30" x14ac:dyDescent="0.25">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c r="AA714" s="4"/>
      <c r="AB714" s="4"/>
      <c r="AC714" s="4"/>
      <c r="AD714" s="4"/>
    </row>
    <row r="715" ht="13.5" customHeight="1" spans="1:30" x14ac:dyDescent="0.2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c r="AA715" s="4"/>
      <c r="AB715" s="4"/>
      <c r="AC715" s="4"/>
      <c r="AD715" s="4"/>
    </row>
    <row r="716" ht="13.5" customHeight="1" spans="1:30" x14ac:dyDescent="0.25">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c r="AA716" s="4"/>
      <c r="AB716" s="4"/>
      <c r="AC716" s="4"/>
      <c r="AD716" s="4"/>
    </row>
    <row r="717" ht="13.5" customHeight="1" spans="1:30" x14ac:dyDescent="0.25">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c r="AA717" s="4"/>
      <c r="AB717" s="4"/>
      <c r="AC717" s="4"/>
      <c r="AD717" s="4"/>
    </row>
    <row r="718" ht="13.5" customHeight="1" spans="1:30" x14ac:dyDescent="0.25">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c r="AA718" s="4"/>
      <c r="AB718" s="4"/>
      <c r="AC718" s="4"/>
      <c r="AD718" s="4"/>
    </row>
    <row r="719" ht="13.5" customHeight="1" spans="1:30" x14ac:dyDescent="0.25">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c r="AA719" s="4"/>
      <c r="AB719" s="4"/>
      <c r="AC719" s="4"/>
      <c r="AD719" s="4"/>
    </row>
    <row r="720" ht="13.5" customHeight="1" spans="1:30" x14ac:dyDescent="0.25">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c r="AA720" s="4"/>
      <c r="AB720" s="4"/>
      <c r="AC720" s="4"/>
      <c r="AD720" s="4"/>
    </row>
    <row r="721" ht="13.5" customHeight="1" spans="1:30" x14ac:dyDescent="0.25">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c r="AA721" s="4"/>
      <c r="AB721" s="4"/>
      <c r="AC721" s="4"/>
      <c r="AD721" s="4"/>
    </row>
    <row r="722" ht="13.5" customHeight="1" spans="1:30" x14ac:dyDescent="0.25">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c r="AA722" s="4"/>
      <c r="AB722" s="4"/>
      <c r="AC722" s="4"/>
      <c r="AD722" s="4"/>
    </row>
    <row r="723" ht="13.5" customHeight="1" spans="1:30" x14ac:dyDescent="0.25">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c r="AA723" s="4"/>
      <c r="AB723" s="4"/>
      <c r="AC723" s="4"/>
      <c r="AD723" s="4"/>
    </row>
    <row r="724" ht="13.5" customHeight="1" spans="1:30" x14ac:dyDescent="0.25">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c r="AA724" s="4"/>
      <c r="AB724" s="4"/>
      <c r="AC724" s="4"/>
      <c r="AD724" s="4"/>
    </row>
    <row r="725" ht="13.5" customHeight="1" spans="1:30" x14ac:dyDescent="0.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c r="AA725" s="4"/>
      <c r="AB725" s="4"/>
      <c r="AC725" s="4"/>
      <c r="AD725" s="4"/>
    </row>
    <row r="726" ht="13.5" customHeight="1" spans="1:30" x14ac:dyDescent="0.25">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c r="AA726" s="4"/>
      <c r="AB726" s="4"/>
      <c r="AC726" s="4"/>
      <c r="AD726" s="4"/>
    </row>
    <row r="727" ht="13.5" customHeight="1" spans="1:30" x14ac:dyDescent="0.25">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c r="AA727" s="4"/>
      <c r="AB727" s="4"/>
      <c r="AC727" s="4"/>
      <c r="AD727" s="4"/>
    </row>
    <row r="728" ht="13.5" customHeight="1" spans="1:30" x14ac:dyDescent="0.25">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c r="AA728" s="4"/>
      <c r="AB728" s="4"/>
      <c r="AC728" s="4"/>
      <c r="AD728" s="4"/>
    </row>
    <row r="729" ht="13.5" customHeight="1" spans="1:30" x14ac:dyDescent="0.25">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c r="AA729" s="4"/>
      <c r="AB729" s="4"/>
      <c r="AC729" s="4"/>
      <c r="AD729" s="4"/>
    </row>
    <row r="730" ht="13.5" customHeight="1" spans="1:30" x14ac:dyDescent="0.25">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c r="AA730" s="4"/>
      <c r="AB730" s="4"/>
      <c r="AC730" s="4"/>
      <c r="AD730" s="4"/>
    </row>
    <row r="731" ht="13.5" customHeight="1" spans="1:30" x14ac:dyDescent="0.25">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c r="AA731" s="4"/>
      <c r="AB731" s="4"/>
      <c r="AC731" s="4"/>
      <c r="AD731" s="4"/>
    </row>
    <row r="732" ht="13.5" customHeight="1" spans="1:30" x14ac:dyDescent="0.25">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c r="AA732" s="4"/>
      <c r="AB732" s="4"/>
      <c r="AC732" s="4"/>
      <c r="AD732" s="4"/>
    </row>
    <row r="733" ht="13.5" customHeight="1" spans="1:30" x14ac:dyDescent="0.25">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c r="AA733" s="4"/>
      <c r="AB733" s="4"/>
      <c r="AC733" s="4"/>
      <c r="AD733" s="4"/>
    </row>
    <row r="734" ht="13.5" customHeight="1" spans="1:30" x14ac:dyDescent="0.25">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c r="AA734" s="4"/>
      <c r="AB734" s="4"/>
      <c r="AC734" s="4"/>
      <c r="AD734" s="4"/>
    </row>
    <row r="735" ht="13.5" customHeight="1" spans="1:30" x14ac:dyDescent="0.2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c r="AA735" s="4"/>
      <c r="AB735" s="4"/>
      <c r="AC735" s="4"/>
      <c r="AD735" s="4"/>
    </row>
    <row r="736" ht="13.5" customHeight="1" spans="1:30" x14ac:dyDescent="0.25">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c r="AA736" s="4"/>
      <c r="AB736" s="4"/>
      <c r="AC736" s="4"/>
      <c r="AD736" s="4"/>
    </row>
    <row r="737" ht="13.5" customHeight="1" spans="1:30" x14ac:dyDescent="0.25">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c r="AA737" s="4"/>
      <c r="AB737" s="4"/>
      <c r="AC737" s="4"/>
      <c r="AD737" s="4"/>
    </row>
    <row r="738" ht="13.5" customHeight="1" spans="1:30" x14ac:dyDescent="0.25">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c r="AA738" s="4"/>
      <c r="AB738" s="4"/>
      <c r="AC738" s="4"/>
      <c r="AD738" s="4"/>
    </row>
    <row r="739" ht="13.5" customHeight="1" spans="1:30" x14ac:dyDescent="0.25">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c r="AA739" s="4"/>
      <c r="AB739" s="4"/>
      <c r="AC739" s="4"/>
      <c r="AD739" s="4"/>
    </row>
    <row r="740" ht="13.5" customHeight="1" spans="1:30" x14ac:dyDescent="0.25">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c r="AA740" s="4"/>
      <c r="AB740" s="4"/>
      <c r="AC740" s="4"/>
      <c r="AD740" s="4"/>
    </row>
    <row r="741" ht="13.5" customHeight="1" spans="1:30" x14ac:dyDescent="0.25">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c r="AA741" s="4"/>
      <c r="AB741" s="4"/>
      <c r="AC741" s="4"/>
      <c r="AD741" s="4"/>
    </row>
    <row r="742" ht="13.5" customHeight="1" spans="1:30" x14ac:dyDescent="0.25">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c r="AA742" s="4"/>
      <c r="AB742" s="4"/>
      <c r="AC742" s="4"/>
      <c r="AD742" s="4"/>
    </row>
    <row r="743" ht="13.5" customHeight="1" spans="1:30" x14ac:dyDescent="0.25">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c r="AA743" s="4"/>
      <c r="AB743" s="4"/>
      <c r="AC743" s="4"/>
      <c r="AD743" s="4"/>
    </row>
    <row r="744" ht="13.5" customHeight="1" spans="1:30" x14ac:dyDescent="0.25">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c r="AA744" s="4"/>
      <c r="AB744" s="4"/>
      <c r="AC744" s="4"/>
      <c r="AD744" s="4"/>
    </row>
    <row r="745" ht="13.5" customHeight="1" spans="1:30" x14ac:dyDescent="0.2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c r="AA745" s="4"/>
      <c r="AB745" s="4"/>
      <c r="AC745" s="4"/>
      <c r="AD745" s="4"/>
    </row>
    <row r="746" ht="13.5" customHeight="1" spans="1:30" x14ac:dyDescent="0.25">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c r="AA746" s="4"/>
      <c r="AB746" s="4"/>
      <c r="AC746" s="4"/>
      <c r="AD746" s="4"/>
    </row>
    <row r="747" ht="13.5" customHeight="1" spans="1:30" x14ac:dyDescent="0.25">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c r="AA747" s="4"/>
      <c r="AB747" s="4"/>
      <c r="AC747" s="4"/>
      <c r="AD747" s="4"/>
    </row>
    <row r="748" ht="13.5" customHeight="1" spans="1:30" x14ac:dyDescent="0.25">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c r="AA748" s="4"/>
      <c r="AB748" s="4"/>
      <c r="AC748" s="4"/>
      <c r="AD748" s="4"/>
    </row>
    <row r="749" ht="13.5" customHeight="1" spans="1:30" x14ac:dyDescent="0.25">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c r="AA749" s="4"/>
      <c r="AB749" s="4"/>
      <c r="AC749" s="4"/>
      <c r="AD749" s="4"/>
    </row>
    <row r="750" ht="13.5" customHeight="1" spans="1:30" x14ac:dyDescent="0.25">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c r="AA750" s="4"/>
      <c r="AB750" s="4"/>
      <c r="AC750" s="4"/>
      <c r="AD750" s="4"/>
    </row>
    <row r="751" ht="13.5" customHeight="1" spans="1:30" x14ac:dyDescent="0.25">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c r="AA751" s="4"/>
      <c r="AB751" s="4"/>
      <c r="AC751" s="4"/>
      <c r="AD751" s="4"/>
    </row>
    <row r="752" ht="13.5" customHeight="1" spans="1:30" x14ac:dyDescent="0.25">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c r="AA752" s="4"/>
      <c r="AB752" s="4"/>
      <c r="AC752" s="4"/>
      <c r="AD752" s="4"/>
    </row>
    <row r="753" ht="13.5" customHeight="1" spans="1:30" x14ac:dyDescent="0.25">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c r="AA753" s="4"/>
      <c r="AB753" s="4"/>
      <c r="AC753" s="4"/>
      <c r="AD753" s="4"/>
    </row>
    <row r="754" ht="13.5" customHeight="1" spans="1:30" x14ac:dyDescent="0.25">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c r="AA754" s="4"/>
      <c r="AB754" s="4"/>
      <c r="AC754" s="4"/>
      <c r="AD754" s="4"/>
    </row>
    <row r="755" ht="13.5" customHeight="1" spans="1:30" x14ac:dyDescent="0.2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c r="AA755" s="4"/>
      <c r="AB755" s="4"/>
      <c r="AC755" s="4"/>
      <c r="AD755" s="4"/>
    </row>
    <row r="756" ht="13.5" customHeight="1" spans="1:30" x14ac:dyDescent="0.25">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c r="AA756" s="4"/>
      <c r="AB756" s="4"/>
      <c r="AC756" s="4"/>
      <c r="AD756" s="4"/>
    </row>
    <row r="757" ht="13.5" customHeight="1" spans="1:30" x14ac:dyDescent="0.25">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c r="AA757" s="4"/>
      <c r="AB757" s="4"/>
      <c r="AC757" s="4"/>
      <c r="AD757" s="4"/>
    </row>
    <row r="758" ht="13.5" customHeight="1" spans="1:30" x14ac:dyDescent="0.25">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c r="AA758" s="4"/>
      <c r="AB758" s="4"/>
      <c r="AC758" s="4"/>
      <c r="AD758" s="4"/>
    </row>
    <row r="759" ht="13.5" customHeight="1" spans="1:30" x14ac:dyDescent="0.25">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c r="AA759" s="4"/>
      <c r="AB759" s="4"/>
      <c r="AC759" s="4"/>
      <c r="AD759" s="4"/>
    </row>
    <row r="760" ht="13.5" customHeight="1" spans="1:30" x14ac:dyDescent="0.25">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c r="AA760" s="4"/>
      <c r="AB760" s="4"/>
      <c r="AC760" s="4"/>
      <c r="AD760" s="4"/>
    </row>
    <row r="761" ht="13.5" customHeight="1" spans="1:30" x14ac:dyDescent="0.25">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c r="AA761" s="4"/>
      <c r="AB761" s="4"/>
      <c r="AC761" s="4"/>
      <c r="AD761" s="4"/>
    </row>
    <row r="762" ht="13.5" customHeight="1" spans="1:30" x14ac:dyDescent="0.25">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c r="AA762" s="4"/>
      <c r="AB762" s="4"/>
      <c r="AC762" s="4"/>
      <c r="AD762" s="4"/>
    </row>
    <row r="763" ht="13.5" customHeight="1" spans="1:30" x14ac:dyDescent="0.25">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c r="AA763" s="4"/>
      <c r="AB763" s="4"/>
      <c r="AC763" s="4"/>
      <c r="AD763" s="4"/>
    </row>
    <row r="764" ht="13.5" customHeight="1" spans="1:30" x14ac:dyDescent="0.25">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c r="AA764" s="4"/>
      <c r="AB764" s="4"/>
      <c r="AC764" s="4"/>
      <c r="AD764" s="4"/>
    </row>
    <row r="765" ht="13.5" customHeight="1" spans="1:30" x14ac:dyDescent="0.2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c r="AA765" s="4"/>
      <c r="AB765" s="4"/>
      <c r="AC765" s="4"/>
      <c r="AD765" s="4"/>
    </row>
    <row r="766" ht="13.5" customHeight="1" spans="1:30" x14ac:dyDescent="0.25">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c r="AA766" s="4"/>
      <c r="AB766" s="4"/>
      <c r="AC766" s="4"/>
      <c r="AD766" s="4"/>
    </row>
    <row r="767" ht="13.5" customHeight="1" spans="1:30" x14ac:dyDescent="0.25">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c r="AA767" s="4"/>
      <c r="AB767" s="4"/>
      <c r="AC767" s="4"/>
      <c r="AD767" s="4"/>
    </row>
    <row r="768" ht="13.5" customHeight="1" spans="1:30" x14ac:dyDescent="0.25">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c r="AA768" s="4"/>
      <c r="AB768" s="4"/>
      <c r="AC768" s="4"/>
      <c r="AD768" s="4"/>
    </row>
    <row r="769" ht="13.5" customHeight="1" spans="1:30" x14ac:dyDescent="0.25">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c r="AA769" s="4"/>
      <c r="AB769" s="4"/>
      <c r="AC769" s="4"/>
      <c r="AD769" s="4"/>
    </row>
    <row r="770" ht="13.5" customHeight="1" spans="1:30" x14ac:dyDescent="0.25">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c r="AA770" s="4"/>
      <c r="AB770" s="4"/>
      <c r="AC770" s="4"/>
      <c r="AD770" s="4"/>
    </row>
    <row r="771" ht="13.5" customHeight="1" spans="1:30" x14ac:dyDescent="0.25">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c r="AA771" s="4"/>
      <c r="AB771" s="4"/>
      <c r="AC771" s="4"/>
      <c r="AD771" s="4"/>
    </row>
    <row r="772" ht="13.5" customHeight="1" spans="1:30" x14ac:dyDescent="0.25">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c r="AA772" s="4"/>
      <c r="AB772" s="4"/>
      <c r="AC772" s="4"/>
      <c r="AD772" s="4"/>
    </row>
    <row r="773" ht="13.5" customHeight="1" spans="1:30" x14ac:dyDescent="0.25">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c r="AA773" s="4"/>
      <c r="AB773" s="4"/>
      <c r="AC773" s="4"/>
      <c r="AD773" s="4"/>
    </row>
    <row r="774" ht="13.5" customHeight="1" spans="1:30" x14ac:dyDescent="0.25">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c r="AA774" s="4"/>
      <c r="AB774" s="4"/>
      <c r="AC774" s="4"/>
      <c r="AD774" s="4"/>
    </row>
    <row r="775" ht="13.5" customHeight="1" spans="1:30" x14ac:dyDescent="0.2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c r="AA775" s="4"/>
      <c r="AB775" s="4"/>
      <c r="AC775" s="4"/>
      <c r="AD775" s="4"/>
    </row>
    <row r="776" ht="13.5" customHeight="1" spans="1:30" x14ac:dyDescent="0.25">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c r="AA776" s="4"/>
      <c r="AB776" s="4"/>
      <c r="AC776" s="4"/>
      <c r="AD776" s="4"/>
    </row>
    <row r="777" ht="13.5" customHeight="1" spans="1:30" x14ac:dyDescent="0.25">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c r="AA777" s="4"/>
      <c r="AB777" s="4"/>
      <c r="AC777" s="4"/>
      <c r="AD777" s="4"/>
    </row>
    <row r="778" ht="13.5" customHeight="1" spans="1:30" x14ac:dyDescent="0.25">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c r="AA778" s="4"/>
      <c r="AB778" s="4"/>
      <c r="AC778" s="4"/>
      <c r="AD778" s="4"/>
    </row>
    <row r="779" ht="13.5" customHeight="1" spans="1:30" x14ac:dyDescent="0.25">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c r="AA779" s="4"/>
      <c r="AB779" s="4"/>
      <c r="AC779" s="4"/>
      <c r="AD779" s="4"/>
    </row>
    <row r="780" ht="13.5" customHeight="1" spans="1:30" x14ac:dyDescent="0.25">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c r="AA780" s="4"/>
      <c r="AB780" s="4"/>
      <c r="AC780" s="4"/>
      <c r="AD780" s="4"/>
    </row>
    <row r="781" ht="13.5" customHeight="1" spans="1:30" x14ac:dyDescent="0.25">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c r="AA781" s="4"/>
      <c r="AB781" s="4"/>
      <c r="AC781" s="4"/>
      <c r="AD781" s="4"/>
    </row>
    <row r="782" ht="13.5" customHeight="1" spans="1:30" x14ac:dyDescent="0.25">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c r="AA782" s="4"/>
      <c r="AB782" s="4"/>
      <c r="AC782" s="4"/>
      <c r="AD782" s="4"/>
    </row>
    <row r="783" ht="13.5" customHeight="1" spans="1:30" x14ac:dyDescent="0.25">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c r="AA783" s="4"/>
      <c r="AB783" s="4"/>
      <c r="AC783" s="4"/>
      <c r="AD783" s="4"/>
    </row>
    <row r="784" ht="13.5" customHeight="1" spans="1:30" x14ac:dyDescent="0.25">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c r="AA784" s="4"/>
      <c r="AB784" s="4"/>
      <c r="AC784" s="4"/>
      <c r="AD784" s="4"/>
    </row>
    <row r="785" ht="13.5" customHeight="1" spans="1:30" x14ac:dyDescent="0.2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c r="AA785" s="4"/>
      <c r="AB785" s="4"/>
      <c r="AC785" s="4"/>
      <c r="AD785" s="4"/>
    </row>
    <row r="786" ht="13.5" customHeight="1" spans="1:30" x14ac:dyDescent="0.25">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c r="AA786" s="4"/>
      <c r="AB786" s="4"/>
      <c r="AC786" s="4"/>
      <c r="AD786" s="4"/>
    </row>
    <row r="787" ht="13.5" customHeight="1" spans="1:30" x14ac:dyDescent="0.25">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c r="AA787" s="4"/>
      <c r="AB787" s="4"/>
      <c r="AC787" s="4"/>
      <c r="AD787" s="4"/>
    </row>
    <row r="788" ht="13.5" customHeight="1" spans="1:30" x14ac:dyDescent="0.25">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c r="AA788" s="4"/>
      <c r="AB788" s="4"/>
      <c r="AC788" s="4"/>
      <c r="AD788" s="4"/>
    </row>
    <row r="789" ht="13.5" customHeight="1" spans="1:30" x14ac:dyDescent="0.25">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c r="AA789" s="4"/>
      <c r="AB789" s="4"/>
      <c r="AC789" s="4"/>
      <c r="AD789" s="4"/>
    </row>
    <row r="790" ht="13.5" customHeight="1" spans="1:30" x14ac:dyDescent="0.25">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c r="AA790" s="4"/>
      <c r="AB790" s="4"/>
      <c r="AC790" s="4"/>
      <c r="AD790" s="4"/>
    </row>
    <row r="791" ht="13.5" customHeight="1" spans="1:30" x14ac:dyDescent="0.25">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c r="AA791" s="4"/>
      <c r="AB791" s="4"/>
      <c r="AC791" s="4"/>
      <c r="AD791" s="4"/>
    </row>
    <row r="792" ht="13.5" customHeight="1" spans="1:30" x14ac:dyDescent="0.25">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c r="AA792" s="4"/>
      <c r="AB792" s="4"/>
      <c r="AC792" s="4"/>
      <c r="AD792" s="4"/>
    </row>
    <row r="793" ht="13.5" customHeight="1" spans="1:30" x14ac:dyDescent="0.25">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c r="AA793" s="4"/>
      <c r="AB793" s="4"/>
      <c r="AC793" s="4"/>
      <c r="AD793" s="4"/>
    </row>
    <row r="794" ht="13.5" customHeight="1" spans="1:30" x14ac:dyDescent="0.25">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c r="AA794" s="4"/>
      <c r="AB794" s="4"/>
      <c r="AC794" s="4"/>
      <c r="AD794" s="4"/>
    </row>
    <row r="795" ht="13.5" customHeight="1" spans="1:30" x14ac:dyDescent="0.2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c r="AA795" s="4"/>
      <c r="AB795" s="4"/>
      <c r="AC795" s="4"/>
      <c r="AD795" s="4"/>
    </row>
    <row r="796" ht="13.5" customHeight="1" spans="1:30" x14ac:dyDescent="0.25">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c r="AA796" s="4"/>
      <c r="AB796" s="4"/>
      <c r="AC796" s="4"/>
      <c r="AD796" s="4"/>
    </row>
    <row r="797" ht="13.5" customHeight="1" spans="1:30" x14ac:dyDescent="0.25">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c r="AA797" s="4"/>
      <c r="AB797" s="4"/>
      <c r="AC797" s="4"/>
      <c r="AD797" s="4"/>
    </row>
    <row r="798" ht="13.5" customHeight="1" spans="1:30" x14ac:dyDescent="0.25">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c r="AA798" s="4"/>
      <c r="AB798" s="4"/>
      <c r="AC798" s="4"/>
      <c r="AD798" s="4"/>
    </row>
    <row r="799" ht="13.5" customHeight="1" spans="1:30" x14ac:dyDescent="0.25">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c r="AA799" s="4"/>
      <c r="AB799" s="4"/>
      <c r="AC799" s="4"/>
      <c r="AD799" s="4"/>
    </row>
    <row r="800" ht="13.5" customHeight="1" spans="1:30" x14ac:dyDescent="0.25">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c r="AA800" s="4"/>
      <c r="AB800" s="4"/>
      <c r="AC800" s="4"/>
      <c r="AD800" s="4"/>
    </row>
    <row r="801" ht="13.5" customHeight="1" spans="1:30" x14ac:dyDescent="0.25">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c r="AA801" s="4"/>
      <c r="AB801" s="4"/>
      <c r="AC801" s="4"/>
      <c r="AD801" s="4"/>
    </row>
    <row r="802" ht="13.5" customHeight="1" spans="1:30" x14ac:dyDescent="0.25">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c r="AA802" s="4"/>
      <c r="AB802" s="4"/>
      <c r="AC802" s="4"/>
      <c r="AD802" s="4"/>
    </row>
    <row r="803" ht="13.5" customHeight="1" spans="1:30" x14ac:dyDescent="0.25">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c r="AA803" s="4"/>
      <c r="AB803" s="4"/>
      <c r="AC803" s="4"/>
      <c r="AD803" s="4"/>
    </row>
    <row r="804" ht="13.5" customHeight="1" spans="1:30" x14ac:dyDescent="0.25">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c r="AA804" s="4"/>
      <c r="AB804" s="4"/>
      <c r="AC804" s="4"/>
      <c r="AD804" s="4"/>
    </row>
    <row r="805" ht="13.5" customHeight="1" spans="1:30" x14ac:dyDescent="0.2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c r="AA805" s="4"/>
      <c r="AB805" s="4"/>
      <c r="AC805" s="4"/>
      <c r="AD805" s="4"/>
    </row>
    <row r="806" ht="13.5" customHeight="1" spans="1:30" x14ac:dyDescent="0.25">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c r="AA806" s="4"/>
      <c r="AB806" s="4"/>
      <c r="AC806" s="4"/>
      <c r="AD806" s="4"/>
    </row>
    <row r="807" ht="13.5" customHeight="1" spans="1:30" x14ac:dyDescent="0.25">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c r="AA807" s="4"/>
      <c r="AB807" s="4"/>
      <c r="AC807" s="4"/>
      <c r="AD807" s="4"/>
    </row>
    <row r="808" ht="13.5" customHeight="1" spans="1:30" x14ac:dyDescent="0.25">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c r="AA808" s="4"/>
      <c r="AB808" s="4"/>
      <c r="AC808" s="4"/>
      <c r="AD808" s="4"/>
    </row>
    <row r="809" ht="13.5" customHeight="1" spans="1:30" x14ac:dyDescent="0.25">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c r="AA809" s="4"/>
      <c r="AB809" s="4"/>
      <c r="AC809" s="4"/>
      <c r="AD809" s="4"/>
    </row>
    <row r="810" ht="13.5" customHeight="1" spans="1:30" x14ac:dyDescent="0.25">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c r="AA810" s="4"/>
      <c r="AB810" s="4"/>
      <c r="AC810" s="4"/>
      <c r="AD810" s="4"/>
    </row>
    <row r="811" ht="13.5" customHeight="1" spans="1:30" x14ac:dyDescent="0.25">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c r="AA811" s="4"/>
      <c r="AB811" s="4"/>
      <c r="AC811" s="4"/>
      <c r="AD811" s="4"/>
    </row>
    <row r="812" ht="13.5" customHeight="1" spans="1:30" x14ac:dyDescent="0.25">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c r="AA812" s="4"/>
      <c r="AB812" s="4"/>
      <c r="AC812" s="4"/>
      <c r="AD812" s="4"/>
    </row>
    <row r="813" ht="13.5" customHeight="1" spans="1:30" x14ac:dyDescent="0.25">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c r="AA813" s="4"/>
      <c r="AB813" s="4"/>
      <c r="AC813" s="4"/>
      <c r="AD813" s="4"/>
    </row>
    <row r="814" ht="13.5" customHeight="1" spans="1:30" x14ac:dyDescent="0.25">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c r="AA814" s="4"/>
      <c r="AB814" s="4"/>
      <c r="AC814" s="4"/>
      <c r="AD814" s="4"/>
    </row>
    <row r="815" ht="13.5" customHeight="1" spans="1:30" x14ac:dyDescent="0.2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c r="AA815" s="4"/>
      <c r="AB815" s="4"/>
      <c r="AC815" s="4"/>
      <c r="AD815" s="4"/>
    </row>
    <row r="816" ht="13.5" customHeight="1" spans="1:30" x14ac:dyDescent="0.25">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c r="AA816" s="4"/>
      <c r="AB816" s="4"/>
      <c r="AC816" s="4"/>
      <c r="AD816" s="4"/>
    </row>
    <row r="817" ht="13.5" customHeight="1" spans="1:30" x14ac:dyDescent="0.25">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c r="AA817" s="4"/>
      <c r="AB817" s="4"/>
      <c r="AC817" s="4"/>
      <c r="AD817" s="4"/>
    </row>
    <row r="818" ht="13.5" customHeight="1" spans="1:30" x14ac:dyDescent="0.25">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c r="AA818" s="4"/>
      <c r="AB818" s="4"/>
      <c r="AC818" s="4"/>
      <c r="AD818" s="4"/>
    </row>
    <row r="819" ht="13.5" customHeight="1" spans="1:30" x14ac:dyDescent="0.25">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c r="AA819" s="4"/>
      <c r="AB819" s="4"/>
      <c r="AC819" s="4"/>
      <c r="AD819" s="4"/>
    </row>
    <row r="820" ht="13.5" customHeight="1" spans="1:30" x14ac:dyDescent="0.25">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c r="AA820" s="4"/>
      <c r="AB820" s="4"/>
      <c r="AC820" s="4"/>
      <c r="AD820" s="4"/>
    </row>
    <row r="821" ht="13.5" customHeight="1" spans="1:30" x14ac:dyDescent="0.25">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c r="AA821" s="4"/>
      <c r="AB821" s="4"/>
      <c r="AC821" s="4"/>
      <c r="AD821" s="4"/>
    </row>
    <row r="822" ht="13.5" customHeight="1" spans="1:30" x14ac:dyDescent="0.25">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c r="AA822" s="4"/>
      <c r="AB822" s="4"/>
      <c r="AC822" s="4"/>
      <c r="AD822" s="4"/>
    </row>
    <row r="823" ht="13.5" customHeight="1" spans="1:30" x14ac:dyDescent="0.25">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c r="AA823" s="4"/>
      <c r="AB823" s="4"/>
      <c r="AC823" s="4"/>
      <c r="AD823" s="4"/>
    </row>
    <row r="824" ht="13.5" customHeight="1" spans="1:30" x14ac:dyDescent="0.25">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c r="AA824" s="4"/>
      <c r="AB824" s="4"/>
      <c r="AC824" s="4"/>
      <c r="AD824" s="4"/>
    </row>
    <row r="825" ht="13.5" customHeight="1" spans="1:30" x14ac:dyDescent="0.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c r="AA825" s="4"/>
      <c r="AB825" s="4"/>
      <c r="AC825" s="4"/>
      <c r="AD825" s="4"/>
    </row>
    <row r="826" ht="13.5" customHeight="1" spans="1:30" x14ac:dyDescent="0.25">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c r="AA826" s="4"/>
      <c r="AB826" s="4"/>
      <c r="AC826" s="4"/>
      <c r="AD826" s="4"/>
    </row>
    <row r="827" ht="13.5" customHeight="1" spans="1:30" x14ac:dyDescent="0.25">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c r="AA827" s="4"/>
      <c r="AB827" s="4"/>
      <c r="AC827" s="4"/>
      <c r="AD827" s="4"/>
    </row>
    <row r="828" ht="13.5" customHeight="1" spans="1:30" x14ac:dyDescent="0.25">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c r="AA828" s="4"/>
      <c r="AB828" s="4"/>
      <c r="AC828" s="4"/>
      <c r="AD828" s="4"/>
    </row>
    <row r="829" ht="13.5" customHeight="1" spans="1:30" x14ac:dyDescent="0.25">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c r="AA829" s="4"/>
      <c r="AB829" s="4"/>
      <c r="AC829" s="4"/>
      <c r="AD829" s="4"/>
    </row>
    <row r="830" ht="13.5" customHeight="1" spans="1:30" x14ac:dyDescent="0.25">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c r="AA830" s="4"/>
      <c r="AB830" s="4"/>
      <c r="AC830" s="4"/>
      <c r="AD830" s="4"/>
    </row>
    <row r="831" ht="13.5" customHeight="1" spans="1:30" x14ac:dyDescent="0.25">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c r="AA831" s="4"/>
      <c r="AB831" s="4"/>
      <c r="AC831" s="4"/>
      <c r="AD831" s="4"/>
    </row>
    <row r="832" ht="13.5" customHeight="1" spans="1:30" x14ac:dyDescent="0.25">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c r="AA832" s="4"/>
      <c r="AB832" s="4"/>
      <c r="AC832" s="4"/>
      <c r="AD832" s="4"/>
    </row>
    <row r="833" ht="13.5" customHeight="1" spans="1:30" x14ac:dyDescent="0.25">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c r="AA833" s="4"/>
      <c r="AB833" s="4"/>
      <c r="AC833" s="4"/>
      <c r="AD833" s="4"/>
    </row>
    <row r="834" ht="13.5" customHeight="1" spans="1:30" x14ac:dyDescent="0.25">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c r="AA834" s="4"/>
      <c r="AB834" s="4"/>
      <c r="AC834" s="4"/>
      <c r="AD834" s="4"/>
    </row>
    <row r="835" ht="13.5" customHeight="1" spans="1:30" x14ac:dyDescent="0.2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c r="AA835" s="4"/>
      <c r="AB835" s="4"/>
      <c r="AC835" s="4"/>
      <c r="AD835" s="4"/>
    </row>
    <row r="836" ht="13.5" customHeight="1" spans="1:30" x14ac:dyDescent="0.25">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c r="AA836" s="4"/>
      <c r="AB836" s="4"/>
      <c r="AC836" s="4"/>
      <c r="AD836" s="4"/>
    </row>
    <row r="837" ht="13.5" customHeight="1" spans="1:30" x14ac:dyDescent="0.25">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c r="AA837" s="4"/>
      <c r="AB837" s="4"/>
      <c r="AC837" s="4"/>
      <c r="AD837" s="4"/>
    </row>
    <row r="838" ht="13.5" customHeight="1" spans="1:30" x14ac:dyDescent="0.25">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c r="AA838" s="4"/>
      <c r="AB838" s="4"/>
      <c r="AC838" s="4"/>
      <c r="AD838" s="4"/>
    </row>
    <row r="839" ht="13.5" customHeight="1" spans="1:30" x14ac:dyDescent="0.25">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c r="AA839" s="4"/>
      <c r="AB839" s="4"/>
      <c r="AC839" s="4"/>
      <c r="AD839" s="4"/>
    </row>
    <row r="840" ht="13.5" customHeight="1" spans="1:30" x14ac:dyDescent="0.25">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c r="AA840" s="4"/>
      <c r="AB840" s="4"/>
      <c r="AC840" s="4"/>
      <c r="AD840" s="4"/>
    </row>
    <row r="841" ht="13.5" customHeight="1" spans="1:30" x14ac:dyDescent="0.25">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c r="AA841" s="4"/>
      <c r="AB841" s="4"/>
      <c r="AC841" s="4"/>
      <c r="AD841" s="4"/>
    </row>
    <row r="842" ht="13.5" customHeight="1" spans="1:30" x14ac:dyDescent="0.25">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c r="AA842" s="4"/>
      <c r="AB842" s="4"/>
      <c r="AC842" s="4"/>
      <c r="AD842" s="4"/>
    </row>
    <row r="843" ht="13.5" customHeight="1" spans="1:30" x14ac:dyDescent="0.25">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c r="AA843" s="4"/>
      <c r="AB843" s="4"/>
      <c r="AC843" s="4"/>
      <c r="AD843" s="4"/>
    </row>
    <row r="844" ht="13.5" customHeight="1" spans="1:30" x14ac:dyDescent="0.25">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c r="AA844" s="4"/>
      <c r="AB844" s="4"/>
      <c r="AC844" s="4"/>
      <c r="AD844" s="4"/>
    </row>
    <row r="845" ht="13.5" customHeight="1" spans="1:30" x14ac:dyDescent="0.2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c r="AA845" s="4"/>
      <c r="AB845" s="4"/>
      <c r="AC845" s="4"/>
      <c r="AD845" s="4"/>
    </row>
    <row r="846" ht="13.5" customHeight="1" spans="1:30" x14ac:dyDescent="0.25">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c r="AA846" s="4"/>
      <c r="AB846" s="4"/>
      <c r="AC846" s="4"/>
      <c r="AD846" s="4"/>
    </row>
    <row r="847" ht="13.5" customHeight="1" spans="1:30" x14ac:dyDescent="0.25">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c r="AA847" s="4"/>
      <c r="AB847" s="4"/>
      <c r="AC847" s="4"/>
      <c r="AD847" s="4"/>
    </row>
    <row r="848" ht="13.5" customHeight="1" spans="1:30" x14ac:dyDescent="0.25">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c r="AA848" s="4"/>
      <c r="AB848" s="4"/>
      <c r="AC848" s="4"/>
      <c r="AD848" s="4"/>
    </row>
    <row r="849" ht="13.5" customHeight="1" spans="1:30" x14ac:dyDescent="0.25">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c r="AA849" s="4"/>
      <c r="AB849" s="4"/>
      <c r="AC849" s="4"/>
      <c r="AD849" s="4"/>
    </row>
    <row r="850" ht="13.5" customHeight="1" spans="1:30" x14ac:dyDescent="0.25">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c r="AA850" s="4"/>
      <c r="AB850" s="4"/>
      <c r="AC850" s="4"/>
      <c r="AD850" s="4"/>
    </row>
    <row r="851" ht="13.5" customHeight="1" spans="1:30" x14ac:dyDescent="0.25">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c r="AA851" s="4"/>
      <c r="AB851" s="4"/>
      <c r="AC851" s="4"/>
      <c r="AD851" s="4"/>
    </row>
    <row r="852" ht="13.5" customHeight="1" spans="1:30" x14ac:dyDescent="0.25">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c r="AA852" s="4"/>
      <c r="AB852" s="4"/>
      <c r="AC852" s="4"/>
      <c r="AD852" s="4"/>
    </row>
    <row r="853" ht="13.5" customHeight="1" spans="1:30" x14ac:dyDescent="0.25">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c r="AA853" s="4"/>
      <c r="AB853" s="4"/>
      <c r="AC853" s="4"/>
      <c r="AD853" s="4"/>
    </row>
    <row r="854" ht="13.5" customHeight="1" spans="1:30" x14ac:dyDescent="0.25">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c r="AA854" s="4"/>
      <c r="AB854" s="4"/>
      <c r="AC854" s="4"/>
      <c r="AD854" s="4"/>
    </row>
    <row r="855" ht="13.5" customHeight="1" spans="1:30" x14ac:dyDescent="0.2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c r="AA855" s="4"/>
      <c r="AB855" s="4"/>
      <c r="AC855" s="4"/>
      <c r="AD855" s="4"/>
    </row>
    <row r="856" ht="13.5" customHeight="1" spans="1:30" x14ac:dyDescent="0.25">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c r="AA856" s="4"/>
      <c r="AB856" s="4"/>
      <c r="AC856" s="4"/>
      <c r="AD856" s="4"/>
    </row>
    <row r="857" ht="13.5" customHeight="1" spans="1:30" x14ac:dyDescent="0.25">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c r="AA857" s="4"/>
      <c r="AB857" s="4"/>
      <c r="AC857" s="4"/>
      <c r="AD857" s="4"/>
    </row>
    <row r="858" ht="13.5" customHeight="1" spans="1:30" x14ac:dyDescent="0.25">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c r="AA858" s="4"/>
      <c r="AB858" s="4"/>
      <c r="AC858" s="4"/>
      <c r="AD858" s="4"/>
    </row>
    <row r="859" ht="13.5" customHeight="1" spans="1:30" x14ac:dyDescent="0.25">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c r="AA859" s="4"/>
      <c r="AB859" s="4"/>
      <c r="AC859" s="4"/>
      <c r="AD859" s="4"/>
    </row>
    <row r="860" ht="13.5" customHeight="1" spans="1:30" x14ac:dyDescent="0.25">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c r="AA860" s="4"/>
      <c r="AB860" s="4"/>
      <c r="AC860" s="4"/>
      <c r="AD860" s="4"/>
    </row>
    <row r="861" ht="13.5" customHeight="1" spans="1:30" x14ac:dyDescent="0.25">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c r="AA861" s="4"/>
      <c r="AB861" s="4"/>
      <c r="AC861" s="4"/>
      <c r="AD861" s="4"/>
    </row>
    <row r="862" ht="13.5" customHeight="1" spans="1:30" x14ac:dyDescent="0.25">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c r="AA862" s="4"/>
      <c r="AB862" s="4"/>
      <c r="AC862" s="4"/>
      <c r="AD862" s="4"/>
    </row>
    <row r="863" ht="13.5" customHeight="1" spans="1:30" x14ac:dyDescent="0.25">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c r="AA863" s="4"/>
      <c r="AB863" s="4"/>
      <c r="AC863" s="4"/>
      <c r="AD863" s="4"/>
    </row>
    <row r="864" ht="13.5" customHeight="1" spans="1:30" x14ac:dyDescent="0.25">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c r="AA864" s="4"/>
      <c r="AB864" s="4"/>
      <c r="AC864" s="4"/>
      <c r="AD864" s="4"/>
    </row>
    <row r="865" ht="13.5" customHeight="1" spans="1:30" x14ac:dyDescent="0.2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c r="AA865" s="4"/>
      <c r="AB865" s="4"/>
      <c r="AC865" s="4"/>
      <c r="AD865" s="4"/>
    </row>
    <row r="866" ht="13.5" customHeight="1" spans="1:30" x14ac:dyDescent="0.25">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c r="AA866" s="4"/>
      <c r="AB866" s="4"/>
      <c r="AC866" s="4"/>
      <c r="AD866" s="4"/>
    </row>
    <row r="867" ht="13.5" customHeight="1" spans="1:30" x14ac:dyDescent="0.25">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c r="AA867" s="4"/>
      <c r="AB867" s="4"/>
      <c r="AC867" s="4"/>
      <c r="AD867" s="4"/>
    </row>
    <row r="868" ht="13.5" customHeight="1" spans="1:30" x14ac:dyDescent="0.25">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c r="AA868" s="4"/>
      <c r="AB868" s="4"/>
      <c r="AC868" s="4"/>
      <c r="AD868" s="4"/>
    </row>
    <row r="869" ht="13.5" customHeight="1" spans="1:30" x14ac:dyDescent="0.25">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c r="AA869" s="4"/>
      <c r="AB869" s="4"/>
      <c r="AC869" s="4"/>
      <c r="AD869" s="4"/>
    </row>
    <row r="870" ht="13.5" customHeight="1" spans="1:30" x14ac:dyDescent="0.25">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c r="AA870" s="4"/>
      <c r="AB870" s="4"/>
      <c r="AC870" s="4"/>
      <c r="AD870" s="4"/>
    </row>
    <row r="871" ht="13.5" customHeight="1" spans="1:30" x14ac:dyDescent="0.25">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c r="AA871" s="4"/>
      <c r="AB871" s="4"/>
      <c r="AC871" s="4"/>
      <c r="AD871" s="4"/>
    </row>
    <row r="872" ht="13.5" customHeight="1" spans="1:30" x14ac:dyDescent="0.25">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c r="AA872" s="4"/>
      <c r="AB872" s="4"/>
      <c r="AC872" s="4"/>
      <c r="AD872" s="4"/>
    </row>
    <row r="873" ht="13.5" customHeight="1" spans="1:30" x14ac:dyDescent="0.25">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c r="AA873" s="4"/>
      <c r="AB873" s="4"/>
      <c r="AC873" s="4"/>
      <c r="AD873" s="4"/>
    </row>
    <row r="874" ht="13.5" customHeight="1" spans="1:30" x14ac:dyDescent="0.25">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c r="AA874" s="4"/>
      <c r="AB874" s="4"/>
      <c r="AC874" s="4"/>
      <c r="AD874" s="4"/>
    </row>
    <row r="875" ht="13.5" customHeight="1" spans="1:30" x14ac:dyDescent="0.2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c r="AA875" s="4"/>
      <c r="AB875" s="4"/>
      <c r="AC875" s="4"/>
      <c r="AD875" s="4"/>
    </row>
    <row r="876" ht="13.5" customHeight="1" spans="1:30" x14ac:dyDescent="0.25">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c r="AA876" s="4"/>
      <c r="AB876" s="4"/>
      <c r="AC876" s="4"/>
      <c r="AD876" s="4"/>
    </row>
    <row r="877" ht="13.5" customHeight="1" spans="1:30" x14ac:dyDescent="0.25">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c r="AA877" s="4"/>
      <c r="AB877" s="4"/>
      <c r="AC877" s="4"/>
      <c r="AD877" s="4"/>
    </row>
    <row r="878" ht="13.5" customHeight="1" spans="1:30" x14ac:dyDescent="0.25">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c r="AA878" s="4"/>
      <c r="AB878" s="4"/>
      <c r="AC878" s="4"/>
      <c r="AD878" s="4"/>
    </row>
    <row r="879" ht="13.5" customHeight="1" spans="1:30" x14ac:dyDescent="0.25">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c r="AA879" s="4"/>
      <c r="AB879" s="4"/>
      <c r="AC879" s="4"/>
      <c r="AD879" s="4"/>
    </row>
    <row r="880" ht="13.5" customHeight="1" spans="1:30" x14ac:dyDescent="0.25">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c r="AA880" s="4"/>
      <c r="AB880" s="4"/>
      <c r="AC880" s="4"/>
      <c r="AD880" s="4"/>
    </row>
    <row r="881" ht="13.5" customHeight="1" spans="1:30" x14ac:dyDescent="0.25">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c r="AA881" s="4"/>
      <c r="AB881" s="4"/>
      <c r="AC881" s="4"/>
      <c r="AD881" s="4"/>
    </row>
    <row r="882" ht="13.5" customHeight="1" spans="1:30" x14ac:dyDescent="0.25">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c r="AA882" s="4"/>
      <c r="AB882" s="4"/>
      <c r="AC882" s="4"/>
      <c r="AD882" s="4"/>
    </row>
    <row r="883" ht="13.5" customHeight="1" spans="1:30" x14ac:dyDescent="0.25">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c r="AA883" s="4"/>
      <c r="AB883" s="4"/>
      <c r="AC883" s="4"/>
      <c r="AD883" s="4"/>
    </row>
    <row r="884" ht="13.5" customHeight="1" spans="1:30" x14ac:dyDescent="0.25">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c r="AA884" s="4"/>
      <c r="AB884" s="4"/>
      <c r="AC884" s="4"/>
      <c r="AD884" s="4"/>
    </row>
    <row r="885" ht="13.5" customHeight="1" spans="1:30" x14ac:dyDescent="0.2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c r="AA885" s="4"/>
      <c r="AB885" s="4"/>
      <c r="AC885" s="4"/>
      <c r="AD885" s="4"/>
    </row>
    <row r="886" ht="13.5" customHeight="1" spans="1:30" x14ac:dyDescent="0.25">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c r="AA886" s="4"/>
      <c r="AB886" s="4"/>
      <c r="AC886" s="4"/>
      <c r="AD886" s="4"/>
    </row>
    <row r="887" ht="13.5" customHeight="1" spans="1:30" x14ac:dyDescent="0.25">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c r="AA887" s="4"/>
      <c r="AB887" s="4"/>
      <c r="AC887" s="4"/>
      <c r="AD887" s="4"/>
    </row>
    <row r="888" ht="13.5" customHeight="1" spans="1:30" x14ac:dyDescent="0.25">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c r="AA888" s="4"/>
      <c r="AB888" s="4"/>
      <c r="AC888" s="4"/>
      <c r="AD888" s="4"/>
    </row>
    <row r="889" ht="13.5" customHeight="1" spans="1:30" x14ac:dyDescent="0.25">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c r="AA889" s="4"/>
      <c r="AB889" s="4"/>
      <c r="AC889" s="4"/>
      <c r="AD889" s="4"/>
    </row>
    <row r="890" ht="13.5" customHeight="1" spans="1:30" x14ac:dyDescent="0.25">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c r="AA890" s="4"/>
      <c r="AB890" s="4"/>
      <c r="AC890" s="4"/>
      <c r="AD890" s="4"/>
    </row>
    <row r="891" ht="13.5" customHeight="1" spans="1:30" x14ac:dyDescent="0.25">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c r="AA891" s="4"/>
      <c r="AB891" s="4"/>
      <c r="AC891" s="4"/>
      <c r="AD891" s="4"/>
    </row>
    <row r="892" ht="13.5" customHeight="1" spans="1:30" x14ac:dyDescent="0.25">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c r="AA892" s="4"/>
      <c r="AB892" s="4"/>
      <c r="AC892" s="4"/>
      <c r="AD892" s="4"/>
    </row>
    <row r="893" ht="13.5" customHeight="1" spans="1:30" x14ac:dyDescent="0.25">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c r="AA893" s="4"/>
      <c r="AB893" s="4"/>
      <c r="AC893" s="4"/>
      <c r="AD893" s="4"/>
    </row>
    <row r="894" ht="13.5" customHeight="1" spans="1:30" x14ac:dyDescent="0.25">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c r="AA894" s="4"/>
      <c r="AB894" s="4"/>
      <c r="AC894" s="4"/>
      <c r="AD894" s="4"/>
    </row>
    <row r="895" ht="13.5" customHeight="1" spans="1:30" x14ac:dyDescent="0.2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c r="AA895" s="4"/>
      <c r="AB895" s="4"/>
      <c r="AC895" s="4"/>
      <c r="AD895" s="4"/>
    </row>
    <row r="896" ht="13.5" customHeight="1" spans="1:30" x14ac:dyDescent="0.25">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c r="AA896" s="4"/>
      <c r="AB896" s="4"/>
      <c r="AC896" s="4"/>
      <c r="AD896" s="4"/>
    </row>
    <row r="897" ht="13.5" customHeight="1" spans="1:30" x14ac:dyDescent="0.25">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c r="AA897" s="4"/>
      <c r="AB897" s="4"/>
      <c r="AC897" s="4"/>
      <c r="AD897" s="4"/>
    </row>
    <row r="898" ht="13.5" customHeight="1" spans="1:30" x14ac:dyDescent="0.25">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c r="AA898" s="4"/>
      <c r="AB898" s="4"/>
      <c r="AC898" s="4"/>
      <c r="AD898" s="4"/>
    </row>
    <row r="899" ht="13.5" customHeight="1" spans="1:30" x14ac:dyDescent="0.25">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c r="AA899" s="4"/>
      <c r="AB899" s="4"/>
      <c r="AC899" s="4"/>
      <c r="AD899" s="4"/>
    </row>
    <row r="900" ht="13.5" customHeight="1" spans="1:30" x14ac:dyDescent="0.25">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c r="AA900" s="4"/>
      <c r="AB900" s="4"/>
      <c r="AC900" s="4"/>
      <c r="AD900" s="4"/>
    </row>
    <row r="901" ht="13.5" customHeight="1" spans="1:30" x14ac:dyDescent="0.25">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c r="AA901" s="4"/>
      <c r="AB901" s="4"/>
      <c r="AC901" s="4"/>
      <c r="AD901" s="4"/>
    </row>
    <row r="902" ht="13.5" customHeight="1" spans="1:30" x14ac:dyDescent="0.25">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c r="AA902" s="4"/>
      <c r="AB902" s="4"/>
      <c r="AC902" s="4"/>
      <c r="AD902" s="4"/>
    </row>
    <row r="903" ht="13.5" customHeight="1" spans="1:30" x14ac:dyDescent="0.25">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c r="AA903" s="4"/>
      <c r="AB903" s="4"/>
      <c r="AC903" s="4"/>
      <c r="AD903" s="4"/>
    </row>
    <row r="904" ht="13.5" customHeight="1" spans="1:30" x14ac:dyDescent="0.25">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c r="AA904" s="4"/>
      <c r="AB904" s="4"/>
      <c r="AC904" s="4"/>
      <c r="AD904" s="4"/>
    </row>
    <row r="905" ht="13.5" customHeight="1" spans="1:30" x14ac:dyDescent="0.2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c r="AA905" s="4"/>
      <c r="AB905" s="4"/>
      <c r="AC905" s="4"/>
      <c r="AD905" s="4"/>
    </row>
    <row r="906" ht="13.5" customHeight="1" spans="1:30" x14ac:dyDescent="0.25">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c r="AA906" s="4"/>
      <c r="AB906" s="4"/>
      <c r="AC906" s="4"/>
      <c r="AD906" s="4"/>
    </row>
    <row r="907" ht="13.5" customHeight="1" spans="1:30" x14ac:dyDescent="0.25">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c r="AA907" s="4"/>
      <c r="AB907" s="4"/>
      <c r="AC907" s="4"/>
      <c r="AD907" s="4"/>
    </row>
    <row r="908" ht="13.5" customHeight="1" spans="1:30" x14ac:dyDescent="0.25">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c r="AA908" s="4"/>
      <c r="AB908" s="4"/>
      <c r="AC908" s="4"/>
      <c r="AD908" s="4"/>
    </row>
    <row r="909" ht="13.5" customHeight="1" spans="1:30" x14ac:dyDescent="0.25">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c r="AA909" s="4"/>
      <c r="AB909" s="4"/>
      <c r="AC909" s="4"/>
      <c r="AD909" s="4"/>
    </row>
    <row r="910" ht="13.5" customHeight="1" spans="1:30" x14ac:dyDescent="0.25">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c r="AA910" s="4"/>
      <c r="AB910" s="4"/>
      <c r="AC910" s="4"/>
      <c r="AD910" s="4"/>
    </row>
    <row r="911" ht="13.5" customHeight="1" spans="1:30" x14ac:dyDescent="0.25">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c r="AA911" s="4"/>
      <c r="AB911" s="4"/>
      <c r="AC911" s="4"/>
      <c r="AD911" s="4"/>
    </row>
    <row r="912" ht="13.5" customHeight="1" spans="1:30" x14ac:dyDescent="0.25">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c r="AA912" s="4"/>
      <c r="AB912" s="4"/>
      <c r="AC912" s="4"/>
      <c r="AD912" s="4"/>
    </row>
    <row r="913" ht="13.5" customHeight="1" spans="1:30" x14ac:dyDescent="0.25">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c r="AA913" s="4"/>
      <c r="AB913" s="4"/>
      <c r="AC913" s="4"/>
      <c r="AD913" s="4"/>
    </row>
    <row r="914" ht="13.5" customHeight="1" spans="1:30" x14ac:dyDescent="0.25">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c r="AA914" s="4"/>
      <c r="AB914" s="4"/>
      <c r="AC914" s="4"/>
      <c r="AD914" s="4"/>
    </row>
    <row r="915" ht="13.5" customHeight="1" spans="1:30" x14ac:dyDescent="0.2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c r="AA915" s="4"/>
      <c r="AB915" s="4"/>
      <c r="AC915" s="4"/>
      <c r="AD915" s="4"/>
    </row>
    <row r="916" ht="13.5" customHeight="1" spans="1:30" x14ac:dyDescent="0.25">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c r="AA916" s="4"/>
      <c r="AB916" s="4"/>
      <c r="AC916" s="4"/>
      <c r="AD916" s="4"/>
    </row>
    <row r="917" ht="13.5" customHeight="1" spans="1:30" x14ac:dyDescent="0.25">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c r="AA917" s="4"/>
      <c r="AB917" s="4"/>
      <c r="AC917" s="4"/>
      <c r="AD917" s="4"/>
    </row>
    <row r="918" ht="13.5" customHeight="1" spans="1:30" x14ac:dyDescent="0.25">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c r="AA918" s="4"/>
      <c r="AB918" s="4"/>
      <c r="AC918" s="4"/>
      <c r="AD918" s="4"/>
    </row>
    <row r="919" ht="13.5" customHeight="1" spans="1:30" x14ac:dyDescent="0.25">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c r="AA919" s="4"/>
      <c r="AB919" s="4"/>
      <c r="AC919" s="4"/>
      <c r="AD919" s="4"/>
    </row>
    <row r="920" ht="13.5" customHeight="1" spans="1:30" x14ac:dyDescent="0.25">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c r="AA920" s="4"/>
      <c r="AB920" s="4"/>
      <c r="AC920" s="4"/>
      <c r="AD920" s="4"/>
    </row>
    <row r="921" ht="13.5" customHeight="1" spans="1:30" x14ac:dyDescent="0.25">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c r="AA921" s="4"/>
      <c r="AB921" s="4"/>
      <c r="AC921" s="4"/>
      <c r="AD921" s="4"/>
    </row>
    <row r="922" ht="13.5" customHeight="1" spans="1:30" x14ac:dyDescent="0.25">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c r="AA922" s="4"/>
      <c r="AB922" s="4"/>
      <c r="AC922" s="4"/>
      <c r="AD922" s="4"/>
    </row>
    <row r="923" ht="13.5" customHeight="1" spans="1:30" x14ac:dyDescent="0.25">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c r="AA923" s="4"/>
      <c r="AB923" s="4"/>
      <c r="AC923" s="4"/>
      <c r="AD923" s="4"/>
    </row>
    <row r="924" ht="13.5" customHeight="1" spans="1:30" x14ac:dyDescent="0.25">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c r="AA924" s="4"/>
      <c r="AB924" s="4"/>
      <c r="AC924" s="4"/>
      <c r="AD924" s="4"/>
    </row>
    <row r="925" ht="13.5" customHeight="1" spans="1:30" x14ac:dyDescent="0.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c r="AA925" s="4"/>
      <c r="AB925" s="4"/>
      <c r="AC925" s="4"/>
      <c r="AD925" s="4"/>
    </row>
    <row r="926" ht="13.5" customHeight="1" spans="1:30" x14ac:dyDescent="0.25">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c r="AA926" s="4"/>
      <c r="AB926" s="4"/>
      <c r="AC926" s="4"/>
      <c r="AD926" s="4"/>
    </row>
    <row r="927" ht="13.5" customHeight="1" spans="1:30" x14ac:dyDescent="0.25">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c r="AA927" s="4"/>
      <c r="AB927" s="4"/>
      <c r="AC927" s="4"/>
      <c r="AD927" s="4"/>
    </row>
    <row r="928" ht="13.5" customHeight="1" spans="1:30" x14ac:dyDescent="0.25">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c r="AA928" s="4"/>
      <c r="AB928" s="4"/>
      <c r="AC928" s="4"/>
      <c r="AD928" s="4"/>
    </row>
    <row r="929" ht="13.5" customHeight="1" spans="1:30" x14ac:dyDescent="0.25">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c r="AA929" s="4"/>
      <c r="AB929" s="4"/>
      <c r="AC929" s="4"/>
      <c r="AD929" s="4"/>
    </row>
    <row r="930" ht="13.5" customHeight="1" spans="1:30" x14ac:dyDescent="0.25">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c r="AA930" s="4"/>
      <c r="AB930" s="4"/>
      <c r="AC930" s="4"/>
      <c r="AD930" s="4"/>
    </row>
    <row r="931" ht="13.5" customHeight="1" spans="1:30" x14ac:dyDescent="0.25">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c r="AA931" s="4"/>
      <c r="AB931" s="4"/>
      <c r="AC931" s="4"/>
      <c r="AD931" s="4"/>
    </row>
    <row r="932" ht="13.5" customHeight="1" spans="1:30" x14ac:dyDescent="0.25">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c r="AA932" s="4"/>
      <c r="AB932" s="4"/>
      <c r="AC932" s="4"/>
      <c r="AD932" s="4"/>
    </row>
    <row r="933" ht="13.5" customHeight="1" spans="1:30" x14ac:dyDescent="0.25">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c r="AA933" s="4"/>
      <c r="AB933" s="4"/>
      <c r="AC933" s="4"/>
      <c r="AD933" s="4"/>
    </row>
    <row r="934" ht="13.5" customHeight="1" spans="1:30" x14ac:dyDescent="0.25">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c r="AA934" s="4"/>
      <c r="AB934" s="4"/>
      <c r="AC934" s="4"/>
      <c r="AD934" s="4"/>
    </row>
    <row r="935" ht="13.5" customHeight="1" spans="1:30" x14ac:dyDescent="0.2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c r="AA935" s="4"/>
      <c r="AB935" s="4"/>
      <c r="AC935" s="4"/>
      <c r="AD935" s="4"/>
    </row>
    <row r="936" ht="13.5" customHeight="1" spans="1:30" x14ac:dyDescent="0.25">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c r="AA936" s="4"/>
      <c r="AB936" s="4"/>
      <c r="AC936" s="4"/>
      <c r="AD936" s="4"/>
    </row>
    <row r="937" ht="13.5" customHeight="1" spans="1:30" x14ac:dyDescent="0.25">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c r="AA937" s="4"/>
      <c r="AB937" s="4"/>
      <c r="AC937" s="4"/>
      <c r="AD937" s="4"/>
    </row>
    <row r="938" ht="13.5" customHeight="1" spans="1:30" x14ac:dyDescent="0.25">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c r="AA938" s="4"/>
      <c r="AB938" s="4"/>
      <c r="AC938" s="4"/>
      <c r="AD938" s="4"/>
    </row>
    <row r="939" ht="13.5" customHeight="1" spans="1:30" x14ac:dyDescent="0.25">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c r="AA939" s="4"/>
      <c r="AB939" s="4"/>
      <c r="AC939" s="4"/>
      <c r="AD939" s="4"/>
    </row>
    <row r="940" ht="13.5" customHeight="1" spans="1:30" x14ac:dyDescent="0.25">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c r="AA940" s="4"/>
      <c r="AB940" s="4"/>
      <c r="AC940" s="4"/>
      <c r="AD940" s="4"/>
    </row>
    <row r="941" ht="13.5" customHeight="1" spans="1:30" x14ac:dyDescent="0.25">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c r="AA941" s="4"/>
      <c r="AB941" s="4"/>
      <c r="AC941" s="4"/>
      <c r="AD941" s="4"/>
    </row>
    <row r="942" ht="13.5" customHeight="1" spans="1:30" x14ac:dyDescent="0.25">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c r="AA942" s="4"/>
      <c r="AB942" s="4"/>
      <c r="AC942" s="4"/>
      <c r="AD942" s="4"/>
    </row>
    <row r="943" ht="13.5" customHeight="1" spans="1:30" x14ac:dyDescent="0.25">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c r="AA943" s="4"/>
      <c r="AB943" s="4"/>
      <c r="AC943" s="4"/>
      <c r="AD943" s="4"/>
    </row>
    <row r="944" ht="13.5" customHeight="1" spans="1:30" x14ac:dyDescent="0.25">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c r="AA944" s="4"/>
      <c r="AB944" s="4"/>
      <c r="AC944" s="4"/>
      <c r="AD944" s="4"/>
    </row>
    <row r="945" ht="13.5" customHeight="1" spans="1:30" x14ac:dyDescent="0.2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c r="AA945" s="4"/>
      <c r="AB945" s="4"/>
      <c r="AC945" s="4"/>
      <c r="AD945" s="4"/>
    </row>
    <row r="946" ht="13.5" customHeight="1" spans="1:30" x14ac:dyDescent="0.25">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c r="AA946" s="4"/>
      <c r="AB946" s="4"/>
      <c r="AC946" s="4"/>
      <c r="AD946" s="4"/>
    </row>
    <row r="947" ht="13.5" customHeight="1" spans="1:30" x14ac:dyDescent="0.25">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c r="AA947" s="4"/>
      <c r="AB947" s="4"/>
      <c r="AC947" s="4"/>
      <c r="AD947" s="4"/>
    </row>
    <row r="948" ht="13.5" customHeight="1" spans="1:30" x14ac:dyDescent="0.25">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c r="AA948" s="4"/>
      <c r="AB948" s="4"/>
      <c r="AC948" s="4"/>
      <c r="AD948" s="4"/>
    </row>
    <row r="949" ht="13.5" customHeight="1" spans="1:30" x14ac:dyDescent="0.25">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c r="AA949" s="4"/>
      <c r="AB949" s="4"/>
      <c r="AC949" s="4"/>
      <c r="AD949" s="4"/>
    </row>
    <row r="950" ht="13.5" customHeight="1" spans="1:30" x14ac:dyDescent="0.25">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c r="AA950" s="4"/>
      <c r="AB950" s="4"/>
      <c r="AC950" s="4"/>
      <c r="AD950" s="4"/>
    </row>
    <row r="951" ht="13.5" customHeight="1" spans="1:30" x14ac:dyDescent="0.25">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c r="AA951" s="4"/>
      <c r="AB951" s="4"/>
      <c r="AC951" s="4"/>
      <c r="AD951" s="4"/>
    </row>
    <row r="952" ht="13.5" customHeight="1" spans="1:30" x14ac:dyDescent="0.25">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c r="AA952" s="4"/>
      <c r="AB952" s="4"/>
      <c r="AC952" s="4"/>
      <c r="AD952" s="4"/>
    </row>
    <row r="953" ht="13.5" customHeight="1" spans="1:30" x14ac:dyDescent="0.25">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c r="AA953" s="4"/>
      <c r="AB953" s="4"/>
      <c r="AC953" s="4"/>
      <c r="AD953" s="4"/>
    </row>
    <row r="954" ht="13.5" customHeight="1" spans="1:30" x14ac:dyDescent="0.25">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c r="AA954" s="4"/>
      <c r="AB954" s="4"/>
      <c r="AC954" s="4"/>
      <c r="AD954" s="4"/>
    </row>
    <row r="955" ht="13.5" customHeight="1" spans="1:30" x14ac:dyDescent="0.2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c r="AA955" s="4"/>
      <c r="AB955" s="4"/>
      <c r="AC955" s="4"/>
      <c r="AD955" s="4"/>
    </row>
    <row r="956" ht="13.5" customHeight="1" spans="1:30" x14ac:dyDescent="0.25">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c r="AA956" s="4"/>
      <c r="AB956" s="4"/>
      <c r="AC956" s="4"/>
      <c r="AD956" s="4"/>
    </row>
    <row r="957" ht="13.5" customHeight="1" spans="1:30" x14ac:dyDescent="0.25">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c r="AA957" s="4"/>
      <c r="AB957" s="4"/>
      <c r="AC957" s="4"/>
      <c r="AD957" s="4"/>
    </row>
    <row r="958" ht="13.5" customHeight="1" spans="1:30" x14ac:dyDescent="0.25">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c r="AA958" s="4"/>
      <c r="AB958" s="4"/>
      <c r="AC958" s="4"/>
      <c r="AD958" s="4"/>
    </row>
    <row r="959" ht="13.5" customHeight="1" spans="1:30" x14ac:dyDescent="0.25">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c r="AA959" s="4"/>
      <c r="AB959" s="4"/>
      <c r="AC959" s="4"/>
      <c r="AD959" s="4"/>
    </row>
    <row r="960" ht="13.5" customHeight="1" spans="1:30" x14ac:dyDescent="0.25">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c r="AA960" s="4"/>
      <c r="AB960" s="4"/>
      <c r="AC960" s="4"/>
      <c r="AD960" s="4"/>
    </row>
    <row r="961" ht="13.5" customHeight="1" spans="1:30" x14ac:dyDescent="0.25">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c r="AA961" s="4"/>
      <c r="AB961" s="4"/>
      <c r="AC961" s="4"/>
      <c r="AD961" s="4"/>
    </row>
    <row r="962" ht="13.5" customHeight="1" spans="1:30" x14ac:dyDescent="0.25">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c r="AA962" s="4"/>
      <c r="AB962" s="4"/>
      <c r="AC962" s="4"/>
      <c r="AD962" s="4"/>
    </row>
    <row r="963" ht="13.5" customHeight="1" spans="1:30" x14ac:dyDescent="0.25">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c r="AA963" s="4"/>
      <c r="AB963" s="4"/>
      <c r="AC963" s="4"/>
      <c r="AD963" s="4"/>
    </row>
    <row r="964" ht="13.5" customHeight="1" spans="1:30" x14ac:dyDescent="0.25">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c r="AA964" s="4"/>
      <c r="AB964" s="4"/>
      <c r="AC964" s="4"/>
      <c r="AD964" s="4"/>
    </row>
    <row r="965" ht="13.5" customHeight="1" spans="1:30" x14ac:dyDescent="0.2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c r="AA965" s="4"/>
      <c r="AB965" s="4"/>
      <c r="AC965" s="4"/>
      <c r="AD965" s="4"/>
    </row>
    <row r="966" ht="13.5" customHeight="1" spans="1:30" x14ac:dyDescent="0.25">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c r="AA966" s="4"/>
      <c r="AB966" s="4"/>
      <c r="AC966" s="4"/>
      <c r="AD966" s="4"/>
    </row>
    <row r="967" ht="13.5" customHeight="1" spans="1:30" x14ac:dyDescent="0.25">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c r="AA967" s="4"/>
      <c r="AB967" s="4"/>
      <c r="AC967" s="4"/>
      <c r="AD967" s="4"/>
    </row>
    <row r="968" ht="13.5" customHeight="1" spans="1:30" x14ac:dyDescent="0.25">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c r="AA968" s="4"/>
      <c r="AB968" s="4"/>
      <c r="AC968" s="4"/>
      <c r="AD968" s="4"/>
    </row>
    <row r="969" ht="13.5" customHeight="1" spans="1:30" x14ac:dyDescent="0.25">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c r="AA969" s="4"/>
      <c r="AB969" s="4"/>
      <c r="AC969" s="4"/>
      <c r="AD969" s="4"/>
    </row>
    <row r="970" ht="13.5" customHeight="1" spans="1:30" x14ac:dyDescent="0.25">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c r="AA970" s="4"/>
      <c r="AB970" s="4"/>
      <c r="AC970" s="4"/>
      <c r="AD970" s="4"/>
    </row>
    <row r="971" ht="13.5" customHeight="1" spans="1:30" x14ac:dyDescent="0.25">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c r="AA971" s="4"/>
      <c r="AB971" s="4"/>
      <c r="AC971" s="4"/>
      <c r="AD971" s="4"/>
    </row>
    <row r="972" ht="13.5" customHeight="1" spans="1:30" x14ac:dyDescent="0.25">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c r="AA972" s="4"/>
      <c r="AB972" s="4"/>
      <c r="AC972" s="4"/>
      <c r="AD972" s="4"/>
    </row>
    <row r="973" ht="13.5" customHeight="1" spans="1:30" x14ac:dyDescent="0.25">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c r="AA973" s="4"/>
      <c r="AB973" s="4"/>
      <c r="AC973" s="4"/>
      <c r="AD973" s="4"/>
    </row>
    <row r="974" ht="13.5" customHeight="1" spans="1:30" x14ac:dyDescent="0.25">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c r="AA974" s="4"/>
      <c r="AB974" s="4"/>
      <c r="AC974" s="4"/>
      <c r="AD974" s="4"/>
    </row>
    <row r="975" ht="13.5" customHeight="1" spans="1:30" x14ac:dyDescent="0.2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c r="AA975" s="4"/>
      <c r="AB975" s="4"/>
      <c r="AC975" s="4"/>
      <c r="AD975" s="4"/>
    </row>
    <row r="976" ht="13.5" customHeight="1" spans="1:30" x14ac:dyDescent="0.25">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c r="AA976" s="4"/>
      <c r="AB976" s="4"/>
      <c r="AC976" s="4"/>
      <c r="AD976" s="4"/>
    </row>
    <row r="977" ht="13.5" customHeight="1" spans="1:30" x14ac:dyDescent="0.25">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c r="AA977" s="4"/>
      <c r="AB977" s="4"/>
      <c r="AC977" s="4"/>
      <c r="AD977" s="4"/>
    </row>
    <row r="978" ht="13.5" customHeight="1" spans="1:30" x14ac:dyDescent="0.25">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c r="AA978" s="4"/>
      <c r="AB978" s="4"/>
      <c r="AC978" s="4"/>
      <c r="AD978" s="4"/>
    </row>
    <row r="979" ht="13.5" customHeight="1" spans="1:30" x14ac:dyDescent="0.25">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c r="AA979" s="4"/>
      <c r="AB979" s="4"/>
      <c r="AC979" s="4"/>
      <c r="AD979" s="4"/>
    </row>
    <row r="980" ht="13.5" customHeight="1" spans="1:30" x14ac:dyDescent="0.25">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c r="AA980" s="4"/>
      <c r="AB980" s="4"/>
      <c r="AC980" s="4"/>
      <c r="AD980" s="4"/>
    </row>
    <row r="981" ht="13.5" customHeight="1" spans="1:30" x14ac:dyDescent="0.25">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c r="AA981" s="4"/>
      <c r="AB981" s="4"/>
      <c r="AC981" s="4"/>
      <c r="AD981" s="4"/>
    </row>
    <row r="982" ht="13.5" customHeight="1" spans="1:30" x14ac:dyDescent="0.25">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c r="AA982" s="4"/>
      <c r="AB982" s="4"/>
      <c r="AC982" s="4"/>
      <c r="AD982" s="4"/>
    </row>
    <row r="983" ht="13.5" customHeight="1" spans="1:30" x14ac:dyDescent="0.25">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c r="AA983" s="4"/>
      <c r="AB983" s="4"/>
      <c r="AC983" s="4"/>
      <c r="AD983" s="4"/>
    </row>
    <row r="984" ht="13.5" customHeight="1" spans="1:30" x14ac:dyDescent="0.25">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c r="AA984" s="4"/>
      <c r="AB984" s="4"/>
      <c r="AC984" s="4"/>
      <c r="AD984" s="4"/>
    </row>
    <row r="985" ht="13.5" customHeight="1" spans="1:30" x14ac:dyDescent="0.2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c r="AA985" s="4"/>
      <c r="AB985" s="4"/>
      <c r="AC985" s="4"/>
      <c r="AD985" s="4"/>
    </row>
    <row r="986" ht="13.5" customHeight="1" spans="1:30" x14ac:dyDescent="0.25">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c r="AA986" s="4"/>
      <c r="AB986" s="4"/>
      <c r="AC986" s="4"/>
      <c r="AD986" s="4"/>
    </row>
    <row r="987" ht="13.5" customHeight="1" spans="1:30" x14ac:dyDescent="0.25">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c r="AA987" s="4"/>
      <c r="AB987" s="4"/>
      <c r="AC987" s="4"/>
      <c r="AD987" s="4"/>
    </row>
    <row r="988" ht="13.5" customHeight="1" spans="1:30" x14ac:dyDescent="0.25">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c r="AA988" s="4"/>
      <c r="AB988" s="4"/>
      <c r="AC988" s="4"/>
      <c r="AD988" s="4"/>
    </row>
    <row r="989" ht="13.5" customHeight="1" spans="1:30" x14ac:dyDescent="0.25">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c r="AA989" s="4"/>
      <c r="AB989" s="4"/>
      <c r="AC989" s="4"/>
      <c r="AD989" s="4"/>
    </row>
    <row r="990" ht="13.5" customHeight="1" spans="1:30" x14ac:dyDescent="0.25">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c r="AA990" s="4"/>
      <c r="AB990" s="4"/>
      <c r="AC990" s="4"/>
      <c r="AD990" s="4"/>
    </row>
    <row r="991" ht="13.5" customHeight="1" spans="1:30" x14ac:dyDescent="0.25">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c r="AA991" s="4"/>
      <c r="AB991" s="4"/>
      <c r="AC991" s="4"/>
      <c r="AD991" s="4"/>
    </row>
    <row r="992" ht="13.5" customHeight="1" spans="1:30" x14ac:dyDescent="0.25">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c r="AA992" s="4"/>
      <c r="AB992" s="4"/>
      <c r="AC992" s="4"/>
      <c r="AD992" s="4"/>
    </row>
    <row r="993" ht="13.5" customHeight="1" spans="1:30" x14ac:dyDescent="0.25">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c r="AA993" s="4"/>
      <c r="AB993" s="4"/>
      <c r="AC993" s="4"/>
      <c r="AD993" s="4"/>
    </row>
    <row r="994" ht="13.5" customHeight="1" spans="1:30" x14ac:dyDescent="0.25">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c r="AA994" s="4"/>
      <c r="AB994" s="4"/>
      <c r="AC994" s="4"/>
      <c r="AD994" s="4"/>
    </row>
    <row r="995" ht="13.5" customHeight="1" spans="1:30" x14ac:dyDescent="0.2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c r="AA995" s="4"/>
      <c r="AB995" s="4"/>
      <c r="AC995" s="4"/>
      <c r="AD995" s="4"/>
    </row>
    <row r="996" ht="13.5" customHeight="1" spans="1:30" x14ac:dyDescent="0.25">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c r="AA996" s="4"/>
      <c r="AB996" s="4"/>
      <c r="AC996" s="4"/>
      <c r="AD996" s="4"/>
    </row>
    <row r="997" ht="13.5" customHeight="1" spans="1:30" x14ac:dyDescent="0.25">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c r="AA997" s="4"/>
      <c r="AB997" s="4"/>
      <c r="AC997" s="4"/>
      <c r="AD997" s="4"/>
    </row>
    <row r="998" ht="13.5" customHeight="1" spans="1:30" x14ac:dyDescent="0.25">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c r="AA998" s="4"/>
      <c r="AB998" s="4"/>
      <c r="AC998" s="4"/>
      <c r="AD998" s="4"/>
    </row>
    <row r="999" ht="13.5" customHeight="1" spans="1:30" x14ac:dyDescent="0.25">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c r="AA999" s="4"/>
      <c r="AB999" s="4"/>
      <c r="AC999" s="4"/>
      <c r="AD999" s="4"/>
    </row>
    <row r="1000" ht="13.5" customHeight="1" spans="1:30" x14ac:dyDescent="0.25">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c r="AA1000" s="4"/>
      <c r="AB1000" s="4"/>
      <c r="AC1000" s="4"/>
      <c r="AD1000" s="4"/>
    </row>
  </sheetData>
  <mergeCells count="2">
    <mergeCell ref="F178:H178"/>
    <mergeCell ref="N179:P179"/>
  </mergeCells>
  <pageMargins left="0.7" right="0.7" top="0.75" bottom="0.75" header="0" footer="0"/>
  <pageSetup orientation="portrait" horizontalDpi="4294967295" verticalDpi="4294967295" scale="100" fitToWidth="1" fitToHeight="1" firstPageNumber="1" useFirstPageNumber="1" copies="1"/>
  <legacy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7F7F7F"/>
  </sheetPr>
  <dimension ref="A1:Z1000"/>
  <sheetViews>
    <sheetView workbookViewId="0" showGridLines="0" zoomScale="100" zoomScaleNormal="100">
      <pane ySplit="2" topLeftCell="A3" activePane="bottomLeft" state="frozen"/>
      <selection pane="bottomLeft" activeCell="B4" sqref="B4"/>
    </sheetView>
  </sheetViews>
  <sheetFormatPr defaultRowHeight="15" outlineLevelRow="0" outlineLevelCol="0" x14ac:dyDescent="0" defaultColWidth="14.5"/>
  <cols>
    <col min="1" max="2" width="1.6640625" customWidth="1"/>
    <col min="3" max="17" width="10.5" customWidth="1"/>
    <col min="18" max="18" width="2.5" customWidth="1"/>
    <col min="19" max="26" width="8.6640625" customWidth="1"/>
  </cols>
  <sheetData>
    <row r="1" ht="13.5" customHeight="1" spans="1:26" x14ac:dyDescent="0.25">
      <c r="A1" s="11"/>
      <c r="B1" s="11"/>
      <c r="C1" s="12" t="str">
        <f ca="1">Company_Name&amp;" - "&amp;MID(CELL("filename",A1),FIND("]",CELL("filename",A1))+1,255)&amp;": "&amp;Case_Scenario&amp;" Case"</f>
        <v>Lowe's Companies, Inc. - Benchmark: Base Case</v>
      </c>
      <c r="D1" s="11"/>
      <c r="E1" s="11"/>
      <c r="F1" s="11"/>
      <c r="G1" s="11"/>
      <c r="H1" s="11"/>
      <c r="I1" s="11"/>
      <c r="J1" s="11"/>
      <c r="K1" s="11"/>
      <c r="L1" s="11"/>
      <c r="M1" s="11"/>
      <c r="N1" s="11"/>
      <c r="O1" s="11"/>
      <c r="P1" s="11"/>
      <c r="Q1" s="11"/>
      <c r="R1" s="11"/>
      <c r="S1" s="11"/>
      <c r="T1" s="11"/>
      <c r="U1" s="11"/>
      <c r="V1" s="11"/>
      <c r="W1" s="11"/>
      <c r="X1" s="11"/>
      <c r="Y1" s="11"/>
      <c r="Z1" s="11"/>
    </row>
    <row r="2" ht="13.5" customHeight="1" spans="1:26" x14ac:dyDescent="0.25">
      <c r="A2" s="4"/>
      <c r="B2" s="4"/>
      <c r="C2" s="14" t="str">
        <f ca="1">Cover!C2</f>
        <v>$ in Millions Except Per Share Data</v>
      </c>
      <c r="D2" s="4"/>
      <c r="E2" s="4"/>
      <c r="F2" s="4"/>
      <c r="G2" s="4"/>
      <c r="H2" s="4"/>
      <c r="I2" s="4"/>
      <c r="J2" s="4"/>
      <c r="K2" s="4"/>
      <c r="L2" s="4"/>
      <c r="M2" s="4"/>
      <c r="N2" s="4"/>
      <c r="O2" s="4"/>
      <c r="P2" s="4"/>
      <c r="Q2" s="4"/>
      <c r="R2" s="4"/>
      <c r="S2" s="4"/>
      <c r="T2" s="4"/>
      <c r="U2" s="4"/>
      <c r="V2" s="4"/>
      <c r="W2" s="4"/>
      <c r="X2" s="4"/>
      <c r="Y2" s="4"/>
      <c r="Z2" s="4"/>
    </row>
    <row r="3" ht="13.5" customHeight="1" spans="1:26" x14ac:dyDescent="0.25">
      <c r="A3" s="5" t="s">
        <v>1</v>
      </c>
      <c r="B3" s="16"/>
      <c r="C3" s="303"/>
      <c r="D3" s="16"/>
      <c r="E3" s="16"/>
      <c r="F3" s="16"/>
      <c r="G3" s="16"/>
      <c r="H3" s="16"/>
      <c r="I3" s="16"/>
      <c r="J3" s="16"/>
      <c r="K3" s="16"/>
      <c r="L3" s="16"/>
      <c r="M3" s="16"/>
      <c r="N3" s="16"/>
      <c r="O3" s="16"/>
      <c r="P3" s="16"/>
      <c r="Q3" s="16"/>
      <c r="R3" s="16"/>
      <c r="S3" s="16"/>
      <c r="T3" s="16"/>
      <c r="U3" s="16"/>
      <c r="V3" s="16"/>
      <c r="W3" s="16"/>
      <c r="X3" s="16"/>
      <c r="Y3" s="16"/>
      <c r="Z3" s="16"/>
    </row>
    <row r="4" ht="13.5" customHeight="1" spans="1:26" x14ac:dyDescent="0.25">
      <c r="A4" s="17"/>
      <c r="B4" s="16"/>
      <c r="C4" s="190" t="s">
        <v>954</v>
      </c>
      <c r="D4" s="132"/>
      <c r="E4" s="880">
        <f ca="1">EDATE(E5,-12)</f>
        <v>45538</v>
      </c>
      <c r="F4" s="16"/>
      <c r="G4" s="84"/>
      <c r="H4" s="84"/>
      <c r="I4" s="84"/>
      <c r="J4" s="84"/>
      <c r="K4" s="84"/>
      <c r="L4" s="84"/>
      <c r="M4" s="16"/>
      <c r="N4" s="16"/>
      <c r="O4" s="16"/>
      <c r="P4" s="16"/>
      <c r="Q4" s="16"/>
      <c r="R4" s="16"/>
      <c r="S4" s="16"/>
      <c r="T4" s="16"/>
      <c r="U4" s="16"/>
      <c r="V4" s="16"/>
      <c r="W4" s="16"/>
      <c r="X4" s="16"/>
      <c r="Y4" s="16"/>
      <c r="Z4" s="16"/>
    </row>
    <row r="5" ht="13.5" customHeight="1" spans="1:26" x14ac:dyDescent="0.25">
      <c r="A5" s="17"/>
      <c r="B5" s="16"/>
      <c r="C5" s="188" t="s">
        <v>955</v>
      </c>
      <c r="D5" s="16"/>
      <c r="E5" s="881">
        <f ca="1">Current_Date</f>
        <v>45903</v>
      </c>
      <c r="F5" s="16"/>
      <c r="G5" s="841" t="str">
        <f ca="1">Comparables!F10</f>
        <v>LOW</v>
      </c>
      <c r="H5" s="841" t="str">
        <f ca="1">Comparables!F12</f>
        <v>AAPL</v>
      </c>
      <c r="I5" s="841" t="str">
        <f ca="1">Comparables!F13</f>
        <v>FB</v>
      </c>
      <c r="J5" s="841" t="str">
        <f ca="1">Comparables!F14</f>
        <v>MSFT</v>
      </c>
      <c r="K5" s="841" t="str">
        <f ca="1">Comparables!F15</f>
        <v>SNAP</v>
      </c>
      <c r="L5" s="841" t="str">
        <f ca="1">Comparables!F16</f>
        <v>GOOGL</v>
      </c>
      <c r="M5" s="16"/>
      <c r="N5" s="16"/>
      <c r="O5" s="16"/>
      <c r="P5" s="16"/>
      <c r="Q5" s="16"/>
      <c r="R5" s="16"/>
      <c r="S5" s="16"/>
      <c r="T5" s="16"/>
      <c r="U5" s="16"/>
      <c r="V5" s="16"/>
      <c r="W5" s="16"/>
      <c r="X5" s="16"/>
      <c r="Y5" s="16"/>
      <c r="Z5" s="16"/>
    </row>
    <row r="6" ht="13.5" customHeight="1" spans="1:26" x14ac:dyDescent="0.25">
      <c r="A6" s="17"/>
      <c r="B6" s="16"/>
      <c r="C6" s="192" t="s">
        <v>956</v>
      </c>
      <c r="D6" s="131"/>
      <c r="E6" s="882">
        <f ca="1">EDATE(E5,24)</f>
        <v>46633</v>
      </c>
      <c r="F6" s="16"/>
      <c r="G6" s="16"/>
      <c r="H6" s="16"/>
      <c r="I6" s="16"/>
      <c r="J6" s="16"/>
      <c r="K6" s="16"/>
      <c r="L6" s="16"/>
      <c r="M6" s="16"/>
      <c r="N6" s="16"/>
      <c r="O6" s="16"/>
      <c r="P6" s="16"/>
      <c r="Q6" s="16"/>
      <c r="R6" s="16"/>
      <c r="S6" s="16"/>
      <c r="T6" s="16"/>
      <c r="U6" s="16"/>
      <c r="V6" s="16"/>
      <c r="W6" s="16"/>
      <c r="X6" s="16"/>
      <c r="Y6" s="16"/>
      <c r="Z6" s="16"/>
    </row>
    <row r="7" ht="13.5" customHeight="1" spans="1:26" x14ac:dyDescent="0.25">
      <c r="A7" s="17"/>
      <c r="B7" s="16"/>
      <c r="C7" s="16"/>
      <c r="D7" s="16"/>
      <c r="E7" s="16"/>
      <c r="F7" s="16"/>
      <c r="G7" s="16"/>
      <c r="H7" s="16"/>
      <c r="I7" s="16"/>
      <c r="J7" s="16"/>
      <c r="K7" s="16"/>
      <c r="L7" s="16"/>
      <c r="M7" s="16"/>
      <c r="N7" s="16"/>
      <c r="O7" s="16"/>
      <c r="P7" s="16"/>
      <c r="Q7" s="16"/>
      <c r="R7" s="16"/>
      <c r="S7" s="16"/>
      <c r="T7" s="16"/>
      <c r="U7" s="16"/>
      <c r="V7" s="16"/>
      <c r="W7" s="16"/>
      <c r="X7" s="16"/>
      <c r="Y7" s="16"/>
      <c r="Z7" s="16"/>
    </row>
    <row r="8" ht="13.5" customHeight="1" spans="1:26" x14ac:dyDescent="0.25">
      <c r="A8" s="17" t="s">
        <v>1</v>
      </c>
      <c r="B8" s="16"/>
      <c r="C8" s="92" t="str">
        <f ca="1">"Revenue Growth "&amp;TEXT(E5,"yyyy")&amp;"e"</f>
        <v>Revenue Growth 2025e</v>
      </c>
      <c r="D8" s="22"/>
      <c r="E8" s="22"/>
      <c r="F8" s="22"/>
      <c r="G8" s="22"/>
      <c r="H8" s="22"/>
      <c r="I8" s="22"/>
      <c r="J8" s="22"/>
      <c r="K8" s="22"/>
      <c r="L8" s="22"/>
      <c r="M8" s="22"/>
      <c r="N8" s="22"/>
      <c r="O8" s="22"/>
      <c r="P8" s="22"/>
      <c r="Q8" s="22"/>
      <c r="R8" s="22"/>
      <c r="S8" s="16"/>
      <c r="T8" s="16"/>
      <c r="U8" s="16"/>
      <c r="V8" s="16"/>
      <c r="W8" s="16"/>
      <c r="X8" s="16"/>
      <c r="Y8" s="16"/>
      <c r="Z8" s="16"/>
    </row>
    <row r="9" ht="13.5" customHeight="1" spans="1:26" x14ac:dyDescent="0.25">
      <c r="A9" s="17"/>
      <c r="B9" s="16"/>
      <c r="C9" s="16"/>
      <c r="D9" s="16"/>
      <c r="E9" s="16"/>
      <c r="F9" s="16"/>
      <c r="G9" s="16"/>
      <c r="H9" s="16"/>
      <c r="I9" s="16"/>
      <c r="J9" s="16"/>
      <c r="K9" s="16"/>
      <c r="L9" s="16"/>
      <c r="M9" s="16"/>
      <c r="N9" s="16"/>
      <c r="O9" s="16"/>
      <c r="P9" s="16"/>
      <c r="Q9" s="16"/>
      <c r="R9" s="16"/>
      <c r="S9" s="16"/>
      <c r="T9" s="16"/>
      <c r="U9" s="16"/>
      <c r="V9" s="16"/>
      <c r="W9" s="16"/>
      <c r="X9" s="16"/>
      <c r="Y9" s="16"/>
      <c r="Z9" s="16"/>
    </row>
    <row r="10" ht="13.5" customHeight="1" spans="1:26" x14ac:dyDescent="0.25">
      <c r="A10" s="17"/>
      <c r="B10" s="16"/>
      <c r="C10" s="883" t="s">
        <v>957</v>
      </c>
      <c r="D10" s="112"/>
      <c r="E10" s="112"/>
      <c r="F10" s="47"/>
      <c r="G10" s="16"/>
      <c r="H10" s="16"/>
      <c r="I10" s="16"/>
      <c r="J10" s="16"/>
      <c r="K10" s="16"/>
      <c r="L10" s="16"/>
      <c r="M10" s="16"/>
      <c r="N10" s="16"/>
      <c r="O10" s="883" t="s">
        <v>958</v>
      </c>
      <c r="P10" s="112"/>
      <c r="Q10" s="112"/>
      <c r="R10" s="16"/>
      <c r="S10" s="16"/>
      <c r="T10" s="16"/>
      <c r="U10" s="16"/>
      <c r="V10" s="16"/>
      <c r="W10" s="16"/>
      <c r="X10" s="16"/>
      <c r="Y10" s="16"/>
      <c r="Z10" s="16"/>
    </row>
    <row r="11" ht="13.5" customHeight="1" spans="1:26" x14ac:dyDescent="0.25">
      <c r="A11" s="17"/>
      <c r="B11" s="16"/>
      <c r="C11" s="16"/>
      <c r="D11" s="16"/>
      <c r="E11" s="16"/>
      <c r="F11" s="16"/>
      <c r="G11" s="16"/>
      <c r="H11" s="16"/>
      <c r="I11" s="16"/>
      <c r="J11" s="16"/>
      <c r="K11" s="16"/>
      <c r="L11" s="16"/>
      <c r="M11" s="16"/>
      <c r="N11" s="16"/>
      <c r="O11" s="16"/>
      <c r="P11" s="16"/>
      <c r="Q11" s="16"/>
      <c r="R11" s="16"/>
      <c r="S11" s="16"/>
      <c r="T11" s="16"/>
      <c r="U11" s="16"/>
      <c r="V11" s="16"/>
      <c r="W11" s="16"/>
      <c r="X11" s="16"/>
      <c r="Y11" s="16"/>
      <c r="Z11" s="16"/>
    </row>
    <row r="12" ht="13.5" customHeight="1" spans="1:26" x14ac:dyDescent="0.25">
      <c r="A12" s="17"/>
      <c r="B12" s="16"/>
      <c r="C12" s="884" t="str">
        <f t="array" ref="C12:C17" ca="1">TRANSPOSE(G5:L5)</f>
        <v>LOW</v>
      </c>
      <c r="D12" s="885">
        <f ca="1">Comparables!J10</f>
        <v>0.03688944339654232</v>
      </c>
      <c r="E12" s="886"/>
      <c r="F12" s="16"/>
      <c r="G12" s="16"/>
      <c r="H12" s="16"/>
      <c r="I12" s="16"/>
      <c r="J12" s="16"/>
      <c r="K12" s="16"/>
      <c r="L12" s="16"/>
      <c r="M12" s="16"/>
      <c r="N12" s="16"/>
      <c r="O12" s="884" t="str">
        <f t="shared" ref="O12:P12" si="0" ca="1">C12</f>
        <v>LOW</v>
      </c>
      <c r="P12" s="886">
        <f ca="1">D12</f>
        <v>0.03688944339654232</v>
      </c>
      <c r="Q12" s="886"/>
      <c r="R12" s="16"/>
      <c r="S12" s="16"/>
      <c r="T12" s="16"/>
      <c r="U12" s="16"/>
      <c r="V12" s="16"/>
      <c r="W12" s="16"/>
      <c r="X12" s="16"/>
      <c r="Y12" s="16"/>
      <c r="Z12" s="16"/>
    </row>
    <row r="13" ht="13.5" customHeight="1" spans="1:26" x14ac:dyDescent="0.25">
      <c r="A13" s="17"/>
      <c r="B13" s="641">
        <v>1</v>
      </c>
      <c r="C13" s="737" t="s">
        <v>505</v>
      </c>
      <c r="D13" s="887">
        <f ca="1">Comparables!J12+RAND()/1000000</f>
        <v>0.33343323867194397</v>
      </c>
      <c r="E13" s="888">
        <f ca="1">MEDIAN(D13:D17)</f>
        <v>0.37490880589460296</v>
      </c>
      <c r="F13" s="16"/>
      <c r="G13" s="16"/>
      <c r="H13" s="16"/>
      <c r="I13" s="16"/>
      <c r="J13" s="16"/>
      <c r="K13" s="16"/>
      <c r="L13" s="16"/>
      <c r="M13" s="16"/>
      <c r="N13" s="16"/>
      <c r="O13" s="737" t="str">
        <f t="shared" ref="O13:O17" si="1" ca="1">INDEX($C$13:$C$17,MATCH(P13,$D$13:$D$17,0),1)</f>
        <v>SNAP</v>
      </c>
      <c r="P13" s="888">
        <f t="shared" ref="P13:P17" si="2" ca="1">LARGE($D$13:$D$17,B13)</f>
        <v>0.6779075451673464</v>
      </c>
      <c r="Q13" s="888">
        <f t="shared" ref="Q13:Q17" si="3" ca="1">E13</f>
        <v>0.37490880589460296</v>
      </c>
      <c r="R13" s="888"/>
      <c r="S13" s="16"/>
      <c r="T13" s="16"/>
      <c r="U13" s="16"/>
      <c r="V13" s="16"/>
      <c r="W13" s="16"/>
      <c r="X13" s="16"/>
      <c r="Y13" s="16"/>
      <c r="Z13" s="16"/>
    </row>
    <row r="14" ht="13.5" customHeight="1" spans="1:26" x14ac:dyDescent="0.25">
      <c r="A14" s="17"/>
      <c r="B14" s="16">
        <f t="shared" ref="B14:B17" si="4" ca="1">B13+1</f>
        <v>2</v>
      </c>
      <c r="C14" s="737" t="s">
        <v>508</v>
      </c>
      <c r="D14" s="887">
        <f ca="1">Comparables!J13+RAND()/1000000</f>
        <v>0.3890753383698792</v>
      </c>
      <c r="E14" s="888">
        <f t="shared" ref="E14:E17" si="5" ca="1">E13</f>
        <v>0.37490880589460296</v>
      </c>
      <c r="F14" s="16"/>
      <c r="G14" s="16"/>
      <c r="H14" s="16"/>
      <c r="I14" s="16"/>
      <c r="J14" s="16"/>
      <c r="K14" s="16"/>
      <c r="L14" s="16"/>
      <c r="M14" s="16"/>
      <c r="N14" s="16"/>
      <c r="O14" s="737" t="str">
        <f ca="1">INDEX($C$13:$C$17,MATCH(P14,$D$13:$D$17,0),1)</f>
        <v>FB</v>
      </c>
      <c r="P14" s="888">
        <f ca="1">LARGE($D$13:$D$17,B14)</f>
        <v>0.3890753383698792</v>
      </c>
      <c r="Q14" s="888">
        <f ca="1">E14</f>
        <v>0.37490880589460296</v>
      </c>
      <c r="R14" s="888"/>
      <c r="S14" s="16"/>
      <c r="T14" s="16"/>
      <c r="U14" s="16"/>
      <c r="V14" s="16"/>
      <c r="W14" s="16"/>
      <c r="X14" s="16"/>
      <c r="Y14" s="16"/>
      <c r="Z14" s="16"/>
    </row>
    <row r="15" ht="13.5" customHeight="1" spans="1:26" x14ac:dyDescent="0.25">
      <c r="A15" s="17"/>
      <c r="B15" s="16">
        <f ca="1">B14+1</f>
        <v>3</v>
      </c>
      <c r="C15" s="737" t="s">
        <v>512</v>
      </c>
      <c r="D15" s="887">
        <f ca="1">Comparables!J14+RAND()/1000000</f>
        <v>0.1407100860422761</v>
      </c>
      <c r="E15" s="888">
        <f ca="1">E14</f>
        <v>0.37490880589460296</v>
      </c>
      <c r="F15" s="16"/>
      <c r="G15" s="16"/>
      <c r="H15" s="16"/>
      <c r="I15" s="16"/>
      <c r="J15" s="16"/>
      <c r="K15" s="16"/>
      <c r="L15" s="16"/>
      <c r="M15" s="16"/>
      <c r="N15" s="16"/>
      <c r="O15" s="737" t="str">
        <f ca="1">INDEX($C$13:$C$17,MATCH(P15,$D$13:$D$17,0),1)</f>
        <v>GOOGL</v>
      </c>
      <c r="P15" s="888">
        <f ca="1">LARGE($D$13:$D$17,B15)</f>
        <v>0.37490880589460296</v>
      </c>
      <c r="Q15" s="888">
        <f ca="1">E15</f>
        <v>0.37490880589460296</v>
      </c>
      <c r="R15" s="888"/>
      <c r="S15" s="16"/>
      <c r="T15" s="16"/>
      <c r="U15" s="16"/>
      <c r="V15" s="16"/>
      <c r="W15" s="16"/>
      <c r="X15" s="16"/>
      <c r="Y15" s="16"/>
      <c r="Z15" s="16"/>
    </row>
    <row r="16" ht="13.5" customHeight="1" spans="1:26" x14ac:dyDescent="0.25">
      <c r="A16" s="17"/>
      <c r="B16" s="16">
        <f ca="1">B15+1</f>
        <v>4</v>
      </c>
      <c r="C16" s="737" t="s">
        <v>515</v>
      </c>
      <c r="D16" s="887">
        <f ca="1">Comparables!J15+RAND()/1000000</f>
        <v>0.6779075451673464</v>
      </c>
      <c r="E16" s="888">
        <f ca="1">E15</f>
        <v>0.37490880589460296</v>
      </c>
      <c r="F16" s="16"/>
      <c r="G16" s="16"/>
      <c r="H16" s="16"/>
      <c r="I16" s="16"/>
      <c r="J16" s="16"/>
      <c r="K16" s="16"/>
      <c r="L16" s="16"/>
      <c r="M16" s="16"/>
      <c r="N16" s="16"/>
      <c r="O16" s="737" t="str">
        <f ca="1">INDEX($C$13:$C$17,MATCH(P16,$D$13:$D$17,0),1)</f>
        <v>AAPL</v>
      </c>
      <c r="P16" s="888">
        <f ca="1">LARGE($D$13:$D$17,B16)</f>
        <v>0.33343323867194397</v>
      </c>
      <c r="Q16" s="888">
        <f ca="1">E16</f>
        <v>0.37490880589460296</v>
      </c>
      <c r="R16" s="888"/>
      <c r="S16" s="16"/>
      <c r="T16" s="16"/>
      <c r="U16" s="16"/>
      <c r="V16" s="16"/>
      <c r="W16" s="16"/>
      <c r="X16" s="16"/>
      <c r="Y16" s="16"/>
      <c r="Z16" s="16"/>
    </row>
    <row r="17" ht="13.5" customHeight="1" spans="1:26" x14ac:dyDescent="0.25">
      <c r="A17" s="17"/>
      <c r="B17" s="16">
        <f ca="1">B16+1</f>
        <v>5</v>
      </c>
      <c r="C17" s="737" t="s">
        <v>518</v>
      </c>
      <c r="D17" s="887">
        <f ca="1">Comparables!J16+RAND()/1000000</f>
        <v>0.37490880589460296</v>
      </c>
      <c r="E17" s="888">
        <f ca="1">E16</f>
        <v>0.37490880589460296</v>
      </c>
      <c r="F17" s="16"/>
      <c r="G17" s="16"/>
      <c r="H17" s="16"/>
      <c r="I17" s="16"/>
      <c r="J17" s="16"/>
      <c r="K17" s="16"/>
      <c r="L17" s="16"/>
      <c r="M17" s="16"/>
      <c r="N17" s="16"/>
      <c r="O17" s="737" t="str">
        <f ca="1">INDEX($C$13:$C$17,MATCH(P17,$D$13:$D$17,0),1)</f>
        <v>MSFT</v>
      </c>
      <c r="P17" s="888">
        <f ca="1">LARGE($D$13:$D$17,B17)</f>
        <v>0.1407100860422761</v>
      </c>
      <c r="Q17" s="888">
        <f ca="1">E17</f>
        <v>0.37490880589460296</v>
      </c>
      <c r="R17" s="888"/>
      <c r="S17" s="16"/>
      <c r="T17" s="16"/>
      <c r="U17" s="16"/>
      <c r="V17" s="16"/>
      <c r="W17" s="16"/>
      <c r="X17" s="16"/>
      <c r="Y17" s="16"/>
      <c r="Z17" s="16"/>
    </row>
    <row r="18" ht="13.5" customHeight="1" spans="1:26" x14ac:dyDescent="0.25">
      <c r="A18" s="17"/>
      <c r="B18" s="16"/>
      <c r="C18" s="16"/>
      <c r="D18" s="16"/>
      <c r="E18" s="16"/>
      <c r="F18" s="16"/>
      <c r="G18" s="16"/>
      <c r="H18" s="16"/>
      <c r="I18" s="16"/>
      <c r="J18" s="16"/>
      <c r="K18" s="16"/>
      <c r="L18" s="16"/>
      <c r="M18" s="16"/>
      <c r="N18" s="16"/>
      <c r="O18" s="16"/>
      <c r="P18" s="16"/>
      <c r="Q18" s="16"/>
      <c r="R18" s="16"/>
      <c r="S18" s="16"/>
      <c r="T18" s="16"/>
      <c r="U18" s="16"/>
      <c r="V18" s="16"/>
      <c r="W18" s="16"/>
      <c r="X18" s="16"/>
      <c r="Y18" s="16"/>
      <c r="Z18" s="16"/>
    </row>
    <row r="19" ht="13.5" customHeight="1" spans="1:26" x14ac:dyDescent="0.25">
      <c r="A19" s="17"/>
      <c r="B19" s="16"/>
      <c r="C19" s="16"/>
      <c r="D19" s="16"/>
      <c r="E19" s="889" t="str">
        <f ca="1">"Median "&amp;TEXT(E13,"0.0%")</f>
        <v>Median 37.5%</v>
      </c>
      <c r="F19" s="16"/>
      <c r="G19" s="16"/>
      <c r="H19" s="16"/>
      <c r="I19" s="16"/>
      <c r="J19" s="16"/>
      <c r="K19" s="16"/>
      <c r="L19" s="16"/>
      <c r="M19" s="16"/>
      <c r="N19" s="16"/>
      <c r="O19" s="16"/>
      <c r="P19" s="16"/>
      <c r="Q19" s="889" t="str">
        <f ca="1">E19</f>
        <v>Median 37.5%</v>
      </c>
      <c r="R19" s="16"/>
      <c r="S19" s="16"/>
      <c r="T19" s="16"/>
      <c r="U19" s="16"/>
      <c r="V19" s="16"/>
      <c r="W19" s="16"/>
      <c r="X19" s="16"/>
      <c r="Y19" s="16"/>
      <c r="Z19" s="16"/>
    </row>
    <row r="20" ht="13.5" customHeight="1" spans="1:26" x14ac:dyDescent="0.25">
      <c r="A20" s="17"/>
      <c r="B20" s="16"/>
      <c r="C20" s="16"/>
      <c r="D20" s="16"/>
      <c r="E20" s="16"/>
      <c r="F20" s="16"/>
      <c r="G20" s="16"/>
      <c r="H20" s="16"/>
      <c r="I20" s="16"/>
      <c r="J20" s="16"/>
      <c r="K20" s="16"/>
      <c r="L20" s="16"/>
      <c r="M20" s="16"/>
      <c r="N20" s="16"/>
      <c r="O20" s="16"/>
      <c r="P20" s="888"/>
      <c r="Q20" s="16"/>
      <c r="R20" s="16"/>
      <c r="S20" s="16"/>
      <c r="T20" s="16"/>
      <c r="U20" s="16"/>
      <c r="V20" s="16"/>
      <c r="W20" s="16"/>
      <c r="X20" s="16"/>
      <c r="Y20" s="16"/>
      <c r="Z20" s="16"/>
    </row>
    <row r="21" ht="13.5" customHeight="1" spans="1:26" x14ac:dyDescent="0.25">
      <c r="A21" s="17"/>
      <c r="B21" s="16"/>
      <c r="C21" s="16"/>
      <c r="D21" s="16"/>
      <c r="E21" s="16"/>
      <c r="F21" s="16"/>
      <c r="G21" s="16"/>
      <c r="H21" s="16"/>
      <c r="I21" s="16"/>
      <c r="J21" s="16"/>
      <c r="K21" s="16"/>
      <c r="L21" s="16"/>
      <c r="M21" s="16"/>
      <c r="N21" s="16"/>
      <c r="O21" s="16"/>
      <c r="P21" s="888"/>
      <c r="Q21" s="16"/>
      <c r="R21" s="16"/>
      <c r="S21" s="16"/>
      <c r="T21" s="16"/>
      <c r="U21" s="16"/>
      <c r="V21" s="16"/>
      <c r="W21" s="16"/>
      <c r="X21" s="16"/>
      <c r="Y21" s="16"/>
      <c r="Z21" s="16"/>
    </row>
    <row r="22" ht="13.5" customHeight="1" spans="1:26" x14ac:dyDescent="0.25">
      <c r="A22" s="17"/>
      <c r="B22" s="16"/>
      <c r="C22" s="16"/>
      <c r="D22" s="16"/>
      <c r="E22" s="16"/>
      <c r="F22" s="16"/>
      <c r="G22" s="16"/>
      <c r="H22" s="16"/>
      <c r="I22" s="16"/>
      <c r="J22" s="16"/>
      <c r="K22" s="16"/>
      <c r="L22" s="16"/>
      <c r="M22" s="16"/>
      <c r="N22" s="16"/>
      <c r="O22" s="16"/>
      <c r="P22" s="888"/>
      <c r="Q22" s="16"/>
      <c r="R22" s="16"/>
      <c r="S22" s="16"/>
      <c r="T22" s="16"/>
      <c r="U22" s="16"/>
      <c r="V22" s="16"/>
      <c r="W22" s="16"/>
      <c r="X22" s="16"/>
      <c r="Y22" s="16"/>
      <c r="Z22" s="16"/>
    </row>
    <row r="23" ht="13.5" customHeight="1" spans="1:26" x14ac:dyDescent="0.25">
      <c r="A23" s="17"/>
      <c r="B23" s="16"/>
      <c r="C23" s="16"/>
      <c r="D23" s="16"/>
      <c r="E23" s="16"/>
      <c r="F23" s="16"/>
      <c r="G23" s="16"/>
      <c r="H23" s="16"/>
      <c r="I23" s="16"/>
      <c r="J23" s="16"/>
      <c r="K23" s="16"/>
      <c r="L23" s="16"/>
      <c r="M23" s="16"/>
      <c r="N23" s="16"/>
      <c r="O23" s="16"/>
      <c r="P23" s="888"/>
      <c r="Q23" s="16"/>
      <c r="R23" s="16"/>
      <c r="S23" s="16"/>
      <c r="T23" s="16"/>
      <c r="U23" s="16"/>
      <c r="V23" s="16"/>
      <c r="W23" s="16"/>
      <c r="X23" s="16"/>
      <c r="Y23" s="16"/>
      <c r="Z23" s="16"/>
    </row>
    <row r="24" ht="13.5" customHeight="1" spans="1:26" x14ac:dyDescent="0.25">
      <c r="A24" s="17" t="s">
        <v>1</v>
      </c>
      <c r="B24" s="16"/>
      <c r="C24" s="92" t="str">
        <f ca="1">"EPS Growth "&amp;TEXT(E5,"yyyy")&amp;"e"</f>
        <v>EPS Growth 2025e</v>
      </c>
      <c r="D24" s="22"/>
      <c r="E24" s="22"/>
      <c r="F24" s="22"/>
      <c r="G24" s="22"/>
      <c r="H24" s="22"/>
      <c r="I24" s="22"/>
      <c r="J24" s="22"/>
      <c r="K24" s="22"/>
      <c r="L24" s="22"/>
      <c r="M24" s="22"/>
      <c r="N24" s="22"/>
      <c r="O24" s="22"/>
      <c r="P24" s="22"/>
      <c r="Q24" s="7"/>
      <c r="R24" s="16"/>
      <c r="S24" s="16"/>
      <c r="T24" s="16"/>
      <c r="U24" s="16"/>
      <c r="V24" s="16"/>
      <c r="W24" s="16"/>
      <c r="X24" s="16"/>
      <c r="Y24" s="16"/>
      <c r="Z24" s="16"/>
    </row>
    <row r="25" ht="13.5" customHeight="1" spans="1:26" x14ac:dyDescent="0.25">
      <c r="A25" s="17"/>
      <c r="B25" s="16"/>
      <c r="C25" s="16"/>
      <c r="D25" s="16"/>
      <c r="E25" s="16"/>
      <c r="F25" s="16"/>
      <c r="G25" s="16"/>
      <c r="H25" s="16"/>
      <c r="I25" s="16"/>
      <c r="J25" s="16"/>
      <c r="K25" s="16"/>
      <c r="L25" s="16"/>
      <c r="M25" s="16"/>
      <c r="N25" s="16"/>
      <c r="O25" s="16"/>
      <c r="P25" s="16"/>
      <c r="Q25" s="16"/>
      <c r="R25" s="16"/>
      <c r="S25" s="16"/>
      <c r="T25" s="16"/>
      <c r="U25" s="16"/>
      <c r="V25" s="16"/>
      <c r="W25" s="16"/>
      <c r="X25" s="16"/>
      <c r="Y25" s="16"/>
      <c r="Z25" s="16"/>
    </row>
    <row r="26" ht="13.5" customHeight="1" spans="1:26" x14ac:dyDescent="0.25">
      <c r="A26" s="17"/>
      <c r="B26" s="16"/>
      <c r="C26" s="883" t="str">
        <f ca="1">C10</f>
        <v>Raw Data</v>
      </c>
      <c r="D26" s="112"/>
      <c r="E26" s="112"/>
      <c r="F26" s="47"/>
      <c r="G26" s="16"/>
      <c r="H26" s="16"/>
      <c r="I26" s="16"/>
      <c r="J26" s="16"/>
      <c r="K26" s="16"/>
      <c r="L26" s="16"/>
      <c r="M26" s="16"/>
      <c r="N26" s="16"/>
      <c r="O26" s="883" t="str">
        <f ca="1">O10</f>
        <v>Chart Data</v>
      </c>
      <c r="P26" s="112"/>
      <c r="Q26" s="112"/>
      <c r="R26" s="16"/>
      <c r="S26" s="16"/>
      <c r="T26" s="16"/>
      <c r="U26" s="16"/>
      <c r="V26" s="16"/>
      <c r="W26" s="16"/>
      <c r="X26" s="16"/>
      <c r="Y26" s="16"/>
      <c r="Z26" s="16"/>
    </row>
    <row r="27" ht="13.5" customHeight="1" spans="1:26" x14ac:dyDescent="0.25">
      <c r="A27" s="17"/>
      <c r="B27" s="16"/>
      <c r="C27" s="16"/>
      <c r="D27" s="16"/>
      <c r="E27" s="16"/>
      <c r="F27" s="16"/>
      <c r="G27" s="16"/>
      <c r="H27" s="16"/>
      <c r="I27" s="16"/>
      <c r="J27" s="16"/>
      <c r="K27" s="16"/>
      <c r="L27" s="16"/>
      <c r="M27" s="16"/>
      <c r="N27" s="16"/>
      <c r="O27" s="16"/>
      <c r="P27" s="16"/>
      <c r="Q27" s="16"/>
      <c r="R27" s="16"/>
      <c r="S27" s="16"/>
      <c r="T27" s="16"/>
      <c r="U27" s="16"/>
      <c r="V27" s="16"/>
      <c r="W27" s="16"/>
      <c r="X27" s="16"/>
      <c r="Y27" s="16"/>
      <c r="Z27" s="16"/>
    </row>
    <row r="28" ht="13.5" customHeight="1" spans="1:26" x14ac:dyDescent="0.25">
      <c r="A28" s="17"/>
      <c r="B28" s="641"/>
      <c r="C28" s="884" t="str">
        <f t="shared" ref="C28:C33" si="6" ca="1">C12</f>
        <v>LOW</v>
      </c>
      <c r="D28" s="885">
        <f ca="1">Comparables!L10</f>
        <v>0.46253161290322575</v>
      </c>
      <c r="E28" s="886"/>
      <c r="F28" s="16"/>
      <c r="G28" s="16"/>
      <c r="H28" s="16"/>
      <c r="I28" s="16"/>
      <c r="J28" s="16"/>
      <c r="K28" s="16"/>
      <c r="L28" s="16"/>
      <c r="M28" s="16"/>
      <c r="N28" s="16"/>
      <c r="O28" s="884" t="str">
        <f t="shared" ref="O28:P28" si="7" ca="1">C28</f>
        <v>LOW</v>
      </c>
      <c r="P28" s="886">
        <f ca="1">D28</f>
        <v>0.46253161290322575</v>
      </c>
      <c r="Q28" s="886"/>
      <c r="R28" s="16"/>
      <c r="S28" s="16"/>
      <c r="T28" s="16"/>
      <c r="U28" s="16"/>
      <c r="V28" s="16"/>
      <c r="W28" s="16"/>
      <c r="X28" s="16"/>
      <c r="Y28" s="16"/>
      <c r="Z28" s="16"/>
    </row>
    <row r="29" ht="13.5" customHeight="1" spans="1:26" x14ac:dyDescent="0.25">
      <c r="A29" s="17"/>
      <c r="B29" s="641">
        <v>1</v>
      </c>
      <c r="C29" s="737" t="str">
        <f ca="1">C13</f>
        <v>AAPL</v>
      </c>
      <c r="D29" s="887">
        <f ca="1">Comparables!L12+RAND()/1000000</f>
        <v>0.7012020314160003</v>
      </c>
      <c r="E29" s="888">
        <f ca="1">MEDIAN(D29:D33)</f>
        <v>0.3988127954533375</v>
      </c>
      <c r="F29" s="16"/>
      <c r="G29" s="16"/>
      <c r="H29" s="16"/>
      <c r="I29" s="16"/>
      <c r="J29" s="16"/>
      <c r="K29" s="16"/>
      <c r="L29" s="16"/>
      <c r="M29" s="16"/>
      <c r="N29" s="16"/>
      <c r="O29" s="737" t="str">
        <f t="shared" ref="O29:O33" si="8" ca="1">INDEX($C$29:$C$33,MATCH(P29,$D$29:$D$33,0),1)</f>
        <v>GOOGL</v>
      </c>
      <c r="P29" s="888">
        <f t="shared" ref="P29:P33" si="9" ca="1">LARGE($D$29:$D$33,B29)</f>
        <v>0.7232150660085166</v>
      </c>
      <c r="Q29" s="888">
        <f t="shared" ref="Q29:Q33" si="10" ca="1">E29</f>
        <v>0.3988127954533375</v>
      </c>
      <c r="R29" s="16"/>
      <c r="S29" s="16"/>
      <c r="T29" s="16"/>
      <c r="U29" s="16"/>
      <c r="V29" s="16"/>
      <c r="W29" s="16"/>
      <c r="X29" s="16"/>
      <c r="Y29" s="16"/>
      <c r="Z29" s="16"/>
    </row>
    <row r="30" ht="13.5" customHeight="1" spans="1:26" x14ac:dyDescent="0.25">
      <c r="A30" s="17"/>
      <c r="B30" s="16">
        <f t="shared" ref="B30:B33" si="11" ca="1">B29+1</f>
        <v>2</v>
      </c>
      <c r="C30" s="737" t="str">
        <f ca="1">C14</f>
        <v>FB</v>
      </c>
      <c r="D30" s="887">
        <f ca="1">Comparables!L13+RAND()/1000000</f>
        <v>0.3988127954533375</v>
      </c>
      <c r="E30" s="888">
        <f t="shared" ref="E30:E33" si="12" ca="1">E29</f>
        <v>0.3988127954533375</v>
      </c>
      <c r="F30" s="16"/>
      <c r="G30" s="16"/>
      <c r="H30" s="16"/>
      <c r="I30" s="16"/>
      <c r="J30" s="16"/>
      <c r="K30" s="16"/>
      <c r="L30" s="16"/>
      <c r="M30" s="16"/>
      <c r="N30" s="16"/>
      <c r="O30" s="737" t="str">
        <f ca="1">INDEX($C$29:$C$33,MATCH(P30,$D$29:$D$33,0),1)</f>
        <v>AAPL</v>
      </c>
      <c r="P30" s="888">
        <f ca="1">LARGE($D$29:$D$33,B30)</f>
        <v>0.7012020314160003</v>
      </c>
      <c r="Q30" s="888">
        <f ca="1">E30</f>
        <v>0.3988127954533375</v>
      </c>
      <c r="R30" s="16"/>
      <c r="S30" s="16"/>
      <c r="T30" s="16"/>
      <c r="U30" s="16"/>
      <c r="V30" s="16"/>
      <c r="W30" s="16"/>
      <c r="X30" s="16"/>
      <c r="Y30" s="16"/>
      <c r="Z30" s="16"/>
    </row>
    <row r="31" ht="13.5" customHeight="1" spans="1:26" x14ac:dyDescent="0.25">
      <c r="A31" s="17"/>
      <c r="B31" s="16">
        <f ca="1">B30+1</f>
        <v>3</v>
      </c>
      <c r="C31" s="737" t="str">
        <f ca="1">C15</f>
        <v>MSFT</v>
      </c>
      <c r="D31" s="887">
        <f ca="1">Comparables!L14+RAND()/1000000</f>
        <v>0.09440952450277135</v>
      </c>
      <c r="E31" s="888">
        <f ca="1">E30</f>
        <v>0.3988127954533375</v>
      </c>
      <c r="F31" s="16"/>
      <c r="G31" s="16"/>
      <c r="H31" s="16"/>
      <c r="I31" s="16"/>
      <c r="J31" s="16"/>
      <c r="K31" s="16"/>
      <c r="L31" s="16"/>
      <c r="M31" s="16"/>
      <c r="N31" s="16"/>
      <c r="O31" s="737" t="str">
        <f ca="1">INDEX($C$29:$C$33,MATCH(P31,$D$29:$D$33,0),1)</f>
        <v>FB</v>
      </c>
      <c r="P31" s="888">
        <f ca="1">LARGE($D$29:$D$33,B31)</f>
        <v>0.3988127954533375</v>
      </c>
      <c r="Q31" s="888">
        <f ca="1">E31</f>
        <v>0.3988127954533375</v>
      </c>
      <c r="R31" s="16"/>
      <c r="S31" s="16"/>
      <c r="T31" s="16"/>
      <c r="U31" s="16"/>
      <c r="V31" s="16"/>
      <c r="W31" s="16"/>
      <c r="X31" s="16"/>
      <c r="Y31" s="16"/>
      <c r="Z31" s="16"/>
    </row>
    <row r="32" ht="13.5" customHeight="1" spans="1:26" x14ac:dyDescent="0.25">
      <c r="A32" s="17"/>
      <c r="B32" s="16">
        <f ca="1">B31+1</f>
        <v>4</v>
      </c>
      <c r="C32" s="737" t="str">
        <f ca="1">C16</f>
        <v>SNAP</v>
      </c>
      <c r="D32" s="887">
        <f ca="1">Comparables!L15+RAND()/1000000</f>
        <v>-1.553075948467474</v>
      </c>
      <c r="E32" s="888">
        <f ca="1">E31</f>
        <v>0.3988127954533375</v>
      </c>
      <c r="F32" s="16"/>
      <c r="G32" s="16"/>
      <c r="H32" s="16"/>
      <c r="I32" s="16"/>
      <c r="J32" s="16"/>
      <c r="K32" s="16"/>
      <c r="L32" s="16"/>
      <c r="M32" s="16"/>
      <c r="N32" s="16"/>
      <c r="O32" s="737" t="str">
        <f ca="1">INDEX($C$29:$C$33,MATCH(P32,$D$29:$D$33,0),1)</f>
        <v>MSFT</v>
      </c>
      <c r="P32" s="888">
        <f ca="1">LARGE($D$29:$D$33,B32)</f>
        <v>0.09440952450277135</v>
      </c>
      <c r="Q32" s="888">
        <f ca="1">E32</f>
        <v>0.3988127954533375</v>
      </c>
      <c r="R32" s="16"/>
      <c r="S32" s="16"/>
      <c r="T32" s="16"/>
      <c r="U32" s="16"/>
      <c r="V32" s="16"/>
      <c r="W32" s="16"/>
      <c r="X32" s="16"/>
      <c r="Y32" s="16"/>
      <c r="Z32" s="16"/>
    </row>
    <row r="33" ht="13.5" customHeight="1" spans="1:26" x14ac:dyDescent="0.25">
      <c r="A33" s="17"/>
      <c r="B33" s="16">
        <f ca="1">B32+1</f>
        <v>5</v>
      </c>
      <c r="C33" s="737" t="str">
        <f ca="1">C17</f>
        <v>GOOGL</v>
      </c>
      <c r="D33" s="887">
        <f ca="1">Comparables!L16+RAND()/1000000</f>
        <v>0.7232150660085166</v>
      </c>
      <c r="E33" s="888">
        <f ca="1">E32</f>
        <v>0.3988127954533375</v>
      </c>
      <c r="F33" s="16"/>
      <c r="G33" s="16"/>
      <c r="H33" s="16"/>
      <c r="I33" s="16"/>
      <c r="J33" s="16"/>
      <c r="K33" s="16"/>
      <c r="L33" s="16"/>
      <c r="M33" s="16"/>
      <c r="N33" s="16"/>
      <c r="O33" s="737" t="str">
        <f ca="1">INDEX($C$29:$C$33,MATCH(P33,$D$29:$D$33,0),1)</f>
        <v>SNAP</v>
      </c>
      <c r="P33" s="888">
        <f ca="1">LARGE($D$29:$D$33,B33)</f>
        <v>-1.553075948467474</v>
      </c>
      <c r="Q33" s="888">
        <f ca="1">E33</f>
        <v>0.3988127954533375</v>
      </c>
      <c r="R33" s="16"/>
      <c r="S33" s="16"/>
      <c r="T33" s="16"/>
      <c r="U33" s="16"/>
      <c r="V33" s="16"/>
      <c r="W33" s="16"/>
      <c r="X33" s="16"/>
      <c r="Y33" s="16"/>
      <c r="Z33" s="16"/>
    </row>
    <row r="34" ht="13.5" customHeight="1" spans="1:26" x14ac:dyDescent="0.25">
      <c r="A34" s="17"/>
      <c r="B34" s="16"/>
      <c r="C34" s="16"/>
      <c r="D34" s="16"/>
      <c r="E34" s="16"/>
      <c r="F34" s="16"/>
      <c r="G34" s="16"/>
      <c r="H34" s="16"/>
      <c r="I34" s="16"/>
      <c r="J34" s="16"/>
      <c r="K34" s="16"/>
      <c r="L34" s="16"/>
      <c r="M34" s="16"/>
      <c r="N34" s="16"/>
      <c r="O34" s="16"/>
      <c r="P34" s="16"/>
      <c r="Q34" s="16"/>
      <c r="R34" s="16"/>
      <c r="S34" s="16"/>
      <c r="T34" s="16"/>
      <c r="U34" s="16"/>
      <c r="V34" s="16"/>
      <c r="W34" s="16"/>
      <c r="X34" s="16"/>
      <c r="Y34" s="16"/>
      <c r="Z34" s="16"/>
    </row>
    <row r="35" ht="13.5" customHeight="1" spans="1:26" x14ac:dyDescent="0.25">
      <c r="A35" s="17"/>
      <c r="B35" s="16"/>
      <c r="C35" s="16"/>
      <c r="D35" s="16"/>
      <c r="E35" s="889" t="str">
        <f ca="1">"Median "&amp;TEXT(E29,"0.0%")</f>
        <v>Median 39.9%</v>
      </c>
      <c r="F35" s="16"/>
      <c r="G35" s="16"/>
      <c r="H35" s="16"/>
      <c r="I35" s="16"/>
      <c r="J35" s="16"/>
      <c r="K35" s="16"/>
      <c r="L35" s="16"/>
      <c r="M35" s="16"/>
      <c r="N35" s="16"/>
      <c r="O35" s="16"/>
      <c r="P35" s="16"/>
      <c r="Q35" s="889" t="str">
        <f ca="1">E35</f>
        <v>Median 39.9%</v>
      </c>
      <c r="R35" s="16"/>
      <c r="S35" s="16"/>
      <c r="T35" s="16"/>
      <c r="U35" s="16"/>
      <c r="V35" s="16"/>
      <c r="W35" s="16"/>
      <c r="X35" s="16"/>
      <c r="Y35" s="16"/>
      <c r="Z35" s="16"/>
    </row>
    <row r="36" ht="13.5" customHeight="1" spans="1:26" x14ac:dyDescent="0.25">
      <c r="A36" s="17"/>
      <c r="B36" s="16"/>
      <c r="C36" s="16"/>
      <c r="D36" s="16"/>
      <c r="E36" s="16"/>
      <c r="F36" s="16"/>
      <c r="G36" s="16"/>
      <c r="H36" s="16"/>
      <c r="I36" s="16"/>
      <c r="J36" s="16"/>
      <c r="K36" s="16"/>
      <c r="L36" s="16"/>
      <c r="M36" s="16"/>
      <c r="N36" s="16"/>
      <c r="O36" s="16"/>
      <c r="P36" s="16"/>
      <c r="Q36" s="16"/>
      <c r="R36" s="16"/>
      <c r="S36" s="16"/>
      <c r="T36" s="16"/>
      <c r="U36" s="16"/>
      <c r="V36" s="16"/>
      <c r="W36" s="16"/>
      <c r="X36" s="16"/>
      <c r="Y36" s="16"/>
      <c r="Z36" s="16"/>
    </row>
    <row r="37" ht="13.5" customHeight="1" spans="1:26" x14ac:dyDescent="0.25">
      <c r="A37" s="17"/>
      <c r="B37" s="16"/>
      <c r="C37" s="16"/>
      <c r="D37" s="16"/>
      <c r="E37" s="16"/>
      <c r="F37" s="16"/>
      <c r="G37" s="16"/>
      <c r="H37" s="16"/>
      <c r="I37" s="16"/>
      <c r="J37" s="16"/>
      <c r="K37" s="16"/>
      <c r="L37" s="16"/>
      <c r="M37" s="16"/>
      <c r="N37" s="16"/>
      <c r="O37" s="16"/>
      <c r="P37" s="16"/>
      <c r="Q37" s="16"/>
      <c r="R37" s="16"/>
      <c r="S37" s="16"/>
      <c r="T37" s="16"/>
      <c r="U37" s="16"/>
      <c r="V37" s="16"/>
      <c r="W37" s="16"/>
      <c r="X37" s="16"/>
      <c r="Y37" s="16"/>
      <c r="Z37" s="16"/>
    </row>
    <row r="38" ht="13.5" customHeight="1" spans="1:26" x14ac:dyDescent="0.25">
      <c r="A38" s="17"/>
      <c r="B38" s="16"/>
      <c r="C38" s="16"/>
      <c r="D38" s="16"/>
      <c r="E38" s="16"/>
      <c r="F38" s="16"/>
      <c r="G38" s="16"/>
      <c r="H38" s="16"/>
      <c r="I38" s="16"/>
      <c r="J38" s="16"/>
      <c r="K38" s="16"/>
      <c r="L38" s="16"/>
      <c r="M38" s="16"/>
      <c r="N38" s="16"/>
      <c r="O38" s="16"/>
      <c r="P38" s="16"/>
      <c r="Q38" s="16"/>
      <c r="R38" s="16"/>
      <c r="S38" s="16"/>
      <c r="T38" s="16"/>
      <c r="U38" s="16"/>
      <c r="V38" s="16"/>
      <c r="W38" s="16"/>
      <c r="X38" s="16"/>
      <c r="Y38" s="16"/>
      <c r="Z38" s="16"/>
    </row>
    <row r="39" ht="13.5" customHeight="1" spans="1:26" x14ac:dyDescent="0.25">
      <c r="A39" s="17"/>
      <c r="B39" s="16"/>
      <c r="C39" s="16"/>
      <c r="D39" s="16"/>
      <c r="E39" s="16"/>
      <c r="F39" s="16"/>
      <c r="G39" s="16"/>
      <c r="H39" s="16"/>
      <c r="I39" s="16"/>
      <c r="J39" s="16"/>
      <c r="K39" s="16"/>
      <c r="L39" s="16"/>
      <c r="M39" s="16"/>
      <c r="N39" s="16"/>
      <c r="O39" s="16"/>
      <c r="P39" s="16"/>
      <c r="Q39" s="16"/>
      <c r="R39" s="16"/>
      <c r="S39" s="16"/>
      <c r="T39" s="16"/>
      <c r="U39" s="16"/>
      <c r="V39" s="16"/>
      <c r="W39" s="16"/>
      <c r="X39" s="16"/>
      <c r="Y39" s="16"/>
      <c r="Z39" s="16"/>
    </row>
    <row r="40" ht="13.5" customHeight="1" spans="1:26" x14ac:dyDescent="0.25">
      <c r="A40" s="17" t="s">
        <v>1</v>
      </c>
      <c r="B40" s="16"/>
      <c r="C40" s="92" t="s">
        <v>959</v>
      </c>
      <c r="D40" s="22"/>
      <c r="E40" s="22"/>
      <c r="F40" s="22"/>
      <c r="G40" s="22"/>
      <c r="H40" s="22"/>
      <c r="I40" s="22"/>
      <c r="J40" s="22"/>
      <c r="K40" s="22"/>
      <c r="L40" s="22"/>
      <c r="M40" s="22"/>
      <c r="N40" s="22"/>
      <c r="O40" s="22"/>
      <c r="P40" s="22"/>
      <c r="Q40" s="7"/>
      <c r="R40" s="16"/>
      <c r="S40" s="16"/>
      <c r="T40" s="16"/>
      <c r="U40" s="16"/>
      <c r="V40" s="16"/>
      <c r="W40" s="16"/>
      <c r="X40" s="16"/>
      <c r="Y40" s="16"/>
      <c r="Z40" s="16"/>
    </row>
    <row r="41" ht="13.5" customHeight="1" spans="1:26" x14ac:dyDescent="0.25">
      <c r="A41" s="17"/>
      <c r="B41" s="16"/>
      <c r="C41" s="16"/>
      <c r="D41" s="16"/>
      <c r="E41" s="16"/>
      <c r="F41" s="16"/>
      <c r="G41" s="16"/>
      <c r="H41" s="16"/>
      <c r="I41" s="16"/>
      <c r="J41" s="16"/>
      <c r="K41" s="16"/>
      <c r="L41" s="16"/>
      <c r="M41" s="16"/>
      <c r="N41" s="16"/>
      <c r="O41" s="16"/>
      <c r="P41" s="16"/>
      <c r="Q41" s="16"/>
      <c r="R41" s="16"/>
      <c r="S41" s="16"/>
      <c r="T41" s="16"/>
      <c r="U41" s="16"/>
      <c r="V41" s="16"/>
      <c r="W41" s="16"/>
      <c r="X41" s="16"/>
      <c r="Y41" s="16"/>
      <c r="Z41" s="16"/>
    </row>
    <row r="42" ht="13.5" customHeight="1" spans="1:26" x14ac:dyDescent="0.25">
      <c r="A42" s="17"/>
      <c r="B42" s="16"/>
      <c r="C42" s="883" t="str">
        <f ca="1">C26</f>
        <v>Raw Data</v>
      </c>
      <c r="D42" s="112"/>
      <c r="E42" s="112"/>
      <c r="F42" s="47"/>
      <c r="G42" s="16"/>
      <c r="H42" s="16"/>
      <c r="I42" s="16"/>
      <c r="J42" s="16"/>
      <c r="K42" s="16"/>
      <c r="L42" s="16"/>
      <c r="M42" s="16"/>
      <c r="N42" s="16"/>
      <c r="O42" s="883" t="str">
        <f ca="1">O26</f>
        <v>Chart Data</v>
      </c>
      <c r="P42" s="112"/>
      <c r="Q42" s="112"/>
      <c r="R42" s="16"/>
      <c r="S42" s="16"/>
      <c r="T42" s="16"/>
      <c r="U42" s="16"/>
      <c r="V42" s="16"/>
      <c r="W42" s="16"/>
      <c r="X42" s="16"/>
      <c r="Y42" s="16"/>
      <c r="Z42" s="16"/>
    </row>
    <row r="43" ht="13.5" customHeight="1" spans="1:26" x14ac:dyDescent="0.25">
      <c r="A43" s="17"/>
      <c r="B43" s="16"/>
      <c r="C43" s="16"/>
      <c r="D43" s="16"/>
      <c r="E43" s="16"/>
      <c r="F43" s="16"/>
      <c r="G43" s="16"/>
      <c r="H43" s="16"/>
      <c r="I43" s="16"/>
      <c r="J43" s="16"/>
      <c r="K43" s="16"/>
      <c r="L43" s="16"/>
      <c r="M43" s="16"/>
      <c r="N43" s="16"/>
      <c r="O43" s="16"/>
      <c r="P43" s="16"/>
      <c r="Q43" s="16"/>
      <c r="R43" s="16"/>
      <c r="S43" s="16"/>
      <c r="T43" s="16"/>
      <c r="U43" s="16"/>
      <c r="V43" s="16"/>
      <c r="W43" s="16"/>
      <c r="X43" s="16"/>
      <c r="Y43" s="16"/>
      <c r="Z43" s="16"/>
    </row>
    <row r="44" ht="13.5" customHeight="1" spans="1:26" x14ac:dyDescent="0.25">
      <c r="A44" s="17"/>
      <c r="B44" s="16"/>
      <c r="C44" s="884" t="str">
        <f t="shared" ref="C44:C49" si="13" ca="1">C28</f>
        <v>LOW</v>
      </c>
      <c r="D44" s="890">
        <f ca="1">Comparables!R10</f>
        <v>12.5309555137087</v>
      </c>
      <c r="E44" s="886"/>
      <c r="F44" s="16"/>
      <c r="G44" s="16"/>
      <c r="H44" s="16"/>
      <c r="I44" s="16"/>
      <c r="J44" s="16"/>
      <c r="K44" s="16"/>
      <c r="L44" s="16"/>
      <c r="M44" s="16"/>
      <c r="N44" s="16"/>
      <c r="O44" s="884" t="str">
        <f t="shared" ref="O44:P44" si="14" ca="1">C44</f>
        <v>LOW</v>
      </c>
      <c r="P44" s="891">
        <f ca="1">D44</f>
        <v>12.5309555137087</v>
      </c>
      <c r="Q44" s="886"/>
      <c r="R44" s="16"/>
      <c r="S44" s="16"/>
      <c r="T44" s="16"/>
      <c r="U44" s="16"/>
      <c r="V44" s="16"/>
      <c r="W44" s="16"/>
      <c r="X44" s="16"/>
      <c r="Y44" s="16"/>
      <c r="Z44" s="16"/>
    </row>
    <row r="45" ht="13.5" customHeight="1" spans="1:26" x14ac:dyDescent="0.25">
      <c r="A45" s="17"/>
      <c r="B45" s="641">
        <v>1</v>
      </c>
      <c r="C45" s="737" t="str">
        <f ca="1">C29</f>
        <v>AAPL</v>
      </c>
      <c r="D45" s="892">
        <f ca="1">Comparables!R12+RAND()/1000000</f>
        <v>20.059111550519248</v>
      </c>
      <c r="E45" s="893">
        <f ca="1">MEDIAN(D45:D49)</f>
        <v>20.059111550519248</v>
      </c>
      <c r="F45" s="16"/>
      <c r="G45" s="16"/>
      <c r="H45" s="16"/>
      <c r="I45" s="16"/>
      <c r="J45" s="16"/>
      <c r="K45" s="16"/>
      <c r="L45" s="16"/>
      <c r="M45" s="16"/>
      <c r="N45" s="16"/>
      <c r="O45" s="737" t="str">
        <f t="shared" ref="O45:O49" si="15" ca="1">INDEX($C$45:$C$49,MATCH(P45,$D$45:$D$49,0),1)</f>
        <v>SNAP</v>
      </c>
      <c r="P45" s="893">
        <f t="shared" ref="P45:P49" si="16" ca="1">LARGE($D$45:$D$49,B45)</f>
        <v>211.9460448199162</v>
      </c>
      <c r="Q45" s="893">
        <f t="shared" ref="Q45:Q49" si="17" ca="1">E45</f>
        <v>20.059111550519248</v>
      </c>
      <c r="R45" s="16"/>
      <c r="S45" s="16"/>
      <c r="T45" s="16"/>
      <c r="U45" s="16"/>
      <c r="V45" s="16"/>
      <c r="W45" s="16"/>
      <c r="X45" s="16"/>
      <c r="Y45" s="16"/>
      <c r="Z45" s="16"/>
    </row>
    <row r="46" ht="13.5" customHeight="1" spans="1:26" x14ac:dyDescent="0.25">
      <c r="A46" s="17"/>
      <c r="B46" s="16">
        <f t="shared" ref="B46:B49" si="18" ca="1">B45+1</f>
        <v>2</v>
      </c>
      <c r="C46" s="737" t="str">
        <f ca="1">C30</f>
        <v>FB</v>
      </c>
      <c r="D46" s="892">
        <f ca="1">Comparables!R13+RAND()/1000000</f>
        <v>15.16214615732942</v>
      </c>
      <c r="E46" s="893">
        <f t="shared" ref="E46:E49" si="19" ca="1">E45</f>
        <v>20.059111550519248</v>
      </c>
      <c r="F46" s="16"/>
      <c r="G46" s="16"/>
      <c r="H46" s="16"/>
      <c r="I46" s="16"/>
      <c r="J46" s="16"/>
      <c r="K46" s="16"/>
      <c r="L46" s="16"/>
      <c r="M46" s="16"/>
      <c r="N46" s="16"/>
      <c r="O46" s="737" t="str">
        <f ca="1">INDEX($C$45:$C$49,MATCH(P46,$D$45:$D$49,0),1)</f>
        <v>MSFT</v>
      </c>
      <c r="P46" s="893">
        <f ca="1">LARGE($D$45:$D$49,B46)</f>
        <v>23.640873331911656</v>
      </c>
      <c r="Q46" s="893">
        <f ca="1">E46</f>
        <v>20.059111550519248</v>
      </c>
      <c r="R46" s="16"/>
      <c r="S46" s="16"/>
      <c r="T46" s="16"/>
      <c r="U46" s="16"/>
      <c r="V46" s="16"/>
      <c r="W46" s="16"/>
      <c r="X46" s="16"/>
      <c r="Y46" s="16"/>
      <c r="Z46" s="16"/>
    </row>
    <row r="47" ht="13.5" customHeight="1" spans="1:26" x14ac:dyDescent="0.25">
      <c r="A47" s="17"/>
      <c r="B47" s="16">
        <f ca="1">B46+1</f>
        <v>3</v>
      </c>
      <c r="C47" s="737" t="str">
        <f ca="1">C31</f>
        <v>MSFT</v>
      </c>
      <c r="D47" s="892">
        <f ca="1">Comparables!R14+RAND()/1000000</f>
        <v>23.640873331911656</v>
      </c>
      <c r="E47" s="893">
        <f ca="1">E46</f>
        <v>20.059111550519248</v>
      </c>
      <c r="F47" s="16"/>
      <c r="G47" s="16"/>
      <c r="H47" s="16"/>
      <c r="I47" s="16"/>
      <c r="J47" s="16"/>
      <c r="K47" s="16"/>
      <c r="L47" s="16"/>
      <c r="M47" s="16"/>
      <c r="N47" s="16"/>
      <c r="O47" s="737" t="str">
        <f ca="1">INDEX($C$45:$C$49,MATCH(P47,$D$45:$D$49,0),1)</f>
        <v>AAPL</v>
      </c>
      <c r="P47" s="893">
        <f ca="1">LARGE($D$45:$D$49,B47)</f>
        <v>20.059111550519248</v>
      </c>
      <c r="Q47" s="893">
        <f ca="1">E47</f>
        <v>20.059111550519248</v>
      </c>
      <c r="R47" s="16"/>
      <c r="S47" s="16"/>
      <c r="T47" s="16"/>
      <c r="U47" s="16"/>
      <c r="V47" s="16"/>
      <c r="W47" s="16"/>
      <c r="X47" s="16"/>
      <c r="Y47" s="16"/>
      <c r="Z47" s="16"/>
    </row>
    <row r="48" ht="13.5" customHeight="1" spans="1:26" x14ac:dyDescent="0.25">
      <c r="A48" s="17"/>
      <c r="B48" s="16">
        <f ca="1">B47+1</f>
        <v>4</v>
      </c>
      <c r="C48" s="737" t="str">
        <f ca="1">C32</f>
        <v>SNAP</v>
      </c>
      <c r="D48" s="892">
        <f ca="1">Comparables!R15+RAND()/1000000</f>
        <v>211.9460448199162</v>
      </c>
      <c r="E48" s="893">
        <f ca="1">E47</f>
        <v>20.059111550519248</v>
      </c>
      <c r="F48" s="16"/>
      <c r="G48" s="16"/>
      <c r="H48" s="16"/>
      <c r="I48" s="16"/>
      <c r="J48" s="16"/>
      <c r="K48" s="16"/>
      <c r="L48" s="16"/>
      <c r="M48" s="16"/>
      <c r="N48" s="16"/>
      <c r="O48" s="737" t="str">
        <f ca="1">INDEX($C$45:$C$49,MATCH(P48,$D$45:$D$49,0),1)</f>
        <v>GOOGL</v>
      </c>
      <c r="P48" s="893">
        <f ca="1">LARGE($D$45:$D$49,B48)</f>
        <v>18.088799411048132</v>
      </c>
      <c r="Q48" s="893">
        <f ca="1">E48</f>
        <v>20.059111550519248</v>
      </c>
      <c r="R48" s="16"/>
      <c r="S48" s="16"/>
      <c r="T48" s="16"/>
      <c r="U48" s="16"/>
      <c r="V48" s="16"/>
      <c r="W48" s="16"/>
      <c r="X48" s="16"/>
      <c r="Y48" s="16"/>
      <c r="Z48" s="16"/>
    </row>
    <row r="49" ht="13.5" customHeight="1" spans="1:26" x14ac:dyDescent="0.25">
      <c r="A49" s="17"/>
      <c r="B49" s="16">
        <f ca="1">B48+1</f>
        <v>5</v>
      </c>
      <c r="C49" s="737" t="str">
        <f ca="1">C33</f>
        <v>GOOGL</v>
      </c>
      <c r="D49" s="892">
        <f ca="1">Comparables!R16+RAND()/1000000</f>
        <v>18.088799411048132</v>
      </c>
      <c r="E49" s="893">
        <f ca="1">E48</f>
        <v>20.059111550519248</v>
      </c>
      <c r="F49" s="16"/>
      <c r="G49" s="16"/>
      <c r="H49" s="16"/>
      <c r="I49" s="16"/>
      <c r="J49" s="16"/>
      <c r="K49" s="16"/>
      <c r="L49" s="16"/>
      <c r="M49" s="16"/>
      <c r="N49" s="16"/>
      <c r="O49" s="737" t="str">
        <f ca="1">INDEX($C$45:$C$49,MATCH(P49,$D$45:$D$49,0),1)</f>
        <v>FB</v>
      </c>
      <c r="P49" s="893">
        <f ca="1">LARGE($D$45:$D$49,B49)</f>
        <v>15.16214615732942</v>
      </c>
      <c r="Q49" s="893">
        <f ca="1">E49</f>
        <v>20.059111550519248</v>
      </c>
      <c r="R49" s="16"/>
      <c r="S49" s="16"/>
      <c r="T49" s="16"/>
      <c r="U49" s="16"/>
      <c r="V49" s="16"/>
      <c r="W49" s="16"/>
      <c r="X49" s="16"/>
      <c r="Y49" s="16"/>
      <c r="Z49" s="16"/>
    </row>
    <row r="50" ht="13.5" customHeight="1" spans="1:26" x14ac:dyDescent="0.25">
      <c r="A50" s="17"/>
      <c r="B50" s="16"/>
      <c r="C50" s="16"/>
      <c r="D50" s="16"/>
      <c r="E50" s="16"/>
      <c r="F50" s="16"/>
      <c r="G50" s="16"/>
      <c r="H50" s="16"/>
      <c r="I50" s="16"/>
      <c r="J50" s="16"/>
      <c r="K50" s="16"/>
      <c r="L50" s="16"/>
      <c r="M50" s="16"/>
      <c r="N50" s="16"/>
      <c r="O50" s="16"/>
      <c r="P50" s="16"/>
      <c r="Q50" s="16"/>
      <c r="R50" s="16"/>
      <c r="S50" s="16"/>
      <c r="T50" s="16"/>
      <c r="U50" s="16"/>
      <c r="V50" s="16"/>
      <c r="W50" s="16"/>
      <c r="X50" s="16"/>
      <c r="Y50" s="16"/>
      <c r="Z50" s="16"/>
    </row>
    <row r="51" ht="13.5" customHeight="1" spans="1:26" x14ac:dyDescent="0.25">
      <c r="A51" s="17"/>
      <c r="B51" s="16"/>
      <c r="C51" s="16"/>
      <c r="D51" s="16"/>
      <c r="E51" s="889" t="str">
        <f ca="1">"Median "&amp;TEXT(E45,"0.0x")</f>
        <v>Median 20.1x</v>
      </c>
      <c r="F51" s="16"/>
      <c r="G51" s="16"/>
      <c r="H51" s="16"/>
      <c r="I51" s="16"/>
      <c r="J51" s="16"/>
      <c r="K51" s="16"/>
      <c r="L51" s="16"/>
      <c r="M51" s="16"/>
      <c r="N51" s="16"/>
      <c r="O51" s="16"/>
      <c r="P51" s="16"/>
      <c r="Q51" s="889" t="str">
        <f ca="1">E51</f>
        <v>Median 20.1x</v>
      </c>
      <c r="R51" s="16"/>
      <c r="S51" s="16"/>
      <c r="T51" s="16"/>
      <c r="U51" s="16"/>
      <c r="V51" s="16"/>
      <c r="W51" s="16"/>
      <c r="X51" s="16"/>
      <c r="Y51" s="16"/>
      <c r="Z51" s="16"/>
    </row>
    <row r="52" ht="13.5" customHeight="1" spans="1:26" x14ac:dyDescent="0.25">
      <c r="A52" s="17"/>
      <c r="B52" s="16"/>
      <c r="C52" s="16"/>
      <c r="D52" s="16"/>
      <c r="E52" s="16"/>
      <c r="F52" s="16"/>
      <c r="G52" s="16"/>
      <c r="H52" s="16"/>
      <c r="I52" s="16"/>
      <c r="J52" s="16"/>
      <c r="K52" s="16"/>
      <c r="L52" s="16"/>
      <c r="M52" s="16"/>
      <c r="N52" s="16"/>
      <c r="O52" s="16"/>
      <c r="P52" s="16"/>
      <c r="Q52" s="16"/>
      <c r="R52" s="16"/>
      <c r="S52" s="16"/>
      <c r="T52" s="16"/>
      <c r="U52" s="16"/>
      <c r="V52" s="16"/>
      <c r="W52" s="16"/>
      <c r="X52" s="16"/>
      <c r="Y52" s="16"/>
      <c r="Z52" s="16"/>
    </row>
    <row r="53" ht="13.5" customHeight="1" spans="1:26" x14ac:dyDescent="0.25">
      <c r="A53" s="17"/>
      <c r="B53" s="16"/>
      <c r="C53" s="16"/>
      <c r="D53" s="16"/>
      <c r="E53" s="16"/>
      <c r="F53" s="16"/>
      <c r="G53" s="16"/>
      <c r="H53" s="16"/>
      <c r="I53" s="16"/>
      <c r="J53" s="16"/>
      <c r="K53" s="16"/>
      <c r="L53" s="16"/>
      <c r="M53" s="16"/>
      <c r="N53" s="16"/>
      <c r="O53" s="16"/>
      <c r="P53" s="16"/>
      <c r="Q53" s="16"/>
      <c r="R53" s="16"/>
      <c r="S53" s="16"/>
      <c r="T53" s="16"/>
      <c r="U53" s="16"/>
      <c r="V53" s="16"/>
      <c r="W53" s="16"/>
      <c r="X53" s="16"/>
      <c r="Y53" s="16"/>
      <c r="Z53" s="16"/>
    </row>
    <row r="54" ht="13.5" customHeight="1" spans="1:26" x14ac:dyDescent="0.25">
      <c r="A54" s="17"/>
      <c r="B54" s="16"/>
      <c r="C54" s="16"/>
      <c r="D54" s="16"/>
      <c r="E54" s="16"/>
      <c r="F54" s="16"/>
      <c r="G54" s="16"/>
      <c r="H54" s="16"/>
      <c r="I54" s="16"/>
      <c r="J54" s="16"/>
      <c r="K54" s="16"/>
      <c r="L54" s="16"/>
      <c r="M54" s="16"/>
      <c r="N54" s="16"/>
      <c r="O54" s="16"/>
      <c r="P54" s="16"/>
      <c r="Q54" s="16"/>
      <c r="R54" s="16"/>
      <c r="S54" s="16"/>
      <c r="T54" s="16"/>
      <c r="U54" s="16"/>
      <c r="V54" s="16"/>
      <c r="W54" s="16"/>
      <c r="X54" s="16"/>
      <c r="Y54" s="16"/>
      <c r="Z54" s="16"/>
    </row>
    <row r="55" ht="13.5" customHeight="1" spans="1:26" x14ac:dyDescent="0.25">
      <c r="A55" s="17"/>
      <c r="B55" s="16"/>
      <c r="C55" s="16"/>
      <c r="D55" s="16"/>
      <c r="E55" s="16"/>
      <c r="F55" s="16"/>
      <c r="G55" s="16"/>
      <c r="H55" s="16"/>
      <c r="I55" s="16"/>
      <c r="J55" s="16"/>
      <c r="K55" s="16"/>
      <c r="L55" s="16"/>
      <c r="M55" s="16"/>
      <c r="N55" s="16"/>
      <c r="O55" s="16"/>
      <c r="P55" s="16"/>
      <c r="Q55" s="16"/>
      <c r="R55" s="16"/>
      <c r="S55" s="16"/>
      <c r="T55" s="16"/>
      <c r="U55" s="16"/>
      <c r="V55" s="16"/>
      <c r="W55" s="16"/>
      <c r="X55" s="16"/>
      <c r="Y55" s="16"/>
      <c r="Z55" s="16"/>
    </row>
    <row r="56" ht="13.5" customHeight="1" spans="1:26" x14ac:dyDescent="0.25">
      <c r="A56" s="17" t="s">
        <v>1</v>
      </c>
      <c r="B56" s="16"/>
      <c r="C56" s="92" t="s">
        <v>960</v>
      </c>
      <c r="D56" s="22"/>
      <c r="E56" s="22"/>
      <c r="F56" s="22"/>
      <c r="G56" s="22"/>
      <c r="H56" s="22"/>
      <c r="I56" s="22"/>
      <c r="J56" s="22"/>
      <c r="K56" s="22"/>
      <c r="L56" s="22"/>
      <c r="M56" s="22"/>
      <c r="N56" s="22"/>
      <c r="O56" s="22"/>
      <c r="P56" s="22"/>
      <c r="Q56" s="7"/>
      <c r="R56" s="16"/>
      <c r="S56" s="16"/>
      <c r="T56" s="16"/>
      <c r="U56" s="16"/>
      <c r="V56" s="16"/>
      <c r="W56" s="16"/>
      <c r="X56" s="16"/>
      <c r="Y56" s="16"/>
      <c r="Z56" s="16"/>
    </row>
    <row r="57" ht="13.5" customHeight="1" spans="1:26" x14ac:dyDescent="0.25">
      <c r="A57" s="17"/>
      <c r="B57" s="16"/>
      <c r="C57" s="16"/>
      <c r="D57" s="16"/>
      <c r="E57" s="16"/>
      <c r="F57" s="16"/>
      <c r="G57" s="16"/>
      <c r="H57" s="16"/>
      <c r="I57" s="16"/>
      <c r="J57" s="16"/>
      <c r="K57" s="16"/>
      <c r="L57" s="16"/>
      <c r="M57" s="16"/>
      <c r="N57" s="16"/>
      <c r="O57" s="16"/>
      <c r="P57" s="16"/>
      <c r="Q57" s="16"/>
      <c r="R57" s="16"/>
      <c r="S57" s="16"/>
      <c r="T57" s="16"/>
      <c r="U57" s="16"/>
      <c r="V57" s="16"/>
      <c r="W57" s="16"/>
      <c r="X57" s="16"/>
      <c r="Y57" s="16"/>
      <c r="Z57" s="16"/>
    </row>
    <row r="58" ht="13.5" customHeight="1" spans="1:26" x14ac:dyDescent="0.25">
      <c r="A58" s="17"/>
      <c r="B58" s="16"/>
      <c r="C58" s="883" t="str">
        <f ca="1">C42</f>
        <v>Raw Data</v>
      </c>
      <c r="D58" s="112"/>
      <c r="E58" s="112"/>
      <c r="F58" s="47"/>
      <c r="G58" s="16"/>
      <c r="H58" s="16"/>
      <c r="I58" s="16"/>
      <c r="J58" s="16"/>
      <c r="K58" s="16"/>
      <c r="L58" s="16"/>
      <c r="M58" s="16"/>
      <c r="N58" s="16"/>
      <c r="O58" s="883" t="str">
        <f ca="1">O42</f>
        <v>Chart Data</v>
      </c>
      <c r="P58" s="112"/>
      <c r="Q58" s="112"/>
      <c r="R58" s="16"/>
      <c r="S58" s="16"/>
      <c r="T58" s="16"/>
      <c r="U58" s="16"/>
      <c r="V58" s="16"/>
      <c r="W58" s="16"/>
      <c r="X58" s="16"/>
      <c r="Y58" s="16"/>
      <c r="Z58" s="16"/>
    </row>
    <row r="59" ht="13.5" customHeight="1" spans="1:26" x14ac:dyDescent="0.25">
      <c r="A59" s="17"/>
      <c r="B59" s="16"/>
      <c r="C59" s="16"/>
      <c r="D59" s="16"/>
      <c r="E59" s="16"/>
      <c r="F59" s="16"/>
      <c r="G59" s="16"/>
      <c r="H59" s="16"/>
      <c r="I59" s="16"/>
      <c r="J59" s="16"/>
      <c r="K59" s="16"/>
      <c r="L59" s="16"/>
      <c r="M59" s="16"/>
      <c r="N59" s="16"/>
      <c r="O59" s="16"/>
      <c r="P59" s="16"/>
      <c r="Q59" s="16"/>
      <c r="R59" s="16"/>
      <c r="S59" s="16"/>
      <c r="T59" s="16"/>
      <c r="U59" s="16"/>
      <c r="V59" s="16"/>
      <c r="W59" s="16"/>
      <c r="X59" s="16"/>
      <c r="Y59" s="16"/>
      <c r="Z59" s="16"/>
    </row>
    <row r="60" ht="13.5" customHeight="1" spans="1:26" x14ac:dyDescent="0.25">
      <c r="A60" s="17"/>
      <c r="B60" s="16"/>
      <c r="C60" s="884" t="str">
        <f t="shared" ref="C60:C65" si="20" ca="1">C44</f>
        <v>LOW</v>
      </c>
      <c r="D60" s="890">
        <f ca="1">Comparables!V10</f>
        <v>17.846255042276262</v>
      </c>
      <c r="E60" s="886"/>
      <c r="F60" s="16"/>
      <c r="G60" s="16"/>
      <c r="H60" s="16"/>
      <c r="I60" s="16"/>
      <c r="J60" s="16"/>
      <c r="K60" s="16"/>
      <c r="L60" s="16"/>
      <c r="M60" s="16"/>
      <c r="N60" s="16"/>
      <c r="O60" s="884" t="str">
        <f t="shared" ref="O60:P60" si="21" ca="1">C60</f>
        <v>LOW</v>
      </c>
      <c r="P60" s="891">
        <f ca="1">D60</f>
        <v>17.846255042276262</v>
      </c>
      <c r="Q60" s="886"/>
      <c r="R60" s="16"/>
      <c r="S60" s="16"/>
      <c r="T60" s="16"/>
      <c r="U60" s="16"/>
      <c r="V60" s="16"/>
      <c r="W60" s="16"/>
      <c r="X60" s="16"/>
      <c r="Y60" s="16"/>
      <c r="Z60" s="16"/>
    </row>
    <row r="61" ht="13.5" customHeight="1" spans="1:26" x14ac:dyDescent="0.25">
      <c r="A61" s="17"/>
      <c r="B61" s="641">
        <v>1</v>
      </c>
      <c r="C61" s="737" t="str">
        <f ca="1">C45</f>
        <v>AAPL</v>
      </c>
      <c r="D61" s="892">
        <f ca="1">Comparables!V12+RAND()/1000000</f>
        <v>26.18405423006278</v>
      </c>
      <c r="E61" s="893">
        <f ca="1">MEDIAN(D61:D65)</f>
        <v>28.409247748400013</v>
      </c>
      <c r="F61" s="16"/>
      <c r="G61" s="16"/>
      <c r="H61" s="16"/>
      <c r="I61" s="16"/>
      <c r="J61" s="16"/>
      <c r="K61" s="16"/>
      <c r="L61" s="16"/>
      <c r="M61" s="16"/>
      <c r="N61" s="16"/>
      <c r="O61" s="737" t="str">
        <f t="shared" ref="O61:O65" si="22" ca="1">INDEX($C$61:$C$65,MATCH(P61,$D$61:$D$65,0),1)</f>
        <v>SNAP</v>
      </c>
      <c r="P61" s="893">
        <f t="shared" ref="P61:P65" si="23" ca="1">LARGE($D$61:$D$65,B61)</f>
        <v>214.40286185306496</v>
      </c>
      <c r="Q61" s="893">
        <f t="shared" ref="Q61:Q65" si="24" ca="1">E61</f>
        <v>28.409247748400013</v>
      </c>
      <c r="R61" s="16"/>
      <c r="S61" s="16"/>
      <c r="T61" s="16"/>
      <c r="U61" s="16"/>
      <c r="V61" s="16"/>
      <c r="W61" s="16"/>
      <c r="X61" s="16"/>
      <c r="Y61" s="16"/>
      <c r="Z61" s="16"/>
    </row>
    <row r="62" ht="13.5" customHeight="1" spans="1:26" x14ac:dyDescent="0.25">
      <c r="A62" s="17"/>
      <c r="B62" s="16">
        <f t="shared" ref="B62:B65" si="25" ca="1">B61+1</f>
        <v>2</v>
      </c>
      <c r="C62" s="737" t="str">
        <f ca="1">C46</f>
        <v>FB</v>
      </c>
      <c r="D62" s="892">
        <f ca="1">Comparables!V13+RAND()/1000000</f>
        <v>25.962800004398176</v>
      </c>
      <c r="E62" s="893">
        <f t="shared" ref="E62:E65" si="26" ca="1">E61</f>
        <v>28.409247748400013</v>
      </c>
      <c r="F62" s="16"/>
      <c r="G62" s="16"/>
      <c r="H62" s="16"/>
      <c r="I62" s="16"/>
      <c r="J62" s="16"/>
      <c r="K62" s="16"/>
      <c r="L62" s="16"/>
      <c r="M62" s="16"/>
      <c r="N62" s="16"/>
      <c r="O62" s="737" t="str">
        <f ca="1">INDEX($C$61:$C$65,MATCH(P62,$D$61:$D$65,0),1)</f>
        <v>MSFT</v>
      </c>
      <c r="P62" s="893">
        <f ca="1">LARGE($D$61:$D$65,B62)</f>
        <v>33.97722233809285</v>
      </c>
      <c r="Q62" s="893">
        <f ca="1">E62</f>
        <v>28.409247748400013</v>
      </c>
      <c r="R62" s="16"/>
      <c r="S62" s="16"/>
      <c r="T62" s="16"/>
      <c r="U62" s="16"/>
      <c r="V62" s="16"/>
      <c r="W62" s="16"/>
      <c r="X62" s="16"/>
      <c r="Y62" s="16"/>
      <c r="Z62" s="16"/>
    </row>
    <row r="63" ht="13.5" customHeight="1" spans="1:26" x14ac:dyDescent="0.25">
      <c r="A63" s="17"/>
      <c r="B63" s="16">
        <f ca="1">B62+1</f>
        <v>3</v>
      </c>
      <c r="C63" s="737" t="str">
        <f ca="1">C47</f>
        <v>MSFT</v>
      </c>
      <c r="D63" s="892">
        <f ca="1">Comparables!V14+RAND()/1000000</f>
        <v>33.97722233809285</v>
      </c>
      <c r="E63" s="893">
        <f ca="1">E62</f>
        <v>28.409247748400013</v>
      </c>
      <c r="F63" s="16"/>
      <c r="G63" s="16"/>
      <c r="H63" s="16"/>
      <c r="I63" s="16"/>
      <c r="J63" s="16"/>
      <c r="K63" s="16"/>
      <c r="L63" s="16"/>
      <c r="M63" s="16"/>
      <c r="N63" s="16"/>
      <c r="O63" s="737" t="str">
        <f ca="1">INDEX($C$61:$C$65,MATCH(P63,$D$61:$D$65,0),1)</f>
        <v>GOOGL</v>
      </c>
      <c r="P63" s="893">
        <f ca="1">LARGE($D$61:$D$65,B63)</f>
        <v>28.409247748400013</v>
      </c>
      <c r="Q63" s="893">
        <f ca="1">E63</f>
        <v>28.409247748400013</v>
      </c>
      <c r="R63" s="16"/>
      <c r="S63" s="16"/>
      <c r="T63" s="16"/>
      <c r="U63" s="16"/>
      <c r="V63" s="16"/>
      <c r="W63" s="16"/>
      <c r="X63" s="16"/>
      <c r="Y63" s="16"/>
      <c r="Z63" s="16"/>
    </row>
    <row r="64" ht="13.5" customHeight="1" spans="1:26" x14ac:dyDescent="0.25">
      <c r="A64" s="17"/>
      <c r="B64" s="16">
        <f ca="1">B63+1</f>
        <v>4</v>
      </c>
      <c r="C64" s="737" t="str">
        <f ca="1">C48</f>
        <v>SNAP</v>
      </c>
      <c r="D64" s="892">
        <f ca="1">Comparables!V15+RAND()/1000000</f>
        <v>214.40286185306496</v>
      </c>
      <c r="E64" s="893">
        <f ca="1">E63</f>
        <v>28.409247748400013</v>
      </c>
      <c r="F64" s="16"/>
      <c r="G64" s="16"/>
      <c r="H64" s="16"/>
      <c r="I64" s="16"/>
      <c r="J64" s="16"/>
      <c r="K64" s="16"/>
      <c r="L64" s="16"/>
      <c r="M64" s="16"/>
      <c r="N64" s="16"/>
      <c r="O64" s="737" t="str">
        <f ca="1">INDEX($C$61:$C$65,MATCH(P64,$D$61:$D$65,0),1)</f>
        <v>AAPL</v>
      </c>
      <c r="P64" s="893">
        <f ca="1">LARGE($D$61:$D$65,B64)</f>
        <v>26.18405423006278</v>
      </c>
      <c r="Q64" s="893">
        <f ca="1">E64</f>
        <v>28.409247748400013</v>
      </c>
      <c r="R64" s="16"/>
      <c r="S64" s="16"/>
      <c r="T64" s="16"/>
      <c r="U64" s="16"/>
      <c r="V64" s="16"/>
      <c r="W64" s="16"/>
      <c r="X64" s="16"/>
      <c r="Y64" s="16"/>
      <c r="Z64" s="16"/>
    </row>
    <row r="65" ht="13.5" customHeight="1" spans="1:26" x14ac:dyDescent="0.25">
      <c r="A65" s="17"/>
      <c r="B65" s="16">
        <f ca="1">B64+1</f>
        <v>5</v>
      </c>
      <c r="C65" s="737" t="str">
        <f ca="1">C49</f>
        <v>GOOGL</v>
      </c>
      <c r="D65" s="892">
        <f ca="1">Comparables!V16+RAND()/1000000</f>
        <v>28.409247748400013</v>
      </c>
      <c r="E65" s="893">
        <f ca="1">E64</f>
        <v>28.409247748400013</v>
      </c>
      <c r="F65" s="16"/>
      <c r="G65" s="16"/>
      <c r="H65" s="16"/>
      <c r="I65" s="16"/>
      <c r="J65" s="16"/>
      <c r="K65" s="16"/>
      <c r="L65" s="16"/>
      <c r="M65" s="16"/>
      <c r="N65" s="16"/>
      <c r="O65" s="737" t="str">
        <f ca="1">INDEX($C$61:$C$65,MATCH(P65,$D$61:$D$65,0),1)</f>
        <v>FB</v>
      </c>
      <c r="P65" s="893">
        <f ca="1">LARGE($D$61:$D$65,B65)</f>
        <v>25.962800004398176</v>
      </c>
      <c r="Q65" s="893">
        <f ca="1">E65</f>
        <v>28.409247748400013</v>
      </c>
      <c r="R65" s="16"/>
      <c r="S65" s="16"/>
      <c r="T65" s="16"/>
      <c r="U65" s="16"/>
      <c r="V65" s="16"/>
      <c r="W65" s="16"/>
      <c r="X65" s="16"/>
      <c r="Y65" s="16"/>
      <c r="Z65" s="16"/>
    </row>
    <row r="66" ht="13.5" customHeight="1" spans="1:26" x14ac:dyDescent="0.25">
      <c r="A66" s="17"/>
      <c r="B66" s="16"/>
      <c r="C66" s="16"/>
      <c r="D66" s="16"/>
      <c r="E66" s="16"/>
      <c r="F66" s="16"/>
      <c r="G66" s="16"/>
      <c r="H66" s="16"/>
      <c r="I66" s="16"/>
      <c r="J66" s="16"/>
      <c r="K66" s="16"/>
      <c r="L66" s="16"/>
      <c r="M66" s="16"/>
      <c r="N66" s="16"/>
      <c r="O66" s="16"/>
      <c r="P66" s="16"/>
      <c r="Q66" s="16"/>
      <c r="R66" s="16"/>
      <c r="S66" s="16"/>
      <c r="T66" s="16"/>
      <c r="U66" s="16"/>
      <c r="V66" s="16"/>
      <c r="W66" s="16"/>
      <c r="X66" s="16"/>
      <c r="Y66" s="16"/>
      <c r="Z66" s="16"/>
    </row>
    <row r="67" ht="13.5" customHeight="1" spans="1:26" x14ac:dyDescent="0.25">
      <c r="A67" s="17"/>
      <c r="B67" s="16"/>
      <c r="C67" s="16"/>
      <c r="D67" s="16"/>
      <c r="E67" s="889" t="str">
        <f ca="1">"Median "&amp;TEXT(E61,"0.0x")</f>
        <v>Median 28.4x</v>
      </c>
      <c r="F67" s="16"/>
      <c r="G67" s="16"/>
      <c r="H67" s="16"/>
      <c r="I67" s="16"/>
      <c r="J67" s="16"/>
      <c r="K67" s="16"/>
      <c r="L67" s="16"/>
      <c r="M67" s="16"/>
      <c r="N67" s="16"/>
      <c r="O67" s="16"/>
      <c r="P67" s="16"/>
      <c r="Q67" s="889" t="str">
        <f ca="1">E67</f>
        <v>Median 28.4x</v>
      </c>
      <c r="R67" s="16"/>
      <c r="S67" s="16"/>
      <c r="T67" s="16"/>
      <c r="U67" s="16"/>
      <c r="V67" s="16"/>
      <c r="W67" s="16"/>
      <c r="X67" s="16"/>
      <c r="Y67" s="16"/>
      <c r="Z67" s="16"/>
    </row>
    <row r="68" ht="13.5" customHeight="1" spans="1:26" x14ac:dyDescent="0.25">
      <c r="A68" s="17"/>
      <c r="B68" s="16"/>
      <c r="C68" s="16"/>
      <c r="D68" s="16"/>
      <c r="E68" s="16"/>
      <c r="F68" s="16"/>
      <c r="G68" s="16"/>
      <c r="H68" s="16"/>
      <c r="I68" s="16"/>
      <c r="J68" s="16"/>
      <c r="K68" s="16"/>
      <c r="L68" s="16"/>
      <c r="M68" s="16"/>
      <c r="N68" s="16"/>
      <c r="O68" s="16"/>
      <c r="P68" s="16"/>
      <c r="Q68" s="16"/>
      <c r="R68" s="16"/>
      <c r="S68" s="16"/>
      <c r="T68" s="16"/>
      <c r="U68" s="16"/>
      <c r="V68" s="16"/>
      <c r="W68" s="16"/>
      <c r="X68" s="16"/>
      <c r="Y68" s="16"/>
      <c r="Z68" s="16"/>
    </row>
    <row r="69" ht="13.5" customHeight="1" spans="1:26" x14ac:dyDescent="0.25">
      <c r="A69" s="17"/>
      <c r="B69" s="16"/>
      <c r="C69" s="16"/>
      <c r="D69" s="16"/>
      <c r="E69" s="16"/>
      <c r="F69" s="16"/>
      <c r="G69" s="16"/>
      <c r="H69" s="16"/>
      <c r="I69" s="16"/>
      <c r="J69" s="16"/>
      <c r="K69" s="16"/>
      <c r="L69" s="16"/>
      <c r="M69" s="16"/>
      <c r="N69" s="16"/>
      <c r="O69" s="16"/>
      <c r="P69" s="16"/>
      <c r="Q69" s="16"/>
      <c r="R69" s="16"/>
      <c r="S69" s="16"/>
      <c r="T69" s="16"/>
      <c r="U69" s="16"/>
      <c r="V69" s="16"/>
      <c r="W69" s="16"/>
      <c r="X69" s="16"/>
      <c r="Y69" s="16"/>
      <c r="Z69" s="16"/>
    </row>
    <row r="70" ht="13.5" customHeight="1" spans="1:26" x14ac:dyDescent="0.25">
      <c r="A70" s="17"/>
      <c r="B70" s="16"/>
      <c r="C70" s="16"/>
      <c r="D70" s="16"/>
      <c r="E70" s="16"/>
      <c r="F70" s="16"/>
      <c r="G70" s="16"/>
      <c r="H70" s="16"/>
      <c r="I70" s="16"/>
      <c r="J70" s="16"/>
      <c r="K70" s="16"/>
      <c r="L70" s="16"/>
      <c r="M70" s="16"/>
      <c r="N70" s="16"/>
      <c r="O70" s="16"/>
      <c r="P70" s="16"/>
      <c r="Q70" s="16"/>
      <c r="R70" s="16"/>
      <c r="S70" s="16"/>
      <c r="T70" s="16"/>
      <c r="U70" s="16"/>
      <c r="V70" s="16"/>
      <c r="W70" s="16"/>
      <c r="X70" s="16"/>
      <c r="Y70" s="16"/>
      <c r="Z70" s="16"/>
    </row>
    <row r="71" ht="13.5" customHeight="1" spans="1:26" x14ac:dyDescent="0.25">
      <c r="A71" s="17"/>
      <c r="B71" s="16"/>
      <c r="C71" s="16"/>
      <c r="D71" s="16"/>
      <c r="E71" s="16"/>
      <c r="F71" s="16"/>
      <c r="G71" s="16"/>
      <c r="H71" s="16"/>
      <c r="I71" s="16"/>
      <c r="J71" s="16"/>
      <c r="K71" s="16"/>
      <c r="L71" s="16"/>
      <c r="M71" s="16"/>
      <c r="N71" s="16"/>
      <c r="O71" s="16"/>
      <c r="P71" s="16"/>
      <c r="Q71" s="16"/>
      <c r="R71" s="16"/>
      <c r="S71" s="16"/>
      <c r="T71" s="16"/>
      <c r="U71" s="16"/>
      <c r="V71" s="16"/>
      <c r="W71" s="16"/>
      <c r="X71" s="16"/>
      <c r="Y71" s="16"/>
      <c r="Z71" s="16"/>
    </row>
    <row r="72" ht="13.5" customHeight="1" spans="1:26" x14ac:dyDescent="0.25">
      <c r="A72" s="17" t="s">
        <v>1</v>
      </c>
      <c r="B72" s="16"/>
      <c r="C72" s="92" t="s">
        <v>961</v>
      </c>
      <c r="D72" s="22"/>
      <c r="E72" s="22"/>
      <c r="F72" s="22"/>
      <c r="G72" s="22"/>
      <c r="H72" s="22"/>
      <c r="I72" s="22"/>
      <c r="J72" s="22"/>
      <c r="K72" s="22"/>
      <c r="L72" s="22"/>
      <c r="M72" s="22"/>
      <c r="N72" s="22"/>
      <c r="O72" s="22"/>
      <c r="P72" s="22"/>
      <c r="Q72" s="7"/>
      <c r="R72" s="16"/>
      <c r="S72" s="16"/>
      <c r="T72" s="16"/>
      <c r="U72" s="16"/>
      <c r="V72" s="16"/>
      <c r="W72" s="16"/>
      <c r="X72" s="16"/>
      <c r="Y72" s="16"/>
      <c r="Z72" s="16"/>
    </row>
    <row r="73" ht="13.5" customHeight="1" spans="1:26" x14ac:dyDescent="0.25">
      <c r="A73" s="17"/>
      <c r="B73" s="16"/>
      <c r="C73" s="16"/>
      <c r="D73" s="16"/>
      <c r="E73" s="16"/>
      <c r="F73" s="16"/>
      <c r="G73" s="16"/>
      <c r="H73" s="16"/>
      <c r="I73" s="16"/>
      <c r="J73" s="16"/>
      <c r="K73" s="16"/>
      <c r="L73" s="16"/>
      <c r="M73" s="16"/>
      <c r="N73" s="16"/>
      <c r="O73" s="16"/>
      <c r="P73" s="16"/>
      <c r="Q73" s="16"/>
      <c r="R73" s="16"/>
      <c r="S73" s="16"/>
      <c r="T73" s="16"/>
      <c r="U73" s="16"/>
      <c r="V73" s="16"/>
      <c r="W73" s="16"/>
      <c r="X73" s="16"/>
      <c r="Y73" s="16"/>
      <c r="Z73" s="16"/>
    </row>
    <row r="74" ht="13.5" customHeight="1" spans="1:26" x14ac:dyDescent="0.25">
      <c r="A74" s="17"/>
      <c r="B74" s="16"/>
      <c r="C74" s="883" t="str">
        <f ca="1">C58</f>
        <v>Raw Data</v>
      </c>
      <c r="D74" s="112"/>
      <c r="E74" s="112"/>
      <c r="F74" s="47"/>
      <c r="G74" s="16"/>
      <c r="H74" s="16"/>
      <c r="I74" s="16"/>
      <c r="J74" s="16"/>
      <c r="K74" s="16"/>
      <c r="L74" s="16"/>
      <c r="M74" s="16"/>
      <c r="N74" s="16"/>
      <c r="O74" s="883" t="str">
        <f ca="1">O58</f>
        <v>Chart Data</v>
      </c>
      <c r="P74" s="112"/>
      <c r="Q74" s="112"/>
      <c r="R74" s="16"/>
      <c r="S74" s="16"/>
      <c r="T74" s="16"/>
      <c r="U74" s="16"/>
      <c r="V74" s="16"/>
      <c r="W74" s="16"/>
      <c r="X74" s="16"/>
      <c r="Y74" s="16"/>
      <c r="Z74" s="16"/>
    </row>
    <row r="75" ht="13.5" customHeight="1" spans="1:26" x14ac:dyDescent="0.25">
      <c r="A75" s="17"/>
      <c r="B75" s="16"/>
      <c r="C75" s="16"/>
      <c r="D75" s="16"/>
      <c r="E75" s="16"/>
      <c r="F75" s="16"/>
      <c r="G75" s="16"/>
      <c r="H75" s="16"/>
      <c r="I75" s="16"/>
      <c r="J75" s="16"/>
      <c r="K75" s="16"/>
      <c r="L75" s="16"/>
      <c r="M75" s="16"/>
      <c r="N75" s="16"/>
      <c r="O75" s="16"/>
      <c r="P75" s="16"/>
      <c r="Q75" s="16"/>
      <c r="R75" s="16"/>
      <c r="S75" s="16"/>
      <c r="T75" s="16"/>
      <c r="U75" s="16"/>
      <c r="V75" s="16"/>
      <c r="W75" s="16"/>
      <c r="X75" s="16"/>
      <c r="Y75" s="16"/>
      <c r="Z75" s="16"/>
    </row>
    <row r="76" ht="13.5" customHeight="1" spans="1:26" x14ac:dyDescent="0.25">
      <c r="A76" s="17"/>
      <c r="B76" s="16"/>
      <c r="C76" s="884" t="str">
        <f t="shared" ref="C76:C81" si="27" ca="1">C60</f>
        <v>LOW</v>
      </c>
      <c r="D76" s="890">
        <f ca="1">Comparables!N28</f>
        <v>1.9578</v>
      </c>
      <c r="E76" s="886"/>
      <c r="F76" s="16"/>
      <c r="G76" s="16"/>
      <c r="H76" s="16"/>
      <c r="I76" s="16"/>
      <c r="J76" s="16"/>
      <c r="K76" s="16"/>
      <c r="L76" s="16"/>
      <c r="M76" s="16"/>
      <c r="N76" s="16"/>
      <c r="O76" s="884" t="str">
        <f t="shared" ref="O76:P76" si="28" ca="1">C76</f>
        <v>LOW</v>
      </c>
      <c r="P76" s="891">
        <f ca="1">D76</f>
        <v>1.9578</v>
      </c>
      <c r="Q76" s="886"/>
      <c r="R76" s="16"/>
      <c r="S76" s="16"/>
      <c r="T76" s="16"/>
      <c r="U76" s="16"/>
      <c r="V76" s="16"/>
      <c r="W76" s="16"/>
      <c r="X76" s="16"/>
      <c r="Y76" s="16"/>
      <c r="Z76" s="16"/>
    </row>
    <row r="77" ht="13.5" customHeight="1" spans="1:26" x14ac:dyDescent="0.25">
      <c r="A77" s="17"/>
      <c r="B77" s="641">
        <v>1</v>
      </c>
      <c r="C77" s="737" t="str">
        <f ca="1">C61</f>
        <v>AAPL</v>
      </c>
      <c r="D77" s="892">
        <f ca="1">Comparables!N30+RAND()/1000000</f>
        <v>1.3872509180326023</v>
      </c>
      <c r="E77" s="893">
        <f ca="1">MEDIAN(D77:D81)</f>
        <v>0.579471321388857</v>
      </c>
      <c r="F77" s="16"/>
      <c r="G77" s="16"/>
      <c r="H77" s="16"/>
      <c r="I77" s="16"/>
      <c r="J77" s="16"/>
      <c r="K77" s="16"/>
      <c r="L77" s="16"/>
      <c r="M77" s="16"/>
      <c r="N77" s="16"/>
      <c r="O77" s="737" t="str">
        <f t="shared" ref="O77:O81" si="29" ca="1">INDEX($C$77:$C$81,MATCH(P77,$D$77:$D$81,0),1)</f>
        <v>AAPL</v>
      </c>
      <c r="P77" s="893">
        <f t="shared" ref="P77:P81" si="30" ca="1">LARGE($D$77:$D$81,B77)</f>
        <v>1.3872509180326023</v>
      </c>
      <c r="Q77" s="893">
        <f t="shared" ref="Q77:Q81" si="31" ca="1">E77</f>
        <v>0.579471321388857</v>
      </c>
      <c r="R77" s="16"/>
      <c r="S77" s="16"/>
      <c r="T77" s="16"/>
      <c r="U77" s="16"/>
      <c r="V77" s="16"/>
      <c r="W77" s="16"/>
      <c r="X77" s="16"/>
      <c r="Y77" s="16"/>
      <c r="Z77" s="16"/>
    </row>
    <row r="78" ht="13.5" customHeight="1" spans="1:26" x14ac:dyDescent="0.25">
      <c r="A78" s="17"/>
      <c r="B78" s="16">
        <f t="shared" ref="B78:B81" si="32" ca="1">B77+1</f>
        <v>2</v>
      </c>
      <c r="C78" s="737" t="str">
        <f ca="1">C62</f>
        <v>FB</v>
      </c>
      <c r="D78" s="892">
        <f ca="1">Comparables!O31+RAND()/1000000</f>
        <v>0.08712271978888173</v>
      </c>
      <c r="E78" s="893">
        <f t="shared" ref="E78:E81" si="33" ca="1">E77</f>
        <v>0.579471321388857</v>
      </c>
      <c r="F78" s="16"/>
      <c r="G78" s="16"/>
      <c r="H78" s="16"/>
      <c r="I78" s="16"/>
      <c r="J78" s="16"/>
      <c r="K78" s="16"/>
      <c r="L78" s="16"/>
      <c r="M78" s="16"/>
      <c r="N78" s="16"/>
      <c r="O78" s="737" t="str">
        <f ca="1">INDEX($C$77:$C$81,MATCH(P78,$D$77:$D$81,0),1)</f>
        <v>SNAP</v>
      </c>
      <c r="P78" s="893">
        <f ca="1">LARGE($D$77:$D$81,B78)</f>
        <v>0.8598967507522297</v>
      </c>
      <c r="Q78" s="893">
        <f ca="1">E78</f>
        <v>0.579471321388857</v>
      </c>
      <c r="R78" s="16"/>
      <c r="S78" s="16"/>
      <c r="T78" s="16"/>
      <c r="U78" s="16"/>
      <c r="V78" s="16"/>
      <c r="W78" s="16"/>
      <c r="X78" s="16"/>
      <c r="Y78" s="16"/>
      <c r="Z78" s="16"/>
    </row>
    <row r="79" ht="13.5" customHeight="1" spans="1:26" x14ac:dyDescent="0.25">
      <c r="A79" s="17"/>
      <c r="B79" s="16">
        <f ca="1">B78+1</f>
        <v>3</v>
      </c>
      <c r="C79" s="737" t="str">
        <f ca="1">C63</f>
        <v>MSFT</v>
      </c>
      <c r="D79" s="892">
        <f ca="1">Comparables!O32+RAND()/1000000</f>
        <v>0.579471321388857</v>
      </c>
      <c r="E79" s="893">
        <f ca="1">E78</f>
        <v>0.579471321388857</v>
      </c>
      <c r="F79" s="16"/>
      <c r="G79" s="16"/>
      <c r="H79" s="16"/>
      <c r="I79" s="16"/>
      <c r="J79" s="16"/>
      <c r="K79" s="16"/>
      <c r="L79" s="16"/>
      <c r="M79" s="16"/>
      <c r="N79" s="16"/>
      <c r="O79" s="737" t="str">
        <f ca="1">INDEX($C$77:$C$81,MATCH(P79,$D$77:$D$81,0),1)</f>
        <v>MSFT</v>
      </c>
      <c r="P79" s="893">
        <f ca="1">LARGE($D$77:$D$81,B79)</f>
        <v>0.579471321388857</v>
      </c>
      <c r="Q79" s="893">
        <f ca="1">E79</f>
        <v>0.579471321388857</v>
      </c>
      <c r="R79" s="16"/>
      <c r="S79" s="16"/>
      <c r="T79" s="16"/>
      <c r="U79" s="16"/>
      <c r="V79" s="16"/>
      <c r="W79" s="16"/>
      <c r="X79" s="16"/>
      <c r="Y79" s="16"/>
      <c r="Z79" s="16"/>
    </row>
    <row r="80" ht="13.5" customHeight="1" spans="1:26" x14ac:dyDescent="0.25">
      <c r="A80" s="17"/>
      <c r="B80" s="16">
        <f ca="1">B79+1</f>
        <v>4</v>
      </c>
      <c r="C80" s="737" t="str">
        <f ca="1">C64</f>
        <v>SNAP</v>
      </c>
      <c r="D80" s="892">
        <f ca="1">Comparables!O33+RAND()/1000000</f>
        <v>0.8598967507522297</v>
      </c>
      <c r="E80" s="893">
        <f ca="1">E79</f>
        <v>0.579471321388857</v>
      </c>
      <c r="F80" s="16"/>
      <c r="G80" s="16"/>
      <c r="H80" s="16"/>
      <c r="I80" s="16"/>
      <c r="J80" s="16"/>
      <c r="K80" s="16"/>
      <c r="L80" s="16"/>
      <c r="M80" s="16"/>
      <c r="N80" s="16"/>
      <c r="O80" s="737" t="str">
        <f ca="1">INDEX($C$77:$C$81,MATCH(P80,$D$77:$D$81,0),1)</f>
        <v>GOOGL</v>
      </c>
      <c r="P80" s="893">
        <f ca="1">LARGE($D$77:$D$81,B80)</f>
        <v>0.125242560908713</v>
      </c>
      <c r="Q80" s="893">
        <f ca="1">E80</f>
        <v>0.579471321388857</v>
      </c>
      <c r="R80" s="16"/>
      <c r="S80" s="16"/>
      <c r="T80" s="16"/>
      <c r="U80" s="16"/>
      <c r="V80" s="16"/>
      <c r="W80" s="16"/>
      <c r="X80" s="16"/>
      <c r="Y80" s="16"/>
      <c r="Z80" s="16"/>
    </row>
    <row r="81" ht="13.5" customHeight="1" spans="1:26" x14ac:dyDescent="0.25">
      <c r="A81" s="17"/>
      <c r="B81" s="16">
        <f ca="1">B80+1</f>
        <v>5</v>
      </c>
      <c r="C81" s="737" t="str">
        <f ca="1">C65</f>
        <v>GOOGL</v>
      </c>
      <c r="D81" s="892">
        <f ca="1">Comparables!O34+RAND()/1000000</f>
        <v>0.125242560908713</v>
      </c>
      <c r="E81" s="893">
        <f ca="1">E80</f>
        <v>0.579471321388857</v>
      </c>
      <c r="F81" s="16"/>
      <c r="G81" s="16"/>
      <c r="H81" s="16"/>
      <c r="I81" s="16"/>
      <c r="J81" s="16"/>
      <c r="K81" s="16"/>
      <c r="L81" s="16"/>
      <c r="M81" s="16"/>
      <c r="N81" s="16"/>
      <c r="O81" s="737" t="str">
        <f ca="1">INDEX($C$77:$C$81,MATCH(P81,$D$77:$D$81,0),1)</f>
        <v>FB</v>
      </c>
      <c r="P81" s="893">
        <f ca="1">LARGE($D$77:$D$81,B81)</f>
        <v>0.08712271978888173</v>
      </c>
      <c r="Q81" s="893">
        <f ca="1">E81</f>
        <v>0.579471321388857</v>
      </c>
      <c r="R81" s="16"/>
      <c r="S81" s="16"/>
      <c r="T81" s="16"/>
      <c r="U81" s="16"/>
      <c r="V81" s="16"/>
      <c r="W81" s="16"/>
      <c r="X81" s="16"/>
      <c r="Y81" s="16"/>
      <c r="Z81" s="16"/>
    </row>
    <row r="82" ht="13.5" customHeight="1" spans="1:26" x14ac:dyDescent="0.25">
      <c r="A82" s="17"/>
      <c r="B82" s="16"/>
      <c r="C82" s="16"/>
      <c r="D82" s="16"/>
      <c r="E82" s="16"/>
      <c r="F82" s="16"/>
      <c r="G82" s="16"/>
      <c r="H82" s="16"/>
      <c r="I82" s="16"/>
      <c r="J82" s="16"/>
      <c r="K82" s="16"/>
      <c r="L82" s="16"/>
      <c r="M82" s="16"/>
      <c r="N82" s="16"/>
      <c r="O82" s="16"/>
      <c r="P82" s="16"/>
      <c r="Q82" s="16"/>
      <c r="R82" s="16"/>
      <c r="S82" s="16"/>
      <c r="T82" s="16"/>
      <c r="U82" s="16"/>
      <c r="V82" s="16"/>
      <c r="W82" s="16"/>
      <c r="X82" s="16"/>
      <c r="Y82" s="16"/>
      <c r="Z82" s="16"/>
    </row>
    <row r="83" ht="13.5" customHeight="1" spans="1:26" x14ac:dyDescent="0.25">
      <c r="A83" s="17"/>
      <c r="B83" s="16"/>
      <c r="C83" s="16"/>
      <c r="D83" s="16"/>
      <c r="E83" s="889" t="str">
        <f ca="1">"Median "&amp;TEXT(E77,"0.0x")</f>
        <v>Median 0.6x</v>
      </c>
      <c r="F83" s="16"/>
      <c r="G83" s="16"/>
      <c r="H83" s="16"/>
      <c r="I83" s="16"/>
      <c r="J83" s="16"/>
      <c r="K83" s="16"/>
      <c r="L83" s="16"/>
      <c r="M83" s="16"/>
      <c r="N83" s="16"/>
      <c r="O83" s="16"/>
      <c r="P83" s="16"/>
      <c r="Q83" s="889" t="str">
        <f ca="1">E83</f>
        <v>Median 0.6x</v>
      </c>
      <c r="R83" s="16"/>
      <c r="S83" s="16"/>
      <c r="T83" s="16"/>
      <c r="U83" s="16"/>
      <c r="V83" s="16"/>
      <c r="W83" s="16"/>
      <c r="X83" s="16"/>
      <c r="Y83" s="16"/>
      <c r="Z83" s="16"/>
    </row>
    <row r="84" ht="13.5" customHeight="1" spans="1:26" x14ac:dyDescent="0.25">
      <c r="A84" s="17"/>
      <c r="B84" s="16"/>
      <c r="C84" s="16"/>
      <c r="D84" s="16"/>
      <c r="E84" s="16"/>
      <c r="F84" s="16"/>
      <c r="G84" s="16"/>
      <c r="H84" s="16"/>
      <c r="I84" s="16"/>
      <c r="J84" s="16"/>
      <c r="K84" s="16"/>
      <c r="L84" s="16"/>
      <c r="M84" s="16"/>
      <c r="N84" s="16"/>
      <c r="O84" s="16"/>
      <c r="P84" s="16"/>
      <c r="Q84" s="16"/>
      <c r="R84" s="16"/>
      <c r="S84" s="16"/>
      <c r="T84" s="16"/>
      <c r="U84" s="16"/>
      <c r="V84" s="16"/>
      <c r="W84" s="16"/>
      <c r="X84" s="16"/>
      <c r="Y84" s="16"/>
      <c r="Z84" s="16"/>
    </row>
    <row r="85" ht="13.5" customHeight="1" spans="1:26" x14ac:dyDescent="0.25">
      <c r="A85" s="17"/>
      <c r="B85" s="16"/>
      <c r="C85" s="16"/>
      <c r="D85" s="16"/>
      <c r="E85" s="16"/>
      <c r="F85" s="16"/>
      <c r="G85" s="16"/>
      <c r="H85" s="16"/>
      <c r="I85" s="16"/>
      <c r="J85" s="16"/>
      <c r="K85" s="16"/>
      <c r="L85" s="16"/>
      <c r="M85" s="16"/>
      <c r="N85" s="16"/>
      <c r="O85" s="16"/>
      <c r="P85" s="16"/>
      <c r="Q85" s="16"/>
      <c r="R85" s="16"/>
      <c r="S85" s="16"/>
      <c r="T85" s="16"/>
      <c r="U85" s="16"/>
      <c r="V85" s="16"/>
      <c r="W85" s="16"/>
      <c r="X85" s="16"/>
      <c r="Y85" s="16"/>
      <c r="Z85" s="16"/>
    </row>
    <row r="86" ht="13.5" customHeight="1" spans="1:26" x14ac:dyDescent="0.25">
      <c r="A86" s="17"/>
      <c r="B86" s="16"/>
      <c r="C86" s="16"/>
      <c r="D86" s="16"/>
      <c r="E86" s="16"/>
      <c r="F86" s="16"/>
      <c r="G86" s="16"/>
      <c r="H86" s="16"/>
      <c r="I86" s="16"/>
      <c r="J86" s="16"/>
      <c r="K86" s="16"/>
      <c r="L86" s="16"/>
      <c r="M86" s="16"/>
      <c r="N86" s="16"/>
      <c r="O86" s="16"/>
      <c r="P86" s="16"/>
      <c r="Q86" s="16"/>
      <c r="R86" s="16"/>
      <c r="S86" s="16"/>
      <c r="T86" s="16"/>
      <c r="U86" s="16"/>
      <c r="V86" s="16"/>
      <c r="W86" s="16"/>
      <c r="X86" s="16"/>
      <c r="Y86" s="16"/>
      <c r="Z86" s="16"/>
    </row>
    <row r="87" ht="13.5" customHeight="1" spans="1:26" x14ac:dyDescent="0.25">
      <c r="A87" s="17"/>
      <c r="B87" s="16"/>
      <c r="C87" s="16"/>
      <c r="D87" s="16"/>
      <c r="E87" s="16"/>
      <c r="F87" s="16"/>
      <c r="G87" s="16"/>
      <c r="H87" s="16"/>
      <c r="I87" s="16"/>
      <c r="J87" s="16"/>
      <c r="K87" s="16"/>
      <c r="L87" s="16"/>
      <c r="M87" s="16"/>
      <c r="N87" s="16"/>
      <c r="O87" s="16"/>
      <c r="P87" s="16"/>
      <c r="Q87" s="16"/>
      <c r="R87" s="16"/>
      <c r="S87" s="16"/>
      <c r="T87" s="16"/>
      <c r="U87" s="16"/>
      <c r="V87" s="16"/>
      <c r="W87" s="16"/>
      <c r="X87" s="16"/>
      <c r="Y87" s="16"/>
      <c r="Z87" s="16"/>
    </row>
    <row r="88" ht="13.5" customHeight="1" spans="1:26" x14ac:dyDescent="0.25">
      <c r="A88" s="17" t="s">
        <v>1</v>
      </c>
      <c r="B88" s="16"/>
      <c r="C88" s="92" t="str">
        <f ca="1">TEXT(E4,"yyyy")&amp;" EBITDA / Interest Expense"</f>
        <v>2024 EBITDA / Interest Expense</v>
      </c>
      <c r="D88" s="22"/>
      <c r="E88" s="22"/>
      <c r="F88" s="22"/>
      <c r="G88" s="22"/>
      <c r="H88" s="22"/>
      <c r="I88" s="22"/>
      <c r="J88" s="22"/>
      <c r="K88" s="22"/>
      <c r="L88" s="22"/>
      <c r="M88" s="22"/>
      <c r="N88" s="22"/>
      <c r="O88" s="22"/>
      <c r="P88" s="22"/>
      <c r="Q88" s="7"/>
      <c r="R88" s="16"/>
      <c r="S88" s="16"/>
      <c r="T88" s="16"/>
      <c r="U88" s="16"/>
      <c r="V88" s="16"/>
      <c r="W88" s="16"/>
      <c r="X88" s="16"/>
      <c r="Y88" s="16"/>
      <c r="Z88" s="16"/>
    </row>
    <row r="89" ht="13.5" customHeight="1" spans="1:26" x14ac:dyDescent="0.25">
      <c r="A89" s="17"/>
      <c r="B89" s="16"/>
      <c r="C89" s="16"/>
      <c r="D89" s="16"/>
      <c r="E89" s="16"/>
      <c r="F89" s="16"/>
      <c r="G89" s="16"/>
      <c r="H89" s="16"/>
      <c r="I89" s="16"/>
      <c r="J89" s="16"/>
      <c r="K89" s="16"/>
      <c r="L89" s="16"/>
      <c r="M89" s="16"/>
      <c r="N89" s="16"/>
      <c r="O89" s="16"/>
      <c r="P89" s="16"/>
      <c r="Q89" s="16"/>
      <c r="R89" s="16"/>
      <c r="S89" s="16"/>
      <c r="T89" s="16"/>
      <c r="U89" s="16"/>
      <c r="V89" s="16"/>
      <c r="W89" s="16"/>
      <c r="X89" s="16"/>
      <c r="Y89" s="16"/>
      <c r="Z89" s="16"/>
    </row>
    <row r="90" ht="13.5" customHeight="1" spans="1:26" x14ac:dyDescent="0.25">
      <c r="A90" s="17"/>
      <c r="B90" s="16"/>
      <c r="C90" s="883" t="str">
        <f ca="1">C74</f>
        <v>Raw Data</v>
      </c>
      <c r="D90" s="112"/>
      <c r="E90" s="112"/>
      <c r="F90" s="47"/>
      <c r="G90" s="16"/>
      <c r="H90" s="16"/>
      <c r="I90" s="16"/>
      <c r="J90" s="16"/>
      <c r="K90" s="16"/>
      <c r="L90" s="16"/>
      <c r="M90" s="16"/>
      <c r="N90" s="16"/>
      <c r="O90" s="883" t="str">
        <f ca="1">O74</f>
        <v>Chart Data</v>
      </c>
      <c r="P90" s="112"/>
      <c r="Q90" s="112"/>
      <c r="R90" s="16"/>
      <c r="S90" s="16"/>
      <c r="T90" s="16"/>
      <c r="U90" s="16"/>
      <c r="V90" s="16"/>
      <c r="W90" s="16"/>
      <c r="X90" s="16"/>
      <c r="Y90" s="16"/>
      <c r="Z90" s="16"/>
    </row>
    <row r="91" ht="13.5" customHeight="1" spans="1:26" x14ac:dyDescent="0.25">
      <c r="A91" s="17"/>
      <c r="B91" s="16"/>
      <c r="C91" s="16"/>
      <c r="D91" s="16"/>
      <c r="E91" s="16"/>
      <c r="F91" s="16"/>
      <c r="G91" s="16"/>
      <c r="H91" s="16"/>
      <c r="I91" s="16"/>
      <c r="J91" s="16"/>
      <c r="K91" s="16"/>
      <c r="L91" s="16"/>
      <c r="M91" s="16"/>
      <c r="N91" s="16"/>
      <c r="O91" s="16"/>
      <c r="P91" s="16"/>
      <c r="Q91" s="16"/>
      <c r="R91" s="16"/>
      <c r="S91" s="16"/>
      <c r="T91" s="16"/>
      <c r="U91" s="16"/>
      <c r="V91" s="16"/>
      <c r="W91" s="16"/>
      <c r="X91" s="16"/>
      <c r="Y91" s="16"/>
      <c r="Z91" s="16"/>
    </row>
    <row r="92" ht="13.5" customHeight="1" spans="1:26" x14ac:dyDescent="0.25">
      <c r="A92" s="17"/>
      <c r="B92" s="16"/>
      <c r="C92" s="884" t="str">
        <f t="shared" ref="C92:C97" si="34" ca="1">C76</f>
        <v>LOW</v>
      </c>
      <c r="D92" s="890">
        <f ca="1">Comparables!P28</f>
        <v>15.35321</v>
      </c>
      <c r="E92" s="886"/>
      <c r="F92" s="16"/>
      <c r="G92" s="16"/>
      <c r="H92" s="16"/>
      <c r="I92" s="16"/>
      <c r="J92" s="16"/>
      <c r="K92" s="16"/>
      <c r="L92" s="16"/>
      <c r="M92" s="16"/>
      <c r="N92" s="16"/>
      <c r="O92" s="884" t="str">
        <f t="shared" ref="O92:P92" si="35" ca="1">C92</f>
        <v>LOW</v>
      </c>
      <c r="P92" s="891">
        <f ca="1">D92</f>
        <v>15.35321</v>
      </c>
      <c r="Q92" s="886"/>
      <c r="R92" s="16"/>
      <c r="S92" s="16"/>
      <c r="T92" s="16"/>
      <c r="U92" s="16"/>
      <c r="V92" s="16"/>
      <c r="W92" s="16"/>
      <c r="X92" s="16"/>
      <c r="Y92" s="16"/>
      <c r="Z92" s="16"/>
    </row>
    <row r="93" ht="13.5" customHeight="1" spans="1:26" x14ac:dyDescent="0.25">
      <c r="A93" s="17"/>
      <c r="B93" s="641">
        <v>1</v>
      </c>
      <c r="C93" s="737" t="str">
        <f ca="1">C77</f>
        <v>AAPL</v>
      </c>
      <c r="D93" s="892">
        <f ca="1">Comparables!P30+RAND()/1000000</f>
        <v>30.68013083308125</v>
      </c>
      <c r="E93" s="893">
        <f ca="1">MEDIAN(D93:D97)</f>
      </c>
      <c r="F93" s="16"/>
      <c r="G93" s="16"/>
      <c r="H93" s="16"/>
      <c r="I93" s="16"/>
      <c r="J93" s="16"/>
      <c r="K93" s="16"/>
      <c r="L93" s="16"/>
      <c r="M93" s="16"/>
      <c r="N93" s="16"/>
      <c r="O93" s="737">
        <f ca="1">INDEX($C$93:$C$97,MATCH(P93,$D$93:$D$97,0),1)</f>
      </c>
      <c r="P93" s="893">
        <f ca="1">LARGE($D$93:$D$97,B93)</f>
      </c>
      <c r="Q93" s="893">
        <f ca="1">E93</f>
        <v>1e-12</v>
      </c>
      <c r="R93" s="16"/>
      <c r="S93" s="16"/>
      <c r="T93" s="16"/>
      <c r="U93" s="16"/>
      <c r="V93" s="16"/>
      <c r="W93" s="16"/>
      <c r="X93" s="16"/>
      <c r="Y93" s="16"/>
      <c r="Z93" s="16"/>
    </row>
    <row r="94" ht="13.5" customHeight="1" spans="1:26" x14ac:dyDescent="0.25">
      <c r="A94" s="17"/>
      <c r="B94" s="16">
        <f t="shared" ref="B94:B97" si="36" ca="1">B93+1</f>
        <v>2</v>
      </c>
      <c r="C94" s="737" t="str">
        <f ca="1">C78</f>
        <v>FB</v>
      </c>
      <c r="D94" s="892">
        <f ca="1">Comparables!P31+RAND()/1000000</f>
        <v>1.611781503630282e-7</v>
      </c>
      <c r="E94" s="893">
        <f ca="1">E93</f>
        <v>1e-12</v>
      </c>
      <c r="F94" s="16"/>
      <c r="G94" s="16"/>
      <c r="H94" s="16"/>
      <c r="I94" s="16"/>
      <c r="J94" s="16"/>
      <c r="K94" s="16"/>
      <c r="L94" s="16"/>
      <c r="M94" s="16"/>
      <c r="N94" s="16"/>
      <c r="O94" s="737">
        <f ca="1">INDEX($C$93:$C$97,MATCH(P94,$D$93:$D$97,0),1)</f>
      </c>
      <c r="P94" s="893">
        <f ca="1">LARGE($D$93:$D$97,B94)</f>
      </c>
      <c r="Q94" s="893">
        <f ca="1">E94</f>
        <v>1e-12</v>
      </c>
      <c r="R94" s="16"/>
      <c r="S94" s="16"/>
      <c r="T94" s="16"/>
      <c r="U94" s="16"/>
      <c r="V94" s="16"/>
      <c r="W94" s="16"/>
      <c r="X94" s="16"/>
      <c r="Y94" s="16"/>
      <c r="Z94" s="16"/>
    </row>
    <row r="95" ht="13.5" customHeight="1" spans="1:26" x14ac:dyDescent="0.25">
      <c r="A95" s="17"/>
      <c r="B95" s="16">
        <f ca="1">B94+1</f>
        <v>3</v>
      </c>
      <c r="C95" s="737" t="str">
        <f ca="1">C79</f>
        <v>MSFT</v>
      </c>
      <c r="D95" s="892">
        <f ca="1">Comparables!P32+RAND()/1000000</f>
        <v>35.5978501090468</v>
      </c>
      <c r="E95" s="893">
        <f ca="1">E94</f>
        <v>1e-12</v>
      </c>
      <c r="F95" s="16"/>
      <c r="G95" s="16"/>
      <c r="H95" s="16"/>
      <c r="I95" s="16"/>
      <c r="J95" s="16"/>
      <c r="K95" s="16"/>
      <c r="L95" s="16"/>
      <c r="M95" s="16"/>
      <c r="N95" s="16"/>
      <c r="O95" s="737">
        <f ca="1">INDEX($C$93:$C$97,MATCH(P95,$D$93:$D$97,0),1)</f>
      </c>
      <c r="P95" s="893">
        <f ca="1">LARGE($D$93:$D$97,B95)</f>
      </c>
      <c r="Q95" s="893">
        <f ca="1">E95</f>
        <v>1e-12</v>
      </c>
      <c r="R95" s="16"/>
      <c r="S95" s="16"/>
      <c r="T95" s="16"/>
      <c r="U95" s="16"/>
      <c r="V95" s="16"/>
      <c r="W95" s="16"/>
      <c r="X95" s="16"/>
      <c r="Y95" s="16"/>
      <c r="Z95" s="16"/>
    </row>
    <row r="96" ht="13.5" customHeight="1" spans="1:26" x14ac:dyDescent="0.25">
      <c r="A96" s="17"/>
      <c r="B96" s="16">
        <f ca="1">B95+1</f>
        <v>4</v>
      </c>
      <c r="C96" s="737" t="str">
        <f ca="1">C80</f>
        <v>SNAP</v>
      </c>
      <c r="D96" s="892">
        <f ca="1">Comparables!P33+RAND()/1000000</f>
      </c>
      <c r="E96" s="893">
        <f ca="1">E95</f>
        <v>1e-12</v>
      </c>
      <c r="F96" s="16"/>
      <c r="G96" s="16"/>
      <c r="H96" s="16"/>
      <c r="I96" s="16"/>
      <c r="J96" s="16"/>
      <c r="K96" s="16"/>
      <c r="L96" s="16"/>
      <c r="M96" s="16"/>
      <c r="N96" s="16"/>
      <c r="O96" s="737">
        <f ca="1">INDEX($C$93:$C$97,MATCH(P96,$D$93:$D$97,0),1)</f>
      </c>
      <c r="P96" s="893">
        <f ca="1">LARGE($D$93:$D$97,B96)</f>
      </c>
      <c r="Q96" s="893">
        <f ca="1">E96</f>
        <v>1e-12</v>
      </c>
      <c r="R96" s="16"/>
      <c r="S96" s="16"/>
      <c r="T96" s="16"/>
      <c r="U96" s="16"/>
      <c r="V96" s="16"/>
      <c r="W96" s="16"/>
      <c r="X96" s="16"/>
      <c r="Y96" s="16"/>
      <c r="Z96" s="16"/>
    </row>
    <row r="97" ht="13.5" customHeight="1" spans="1:26" x14ac:dyDescent="0.25">
      <c r="A97" s="17"/>
      <c r="B97" s="16">
        <f ca="1">B96+1</f>
        <v>5</v>
      </c>
      <c r="C97" s="737" t="str">
        <f ca="1">C81</f>
        <v>GOOGL</v>
      </c>
      <c r="D97" s="892">
        <f ca="1">Comparables!P34+RAND()/1000000</f>
        <v>428.066670136901</v>
      </c>
      <c r="E97" s="893">
        <f ca="1">E96</f>
        <v>1e-12</v>
      </c>
      <c r="F97" s="16"/>
      <c r="G97" s="16"/>
      <c r="H97" s="16"/>
      <c r="I97" s="16"/>
      <c r="J97" s="16"/>
      <c r="K97" s="16"/>
      <c r="L97" s="16"/>
      <c r="M97" s="16"/>
      <c r="N97" s="16"/>
      <c r="O97" s="737">
        <f ca="1">INDEX($C$93:$C$97,MATCH(P97,$D$93:$D$97,0),1)</f>
      </c>
      <c r="P97" s="893">
        <f ca="1">LARGE($D$93:$D$97,B97)</f>
      </c>
      <c r="Q97" s="893">
        <f ca="1">E97</f>
        <v>1e-12</v>
      </c>
      <c r="R97" s="16"/>
      <c r="S97" s="16"/>
      <c r="T97" s="16"/>
      <c r="U97" s="16"/>
      <c r="V97" s="16"/>
      <c r="W97" s="16"/>
      <c r="X97" s="16"/>
      <c r="Y97" s="16"/>
      <c r="Z97" s="16"/>
    </row>
    <row r="98" ht="13.5" customHeight="1" spans="1:26" x14ac:dyDescent="0.25">
      <c r="A98" s="17"/>
      <c r="B98" s="16"/>
      <c r="C98" s="16"/>
      <c r="D98" s="16"/>
      <c r="E98" s="16"/>
      <c r="F98" s="16"/>
      <c r="G98" s="16"/>
      <c r="H98" s="16"/>
      <c r="I98" s="16"/>
      <c r="J98" s="16"/>
      <c r="K98" s="16"/>
      <c r="L98" s="16"/>
      <c r="M98" s="16"/>
      <c r="N98" s="16"/>
      <c r="O98" s="16"/>
      <c r="P98" s="16"/>
      <c r="Q98" s="16"/>
      <c r="R98" s="16"/>
      <c r="S98" s="16"/>
      <c r="T98" s="16"/>
      <c r="U98" s="16"/>
      <c r="V98" s="16"/>
      <c r="W98" s="16"/>
      <c r="X98" s="16"/>
      <c r="Y98" s="16"/>
      <c r="Z98" s="16"/>
    </row>
    <row r="99" ht="13.5" customHeight="1" spans="1:26" x14ac:dyDescent="0.25">
      <c r="A99" s="17"/>
      <c r="B99" s="16"/>
      <c r="C99" s="16"/>
      <c r="D99" s="16"/>
      <c r="E99" s="889">
        <f ca="1">"Median "&amp;TEXT(E93,"0.0x")</f>
      </c>
      <c r="F99" s="16"/>
      <c r="G99" s="16"/>
      <c r="H99" s="16"/>
      <c r="I99" s="16"/>
      <c r="J99" s="16"/>
      <c r="K99" s="16"/>
      <c r="L99" s="16"/>
      <c r="M99" s="16"/>
      <c r="N99" s="16"/>
      <c r="O99" s="16"/>
      <c r="P99" s="16"/>
      <c r="Q99" s="889">
        <f ca="1">E99</f>
        <v>1e-12</v>
      </c>
      <c r="R99" s="16"/>
      <c r="S99" s="16"/>
      <c r="T99" s="16"/>
      <c r="U99" s="16"/>
      <c r="V99" s="16"/>
      <c r="W99" s="16"/>
      <c r="X99" s="16"/>
      <c r="Y99" s="16"/>
      <c r="Z99" s="16"/>
    </row>
    <row r="100" ht="13.5" customHeight="1" spans="1:26" x14ac:dyDescent="0.25">
      <c r="A100" s="17"/>
      <c r="B100" s="16"/>
      <c r="C100" s="16"/>
      <c r="D100" s="16"/>
      <c r="E100" s="16"/>
      <c r="F100" s="16"/>
      <c r="G100" s="16"/>
      <c r="H100" s="16"/>
      <c r="I100" s="16"/>
      <c r="J100" s="16"/>
      <c r="K100" s="16"/>
      <c r="L100" s="16"/>
      <c r="M100" s="16"/>
      <c r="N100" s="16"/>
      <c r="O100" s="16"/>
      <c r="P100" s="16"/>
      <c r="Q100" s="16"/>
      <c r="R100" s="16"/>
      <c r="S100" s="16"/>
      <c r="T100" s="16"/>
      <c r="U100" s="16"/>
      <c r="V100" s="16"/>
      <c r="W100" s="16"/>
      <c r="X100" s="16"/>
      <c r="Y100" s="16"/>
      <c r="Z100" s="16"/>
    </row>
    <row r="101" ht="13.5" customHeight="1" spans="1:26" x14ac:dyDescent="0.25">
      <c r="A101" s="17"/>
      <c r="B101" s="16"/>
      <c r="C101" s="16"/>
      <c r="D101" s="16"/>
      <c r="E101" s="16"/>
      <c r="F101" s="16"/>
      <c r="G101" s="16"/>
      <c r="H101" s="16"/>
      <c r="I101" s="16"/>
      <c r="J101" s="16"/>
      <c r="K101" s="16"/>
      <c r="L101" s="16"/>
      <c r="M101" s="16"/>
      <c r="N101" s="16"/>
      <c r="O101" s="16"/>
      <c r="P101" s="16"/>
      <c r="Q101" s="16"/>
      <c r="R101" s="16"/>
      <c r="S101" s="16"/>
      <c r="T101" s="16"/>
      <c r="U101" s="16"/>
      <c r="V101" s="16"/>
      <c r="W101" s="16"/>
      <c r="X101" s="16"/>
      <c r="Y101" s="16"/>
      <c r="Z101" s="16"/>
    </row>
    <row r="102" ht="13.5" customHeight="1" spans="1:26" x14ac:dyDescent="0.25">
      <c r="A102" s="17"/>
      <c r="B102" s="16"/>
      <c r="C102" s="16"/>
      <c r="D102" s="16"/>
      <c r="E102" s="16"/>
      <c r="F102" s="16"/>
      <c r="G102" s="16"/>
      <c r="H102" s="16"/>
      <c r="I102" s="16"/>
      <c r="J102" s="16"/>
      <c r="K102" s="16"/>
      <c r="L102" s="16"/>
      <c r="M102" s="16"/>
      <c r="N102" s="16"/>
      <c r="O102" s="16"/>
      <c r="P102" s="16"/>
      <c r="Q102" s="16"/>
      <c r="R102" s="16"/>
      <c r="S102" s="16"/>
      <c r="T102" s="16"/>
      <c r="U102" s="16"/>
      <c r="V102" s="16"/>
      <c r="W102" s="16"/>
      <c r="X102" s="16"/>
      <c r="Y102" s="16"/>
      <c r="Z102" s="16"/>
    </row>
    <row r="103" ht="13.5" customHeight="1" spans="1:26" x14ac:dyDescent="0.25">
      <c r="A103" s="17"/>
      <c r="B103" s="16"/>
      <c r="C103" s="16"/>
      <c r="D103" s="16"/>
      <c r="E103" s="16"/>
      <c r="F103" s="16"/>
      <c r="G103" s="16"/>
      <c r="H103" s="16"/>
      <c r="I103" s="16"/>
      <c r="J103" s="16"/>
      <c r="K103" s="16"/>
      <c r="L103" s="16"/>
      <c r="M103" s="16"/>
      <c r="N103" s="16"/>
      <c r="O103" s="16"/>
      <c r="P103" s="16"/>
      <c r="Q103" s="16"/>
      <c r="R103" s="16"/>
      <c r="S103" s="16"/>
      <c r="T103" s="16"/>
      <c r="U103" s="16"/>
      <c r="V103" s="16"/>
      <c r="W103" s="16"/>
      <c r="X103" s="16"/>
      <c r="Y103" s="16"/>
      <c r="Z103" s="16"/>
    </row>
    <row r="104" ht="13.5" customHeight="1" spans="1:26" x14ac:dyDescent="0.25">
      <c r="A104" s="17" t="s">
        <v>1</v>
      </c>
      <c r="B104" s="16"/>
      <c r="C104" s="92" t="s">
        <v>962</v>
      </c>
      <c r="D104" s="22"/>
      <c r="E104" s="22"/>
      <c r="F104" s="22"/>
      <c r="G104" s="22"/>
      <c r="H104" s="22"/>
      <c r="I104" s="22"/>
      <c r="J104" s="22"/>
      <c r="K104" s="22"/>
      <c r="L104" s="22"/>
      <c r="M104" s="22"/>
      <c r="N104" s="22"/>
      <c r="O104" s="22"/>
      <c r="P104" s="22"/>
      <c r="Q104" s="7"/>
      <c r="R104" s="16"/>
      <c r="S104" s="16"/>
      <c r="T104" s="16"/>
      <c r="U104" s="16"/>
      <c r="V104" s="16"/>
      <c r="W104" s="16"/>
      <c r="X104" s="16"/>
      <c r="Y104" s="16"/>
      <c r="Z104" s="16"/>
    </row>
    <row r="105" ht="13.5" customHeight="1" spans="1:26" x14ac:dyDescent="0.25">
      <c r="A105" s="17"/>
      <c r="B105" s="16"/>
      <c r="C105" s="16"/>
      <c r="D105" s="16"/>
      <c r="E105" s="16"/>
      <c r="F105" s="16"/>
      <c r="G105" s="16"/>
      <c r="H105" s="16"/>
      <c r="I105" s="16"/>
      <c r="J105" s="16"/>
      <c r="K105" s="16"/>
      <c r="L105" s="16"/>
      <c r="M105" s="16"/>
      <c r="N105" s="16"/>
      <c r="O105" s="16"/>
      <c r="P105" s="16"/>
      <c r="Q105" s="16"/>
      <c r="R105" s="16"/>
      <c r="S105" s="16"/>
      <c r="T105" s="16"/>
      <c r="U105" s="16"/>
      <c r="V105" s="16"/>
      <c r="W105" s="16"/>
      <c r="X105" s="16"/>
      <c r="Y105" s="16"/>
      <c r="Z105" s="16"/>
    </row>
    <row r="106" ht="13.5" customHeight="1" spans="1:26" x14ac:dyDescent="0.25">
      <c r="A106" s="17"/>
      <c r="B106" s="16"/>
      <c r="C106" s="883" t="str">
        <f ca="1">C90</f>
        <v>Raw Data</v>
      </c>
      <c r="D106" s="112"/>
      <c r="E106" s="112"/>
      <c r="F106" s="47"/>
      <c r="G106" s="16"/>
      <c r="H106" s="16"/>
      <c r="I106" s="16"/>
      <c r="J106" s="16"/>
      <c r="K106" s="16"/>
      <c r="L106" s="16"/>
      <c r="M106" s="16"/>
      <c r="N106" s="16"/>
      <c r="O106" s="883" t="str">
        <f ca="1">O90</f>
        <v>Chart Data</v>
      </c>
      <c r="P106" s="112"/>
      <c r="Q106" s="112"/>
      <c r="R106" s="16"/>
      <c r="S106" s="16"/>
      <c r="T106" s="16"/>
      <c r="U106" s="16"/>
      <c r="V106" s="16"/>
      <c r="W106" s="16"/>
      <c r="X106" s="16"/>
      <c r="Y106" s="16"/>
      <c r="Z106" s="16"/>
    </row>
    <row r="107" ht="13.5" customHeight="1" spans="1:26" x14ac:dyDescent="0.25">
      <c r="A107" s="17"/>
      <c r="B107" s="16"/>
      <c r="C107" s="16"/>
      <c r="D107" s="16"/>
      <c r="E107" s="16"/>
      <c r="F107" s="16"/>
      <c r="G107" s="16"/>
      <c r="H107" s="16"/>
      <c r="I107" s="16"/>
      <c r="J107" s="16"/>
      <c r="K107" s="16"/>
      <c r="L107" s="16"/>
      <c r="M107" s="16"/>
      <c r="N107" s="16"/>
      <c r="O107" s="16"/>
      <c r="P107" s="16"/>
      <c r="Q107" s="16"/>
      <c r="R107" s="16"/>
      <c r="S107" s="16"/>
      <c r="T107" s="16"/>
      <c r="U107" s="16"/>
      <c r="V107" s="16"/>
      <c r="W107" s="16"/>
      <c r="X107" s="16"/>
      <c r="Y107" s="16"/>
      <c r="Z107" s="16"/>
    </row>
    <row r="108" ht="13.5" customHeight="1" spans="1:26" x14ac:dyDescent="0.25">
      <c r="A108" s="17"/>
      <c r="B108" s="16"/>
      <c r="C108" s="884" t="str">
        <f t="shared" ref="C108:C113" si="37" ca="1">C92</f>
        <v>LOW</v>
      </c>
      <c r="D108" s="885">
        <f ca="1">Comparables!M10</f>
        <v>0.14957700000000002</v>
      </c>
      <c r="E108" s="886"/>
      <c r="F108" s="16"/>
      <c r="G108" s="16"/>
      <c r="H108" s="16"/>
      <c r="I108" s="16"/>
      <c r="J108" s="16"/>
      <c r="K108" s="16"/>
      <c r="L108" s="16"/>
      <c r="M108" s="16"/>
      <c r="N108" s="16"/>
      <c r="O108" s="884" t="str">
        <f t="shared" ref="O108:P108" si="38" ca="1">C108</f>
        <v>LOW</v>
      </c>
      <c r="P108" s="886">
        <f ca="1">D108</f>
        <v>0.14957700000000002</v>
      </c>
      <c r="Q108" s="886"/>
      <c r="R108" s="16"/>
      <c r="S108" s="16"/>
      <c r="T108" s="16"/>
      <c r="U108" s="16"/>
      <c r="V108" s="16"/>
      <c r="W108" s="16"/>
      <c r="X108" s="16"/>
      <c r="Y108" s="16"/>
      <c r="Z108" s="16"/>
    </row>
    <row r="109" ht="13.5" customHeight="1" spans="1:26" x14ac:dyDescent="0.25">
      <c r="A109" s="17"/>
      <c r="B109" s="641">
        <v>1</v>
      </c>
      <c r="C109" s="737" t="str">
        <f ca="1">C93</f>
        <v>AAPL</v>
      </c>
      <c r="D109" s="887">
        <f ca="1">Comparables!M12+RAND()/1000000</f>
        <v>0.3195543671987314</v>
      </c>
      <c r="E109" s="888">
        <f ca="1">MEDIAN(D109:D113)</f>
        <v>0.34300962865298423</v>
      </c>
      <c r="F109" s="16"/>
      <c r="G109" s="16"/>
      <c r="H109" s="16"/>
      <c r="I109" s="16"/>
      <c r="J109" s="16"/>
      <c r="K109" s="16"/>
      <c r="L109" s="16"/>
      <c r="M109" s="16"/>
      <c r="N109" s="16"/>
      <c r="O109" s="737" t="str">
        <f t="shared" ref="O109:O113" si="39" ca="1">INDEX($C$109:$C$113,MATCH(P109,$D$109:$D$113,0),1)</f>
        <v>FB</v>
      </c>
      <c r="P109" s="888">
        <f t="shared" ref="P109:P113" si="40" ca="1">LARGE($D$109:$D$113,B109)</f>
        <v>0.49698422688130184</v>
      </c>
      <c r="Q109" s="888">
        <f t="shared" ref="Q109:Q113" si="41" ca="1">E109</f>
        <v>0.34300962865298423</v>
      </c>
      <c r="R109" s="16"/>
      <c r="S109" s="16"/>
      <c r="T109" s="16"/>
      <c r="U109" s="16"/>
      <c r="V109" s="16"/>
      <c r="W109" s="16"/>
      <c r="X109" s="16"/>
      <c r="Y109" s="16"/>
      <c r="Z109" s="16"/>
    </row>
    <row r="110" ht="13.5" customHeight="1" spans="1:26" x14ac:dyDescent="0.25">
      <c r="A110" s="17"/>
      <c r="B110" s="16">
        <f t="shared" ref="B110:B113" si="42" ca="1">B109+1</f>
        <v>2</v>
      </c>
      <c r="C110" s="737" t="str">
        <f ca="1">C94</f>
        <v>FB</v>
      </c>
      <c r="D110" s="887">
        <f ca="1">Comparables!M13+RAND()/1000000</f>
        <v>0.49698422688130184</v>
      </c>
      <c r="E110" s="888">
        <f t="shared" ref="E110:E113" si="43" ca="1">E109</f>
        <v>0.34300962865298423</v>
      </c>
      <c r="F110" s="16"/>
      <c r="G110" s="16"/>
      <c r="H110" s="16"/>
      <c r="I110" s="16"/>
      <c r="J110" s="16"/>
      <c r="K110" s="16"/>
      <c r="L110" s="16"/>
      <c r="M110" s="16"/>
      <c r="N110" s="16"/>
      <c r="O110" s="737" t="str">
        <f ca="1">INDEX($C$109:$C$113,MATCH(P110,$D$109:$D$113,0),1)</f>
        <v>MSFT</v>
      </c>
      <c r="P110" s="888">
        <f ca="1">LARGE($D$109:$D$113,B110)</f>
        <v>0.48079536338777634</v>
      </c>
      <c r="Q110" s="888">
        <f ca="1">E110</f>
        <v>0.34300962865298423</v>
      </c>
      <c r="R110" s="16"/>
      <c r="S110" s="16"/>
      <c r="T110" s="16"/>
      <c r="U110" s="16"/>
      <c r="V110" s="16"/>
      <c r="W110" s="16"/>
      <c r="X110" s="16"/>
      <c r="Y110" s="16"/>
      <c r="Z110" s="16"/>
    </row>
    <row r="111" ht="13.5" customHeight="1" spans="1:26" x14ac:dyDescent="0.25">
      <c r="A111" s="17"/>
      <c r="B111" s="16">
        <f ca="1">B110+1</f>
        <v>3</v>
      </c>
      <c r="C111" s="737" t="str">
        <f ca="1">C95</f>
        <v>MSFT</v>
      </c>
      <c r="D111" s="887">
        <f ca="1">Comparables!M14+RAND()/1000000</f>
        <v>0.48079536338777634</v>
      </c>
      <c r="E111" s="888">
        <f ca="1">E110</f>
        <v>0.34300962865298423</v>
      </c>
      <c r="F111" s="16"/>
      <c r="G111" s="16"/>
      <c r="H111" s="16"/>
      <c r="I111" s="16"/>
      <c r="J111" s="16"/>
      <c r="K111" s="16"/>
      <c r="L111" s="16"/>
      <c r="M111" s="16"/>
      <c r="N111" s="16"/>
      <c r="O111" s="737" t="str">
        <f ca="1">INDEX($C$109:$C$113,MATCH(P111,$D$109:$D$113,0),1)</f>
        <v>GOOGL</v>
      </c>
      <c r="P111" s="888">
        <f ca="1">LARGE($D$109:$D$113,B111)</f>
        <v>0.34300962865298423</v>
      </c>
      <c r="Q111" s="888">
        <f ca="1">E111</f>
        <v>0.34300962865298423</v>
      </c>
      <c r="R111" s="16"/>
      <c r="S111" s="16"/>
      <c r="T111" s="16"/>
      <c r="U111" s="16"/>
      <c r="V111" s="16"/>
      <c r="W111" s="16"/>
      <c r="X111" s="16"/>
      <c r="Y111" s="16"/>
      <c r="Z111" s="16"/>
    </row>
    <row r="112" ht="13.5" customHeight="1" spans="1:26" x14ac:dyDescent="0.25">
      <c r="A112" s="17"/>
      <c r="B112" s="16">
        <f ca="1">B111+1</f>
        <v>4</v>
      </c>
      <c r="C112" s="737" t="str">
        <f ca="1">C96</f>
        <v>SNAP</v>
      </c>
      <c r="D112" s="887">
        <f ca="1">Comparables!M15+RAND()/1000000</f>
        <v>-0.19595868997433963</v>
      </c>
      <c r="E112" s="888">
        <f ca="1">E111</f>
        <v>0.34300962865298423</v>
      </c>
      <c r="F112" s="16"/>
      <c r="G112" s="16"/>
      <c r="H112" s="16"/>
      <c r="I112" s="16"/>
      <c r="J112" s="16"/>
      <c r="K112" s="16"/>
      <c r="L112" s="16"/>
      <c r="M112" s="16"/>
      <c r="N112" s="16"/>
      <c r="O112" s="737" t="str">
        <f ca="1">INDEX($C$109:$C$113,MATCH(P112,$D$109:$D$113,0),1)</f>
        <v>AAPL</v>
      </c>
      <c r="P112" s="888">
        <f ca="1">LARGE($D$109:$D$113,B112)</f>
        <v>0.3195543671987314</v>
      </c>
      <c r="Q112" s="888">
        <f ca="1">E112</f>
        <v>0.34300962865298423</v>
      </c>
      <c r="R112" s="16"/>
      <c r="S112" s="16"/>
      <c r="T112" s="16"/>
      <c r="U112" s="16"/>
      <c r="V112" s="16"/>
      <c r="W112" s="16"/>
      <c r="X112" s="16"/>
      <c r="Y112" s="16"/>
      <c r="Z112" s="16"/>
    </row>
    <row r="113" ht="13.5" customHeight="1" spans="1:26" x14ac:dyDescent="0.25">
      <c r="A113" s="17"/>
      <c r="B113" s="16">
        <f ca="1">B112+1</f>
        <v>5</v>
      </c>
      <c r="C113" s="737" t="str">
        <f ca="1">C97</f>
        <v>GOOGL</v>
      </c>
      <c r="D113" s="887">
        <f ca="1">Comparables!M16+RAND()/1000000</f>
        <v>0.34300962865298423</v>
      </c>
      <c r="E113" s="888">
        <f ca="1">E112</f>
        <v>0.34300962865298423</v>
      </c>
      <c r="F113" s="16"/>
      <c r="G113" s="16"/>
      <c r="H113" s="16"/>
      <c r="I113" s="16"/>
      <c r="J113" s="16"/>
      <c r="K113" s="16"/>
      <c r="L113" s="16"/>
      <c r="M113" s="16"/>
      <c r="N113" s="16"/>
      <c r="O113" s="737" t="str">
        <f ca="1">INDEX($C$109:$C$113,MATCH(P113,$D$109:$D$113,0),1)</f>
        <v>SNAP</v>
      </c>
      <c r="P113" s="888">
        <f ca="1">LARGE($D$109:$D$113,B113)</f>
        <v>-0.19595868997433963</v>
      </c>
      <c r="Q113" s="888">
        <f ca="1">E113</f>
        <v>0.34300962865298423</v>
      </c>
      <c r="R113" s="16"/>
      <c r="S113" s="16"/>
      <c r="T113" s="16"/>
      <c r="U113" s="16"/>
      <c r="V113" s="16"/>
      <c r="W113" s="16"/>
      <c r="X113" s="16"/>
      <c r="Y113" s="16"/>
      <c r="Z113" s="16"/>
    </row>
    <row r="114" ht="13.5" customHeight="1" spans="1:26" x14ac:dyDescent="0.25">
      <c r="A114" s="17"/>
      <c r="B114" s="16"/>
      <c r="C114" s="16"/>
      <c r="D114" s="16"/>
      <c r="E114" s="168"/>
      <c r="F114" s="16"/>
      <c r="G114" s="16"/>
      <c r="H114" s="16"/>
      <c r="I114" s="16"/>
      <c r="J114" s="16"/>
      <c r="K114" s="16"/>
      <c r="L114" s="16"/>
      <c r="M114" s="16"/>
      <c r="N114" s="16"/>
      <c r="O114" s="16"/>
      <c r="P114" s="16"/>
      <c r="Q114" s="16"/>
      <c r="R114" s="16"/>
      <c r="S114" s="16"/>
      <c r="T114" s="16"/>
      <c r="U114" s="16"/>
      <c r="V114" s="16"/>
      <c r="W114" s="16"/>
      <c r="X114" s="16"/>
      <c r="Y114" s="16"/>
      <c r="Z114" s="16"/>
    </row>
    <row r="115" ht="13.5" customHeight="1" spans="1:26" x14ac:dyDescent="0.25">
      <c r="A115" s="17"/>
      <c r="B115" s="16"/>
      <c r="C115" s="16"/>
      <c r="D115" s="16"/>
      <c r="E115" s="889" t="str">
        <f ca="1">"Median "&amp;TEXT(E109,"0.0%")</f>
        <v>Median 34.3%</v>
      </c>
      <c r="F115" s="16"/>
      <c r="G115" s="16"/>
      <c r="H115" s="16"/>
      <c r="I115" s="16"/>
      <c r="J115" s="16"/>
      <c r="K115" s="16"/>
      <c r="L115" s="16"/>
      <c r="M115" s="16"/>
      <c r="N115" s="16"/>
      <c r="O115" s="16"/>
      <c r="P115" s="16"/>
      <c r="Q115" s="889" t="str">
        <f ca="1">E115</f>
        <v>Median 34.3%</v>
      </c>
      <c r="R115" s="16"/>
      <c r="S115" s="16"/>
      <c r="T115" s="16"/>
      <c r="U115" s="16"/>
      <c r="V115" s="16"/>
      <c r="W115" s="16"/>
      <c r="X115" s="16"/>
      <c r="Y115" s="16"/>
      <c r="Z115" s="16"/>
    </row>
    <row r="116" ht="13.5" customHeight="1" spans="1:26" x14ac:dyDescent="0.25">
      <c r="A116" s="17"/>
      <c r="B116" s="16"/>
      <c r="C116" s="16"/>
      <c r="D116" s="16"/>
      <c r="E116" s="16"/>
      <c r="F116" s="16"/>
      <c r="G116" s="16"/>
      <c r="H116" s="16"/>
      <c r="I116" s="16"/>
      <c r="J116" s="16"/>
      <c r="K116" s="16"/>
      <c r="L116" s="16"/>
      <c r="M116" s="16"/>
      <c r="N116" s="16"/>
      <c r="O116" s="16"/>
      <c r="P116" s="16"/>
      <c r="Q116" s="16"/>
      <c r="R116" s="16"/>
      <c r="S116" s="16"/>
      <c r="T116" s="16"/>
      <c r="U116" s="16"/>
      <c r="V116" s="16"/>
      <c r="W116" s="16"/>
      <c r="X116" s="16"/>
      <c r="Y116" s="16"/>
      <c r="Z116" s="16"/>
    </row>
    <row r="117" ht="13.5" customHeight="1" spans="1:26" x14ac:dyDescent="0.25">
      <c r="A117" s="17"/>
      <c r="B117" s="16"/>
      <c r="C117" s="16"/>
      <c r="D117" s="16"/>
      <c r="E117" s="16"/>
      <c r="F117" s="16"/>
      <c r="G117" s="16"/>
      <c r="H117" s="16"/>
      <c r="I117" s="16"/>
      <c r="J117" s="16"/>
      <c r="K117" s="16"/>
      <c r="L117" s="16"/>
      <c r="M117" s="16"/>
      <c r="N117" s="16"/>
      <c r="O117" s="16"/>
      <c r="P117" s="16"/>
      <c r="Q117" s="16"/>
      <c r="R117" s="16"/>
      <c r="S117" s="16"/>
      <c r="T117" s="16"/>
      <c r="U117" s="16"/>
      <c r="V117" s="16"/>
      <c r="W117" s="16"/>
      <c r="X117" s="16"/>
      <c r="Y117" s="16"/>
      <c r="Z117" s="16"/>
    </row>
    <row r="118" ht="13.5" customHeight="1" spans="1:26" x14ac:dyDescent="0.25">
      <c r="A118" s="17"/>
      <c r="B118" s="16"/>
      <c r="C118" s="16"/>
      <c r="D118" s="16"/>
      <c r="E118" s="16"/>
      <c r="F118" s="16"/>
      <c r="G118" s="16"/>
      <c r="H118" s="16"/>
      <c r="I118" s="16"/>
      <c r="J118" s="16"/>
      <c r="K118" s="16"/>
      <c r="L118" s="16"/>
      <c r="M118" s="16"/>
      <c r="N118" s="16"/>
      <c r="O118" s="16"/>
      <c r="P118" s="16"/>
      <c r="Q118" s="16"/>
      <c r="R118" s="16"/>
      <c r="S118" s="16"/>
      <c r="T118" s="16"/>
      <c r="U118" s="16"/>
      <c r="V118" s="16"/>
      <c r="W118" s="16"/>
      <c r="X118" s="16"/>
      <c r="Y118" s="16"/>
      <c r="Z118" s="16"/>
    </row>
    <row r="119" ht="13.5" customHeight="1" spans="1:26" x14ac:dyDescent="0.25">
      <c r="A119" s="17"/>
      <c r="B119" s="16"/>
      <c r="C119" s="16"/>
      <c r="D119" s="16"/>
      <c r="E119" s="16"/>
      <c r="F119" s="16"/>
      <c r="G119" s="16"/>
      <c r="H119" s="16"/>
      <c r="I119" s="16"/>
      <c r="J119" s="16"/>
      <c r="K119" s="16"/>
      <c r="L119" s="16"/>
      <c r="M119" s="16"/>
      <c r="N119" s="16"/>
      <c r="O119" s="16"/>
      <c r="P119" s="16"/>
      <c r="Q119" s="16"/>
      <c r="R119" s="16"/>
      <c r="S119" s="16"/>
      <c r="T119" s="16"/>
      <c r="U119" s="16"/>
      <c r="V119" s="16"/>
      <c r="W119" s="16"/>
      <c r="X119" s="16"/>
      <c r="Y119" s="16"/>
      <c r="Z119" s="16"/>
    </row>
    <row r="120" ht="13.5" customHeight="1" spans="1:26" x14ac:dyDescent="0.25">
      <c r="A120" s="17" t="s">
        <v>1</v>
      </c>
      <c r="B120" s="16"/>
      <c r="C120" s="92" t="s">
        <v>50</v>
      </c>
      <c r="D120" s="22"/>
      <c r="E120" s="22"/>
      <c r="F120" s="22"/>
      <c r="G120" s="22"/>
      <c r="H120" s="22"/>
      <c r="I120" s="22"/>
      <c r="J120" s="22"/>
      <c r="K120" s="22"/>
      <c r="L120" s="22"/>
      <c r="M120" s="22"/>
      <c r="N120" s="22"/>
      <c r="O120" s="22"/>
      <c r="P120" s="22"/>
      <c r="Q120" s="7"/>
      <c r="R120" s="16"/>
      <c r="S120" s="16"/>
      <c r="T120" s="16"/>
      <c r="U120" s="16"/>
      <c r="V120" s="16"/>
      <c r="W120" s="16"/>
      <c r="X120" s="16"/>
      <c r="Y120" s="16"/>
      <c r="Z120" s="16"/>
    </row>
    <row r="121" ht="13.5" customHeight="1" spans="1:26" x14ac:dyDescent="0.25">
      <c r="A121" s="17"/>
      <c r="B121" s="16"/>
      <c r="C121" s="16"/>
      <c r="D121" s="16"/>
      <c r="E121" s="16"/>
      <c r="F121" s="16"/>
      <c r="G121" s="16"/>
      <c r="H121" s="16"/>
      <c r="I121" s="16"/>
      <c r="J121" s="16"/>
      <c r="K121" s="16"/>
      <c r="L121" s="16"/>
      <c r="M121" s="16"/>
      <c r="N121" s="16"/>
      <c r="O121" s="16"/>
      <c r="P121" s="16"/>
      <c r="Q121" s="16"/>
      <c r="R121" s="16"/>
      <c r="S121" s="16"/>
      <c r="T121" s="16"/>
      <c r="U121" s="16"/>
      <c r="V121" s="16"/>
      <c r="W121" s="16"/>
      <c r="X121" s="16"/>
      <c r="Y121" s="16"/>
      <c r="Z121" s="16"/>
    </row>
    <row r="122" ht="13.5" customHeight="1" spans="1:26" x14ac:dyDescent="0.25">
      <c r="A122" s="17"/>
      <c r="B122" s="16"/>
      <c r="C122" s="883" t="str">
        <f ca="1">C106</f>
        <v>Raw Data</v>
      </c>
      <c r="D122" s="112"/>
      <c r="E122" s="112"/>
      <c r="F122" s="47"/>
      <c r="G122" s="16"/>
      <c r="H122" s="16"/>
      <c r="I122" s="16"/>
      <c r="J122" s="16"/>
      <c r="K122" s="16"/>
      <c r="L122" s="16"/>
      <c r="M122" s="16"/>
      <c r="N122" s="16"/>
      <c r="O122" s="883" t="str">
        <f ca="1">O106</f>
        <v>Chart Data</v>
      </c>
      <c r="P122" s="112"/>
      <c r="Q122" s="112"/>
      <c r="R122" s="16"/>
      <c r="S122" s="16"/>
      <c r="T122" s="16"/>
      <c r="U122" s="16"/>
      <c r="V122" s="16"/>
      <c r="W122" s="16"/>
      <c r="X122" s="16"/>
      <c r="Y122" s="16"/>
      <c r="Z122" s="16"/>
    </row>
    <row r="123" ht="13.5" customHeight="1" spans="1:26" x14ac:dyDescent="0.25">
      <c r="A123" s="17"/>
      <c r="B123" s="16"/>
      <c r="C123" s="16"/>
      <c r="D123" s="16"/>
      <c r="E123" s="16"/>
      <c r="F123" s="16"/>
      <c r="G123" s="16"/>
      <c r="H123" s="16"/>
      <c r="I123" s="16"/>
      <c r="J123" s="16"/>
      <c r="K123" s="16"/>
      <c r="L123" s="16"/>
      <c r="M123" s="16"/>
      <c r="N123" s="16"/>
      <c r="O123" s="16"/>
      <c r="P123" s="16"/>
      <c r="Q123" s="16"/>
      <c r="R123" s="16"/>
      <c r="S123" s="16"/>
      <c r="T123" s="16"/>
      <c r="U123" s="16"/>
      <c r="V123" s="16"/>
      <c r="W123" s="16"/>
      <c r="X123" s="16"/>
      <c r="Y123" s="16"/>
      <c r="Z123" s="16"/>
    </row>
    <row r="124" ht="13.5" customHeight="1" spans="1:26" x14ac:dyDescent="0.25">
      <c r="A124" s="17"/>
      <c r="B124" s="16"/>
      <c r="C124" s="884" t="str">
        <f t="shared" ref="C124:C129" si="44" ca="1">C108</f>
        <v>LOW</v>
      </c>
      <c r="D124" s="885">
        <f ca="1">Comparables!I28</f>
        <v>0.015541000000000001</v>
      </c>
      <c r="E124" s="886"/>
      <c r="F124" s="16"/>
      <c r="G124" s="16"/>
      <c r="H124" s="16"/>
      <c r="I124" s="16"/>
      <c r="J124" s="16"/>
      <c r="K124" s="16"/>
      <c r="L124" s="16"/>
      <c r="M124" s="16"/>
      <c r="N124" s="16"/>
      <c r="O124" s="884" t="str">
        <f t="shared" ref="O124:P124" si="45" ca="1">C124</f>
        <v>LOW</v>
      </c>
      <c r="P124" s="886">
        <f ca="1">D124</f>
        <v>0.015541000000000001</v>
      </c>
      <c r="Q124" s="886"/>
      <c r="R124" s="16"/>
      <c r="S124" s="16"/>
      <c r="T124" s="16"/>
      <c r="U124" s="16"/>
      <c r="V124" s="16"/>
      <c r="W124" s="16"/>
      <c r="X124" s="16"/>
      <c r="Y124" s="16"/>
      <c r="Z124" s="16"/>
    </row>
    <row r="125" ht="13.5" customHeight="1" spans="1:26" x14ac:dyDescent="0.25">
      <c r="A125" s="17"/>
      <c r="B125" s="641">
        <v>1</v>
      </c>
      <c r="C125" s="737" t="str">
        <f ca="1">C109</f>
        <v>AAPL</v>
      </c>
      <c r="D125" s="887">
        <f ca="1">Comparables!I30</f>
        <v>0.005920999999999999</v>
      </c>
      <c r="E125" s="888">
        <f ca="1">MEDIAN(D125:D129)</f>
        <v>0</v>
      </c>
      <c r="F125" s="16"/>
      <c r="G125" s="16"/>
      <c r="H125" s="16"/>
      <c r="I125" s="16"/>
      <c r="J125" s="16"/>
      <c r="K125" s="16"/>
      <c r="L125" s="16"/>
      <c r="M125" s="16"/>
      <c r="N125" s="16"/>
      <c r="O125" s="737" t="str">
        <f t="shared" ref="O125:O129" si="46" ca="1">INDEX($C$125:$C$129,MATCH(P125,$D$125:$D$129,0),1)</f>
        <v>MSFT</v>
      </c>
      <c r="P125" s="888">
        <f t="shared" ref="P125:P129" si="47" ca="1">LARGE($D$125:$D$129,B125)</f>
        <v>0.007473</v>
      </c>
      <c r="Q125" s="888">
        <f t="shared" ref="Q125:Q129" si="48" ca="1">E125</f>
        <v>1e-12</v>
      </c>
      <c r="R125" s="16"/>
      <c r="S125" s="16"/>
      <c r="T125" s="16"/>
      <c r="U125" s="16"/>
      <c r="V125" s="16"/>
      <c r="W125" s="16"/>
      <c r="X125" s="16"/>
      <c r="Y125" s="16"/>
      <c r="Z125" s="16"/>
    </row>
    <row r="126" ht="13.5" customHeight="1" spans="1:26" x14ac:dyDescent="0.25">
      <c r="A126" s="17"/>
      <c r="B126" s="16">
        <f t="shared" ref="B126:B129" si="49" ca="1">B125+1</f>
        <v>2</v>
      </c>
      <c r="C126" s="737" t="str">
        <f ca="1">C110</f>
        <v>FB</v>
      </c>
      <c r="D126" s="887">
        <f ca="1">IF(ISNUMBER(Comparables!I31),Comparables!I31,0)</f>
        <v>0</v>
      </c>
      <c r="E126" s="888">
        <f t="shared" ref="E126:E129" si="50" ca="1">E125</f>
        <v>1e-12</v>
      </c>
      <c r="F126" s="16"/>
      <c r="G126" s="16"/>
      <c r="H126" s="16"/>
      <c r="I126" s="16"/>
      <c r="J126" s="16"/>
      <c r="K126" s="16"/>
      <c r="L126" s="16"/>
      <c r="M126" s="16"/>
      <c r="N126" s="16"/>
      <c r="O126" s="737" t="str">
        <f ca="1">INDEX($C$125:$C$129,MATCH(P126,$D$125:$D$129,0),1)</f>
        <v>AAPL</v>
      </c>
      <c r="P126" s="888">
        <f ca="1">LARGE($D$125:$D$129,B126)</f>
        <v>0.005920999999999999</v>
      </c>
      <c r="Q126" s="888">
        <f ca="1">E126</f>
        <v>1e-12</v>
      </c>
      <c r="R126" s="16"/>
      <c r="S126" s="16"/>
      <c r="T126" s="16"/>
      <c r="U126" s="16"/>
      <c r="V126" s="16"/>
      <c r="W126" s="16"/>
      <c r="X126" s="16"/>
      <c r="Y126" s="16"/>
      <c r="Z126" s="16"/>
    </row>
    <row r="127" ht="13.5" customHeight="1" spans="1:26" x14ac:dyDescent="0.25">
      <c r="A127" s="17"/>
      <c r="B127" s="16">
        <f ca="1">B126+1</f>
        <v>3</v>
      </c>
      <c r="C127" s="737" t="str">
        <f ca="1">C111</f>
        <v>MSFT</v>
      </c>
      <c r="D127" s="887">
        <f ca="1">Comparables!I32</f>
        <v>0.007473</v>
      </c>
      <c r="E127" s="888">
        <f ca="1">E126</f>
        <v>1e-12</v>
      </c>
      <c r="F127" s="16"/>
      <c r="G127" s="16"/>
      <c r="H127" s="16"/>
      <c r="I127" s="16"/>
      <c r="J127" s="16"/>
      <c r="K127" s="16"/>
      <c r="L127" s="16"/>
      <c r="M127" s="16"/>
      <c r="N127" s="16"/>
      <c r="O127" s="737" t="str">
        <f ca="1">INDEX($C$125:$C$129,MATCH(P127,$D$125:$D$129,0),1)</f>
        <v>FB</v>
      </c>
      <c r="P127" s="888">
        <f ca="1">LARGE($D$125:$D$129,B127)</f>
      </c>
      <c r="Q127" s="888">
        <f ca="1">E127</f>
        <v>1e-12</v>
      </c>
      <c r="R127" s="16"/>
      <c r="S127" s="16"/>
      <c r="T127" s="16"/>
      <c r="U127" s="16"/>
      <c r="V127" s="16"/>
      <c r="W127" s="16"/>
      <c r="X127" s="16"/>
      <c r="Y127" s="16"/>
      <c r="Z127" s="16"/>
    </row>
    <row r="128" ht="13.5" customHeight="1" spans="1:26" x14ac:dyDescent="0.25">
      <c r="A128" s="17"/>
      <c r="B128" s="16">
        <f ca="1">B127+1</f>
        <v>4</v>
      </c>
      <c r="C128" s="737" t="str">
        <f ca="1">C112</f>
        <v>SNAP</v>
      </c>
      <c r="D128" s="887">
        <f ca="1">Comparables!I33</f>
        <v>1e-12</v>
      </c>
      <c r="E128" s="888">
        <f ca="1">E127</f>
        <v>1e-12</v>
      </c>
      <c r="F128" s="16"/>
      <c r="G128" s="16"/>
      <c r="H128" s="16"/>
      <c r="I128" s="16"/>
      <c r="J128" s="16"/>
      <c r="K128" s="16"/>
      <c r="L128" s="16"/>
      <c r="M128" s="16"/>
      <c r="N128" s="16"/>
      <c r="O128" s="737" t="str">
        <f ca="1">INDEX($C$125:$C$129,MATCH(P128,$D$125:$D$129,0),1)</f>
        <v>FB</v>
      </c>
      <c r="P128" s="888">
        <f ca="1">LARGE($D$125:$D$129,B128)</f>
      </c>
      <c r="Q128" s="888">
        <f ca="1">E128</f>
        <v>1e-12</v>
      </c>
      <c r="R128" s="16"/>
      <c r="S128" s="16"/>
      <c r="T128" s="16"/>
      <c r="U128" s="16"/>
      <c r="V128" s="16"/>
      <c r="W128" s="16"/>
      <c r="X128" s="16"/>
      <c r="Y128" s="16"/>
      <c r="Z128" s="16"/>
    </row>
    <row r="129" ht="13.5" customHeight="1" spans="1:26" x14ac:dyDescent="0.25">
      <c r="A129" s="17"/>
      <c r="B129" s="16">
        <f ca="1">B128+1</f>
        <v>5</v>
      </c>
      <c r="C129" s="737" t="str">
        <f ca="1">C113</f>
        <v>GOOGL</v>
      </c>
      <c r="D129" s="887">
        <f ca="1">Comparables!I34</f>
        <v>1e-12</v>
      </c>
      <c r="E129" s="888">
        <f ca="1">E128</f>
        <v>1e-12</v>
      </c>
      <c r="F129" s="16"/>
      <c r="G129" s="16"/>
      <c r="H129" s="16"/>
      <c r="I129" s="16"/>
      <c r="J129" s="16"/>
      <c r="K129" s="16"/>
      <c r="L129" s="16"/>
      <c r="M129" s="16"/>
      <c r="N129" s="16"/>
      <c r="O129" s="737" t="str">
        <f ca="1">INDEX($C$125:$C$129,MATCH(P129,$D$125:$D$129,0),1)</f>
        <v>FB</v>
      </c>
      <c r="P129" s="888">
        <f ca="1">LARGE($D$125:$D$129,B129)</f>
      </c>
      <c r="Q129" s="888">
        <f ca="1">E129</f>
        <v>1e-12</v>
      </c>
      <c r="R129" s="16"/>
      <c r="S129" s="16"/>
      <c r="T129" s="16"/>
      <c r="U129" s="16"/>
      <c r="V129" s="16"/>
      <c r="W129" s="16"/>
      <c r="X129" s="16"/>
      <c r="Y129" s="16"/>
      <c r="Z129" s="16"/>
    </row>
    <row r="130" ht="13.5" customHeight="1" spans="1:26" x14ac:dyDescent="0.25">
      <c r="A130" s="17"/>
      <c r="B130" s="16"/>
      <c r="C130" s="16"/>
      <c r="D130" s="16"/>
      <c r="E130" s="16"/>
      <c r="F130" s="16"/>
      <c r="G130" s="16"/>
      <c r="H130" s="16"/>
      <c r="I130" s="16"/>
      <c r="J130" s="16"/>
      <c r="K130" s="16"/>
      <c r="L130" s="16"/>
      <c r="M130" s="16"/>
      <c r="N130" s="16"/>
      <c r="O130" s="16"/>
      <c r="P130" s="16"/>
      <c r="Q130" s="16"/>
      <c r="R130" s="16"/>
      <c r="S130" s="16"/>
      <c r="T130" s="16"/>
      <c r="U130" s="16"/>
      <c r="V130" s="16"/>
      <c r="W130" s="16"/>
      <c r="X130" s="16"/>
      <c r="Y130" s="16"/>
      <c r="Z130" s="16"/>
    </row>
    <row r="131" ht="13.5" customHeight="1" spans="1:26" x14ac:dyDescent="0.25">
      <c r="A131" s="17"/>
      <c r="B131" s="16"/>
      <c r="C131" s="16"/>
      <c r="D131" s="16"/>
      <c r="E131" s="889" t="str">
        <f ca="1">"Median "&amp;TEXT(E125,"0.0%")</f>
        <v>Median 0.0%</v>
      </c>
      <c r="F131" s="16"/>
      <c r="G131" s="16"/>
      <c r="H131" s="16"/>
      <c r="I131" s="16"/>
      <c r="J131" s="16"/>
      <c r="K131" s="16"/>
      <c r="L131" s="16"/>
      <c r="M131" s="16"/>
      <c r="N131" s="16"/>
      <c r="O131" s="16"/>
      <c r="P131" s="16"/>
      <c r="Q131" s="889" t="str">
        <f ca="1">E131</f>
        <v>Median 0.0%</v>
      </c>
      <c r="R131" s="16"/>
      <c r="S131" s="16"/>
      <c r="T131" s="16"/>
      <c r="U131" s="16"/>
      <c r="V131" s="16"/>
      <c r="W131" s="16"/>
      <c r="X131" s="16"/>
      <c r="Y131" s="16"/>
      <c r="Z131" s="16"/>
    </row>
    <row r="132" ht="13.5" customHeight="1" spans="1:26" x14ac:dyDescent="0.25">
      <c r="A132" s="17"/>
      <c r="B132" s="16"/>
      <c r="C132" s="16"/>
      <c r="D132" s="16"/>
      <c r="E132" s="16"/>
      <c r="F132" s="16"/>
      <c r="G132" s="16"/>
      <c r="H132" s="16"/>
      <c r="I132" s="16"/>
      <c r="J132" s="16"/>
      <c r="K132" s="16"/>
      <c r="L132" s="16"/>
      <c r="M132" s="16"/>
      <c r="N132" s="16"/>
      <c r="O132" s="16"/>
      <c r="P132" s="16"/>
      <c r="Q132" s="16"/>
      <c r="R132" s="16"/>
      <c r="S132" s="16"/>
      <c r="T132" s="16"/>
      <c r="U132" s="16"/>
      <c r="V132" s="16"/>
      <c r="W132" s="16"/>
      <c r="X132" s="16"/>
      <c r="Y132" s="16"/>
      <c r="Z132" s="16"/>
    </row>
    <row r="133" ht="13.5" customHeight="1" spans="1:26" x14ac:dyDescent="0.25">
      <c r="A133" s="17"/>
      <c r="B133" s="16"/>
      <c r="C133" s="16"/>
      <c r="D133" s="16"/>
      <c r="E133" s="16"/>
      <c r="F133" s="16"/>
      <c r="G133" s="16"/>
      <c r="H133" s="16"/>
      <c r="I133" s="16"/>
      <c r="J133" s="16"/>
      <c r="K133" s="16"/>
      <c r="L133" s="16"/>
      <c r="M133" s="16"/>
      <c r="N133" s="16"/>
      <c r="O133" s="16"/>
      <c r="P133" s="16"/>
      <c r="Q133" s="16"/>
      <c r="R133" s="16"/>
      <c r="S133" s="16"/>
      <c r="T133" s="16"/>
      <c r="U133" s="16"/>
      <c r="V133" s="16"/>
      <c r="W133" s="16"/>
      <c r="X133" s="16"/>
      <c r="Y133" s="16"/>
      <c r="Z133" s="16"/>
    </row>
    <row r="134" ht="13.5" customHeight="1" spans="1:26" x14ac:dyDescent="0.25">
      <c r="A134" s="17"/>
      <c r="B134" s="16"/>
      <c r="C134" s="16"/>
      <c r="D134" s="16"/>
      <c r="E134" s="16"/>
      <c r="F134" s="16"/>
      <c r="G134" s="16"/>
      <c r="H134" s="16"/>
      <c r="I134" s="16"/>
      <c r="J134" s="16"/>
      <c r="K134" s="16"/>
      <c r="L134" s="16"/>
      <c r="M134" s="16"/>
      <c r="N134" s="16"/>
      <c r="O134" s="16"/>
      <c r="P134" s="16"/>
      <c r="Q134" s="16"/>
      <c r="R134" s="16"/>
      <c r="S134" s="16"/>
      <c r="T134" s="16"/>
      <c r="U134" s="16"/>
      <c r="V134" s="16"/>
      <c r="W134" s="16"/>
      <c r="X134" s="16"/>
      <c r="Y134" s="16"/>
      <c r="Z134" s="16"/>
    </row>
    <row r="135" ht="13.5" customHeight="1" spans="1:26" x14ac:dyDescent="0.25">
      <c r="A135" s="17"/>
      <c r="B135" s="16"/>
      <c r="C135" s="16"/>
      <c r="D135" s="16"/>
      <c r="E135" s="16"/>
      <c r="F135" s="16"/>
      <c r="G135" s="16"/>
      <c r="H135" s="16"/>
      <c r="I135" s="16"/>
      <c r="J135" s="16"/>
      <c r="K135" s="16"/>
      <c r="L135" s="16"/>
      <c r="M135" s="16"/>
      <c r="N135" s="16"/>
      <c r="O135" s="16"/>
      <c r="P135" s="16"/>
      <c r="Q135" s="16"/>
      <c r="R135" s="16"/>
      <c r="S135" s="16"/>
      <c r="T135" s="16"/>
      <c r="U135" s="16"/>
      <c r="V135" s="16"/>
      <c r="W135" s="16"/>
      <c r="X135" s="16"/>
      <c r="Y135" s="16"/>
      <c r="Z135" s="16"/>
    </row>
    <row r="136" ht="13.5" customHeight="1" spans="1:26" x14ac:dyDescent="0.25">
      <c r="A136" s="17" t="s">
        <v>1</v>
      </c>
      <c r="B136" s="16"/>
      <c r="C136" s="92" t="s">
        <v>963</v>
      </c>
      <c r="D136" s="22"/>
      <c r="E136" s="22"/>
      <c r="F136" s="22"/>
      <c r="G136" s="22"/>
      <c r="H136" s="22"/>
      <c r="I136" s="22"/>
      <c r="J136" s="22"/>
      <c r="K136" s="22"/>
      <c r="L136" s="22"/>
      <c r="M136" s="22"/>
      <c r="N136" s="22"/>
      <c r="O136" s="22"/>
      <c r="P136" s="22"/>
      <c r="Q136" s="7"/>
      <c r="R136" s="16"/>
      <c r="S136" s="16"/>
      <c r="T136" s="16"/>
      <c r="U136" s="16"/>
      <c r="V136" s="16"/>
      <c r="W136" s="16"/>
      <c r="X136" s="16"/>
      <c r="Y136" s="16"/>
      <c r="Z136" s="16"/>
    </row>
    <row r="137" ht="13.5" customHeight="1" spans="1:26" x14ac:dyDescent="0.25">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ht="13.5" customHeight="1" spans="1:26" x14ac:dyDescent="0.25">
      <c r="A138" s="4"/>
      <c r="B138" s="4"/>
      <c r="C138" s="883" t="str">
        <f ca="1">C122</f>
        <v>Raw Data</v>
      </c>
      <c r="D138" s="112"/>
      <c r="E138" s="112"/>
      <c r="F138" s="4"/>
      <c r="G138" s="4"/>
      <c r="H138" s="4"/>
      <c r="I138" s="4"/>
      <c r="J138" s="4"/>
      <c r="K138" s="4"/>
      <c r="L138" s="4"/>
      <c r="M138" s="4"/>
      <c r="N138" s="4"/>
      <c r="O138" s="883" t="str">
        <f ca="1">O122</f>
        <v>Chart Data</v>
      </c>
      <c r="P138" s="112"/>
      <c r="Q138" s="4"/>
      <c r="R138" s="4"/>
      <c r="S138" s="4"/>
      <c r="T138" s="4"/>
      <c r="U138" s="4"/>
      <c r="V138" s="4"/>
      <c r="W138" s="4"/>
      <c r="X138" s="4"/>
      <c r="Y138" s="4"/>
      <c r="Z138" s="4"/>
    </row>
    <row r="139" ht="13.5" customHeight="1" spans="1:26" x14ac:dyDescent="0.25">
      <c r="A139" s="4"/>
      <c r="B139" s="4"/>
      <c r="D139" s="4"/>
      <c r="E139" s="4"/>
      <c r="F139" s="4"/>
      <c r="G139" s="4"/>
      <c r="H139" s="4"/>
      <c r="I139" s="4"/>
      <c r="J139" s="4"/>
      <c r="K139" s="4"/>
      <c r="L139" s="4"/>
      <c r="M139" s="4"/>
      <c r="N139" s="4"/>
      <c r="O139" s="16"/>
      <c r="P139" s="16"/>
      <c r="Q139" s="4"/>
      <c r="R139" s="4"/>
      <c r="S139" s="4"/>
      <c r="T139" s="4"/>
      <c r="U139" s="4"/>
      <c r="V139" s="4"/>
      <c r="W139" s="4"/>
      <c r="X139" s="4"/>
      <c r="Y139" s="4"/>
      <c r="Z139" s="4"/>
    </row>
    <row r="140" ht="13.5" customHeight="1" spans="1:26" x14ac:dyDescent="0.25">
      <c r="A140" s="4"/>
      <c r="B140" s="4">
        <v>1</v>
      </c>
      <c r="C140" s="884" t="str">
        <f t="shared" ref="C140:C145" si="51" ca="1">C124</f>
        <v>LOW</v>
      </c>
      <c r="D140" s="894">
        <v>0.2828</v>
      </c>
      <c r="E140" s="4"/>
      <c r="F140" s="4"/>
      <c r="G140" s="4"/>
      <c r="H140" s="4"/>
      <c r="I140" s="4"/>
      <c r="J140" s="4"/>
      <c r="K140" s="4"/>
      <c r="L140" s="4"/>
      <c r="M140" s="4"/>
      <c r="N140" s="4"/>
      <c r="O140" s="737" t="str">
        <f t="shared" ref="O140:O145" si="52" ca="1">INDEX($C$140:$C$145,MATCH(P140,$D$140:$D$145,0),1)</f>
        <v>LOW</v>
      </c>
      <c r="P140" s="888">
        <f t="shared" ref="P140:P145" si="53" ca="1">LARGE($D$140:$D$145,B140)</f>
        <v>0.2828</v>
      </c>
      <c r="Q140" s="4"/>
      <c r="R140" s="4"/>
      <c r="S140" s="4"/>
      <c r="T140" s="4"/>
      <c r="U140" s="4"/>
      <c r="V140" s="4"/>
      <c r="W140" s="4"/>
      <c r="X140" s="4"/>
      <c r="Y140" s="4"/>
      <c r="Z140" s="4"/>
    </row>
    <row r="141" ht="13.5" customHeight="1" spans="1:26" x14ac:dyDescent="0.25">
      <c r="A141" s="4"/>
      <c r="B141" s="641">
        <f t="shared" ref="B141:B145" si="54" ca="1">B140+1</f>
        <v>2</v>
      </c>
      <c r="C141" s="737" t="str">
        <f ca="1">C125</f>
        <v>AAPL</v>
      </c>
      <c r="D141" s="894">
        <v>0.2175</v>
      </c>
      <c r="E141" s="888"/>
      <c r="F141" s="4"/>
      <c r="G141" s="4"/>
      <c r="H141" s="4"/>
      <c r="I141" s="4"/>
      <c r="J141" s="4"/>
      <c r="K141" s="4"/>
      <c r="L141" s="4"/>
      <c r="M141" s="4"/>
      <c r="N141" s="4"/>
      <c r="O141" s="737" t="str">
        <f ca="1">INDEX($C$140:$C$145,MATCH(P141,$D$140:$D$145,0),1)</f>
        <v>AAPL</v>
      </c>
      <c r="P141" s="888">
        <f ca="1">LARGE($D$140:$D$145,B141)</f>
        <v>0.2175</v>
      </c>
      <c r="Q141" s="4"/>
      <c r="R141" s="4"/>
      <c r="S141" s="4"/>
      <c r="T141" s="4"/>
      <c r="U141" s="4"/>
      <c r="V141" s="4"/>
      <c r="W141" s="4"/>
      <c r="X141" s="4"/>
      <c r="Y141" s="4"/>
      <c r="Z141" s="4"/>
    </row>
    <row r="142" ht="13.5" customHeight="1" spans="1:26" x14ac:dyDescent="0.25">
      <c r="A142" s="4"/>
      <c r="B142" s="641">
        <f ca="1">B141+1</f>
        <v>3</v>
      </c>
      <c r="C142" s="737" t="str">
        <f ca="1">C126</f>
        <v>FB</v>
      </c>
      <c r="D142" s="894">
        <v>0</v>
      </c>
      <c r="E142" s="888"/>
      <c r="F142" s="4"/>
      <c r="G142" s="4"/>
      <c r="H142" s="4"/>
      <c r="I142" s="4"/>
      <c r="J142" s="4"/>
      <c r="K142" s="4"/>
      <c r="L142" s="4"/>
      <c r="M142" s="4"/>
      <c r="N142" s="4"/>
      <c r="O142" s="737" t="str">
        <f ca="1">INDEX($C$140:$C$145,MATCH(P142,$D$140:$D$145,0),1)</f>
        <v>FB</v>
      </c>
      <c r="P142" s="888">
        <f ca="1">LARGE($D$140:$D$145,B142)</f>
      </c>
      <c r="Q142" s="4"/>
      <c r="R142" s="4"/>
      <c r="S142" s="4"/>
      <c r="T142" s="4"/>
      <c r="U142" s="4"/>
      <c r="V142" s="4"/>
      <c r="W142" s="4"/>
      <c r="X142" s="4"/>
      <c r="Y142" s="4"/>
      <c r="Z142" s="4"/>
    </row>
    <row r="143" ht="13.5" customHeight="1" spans="1:26" x14ac:dyDescent="0.25">
      <c r="A143" s="4"/>
      <c r="B143" s="641">
        <f ca="1">B142+1</f>
        <v>4</v>
      </c>
      <c r="C143" s="737" t="str">
        <f ca="1">C127</f>
        <v>MSFT</v>
      </c>
      <c r="D143" s="894">
        <v>0</v>
      </c>
      <c r="E143" s="888"/>
      <c r="F143" s="4"/>
      <c r="G143" s="4"/>
      <c r="H143" s="4"/>
      <c r="I143" s="4"/>
      <c r="J143" s="4"/>
      <c r="K143" s="4"/>
      <c r="L143" s="4"/>
      <c r="M143" s="4"/>
      <c r="N143" s="4"/>
      <c r="O143" s="737" t="str">
        <f ca="1">INDEX($C$140:$C$145,MATCH(P143,$D$140:$D$145,0),1)</f>
        <v>FB</v>
      </c>
      <c r="P143" s="888">
        <f ca="1">LARGE($D$140:$D$145,B143)</f>
      </c>
      <c r="Q143" s="4"/>
      <c r="R143" s="4"/>
      <c r="S143" s="4"/>
      <c r="T143" s="4"/>
      <c r="U143" s="4"/>
      <c r="V143" s="4"/>
      <c r="W143" s="4"/>
      <c r="X143" s="4"/>
      <c r="Y143" s="4"/>
      <c r="Z143" s="4"/>
    </row>
    <row r="144" ht="13.5" customHeight="1" spans="1:26" x14ac:dyDescent="0.25">
      <c r="A144" s="4"/>
      <c r="B144" s="641">
        <f ca="1">B143+1</f>
        <v>5</v>
      </c>
      <c r="C144" s="737" t="str">
        <f ca="1">C128</f>
        <v>SNAP</v>
      </c>
      <c r="D144" s="894">
        <v>0</v>
      </c>
      <c r="E144" s="888"/>
      <c r="F144" s="4"/>
      <c r="G144" s="4"/>
      <c r="H144" s="4"/>
      <c r="I144" s="4"/>
      <c r="J144" s="4"/>
      <c r="K144" s="4"/>
      <c r="L144" s="4"/>
      <c r="M144" s="4"/>
      <c r="N144" s="4"/>
      <c r="O144" s="737" t="str">
        <f ca="1">INDEX($C$140:$C$145,MATCH(P144,$D$140:$D$145,0),1)</f>
        <v>FB</v>
      </c>
      <c r="P144" s="888">
        <f ca="1">LARGE($D$140:$D$145,B144)</f>
      </c>
      <c r="Q144" s="4"/>
      <c r="R144" s="4"/>
      <c r="S144" s="4"/>
      <c r="T144" s="4"/>
      <c r="U144" s="4"/>
      <c r="V144" s="4"/>
      <c r="W144" s="4"/>
      <c r="X144" s="4"/>
      <c r="Y144" s="4"/>
      <c r="Z144" s="4"/>
    </row>
    <row r="145" ht="13.5" customHeight="1" spans="1:26" x14ac:dyDescent="0.25">
      <c r="A145" s="4"/>
      <c r="B145" s="641">
        <f ca="1">B144+1</f>
        <v>6</v>
      </c>
      <c r="C145" s="737" t="str">
        <f ca="1">C129</f>
        <v>GOOGL</v>
      </c>
      <c r="D145" s="894">
        <v>0</v>
      </c>
      <c r="E145" s="888"/>
      <c r="F145" s="4"/>
      <c r="G145" s="4"/>
      <c r="H145" s="4"/>
      <c r="I145" s="4"/>
      <c r="J145" s="4"/>
      <c r="K145" s="4"/>
      <c r="L145" s="4"/>
      <c r="M145" s="4"/>
      <c r="N145" s="4"/>
      <c r="O145" s="737" t="str">
        <f ca="1">INDEX($C$140:$C$145,MATCH(P145,$D$140:$D$145,0),1)</f>
        <v>FB</v>
      </c>
      <c r="P145" s="888">
        <f ca="1">LARGE($D$140:$D$145,B145)</f>
      </c>
      <c r="Q145" s="4"/>
      <c r="R145" s="4"/>
      <c r="S145" s="4"/>
      <c r="T145" s="4"/>
      <c r="U145" s="4"/>
      <c r="V145" s="4"/>
      <c r="W145" s="4"/>
      <c r="X145" s="4"/>
      <c r="Y145" s="4"/>
      <c r="Z145" s="4"/>
    </row>
    <row r="146" ht="13.5" customHeight="1" spans="1:26" x14ac:dyDescent="0.25">
      <c r="A146" s="4"/>
      <c r="B146" s="4"/>
      <c r="C146" s="4"/>
      <c r="D146" s="4"/>
      <c r="E146" s="4"/>
      <c r="F146" s="4"/>
      <c r="G146" s="4"/>
      <c r="H146" s="4"/>
      <c r="I146" s="4"/>
      <c r="J146" s="4"/>
      <c r="K146" s="4"/>
      <c r="L146" s="4"/>
      <c r="M146" s="4"/>
      <c r="N146" s="4"/>
      <c r="O146" s="16"/>
      <c r="P146" s="16"/>
      <c r="Q146" s="4"/>
      <c r="R146" s="4"/>
      <c r="S146" s="4"/>
      <c r="T146" s="4"/>
      <c r="U146" s="4"/>
      <c r="V146" s="4"/>
      <c r="W146" s="4"/>
      <c r="X146" s="4"/>
      <c r="Y146" s="4"/>
      <c r="Z146" s="4"/>
    </row>
    <row r="147" ht="13.5" customHeight="1" spans="1:26" x14ac:dyDescent="0.25">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ht="13.5" customHeight="1" spans="1:26" x14ac:dyDescent="0.25">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ht="13.5" customHeight="1" spans="1:26" x14ac:dyDescent="0.25">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ht="13.5" customHeight="1" spans="1:26" x14ac:dyDescent="0.25">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ht="13.5" customHeight="1" spans="1:26" x14ac:dyDescent="0.25">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ht="13.5" customHeight="1" spans="1:26" x14ac:dyDescent="0.25">
      <c r="A152" s="4"/>
      <c r="B152" s="4"/>
      <c r="C152" s="92" t="s">
        <v>964</v>
      </c>
      <c r="D152" s="22"/>
      <c r="E152" s="22"/>
      <c r="F152" s="22"/>
      <c r="G152" s="22"/>
      <c r="H152" s="22"/>
      <c r="I152" s="22"/>
      <c r="J152" s="22"/>
      <c r="K152" s="22"/>
      <c r="L152" s="22"/>
      <c r="M152" s="22"/>
      <c r="N152" s="22"/>
      <c r="O152" s="22"/>
      <c r="P152" s="22"/>
      <c r="Q152" s="7"/>
      <c r="R152" s="4"/>
      <c r="S152" s="4"/>
      <c r="T152" s="4"/>
      <c r="U152" s="4"/>
      <c r="V152" s="4"/>
      <c r="W152" s="4"/>
      <c r="X152" s="4"/>
      <c r="Y152" s="4"/>
      <c r="Z152" s="4"/>
    </row>
    <row r="153" ht="13.5" customHeight="1" spans="1:26" x14ac:dyDescent="0.25">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ht="13.5" customHeight="1" spans="1:26" x14ac:dyDescent="0.25">
      <c r="A154" s="4"/>
      <c r="B154" s="4"/>
      <c r="C154" s="883" t="str">
        <f ca="1">C138</f>
        <v>Raw Data</v>
      </c>
      <c r="D154" s="112"/>
      <c r="E154" s="112"/>
      <c r="F154" s="4"/>
      <c r="G154" s="4"/>
      <c r="H154" s="4"/>
      <c r="I154" s="4"/>
      <c r="J154" s="4"/>
      <c r="K154" s="4"/>
      <c r="L154" s="4"/>
      <c r="M154" s="4"/>
      <c r="N154" s="4"/>
      <c r="O154" s="883" t="str">
        <f ca="1">O138</f>
        <v>Chart Data</v>
      </c>
      <c r="P154" s="112"/>
      <c r="Q154" s="4"/>
      <c r="R154" s="4"/>
      <c r="S154" s="4"/>
      <c r="T154" s="4"/>
      <c r="U154" s="4"/>
      <c r="V154" s="4"/>
      <c r="W154" s="4"/>
      <c r="X154" s="4"/>
      <c r="Y154" s="4"/>
      <c r="Z154" s="4"/>
    </row>
    <row r="155" ht="13.5" customHeight="1" spans="1:26" x14ac:dyDescent="0.25">
      <c r="A155" s="4"/>
      <c r="B155" s="4"/>
      <c r="C155" s="4"/>
      <c r="D155" s="4"/>
      <c r="E155" s="4"/>
      <c r="F155" s="4"/>
      <c r="G155" s="4"/>
      <c r="H155" s="4"/>
      <c r="I155" s="4"/>
      <c r="J155" s="4"/>
      <c r="K155" s="4"/>
      <c r="L155" s="4"/>
      <c r="M155" s="4"/>
      <c r="N155" s="4"/>
      <c r="O155" s="16"/>
      <c r="P155" s="16"/>
      <c r="Q155" s="4"/>
      <c r="R155" s="4"/>
      <c r="S155" s="4"/>
      <c r="T155" s="4"/>
      <c r="U155" s="4"/>
      <c r="V155" s="4"/>
      <c r="W155" s="4"/>
      <c r="X155" s="4"/>
      <c r="Y155" s="4"/>
      <c r="Z155" s="4"/>
    </row>
    <row r="156" ht="13.5" customHeight="1" spans="1:26" x14ac:dyDescent="0.25">
      <c r="A156" s="4"/>
      <c r="B156" s="4">
        <v>1</v>
      </c>
      <c r="C156" s="884" t="str">
        <f t="shared" ref="C156:C161" si="55" ca="1">C140</f>
        <v>LOW</v>
      </c>
      <c r="D156" s="894">
        <v>0.244</v>
      </c>
      <c r="E156" s="4"/>
      <c r="F156" s="4"/>
      <c r="G156" s="4"/>
      <c r="H156" s="4"/>
      <c r="I156" s="4"/>
      <c r="J156" s="4"/>
      <c r="K156" s="4"/>
      <c r="L156" s="4"/>
      <c r="M156" s="4"/>
      <c r="N156" s="4"/>
      <c r="O156" s="737" t="str">
        <f t="shared" ref="O156:O161" si="56" ca="1">INDEX($C$156:$C$161,MATCH(P156,$D$156:$D$161,0),1)</f>
        <v>LOW</v>
      </c>
      <c r="P156" s="888">
        <f t="shared" ref="P156:P161" si="57" ca="1">LARGE($D$156:$D$161,B156)</f>
        <v>0.244</v>
      </c>
      <c r="Q156" s="4"/>
      <c r="R156" s="4"/>
      <c r="S156" s="4"/>
      <c r="T156" s="4"/>
      <c r="U156" s="4"/>
      <c r="V156" s="4"/>
      <c r="W156" s="4"/>
      <c r="X156" s="4"/>
      <c r="Y156" s="4"/>
      <c r="Z156" s="4"/>
    </row>
    <row r="157" ht="13.5" customHeight="1" spans="1:26" x14ac:dyDescent="0.25">
      <c r="A157" s="4"/>
      <c r="B157" s="641">
        <f t="shared" ref="B157:B161" si="58" ca="1">B156+1</f>
        <v>2</v>
      </c>
      <c r="C157" s="737" t="str">
        <f ca="1">C141</f>
        <v>AAPL</v>
      </c>
      <c r="D157" s="894">
        <v>0.1296</v>
      </c>
      <c r="E157" s="4"/>
      <c r="F157" s="4"/>
      <c r="G157" s="4"/>
      <c r="H157" s="4"/>
      <c r="I157" s="4"/>
      <c r="J157" s="4"/>
      <c r="K157" s="4"/>
      <c r="L157" s="4"/>
      <c r="M157" s="4"/>
      <c r="N157" s="4"/>
      <c r="O157" s="737" t="str">
        <f ca="1">INDEX($C$156:$C$161,MATCH(P157,$D$156:$D$161,0),1)</f>
        <v>AAPL</v>
      </c>
      <c r="P157" s="888">
        <f ca="1">LARGE($D$156:$D$161,B157)</f>
        <v>0.1296</v>
      </c>
      <c r="Q157" s="4"/>
      <c r="R157" s="4"/>
      <c r="S157" s="4"/>
      <c r="T157" s="4"/>
      <c r="U157" s="4"/>
      <c r="V157" s="4"/>
      <c r="W157" s="4"/>
      <c r="X157" s="4"/>
      <c r="Y157" s="4"/>
      <c r="Z157" s="4"/>
    </row>
    <row r="158" ht="13.5" customHeight="1" spans="1:26" x14ac:dyDescent="0.25">
      <c r="A158" s="4"/>
      <c r="B158" s="641">
        <f ca="1">B157+1</f>
        <v>3</v>
      </c>
      <c r="C158" s="737" t="str">
        <f ca="1">C142</f>
        <v>FB</v>
      </c>
      <c r="D158" s="894">
        <v>0</v>
      </c>
      <c r="E158" s="4"/>
      <c r="F158" s="4"/>
      <c r="G158" s="4"/>
      <c r="H158" s="4"/>
      <c r="I158" s="4"/>
      <c r="J158" s="4"/>
      <c r="K158" s="4"/>
      <c r="L158" s="4"/>
      <c r="M158" s="4"/>
      <c r="N158" s="4"/>
      <c r="O158" s="737" t="str">
        <f ca="1">INDEX($C$156:$C$161,MATCH(P158,$D$156:$D$161,0),1)</f>
        <v>FB</v>
      </c>
      <c r="P158" s="888">
        <f ca="1">LARGE($D$156:$D$161,B158)</f>
      </c>
      <c r="Q158" s="4"/>
      <c r="R158" s="4"/>
      <c r="S158" s="4"/>
      <c r="T158" s="4"/>
      <c r="U158" s="4"/>
      <c r="V158" s="4"/>
      <c r="W158" s="4"/>
      <c r="X158" s="4"/>
      <c r="Y158" s="4"/>
      <c r="Z158" s="4"/>
    </row>
    <row r="159" ht="13.5" customHeight="1" spans="1:26" x14ac:dyDescent="0.25">
      <c r="A159" s="4"/>
      <c r="B159" s="641">
        <f ca="1">B158+1</f>
        <v>4</v>
      </c>
      <c r="C159" s="737" t="str">
        <f ca="1">C143</f>
        <v>MSFT</v>
      </c>
      <c r="D159" s="894">
        <v>0</v>
      </c>
      <c r="E159" s="4"/>
      <c r="F159" s="4"/>
      <c r="G159" s="4"/>
      <c r="H159" s="4"/>
      <c r="I159" s="4"/>
      <c r="J159" s="4"/>
      <c r="K159" s="4"/>
      <c r="L159" s="4"/>
      <c r="M159" s="4"/>
      <c r="N159" s="4"/>
      <c r="O159" s="737" t="str">
        <f ca="1">INDEX($C$156:$C$161,MATCH(P159,$D$156:$D$161,0),1)</f>
        <v>FB</v>
      </c>
      <c r="P159" s="888">
        <f ca="1">LARGE($D$156:$D$161,B159)</f>
      </c>
      <c r="Q159" s="4"/>
      <c r="R159" s="4"/>
      <c r="S159" s="4"/>
      <c r="T159" s="4"/>
      <c r="U159" s="4"/>
      <c r="V159" s="4"/>
      <c r="W159" s="4"/>
      <c r="X159" s="4"/>
      <c r="Y159" s="4"/>
      <c r="Z159" s="4"/>
    </row>
    <row r="160" ht="13.5" customHeight="1" spans="1:26" x14ac:dyDescent="0.25">
      <c r="A160" s="4"/>
      <c r="B160" s="641">
        <f ca="1">B159+1</f>
        <v>5</v>
      </c>
      <c r="C160" s="737" t="str">
        <f ca="1">C144</f>
        <v>SNAP</v>
      </c>
      <c r="D160" s="894">
        <v>0</v>
      </c>
      <c r="E160" s="4"/>
      <c r="F160" s="4"/>
      <c r="G160" s="4"/>
      <c r="H160" s="4"/>
      <c r="I160" s="4"/>
      <c r="J160" s="4"/>
      <c r="K160" s="4"/>
      <c r="L160" s="4"/>
      <c r="M160" s="4"/>
      <c r="N160" s="4"/>
      <c r="O160" s="737" t="str">
        <f ca="1">INDEX($C$156:$C$161,MATCH(P160,$D$156:$D$161,0),1)</f>
        <v>FB</v>
      </c>
      <c r="P160" s="888">
        <f ca="1">LARGE($D$156:$D$161,B160)</f>
      </c>
      <c r="Q160" s="4"/>
      <c r="R160" s="4"/>
      <c r="S160" s="4"/>
      <c r="T160" s="4"/>
      <c r="U160" s="4"/>
      <c r="V160" s="4"/>
      <c r="W160" s="4"/>
      <c r="X160" s="4"/>
      <c r="Y160" s="4"/>
      <c r="Z160" s="4"/>
    </row>
    <row r="161" ht="13.5" customHeight="1" spans="1:26" x14ac:dyDescent="0.25">
      <c r="A161" s="4"/>
      <c r="B161" s="641">
        <f ca="1">B160+1</f>
        <v>6</v>
      </c>
      <c r="C161" s="737" t="str">
        <f ca="1">C145</f>
        <v>GOOGL</v>
      </c>
      <c r="D161" s="894">
        <v>0</v>
      </c>
      <c r="E161" s="4"/>
      <c r="F161" s="4"/>
      <c r="G161" s="4"/>
      <c r="H161" s="4"/>
      <c r="I161" s="4"/>
      <c r="J161" s="4"/>
      <c r="K161" s="4"/>
      <c r="L161" s="4"/>
      <c r="M161" s="4"/>
      <c r="N161" s="4"/>
      <c r="O161" s="737" t="str">
        <f ca="1">INDEX($C$156:$C$161,MATCH(P161,$D$156:$D$161,0),1)</f>
        <v>FB</v>
      </c>
      <c r="P161" s="888">
        <f ca="1">LARGE($D$156:$D$161,B161)</f>
      </c>
      <c r="Q161" s="4"/>
      <c r="R161" s="4"/>
      <c r="S161" s="4"/>
      <c r="T161" s="4"/>
      <c r="U161" s="4"/>
      <c r="V161" s="4"/>
      <c r="W161" s="4"/>
      <c r="X161" s="4"/>
      <c r="Y161" s="4"/>
      <c r="Z161" s="4"/>
    </row>
    <row r="162" ht="13.5" customHeight="1" spans="1:26" x14ac:dyDescent="0.25">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ht="13.5" customHeight="1" spans="1:26" x14ac:dyDescent="0.25">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ht="13.5" customHeight="1" spans="1:26" x14ac:dyDescent="0.25">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ht="13.5" customHeight="1" spans="1:26" x14ac:dyDescent="0.25">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ht="13.5" customHeight="1" spans="1:26" x14ac:dyDescent="0.25">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ht="13.5" customHeight="1" spans="1:26" x14ac:dyDescent="0.25">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ht="13.5" customHeight="1" spans="1:26" x14ac:dyDescent="0.25">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ht="13.5" customHeight="1" spans="1:26" x14ac:dyDescent="0.25">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ht="13.5" customHeight="1" spans="1:26" x14ac:dyDescent="0.25">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ht="13.5" customHeight="1" spans="1:26" x14ac:dyDescent="0.25">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ht="13.5" customHeight="1" spans="1:26" x14ac:dyDescent="0.25">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ht="13.5" customHeight="1" spans="1:26" x14ac:dyDescent="0.25">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13.5" customHeight="1" spans="1:26" x14ac:dyDescent="0.25">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13.5" customHeight="1" spans="1:26" x14ac:dyDescent="0.25">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13.5" customHeight="1" spans="1:26" x14ac:dyDescent="0.25">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ht="13.5" customHeight="1" spans="1:26" x14ac:dyDescent="0.25">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ht="13.5" customHeight="1" spans="1:26" x14ac:dyDescent="0.25">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13.5" customHeight="1" spans="1:26" x14ac:dyDescent="0.25">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13.5" customHeight="1" spans="1:26" x14ac:dyDescent="0.25">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ht="13.5" customHeight="1" spans="1:26" x14ac:dyDescent="0.25">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13.5" customHeight="1" spans="1:26" x14ac:dyDescent="0.25">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13.5" customHeight="1" spans="1:26" x14ac:dyDescent="0.25">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13.5" customHeight="1" spans="1:26" x14ac:dyDescent="0.25">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13.5" customHeight="1" spans="1:26" x14ac:dyDescent="0.25">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13.5" customHeight="1" spans="1:26" x14ac:dyDescent="0.25">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13.5" customHeight="1" spans="1:26" x14ac:dyDescent="0.25">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13.5" customHeight="1" spans="1:26" x14ac:dyDescent="0.25">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13.5" customHeight="1" spans="1:26" x14ac:dyDescent="0.25">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13.5" customHeight="1" spans="1:26" x14ac:dyDescent="0.25">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13.5" customHeight="1" spans="1:26" x14ac:dyDescent="0.25">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13.5" customHeight="1" spans="1:26" x14ac:dyDescent="0.25">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13.5" customHeight="1" spans="1:26" x14ac:dyDescent="0.25">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13.5" customHeight="1" spans="1:26" x14ac:dyDescent="0.25">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13.5" customHeight="1" spans="1:26" x14ac:dyDescent="0.25">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13.5" customHeight="1" spans="1:26" x14ac:dyDescent="0.25">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13.5" customHeight="1" spans="1:26" x14ac:dyDescent="0.25">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13.5" customHeight="1" spans="1:26" x14ac:dyDescent="0.25">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13.5" customHeight="1" spans="1:26" x14ac:dyDescent="0.25">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13.5" customHeight="1" spans="1:26" x14ac:dyDescent="0.25">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13.5" customHeight="1" spans="1:26" x14ac:dyDescent="0.25">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13.5" customHeight="1" spans="1:26" x14ac:dyDescent="0.25">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13.5" customHeight="1" spans="1:26" x14ac:dyDescent="0.25">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13.5" customHeight="1" spans="1:26" x14ac:dyDescent="0.25">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13.5" customHeight="1" spans="1:26" x14ac:dyDescent="0.25">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13.5" customHeight="1" spans="1:26" x14ac:dyDescent="0.25">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13.5" customHeight="1" spans="1:26" x14ac:dyDescent="0.25">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13.5" customHeight="1" spans="1:26" x14ac:dyDescent="0.25">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13.5" customHeight="1" spans="1:26" x14ac:dyDescent="0.25">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13.5" customHeight="1" spans="1:26" x14ac:dyDescent="0.25">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13.5" customHeight="1" spans="1:26" x14ac:dyDescent="0.25">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13.5" customHeight="1" spans="1:26" x14ac:dyDescent="0.25">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13.5" customHeight="1" spans="1:26" x14ac:dyDescent="0.25">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13.5" customHeight="1" spans="1:26" x14ac:dyDescent="0.25">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13.5" customHeight="1" spans="1:26" x14ac:dyDescent="0.25">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13.5" customHeight="1" spans="1:26" x14ac:dyDescent="0.25">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13.5" customHeight="1" spans="1:26" x14ac:dyDescent="0.25">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13.5" customHeight="1" spans="1:26" x14ac:dyDescent="0.25">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13.5" customHeight="1" spans="1:26" x14ac:dyDescent="0.25">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13.5" customHeight="1" spans="1:26" x14ac:dyDescent="0.25">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13.5" customHeight="1" spans="1:26" x14ac:dyDescent="0.25">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ht="13.5" customHeight="1" spans="1:26" x14ac:dyDescent="0.25">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ht="13.5" customHeight="1" spans="1:26" x14ac:dyDescent="0.25">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ht="13.5" customHeight="1" spans="1:26" x14ac:dyDescent="0.25">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ht="13.5" customHeight="1" spans="1:26" x14ac:dyDescent="0.25">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ht="13.5" customHeight="1" spans="1:26" x14ac:dyDescent="0.25">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ht="13.5" customHeight="1" spans="1:26" x14ac:dyDescent="0.25">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ht="13.5" customHeight="1" spans="1:26" x14ac:dyDescent="0.25">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ht="13.5" customHeight="1" spans="1:26" x14ac:dyDescent="0.25">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ht="13.5" customHeight="1" spans="1:26" x14ac:dyDescent="0.25">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ht="13.5" customHeight="1" spans="1:26" x14ac:dyDescent="0.25">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ht="13.5" customHeight="1" spans="1:26" x14ac:dyDescent="0.25">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ht="13.5" customHeight="1" spans="1:26" x14ac:dyDescent="0.25">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ht="13.5" customHeight="1" spans="1:26" x14ac:dyDescent="0.25">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ht="13.5" customHeight="1" spans="1:26" x14ac:dyDescent="0.25">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ht="13.5" customHeight="1" spans="1:26" x14ac:dyDescent="0.25">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ht="13.5" customHeight="1" spans="1:26" x14ac:dyDescent="0.25">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ht="13.5" customHeight="1" spans="1:26" x14ac:dyDescent="0.25">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ht="13.5" customHeight="1" spans="1:26" x14ac:dyDescent="0.25">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ht="13.5" customHeight="1" spans="1:26" x14ac:dyDescent="0.25">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ht="13.5" customHeight="1" spans="1:26" x14ac:dyDescent="0.25">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ht="13.5" customHeight="1" spans="1:26" x14ac:dyDescent="0.25">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ht="13.5" customHeight="1" spans="1:26" x14ac:dyDescent="0.25">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ht="13.5" customHeight="1" spans="1:26" x14ac:dyDescent="0.25">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ht="13.5" customHeight="1" spans="1:26" x14ac:dyDescent="0.25">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ht="13.5" customHeight="1" spans="1:26" x14ac:dyDescent="0.25">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ht="13.5" customHeight="1" spans="1:26" x14ac:dyDescent="0.25">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ht="13.5" customHeight="1" spans="1:26" x14ac:dyDescent="0.25">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ht="13.5" customHeight="1" spans="1:26" x14ac:dyDescent="0.25">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ht="13.5" customHeight="1" spans="1:26" x14ac:dyDescent="0.25">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ht="13.5" customHeight="1" spans="1:26" x14ac:dyDescent="0.25">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ht="13.5" customHeight="1" spans="1:26" x14ac:dyDescent="0.25">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ht="13.5" customHeight="1" spans="1:26" x14ac:dyDescent="0.25">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ht="13.5" customHeight="1" spans="1:26" x14ac:dyDescent="0.25">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ht="13.5" customHeight="1" spans="1:26" x14ac:dyDescent="0.25">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ht="13.5" customHeight="1" spans="1:26" x14ac:dyDescent="0.25">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ht="13.5" customHeight="1" spans="1:26" x14ac:dyDescent="0.25">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ht="13.5" customHeight="1" spans="1:26" x14ac:dyDescent="0.25">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ht="13.5" customHeight="1" spans="1:26" x14ac:dyDescent="0.25">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ht="13.5" customHeight="1" spans="1:26" x14ac:dyDescent="0.25">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ht="13.5" customHeight="1" spans="1:26" x14ac:dyDescent="0.25">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ht="13.5" customHeight="1" spans="1:26" x14ac:dyDescent="0.25">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ht="13.5" customHeight="1" spans="1:26" x14ac:dyDescent="0.25">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ht="13.5" customHeight="1" spans="1:26" x14ac:dyDescent="0.25">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ht="13.5" customHeight="1" spans="1:26" x14ac:dyDescent="0.25">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ht="13.5" customHeight="1" spans="1:26" x14ac:dyDescent="0.25">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ht="13.5" customHeight="1" spans="1:26" x14ac:dyDescent="0.25">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ht="13.5" customHeight="1" spans="1:26" x14ac:dyDescent="0.25">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ht="13.5" customHeight="1" spans="1:26" x14ac:dyDescent="0.25">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ht="13.5" customHeight="1" spans="1:26" x14ac:dyDescent="0.25">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ht="13.5" customHeight="1" spans="1:26" x14ac:dyDescent="0.25">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ht="13.5" customHeight="1" spans="1:26" x14ac:dyDescent="0.25">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ht="13.5" customHeight="1" spans="1:26" x14ac:dyDescent="0.25">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ht="13.5" customHeight="1" spans="1:26" x14ac:dyDescent="0.25">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ht="13.5" customHeight="1" spans="1:26" x14ac:dyDescent="0.25">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ht="13.5" customHeight="1" spans="1:26" x14ac:dyDescent="0.25">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ht="13.5" customHeight="1" spans="1:26" x14ac:dyDescent="0.25">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ht="13.5" customHeight="1" spans="1:26" x14ac:dyDescent="0.25">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ht="13.5" customHeight="1" spans="1:26" x14ac:dyDescent="0.25">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ht="13.5" customHeight="1" spans="1:26" x14ac:dyDescent="0.25">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ht="13.5" customHeight="1" spans="1:26" x14ac:dyDescent="0.25">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ht="13.5" customHeight="1" spans="1:26" x14ac:dyDescent="0.25">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ht="13.5" customHeight="1" spans="1:26" x14ac:dyDescent="0.25">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ht="13.5" customHeight="1" spans="1:26" x14ac:dyDescent="0.25">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ht="13.5" customHeight="1" spans="1:26" x14ac:dyDescent="0.25">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ht="13.5" customHeight="1" spans="1:26" x14ac:dyDescent="0.25">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ht="13.5" customHeight="1" spans="1:26" x14ac:dyDescent="0.25">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ht="13.5" customHeight="1" spans="1:26" x14ac:dyDescent="0.25">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ht="13.5" customHeight="1" spans="1:26" x14ac:dyDescent="0.25">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ht="13.5" customHeight="1" spans="1:26" x14ac:dyDescent="0.25">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ht="13.5" customHeight="1" spans="1:26" x14ac:dyDescent="0.25">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ht="13.5" customHeight="1" spans="1:26" x14ac:dyDescent="0.25">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ht="13.5" customHeight="1" spans="1:26" x14ac:dyDescent="0.25">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ht="13.5" customHeight="1" spans="1:26" x14ac:dyDescent="0.25">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ht="13.5" customHeight="1" spans="1:26" x14ac:dyDescent="0.25">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ht="13.5" customHeight="1" spans="1:26" x14ac:dyDescent="0.25">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ht="13.5" customHeight="1" spans="1:26" x14ac:dyDescent="0.25">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ht="13.5" customHeight="1" spans="1:26" x14ac:dyDescent="0.25">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ht="13.5" customHeight="1" spans="1:26" x14ac:dyDescent="0.25">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ht="13.5" customHeight="1" spans="1:26" x14ac:dyDescent="0.25">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ht="13.5" customHeight="1" spans="1:26" x14ac:dyDescent="0.25">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ht="13.5" customHeight="1" spans="1:26" x14ac:dyDescent="0.25">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ht="13.5" customHeight="1" spans="1:26" x14ac:dyDescent="0.25">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ht="13.5" customHeight="1" spans="1:26" x14ac:dyDescent="0.25">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ht="13.5" customHeight="1" spans="1:26" x14ac:dyDescent="0.2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ht="13.5" customHeight="1" spans="1:26" x14ac:dyDescent="0.25">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ht="13.5" customHeight="1" spans="1:26" x14ac:dyDescent="0.25">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ht="13.5" customHeight="1" spans="1:26" x14ac:dyDescent="0.25">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ht="13.5" customHeight="1" spans="1:26" x14ac:dyDescent="0.25">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ht="13.5" customHeight="1" spans="1:26" x14ac:dyDescent="0.25">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ht="13.5" customHeight="1" spans="1:26" x14ac:dyDescent="0.25">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ht="13.5" customHeight="1" spans="1:26" x14ac:dyDescent="0.25">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ht="13.5" customHeight="1" spans="1:26" x14ac:dyDescent="0.25">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ht="13.5" customHeight="1" spans="1:26" x14ac:dyDescent="0.25">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ht="13.5" customHeight="1" spans="1:26" x14ac:dyDescent="0.2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ht="13.5" customHeight="1" spans="1:26" x14ac:dyDescent="0.25">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ht="13.5" customHeight="1" spans="1:26" x14ac:dyDescent="0.25">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ht="13.5" customHeight="1" spans="1:26" x14ac:dyDescent="0.25">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ht="13.5" customHeight="1" spans="1:26" x14ac:dyDescent="0.25">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ht="13.5" customHeight="1" spans="1:26" x14ac:dyDescent="0.25">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ht="13.5" customHeight="1" spans="1:26" x14ac:dyDescent="0.25">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ht="13.5" customHeight="1" spans="1:26" x14ac:dyDescent="0.25">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ht="13.5" customHeight="1" spans="1:26" x14ac:dyDescent="0.25">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ht="13.5" customHeight="1" spans="1:26" x14ac:dyDescent="0.25">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ht="13.5" customHeight="1" spans="1:26" x14ac:dyDescent="0.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ht="13.5" customHeight="1" spans="1:26" x14ac:dyDescent="0.25">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ht="13.5" customHeight="1" spans="1:26" x14ac:dyDescent="0.25">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ht="13.5" customHeight="1" spans="1:26" x14ac:dyDescent="0.25">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ht="13.5" customHeight="1" spans="1:26" x14ac:dyDescent="0.25">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ht="13.5" customHeight="1" spans="1:26" x14ac:dyDescent="0.25">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ht="13.5" customHeight="1" spans="1:26" x14ac:dyDescent="0.25">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ht="13.5" customHeight="1" spans="1:26" x14ac:dyDescent="0.25">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ht="13.5" customHeight="1" spans="1:26" x14ac:dyDescent="0.25">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ht="13.5" customHeight="1" spans="1:26" x14ac:dyDescent="0.25">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ht="13.5" customHeight="1" spans="1:26" x14ac:dyDescent="0.2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ht="13.5" customHeight="1" spans="1:26" x14ac:dyDescent="0.25">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ht="13.5" customHeight="1" spans="1:26" x14ac:dyDescent="0.25">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ht="13.5" customHeight="1" spans="1:26" x14ac:dyDescent="0.25">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ht="13.5" customHeight="1" spans="1:26" x14ac:dyDescent="0.25">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ht="13.5" customHeight="1" spans="1:26" x14ac:dyDescent="0.25">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ht="13.5" customHeight="1" spans="1:26" x14ac:dyDescent="0.25">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ht="13.5" customHeight="1" spans="1:26" x14ac:dyDescent="0.25">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ht="13.5" customHeight="1" spans="1:26" x14ac:dyDescent="0.25">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ht="13.5" customHeight="1" spans="1:26" x14ac:dyDescent="0.25">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ht="13.5" customHeight="1" spans="1:26" x14ac:dyDescent="0.2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ht="13.5" customHeight="1" spans="1:26" x14ac:dyDescent="0.25">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ht="13.5" customHeight="1" spans="1:26" x14ac:dyDescent="0.25">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ht="13.5" customHeight="1" spans="1:26" x14ac:dyDescent="0.25">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ht="13.5" customHeight="1" spans="1:26" x14ac:dyDescent="0.25">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ht="13.5" customHeight="1" spans="1:26" x14ac:dyDescent="0.25">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ht="13.5" customHeight="1" spans="1:26" x14ac:dyDescent="0.25">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ht="13.5" customHeight="1" spans="1:26" x14ac:dyDescent="0.25">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ht="13.5" customHeight="1" spans="1:26" x14ac:dyDescent="0.25">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ht="13.5" customHeight="1" spans="1:26" x14ac:dyDescent="0.25">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ht="13.5" customHeight="1" spans="1:26" x14ac:dyDescent="0.2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ht="13.5" customHeight="1" spans="1:26" x14ac:dyDescent="0.25">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ht="13.5" customHeight="1" spans="1:26" x14ac:dyDescent="0.25">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ht="13.5" customHeight="1" spans="1:26" x14ac:dyDescent="0.25">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ht="13.5" customHeight="1" spans="1:26" x14ac:dyDescent="0.25">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ht="13.5" customHeight="1" spans="1:26" x14ac:dyDescent="0.25">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ht="13.5" customHeight="1" spans="1:26" x14ac:dyDescent="0.25">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ht="13.5" customHeight="1" spans="1:26" x14ac:dyDescent="0.25">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ht="13.5" customHeight="1" spans="1:26" x14ac:dyDescent="0.25">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ht="13.5" customHeight="1" spans="1:26" x14ac:dyDescent="0.25">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ht="13.5" customHeight="1" spans="1:26" x14ac:dyDescent="0.2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ht="13.5" customHeight="1" spans="1:26" x14ac:dyDescent="0.25">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ht="13.5" customHeight="1" spans="1:26" x14ac:dyDescent="0.25">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ht="13.5" customHeight="1" spans="1:26" x14ac:dyDescent="0.25">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ht="13.5" customHeight="1" spans="1:26" x14ac:dyDescent="0.25">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ht="13.5" customHeight="1" spans="1:26" x14ac:dyDescent="0.25">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ht="13.5" customHeight="1" spans="1:26" x14ac:dyDescent="0.25">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ht="13.5" customHeight="1" spans="1:26" x14ac:dyDescent="0.25">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ht="13.5" customHeight="1" spans="1:26" x14ac:dyDescent="0.25">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ht="13.5" customHeight="1" spans="1:26" x14ac:dyDescent="0.25">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ht="13.5" customHeight="1" spans="1:26" x14ac:dyDescent="0.2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ht="13.5" customHeight="1" spans="1:26" x14ac:dyDescent="0.25">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ht="13.5" customHeight="1" spans="1:26" x14ac:dyDescent="0.25">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ht="13.5" customHeight="1" spans="1:26" x14ac:dyDescent="0.25">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ht="13.5" customHeight="1" spans="1:26" x14ac:dyDescent="0.25">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ht="13.5" customHeight="1" spans="1:26" x14ac:dyDescent="0.25">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ht="13.5" customHeight="1" spans="1:26" x14ac:dyDescent="0.25">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ht="13.5" customHeight="1" spans="1:26" x14ac:dyDescent="0.25">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ht="13.5" customHeight="1" spans="1:26" x14ac:dyDescent="0.25">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ht="13.5" customHeight="1" spans="1:26" x14ac:dyDescent="0.25">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ht="13.5" customHeight="1" spans="1:26" x14ac:dyDescent="0.2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ht="13.5" customHeight="1" spans="1:26" x14ac:dyDescent="0.25">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ht="13.5" customHeight="1" spans="1:26" x14ac:dyDescent="0.25">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ht="13.5" customHeight="1" spans="1:26" x14ac:dyDescent="0.25">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ht="13.5" customHeight="1" spans="1:26" x14ac:dyDescent="0.25">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ht="13.5" customHeight="1" spans="1:26" x14ac:dyDescent="0.25">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ht="13.5" customHeight="1" spans="1:26" x14ac:dyDescent="0.25">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ht="13.5" customHeight="1" spans="1:26" x14ac:dyDescent="0.25">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ht="13.5" customHeight="1" spans="1:26" x14ac:dyDescent="0.25">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ht="13.5" customHeight="1" spans="1:26" x14ac:dyDescent="0.25">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ht="13.5" customHeight="1" spans="1:26" x14ac:dyDescent="0.2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ht="13.5" customHeight="1" spans="1:26" x14ac:dyDescent="0.25">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ht="13.5" customHeight="1" spans="1:26" x14ac:dyDescent="0.25">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ht="13.5" customHeight="1" spans="1:26" x14ac:dyDescent="0.25">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ht="13.5" customHeight="1" spans="1:26" x14ac:dyDescent="0.25">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ht="13.5" customHeight="1" spans="1:26" x14ac:dyDescent="0.25">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ht="13.5" customHeight="1" spans="1:26" x14ac:dyDescent="0.25">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ht="13.5" customHeight="1" spans="1:26" x14ac:dyDescent="0.25">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ht="13.5" customHeight="1" spans="1:26" x14ac:dyDescent="0.25">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ht="13.5" customHeight="1" spans="1:26" x14ac:dyDescent="0.25">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ht="13.5" customHeight="1" spans="1:26" x14ac:dyDescent="0.2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ht="13.5" customHeight="1" spans="1:26" x14ac:dyDescent="0.25">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ht="13.5" customHeight="1" spans="1:26" x14ac:dyDescent="0.25">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ht="13.5" customHeight="1" spans="1:26" x14ac:dyDescent="0.25">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ht="13.5" customHeight="1" spans="1:26" x14ac:dyDescent="0.25">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ht="13.5" customHeight="1" spans="1:26" x14ac:dyDescent="0.25">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ht="13.5" customHeight="1" spans="1:26" x14ac:dyDescent="0.25">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ht="13.5" customHeight="1" spans="1:26" x14ac:dyDescent="0.25">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ht="13.5" customHeight="1" spans="1:26" x14ac:dyDescent="0.25">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ht="13.5" customHeight="1" spans="1:26" x14ac:dyDescent="0.25">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ht="13.5" customHeight="1" spans="1:26" x14ac:dyDescent="0.2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ht="13.5" customHeight="1" spans="1:26" x14ac:dyDescent="0.25">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ht="13.5" customHeight="1" spans="1:26" x14ac:dyDescent="0.25">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ht="13.5" customHeight="1" spans="1:26" x14ac:dyDescent="0.25">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ht="13.5" customHeight="1" spans="1:26" x14ac:dyDescent="0.25">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ht="13.5" customHeight="1" spans="1:26" x14ac:dyDescent="0.25">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ht="13.5" customHeight="1" spans="1:26" x14ac:dyDescent="0.25">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ht="13.5" customHeight="1" spans="1:26" x14ac:dyDescent="0.25">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ht="13.5" customHeight="1" spans="1:26" x14ac:dyDescent="0.25">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ht="13.5" customHeight="1" spans="1:26" x14ac:dyDescent="0.25">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ht="13.5" customHeight="1" spans="1:26" x14ac:dyDescent="0.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ht="13.5" customHeight="1" spans="1:26" x14ac:dyDescent="0.25">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ht="13.5" customHeight="1" spans="1:26" x14ac:dyDescent="0.25">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ht="13.5" customHeight="1" spans="1:26" x14ac:dyDescent="0.25">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ht="13.5" customHeight="1" spans="1:26" x14ac:dyDescent="0.25">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ht="13.5" customHeight="1" spans="1:26" x14ac:dyDescent="0.25">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ht="13.5" customHeight="1" spans="1:26" x14ac:dyDescent="0.25">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ht="13.5" customHeight="1" spans="1:26" x14ac:dyDescent="0.25">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ht="13.5" customHeight="1" spans="1:26" x14ac:dyDescent="0.25">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ht="13.5" customHeight="1" spans="1:26" x14ac:dyDescent="0.25">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ht="13.5" customHeight="1" spans="1:26" x14ac:dyDescent="0.2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ht="13.5" customHeight="1" spans="1:26" x14ac:dyDescent="0.25">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ht="13.5" customHeight="1" spans="1:26" x14ac:dyDescent="0.25">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ht="13.5" customHeight="1" spans="1:26" x14ac:dyDescent="0.25">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ht="13.5" customHeight="1" spans="1:26" x14ac:dyDescent="0.25">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ht="13.5" customHeight="1" spans="1:26" x14ac:dyDescent="0.25">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ht="13.5" customHeight="1" spans="1:26" x14ac:dyDescent="0.25">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ht="13.5" customHeight="1" spans="1:26" x14ac:dyDescent="0.25">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ht="13.5" customHeight="1" spans="1:26" x14ac:dyDescent="0.25">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ht="13.5" customHeight="1" spans="1:26" x14ac:dyDescent="0.25">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ht="13.5" customHeight="1" spans="1:26" x14ac:dyDescent="0.2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ht="13.5" customHeight="1" spans="1:26" x14ac:dyDescent="0.25">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ht="13.5" customHeight="1" spans="1:26" x14ac:dyDescent="0.25">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ht="13.5" customHeight="1" spans="1:26" x14ac:dyDescent="0.25">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ht="13.5" customHeight="1" spans="1:26" x14ac:dyDescent="0.25">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ht="13.5" customHeight="1" spans="1:26" x14ac:dyDescent="0.25">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ht="13.5" customHeight="1" spans="1:26" x14ac:dyDescent="0.25">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ht="13.5" customHeight="1" spans="1:26" x14ac:dyDescent="0.25">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ht="13.5" customHeight="1" spans="1:26" x14ac:dyDescent="0.25">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ht="13.5" customHeight="1" spans="1:26" x14ac:dyDescent="0.25">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ht="13.5" customHeight="1" spans="1:26" x14ac:dyDescent="0.2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ht="13.5" customHeight="1" spans="1:26" x14ac:dyDescent="0.25">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ht="13.5" customHeight="1" spans="1:26" x14ac:dyDescent="0.25">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ht="13.5" customHeight="1" spans="1:26" x14ac:dyDescent="0.25">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ht="13.5" customHeight="1" spans="1:26" x14ac:dyDescent="0.25">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ht="13.5" customHeight="1" spans="1:26" x14ac:dyDescent="0.25">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ht="13.5" customHeight="1" spans="1:26" x14ac:dyDescent="0.25">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ht="13.5" customHeight="1" spans="1:26" x14ac:dyDescent="0.25">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ht="13.5" customHeight="1" spans="1:26" x14ac:dyDescent="0.25">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ht="13.5" customHeight="1" spans="1:26" x14ac:dyDescent="0.25">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ht="13.5" customHeight="1" spans="1:26" x14ac:dyDescent="0.2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ht="13.5" customHeight="1" spans="1:26" x14ac:dyDescent="0.25">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ht="13.5" customHeight="1" spans="1:26" x14ac:dyDescent="0.25">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ht="13.5" customHeight="1" spans="1:26" x14ac:dyDescent="0.25">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ht="13.5" customHeight="1" spans="1:26" x14ac:dyDescent="0.25">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ht="13.5" customHeight="1" spans="1:26" x14ac:dyDescent="0.25">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ht="13.5" customHeight="1" spans="1:26" x14ac:dyDescent="0.25">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ht="13.5" customHeight="1" spans="1:26" x14ac:dyDescent="0.25">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ht="13.5" customHeight="1" spans="1:26" x14ac:dyDescent="0.25">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ht="13.5" customHeight="1" spans="1:26" x14ac:dyDescent="0.25">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ht="13.5" customHeight="1" spans="1:26" x14ac:dyDescent="0.2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ht="13.5" customHeight="1" spans="1:26" x14ac:dyDescent="0.25">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ht="13.5" customHeight="1" spans="1:26" x14ac:dyDescent="0.25">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ht="13.5" customHeight="1" spans="1:26" x14ac:dyDescent="0.25">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ht="13.5" customHeight="1" spans="1:26" x14ac:dyDescent="0.25">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ht="13.5" customHeight="1" spans="1:26" x14ac:dyDescent="0.25">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ht="13.5" customHeight="1" spans="1:26" x14ac:dyDescent="0.25">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ht="13.5" customHeight="1" spans="1:26" x14ac:dyDescent="0.25">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ht="13.5" customHeight="1" spans="1:26" x14ac:dyDescent="0.25">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ht="13.5" customHeight="1" spans="1:26" x14ac:dyDescent="0.25">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ht="13.5" customHeight="1" spans="1:26" x14ac:dyDescent="0.2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ht="13.5" customHeight="1" spans="1:26" x14ac:dyDescent="0.25">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ht="13.5" customHeight="1" spans="1:26" x14ac:dyDescent="0.25">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ht="13.5" customHeight="1" spans="1:26" x14ac:dyDescent="0.25">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ht="13.5" customHeight="1" spans="1:26" x14ac:dyDescent="0.25">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ht="13.5" customHeight="1" spans="1:26" x14ac:dyDescent="0.25">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ht="13.5" customHeight="1" spans="1:26" x14ac:dyDescent="0.25">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ht="13.5" customHeight="1" spans="1:26" x14ac:dyDescent="0.25">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ht="13.5" customHeight="1" spans="1:26" x14ac:dyDescent="0.25">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ht="13.5" customHeight="1" spans="1:26" x14ac:dyDescent="0.25">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ht="13.5" customHeight="1" spans="1:26" x14ac:dyDescent="0.2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ht="13.5" customHeight="1" spans="1:26" x14ac:dyDescent="0.25">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ht="13.5" customHeight="1" spans="1:26" x14ac:dyDescent="0.25">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ht="13.5" customHeight="1" spans="1:26" x14ac:dyDescent="0.25">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ht="13.5" customHeight="1" spans="1:26" x14ac:dyDescent="0.25">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ht="13.5" customHeight="1" spans="1:26" x14ac:dyDescent="0.25">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ht="13.5" customHeight="1" spans="1:26" x14ac:dyDescent="0.25">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ht="13.5" customHeight="1" spans="1:26" x14ac:dyDescent="0.25">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ht="13.5" customHeight="1" spans="1:26" x14ac:dyDescent="0.25">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ht="13.5" customHeight="1" spans="1:26" x14ac:dyDescent="0.25">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ht="13.5" customHeight="1" spans="1:26" x14ac:dyDescent="0.2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ht="13.5" customHeight="1" spans="1:26" x14ac:dyDescent="0.25">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ht="13.5" customHeight="1" spans="1:26" x14ac:dyDescent="0.25">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ht="13.5" customHeight="1" spans="1:26" x14ac:dyDescent="0.25">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ht="13.5" customHeight="1" spans="1:26" x14ac:dyDescent="0.25">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ht="13.5" customHeight="1" spans="1:26" x14ac:dyDescent="0.25">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ht="13.5" customHeight="1" spans="1:26" x14ac:dyDescent="0.25">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ht="13.5" customHeight="1" spans="1:26" x14ac:dyDescent="0.25">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ht="13.5" customHeight="1" spans="1:26" x14ac:dyDescent="0.25">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ht="13.5" customHeight="1" spans="1:26" x14ac:dyDescent="0.25">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ht="13.5" customHeight="1" spans="1:26" x14ac:dyDescent="0.2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ht="13.5" customHeight="1" spans="1:26" x14ac:dyDescent="0.25">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ht="13.5" customHeight="1" spans="1:26" x14ac:dyDescent="0.25">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ht="13.5" customHeight="1" spans="1:26" x14ac:dyDescent="0.25">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ht="13.5" customHeight="1" spans="1:26" x14ac:dyDescent="0.25">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ht="13.5" customHeight="1" spans="1:26" x14ac:dyDescent="0.25">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ht="13.5" customHeight="1" spans="1:26" x14ac:dyDescent="0.25">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ht="13.5" customHeight="1" spans="1:26" x14ac:dyDescent="0.25">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ht="13.5" customHeight="1" spans="1:26" x14ac:dyDescent="0.25">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ht="13.5" customHeight="1" spans="1:26" x14ac:dyDescent="0.25">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ht="13.5" customHeight="1" spans="1:26" x14ac:dyDescent="0.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ht="13.5" customHeight="1" spans="1:26" x14ac:dyDescent="0.25">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ht="13.5" customHeight="1" spans="1:26" x14ac:dyDescent="0.25">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ht="13.5" customHeight="1" spans="1:26" x14ac:dyDescent="0.25">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ht="13.5" customHeight="1" spans="1:26" x14ac:dyDescent="0.25">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ht="13.5" customHeight="1" spans="1:26" x14ac:dyDescent="0.25">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ht="13.5" customHeight="1" spans="1:26" x14ac:dyDescent="0.25">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ht="13.5" customHeight="1" spans="1:26" x14ac:dyDescent="0.25">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ht="13.5" customHeight="1" spans="1:26" x14ac:dyDescent="0.25">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ht="13.5" customHeight="1" spans="1:26" x14ac:dyDescent="0.25">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ht="13.5" customHeight="1" spans="1:26" x14ac:dyDescent="0.2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ht="13.5" customHeight="1" spans="1:26" x14ac:dyDescent="0.25">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ht="13.5" customHeight="1" spans="1:26" x14ac:dyDescent="0.25">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ht="13.5" customHeight="1" spans="1:26" x14ac:dyDescent="0.25">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ht="13.5" customHeight="1" spans="1:26" x14ac:dyDescent="0.25">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ht="13.5" customHeight="1" spans="1:26" x14ac:dyDescent="0.25">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ht="13.5" customHeight="1" spans="1:26" x14ac:dyDescent="0.25">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ht="13.5" customHeight="1" spans="1:26" x14ac:dyDescent="0.25">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ht="13.5" customHeight="1" spans="1:26" x14ac:dyDescent="0.25">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ht="13.5" customHeight="1" spans="1:26" x14ac:dyDescent="0.25">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ht="13.5" customHeight="1" spans="1:26" x14ac:dyDescent="0.2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ht="13.5" customHeight="1" spans="1:26" x14ac:dyDescent="0.25">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ht="13.5" customHeight="1" spans="1:26" x14ac:dyDescent="0.25">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ht="13.5" customHeight="1" spans="1:26" x14ac:dyDescent="0.25">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ht="13.5" customHeight="1" spans="1:26" x14ac:dyDescent="0.25">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ht="13.5" customHeight="1" spans="1:26" x14ac:dyDescent="0.25">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ht="13.5" customHeight="1" spans="1:26" x14ac:dyDescent="0.25">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ht="13.5" customHeight="1" spans="1:26" x14ac:dyDescent="0.25">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ht="13.5" customHeight="1" spans="1:26" x14ac:dyDescent="0.25">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ht="13.5" customHeight="1" spans="1:26" x14ac:dyDescent="0.25">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ht="13.5" customHeight="1" spans="1:26" x14ac:dyDescent="0.2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ht="13.5" customHeight="1" spans="1:26" x14ac:dyDescent="0.25">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ht="13.5" customHeight="1" spans="1:26" x14ac:dyDescent="0.25">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ht="13.5" customHeight="1" spans="1:26" x14ac:dyDescent="0.25">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ht="13.5" customHeight="1" spans="1:26" x14ac:dyDescent="0.25">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ht="13.5" customHeight="1" spans="1:26" x14ac:dyDescent="0.25">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ht="13.5" customHeight="1" spans="1:26" x14ac:dyDescent="0.25">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ht="13.5" customHeight="1" spans="1:26" x14ac:dyDescent="0.25">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ht="13.5" customHeight="1" spans="1:26" x14ac:dyDescent="0.25">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ht="13.5" customHeight="1" spans="1:26" x14ac:dyDescent="0.25">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ht="13.5" customHeight="1" spans="1:26" x14ac:dyDescent="0.2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ht="13.5" customHeight="1" spans="1:26" x14ac:dyDescent="0.25">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ht="13.5" customHeight="1" spans="1:26" x14ac:dyDescent="0.25">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ht="13.5" customHeight="1" spans="1:26" x14ac:dyDescent="0.25">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ht="13.5" customHeight="1" spans="1:26" x14ac:dyDescent="0.25">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ht="13.5" customHeight="1" spans="1:26" x14ac:dyDescent="0.25">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ht="13.5" customHeight="1" spans="1:26" x14ac:dyDescent="0.25">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ht="13.5" customHeight="1" spans="1:26" x14ac:dyDescent="0.25">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ht="13.5" customHeight="1" spans="1:26" x14ac:dyDescent="0.25">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ht="13.5" customHeight="1" spans="1:26" x14ac:dyDescent="0.25">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ht="13.5" customHeight="1" spans="1:26" x14ac:dyDescent="0.2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ht="13.5" customHeight="1" spans="1:26" x14ac:dyDescent="0.25">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ht="13.5" customHeight="1" spans="1:26" x14ac:dyDescent="0.25">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ht="13.5" customHeight="1" spans="1:26" x14ac:dyDescent="0.25">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ht="13.5" customHeight="1" spans="1:26" x14ac:dyDescent="0.25">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ht="13.5" customHeight="1" spans="1:26" x14ac:dyDescent="0.25">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ht="13.5" customHeight="1" spans="1:26" x14ac:dyDescent="0.25">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ht="13.5" customHeight="1" spans="1:26" x14ac:dyDescent="0.25">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ht="13.5" customHeight="1" spans="1:26" x14ac:dyDescent="0.25">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ht="13.5" customHeight="1" spans="1:26" x14ac:dyDescent="0.25">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ht="13.5" customHeight="1" spans="1:26" x14ac:dyDescent="0.2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ht="13.5" customHeight="1" spans="1:26" x14ac:dyDescent="0.25">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ht="13.5" customHeight="1" spans="1:26" x14ac:dyDescent="0.25">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ht="13.5" customHeight="1" spans="1:26" x14ac:dyDescent="0.25">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ht="13.5" customHeight="1" spans="1:26" x14ac:dyDescent="0.25">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ht="13.5" customHeight="1" spans="1:26" x14ac:dyDescent="0.25">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ht="13.5" customHeight="1" spans="1:26" x14ac:dyDescent="0.25">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ht="13.5" customHeight="1" spans="1:26" x14ac:dyDescent="0.25">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ht="13.5" customHeight="1" spans="1:26" x14ac:dyDescent="0.25">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ht="13.5" customHeight="1" spans="1:26" x14ac:dyDescent="0.25">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ht="13.5" customHeight="1" spans="1:26" x14ac:dyDescent="0.2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ht="13.5" customHeight="1" spans="1:26" x14ac:dyDescent="0.25">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ht="13.5" customHeight="1" spans="1:26" x14ac:dyDescent="0.25">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ht="13.5" customHeight="1" spans="1:26" x14ac:dyDescent="0.25">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ht="13.5" customHeight="1" spans="1:26" x14ac:dyDescent="0.25">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ht="13.5" customHeight="1" spans="1:26" x14ac:dyDescent="0.25">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ht="13.5" customHeight="1" spans="1:26" x14ac:dyDescent="0.25">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ht="13.5" customHeight="1" spans="1:26" x14ac:dyDescent="0.25">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ht="13.5" customHeight="1" spans="1:26" x14ac:dyDescent="0.25">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ht="13.5" customHeight="1" spans="1:26" x14ac:dyDescent="0.25">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ht="13.5" customHeight="1" spans="1:26" x14ac:dyDescent="0.2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ht="13.5" customHeight="1" spans="1:26" x14ac:dyDescent="0.25">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ht="13.5" customHeight="1" spans="1:26" x14ac:dyDescent="0.25">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ht="13.5" customHeight="1" spans="1:26" x14ac:dyDescent="0.25">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ht="13.5" customHeight="1" spans="1:26" x14ac:dyDescent="0.25">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ht="13.5" customHeight="1" spans="1:26" x14ac:dyDescent="0.25">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ht="13.5" customHeight="1" spans="1:26" x14ac:dyDescent="0.25">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ht="13.5" customHeight="1" spans="1:26" x14ac:dyDescent="0.25">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ht="13.5" customHeight="1" spans="1:26" x14ac:dyDescent="0.25">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ht="13.5" customHeight="1" spans="1:26" x14ac:dyDescent="0.25">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ht="13.5" customHeight="1" spans="1:26" x14ac:dyDescent="0.2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ht="13.5" customHeight="1" spans="1:26" x14ac:dyDescent="0.25">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ht="13.5" customHeight="1" spans="1:26" x14ac:dyDescent="0.25">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ht="13.5" customHeight="1" spans="1:26" x14ac:dyDescent="0.25">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ht="13.5" customHeight="1" spans="1:26" x14ac:dyDescent="0.25">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ht="13.5" customHeight="1" spans="1:26" x14ac:dyDescent="0.25">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ht="13.5" customHeight="1" spans="1:26" x14ac:dyDescent="0.25">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ht="13.5" customHeight="1" spans="1:26" x14ac:dyDescent="0.25">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ht="13.5" customHeight="1" spans="1:26" x14ac:dyDescent="0.25">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ht="13.5" customHeight="1" spans="1:26" x14ac:dyDescent="0.25">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ht="13.5" customHeight="1" spans="1:26" x14ac:dyDescent="0.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ht="13.5" customHeight="1" spans="1:26" x14ac:dyDescent="0.25">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ht="13.5" customHeight="1" spans="1:26" x14ac:dyDescent="0.25">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ht="13.5" customHeight="1" spans="1:26" x14ac:dyDescent="0.25">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ht="13.5" customHeight="1" spans="1:26" x14ac:dyDescent="0.25">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ht="13.5" customHeight="1" spans="1:26" x14ac:dyDescent="0.25">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ht="13.5" customHeight="1" spans="1:26" x14ac:dyDescent="0.25">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ht="13.5" customHeight="1" spans="1:26" x14ac:dyDescent="0.25">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ht="13.5" customHeight="1" spans="1:26" x14ac:dyDescent="0.25">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ht="13.5" customHeight="1" spans="1:26" x14ac:dyDescent="0.25">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ht="13.5" customHeight="1" spans="1:26" x14ac:dyDescent="0.2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ht="13.5" customHeight="1" spans="1:26" x14ac:dyDescent="0.25">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ht="13.5" customHeight="1" spans="1:26" x14ac:dyDescent="0.25">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ht="13.5" customHeight="1" spans="1:26" x14ac:dyDescent="0.25">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ht="13.5" customHeight="1" spans="1:26" x14ac:dyDescent="0.25">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ht="13.5" customHeight="1" spans="1:26" x14ac:dyDescent="0.25">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ht="13.5" customHeight="1" spans="1:26" x14ac:dyDescent="0.25">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ht="13.5" customHeight="1" spans="1:26" x14ac:dyDescent="0.25">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ht="13.5" customHeight="1" spans="1:26" x14ac:dyDescent="0.25">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ht="13.5" customHeight="1" spans="1:26" x14ac:dyDescent="0.25">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ht="13.5" customHeight="1" spans="1:26" x14ac:dyDescent="0.2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ht="13.5" customHeight="1" spans="1:26" x14ac:dyDescent="0.25">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ht="13.5" customHeight="1" spans="1:26" x14ac:dyDescent="0.25">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ht="13.5" customHeight="1" spans="1:26" x14ac:dyDescent="0.25">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ht="13.5" customHeight="1" spans="1:26" x14ac:dyDescent="0.25">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ht="13.5" customHeight="1" spans="1:26" x14ac:dyDescent="0.25">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ht="13.5" customHeight="1" spans="1:26" x14ac:dyDescent="0.25">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ht="13.5" customHeight="1" spans="1:26" x14ac:dyDescent="0.25">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ht="13.5" customHeight="1" spans="1:26" x14ac:dyDescent="0.25">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ht="13.5" customHeight="1" spans="1:26" x14ac:dyDescent="0.25">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ht="13.5" customHeight="1" spans="1:26" x14ac:dyDescent="0.2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ht="13.5" customHeight="1" spans="1:26" x14ac:dyDescent="0.25">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ht="13.5" customHeight="1" spans="1:26" x14ac:dyDescent="0.25">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ht="13.5" customHeight="1" spans="1:26" x14ac:dyDescent="0.25">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ht="13.5" customHeight="1" spans="1:26" x14ac:dyDescent="0.25">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ht="13.5" customHeight="1" spans="1:26" x14ac:dyDescent="0.25">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ht="13.5" customHeight="1" spans="1:26" x14ac:dyDescent="0.25">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ht="13.5" customHeight="1" spans="1:26" x14ac:dyDescent="0.25">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ht="13.5" customHeight="1" spans="1:26" x14ac:dyDescent="0.25">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ht="13.5" customHeight="1" spans="1:26" x14ac:dyDescent="0.25">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ht="13.5" customHeight="1" spans="1:26" x14ac:dyDescent="0.2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ht="13.5" customHeight="1" spans="1:26" x14ac:dyDescent="0.25">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ht="13.5" customHeight="1" spans="1:26" x14ac:dyDescent="0.25">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ht="13.5" customHeight="1" spans="1:26" x14ac:dyDescent="0.25">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ht="13.5" customHeight="1" spans="1:26" x14ac:dyDescent="0.25">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ht="13.5" customHeight="1" spans="1:26" x14ac:dyDescent="0.25">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ht="13.5" customHeight="1" spans="1:26" x14ac:dyDescent="0.25">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ht="13.5" customHeight="1" spans="1:26" x14ac:dyDescent="0.25">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ht="13.5" customHeight="1" spans="1:26" x14ac:dyDescent="0.25">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ht="13.5" customHeight="1" spans="1:26" x14ac:dyDescent="0.25">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ht="13.5" customHeight="1" spans="1:26" x14ac:dyDescent="0.2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ht="13.5" customHeight="1" spans="1:26" x14ac:dyDescent="0.25">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ht="13.5" customHeight="1" spans="1:26" x14ac:dyDescent="0.25">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ht="13.5" customHeight="1" spans="1:26" x14ac:dyDescent="0.25">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ht="13.5" customHeight="1" spans="1:26" x14ac:dyDescent="0.25">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ht="13.5" customHeight="1" spans="1:26" x14ac:dyDescent="0.25">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ht="13.5" customHeight="1" spans="1:26" x14ac:dyDescent="0.25">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ht="13.5" customHeight="1" spans="1:26" x14ac:dyDescent="0.25">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ht="13.5" customHeight="1" spans="1:26" x14ac:dyDescent="0.25">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ht="13.5" customHeight="1" spans="1:26" x14ac:dyDescent="0.25">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ht="13.5" customHeight="1" spans="1:26" x14ac:dyDescent="0.2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ht="13.5" customHeight="1" spans="1:26" x14ac:dyDescent="0.25">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ht="13.5" customHeight="1" spans="1:26" x14ac:dyDescent="0.25">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ht="13.5" customHeight="1" spans="1:26" x14ac:dyDescent="0.25">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ht="13.5" customHeight="1" spans="1:26" x14ac:dyDescent="0.25">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ht="13.5" customHeight="1" spans="1:26" x14ac:dyDescent="0.25">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ht="13.5" customHeight="1" spans="1:26" x14ac:dyDescent="0.25">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ht="13.5" customHeight="1" spans="1:26" x14ac:dyDescent="0.25">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ht="13.5" customHeight="1" spans="1:26" x14ac:dyDescent="0.25">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ht="13.5" customHeight="1" spans="1:26" x14ac:dyDescent="0.25">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ht="13.5" customHeight="1" spans="1:26" x14ac:dyDescent="0.2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ht="13.5" customHeight="1" spans="1:26" x14ac:dyDescent="0.25">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ht="13.5" customHeight="1" spans="1:26" x14ac:dyDescent="0.25">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ht="13.5" customHeight="1" spans="1:26" x14ac:dyDescent="0.25">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ht="13.5" customHeight="1" spans="1:26" x14ac:dyDescent="0.25">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ht="13.5" customHeight="1" spans="1:26" x14ac:dyDescent="0.25">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ht="13.5" customHeight="1" spans="1:26" x14ac:dyDescent="0.25">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ht="13.5" customHeight="1" spans="1:26" x14ac:dyDescent="0.25">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ht="13.5" customHeight="1" spans="1:26" x14ac:dyDescent="0.25">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ht="13.5" customHeight="1" spans="1:26" x14ac:dyDescent="0.25">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ht="13.5" customHeight="1" spans="1:26" x14ac:dyDescent="0.2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ht="13.5" customHeight="1" spans="1:26" x14ac:dyDescent="0.25">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ht="13.5" customHeight="1" spans="1:26" x14ac:dyDescent="0.25">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ht="13.5" customHeight="1" spans="1:26" x14ac:dyDescent="0.25">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ht="13.5" customHeight="1" spans="1:26" x14ac:dyDescent="0.25">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ht="13.5" customHeight="1" spans="1:26" x14ac:dyDescent="0.25">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ht="13.5" customHeight="1" spans="1:26" x14ac:dyDescent="0.25">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ht="13.5" customHeight="1" spans="1:26" x14ac:dyDescent="0.25">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ht="13.5" customHeight="1" spans="1:26" x14ac:dyDescent="0.25">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ht="13.5" customHeight="1" spans="1:26" x14ac:dyDescent="0.25">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ht="13.5" customHeight="1" spans="1:26" x14ac:dyDescent="0.2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ht="13.5" customHeight="1" spans="1:26" x14ac:dyDescent="0.25">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ht="13.5" customHeight="1" spans="1:26" x14ac:dyDescent="0.25">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ht="13.5" customHeight="1" spans="1:26" x14ac:dyDescent="0.25">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ht="13.5" customHeight="1" spans="1:26" x14ac:dyDescent="0.25">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ht="13.5" customHeight="1" spans="1:26" x14ac:dyDescent="0.25">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ht="13.5" customHeight="1" spans="1:26" x14ac:dyDescent="0.25">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ht="13.5" customHeight="1" spans="1:26" x14ac:dyDescent="0.25">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ht="13.5" customHeight="1" spans="1:26" x14ac:dyDescent="0.25">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ht="13.5" customHeight="1" spans="1:26" x14ac:dyDescent="0.25">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ht="13.5" customHeight="1" spans="1:26" x14ac:dyDescent="0.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ht="13.5" customHeight="1" spans="1:26" x14ac:dyDescent="0.25">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ht="13.5" customHeight="1" spans="1:26" x14ac:dyDescent="0.25">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ht="13.5" customHeight="1" spans="1:26" x14ac:dyDescent="0.25">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ht="13.5" customHeight="1" spans="1:26" x14ac:dyDescent="0.25">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ht="13.5" customHeight="1" spans="1:26" x14ac:dyDescent="0.25">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ht="13.5" customHeight="1" spans="1:26" x14ac:dyDescent="0.25">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ht="13.5" customHeight="1" spans="1:26" x14ac:dyDescent="0.25">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ht="13.5" customHeight="1" spans="1:26" x14ac:dyDescent="0.25">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ht="13.5" customHeight="1" spans="1:26" x14ac:dyDescent="0.25">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ht="13.5" customHeight="1" spans="1:26" x14ac:dyDescent="0.2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ht="13.5" customHeight="1" spans="1:26" x14ac:dyDescent="0.25">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ht="13.5" customHeight="1" spans="1:26" x14ac:dyDescent="0.25">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ht="13.5" customHeight="1" spans="1:26" x14ac:dyDescent="0.25">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ht="13.5" customHeight="1" spans="1:26" x14ac:dyDescent="0.25">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ht="13.5" customHeight="1" spans="1:26" x14ac:dyDescent="0.25">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ht="13.5" customHeight="1" spans="1:26" x14ac:dyDescent="0.25">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ht="13.5" customHeight="1" spans="1:26" x14ac:dyDescent="0.25">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ht="13.5" customHeight="1" spans="1:26" x14ac:dyDescent="0.25">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ht="13.5" customHeight="1" spans="1:26" x14ac:dyDescent="0.25">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ht="13.5" customHeight="1" spans="1:26" x14ac:dyDescent="0.2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ht="13.5" customHeight="1" spans="1:26" x14ac:dyDescent="0.25">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ht="13.5" customHeight="1" spans="1:26" x14ac:dyDescent="0.25">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ht="13.5" customHeight="1" spans="1:26" x14ac:dyDescent="0.25">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ht="13.5" customHeight="1" spans="1:26" x14ac:dyDescent="0.25">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ht="13.5" customHeight="1" spans="1:26" x14ac:dyDescent="0.25">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ht="13.5" customHeight="1" spans="1:26" x14ac:dyDescent="0.25">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ht="13.5" customHeight="1" spans="1:26" x14ac:dyDescent="0.25">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ht="13.5" customHeight="1" spans="1:26" x14ac:dyDescent="0.25">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ht="13.5" customHeight="1" spans="1:26" x14ac:dyDescent="0.25">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ht="13.5" customHeight="1" spans="1:26" x14ac:dyDescent="0.2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ht="13.5" customHeight="1" spans="1:26" x14ac:dyDescent="0.25">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ht="13.5" customHeight="1" spans="1:26" x14ac:dyDescent="0.25">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ht="13.5" customHeight="1" spans="1:26" x14ac:dyDescent="0.25">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ht="13.5" customHeight="1" spans="1:26" x14ac:dyDescent="0.25">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ht="13.5" customHeight="1" spans="1:26" x14ac:dyDescent="0.25">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ht="13.5" customHeight="1" spans="1:26" x14ac:dyDescent="0.25">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ht="13.5" customHeight="1" spans="1:26" x14ac:dyDescent="0.25">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ht="13.5" customHeight="1" spans="1:26" x14ac:dyDescent="0.25">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ht="13.5" customHeight="1" spans="1:26" x14ac:dyDescent="0.25">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ht="13.5" customHeight="1" spans="1:26" x14ac:dyDescent="0.2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ht="13.5" customHeight="1" spans="1:26" x14ac:dyDescent="0.25">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ht="13.5" customHeight="1" spans="1:26" x14ac:dyDescent="0.25">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ht="13.5" customHeight="1" spans="1:26" x14ac:dyDescent="0.25">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ht="13.5" customHeight="1" spans="1:26" x14ac:dyDescent="0.25">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ht="13.5" customHeight="1" spans="1:26" x14ac:dyDescent="0.25">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ht="13.5" customHeight="1" spans="1:26" x14ac:dyDescent="0.25">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ht="13.5" customHeight="1" spans="1:26" x14ac:dyDescent="0.25">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ht="13.5" customHeight="1" spans="1:26" x14ac:dyDescent="0.25">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ht="13.5" customHeight="1" spans="1:26" x14ac:dyDescent="0.25">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ht="13.5" customHeight="1" spans="1:26" x14ac:dyDescent="0.2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ht="13.5" customHeight="1" spans="1:26" x14ac:dyDescent="0.25">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ht="13.5" customHeight="1" spans="1:26" x14ac:dyDescent="0.25">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ht="13.5" customHeight="1" spans="1:26" x14ac:dyDescent="0.25">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ht="13.5" customHeight="1" spans="1:26" x14ac:dyDescent="0.25">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ht="13.5" customHeight="1" spans="1:26" x14ac:dyDescent="0.25">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ht="13.5" customHeight="1" spans="1:26" x14ac:dyDescent="0.25">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ht="13.5" customHeight="1" spans="1:26" x14ac:dyDescent="0.25">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ht="13.5" customHeight="1" spans="1:26" x14ac:dyDescent="0.25">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ht="13.5" customHeight="1" spans="1:26" x14ac:dyDescent="0.25">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ht="13.5" customHeight="1" spans="1:26" x14ac:dyDescent="0.2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ht="13.5" customHeight="1" spans="1:26" x14ac:dyDescent="0.25">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ht="13.5" customHeight="1" spans="1:26" x14ac:dyDescent="0.25">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ht="13.5" customHeight="1" spans="1:26" x14ac:dyDescent="0.25">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ht="13.5" customHeight="1" spans="1:26" x14ac:dyDescent="0.25">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ht="13.5" customHeight="1" spans="1:26" x14ac:dyDescent="0.25">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ht="13.5" customHeight="1" spans="1:26" x14ac:dyDescent="0.25">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ht="13.5" customHeight="1" spans="1:26" x14ac:dyDescent="0.25">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ht="13.5" customHeight="1" spans="1:26" x14ac:dyDescent="0.25">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ht="13.5" customHeight="1" spans="1:26" x14ac:dyDescent="0.25">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ht="13.5" customHeight="1" spans="1:26" x14ac:dyDescent="0.2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ht="13.5" customHeight="1" spans="1:26" x14ac:dyDescent="0.25">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ht="13.5" customHeight="1" spans="1:26" x14ac:dyDescent="0.25">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ht="13.5" customHeight="1" spans="1:26" x14ac:dyDescent="0.25">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ht="13.5" customHeight="1" spans="1:26" x14ac:dyDescent="0.25">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ht="13.5" customHeight="1" spans="1:26" x14ac:dyDescent="0.25">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ht="13.5" customHeight="1" spans="1:26" x14ac:dyDescent="0.25">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ht="13.5" customHeight="1" spans="1:26" x14ac:dyDescent="0.25">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ht="13.5" customHeight="1" spans="1:26" x14ac:dyDescent="0.25">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ht="13.5" customHeight="1" spans="1:26" x14ac:dyDescent="0.25">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ht="13.5" customHeight="1" spans="1:26" x14ac:dyDescent="0.2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ht="13.5" customHeight="1" spans="1:26" x14ac:dyDescent="0.25">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ht="13.5" customHeight="1" spans="1:26" x14ac:dyDescent="0.25">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ht="13.5" customHeight="1" spans="1:26" x14ac:dyDescent="0.25">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ht="13.5" customHeight="1" spans="1:26" x14ac:dyDescent="0.25">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ht="13.5" customHeight="1" spans="1:26" x14ac:dyDescent="0.25">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ht="13.5" customHeight="1" spans="1:26" x14ac:dyDescent="0.25">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ht="13.5" customHeight="1" spans="1:26" x14ac:dyDescent="0.25">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ht="13.5" customHeight="1" spans="1:26" x14ac:dyDescent="0.25">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ht="13.5" customHeight="1" spans="1:26" x14ac:dyDescent="0.25">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ht="13.5" customHeight="1" spans="1:26" x14ac:dyDescent="0.2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ht="13.5" customHeight="1" spans="1:26" x14ac:dyDescent="0.25">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ht="13.5" customHeight="1" spans="1:26" x14ac:dyDescent="0.25">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ht="13.5" customHeight="1" spans="1:26" x14ac:dyDescent="0.25">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ht="13.5" customHeight="1" spans="1:26" x14ac:dyDescent="0.25">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ht="13.5" customHeight="1" spans="1:26" x14ac:dyDescent="0.25">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ht="13.5" customHeight="1" spans="1:26" x14ac:dyDescent="0.25">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ht="13.5" customHeight="1" spans="1:26" x14ac:dyDescent="0.25">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ht="13.5" customHeight="1" spans="1:26" x14ac:dyDescent="0.25">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ht="13.5" customHeight="1" spans="1:26" x14ac:dyDescent="0.25">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ht="13.5" customHeight="1" spans="1:26" x14ac:dyDescent="0.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ht="13.5" customHeight="1" spans="1:26" x14ac:dyDescent="0.25">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ht="13.5" customHeight="1" spans="1:26" x14ac:dyDescent="0.25">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ht="13.5" customHeight="1" spans="1:26" x14ac:dyDescent="0.25">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ht="13.5" customHeight="1" spans="1:26" x14ac:dyDescent="0.25">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ht="13.5" customHeight="1" spans="1:26" x14ac:dyDescent="0.25">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ht="13.5" customHeight="1" spans="1:26" x14ac:dyDescent="0.25">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ht="13.5" customHeight="1" spans="1:26" x14ac:dyDescent="0.25">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ht="13.5" customHeight="1" spans="1:26" x14ac:dyDescent="0.25">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ht="13.5" customHeight="1" spans="1:26" x14ac:dyDescent="0.25">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ht="13.5" customHeight="1" spans="1:26" x14ac:dyDescent="0.2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ht="13.5" customHeight="1" spans="1:26" x14ac:dyDescent="0.25">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ht="13.5" customHeight="1" spans="1:26" x14ac:dyDescent="0.25">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ht="13.5" customHeight="1" spans="1:26" x14ac:dyDescent="0.25">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ht="13.5" customHeight="1" spans="1:26" x14ac:dyDescent="0.25">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ht="13.5" customHeight="1" spans="1:26" x14ac:dyDescent="0.25">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ht="13.5" customHeight="1" spans="1:26" x14ac:dyDescent="0.25">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ht="13.5" customHeight="1" spans="1:26" x14ac:dyDescent="0.25">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ht="13.5" customHeight="1" spans="1:26" x14ac:dyDescent="0.25">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ht="13.5" customHeight="1" spans="1:26" x14ac:dyDescent="0.25">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ht="13.5" customHeight="1" spans="1:26" x14ac:dyDescent="0.2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ht="13.5" customHeight="1" spans="1:26" x14ac:dyDescent="0.25">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ht="13.5" customHeight="1" spans="1:26" x14ac:dyDescent="0.25">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ht="13.5" customHeight="1" spans="1:26" x14ac:dyDescent="0.25">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ht="13.5" customHeight="1" spans="1:26" x14ac:dyDescent="0.25">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ht="13.5" customHeight="1" spans="1:26" x14ac:dyDescent="0.25">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ht="13.5" customHeight="1" spans="1:26" x14ac:dyDescent="0.25">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ht="13.5" customHeight="1" spans="1:26" x14ac:dyDescent="0.25">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ht="13.5" customHeight="1" spans="1:26" x14ac:dyDescent="0.25">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ht="13.5" customHeight="1" spans="1:26" x14ac:dyDescent="0.25">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ht="13.5" customHeight="1" spans="1:26" x14ac:dyDescent="0.2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ht="13.5" customHeight="1" spans="1:26" x14ac:dyDescent="0.25">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ht="13.5" customHeight="1" spans="1:26" x14ac:dyDescent="0.25">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ht="13.5" customHeight="1" spans="1:26" x14ac:dyDescent="0.25">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ht="13.5" customHeight="1" spans="1:26" x14ac:dyDescent="0.25">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ht="13.5" customHeight="1" spans="1:26" x14ac:dyDescent="0.25">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ht="13.5" customHeight="1" spans="1:26" x14ac:dyDescent="0.25">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ht="13.5" customHeight="1" spans="1:26" x14ac:dyDescent="0.25">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ht="13.5" customHeight="1" spans="1:26" x14ac:dyDescent="0.25">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ht="13.5" customHeight="1" spans="1:26" x14ac:dyDescent="0.25">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ht="13.5" customHeight="1" spans="1:26" x14ac:dyDescent="0.2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ht="13.5" customHeight="1" spans="1:26" x14ac:dyDescent="0.25">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ht="13.5" customHeight="1" spans="1:26" x14ac:dyDescent="0.25">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ht="13.5" customHeight="1" spans="1:26" x14ac:dyDescent="0.25">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ht="13.5" customHeight="1" spans="1:26" x14ac:dyDescent="0.25">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ht="13.5" customHeight="1" spans="1:26" x14ac:dyDescent="0.25">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ht="13.5" customHeight="1" spans="1:26" x14ac:dyDescent="0.25">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ht="13.5" customHeight="1" spans="1:26" x14ac:dyDescent="0.25">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ht="13.5" customHeight="1" spans="1:26" x14ac:dyDescent="0.25">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ht="13.5" customHeight="1" spans="1:26" x14ac:dyDescent="0.25">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ht="13.5" customHeight="1" spans="1:26" x14ac:dyDescent="0.2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ht="13.5" customHeight="1" spans="1:26" x14ac:dyDescent="0.25">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ht="13.5" customHeight="1" spans="1:26" x14ac:dyDescent="0.25">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ht="13.5" customHeight="1" spans="1:26" x14ac:dyDescent="0.25">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ht="13.5" customHeight="1" spans="1:26" x14ac:dyDescent="0.25">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ht="13.5" customHeight="1" spans="1:26" x14ac:dyDescent="0.25">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ht="13.5" customHeight="1" spans="1:26" x14ac:dyDescent="0.25">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ht="13.5" customHeight="1" spans="1:26" x14ac:dyDescent="0.25">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ht="13.5" customHeight="1" spans="1:26" x14ac:dyDescent="0.25">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ht="13.5" customHeight="1" spans="1:26" x14ac:dyDescent="0.25">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ht="13.5" customHeight="1" spans="1:26" x14ac:dyDescent="0.2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ht="13.5" customHeight="1" spans="1:26" x14ac:dyDescent="0.25">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ht="13.5" customHeight="1" spans="1:26" x14ac:dyDescent="0.25">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ht="13.5" customHeight="1" spans="1:26" x14ac:dyDescent="0.25">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ht="13.5" customHeight="1" spans="1:26" x14ac:dyDescent="0.25">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ht="13.5" customHeight="1" spans="1:26" x14ac:dyDescent="0.25">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ht="13.5" customHeight="1" spans="1:26" x14ac:dyDescent="0.25">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ht="13.5" customHeight="1" spans="1:26" x14ac:dyDescent="0.25">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ht="13.5" customHeight="1" spans="1:26" x14ac:dyDescent="0.25">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ht="13.5" customHeight="1" spans="1:26" x14ac:dyDescent="0.25">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ht="13.5" customHeight="1" spans="1:26" x14ac:dyDescent="0.2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ht="13.5" customHeight="1" spans="1:26" x14ac:dyDescent="0.25">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ht="13.5" customHeight="1" spans="1:26" x14ac:dyDescent="0.25">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ht="13.5" customHeight="1" spans="1:26" x14ac:dyDescent="0.25">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ht="13.5" customHeight="1" spans="1:26" x14ac:dyDescent="0.25">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ht="13.5" customHeight="1" spans="1:26" x14ac:dyDescent="0.25">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ht="13.5" customHeight="1" spans="1:26" x14ac:dyDescent="0.25">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ht="13.5" customHeight="1" spans="1:26" x14ac:dyDescent="0.25">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ht="13.5" customHeight="1" spans="1:26" x14ac:dyDescent="0.25">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ht="13.5" customHeight="1" spans="1:26" x14ac:dyDescent="0.25">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ht="13.5" customHeight="1" spans="1:26" x14ac:dyDescent="0.2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ht="13.5" customHeight="1" spans="1:26" x14ac:dyDescent="0.25">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ht="13.5" customHeight="1" spans="1:26" x14ac:dyDescent="0.25">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ht="13.5" customHeight="1" spans="1:26" x14ac:dyDescent="0.25">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ht="13.5" customHeight="1" spans="1:26" x14ac:dyDescent="0.25">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ht="13.5" customHeight="1" spans="1:26" x14ac:dyDescent="0.25">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ht="13.5" customHeight="1" spans="1:26" x14ac:dyDescent="0.25">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ht="13.5" customHeight="1" spans="1:26" x14ac:dyDescent="0.25">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ht="13.5" customHeight="1" spans="1:26" x14ac:dyDescent="0.25">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ht="13.5" customHeight="1" spans="1:26" x14ac:dyDescent="0.25">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ht="13.5" customHeight="1" spans="1:26" x14ac:dyDescent="0.2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ht="13.5" customHeight="1" spans="1:26" x14ac:dyDescent="0.25">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ht="13.5" customHeight="1" spans="1:26" x14ac:dyDescent="0.25">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ht="13.5" customHeight="1" spans="1:26" x14ac:dyDescent="0.25">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ht="13.5" customHeight="1" spans="1:26" x14ac:dyDescent="0.25">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ht="13.5" customHeight="1" spans="1:26" x14ac:dyDescent="0.25">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ht="13.5" customHeight="1" spans="1:26" x14ac:dyDescent="0.25">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ht="13.5" customHeight="1" spans="1:26" x14ac:dyDescent="0.25">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ht="13.5" customHeight="1" spans="1:26" x14ac:dyDescent="0.25">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ht="13.5" customHeight="1" spans="1:26" x14ac:dyDescent="0.25">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ht="13.5" customHeight="1" spans="1:26" x14ac:dyDescent="0.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ht="13.5" customHeight="1" spans="1:26" x14ac:dyDescent="0.25">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ht="13.5" customHeight="1" spans="1:26" x14ac:dyDescent="0.25">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ht="13.5" customHeight="1" spans="1:26" x14ac:dyDescent="0.25">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ht="13.5" customHeight="1" spans="1:26" x14ac:dyDescent="0.25">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ht="13.5" customHeight="1" spans="1:26" x14ac:dyDescent="0.25">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ht="13.5" customHeight="1" spans="1:26" x14ac:dyDescent="0.25">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ht="13.5" customHeight="1" spans="1:26" x14ac:dyDescent="0.25">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ht="13.5" customHeight="1" spans="1:26" x14ac:dyDescent="0.25">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ht="13.5" customHeight="1" spans="1:26" x14ac:dyDescent="0.25">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ht="13.5" customHeight="1" spans="1:26" x14ac:dyDescent="0.2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ht="13.5" customHeight="1" spans="1:26" x14ac:dyDescent="0.25">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ht="13.5" customHeight="1" spans="1:26" x14ac:dyDescent="0.25">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ht="13.5" customHeight="1" spans="1:26" x14ac:dyDescent="0.25">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ht="13.5" customHeight="1" spans="1:26" x14ac:dyDescent="0.25">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ht="13.5" customHeight="1" spans="1:26" x14ac:dyDescent="0.25">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ht="13.5" customHeight="1" spans="1:26" x14ac:dyDescent="0.25">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ht="13.5" customHeight="1" spans="1:26" x14ac:dyDescent="0.25">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ht="13.5" customHeight="1" spans="1:26" x14ac:dyDescent="0.25">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ht="13.5" customHeight="1" spans="1:26" x14ac:dyDescent="0.25">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ht="13.5" customHeight="1" spans="1:26" x14ac:dyDescent="0.2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ht="13.5" customHeight="1" spans="1:26" x14ac:dyDescent="0.25">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ht="13.5" customHeight="1" spans="1:26" x14ac:dyDescent="0.25">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ht="13.5" customHeight="1" spans="1:26" x14ac:dyDescent="0.25">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ht="13.5" customHeight="1" spans="1:26" x14ac:dyDescent="0.25">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ht="13.5" customHeight="1" spans="1:26" x14ac:dyDescent="0.25">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ht="13.5" customHeight="1" spans="1:26" x14ac:dyDescent="0.25">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ht="13.5" customHeight="1" spans="1:26" x14ac:dyDescent="0.25">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ht="13.5" customHeight="1" spans="1:26" x14ac:dyDescent="0.25">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ht="13.5" customHeight="1" spans="1:26" x14ac:dyDescent="0.25">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ht="13.5" customHeight="1" spans="1:26" x14ac:dyDescent="0.2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ht="13.5" customHeight="1" spans="1:26" x14ac:dyDescent="0.25">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ht="13.5" customHeight="1" spans="1:26" x14ac:dyDescent="0.25">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ht="13.5" customHeight="1" spans="1:26" x14ac:dyDescent="0.25">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ht="13.5" customHeight="1" spans="1:26" x14ac:dyDescent="0.25">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ht="13.5" customHeight="1" spans="1:26" x14ac:dyDescent="0.25">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ht="13.5" customHeight="1" spans="1:26" x14ac:dyDescent="0.25">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ht="13.5" customHeight="1" spans="1:26" x14ac:dyDescent="0.25">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ht="13.5" customHeight="1" spans="1:26" x14ac:dyDescent="0.25">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ht="13.5" customHeight="1" spans="1:26" x14ac:dyDescent="0.25">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ht="13.5" customHeight="1" spans="1:26" x14ac:dyDescent="0.2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ht="13.5" customHeight="1" spans="1:26" x14ac:dyDescent="0.25">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ht="13.5" customHeight="1" spans="1:26" x14ac:dyDescent="0.25">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ht="13.5" customHeight="1" spans="1:26" x14ac:dyDescent="0.25">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ht="13.5" customHeight="1" spans="1:26" x14ac:dyDescent="0.25">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ht="13.5" customHeight="1" spans="1:26" x14ac:dyDescent="0.25">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ht="13.5" customHeight="1" spans="1:26" x14ac:dyDescent="0.25">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ht="13.5" customHeight="1" spans="1:26" x14ac:dyDescent="0.25">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ht="13.5" customHeight="1" spans="1:26" x14ac:dyDescent="0.25">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ht="13.5" customHeight="1" spans="1:26" x14ac:dyDescent="0.25">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ht="13.5" customHeight="1" spans="1:26" x14ac:dyDescent="0.2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ht="13.5" customHeight="1" spans="1:26" x14ac:dyDescent="0.25">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ht="13.5" customHeight="1" spans="1:26" x14ac:dyDescent="0.25">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ht="13.5" customHeight="1" spans="1:26" x14ac:dyDescent="0.25">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ht="13.5" customHeight="1" spans="1:26" x14ac:dyDescent="0.25">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ht="13.5" customHeight="1" spans="1:26" x14ac:dyDescent="0.25">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ht="13.5" customHeight="1" spans="1:26" x14ac:dyDescent="0.25">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ht="13.5" customHeight="1" spans="1:26" x14ac:dyDescent="0.25">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ht="13.5" customHeight="1" spans="1:26" x14ac:dyDescent="0.25">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ht="13.5" customHeight="1" spans="1:26" x14ac:dyDescent="0.25">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ht="13.5" customHeight="1" spans="1:26" x14ac:dyDescent="0.2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ht="13.5" customHeight="1" spans="1:26" x14ac:dyDescent="0.25">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ht="13.5" customHeight="1" spans="1:26" x14ac:dyDescent="0.25">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ht="13.5" customHeight="1" spans="1:26" x14ac:dyDescent="0.25">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ht="13.5" customHeight="1" spans="1:26" x14ac:dyDescent="0.25">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ht="13.5" customHeight="1" spans="1:26" x14ac:dyDescent="0.25">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ht="13.5" customHeight="1" spans="1:26" x14ac:dyDescent="0.25">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ht="13.5" customHeight="1" spans="1:26" x14ac:dyDescent="0.25">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ht="13.5" customHeight="1" spans="1:26" x14ac:dyDescent="0.25">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ht="13.5" customHeight="1" spans="1:26" x14ac:dyDescent="0.25">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ht="13.5" customHeight="1" spans="1:26" x14ac:dyDescent="0.2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ht="13.5" customHeight="1" spans="1:26" x14ac:dyDescent="0.25">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ht="13.5" customHeight="1" spans="1:26" x14ac:dyDescent="0.25">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ht="13.5" customHeight="1" spans="1:26" x14ac:dyDescent="0.25">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ht="13.5" customHeight="1" spans="1:26" x14ac:dyDescent="0.25">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ht="13.5" customHeight="1" spans="1:26" x14ac:dyDescent="0.25">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mergeCells count="30">
    <mergeCell ref="C8:R8"/>
    <mergeCell ref="C10:E10"/>
    <mergeCell ref="O10:Q10"/>
    <mergeCell ref="C24:Q24"/>
    <mergeCell ref="C26:E26"/>
    <mergeCell ref="O26:Q26"/>
    <mergeCell ref="C40:Q40"/>
    <mergeCell ref="C42:E42"/>
    <mergeCell ref="O42:Q42"/>
    <mergeCell ref="C56:Q56"/>
    <mergeCell ref="C58:E58"/>
    <mergeCell ref="O58:Q58"/>
    <mergeCell ref="C72:Q72"/>
    <mergeCell ref="C74:E74"/>
    <mergeCell ref="O74:Q74"/>
    <mergeCell ref="C88:Q88"/>
    <mergeCell ref="C90:E90"/>
    <mergeCell ref="O90:Q90"/>
    <mergeCell ref="C104:Q104"/>
    <mergeCell ref="C106:E106"/>
    <mergeCell ref="O106:Q106"/>
    <mergeCell ref="C120:Q120"/>
    <mergeCell ref="C122:E122"/>
    <mergeCell ref="O122:Q122"/>
    <mergeCell ref="C136:Q136"/>
    <mergeCell ref="C138:E138"/>
    <mergeCell ref="O138:P138"/>
    <mergeCell ref="C152:Q152"/>
    <mergeCell ref="C154:E154"/>
    <mergeCell ref="O154:P154"/>
  </mergeCells>
  <pageMargins left="0.7" right="0.7" top="0.75" bottom="0.75" header="0" footer="0"/>
  <pageSetup orientation="portrait" horizontalDpi="4294967295" verticalDpi="4294967295" scale="43" fitToWidth="1" fitToHeight="1" firstPageNumber="1" useFirstPageNumber="1" copies="1"/>
  <legacy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0"/>
  <sheetViews>
    <sheetView workbookViewId="0" showGridLines="0" zoomScale="100" zoomScaleNormal="100">
      <pane ySplit="2" topLeftCell="A3" activePane="bottomLeft" state="frozen"/>
      <selection pane="bottomLeft" activeCell="B4" sqref="B4"/>
    </sheetView>
  </sheetViews>
  <sheetFormatPr defaultRowHeight="15" outlineLevelRow="1" outlineLevelCol="0" x14ac:dyDescent="0" defaultColWidth="14.5"/>
  <cols>
    <col min="1" max="1" width="1.6640625" customWidth="1"/>
    <col min="2" max="2" width="1.5" customWidth="1"/>
    <col min="3" max="14" width="12.6640625" customWidth="1"/>
    <col min="15" max="16" width="11.6640625" customWidth="1"/>
    <col min="17" max="26" width="10.6640625" customWidth="1"/>
  </cols>
  <sheetData>
    <row r="1" ht="19.5" customHeight="1" spans="1:26" x14ac:dyDescent="0.25">
      <c r="A1" s="11"/>
      <c r="B1" s="11"/>
      <c r="C1" s="837" t="str">
        <f ca="1">Company_Name&amp;" - "&amp;MID(CELL("filename",A1),FIND("]",CELL("filename",A1))+1,255)&amp;": "&amp;Case_Scenario&amp;" Case"</f>
        <v>Lowe's Companies, Inc. - Pre-Earnings: Base Case</v>
      </c>
      <c r="D1" s="11"/>
      <c r="E1" s="11"/>
      <c r="F1" s="11"/>
      <c r="G1" s="11"/>
      <c r="H1" s="11"/>
      <c r="I1" s="11"/>
      <c r="J1" s="11"/>
      <c r="K1" s="11"/>
      <c r="L1" s="11"/>
      <c r="M1" s="11"/>
      <c r="N1" s="11"/>
      <c r="O1" s="11"/>
      <c r="P1" s="11"/>
      <c r="Q1" s="11"/>
      <c r="R1" s="11"/>
      <c r="S1" s="11"/>
      <c r="T1" s="11"/>
      <c r="U1" s="11"/>
      <c r="V1" s="11"/>
      <c r="W1" s="11"/>
      <c r="X1" s="11"/>
      <c r="Y1" s="11"/>
      <c r="Z1" s="11"/>
    </row>
    <row r="2" ht="15" customHeight="1" spans="1:26" x14ac:dyDescent="0.25">
      <c r="A2" s="4"/>
      <c r="B2" s="4"/>
      <c r="C2" s="14" t="str">
        <f ca="1">Cover!C2</f>
        <v>$ in Millions Except Per Share Data</v>
      </c>
      <c r="D2" s="4"/>
      <c r="E2" s="4"/>
      <c r="F2" s="4"/>
      <c r="G2" s="4"/>
      <c r="H2" s="4"/>
      <c r="I2" s="4"/>
      <c r="J2" s="4"/>
      <c r="K2" s="4"/>
      <c r="L2" s="4"/>
      <c r="M2" s="4"/>
      <c r="N2" s="4"/>
      <c r="O2" s="4"/>
      <c r="P2" s="4"/>
      <c r="Q2" s="4"/>
      <c r="R2" s="4"/>
      <c r="S2" s="4"/>
      <c r="T2" s="4"/>
      <c r="U2" s="4"/>
      <c r="V2" s="4"/>
      <c r="W2" s="4"/>
      <c r="X2" s="4"/>
      <c r="Y2" s="4"/>
      <c r="Z2" s="4"/>
    </row>
    <row r="3" ht="14.25" customHeight="1" spans="1:26" x14ac:dyDescent="0.25">
      <c r="A3" s="5"/>
      <c r="B3" s="16"/>
      <c r="C3" s="16"/>
      <c r="D3" s="16"/>
      <c r="E3" s="16"/>
      <c r="F3" s="16"/>
      <c r="G3" s="16"/>
      <c r="H3" s="16"/>
      <c r="I3" s="16"/>
      <c r="J3" s="16"/>
      <c r="K3" s="16"/>
      <c r="L3" s="16"/>
      <c r="M3" s="16"/>
      <c r="N3" s="16"/>
      <c r="O3" s="16"/>
      <c r="P3" s="16"/>
      <c r="Q3" s="4"/>
      <c r="R3" s="4"/>
      <c r="S3" s="4"/>
      <c r="T3" s="4"/>
      <c r="U3" s="4"/>
      <c r="V3" s="4"/>
      <c r="W3" s="4"/>
      <c r="X3" s="4"/>
      <c r="Y3" s="4"/>
      <c r="Z3" s="4"/>
    </row>
    <row r="4" ht="14.25" customHeight="1" spans="1:26" x14ac:dyDescent="0.25">
      <c r="A4" s="16"/>
      <c r="B4" s="16"/>
      <c r="C4" s="16" t="s">
        <v>965</v>
      </c>
      <c r="D4" s="16"/>
      <c r="E4" s="16"/>
      <c r="F4" s="16"/>
      <c r="G4" s="16"/>
      <c r="H4" s="53" t="s">
        <v>966</v>
      </c>
      <c r="I4" s="16"/>
      <c r="J4" s="16"/>
      <c r="K4" s="16"/>
      <c r="L4" s="16"/>
      <c r="M4" s="16"/>
      <c r="N4" s="16"/>
      <c r="O4" s="16"/>
      <c r="P4" s="16"/>
      <c r="Q4" s="4"/>
      <c r="R4" s="4"/>
      <c r="S4" s="4"/>
      <c r="T4" s="4"/>
      <c r="U4" s="4"/>
      <c r="V4" s="4"/>
      <c r="W4" s="4"/>
      <c r="X4" s="4"/>
      <c r="Y4" s="4"/>
      <c r="Z4" s="4"/>
    </row>
    <row r="5" ht="14.25" customHeight="1" spans="1:26" x14ac:dyDescent="0.25">
      <c r="A5" s="16"/>
      <c r="B5" s="16"/>
      <c r="C5" s="16" t="s">
        <v>967</v>
      </c>
      <c r="D5" s="16"/>
      <c r="E5" s="16"/>
      <c r="F5" s="16"/>
      <c r="G5" s="16"/>
      <c r="H5" s="895">
        <f ca="1">YEAR(Next_FYE)</f>
        <v>2026</v>
      </c>
      <c r="I5" s="16"/>
      <c r="J5" s="16"/>
      <c r="K5" s="16"/>
      <c r="L5" s="16"/>
      <c r="M5" s="16"/>
      <c r="N5" s="16"/>
      <c r="O5" s="16"/>
      <c r="P5" s="16"/>
      <c r="Q5" s="4"/>
      <c r="R5" s="4"/>
      <c r="S5" s="4"/>
      <c r="T5" s="4"/>
      <c r="U5" s="4"/>
      <c r="V5" s="4"/>
      <c r="W5" s="4"/>
      <c r="X5" s="4"/>
      <c r="Y5" s="4"/>
      <c r="Z5" s="4"/>
    </row>
    <row r="6" ht="14.25" customHeight="1" spans="1:26" x14ac:dyDescent="0.25">
      <c r="A6" s="16"/>
      <c r="B6" s="16"/>
      <c r="C6" s="16" t="s">
        <v>968</v>
      </c>
      <c r="D6" s="16"/>
      <c r="E6" s="16"/>
      <c r="F6" s="16"/>
      <c r="G6" s="16"/>
      <c r="H6" s="896" t="str">
        <f ca="1">H4&amp;RIGHT(H5,2)&amp;"e"</f>
        <v>4Q26e</v>
      </c>
      <c r="I6" s="16"/>
      <c r="J6" s="16"/>
      <c r="K6" s="16"/>
      <c r="L6" s="16"/>
      <c r="M6" s="16"/>
      <c r="N6" s="16"/>
      <c r="O6" s="16"/>
      <c r="P6" s="16"/>
      <c r="Q6" s="4"/>
      <c r="R6" s="4"/>
      <c r="S6" s="4"/>
      <c r="T6" s="4"/>
      <c r="U6" s="4"/>
      <c r="V6" s="4"/>
      <c r="W6" s="4"/>
      <c r="X6" s="4"/>
      <c r="Y6" s="4"/>
      <c r="Z6" s="4"/>
    </row>
    <row r="7" ht="14.25" customHeight="1" spans="1:26" x14ac:dyDescent="0.25">
      <c r="A7" s="16"/>
      <c r="B7" s="16"/>
      <c r="C7" s="16" t="s">
        <v>969</v>
      </c>
      <c r="D7" s="16"/>
      <c r="E7" s="16"/>
      <c r="F7" s="16"/>
      <c r="G7" s="16"/>
      <c r="H7" s="895">
        <f ca="1">YEAR(Last_FYE)</f>
        <v>2025</v>
      </c>
      <c r="I7" s="16"/>
      <c r="J7" s="16"/>
      <c r="K7" s="16"/>
      <c r="L7" s="16"/>
      <c r="M7" s="16"/>
      <c r="N7" s="16"/>
      <c r="O7" s="16"/>
      <c r="P7" s="16"/>
      <c r="Q7" s="4"/>
      <c r="R7" s="4"/>
      <c r="S7" s="4"/>
      <c r="T7" s="4"/>
      <c r="U7" s="4"/>
      <c r="V7" s="4"/>
      <c r="W7" s="4"/>
      <c r="X7" s="4"/>
      <c r="Y7" s="4"/>
      <c r="Z7" s="4"/>
    </row>
    <row r="8" ht="14.25" customHeight="1" spans="1:26" x14ac:dyDescent="0.25">
      <c r="A8" s="16"/>
      <c r="B8" s="16"/>
      <c r="C8" s="16" t="s">
        <v>970</v>
      </c>
      <c r="D8" s="16"/>
      <c r="E8" s="16"/>
      <c r="F8" s="16"/>
      <c r="G8" s="16"/>
      <c r="H8" s="41" t="s">
        <v>6</v>
      </c>
      <c r="I8" s="16"/>
      <c r="J8" s="16"/>
      <c r="K8" s="16"/>
      <c r="L8" s="16"/>
      <c r="M8" s="16"/>
      <c r="N8" s="16"/>
      <c r="O8" s="16"/>
      <c r="P8" s="16"/>
      <c r="Q8" s="4"/>
      <c r="R8" s="4"/>
      <c r="S8" s="4"/>
      <c r="T8" s="4"/>
      <c r="U8" s="4"/>
      <c r="V8" s="4"/>
      <c r="W8" s="4"/>
      <c r="X8" s="4"/>
      <c r="Y8" s="4"/>
      <c r="Z8" s="4"/>
    </row>
    <row r="9" ht="14.25" customHeight="1" spans="1:26" x14ac:dyDescent="0.25">
      <c r="A9" s="16"/>
      <c r="B9" s="16"/>
      <c r="C9" s="16"/>
      <c r="D9" s="16"/>
      <c r="E9" s="16"/>
      <c r="F9" s="16"/>
      <c r="G9" s="16"/>
      <c r="H9" s="16"/>
      <c r="I9" s="16"/>
      <c r="J9" s="16"/>
      <c r="K9" s="16"/>
      <c r="L9" s="16"/>
      <c r="M9" s="16"/>
      <c r="N9" s="16"/>
      <c r="O9" s="16"/>
      <c r="P9" s="16"/>
      <c r="Q9" s="4"/>
      <c r="R9" s="4"/>
      <c r="S9" s="4"/>
      <c r="T9" s="4"/>
      <c r="U9" s="4"/>
      <c r="V9" s="4"/>
      <c r="W9" s="4"/>
      <c r="X9" s="4"/>
      <c r="Y9" s="4"/>
      <c r="Z9" s="4"/>
    </row>
    <row r="10" ht="14.25" customHeight="1" spans="1:26" x14ac:dyDescent="0.25">
      <c r="A10" s="16"/>
      <c r="B10" s="264" t="s">
        <v>1</v>
      </c>
      <c r="C10" s="110" t="str">
        <f ca="1">Ticker&amp;" "&amp;H4&amp;RIGHT(H5,2)&amp;" Operating Expectations"</f>
        <v>LOW 4Q26 Operating Expectations</v>
      </c>
      <c r="D10" s="110"/>
      <c r="E10" s="110"/>
      <c r="F10" s="110"/>
      <c r="G10" s="110"/>
      <c r="H10" s="111" t="s">
        <v>971</v>
      </c>
      <c r="I10" s="111" t="s">
        <v>972</v>
      </c>
      <c r="J10" s="111" t="str">
        <f ca="1">H4&amp;RIGHT(H7,2)&amp;"a"</f>
        <v>4Q25a</v>
      </c>
      <c r="K10" s="111" t="str">
        <f ca="1">IF(H4="1Q",Last_FQR&amp;RIGHT(H7,2)&amp;"a",Last_FQR&amp;RIGHT(H5,2)&amp;"a")</f>
        <v>2Q26a</v>
      </c>
      <c r="L10" s="897" t="str">
        <f t="shared" ref="L10:N10" si="0" ca="1">"v. "&amp;I10</f>
        <v>v. Consensus</v>
      </c>
      <c r="M10" s="111" t="str">
        <f ca="1">"v. "&amp;J10</f>
        <v>v. 4Q25a</v>
      </c>
      <c r="N10" s="111" t="str">
        <f ca="1">"v. "&amp;K10</f>
        <v>v. 2Q26a</v>
      </c>
      <c r="O10" s="199"/>
      <c r="P10" s="199"/>
      <c r="Q10" s="4"/>
      <c r="R10" s="4"/>
      <c r="S10" s="4"/>
      <c r="T10" s="4"/>
      <c r="U10" s="4"/>
      <c r="V10" s="4"/>
      <c r="W10" s="4"/>
      <c r="X10" s="4"/>
      <c r="Y10" s="4"/>
      <c r="Z10" s="4"/>
    </row>
    <row r="11" ht="4.5" customHeight="1" spans="1:26" x14ac:dyDescent="0.25">
      <c r="A11" s="16"/>
      <c r="B11" s="264"/>
      <c r="C11" s="47"/>
      <c r="D11" s="47"/>
      <c r="E11" s="47"/>
      <c r="F11" s="47"/>
      <c r="G11" s="47"/>
      <c r="H11" s="199"/>
      <c r="I11" s="199"/>
      <c r="J11" s="199"/>
      <c r="K11" s="199"/>
      <c r="L11" s="199"/>
      <c r="M11" s="199"/>
      <c r="N11" s="199"/>
      <c r="O11" s="199"/>
      <c r="P11" s="199"/>
      <c r="Q11" s="4"/>
      <c r="R11" s="4"/>
      <c r="S11" s="4"/>
      <c r="T11" s="4"/>
      <c r="U11" s="4"/>
      <c r="V11" s="4"/>
      <c r="W11" s="4"/>
      <c r="X11" s="4"/>
      <c r="Y11" s="4"/>
      <c r="Z11" s="4"/>
    </row>
    <row r="12" ht="14.25" customHeight="1" spans="1:26" x14ac:dyDescent="0.25">
      <c r="A12" s="16"/>
      <c r="B12" s="16"/>
      <c r="C12" s="16" t="str">
        <f ca="1">Model!C28</f>
        <v>Revenue</v>
      </c>
      <c r="D12" s="16"/>
      <c r="E12" s="16"/>
      <c r="F12" s="16"/>
      <c r="G12" s="16"/>
      <c r="H12" s="898">
        <f t="array" ref="H12" ca="1">INDEX(Data,MATCH($C12,Line_Items,0),MATCH($H$6,Fiscal_Periods,0))</f>
        <v>21772.1</v>
      </c>
      <c r="I12" s="899">
        <v>19670.3</v>
      </c>
      <c r="J12" s="898">
        <f t="array" ref="J12" ca="1">INDEX(Data,MATCH($C12,Line_Items,0),MATCH(LEFT(J$10,4),Fiscal_Periods,0))</f>
        <v>20311</v>
      </c>
      <c r="K12" s="898">
        <f t="array" ref="K12" ca="1">INDEX(Data,MATCH($C12,Line_Items,0),MATCH(LEFT(K$10,4),Fiscal_Periods,0))</f>
        <v>27570</v>
      </c>
      <c r="L12" s="900">
        <f t="shared" ref="L12:N12" si="1" ca="1">IFERROR($H12/I12-1,"N/A")</f>
        <v>0.1068514460887735</v>
      </c>
      <c r="M12" s="595">
        <f ca="1">IFERROR($H12/J12-1,"N/A")</f>
        <v>0.07193638914873701</v>
      </c>
      <c r="N12" s="595">
        <f ca="1">IFERROR($H12/K12-1,"N/A")</f>
        <v>-0.21029742473703306</v>
      </c>
      <c r="O12" s="16"/>
      <c r="P12" s="16"/>
      <c r="Q12" s="4"/>
      <c r="R12" s="4"/>
      <c r="S12" s="4"/>
      <c r="T12" s="4"/>
      <c r="U12" s="4"/>
      <c r="V12" s="4"/>
      <c r="W12" s="4"/>
      <c r="X12" s="4"/>
      <c r="Y12" s="4"/>
      <c r="Z12" s="4"/>
    </row>
    <row r="13" ht="14.25" customHeight="1" spans="1:26" x14ac:dyDescent="0.25">
      <c r="A13" s="16"/>
      <c r="B13" s="16"/>
      <c r="C13" s="16" t="str">
        <f ca="1">Model!C30</f>
        <v>Gross Profit</v>
      </c>
      <c r="D13" s="16"/>
      <c r="E13" s="16"/>
      <c r="F13" s="16"/>
      <c r="G13" s="16"/>
      <c r="H13" s="901">
        <f t="array" ref="H13" ca="1">INDEX(Data,MATCH($C13,Line_Items,0),MATCH($H$6,Fiscal_Periods,0))</f>
        <v>2830.3729999999996</v>
      </c>
      <c r="I13" s="902">
        <v>3968.1</v>
      </c>
      <c r="J13" s="901">
        <f t="array" ref="J13" ca="1">INDEX(Data,MATCH($C13,Line_Items,0),MATCH(LEFT(J$10,4),Fiscal_Periods,0))</f>
        <v>6466</v>
      </c>
      <c r="K13" s="901">
        <f t="array" ref="K13" ca="1">INDEX(Data,MATCH($C13,Line_Items,0),MATCH(LEFT(K$10,4),Fiscal_Periods,0))</f>
        <v>9312</v>
      </c>
      <c r="L13" s="900">
        <f t="shared" ref="L13:N13" si="2" ca="1">IFERROR($H13/I13-1,"N/A")</f>
        <v>-0.28671832867115254</v>
      </c>
      <c r="M13" s="595">
        <f ca="1">IFERROR($H13/J13-1,"N/A")</f>
        <v>-0.5622683266316115</v>
      </c>
      <c r="N13" s="595">
        <f ca="1">IFERROR($H13/K13-1,"N/A")</f>
        <v>-0.6960510094501718</v>
      </c>
      <c r="O13" s="16"/>
      <c r="P13" s="16"/>
      <c r="Q13" s="4"/>
      <c r="R13" s="4"/>
      <c r="S13" s="4"/>
      <c r="T13" s="4"/>
      <c r="U13" s="4"/>
      <c r="V13" s="4"/>
      <c r="W13" s="4"/>
      <c r="X13" s="4"/>
      <c r="Y13" s="4"/>
      <c r="Z13" s="4"/>
    </row>
    <row r="14" ht="14.25" customHeight="1" spans="1:26" x14ac:dyDescent="0.25">
      <c r="A14" s="16"/>
      <c r="B14" s="16"/>
      <c r="C14" s="120" t="str">
        <f ca="1">Model!C66</f>
        <v>Gross Margin</v>
      </c>
      <c r="D14" s="16"/>
      <c r="E14" s="16"/>
      <c r="F14" s="16"/>
      <c r="G14" s="16"/>
      <c r="H14" s="903">
        <f t="array" ref="H14" ca="1">INDEX(Data,MATCH($C14,Line_Items,0),MATCH($H$6,Fiscal_Periods,0))</f>
        <v>0.13</v>
      </c>
      <c r="I14" s="904">
        <v>0.202</v>
      </c>
      <c r="J14" s="903">
        <f t="array" ref="J14" ca="1">INDEX(Data,MATCH($C14,Line_Items,0),MATCH(LEFT(J$10,4),Fiscal_Periods,0))</f>
        <v>0.31834966274432575</v>
      </c>
      <c r="K14" s="903">
        <f t="array" ref="K14" ca="1">INDEX(Data,MATCH($C14,Line_Items,0),MATCH(LEFT(K$10,4),Fiscal_Periods,0))</f>
        <v>0.33775843307943415</v>
      </c>
      <c r="L14" s="905">
        <f t="shared" ref="L14:N14" si="3" ca="1">$H14-I14</f>
        <v>-0.07200000000000001</v>
      </c>
      <c r="M14" s="906">
        <f ca="1">$H14-J14</f>
        <v>-0.18834966274432574</v>
      </c>
      <c r="N14" s="906">
        <f ca="1">$H14-K14</f>
        <v>-0.20775843307943415</v>
      </c>
      <c r="O14" s="16"/>
      <c r="P14" s="16"/>
      <c r="Q14" s="4"/>
      <c r="R14" s="4"/>
      <c r="S14" s="4"/>
      <c r="T14" s="4"/>
      <c r="U14" s="4"/>
      <c r="V14" s="4"/>
      <c r="W14" s="4"/>
      <c r="X14" s="4"/>
      <c r="Y14" s="4"/>
      <c r="Z14" s="4"/>
    </row>
    <row r="15" ht="14.25" customHeight="1" spans="1:26" x14ac:dyDescent="0.25">
      <c r="A15" s="16"/>
      <c r="B15" s="16"/>
      <c r="C15" s="16" t="str">
        <f ca="1">Model!C61</f>
        <v>EBITDA</v>
      </c>
      <c r="D15" s="16"/>
      <c r="E15" s="16"/>
      <c r="F15" s="16"/>
      <c r="G15" s="16"/>
      <c r="H15" s="901">
        <f ca="1">INDEX(Data,MATCH($C15,Line_Items,0),MATCH($H$6,Fiscal_Periods,0))</f>
      </c>
      <c r="I15" s="902">
        <v>2224.4</v>
      </c>
      <c r="J15" s="901">
        <f t="array" ref="J15" ca="1">INDEX(Data,MATCH($C15,Line_Items,0),MATCH(LEFT(J$10,4),Fiscal_Periods,0))</f>
        <v>3159</v>
      </c>
      <c r="K15" s="901">
        <f t="array" ref="K15" ca="1">INDEX(Data,MATCH($C15,Line_Items,0),MATCH(LEFT(K$10,4),Fiscal_Periods,0))</f>
        <v>4619</v>
      </c>
      <c r="L15" s="900" t="str">
        <f t="shared" ref="L15:N15" si="4" ca="1">IFERROR($H15/I15-1,"N/A")</f>
        <v>N/A</v>
      </c>
      <c r="M15" s="595" t="str">
        <f ca="1">IFERROR($H15/J15-1,"N/A")</f>
        <v>N/A</v>
      </c>
      <c r="N15" s="595" t="str">
        <f ca="1">IFERROR($H15/K15-1,"N/A")</f>
        <v>N/A</v>
      </c>
      <c r="O15" s="16"/>
      <c r="P15" s="16"/>
      <c r="Q15" s="4"/>
      <c r="R15" s="4"/>
      <c r="S15" s="4"/>
      <c r="T15" s="4"/>
      <c r="U15" s="4"/>
      <c r="V15" s="4"/>
      <c r="W15" s="4"/>
      <c r="X15" s="4"/>
      <c r="Y15" s="4"/>
      <c r="Z15" s="4"/>
    </row>
    <row r="16" ht="14.25" customHeight="1" spans="1:26" x14ac:dyDescent="0.25">
      <c r="A16" s="16"/>
      <c r="B16" s="16"/>
      <c r="C16" s="120" t="str">
        <f ca="1">'Segment Analysis'!C146</f>
        <v>EBITDA Margin</v>
      </c>
      <c r="D16" s="16"/>
      <c r="E16" s="16"/>
      <c r="F16" s="16"/>
      <c r="G16" s="16"/>
      <c r="H16" s="907">
        <f ca="1">H15/$H$12</f>
        <v>1e-12</v>
      </c>
      <c r="I16" s="904">
        <v>0.113</v>
      </c>
      <c r="J16" s="907">
        <f t="shared" ref="J16:K16" si="5" ca="1">J15/$H$12</f>
        <v>0.1450939505146495</v>
      </c>
      <c r="K16" s="907">
        <f ca="1">K15/$H$12</f>
        <v>0.212152249897805</v>
      </c>
      <c r="L16" s="905">
        <f ca="1">$H16-I16</f>
        <v>-0.113</v>
      </c>
      <c r="M16" s="906">
        <f ca="1">$H16-J16</f>
        <v>-0.1450939505146495</v>
      </c>
      <c r="N16" s="906">
        <f ca="1">$H16-K16</f>
        <v>-0.212152249897805</v>
      </c>
      <c r="O16" s="16"/>
      <c r="P16" s="16"/>
      <c r="Q16" s="4"/>
      <c r="R16" s="4"/>
      <c r="S16" s="4"/>
      <c r="T16" s="4"/>
      <c r="U16" s="4"/>
      <c r="V16" s="4"/>
      <c r="W16" s="4"/>
      <c r="X16" s="4"/>
      <c r="Y16" s="4"/>
      <c r="Z16" s="4"/>
    </row>
    <row r="17" ht="14.25" customHeight="1" spans="1:26" x14ac:dyDescent="0.25">
      <c r="A17" s="16"/>
      <c r="B17" s="16"/>
      <c r="C17" s="16" t="str">
        <f ca="1">Model!C36</f>
        <v>EBIT</v>
      </c>
      <c r="D17" s="16"/>
      <c r="E17" s="16"/>
      <c r="F17" s="16"/>
      <c r="G17" s="16"/>
      <c r="H17" s="901">
        <f t="array" ref="H17" ca="1">INDEX(Data,MATCH($C17,Line_Items,0),MATCH($H$6,Fiscal_Periods,0))</f>
        <v>-2290.6765000000005</v>
      </c>
      <c r="I17" s="902">
        <v>1952.8</v>
      </c>
      <c r="J17" s="901">
        <f t="array" ref="J17" ca="1">INDEX(Data,MATCH($C17,Line_Items,0),MATCH(LEFT(J$10,4),Fiscal_Periods,0))</f>
        <v>2769</v>
      </c>
      <c r="K17" s="901">
        <f t="array" ref="K17" ca="1">INDEX(Data,MATCH($C17,Line_Items,0),MATCH(LEFT(K$10,4),Fiscal_Periods,0))</f>
        <v>4210</v>
      </c>
      <c r="L17" s="900">
        <f t="shared" ref="L17:N17" si="6" ca="1">IFERROR($H17/I17-1,"N/A")</f>
        <v>-2.1730215587873825</v>
      </c>
      <c r="M17" s="595">
        <f ca="1">IFERROR($H17/J17-1,"N/A")</f>
        <v>-1.8272576742506321</v>
      </c>
      <c r="N17" s="595">
        <f ca="1">IFERROR($H17/K17-1,"N/A")</f>
        <v>-1.5441036817102138</v>
      </c>
      <c r="O17" s="16"/>
      <c r="P17" s="16"/>
      <c r="Q17" s="4"/>
      <c r="R17" s="4"/>
      <c r="S17" s="4"/>
      <c r="T17" s="4"/>
      <c r="U17" s="4"/>
      <c r="V17" s="4"/>
      <c r="W17" s="4"/>
      <c r="X17" s="4"/>
      <c r="Y17" s="4"/>
      <c r="Z17" s="4"/>
    </row>
    <row r="18" ht="14.25" customHeight="1" spans="1:26" x14ac:dyDescent="0.25">
      <c r="A18" s="16"/>
      <c r="B18" s="16"/>
      <c r="C18" s="120" t="str">
        <f ca="1">'Segment Analysis'!C154</f>
        <v>EBIT Margin</v>
      </c>
      <c r="D18" s="16"/>
      <c r="E18" s="16"/>
      <c r="F18" s="16"/>
      <c r="G18" s="16"/>
      <c r="H18" s="907">
        <f ca="1">H17/$H$12</f>
        <v>-0.10521155515545128</v>
      </c>
      <c r="I18" s="904">
        <v>0.099</v>
      </c>
      <c r="J18" s="907">
        <f t="shared" ref="J18:K18" si="7" ca="1">J17/$H$12</f>
        <v>0.12718111711777919</v>
      </c>
      <c r="K18" s="907">
        <f ca="1">K17/$H$12</f>
        <v>0.19336674000211282</v>
      </c>
      <c r="L18" s="905">
        <f t="shared" ref="L18:N18" si="8" ca="1">$H18-I18</f>
        <v>-0.20421155515545128</v>
      </c>
      <c r="M18" s="906">
        <f ca="1">$H18-J18</f>
        <v>-0.23239267227323046</v>
      </c>
      <c r="N18" s="906">
        <f ca="1">$H18-K18</f>
        <v>-0.29857829515756407</v>
      </c>
      <c r="O18" s="16"/>
      <c r="P18" s="16"/>
      <c r="Q18" s="4"/>
      <c r="R18" s="4"/>
      <c r="S18" s="4"/>
      <c r="T18" s="4"/>
      <c r="U18" s="4"/>
      <c r="V18" s="4"/>
      <c r="W18" s="4"/>
      <c r="X18" s="4"/>
      <c r="Y18" s="4"/>
      <c r="Z18" s="4"/>
    </row>
    <row r="19" ht="14.25" customHeight="1" spans="1:26" x14ac:dyDescent="0.25">
      <c r="A19" s="16"/>
      <c r="B19" s="16"/>
      <c r="C19" s="16" t="str">
        <f ca="1">Model!C45</f>
        <v>Net Income (Loss)</v>
      </c>
      <c r="D19" s="16"/>
      <c r="E19" s="16"/>
      <c r="F19" s="16"/>
      <c r="G19" s="16"/>
      <c r="H19" s="901">
        <f ca="1">INDEX(Data,MATCH($C19,Line_Items,0),MATCH($H$6,Fiscal_Periods,0))</f>
      </c>
      <c r="I19" s="902">
        <v>1379.1</v>
      </c>
      <c r="J19" s="901">
        <f t="array" ref="J19" ca="1">INDEX(Data,MATCH($C19,Line_Items,0),MATCH(LEFT(J$10,4),Fiscal_Periods,0))</f>
        <v>978</v>
      </c>
      <c r="K19" s="901">
        <f t="array" ref="K19" ca="1">INDEX(Data,MATCH($C19,Line_Items,0),MATCH(LEFT(K$10,4),Fiscal_Periods,0))</f>
        <v>3018</v>
      </c>
      <c r="L19" s="900" t="str">
        <f t="shared" ref="L19:N19" si="9" ca="1">IFERROR($H19/I19-1,"N/A")</f>
        <v>N/A</v>
      </c>
      <c r="M19" s="595" t="str">
        <f ca="1">IFERROR($H19/J19-1,"N/A")</f>
        <v>N/A</v>
      </c>
      <c r="N19" s="595" t="str">
        <f ca="1">IFERROR($H19/K19-1,"N/A")</f>
        <v>N/A</v>
      </c>
      <c r="O19" s="16"/>
      <c r="P19" s="16"/>
      <c r="Q19" s="4"/>
      <c r="R19" s="4"/>
      <c r="S19" s="4"/>
      <c r="T19" s="4"/>
      <c r="U19" s="4"/>
      <c r="V19" s="4"/>
      <c r="W19" s="4"/>
      <c r="X19" s="4"/>
      <c r="Y19" s="4"/>
      <c r="Z19" s="4"/>
    </row>
    <row r="20" ht="14.25" customHeight="1" spans="1:26" x14ac:dyDescent="0.25">
      <c r="A20" s="16"/>
      <c r="B20" s="16"/>
      <c r="C20" s="120" t="s">
        <v>500</v>
      </c>
      <c r="D20" s="16"/>
      <c r="E20" s="16"/>
      <c r="F20" s="16"/>
      <c r="G20" s="16"/>
      <c r="H20" s="903">
        <f ca="1">H19/H12</f>
        <v>1e-12</v>
      </c>
      <c r="I20" s="904">
        <v>0.07</v>
      </c>
      <c r="J20" s="903">
        <f t="shared" ref="J20:K20" si="10" ca="1">J19/J12</f>
        <v>0.04815124809216681</v>
      </c>
      <c r="K20" s="903">
        <f ca="1">K19/K12</f>
        <v>0.10946681175190424</v>
      </c>
      <c r="L20" s="905">
        <f ca="1">$H20-I20</f>
        <v>-0.07</v>
      </c>
      <c r="M20" s="906">
        <f ca="1">$H20-J20</f>
        <v>-0.04815124809216681</v>
      </c>
      <c r="N20" s="906">
        <f ca="1">$H20-K20</f>
        <v>-0.10946681175190424</v>
      </c>
      <c r="O20" s="16"/>
      <c r="P20" s="16"/>
      <c r="Q20" s="4"/>
      <c r="R20" s="4"/>
      <c r="S20" s="4"/>
      <c r="T20" s="4"/>
      <c r="U20" s="4"/>
      <c r="V20" s="4"/>
      <c r="W20" s="4"/>
      <c r="X20" s="4"/>
      <c r="Y20" s="4"/>
      <c r="Z20" s="4"/>
    </row>
    <row r="21" ht="14.25" customHeight="1" spans="1:26" x14ac:dyDescent="0.25">
      <c r="A21" s="16"/>
      <c r="B21" s="16"/>
      <c r="C21" s="16" t="str">
        <f ca="1">Model!C57</f>
        <v>Adj. EPS (Diluted)</v>
      </c>
      <c r="D21" s="16"/>
      <c r="E21" s="16"/>
      <c r="F21" s="16"/>
      <c r="G21" s="16"/>
      <c r="H21" s="908">
        <f ca="1">INDEX(Data,MATCH($C21,Line_Items,0),MATCH($H$6,Fiscal_Periods,0))</f>
      </c>
      <c r="I21" s="909">
        <v>2.15</v>
      </c>
      <c r="J21" s="908">
        <f t="array" ref="J21" ca="1">INDEX(Data,MATCH($C21,Line_Items,0),MATCH(LEFT(J$10,4),Fiscal_Periods,0))</f>
        <v>1.304</v>
      </c>
      <c r="K21" s="908">
        <f t="array" ref="K21" ca="1">INDEX(Data,MATCH($C21,Line_Items,0),MATCH(LEFT(K$10,4),Fiscal_Periods,0))</f>
        <v>4.2687411598302685</v>
      </c>
      <c r="L21" s="900" t="str">
        <f t="shared" ref="L21:N21" si="11" ca="1">IFERROR($H21/I21-1,"N/A")</f>
        <v>N/A</v>
      </c>
      <c r="M21" s="595" t="str">
        <f ca="1">IFERROR($H21/J21-1,"N/A")</f>
        <v>N/A</v>
      </c>
      <c r="N21" s="595" t="str">
        <f ca="1">IFERROR($H21/K21-1,"N/A")</f>
        <v>N/A</v>
      </c>
      <c r="O21" s="16"/>
      <c r="P21" s="16"/>
      <c r="Q21" s="4"/>
      <c r="R21" s="4"/>
      <c r="S21" s="4"/>
      <c r="T21" s="4"/>
      <c r="U21" s="4"/>
      <c r="V21" s="4"/>
      <c r="W21" s="4"/>
      <c r="X21" s="4"/>
      <c r="Y21" s="4"/>
      <c r="Z21" s="4"/>
    </row>
    <row r="22" ht="14.25" customHeight="1" spans="1:26" x14ac:dyDescent="0.25">
      <c r="A22" s="16"/>
      <c r="B22" s="16"/>
      <c r="C22" s="16"/>
      <c r="D22" s="16"/>
      <c r="E22" s="16"/>
      <c r="F22" s="16"/>
      <c r="G22" s="16"/>
      <c r="H22" s="84"/>
      <c r="I22" s="84"/>
      <c r="J22" s="84"/>
      <c r="K22" s="84"/>
      <c r="L22" s="84"/>
      <c r="M22" s="84"/>
      <c r="N22" s="84"/>
      <c r="O22" s="16"/>
      <c r="P22" s="16"/>
      <c r="Q22" s="4"/>
      <c r="R22" s="4"/>
      <c r="S22" s="4"/>
      <c r="T22" s="4"/>
      <c r="U22" s="4"/>
      <c r="V22" s="4"/>
      <c r="W22" s="4"/>
      <c r="X22" s="4"/>
      <c r="Y22" s="4"/>
      <c r="Z22" s="4"/>
    </row>
    <row r="23" ht="14.25" customHeight="1" spans="1:26" x14ac:dyDescent="0.25">
      <c r="A23" s="16"/>
      <c r="B23" s="16"/>
      <c r="C23" s="16"/>
      <c r="D23" s="16"/>
      <c r="E23" s="16"/>
      <c r="F23" s="16"/>
      <c r="G23" s="16"/>
      <c r="H23" s="84"/>
      <c r="I23" s="84"/>
      <c r="J23" s="84"/>
      <c r="K23" s="84"/>
      <c r="L23" s="84"/>
      <c r="M23" s="84"/>
      <c r="N23" s="84"/>
      <c r="O23" s="16"/>
      <c r="P23" s="16"/>
      <c r="Q23" s="4"/>
      <c r="R23" s="4"/>
      <c r="S23" s="4"/>
      <c r="T23" s="4"/>
      <c r="U23" s="4"/>
      <c r="V23" s="4"/>
      <c r="W23" s="4"/>
      <c r="X23" s="4"/>
      <c r="Y23" s="4"/>
      <c r="Z23" s="4"/>
    </row>
    <row r="24" ht="14.25" customHeight="1" spans="1:26" x14ac:dyDescent="0.25">
      <c r="A24" s="16"/>
      <c r="B24" s="264" t="s">
        <v>1</v>
      </c>
      <c r="C24" s="110" t="str">
        <f ca="1">Ticker&amp;" "&amp;H4&amp;RIGHT(H5,2)&amp;" Segment Expectations"</f>
        <v>LOW 4Q26 Segment Expectations</v>
      </c>
      <c r="D24" s="110"/>
      <c r="E24" s="110"/>
      <c r="F24" s="110"/>
      <c r="G24" s="110"/>
      <c r="H24" s="111" t="str">
        <f t="shared" ref="H24:N24" si="12" ca="1">H10</f>
        <v>OFe</v>
      </c>
      <c r="I24" s="111" t="str">
        <f ca="1">I10</f>
        <v>Consensus</v>
      </c>
      <c r="J24" s="111" t="str">
        <f ca="1">J10</f>
        <v>4Q25a</v>
      </c>
      <c r="K24" s="111" t="str">
        <f ca="1">K10</f>
        <v>2Q26a</v>
      </c>
      <c r="L24" s="897" t="str">
        <f ca="1">L10</f>
        <v>v. Consensus</v>
      </c>
      <c r="M24" s="111" t="str">
        <f ca="1">M10</f>
        <v>v. 4Q25a</v>
      </c>
      <c r="N24" s="111" t="str">
        <f ca="1">N10</f>
        <v>v. 2Q26a</v>
      </c>
      <c r="O24" s="16"/>
      <c r="P24" s="16"/>
      <c r="Q24" s="4"/>
      <c r="R24" s="4"/>
      <c r="S24" s="4"/>
      <c r="T24" s="4"/>
      <c r="U24" s="4"/>
      <c r="V24" s="4"/>
      <c r="W24" s="4"/>
      <c r="X24" s="4"/>
      <c r="Y24" s="4"/>
      <c r="Z24" s="4"/>
    </row>
    <row r="25" ht="4.5" customHeight="1" spans="1:26" x14ac:dyDescent="0.25">
      <c r="A25" s="16"/>
      <c r="B25" s="264"/>
      <c r="C25" s="16"/>
      <c r="D25" s="16"/>
      <c r="E25" s="16"/>
      <c r="F25" s="16"/>
      <c r="G25" s="16"/>
      <c r="H25" s="84"/>
      <c r="I25" s="84"/>
      <c r="J25" s="84"/>
      <c r="K25" s="84"/>
      <c r="L25" s="84"/>
      <c r="M25" s="84"/>
      <c r="N25" s="84"/>
      <c r="O25" s="16"/>
      <c r="P25" s="16"/>
      <c r="Q25" s="4"/>
      <c r="R25" s="4"/>
      <c r="S25" s="4"/>
      <c r="T25" s="4"/>
      <c r="U25" s="4"/>
      <c r="V25" s="4"/>
      <c r="W25" s="4"/>
      <c r="X25" s="4"/>
      <c r="Y25" s="4"/>
      <c r="Z25" s="4"/>
    </row>
    <row r="26" ht="14.25" customHeight="1" spans="1:26" x14ac:dyDescent="0.25">
      <c r="A26" s="16"/>
      <c r="B26" s="16"/>
      <c r="C26" s="16" t="str">
        <f ca="1">'Segment Analysis'!C8</f>
        <v>Home Improvement Retail Revenue</v>
      </c>
      <c r="D26" s="16"/>
      <c r="E26" s="16"/>
      <c r="F26" s="16"/>
      <c r="G26" s="16"/>
      <c r="H26" s="898">
        <f ca="1">INDEX(Data,MATCH($C26,Line_Items,0),MATCH($H$6,Fiscal_Periods,0))</f>
      </c>
      <c r="I26" s="899">
        <v>6520.1</v>
      </c>
      <c r="J26" s="898">
        <f ca="1">INDEX(Data,MATCH($C26,Line_Items,0),MATCH(LEFT(J$24,4),Fiscal_Periods,0))</f>
      </c>
      <c r="K26" s="898">
        <f ca="1">INDEX(Data,MATCH($C26,Line_Items,0),MATCH(LEFT(K$24,4),Fiscal_Periods,0))</f>
      </c>
      <c r="L26" s="900" t="str">
        <f t="shared" ref="L26:N26" si="13" ca="1">IFERROR($H26/I26-1,"N/A")</f>
        <v>N/A</v>
      </c>
      <c r="M26" s="595" t="str">
        <f ca="1">IFERROR($H26/J26-1,"N/A")</f>
        <v>N/A</v>
      </c>
      <c r="N26" s="595" t="str">
        <f ca="1">IFERROR($H26/K26-1,"N/A")</f>
        <v>N/A</v>
      </c>
      <c r="O26" s="16"/>
      <c r="P26" s="16"/>
      <c r="Q26" s="4"/>
      <c r="R26" s="4"/>
      <c r="S26" s="4"/>
      <c r="T26" s="4"/>
      <c r="U26" s="4"/>
      <c r="V26" s="4"/>
      <c r="W26" s="4"/>
      <c r="X26" s="4"/>
      <c r="Y26" s="4"/>
      <c r="Z26" s="4"/>
    </row>
    <row r="27" ht="14.25" customHeight="1" spans="1:26" x14ac:dyDescent="0.25">
      <c r="A27" s="16"/>
      <c r="B27" s="16"/>
      <c r="C27" s="16" t="str">
        <f ca="1">'Segment Analysis'!C9</f>
        <v>Segment 2 Revenue</v>
      </c>
      <c r="D27" s="16"/>
      <c r="E27" s="16"/>
      <c r="F27" s="16"/>
      <c r="G27" s="16"/>
      <c r="H27" s="901">
        <f ca="1">INDEX(Data,MATCH($C27,Line_Items,0),MATCH($H$6,Fiscal_Periods,0))</f>
      </c>
      <c r="I27" s="902">
        <v>11000.3</v>
      </c>
      <c r="J27" s="901">
        <f ca="1">INDEX(Data,MATCH($C27,Line_Items,0),MATCH(LEFT(J$24,4),Fiscal_Periods,0))</f>
      </c>
      <c r="K27" s="901">
        <f ca="1">INDEX(Data,MATCH($C27,Line_Items,0),MATCH(LEFT(K$24,4),Fiscal_Periods,0))</f>
      </c>
      <c r="L27" s="900" t="str">
        <f t="shared" ref="L27:N27" si="14" ca="1">IFERROR($H27/I27-1,"N/A")</f>
        <v>N/A</v>
      </c>
      <c r="M27" s="595" t="str">
        <f ca="1">IFERROR($H27/J27-1,"N/A")</f>
        <v>N/A</v>
      </c>
      <c r="N27" s="595" t="str">
        <f ca="1">IFERROR($H27/K27-1,"N/A")</f>
        <v>N/A</v>
      </c>
      <c r="O27" s="16"/>
      <c r="P27" s="16"/>
      <c r="Q27" s="4"/>
      <c r="R27" s="4"/>
      <c r="S27" s="4"/>
      <c r="T27" s="4"/>
      <c r="U27" s="4"/>
      <c r="V27" s="4"/>
      <c r="W27" s="4"/>
      <c r="X27" s="4"/>
      <c r="Y27" s="4"/>
      <c r="Z27" s="4"/>
    </row>
    <row r="28" ht="14.25" customHeight="1" spans="1:26" x14ac:dyDescent="0.25">
      <c r="A28" s="16"/>
      <c r="B28" s="16"/>
      <c r="C28" s="16" t="str">
        <f ca="1">'Segment Analysis'!C10</f>
        <v>Segment 3 Revenue</v>
      </c>
      <c r="D28" s="16"/>
      <c r="E28" s="16"/>
      <c r="F28" s="16"/>
      <c r="G28" s="16"/>
      <c r="H28" s="901">
        <f ca="1">INDEX(Data,MATCH($C28,Line_Items,0),MATCH($H$6,Fiscal_Periods,0))</f>
      </c>
      <c r="I28" s="902">
        <v>75</v>
      </c>
      <c r="J28" s="901">
        <f ca="1">INDEX(Data,MATCH($C28,Line_Items,0),MATCH(LEFT(J$24,4),Fiscal_Periods,0))</f>
      </c>
      <c r="K28" s="901">
        <f ca="1">INDEX(Data,MATCH($C28,Line_Items,0),MATCH(LEFT(K$24,4),Fiscal_Periods,0))</f>
      </c>
      <c r="L28" s="900" t="str">
        <f t="shared" ref="L28:N28" si="15" ca="1">IFERROR($H28/I28-1,"N/A")</f>
        <v>N/A</v>
      </c>
      <c r="M28" s="595" t="str">
        <f ca="1">IFERROR($H28/J28-1,"N/A")</f>
        <v>N/A</v>
      </c>
      <c r="N28" s="595" t="str">
        <f ca="1">IFERROR($H28/K28-1,"N/A")</f>
        <v>N/A</v>
      </c>
      <c r="O28" s="16"/>
      <c r="P28" s="16"/>
      <c r="Q28" s="4"/>
      <c r="R28" s="4"/>
      <c r="S28" s="4"/>
      <c r="T28" s="4"/>
      <c r="U28" s="4"/>
      <c r="V28" s="4"/>
      <c r="W28" s="4"/>
      <c r="X28" s="4"/>
      <c r="Y28" s="4"/>
      <c r="Z28" s="4"/>
    </row>
    <row r="29" ht="14.25" customHeight="1" spans="1:26" x14ac:dyDescent="0.25">
      <c r="A29" s="16"/>
      <c r="B29" s="16"/>
      <c r="C29" s="16" t="str">
        <f ca="1">'Segment Analysis'!C11</f>
        <v>Segment 4 Revenue</v>
      </c>
      <c r="D29" s="16"/>
      <c r="E29" s="16"/>
      <c r="F29" s="16"/>
      <c r="G29" s="16"/>
      <c r="H29" s="901">
        <f ca="1">INDEX(Data,MATCH($C29,Line_Items,0),MATCH($H$6,Fiscal_Periods,0))</f>
      </c>
      <c r="I29" s="902">
        <v>-200</v>
      </c>
      <c r="J29" s="901">
        <f ca="1">INDEX(Data,MATCH($C29,Line_Items,0),MATCH(LEFT(J$24,4),Fiscal_Periods,0))</f>
      </c>
      <c r="K29" s="901">
        <f ca="1">INDEX(Data,MATCH($C29,Line_Items,0),MATCH(LEFT(K$24,4),Fiscal_Periods,0))</f>
      </c>
      <c r="L29" s="900" t="str">
        <f t="shared" ref="L29:N29" si="16" ca="1">IFERROR($H29/I29-1,"N/A")</f>
        <v>N/A</v>
      </c>
      <c r="M29" s="595" t="str">
        <f ca="1">IFERROR($H29/J29-1,"N/A")</f>
        <v>N/A</v>
      </c>
      <c r="N29" s="595" t="str">
        <f ca="1">IFERROR($H29/K29-1,"N/A")</f>
        <v>N/A</v>
      </c>
      <c r="O29" s="16"/>
      <c r="P29" s="16"/>
      <c r="Q29" s="4"/>
      <c r="R29" s="4"/>
      <c r="S29" s="4"/>
      <c r="T29" s="4"/>
      <c r="U29" s="4"/>
      <c r="V29" s="4"/>
      <c r="W29" s="4"/>
      <c r="X29" s="4"/>
      <c r="Y29" s="4"/>
      <c r="Z29" s="4"/>
    </row>
    <row r="30" ht="14.25" customHeight="1" spans="1:26" x14ac:dyDescent="0.25">
      <c r="A30" s="16"/>
      <c r="B30" s="16"/>
      <c r="C30" s="590" t="str">
        <f ca="1">'Segment Analysis'!C12</f>
        <v>Segment 5 Revenue</v>
      </c>
      <c r="D30" s="590"/>
      <c r="E30" s="590"/>
      <c r="F30" s="590"/>
      <c r="G30" s="590"/>
      <c r="H30" s="910">
        <f ca="1">INDEX(Data,MATCH($C30,Line_Items,0),MATCH($H$6,Fiscal_Periods,0))</f>
      </c>
      <c r="I30" s="911">
        <v>5000</v>
      </c>
      <c r="J30" s="910">
        <f ca="1">INDEX(Data,MATCH($C30,Line_Items,0),MATCH(LEFT(J$24,4),Fiscal_Periods,0))</f>
      </c>
      <c r="K30" s="910">
        <f ca="1">INDEX(Data,MATCH($C30,Line_Items,0),MATCH(LEFT(K$24,4),Fiscal_Periods,0))</f>
      </c>
      <c r="L30" s="912" t="str">
        <f t="shared" ref="L30:N30" si="17" ca="1">IFERROR($H30/I30-1,"N/A")</f>
        <v>N/A</v>
      </c>
      <c r="M30" s="591" t="str">
        <f ca="1">IFERROR($H30/J30-1,"N/A")</f>
        <v>N/A</v>
      </c>
      <c r="N30" s="591" t="str">
        <f ca="1">IFERROR($H30/K30-1,"N/A")</f>
        <v>N/A</v>
      </c>
      <c r="O30" s="16"/>
      <c r="P30" s="16"/>
      <c r="Q30" s="4"/>
      <c r="R30" s="4"/>
      <c r="S30" s="4"/>
      <c r="T30" s="4"/>
      <c r="U30" s="4"/>
      <c r="V30" s="4"/>
      <c r="W30" s="4"/>
      <c r="X30" s="4"/>
      <c r="Y30" s="4"/>
      <c r="Z30" s="4"/>
    </row>
    <row r="31" ht="14.25" customHeight="1" hidden="1" spans="1:26" x14ac:dyDescent="0.25" outlineLevel="1" collapsed="1">
      <c r="A31" s="16"/>
      <c r="B31" s="16"/>
      <c r="C31" s="590" t="str">
        <f ca="1">'Segment Analysis'!C13</f>
        <v>Segment 6 Revenue</v>
      </c>
      <c r="D31" s="590"/>
      <c r="E31" s="590"/>
      <c r="F31" s="590"/>
      <c r="G31" s="590"/>
      <c r="H31" s="913">
        <f ca="1">INDEX(Data,MATCH($C31,Line_Items,0),MATCH($H$6,Fiscal_Periods,0))</f>
      </c>
      <c r="I31" s="914">
        <f ca="1">INDEX(Data,MATCH($C31,Line_Items,0),MATCH($H$6,Fiscal_Periods,0))</f>
      </c>
      <c r="J31" s="913">
        <f ca="1">INDEX(Data,MATCH($C31,Line_Items,0),MATCH(LEFT(J$24,4),Fiscal_Periods,0))</f>
      </c>
      <c r="K31" s="913">
        <f ca="1">INDEX(Data,MATCH($C31,Line_Items,0),MATCH(LEFT(K$24,4),Fiscal_Periods,0))</f>
      </c>
      <c r="L31" s="912" t="str">
        <f t="shared" ref="L31:N31" si="18" ca="1">IFERROR($H31/I31-1,"N/A")</f>
        <v>N/A</v>
      </c>
      <c r="M31" s="591" t="str">
        <f ca="1">IFERROR($H31/J31-1,"N/A")</f>
        <v>N/A</v>
      </c>
      <c r="N31" s="591" t="str">
        <f ca="1">IFERROR($H31/K31-1,"N/A")</f>
        <v>N/A</v>
      </c>
      <c r="O31" s="16"/>
      <c r="P31" s="16"/>
      <c r="Q31" s="4"/>
      <c r="R31" s="4"/>
      <c r="S31" s="4"/>
      <c r="T31" s="4"/>
      <c r="U31" s="4"/>
      <c r="V31" s="4"/>
      <c r="W31" s="4"/>
      <c r="X31" s="4"/>
      <c r="Y31" s="4"/>
      <c r="Z31" s="4"/>
    </row>
    <row r="32" ht="14.25" customHeight="1" spans="1:26" x14ac:dyDescent="0.25">
      <c r="A32" s="16"/>
      <c r="B32" s="16"/>
      <c r="C32" s="16">
        <f ca="1">'Segment Analysis'!#REF!</f>
      </c>
      <c r="D32" s="16"/>
      <c r="E32" s="16"/>
      <c r="F32" s="16"/>
      <c r="G32" s="16"/>
      <c r="H32" s="898">
        <f ca="1">INDEX(Data,MATCH($C32,Line_Items,0),MATCH($H$6,Fiscal_Periods,0))</f>
      </c>
      <c r="I32" s="899">
        <v>820</v>
      </c>
      <c r="J32" s="898">
        <f ca="1">INDEX(Data,MATCH($C32,Line_Items,0),MATCH(LEFT(J$24,4),Fiscal_Periods,0))</f>
      </c>
      <c r="K32" s="898">
        <f ca="1">INDEX(Data,MATCH($C32,Line_Items,0),MATCH(LEFT(K$24,4),Fiscal_Periods,0))</f>
      </c>
      <c r="L32" s="900" t="str">
        <f t="shared" ref="L32:N32" si="19" ca="1">IFERROR($H32/I32-1,"N/A")</f>
        <v>N/A</v>
      </c>
      <c r="M32" s="595" t="str">
        <f ca="1">IFERROR($H32/J32-1,"N/A")</f>
        <v>N/A</v>
      </c>
      <c r="N32" s="595" t="str">
        <f ca="1">IFERROR($H32/K32-1,"N/A")</f>
        <v>N/A</v>
      </c>
      <c r="O32" s="16"/>
      <c r="P32" s="16"/>
      <c r="Q32" s="4"/>
      <c r="R32" s="4"/>
      <c r="S32" s="4"/>
      <c r="T32" s="4"/>
      <c r="U32" s="4"/>
      <c r="V32" s="4"/>
      <c r="W32" s="4"/>
      <c r="X32" s="4"/>
      <c r="Y32" s="4"/>
      <c r="Z32" s="4"/>
    </row>
    <row r="33" ht="14.25" customHeight="1" spans="1:26" x14ac:dyDescent="0.25">
      <c r="A33" s="16"/>
      <c r="B33" s="16"/>
      <c r="C33" s="16">
        <f ca="1">'Segment Analysis'!#REF!</f>
      </c>
      <c r="D33" s="16"/>
      <c r="E33" s="16"/>
      <c r="F33" s="16"/>
      <c r="G33" s="16"/>
      <c r="H33" s="901">
        <f ca="1">INDEX(Data,MATCH($C33,Line_Items,0),MATCH($H$6,Fiscal_Periods,0))</f>
      </c>
      <c r="I33" s="902">
        <v>1400</v>
      </c>
      <c r="J33" s="901">
        <f ca="1">INDEX(Data,MATCH($C33,Line_Items,0),MATCH(LEFT(J$24,4),Fiscal_Periods,0))</f>
      </c>
      <c r="K33" s="901">
        <f ca="1">INDEX(Data,MATCH($C33,Line_Items,0),MATCH(LEFT(K$24,4),Fiscal_Periods,0))</f>
      </c>
      <c r="L33" s="900" t="str">
        <f t="shared" ref="L33:N33" si="20" ca="1">IFERROR($H33/I33-1,"N/A")</f>
        <v>N/A</v>
      </c>
      <c r="M33" s="595" t="str">
        <f ca="1">IFERROR($H33/J33-1,"N/A")</f>
        <v>N/A</v>
      </c>
      <c r="N33" s="595" t="str">
        <f ca="1">IFERROR($H33/K33-1,"N/A")</f>
        <v>N/A</v>
      </c>
      <c r="O33" s="16"/>
      <c r="P33" s="16"/>
      <c r="Q33" s="4"/>
      <c r="R33" s="4"/>
      <c r="S33" s="4"/>
      <c r="T33" s="4"/>
      <c r="U33" s="4"/>
      <c r="V33" s="4"/>
      <c r="W33" s="4"/>
      <c r="X33" s="4"/>
      <c r="Y33" s="4"/>
      <c r="Z33" s="4"/>
    </row>
    <row r="34" ht="14.25" customHeight="1" spans="1:26" x14ac:dyDescent="0.25">
      <c r="A34" s="16"/>
      <c r="B34" s="16"/>
      <c r="C34" s="16">
        <f ca="1">'Segment Analysis'!#REF!</f>
      </c>
      <c r="D34" s="16"/>
      <c r="E34" s="16"/>
      <c r="F34" s="16"/>
      <c r="G34" s="16"/>
      <c r="H34" s="901">
        <f ca="1">INDEX(Data,MATCH($C34,Line_Items,0),MATCH($H$6,Fiscal_Periods,0))</f>
      </c>
      <c r="I34" s="902">
        <v>10</v>
      </c>
      <c r="J34" s="901">
        <f ca="1">INDEX(Data,MATCH($C34,Line_Items,0),MATCH(LEFT(J$24,4),Fiscal_Periods,0))</f>
      </c>
      <c r="K34" s="901">
        <f ca="1">INDEX(Data,MATCH($C34,Line_Items,0),MATCH(LEFT(K$24,4),Fiscal_Periods,0))</f>
      </c>
      <c r="L34" s="900" t="str">
        <f t="shared" ref="L34:N34" si="21" ca="1">IFERROR($H34/I34-1,"N/A")</f>
        <v>N/A</v>
      </c>
      <c r="M34" s="595" t="str">
        <f ca="1">IFERROR($H34/J34-1,"N/A")</f>
        <v>N/A</v>
      </c>
      <c r="N34" s="595" t="str">
        <f ca="1">IFERROR($H34/K34-1,"N/A")</f>
        <v>N/A</v>
      </c>
      <c r="O34" s="16"/>
      <c r="P34" s="16"/>
      <c r="Q34" s="4"/>
      <c r="R34" s="4"/>
      <c r="S34" s="4"/>
      <c r="T34" s="4"/>
      <c r="U34" s="4"/>
      <c r="V34" s="4"/>
      <c r="W34" s="4"/>
      <c r="X34" s="4"/>
      <c r="Y34" s="4"/>
      <c r="Z34" s="4"/>
    </row>
    <row r="35" ht="14.25" customHeight="1" spans="1:26" x14ac:dyDescent="0.25">
      <c r="A35" s="16"/>
      <c r="B35" s="16"/>
      <c r="C35" s="16">
        <f ca="1">'Segment Analysis'!#REF!</f>
      </c>
      <c r="D35" s="16"/>
      <c r="E35" s="16"/>
      <c r="F35" s="16"/>
      <c r="G35" s="16"/>
      <c r="H35" s="901">
        <f ca="1">INDEX(Data,MATCH($C35,Line_Items,0),MATCH($H$6,Fiscal_Periods,0))</f>
      </c>
      <c r="I35" s="902">
        <v>-23</v>
      </c>
      <c r="J35" s="901">
        <f ca="1">INDEX(Data,MATCH($C35,Line_Items,0),MATCH(LEFT(J$24,4),Fiscal_Periods,0))</f>
      </c>
      <c r="K35" s="901">
        <f ca="1">INDEX(Data,MATCH($C35,Line_Items,0),MATCH(LEFT(K$24,4),Fiscal_Periods,0))</f>
      </c>
      <c r="L35" s="900" t="str">
        <f t="shared" ref="L35:N35" si="22" ca="1">IFERROR($H35/I35-1,"N/A")</f>
        <v>N/A</v>
      </c>
      <c r="M35" s="595" t="str">
        <f ca="1">IFERROR($H35/J35-1,"N/A")</f>
        <v>N/A</v>
      </c>
      <c r="N35" s="595" t="str">
        <f ca="1">IFERROR($H35/K35-1,"N/A")</f>
        <v>N/A</v>
      </c>
      <c r="O35" s="16"/>
      <c r="P35" s="16"/>
      <c r="Q35" s="4"/>
      <c r="R35" s="4"/>
      <c r="S35" s="4"/>
      <c r="T35" s="4"/>
      <c r="U35" s="4"/>
      <c r="V35" s="4"/>
      <c r="W35" s="4"/>
      <c r="X35" s="4"/>
      <c r="Y35" s="4"/>
      <c r="Z35" s="4"/>
    </row>
    <row r="36" ht="14.25" customHeight="1" spans="1:26" x14ac:dyDescent="0.25">
      <c r="A36" s="16"/>
      <c r="B36" s="16"/>
      <c r="C36" s="16">
        <f ca="1">'Segment Analysis'!#REF!</f>
      </c>
      <c r="D36" s="16"/>
      <c r="E36" s="16"/>
      <c r="F36" s="16"/>
      <c r="G36" s="16"/>
      <c r="H36" s="901">
        <f ca="1">INDEX(Data,MATCH($C36,Line_Items,0),MATCH($H$6,Fiscal_Periods,0))</f>
      </c>
      <c r="I36" s="902">
        <v>650</v>
      </c>
      <c r="J36" s="901">
        <f ca="1">INDEX(Data,MATCH($C36,Line_Items,0),MATCH(LEFT(J$24,4),Fiscal_Periods,0))</f>
      </c>
      <c r="K36" s="901">
        <f ca="1">INDEX(Data,MATCH($C36,Line_Items,0),MATCH(LEFT(K$24,4),Fiscal_Periods,0))</f>
      </c>
      <c r="L36" s="900" t="str">
        <f t="shared" ref="L36:N36" si="23" ca="1">IFERROR($H36/I36-1,"N/A")</f>
        <v>N/A</v>
      </c>
      <c r="M36" s="595" t="str">
        <f ca="1">IFERROR($H36/J36-1,"N/A")</f>
        <v>N/A</v>
      </c>
      <c r="N36" s="595" t="str">
        <f ca="1">IFERROR($H36/K36-1,"N/A")</f>
        <v>N/A</v>
      </c>
      <c r="O36" s="16"/>
      <c r="P36" s="16"/>
      <c r="Q36" s="4"/>
      <c r="R36" s="4"/>
      <c r="S36" s="4"/>
      <c r="T36" s="4"/>
      <c r="U36" s="4"/>
      <c r="V36" s="4"/>
      <c r="W36" s="4"/>
      <c r="X36" s="4"/>
      <c r="Y36" s="4"/>
      <c r="Z36" s="4"/>
    </row>
    <row r="37" ht="14.25" customHeight="1" spans="1:26" x14ac:dyDescent="0.25">
      <c r="A37" s="16"/>
      <c r="B37" s="16"/>
      <c r="C37" s="16">
        <f ca="1">'Segment Analysis'!#REF!</f>
      </c>
      <c r="D37" s="16"/>
      <c r="E37" s="16"/>
      <c r="F37" s="16"/>
      <c r="G37" s="16"/>
      <c r="H37" s="901">
        <f ca="1">INDEX(Data,MATCH($C37,Line_Items,0),MATCH($H$6,Fiscal_Periods,0))</f>
      </c>
      <c r="I37" s="902">
        <v>300</v>
      </c>
      <c r="J37" s="901">
        <f ca="1">INDEX(Data,MATCH($C37,Line_Items,0),MATCH(LEFT(J$24,4),Fiscal_Periods,0))</f>
      </c>
      <c r="K37" s="901">
        <f ca="1">INDEX(Data,MATCH($C37,Line_Items,0),MATCH(LEFT(K$24,4),Fiscal_Periods,0))</f>
      </c>
      <c r="L37" s="900" t="str">
        <f t="shared" ref="L37:N37" si="24" ca="1">IFERROR($H37/I37-1,"N/A")</f>
        <v>N/A</v>
      </c>
      <c r="M37" s="595" t="str">
        <f ca="1">IFERROR($H37/J37-1,"N/A")</f>
        <v>N/A</v>
      </c>
      <c r="N37" s="595" t="str">
        <f ca="1">IFERROR($H37/K37-1,"N/A")</f>
        <v>N/A</v>
      </c>
      <c r="O37" s="16"/>
      <c r="P37" s="16"/>
      <c r="Q37" s="4"/>
      <c r="R37" s="4"/>
      <c r="S37" s="4"/>
      <c r="T37" s="4"/>
      <c r="U37" s="4"/>
      <c r="V37" s="4"/>
      <c r="W37" s="4"/>
      <c r="X37" s="4"/>
      <c r="Y37" s="4"/>
      <c r="Z37" s="4"/>
    </row>
    <row r="38" ht="14.25" customHeight="1" spans="1:26" x14ac:dyDescent="0.25">
      <c r="A38" s="16"/>
      <c r="B38" s="16"/>
      <c r="C38" s="16"/>
      <c r="D38" s="16"/>
      <c r="E38" s="16"/>
      <c r="F38" s="16"/>
      <c r="G38" s="16"/>
      <c r="H38" s="84"/>
      <c r="I38" s="84"/>
      <c r="J38" s="84"/>
      <c r="K38" s="84"/>
      <c r="L38" s="84"/>
      <c r="M38" s="84"/>
      <c r="N38" s="84"/>
      <c r="O38" s="16"/>
      <c r="P38" s="16"/>
      <c r="Q38" s="4"/>
      <c r="R38" s="4"/>
      <c r="S38" s="4"/>
      <c r="T38" s="4"/>
      <c r="U38" s="4"/>
      <c r="V38" s="4"/>
      <c r="W38" s="4"/>
      <c r="X38" s="4"/>
      <c r="Y38" s="4"/>
      <c r="Z38" s="4"/>
    </row>
    <row r="39" ht="14.25" customHeight="1" spans="1:26" x14ac:dyDescent="0.25">
      <c r="A39" s="16"/>
      <c r="B39" s="16"/>
      <c r="C39" s="16"/>
      <c r="D39" s="16"/>
      <c r="E39" s="16"/>
      <c r="F39" s="16"/>
      <c r="G39" s="16"/>
      <c r="H39" s="84"/>
      <c r="I39" s="84"/>
      <c r="J39" s="84"/>
      <c r="K39" s="84"/>
      <c r="L39" s="84"/>
      <c r="M39" s="84"/>
      <c r="N39" s="84"/>
      <c r="O39" s="16"/>
      <c r="P39" s="16"/>
      <c r="Q39" s="4"/>
      <c r="R39" s="4"/>
      <c r="S39" s="4"/>
      <c r="T39" s="4"/>
      <c r="U39" s="4"/>
      <c r="V39" s="4"/>
      <c r="W39" s="4"/>
      <c r="X39" s="4"/>
      <c r="Y39" s="4"/>
      <c r="Z39" s="4"/>
    </row>
    <row r="40" ht="14.25" customHeight="1" spans="1:26" x14ac:dyDescent="0.25">
      <c r="A40" s="16"/>
      <c r="B40" s="264" t="s">
        <v>1</v>
      </c>
      <c r="C40" s="110" t="str">
        <f ca="1">Ticker&amp;" "&amp;H4&amp;RIGHT(H5,2)&amp;" Cash Flow Expectations"</f>
        <v>LOW 4Q26 Cash Flow Expectations</v>
      </c>
      <c r="D40" s="110"/>
      <c r="E40" s="110"/>
      <c r="F40" s="110"/>
      <c r="G40" s="110"/>
      <c r="H40" s="111" t="str">
        <f t="shared" ref="H40:N40" si="25" ca="1">H10</f>
        <v>OFe</v>
      </c>
      <c r="I40" s="111" t="str">
        <f ca="1">I10</f>
        <v>Consensus</v>
      </c>
      <c r="J40" s="111" t="str">
        <f ca="1">J10</f>
        <v>4Q25a</v>
      </c>
      <c r="K40" s="111" t="str">
        <f ca="1">K10</f>
        <v>2Q26a</v>
      </c>
      <c r="L40" s="897" t="str">
        <f ca="1">L10</f>
        <v>v. Consensus</v>
      </c>
      <c r="M40" s="111" t="str">
        <f ca="1">M10</f>
        <v>v. 4Q25a</v>
      </c>
      <c r="N40" s="111" t="str">
        <f ca="1">N10</f>
        <v>v. 2Q26a</v>
      </c>
      <c r="O40" s="16"/>
      <c r="P40" s="16"/>
      <c r="Q40" s="4"/>
      <c r="R40" s="4"/>
      <c r="S40" s="4"/>
      <c r="T40" s="4"/>
      <c r="U40" s="4"/>
      <c r="V40" s="4"/>
      <c r="W40" s="4"/>
      <c r="X40" s="4"/>
      <c r="Y40" s="4"/>
      <c r="Z40" s="4"/>
    </row>
    <row r="41" ht="4.5" customHeight="1" spans="1:26" x14ac:dyDescent="0.25">
      <c r="A41" s="16"/>
      <c r="B41" s="16"/>
      <c r="C41" s="16"/>
      <c r="D41" s="16"/>
      <c r="E41" s="16"/>
      <c r="F41" s="16"/>
      <c r="G41" s="16"/>
      <c r="H41" s="84"/>
      <c r="I41" s="84"/>
      <c r="J41" s="84"/>
      <c r="K41" s="84"/>
      <c r="L41" s="84"/>
      <c r="M41" s="84"/>
      <c r="N41" s="84"/>
      <c r="O41" s="16"/>
      <c r="P41" s="16"/>
      <c r="Q41" s="4"/>
      <c r="R41" s="4"/>
      <c r="S41" s="4"/>
      <c r="T41" s="4"/>
      <c r="U41" s="4"/>
      <c r="V41" s="4"/>
      <c r="W41" s="4"/>
      <c r="X41" s="4"/>
      <c r="Y41" s="4"/>
      <c r="Z41" s="4"/>
    </row>
    <row r="42" ht="14.25" customHeight="1" spans="1:26" x14ac:dyDescent="0.25">
      <c r="A42" s="16"/>
      <c r="B42" s="16"/>
      <c r="C42" s="16" t="str">
        <f ca="1">Model!C80</f>
        <v>Net Cash From Operating Activities</v>
      </c>
      <c r="D42" s="16"/>
      <c r="E42" s="16"/>
      <c r="F42" s="16"/>
      <c r="G42" s="16"/>
      <c r="H42" s="898">
        <f ca="1">INDEX(Data,MATCH($C42,Line_Items,0),MATCH($H$6,Fiscal_Periods,0))</f>
      </c>
      <c r="I42" s="899">
        <v>50</v>
      </c>
      <c r="J42" s="898">
        <f t="array" ref="J42" ca="1">INDEX(Data,MATCH($C42,Line_Items,0),MATCH(LEFT(J$40,4),Fiscal_Periods,0))</f>
        <v>0</v>
      </c>
      <c r="K42" s="898">
        <f t="array" ref="K42" ca="1">INDEX(Data,MATCH($C42,Line_Items,0),MATCH(LEFT(K$40,4),Fiscal_Periods,0))</f>
        <v>0</v>
      </c>
      <c r="L42" s="900" t="str">
        <f t="shared" ref="L42:N42" si="26" ca="1">IFERROR($H42/I42-1,"N/A")</f>
        <v>N/A</v>
      </c>
      <c r="M42" s="595" t="str">
        <f ca="1">IFERROR($H42/J42-1,"N/A")</f>
        <v>N/A</v>
      </c>
      <c r="N42" s="595" t="str">
        <f ca="1">IFERROR($H42/K42-1,"N/A")</f>
        <v>N/A</v>
      </c>
      <c r="O42" s="16"/>
      <c r="P42" s="16"/>
      <c r="Q42" s="4"/>
      <c r="R42" s="4"/>
      <c r="S42" s="4"/>
      <c r="T42" s="4"/>
      <c r="U42" s="4"/>
      <c r="V42" s="4"/>
      <c r="W42" s="4"/>
      <c r="X42" s="4"/>
      <c r="Y42" s="4"/>
      <c r="Z42" s="4"/>
    </row>
    <row r="43" ht="14.25" customHeight="1" spans="1:26" x14ac:dyDescent="0.25">
      <c r="A43" s="16"/>
      <c r="B43" s="16"/>
      <c r="C43" s="16" t="str">
        <f ca="1">Model!C82</f>
        <v>Capital Expenditures</v>
      </c>
      <c r="D43" s="16"/>
      <c r="E43" s="16"/>
      <c r="F43" s="16"/>
      <c r="G43" s="16"/>
      <c r="H43" s="901">
        <f t="array" ref="H43" ca="1">INDEX(Data,MATCH($C43,Line_Items,0),MATCH($H$6,Fiscal_Periods,0))</f>
        <v>-370.1257</v>
      </c>
      <c r="I43" s="902">
        <v>-668</v>
      </c>
      <c r="J43" s="901">
        <f t="array" ref="J43" ca="1">INDEX(Data,MATCH($C43,Line_Items,0),MATCH(LEFT(J$40,4),Fiscal_Periods,0))</f>
        <v>0</v>
      </c>
      <c r="K43" s="901">
        <f t="array" ref="K43" ca="1">INDEX(Data,MATCH($C43,Line_Items,0),MATCH(LEFT(K$40,4),Fiscal_Periods,0))</f>
        <v>0</v>
      </c>
      <c r="L43" s="900">
        <f t="shared" ref="L43:N43" si="27" ca="1">IFERROR($H43/I43-1,"N/A")</f>
        <v>-0.4459196107784431</v>
      </c>
      <c r="M43" s="595" t="str">
        <f ca="1">IFERROR($H43/J43-1,"N/A")</f>
        <v>N/A</v>
      </c>
      <c r="N43" s="595" t="str">
        <f ca="1">IFERROR($H43/K43-1,"N/A")</f>
        <v>N/A</v>
      </c>
      <c r="O43" s="16"/>
      <c r="P43" s="16"/>
      <c r="Q43" s="4"/>
      <c r="R43" s="4"/>
      <c r="S43" s="4"/>
      <c r="T43" s="4"/>
      <c r="U43" s="4"/>
      <c r="V43" s="4"/>
      <c r="W43" s="4"/>
      <c r="X43" s="4"/>
      <c r="Y43" s="4"/>
      <c r="Z43" s="4"/>
    </row>
    <row r="44" ht="14.25" customHeight="1" spans="1:26" x14ac:dyDescent="0.25">
      <c r="A44" s="16"/>
      <c r="B44" s="16"/>
      <c r="C44" s="16" t="str">
        <f ca="1">Model!C112</f>
        <v>Free Cash Flow (FCF)</v>
      </c>
      <c r="D44" s="16"/>
      <c r="E44" s="16"/>
      <c r="F44" s="16"/>
      <c r="G44" s="16"/>
      <c r="H44" s="901">
        <f ca="1">INDEX(Data,MATCH($C44,Line_Items,0),MATCH($H$6,Fiscal_Periods,0))</f>
      </c>
      <c r="I44" s="902">
        <v>1412.6</v>
      </c>
      <c r="J44" s="901">
        <f t="array" ref="J44" ca="1">INDEX(Data,MATCH($C44,Line_Items,0),MATCH(LEFT(J$40,4),Fiscal_Periods,0))</f>
        <v>-1545</v>
      </c>
      <c r="K44" s="901">
        <f t="array" ref="K44" ca="1">INDEX(Data,MATCH($C44,Line_Items,0),MATCH(LEFT(K$40,4),Fiscal_Periods,0))</f>
        <v>2149</v>
      </c>
      <c r="L44" s="900" t="str">
        <f t="shared" ref="L44:N44" si="28" ca="1">IFERROR($H44/I44-1,"N/A")</f>
        <v>N/A</v>
      </c>
      <c r="M44" s="595" t="str">
        <f ca="1">IFERROR($H44/J44-1,"N/A")</f>
        <v>N/A</v>
      </c>
      <c r="N44" s="595" t="str">
        <f ca="1">IFERROR($H44/K44-1,"N/A")</f>
        <v>N/A</v>
      </c>
      <c r="O44" s="16"/>
      <c r="P44" s="16"/>
      <c r="Q44" s="4"/>
      <c r="R44" s="4"/>
      <c r="S44" s="4"/>
      <c r="T44" s="4"/>
      <c r="U44" s="4"/>
      <c r="V44" s="4"/>
      <c r="W44" s="4"/>
      <c r="X44" s="4"/>
      <c r="Y44" s="4"/>
      <c r="Z44" s="4"/>
    </row>
    <row r="45" ht="14.25" customHeight="1" spans="1:26" x14ac:dyDescent="0.25">
      <c r="A45" s="4"/>
      <c r="B45" s="4"/>
      <c r="C45" s="4"/>
      <c r="D45" s="4"/>
      <c r="E45" s="4"/>
      <c r="F45" s="4"/>
      <c r="G45" s="4"/>
      <c r="H45" s="4"/>
      <c r="I45" s="4"/>
      <c r="J45" s="4"/>
      <c r="K45" s="4"/>
      <c r="L45" s="4"/>
      <c r="M45" s="4"/>
      <c r="N45" s="4"/>
      <c r="O45" s="4"/>
      <c r="P45" s="4"/>
      <c r="Q45" s="4"/>
      <c r="R45" s="4"/>
      <c r="S45" s="4"/>
      <c r="T45" s="4"/>
      <c r="U45" s="4"/>
      <c r="V45" s="4"/>
      <c r="W45" s="4"/>
      <c r="X45" s="4"/>
      <c r="Y45" s="4"/>
      <c r="Z45" s="4"/>
    </row>
    <row r="46" ht="14.25" customHeight="1" spans="1:26" x14ac:dyDescent="0.25">
      <c r="A46" s="4"/>
      <c r="B46" s="4"/>
      <c r="C46" s="4"/>
      <c r="D46" s="4"/>
      <c r="E46" s="4"/>
      <c r="F46" s="4"/>
      <c r="G46" s="4"/>
      <c r="H46" s="4"/>
      <c r="I46" s="4"/>
      <c r="J46" s="4"/>
      <c r="K46" s="4"/>
      <c r="L46" s="4"/>
      <c r="M46" s="4"/>
      <c r="N46" s="4"/>
      <c r="O46" s="4"/>
      <c r="P46" s="4"/>
      <c r="Q46" s="4"/>
      <c r="R46" s="4"/>
      <c r="S46" s="4"/>
      <c r="T46" s="4"/>
      <c r="U46" s="4"/>
      <c r="V46" s="4"/>
      <c r="W46" s="4"/>
      <c r="X46" s="4"/>
      <c r="Y46" s="4"/>
      <c r="Z46" s="4"/>
    </row>
    <row r="47" ht="14.25" customHeight="1" spans="1:26" x14ac:dyDescent="0.25">
      <c r="A47" s="4"/>
      <c r="B47" s="4"/>
      <c r="C47" s="4"/>
      <c r="D47" s="4"/>
      <c r="E47" s="4"/>
      <c r="F47" s="4"/>
      <c r="G47" s="4"/>
      <c r="H47" s="4"/>
      <c r="I47" s="4"/>
      <c r="J47" s="4"/>
      <c r="K47" s="4"/>
      <c r="L47" s="4"/>
      <c r="M47" s="4"/>
      <c r="N47" s="4"/>
      <c r="O47" s="4"/>
      <c r="P47" s="4"/>
      <c r="Q47" s="4"/>
      <c r="R47" s="4"/>
      <c r="S47" s="4"/>
      <c r="T47" s="4"/>
      <c r="U47" s="4"/>
      <c r="V47" s="4"/>
      <c r="W47" s="4"/>
      <c r="X47" s="4"/>
      <c r="Y47" s="4"/>
      <c r="Z47" s="4"/>
    </row>
    <row r="48" ht="14.25" customHeight="1" spans="1:26" x14ac:dyDescent="0.25">
      <c r="A48" s="4"/>
      <c r="B48" s="4"/>
      <c r="C48" s="4"/>
      <c r="D48" s="4"/>
      <c r="E48" s="4"/>
      <c r="F48" s="4"/>
      <c r="G48" s="4"/>
      <c r="H48" s="4"/>
      <c r="I48" s="4"/>
      <c r="J48" s="4"/>
      <c r="K48" s="4"/>
      <c r="L48" s="4"/>
      <c r="M48" s="4"/>
      <c r="N48" s="4"/>
      <c r="O48" s="4"/>
      <c r="P48" s="4"/>
      <c r="Q48" s="4"/>
      <c r="R48" s="4"/>
      <c r="S48" s="4"/>
      <c r="T48" s="4"/>
      <c r="U48" s="4"/>
      <c r="V48" s="4"/>
      <c r="W48" s="4"/>
      <c r="X48" s="4"/>
      <c r="Y48" s="4"/>
      <c r="Z48" s="4"/>
    </row>
    <row r="49" ht="14.25" customHeight="1" spans="1:26" x14ac:dyDescent="0.25">
      <c r="A49" s="4"/>
      <c r="B49" s="4"/>
      <c r="C49" s="4"/>
      <c r="D49" s="4"/>
      <c r="E49" s="4"/>
      <c r="F49" s="4"/>
      <c r="G49" s="4"/>
      <c r="H49" s="4"/>
      <c r="I49" s="4"/>
      <c r="J49" s="4"/>
      <c r="K49" s="4"/>
      <c r="L49" s="4"/>
      <c r="M49" s="4"/>
      <c r="N49" s="4"/>
      <c r="O49" s="4"/>
      <c r="P49" s="4"/>
      <c r="Q49" s="4"/>
      <c r="R49" s="4"/>
      <c r="S49" s="4"/>
      <c r="T49" s="4"/>
      <c r="U49" s="4"/>
      <c r="V49" s="4"/>
      <c r="W49" s="4"/>
      <c r="X49" s="4"/>
      <c r="Y49" s="4"/>
      <c r="Z49" s="4"/>
    </row>
    <row r="50" ht="14.25" customHeight="1" spans="1:26" x14ac:dyDescent="0.25">
      <c r="A50" s="4"/>
      <c r="B50" s="4"/>
      <c r="C50" s="4"/>
      <c r="D50" s="4"/>
      <c r="E50" s="4"/>
      <c r="F50" s="4"/>
      <c r="G50" s="4"/>
      <c r="H50" s="4"/>
      <c r="I50" s="4"/>
      <c r="J50" s="4"/>
      <c r="K50" s="4"/>
      <c r="L50" s="4"/>
      <c r="M50" s="4"/>
      <c r="N50" s="4"/>
      <c r="O50" s="4"/>
      <c r="P50" s="4"/>
      <c r="Q50" s="4"/>
      <c r="R50" s="4"/>
      <c r="S50" s="4"/>
      <c r="T50" s="4"/>
      <c r="U50" s="4"/>
      <c r="V50" s="4"/>
      <c r="W50" s="4"/>
      <c r="X50" s="4"/>
      <c r="Y50" s="4"/>
      <c r="Z50" s="4"/>
    </row>
    <row r="51" ht="14.25" customHeight="1" spans="1:26" x14ac:dyDescent="0.25">
      <c r="A51" s="4"/>
      <c r="B51" s="4"/>
      <c r="C51" s="4"/>
      <c r="D51" s="4"/>
      <c r="E51" s="4"/>
      <c r="F51" s="4"/>
      <c r="G51" s="4"/>
      <c r="H51" s="4"/>
      <c r="I51" s="4"/>
      <c r="J51" s="4"/>
      <c r="K51" s="4"/>
      <c r="L51" s="4"/>
      <c r="M51" s="4"/>
      <c r="N51" s="4"/>
      <c r="O51" s="4"/>
      <c r="P51" s="4"/>
      <c r="Q51" s="4"/>
      <c r="R51" s="4"/>
      <c r="S51" s="4"/>
      <c r="T51" s="4"/>
      <c r="U51" s="4"/>
      <c r="V51" s="4"/>
      <c r="W51" s="4"/>
      <c r="X51" s="4"/>
      <c r="Y51" s="4"/>
      <c r="Z51" s="4"/>
    </row>
    <row r="52" ht="14.25" customHeight="1" spans="1:26" x14ac:dyDescent="0.25">
      <c r="A52" s="4"/>
      <c r="B52" s="4"/>
      <c r="C52" s="4"/>
      <c r="D52" s="4"/>
      <c r="E52" s="4"/>
      <c r="F52" s="4"/>
      <c r="G52" s="4"/>
      <c r="H52" s="4"/>
      <c r="I52" s="4"/>
      <c r="J52" s="4"/>
      <c r="K52" s="4"/>
      <c r="L52" s="4"/>
      <c r="M52" s="4"/>
      <c r="N52" s="4"/>
      <c r="O52" s="4"/>
      <c r="P52" s="4"/>
      <c r="Q52" s="4"/>
      <c r="R52" s="4"/>
      <c r="S52" s="4"/>
      <c r="T52" s="4"/>
      <c r="U52" s="4"/>
      <c r="V52" s="4"/>
      <c r="W52" s="4"/>
      <c r="X52" s="4"/>
      <c r="Y52" s="4"/>
      <c r="Z52" s="4"/>
    </row>
    <row r="53" ht="14.25" customHeight="1" spans="1:26" x14ac:dyDescent="0.25">
      <c r="A53" s="4"/>
      <c r="B53" s="4"/>
      <c r="C53" s="4"/>
      <c r="D53" s="4"/>
      <c r="E53" s="4"/>
      <c r="F53" s="4"/>
      <c r="G53" s="4"/>
      <c r="H53" s="4"/>
      <c r="I53" s="4"/>
      <c r="J53" s="4"/>
      <c r="K53" s="4"/>
      <c r="L53" s="4"/>
      <c r="M53" s="4"/>
      <c r="N53" s="4"/>
      <c r="O53" s="4"/>
      <c r="P53" s="4"/>
      <c r="Q53" s="4"/>
      <c r="R53" s="4"/>
      <c r="S53" s="4"/>
      <c r="T53" s="4"/>
      <c r="U53" s="4"/>
      <c r="V53" s="4"/>
      <c r="W53" s="4"/>
      <c r="X53" s="4"/>
      <c r="Y53" s="4"/>
      <c r="Z53" s="4"/>
    </row>
    <row r="54" ht="14.25" customHeight="1" spans="1:26" x14ac:dyDescent="0.25">
      <c r="A54" s="4"/>
      <c r="B54" s="4"/>
      <c r="C54" s="4"/>
      <c r="D54" s="4"/>
      <c r="E54" s="4"/>
      <c r="F54" s="4"/>
      <c r="G54" s="4"/>
      <c r="H54" s="4"/>
      <c r="I54" s="4"/>
      <c r="J54" s="4"/>
      <c r="K54" s="4"/>
      <c r="L54" s="4"/>
      <c r="M54" s="4"/>
      <c r="N54" s="4"/>
      <c r="O54" s="4"/>
      <c r="P54" s="4"/>
      <c r="Q54" s="4"/>
      <c r="R54" s="4"/>
      <c r="S54" s="4"/>
      <c r="T54" s="4"/>
      <c r="U54" s="4"/>
      <c r="V54" s="4"/>
      <c r="W54" s="4"/>
      <c r="X54" s="4"/>
      <c r="Y54" s="4"/>
      <c r="Z54" s="4"/>
    </row>
    <row r="55" ht="14.25" customHeight="1" spans="1:26" x14ac:dyDescent="0.25">
      <c r="A55" s="4"/>
      <c r="B55" s="4"/>
      <c r="C55" s="4"/>
      <c r="D55" s="4"/>
      <c r="E55" s="4"/>
      <c r="F55" s="4"/>
      <c r="G55" s="4"/>
      <c r="H55" s="4"/>
      <c r="I55" s="4"/>
      <c r="J55" s="4"/>
      <c r="K55" s="4"/>
      <c r="L55" s="4"/>
      <c r="M55" s="4"/>
      <c r="N55" s="4"/>
      <c r="O55" s="4"/>
      <c r="P55" s="4"/>
      <c r="Q55" s="4"/>
      <c r="R55" s="4"/>
      <c r="S55" s="4"/>
      <c r="T55" s="4"/>
      <c r="U55" s="4"/>
      <c r="V55" s="4"/>
      <c r="W55" s="4"/>
      <c r="X55" s="4"/>
      <c r="Y55" s="4"/>
      <c r="Z55" s="4"/>
    </row>
    <row r="56" ht="14.25" customHeight="1" spans="1:26" x14ac:dyDescent="0.25">
      <c r="A56" s="4"/>
      <c r="B56" s="4"/>
      <c r="C56" s="4"/>
      <c r="D56" s="4"/>
      <c r="E56" s="4"/>
      <c r="F56" s="4"/>
      <c r="G56" s="4"/>
      <c r="H56" s="4"/>
      <c r="I56" s="4"/>
      <c r="J56" s="4"/>
      <c r="K56" s="4"/>
      <c r="L56" s="4"/>
      <c r="M56" s="4"/>
      <c r="N56" s="4"/>
      <c r="O56" s="4"/>
      <c r="P56" s="4"/>
      <c r="Q56" s="4"/>
      <c r="R56" s="4"/>
      <c r="S56" s="4"/>
      <c r="T56" s="4"/>
      <c r="U56" s="4"/>
      <c r="V56" s="4"/>
      <c r="W56" s="4"/>
      <c r="X56" s="4"/>
      <c r="Y56" s="4"/>
      <c r="Z56" s="4"/>
    </row>
    <row r="57" ht="14.25" customHeight="1" spans="1:26" x14ac:dyDescent="0.25">
      <c r="A57" s="4"/>
      <c r="B57" s="4"/>
      <c r="C57" s="4"/>
      <c r="D57" s="4"/>
      <c r="E57" s="4"/>
      <c r="F57" s="4"/>
      <c r="G57" s="4"/>
      <c r="H57" s="4"/>
      <c r="I57" s="4"/>
      <c r="J57" s="4"/>
      <c r="K57" s="4"/>
      <c r="L57" s="4"/>
      <c r="M57" s="4"/>
      <c r="N57" s="4"/>
      <c r="O57" s="4"/>
      <c r="P57" s="4"/>
      <c r="Q57" s="4"/>
      <c r="R57" s="4"/>
      <c r="S57" s="4"/>
      <c r="T57" s="4"/>
      <c r="U57" s="4"/>
      <c r="V57" s="4"/>
      <c r="W57" s="4"/>
      <c r="X57" s="4"/>
      <c r="Y57" s="4"/>
      <c r="Z57" s="4"/>
    </row>
    <row r="58" ht="14.25" customHeight="1" spans="1:26" x14ac:dyDescent="0.25">
      <c r="A58" s="4"/>
      <c r="B58" s="4"/>
      <c r="C58" s="4"/>
      <c r="D58" s="4"/>
      <c r="E58" s="4"/>
      <c r="F58" s="4"/>
      <c r="G58" s="4"/>
      <c r="H58" s="4"/>
      <c r="I58" s="4"/>
      <c r="J58" s="4"/>
      <c r="K58" s="4"/>
      <c r="L58" s="4"/>
      <c r="M58" s="4"/>
      <c r="N58" s="4"/>
      <c r="O58" s="4"/>
      <c r="P58" s="4"/>
      <c r="Q58" s="4"/>
      <c r="R58" s="4"/>
      <c r="S58" s="4"/>
      <c r="T58" s="4"/>
      <c r="U58" s="4"/>
      <c r="V58" s="4"/>
      <c r="W58" s="4"/>
      <c r="X58" s="4"/>
      <c r="Y58" s="4"/>
      <c r="Z58" s="4"/>
    </row>
    <row r="59" ht="14.25" customHeight="1" spans="1:26" x14ac:dyDescent="0.25">
      <c r="A59" s="4"/>
      <c r="B59" s="4"/>
      <c r="C59" s="4"/>
      <c r="D59" s="4"/>
      <c r="E59" s="4"/>
      <c r="F59" s="4"/>
      <c r="G59" s="4"/>
      <c r="H59" s="4"/>
      <c r="I59" s="4"/>
      <c r="J59" s="4"/>
      <c r="K59" s="4"/>
      <c r="L59" s="4"/>
      <c r="M59" s="4"/>
      <c r="N59" s="4"/>
      <c r="O59" s="4"/>
      <c r="P59" s="4"/>
      <c r="Q59" s="4"/>
      <c r="R59" s="4"/>
      <c r="S59" s="4"/>
      <c r="T59" s="4"/>
      <c r="U59" s="4"/>
      <c r="V59" s="4"/>
      <c r="W59" s="4"/>
      <c r="X59" s="4"/>
      <c r="Y59" s="4"/>
      <c r="Z59" s="4"/>
    </row>
    <row r="60" ht="14.25" customHeight="1" spans="1:26" x14ac:dyDescent="0.25">
      <c r="A60" s="4"/>
      <c r="B60" s="4"/>
      <c r="C60" s="4"/>
      <c r="D60" s="4"/>
      <c r="E60" s="4"/>
      <c r="F60" s="4"/>
      <c r="G60" s="4"/>
      <c r="H60" s="4"/>
      <c r="I60" s="4"/>
      <c r="J60" s="4"/>
      <c r="K60" s="4"/>
      <c r="L60" s="4"/>
      <c r="M60" s="4"/>
      <c r="N60" s="4"/>
      <c r="O60" s="4"/>
      <c r="P60" s="4"/>
      <c r="Q60" s="4"/>
      <c r="R60" s="4"/>
      <c r="S60" s="4"/>
      <c r="T60" s="4"/>
      <c r="U60" s="4"/>
      <c r="V60" s="4"/>
      <c r="W60" s="4"/>
      <c r="X60" s="4"/>
      <c r="Y60" s="4"/>
      <c r="Z60" s="4"/>
    </row>
    <row r="61" ht="14.25" customHeight="1" spans="1:26" x14ac:dyDescent="0.25">
      <c r="A61" s="4"/>
      <c r="B61" s="4"/>
      <c r="C61" s="4"/>
      <c r="D61" s="4"/>
      <c r="E61" s="4"/>
      <c r="F61" s="4"/>
      <c r="G61" s="4"/>
      <c r="H61" s="4"/>
      <c r="I61" s="4"/>
      <c r="J61" s="4"/>
      <c r="K61" s="4"/>
      <c r="L61" s="4"/>
      <c r="M61" s="4"/>
      <c r="N61" s="4"/>
      <c r="O61" s="4"/>
      <c r="P61" s="4"/>
      <c r="Q61" s="4"/>
      <c r="R61" s="4"/>
      <c r="S61" s="4"/>
      <c r="T61" s="4"/>
      <c r="U61" s="4"/>
      <c r="V61" s="4"/>
      <c r="W61" s="4"/>
      <c r="X61" s="4"/>
      <c r="Y61" s="4"/>
      <c r="Z61" s="4"/>
    </row>
    <row r="62" ht="14.25" customHeight="1" spans="1:26" x14ac:dyDescent="0.25">
      <c r="A62" s="4"/>
      <c r="B62" s="4"/>
      <c r="C62" s="4"/>
      <c r="D62" s="4"/>
      <c r="E62" s="4"/>
      <c r="F62" s="4"/>
      <c r="G62" s="4"/>
      <c r="H62" s="4"/>
      <c r="I62" s="4"/>
      <c r="J62" s="4"/>
      <c r="K62" s="4"/>
      <c r="L62" s="4"/>
      <c r="M62" s="4"/>
      <c r="N62" s="4"/>
      <c r="O62" s="4"/>
      <c r="P62" s="4"/>
      <c r="Q62" s="4"/>
      <c r="R62" s="4"/>
      <c r="S62" s="4"/>
      <c r="T62" s="4"/>
      <c r="U62" s="4"/>
      <c r="V62" s="4"/>
      <c r="W62" s="4"/>
      <c r="X62" s="4"/>
      <c r="Y62" s="4"/>
      <c r="Z62" s="4"/>
    </row>
    <row r="63" ht="14.25" customHeight="1" spans="1:26" x14ac:dyDescent="0.25">
      <c r="A63" s="4"/>
      <c r="B63" s="4"/>
      <c r="C63" s="4"/>
      <c r="D63" s="4"/>
      <c r="E63" s="4"/>
      <c r="F63" s="4"/>
      <c r="G63" s="4"/>
      <c r="H63" s="4"/>
      <c r="I63" s="4"/>
      <c r="J63" s="4"/>
      <c r="K63" s="4"/>
      <c r="L63" s="4"/>
      <c r="M63" s="4"/>
      <c r="N63" s="4"/>
      <c r="O63" s="4"/>
      <c r="P63" s="4"/>
      <c r="Q63" s="4"/>
      <c r="R63" s="4"/>
      <c r="S63" s="4"/>
      <c r="T63" s="4"/>
      <c r="U63" s="4"/>
      <c r="V63" s="4"/>
      <c r="W63" s="4"/>
      <c r="X63" s="4"/>
      <c r="Y63" s="4"/>
      <c r="Z63" s="4"/>
    </row>
    <row r="64" ht="14.25" customHeight="1" spans="1:26" x14ac:dyDescent="0.25">
      <c r="A64" s="4"/>
      <c r="B64" s="4"/>
      <c r="C64" s="4"/>
      <c r="D64" s="4"/>
      <c r="E64" s="4"/>
      <c r="F64" s="4"/>
      <c r="G64" s="4"/>
      <c r="H64" s="4"/>
      <c r="I64" s="4"/>
      <c r="J64" s="4"/>
      <c r="K64" s="4"/>
      <c r="L64" s="4"/>
      <c r="M64" s="4"/>
      <c r="N64" s="4"/>
      <c r="O64" s="4"/>
      <c r="P64" s="4"/>
      <c r="Q64" s="4"/>
      <c r="R64" s="4"/>
      <c r="S64" s="4"/>
      <c r="T64" s="4"/>
      <c r="U64" s="4"/>
      <c r="V64" s="4"/>
      <c r="W64" s="4"/>
      <c r="X64" s="4"/>
      <c r="Y64" s="4"/>
      <c r="Z64" s="4"/>
    </row>
    <row r="65" ht="14.25" customHeight="1" spans="1:26" x14ac:dyDescent="0.25">
      <c r="A65" s="4"/>
      <c r="B65" s="4"/>
      <c r="C65" s="4"/>
      <c r="D65" s="4"/>
      <c r="E65" s="4"/>
      <c r="F65" s="4"/>
      <c r="G65" s="4"/>
      <c r="H65" s="4"/>
      <c r="I65" s="4"/>
      <c r="J65" s="4"/>
      <c r="K65" s="4"/>
      <c r="L65" s="4"/>
      <c r="M65" s="4"/>
      <c r="N65" s="4"/>
      <c r="O65" s="4"/>
      <c r="P65" s="4"/>
      <c r="Q65" s="4"/>
      <c r="R65" s="4"/>
      <c r="S65" s="4"/>
      <c r="T65" s="4"/>
      <c r="U65" s="4"/>
      <c r="V65" s="4"/>
      <c r="W65" s="4"/>
      <c r="X65" s="4"/>
      <c r="Y65" s="4"/>
      <c r="Z65" s="4"/>
    </row>
    <row r="66" ht="14.25" customHeight="1" spans="1:26" x14ac:dyDescent="0.25">
      <c r="A66" s="4"/>
      <c r="B66" s="4"/>
      <c r="C66" s="4"/>
      <c r="D66" s="4"/>
      <c r="E66" s="4"/>
      <c r="F66" s="4"/>
      <c r="G66" s="4"/>
      <c r="H66" s="4"/>
      <c r="I66" s="4"/>
      <c r="J66" s="4"/>
      <c r="K66" s="4"/>
      <c r="L66" s="4"/>
      <c r="M66" s="4"/>
      <c r="N66" s="4"/>
      <c r="O66" s="4"/>
      <c r="P66" s="4"/>
      <c r="Q66" s="4"/>
      <c r="R66" s="4"/>
      <c r="S66" s="4"/>
      <c r="T66" s="4"/>
      <c r="U66" s="4"/>
      <c r="V66" s="4"/>
      <c r="W66" s="4"/>
      <c r="X66" s="4"/>
      <c r="Y66" s="4"/>
      <c r="Z66" s="4"/>
    </row>
    <row r="67" ht="14.25" customHeight="1" spans="1:26" x14ac:dyDescent="0.25">
      <c r="A67" s="4"/>
      <c r="B67" s="4"/>
      <c r="C67" s="4"/>
      <c r="D67" s="4"/>
      <c r="E67" s="4"/>
      <c r="F67" s="4"/>
      <c r="G67" s="4"/>
      <c r="H67" s="4"/>
      <c r="I67" s="4"/>
      <c r="J67" s="4"/>
      <c r="K67" s="4"/>
      <c r="L67" s="4"/>
      <c r="M67" s="4"/>
      <c r="N67" s="4"/>
      <c r="O67" s="4"/>
      <c r="P67" s="4"/>
      <c r="Q67" s="4"/>
      <c r="R67" s="4"/>
      <c r="S67" s="4"/>
      <c r="T67" s="4"/>
      <c r="U67" s="4"/>
      <c r="V67" s="4"/>
      <c r="W67" s="4"/>
      <c r="X67" s="4"/>
      <c r="Y67" s="4"/>
      <c r="Z67" s="4"/>
    </row>
    <row r="68" ht="14.25" customHeight="1" spans="1:26" x14ac:dyDescent="0.25">
      <c r="A68" s="4"/>
      <c r="B68" s="4"/>
      <c r="C68" s="4"/>
      <c r="D68" s="4"/>
      <c r="E68" s="4"/>
      <c r="F68" s="4"/>
      <c r="G68" s="4"/>
      <c r="H68" s="4"/>
      <c r="I68" s="4"/>
      <c r="J68" s="4"/>
      <c r="K68" s="4"/>
      <c r="L68" s="4"/>
      <c r="M68" s="4"/>
      <c r="N68" s="4"/>
      <c r="O68" s="4"/>
      <c r="P68" s="4"/>
      <c r="Q68" s="4"/>
      <c r="R68" s="4"/>
      <c r="S68" s="4"/>
      <c r="T68" s="4"/>
      <c r="U68" s="4"/>
      <c r="V68" s="4"/>
      <c r="W68" s="4"/>
      <c r="X68" s="4"/>
      <c r="Y68" s="4"/>
      <c r="Z68" s="4"/>
    </row>
    <row r="69" ht="14.25" customHeight="1" spans="1:26" x14ac:dyDescent="0.25">
      <c r="A69" s="4"/>
      <c r="B69" s="4"/>
      <c r="C69" s="4"/>
      <c r="D69" s="4"/>
      <c r="E69" s="4"/>
      <c r="F69" s="4"/>
      <c r="G69" s="4"/>
      <c r="H69" s="4"/>
      <c r="I69" s="4"/>
      <c r="J69" s="4"/>
      <c r="K69" s="4"/>
      <c r="L69" s="4"/>
      <c r="M69" s="4"/>
      <c r="N69" s="4"/>
      <c r="O69" s="4"/>
      <c r="P69" s="4"/>
      <c r="Q69" s="4"/>
      <c r="R69" s="4"/>
      <c r="S69" s="4"/>
      <c r="T69" s="4"/>
      <c r="U69" s="4"/>
      <c r="V69" s="4"/>
      <c r="W69" s="4"/>
      <c r="X69" s="4"/>
      <c r="Y69" s="4"/>
      <c r="Z69" s="4"/>
    </row>
    <row r="70" ht="14.25" customHeight="1" spans="1:26" x14ac:dyDescent="0.25">
      <c r="A70" s="4"/>
      <c r="B70" s="4"/>
      <c r="C70" s="4"/>
      <c r="D70" s="4"/>
      <c r="E70" s="4"/>
      <c r="F70" s="4"/>
      <c r="G70" s="4"/>
      <c r="H70" s="4"/>
      <c r="I70" s="4"/>
      <c r="J70" s="4"/>
      <c r="K70" s="4"/>
      <c r="L70" s="4"/>
      <c r="M70" s="4"/>
      <c r="N70" s="4"/>
      <c r="O70" s="4"/>
      <c r="P70" s="4"/>
      <c r="Q70" s="4"/>
      <c r="R70" s="4"/>
      <c r="S70" s="4"/>
      <c r="T70" s="4"/>
      <c r="U70" s="4"/>
      <c r="V70" s="4"/>
      <c r="W70" s="4"/>
      <c r="X70" s="4"/>
      <c r="Y70" s="4"/>
      <c r="Z70" s="4"/>
    </row>
    <row r="71" ht="14.25" customHeight="1" spans="1:26" x14ac:dyDescent="0.25">
      <c r="A71" s="4"/>
      <c r="B71" s="4"/>
      <c r="C71" s="4"/>
      <c r="D71" s="4"/>
      <c r="E71" s="4"/>
      <c r="F71" s="4"/>
      <c r="G71" s="4"/>
      <c r="H71" s="4"/>
      <c r="I71" s="4"/>
      <c r="J71" s="4"/>
      <c r="K71" s="4"/>
      <c r="L71" s="4"/>
      <c r="M71" s="4"/>
      <c r="N71" s="4"/>
      <c r="O71" s="4"/>
      <c r="P71" s="4"/>
      <c r="Q71" s="4"/>
      <c r="R71" s="4"/>
      <c r="S71" s="4"/>
      <c r="T71" s="4"/>
      <c r="U71" s="4"/>
      <c r="V71" s="4"/>
      <c r="W71" s="4"/>
      <c r="X71" s="4"/>
      <c r="Y71" s="4"/>
      <c r="Z71" s="4"/>
    </row>
    <row r="72" ht="14.25" customHeight="1" spans="1:26" x14ac:dyDescent="0.25">
      <c r="A72" s="4"/>
      <c r="B72" s="4"/>
      <c r="C72" s="4"/>
      <c r="D72" s="4"/>
      <c r="E72" s="4"/>
      <c r="F72" s="4"/>
      <c r="G72" s="4"/>
      <c r="H72" s="4"/>
      <c r="I72" s="4"/>
      <c r="J72" s="4"/>
      <c r="K72" s="4"/>
      <c r="L72" s="4"/>
      <c r="M72" s="4"/>
      <c r="N72" s="4"/>
      <c r="O72" s="4"/>
      <c r="P72" s="4"/>
      <c r="Q72" s="4"/>
      <c r="R72" s="4"/>
      <c r="S72" s="4"/>
      <c r="T72" s="4"/>
      <c r="U72" s="4"/>
      <c r="V72" s="4"/>
      <c r="W72" s="4"/>
      <c r="X72" s="4"/>
      <c r="Y72" s="4"/>
      <c r="Z72" s="4"/>
    </row>
    <row r="73" ht="14.25" customHeight="1" spans="1:26" x14ac:dyDescent="0.25">
      <c r="A73" s="4"/>
      <c r="B73" s="4"/>
      <c r="C73" s="4"/>
      <c r="D73" s="4"/>
      <c r="E73" s="4"/>
      <c r="F73" s="4"/>
      <c r="G73" s="4"/>
      <c r="H73" s="4"/>
      <c r="I73" s="4"/>
      <c r="J73" s="4"/>
      <c r="K73" s="4"/>
      <c r="L73" s="4"/>
      <c r="M73" s="4"/>
      <c r="N73" s="4"/>
      <c r="O73" s="4"/>
      <c r="P73" s="4"/>
      <c r="Q73" s="4"/>
      <c r="R73" s="4"/>
      <c r="S73" s="4"/>
      <c r="T73" s="4"/>
      <c r="U73" s="4"/>
      <c r="V73" s="4"/>
      <c r="W73" s="4"/>
      <c r="X73" s="4"/>
      <c r="Y73" s="4"/>
      <c r="Z73" s="4"/>
    </row>
    <row r="74" ht="14.25" customHeight="1" spans="1:26" x14ac:dyDescent="0.25">
      <c r="A74" s="4"/>
      <c r="B74" s="4"/>
      <c r="C74" s="4"/>
      <c r="D74" s="4"/>
      <c r="E74" s="4"/>
      <c r="F74" s="4"/>
      <c r="G74" s="4"/>
      <c r="H74" s="4"/>
      <c r="I74" s="4"/>
      <c r="J74" s="4"/>
      <c r="K74" s="4"/>
      <c r="L74" s="4"/>
      <c r="M74" s="4"/>
      <c r="N74" s="4"/>
      <c r="O74" s="4"/>
      <c r="P74" s="4"/>
      <c r="Q74" s="4"/>
      <c r="R74" s="4"/>
      <c r="S74" s="4"/>
      <c r="T74" s="4"/>
      <c r="U74" s="4"/>
      <c r="V74" s="4"/>
      <c r="W74" s="4"/>
      <c r="X74" s="4"/>
      <c r="Y74" s="4"/>
      <c r="Z74" s="4"/>
    </row>
    <row r="75" ht="14.25" customHeight="1" spans="1:26" x14ac:dyDescent="0.25">
      <c r="A75" s="4"/>
      <c r="B75" s="4"/>
      <c r="C75" s="4"/>
      <c r="D75" s="4"/>
      <c r="E75" s="4"/>
      <c r="F75" s="4"/>
      <c r="G75" s="4"/>
      <c r="H75" s="4"/>
      <c r="I75" s="4"/>
      <c r="J75" s="4"/>
      <c r="K75" s="4"/>
      <c r="L75" s="4"/>
      <c r="M75" s="4"/>
      <c r="N75" s="4"/>
      <c r="O75" s="4"/>
      <c r="P75" s="4"/>
      <c r="Q75" s="4"/>
      <c r="R75" s="4"/>
      <c r="S75" s="4"/>
      <c r="T75" s="4"/>
      <c r="U75" s="4"/>
      <c r="V75" s="4"/>
      <c r="W75" s="4"/>
      <c r="X75" s="4"/>
      <c r="Y75" s="4"/>
      <c r="Z75" s="4"/>
    </row>
    <row r="76" ht="14.25" customHeight="1" spans="1:26" x14ac:dyDescent="0.25">
      <c r="A76" s="4"/>
      <c r="B76" s="4"/>
      <c r="C76" s="4"/>
      <c r="D76" s="4"/>
      <c r="E76" s="4"/>
      <c r="F76" s="4"/>
      <c r="G76" s="4"/>
      <c r="H76" s="4"/>
      <c r="I76" s="4"/>
      <c r="J76" s="4"/>
      <c r="K76" s="4"/>
      <c r="L76" s="4"/>
      <c r="M76" s="4"/>
      <c r="N76" s="4"/>
      <c r="O76" s="4"/>
      <c r="P76" s="4"/>
      <c r="Q76" s="4"/>
      <c r="R76" s="4"/>
      <c r="S76" s="4"/>
      <c r="T76" s="4"/>
      <c r="U76" s="4"/>
      <c r="V76" s="4"/>
      <c r="W76" s="4"/>
      <c r="X76" s="4"/>
      <c r="Y76" s="4"/>
      <c r="Z76" s="4"/>
    </row>
    <row r="77" ht="14.25" customHeight="1" spans="1:26" x14ac:dyDescent="0.25">
      <c r="A77" s="4"/>
      <c r="B77" s="4"/>
      <c r="C77" s="4"/>
      <c r="D77" s="4"/>
      <c r="E77" s="4"/>
      <c r="F77" s="4"/>
      <c r="G77" s="4"/>
      <c r="H77" s="4"/>
      <c r="I77" s="4"/>
      <c r="J77" s="4"/>
      <c r="K77" s="4"/>
      <c r="L77" s="4"/>
      <c r="M77" s="4"/>
      <c r="N77" s="4"/>
      <c r="O77" s="4"/>
      <c r="P77" s="4"/>
      <c r="Q77" s="4"/>
      <c r="R77" s="4"/>
      <c r="S77" s="4"/>
      <c r="T77" s="4"/>
      <c r="U77" s="4"/>
      <c r="V77" s="4"/>
      <c r="W77" s="4"/>
      <c r="X77" s="4"/>
      <c r="Y77" s="4"/>
      <c r="Z77" s="4"/>
    </row>
    <row r="78" ht="14.25" customHeight="1" spans="1:26" x14ac:dyDescent="0.25">
      <c r="A78" s="4"/>
      <c r="B78" s="4"/>
      <c r="C78" s="4"/>
      <c r="D78" s="4"/>
      <c r="E78" s="4"/>
      <c r="F78" s="4"/>
      <c r="G78" s="4"/>
      <c r="H78" s="4"/>
      <c r="I78" s="4"/>
      <c r="J78" s="4"/>
      <c r="K78" s="4"/>
      <c r="L78" s="4"/>
      <c r="M78" s="4"/>
      <c r="N78" s="4"/>
      <c r="O78" s="4"/>
      <c r="P78" s="4"/>
      <c r="Q78" s="4"/>
      <c r="R78" s="4"/>
      <c r="S78" s="4"/>
      <c r="T78" s="4"/>
      <c r="U78" s="4"/>
      <c r="V78" s="4"/>
      <c r="W78" s="4"/>
      <c r="X78" s="4"/>
      <c r="Y78" s="4"/>
      <c r="Z78" s="4"/>
    </row>
    <row r="79" ht="14.25" customHeight="1" spans="1:26" x14ac:dyDescent="0.25">
      <c r="A79" s="4"/>
      <c r="B79" s="4"/>
      <c r="C79" s="4"/>
      <c r="D79" s="4"/>
      <c r="E79" s="4"/>
      <c r="F79" s="4"/>
      <c r="G79" s="4"/>
      <c r="H79" s="4"/>
      <c r="I79" s="4"/>
      <c r="J79" s="4"/>
      <c r="K79" s="4"/>
      <c r="L79" s="4"/>
      <c r="M79" s="4"/>
      <c r="N79" s="4"/>
      <c r="O79" s="4"/>
      <c r="P79" s="4"/>
      <c r="Q79" s="4"/>
      <c r="R79" s="4"/>
      <c r="S79" s="4"/>
      <c r="T79" s="4"/>
      <c r="U79" s="4"/>
      <c r="V79" s="4"/>
      <c r="W79" s="4"/>
      <c r="X79" s="4"/>
      <c r="Y79" s="4"/>
      <c r="Z79" s="4"/>
    </row>
    <row r="80" ht="14.25" customHeight="1" spans="1:26" x14ac:dyDescent="0.25">
      <c r="A80" s="4"/>
      <c r="B80" s="4"/>
      <c r="C80" s="4"/>
      <c r="D80" s="4"/>
      <c r="E80" s="4"/>
      <c r="F80" s="4"/>
      <c r="G80" s="4"/>
      <c r="H80" s="4"/>
      <c r="I80" s="4"/>
      <c r="J80" s="4"/>
      <c r="K80" s="4"/>
      <c r="L80" s="4"/>
      <c r="M80" s="4"/>
      <c r="N80" s="4"/>
      <c r="O80" s="4"/>
      <c r="P80" s="4"/>
      <c r="Q80" s="4"/>
      <c r="R80" s="4"/>
      <c r="S80" s="4"/>
      <c r="T80" s="4"/>
      <c r="U80" s="4"/>
      <c r="V80" s="4"/>
      <c r="W80" s="4"/>
      <c r="X80" s="4"/>
      <c r="Y80" s="4"/>
      <c r="Z80" s="4"/>
    </row>
    <row r="81" ht="14.25" customHeight="1" spans="1:26" x14ac:dyDescent="0.25">
      <c r="A81" s="4"/>
      <c r="B81" s="4"/>
      <c r="C81" s="4"/>
      <c r="D81" s="4"/>
      <c r="E81" s="4"/>
      <c r="F81" s="4"/>
      <c r="G81" s="4"/>
      <c r="H81" s="4"/>
      <c r="I81" s="4"/>
      <c r="J81" s="4"/>
      <c r="K81" s="4"/>
      <c r="L81" s="4"/>
      <c r="M81" s="4"/>
      <c r="N81" s="4"/>
      <c r="O81" s="4"/>
      <c r="P81" s="4"/>
      <c r="Q81" s="4"/>
      <c r="R81" s="4"/>
      <c r="S81" s="4"/>
      <c r="T81" s="4"/>
      <c r="U81" s="4"/>
      <c r="V81" s="4"/>
      <c r="W81" s="4"/>
      <c r="X81" s="4"/>
      <c r="Y81" s="4"/>
      <c r="Z81" s="4"/>
    </row>
    <row r="82" ht="14.25" customHeight="1" spans="1:26" x14ac:dyDescent="0.25">
      <c r="A82" s="4"/>
      <c r="B82" s="4"/>
      <c r="C82" s="4"/>
      <c r="D82" s="4"/>
      <c r="E82" s="4"/>
      <c r="F82" s="4"/>
      <c r="G82" s="4"/>
      <c r="H82" s="4"/>
      <c r="I82" s="4"/>
      <c r="J82" s="4"/>
      <c r="K82" s="4"/>
      <c r="L82" s="4"/>
      <c r="M82" s="4"/>
      <c r="N82" s="4"/>
      <c r="O82" s="4"/>
      <c r="P82" s="4"/>
      <c r="Q82" s="4"/>
      <c r="R82" s="4"/>
      <c r="S82" s="4"/>
      <c r="T82" s="4"/>
      <c r="U82" s="4"/>
      <c r="V82" s="4"/>
      <c r="W82" s="4"/>
      <c r="X82" s="4"/>
      <c r="Y82" s="4"/>
      <c r="Z82" s="4"/>
    </row>
    <row r="83" ht="14.25" customHeight="1" spans="1:26" x14ac:dyDescent="0.25">
      <c r="A83" s="4"/>
      <c r="B83" s="4"/>
      <c r="C83" s="4"/>
      <c r="D83" s="4"/>
      <c r="E83" s="4"/>
      <c r="F83" s="4"/>
      <c r="G83" s="4"/>
      <c r="H83" s="4"/>
      <c r="I83" s="4"/>
      <c r="J83" s="4"/>
      <c r="K83" s="4"/>
      <c r="L83" s="4"/>
      <c r="M83" s="4"/>
      <c r="N83" s="4"/>
      <c r="O83" s="4"/>
      <c r="P83" s="4"/>
      <c r="Q83" s="4"/>
      <c r="R83" s="4"/>
      <c r="S83" s="4"/>
      <c r="T83" s="4"/>
      <c r="U83" s="4"/>
      <c r="V83" s="4"/>
      <c r="W83" s="4"/>
      <c r="X83" s="4"/>
      <c r="Y83" s="4"/>
      <c r="Z83" s="4"/>
    </row>
    <row r="84" ht="14.25" customHeight="1" spans="1:26" x14ac:dyDescent="0.25">
      <c r="A84" s="4"/>
      <c r="B84" s="4"/>
      <c r="C84" s="4"/>
      <c r="D84" s="4"/>
      <c r="E84" s="4"/>
      <c r="F84" s="4"/>
      <c r="G84" s="4"/>
      <c r="H84" s="4"/>
      <c r="I84" s="4"/>
      <c r="J84" s="4"/>
      <c r="K84" s="4"/>
      <c r="L84" s="4"/>
      <c r="M84" s="4"/>
      <c r="N84" s="4"/>
      <c r="O84" s="4"/>
      <c r="P84" s="4"/>
      <c r="Q84" s="4"/>
      <c r="R84" s="4"/>
      <c r="S84" s="4"/>
      <c r="T84" s="4"/>
      <c r="U84" s="4"/>
      <c r="V84" s="4"/>
      <c r="W84" s="4"/>
      <c r="X84" s="4"/>
      <c r="Y84" s="4"/>
      <c r="Z84" s="4"/>
    </row>
    <row r="85" ht="14.25" customHeight="1" spans="1:26" x14ac:dyDescent="0.25">
      <c r="A85" s="4"/>
      <c r="B85" s="4"/>
      <c r="C85" s="4"/>
      <c r="D85" s="4"/>
      <c r="E85" s="4"/>
      <c r="F85" s="4"/>
      <c r="G85" s="4"/>
      <c r="H85" s="4"/>
      <c r="I85" s="4"/>
      <c r="J85" s="4"/>
      <c r="K85" s="4"/>
      <c r="L85" s="4"/>
      <c r="M85" s="4"/>
      <c r="N85" s="4"/>
      <c r="O85" s="4"/>
      <c r="P85" s="4"/>
      <c r="Q85" s="4"/>
      <c r="R85" s="4"/>
      <c r="S85" s="4"/>
      <c r="T85" s="4"/>
      <c r="U85" s="4"/>
      <c r="V85" s="4"/>
      <c r="W85" s="4"/>
      <c r="X85" s="4"/>
      <c r="Y85" s="4"/>
      <c r="Z85" s="4"/>
    </row>
    <row r="86" ht="14.25" customHeight="1" spans="1:26" x14ac:dyDescent="0.25">
      <c r="A86" s="4"/>
      <c r="B86" s="4"/>
      <c r="C86" s="4"/>
      <c r="D86" s="4"/>
      <c r="E86" s="4"/>
      <c r="F86" s="4"/>
      <c r="G86" s="4"/>
      <c r="H86" s="4"/>
      <c r="I86" s="4"/>
      <c r="J86" s="4"/>
      <c r="K86" s="4"/>
      <c r="L86" s="4"/>
      <c r="M86" s="4"/>
      <c r="N86" s="4"/>
      <c r="O86" s="4"/>
      <c r="P86" s="4"/>
      <c r="Q86" s="4"/>
      <c r="R86" s="4"/>
      <c r="S86" s="4"/>
      <c r="T86" s="4"/>
      <c r="U86" s="4"/>
      <c r="V86" s="4"/>
      <c r="W86" s="4"/>
      <c r="X86" s="4"/>
      <c r="Y86" s="4"/>
      <c r="Z86" s="4"/>
    </row>
    <row r="87" ht="14.25" customHeight="1" spans="1:26" x14ac:dyDescent="0.25">
      <c r="A87" s="4"/>
      <c r="B87" s="4"/>
      <c r="C87" s="4"/>
      <c r="D87" s="4"/>
      <c r="E87" s="4"/>
      <c r="F87" s="4"/>
      <c r="G87" s="4"/>
      <c r="H87" s="4"/>
      <c r="I87" s="4"/>
      <c r="J87" s="4"/>
      <c r="K87" s="4"/>
      <c r="L87" s="4"/>
      <c r="M87" s="4"/>
      <c r="N87" s="4"/>
      <c r="O87" s="4"/>
      <c r="P87" s="4"/>
      <c r="Q87" s="4"/>
      <c r="R87" s="4"/>
      <c r="S87" s="4"/>
      <c r="T87" s="4"/>
      <c r="U87" s="4"/>
      <c r="V87" s="4"/>
      <c r="W87" s="4"/>
      <c r="X87" s="4"/>
      <c r="Y87" s="4"/>
      <c r="Z87" s="4"/>
    </row>
    <row r="88" ht="14.25" customHeight="1" spans="1:26" x14ac:dyDescent="0.25">
      <c r="A88" s="4"/>
      <c r="B88" s="4"/>
      <c r="C88" s="4"/>
      <c r="D88" s="4"/>
      <c r="E88" s="4"/>
      <c r="F88" s="4"/>
      <c r="G88" s="4"/>
      <c r="H88" s="4"/>
      <c r="I88" s="4"/>
      <c r="J88" s="4"/>
      <c r="K88" s="4"/>
      <c r="L88" s="4"/>
      <c r="M88" s="4"/>
      <c r="N88" s="4"/>
      <c r="O88" s="4"/>
      <c r="P88" s="4"/>
      <c r="Q88" s="4"/>
      <c r="R88" s="4"/>
      <c r="S88" s="4"/>
      <c r="T88" s="4"/>
      <c r="U88" s="4"/>
      <c r="V88" s="4"/>
      <c r="W88" s="4"/>
      <c r="X88" s="4"/>
      <c r="Y88" s="4"/>
      <c r="Z88" s="4"/>
    </row>
    <row r="89" ht="14.25" customHeight="1" spans="1:26" x14ac:dyDescent="0.25">
      <c r="A89" s="4"/>
      <c r="B89" s="4"/>
      <c r="C89" s="4"/>
      <c r="D89" s="4"/>
      <c r="E89" s="4"/>
      <c r="F89" s="4"/>
      <c r="G89" s="4"/>
      <c r="H89" s="4"/>
      <c r="I89" s="4"/>
      <c r="J89" s="4"/>
      <c r="K89" s="4"/>
      <c r="L89" s="4"/>
      <c r="M89" s="4"/>
      <c r="N89" s="4"/>
      <c r="O89" s="4"/>
      <c r="P89" s="4"/>
      <c r="Q89" s="4"/>
      <c r="R89" s="4"/>
      <c r="S89" s="4"/>
      <c r="T89" s="4"/>
      <c r="U89" s="4"/>
      <c r="V89" s="4"/>
      <c r="W89" s="4"/>
      <c r="X89" s="4"/>
      <c r="Y89" s="4"/>
      <c r="Z89" s="4"/>
    </row>
    <row r="90" ht="14.25" customHeight="1" spans="1:26" x14ac:dyDescent="0.25">
      <c r="A90" s="4"/>
      <c r="B90" s="4"/>
      <c r="C90" s="4"/>
      <c r="D90" s="4"/>
      <c r="E90" s="4"/>
      <c r="F90" s="4"/>
      <c r="G90" s="4"/>
      <c r="H90" s="4"/>
      <c r="I90" s="4"/>
      <c r="J90" s="4"/>
      <c r="K90" s="4"/>
      <c r="L90" s="4"/>
      <c r="M90" s="4"/>
      <c r="N90" s="4"/>
      <c r="O90" s="4"/>
      <c r="P90" s="4"/>
      <c r="Q90" s="4"/>
      <c r="R90" s="4"/>
      <c r="S90" s="4"/>
      <c r="T90" s="4"/>
      <c r="U90" s="4"/>
      <c r="V90" s="4"/>
      <c r="W90" s="4"/>
      <c r="X90" s="4"/>
      <c r="Y90" s="4"/>
      <c r="Z90" s="4"/>
    </row>
    <row r="91" ht="14.25" customHeight="1" spans="1:26" x14ac:dyDescent="0.25">
      <c r="A91" s="4"/>
      <c r="B91" s="4"/>
      <c r="C91" s="4"/>
      <c r="D91" s="4"/>
      <c r="E91" s="4"/>
      <c r="F91" s="4"/>
      <c r="G91" s="4"/>
      <c r="H91" s="4"/>
      <c r="I91" s="4"/>
      <c r="J91" s="4"/>
      <c r="K91" s="4"/>
      <c r="L91" s="4"/>
      <c r="M91" s="4"/>
      <c r="N91" s="4"/>
      <c r="O91" s="4"/>
      <c r="P91" s="4"/>
      <c r="Q91" s="4"/>
      <c r="R91" s="4"/>
      <c r="S91" s="4"/>
      <c r="T91" s="4"/>
      <c r="U91" s="4"/>
      <c r="V91" s="4"/>
      <c r="W91" s="4"/>
      <c r="X91" s="4"/>
      <c r="Y91" s="4"/>
      <c r="Z91" s="4"/>
    </row>
    <row r="92" ht="14.25" customHeight="1" spans="1:26" x14ac:dyDescent="0.25">
      <c r="A92" s="4"/>
      <c r="B92" s="4"/>
      <c r="C92" s="4"/>
      <c r="D92" s="4"/>
      <c r="E92" s="4"/>
      <c r="F92" s="4"/>
      <c r="G92" s="4"/>
      <c r="H92" s="4"/>
      <c r="I92" s="4"/>
      <c r="J92" s="4"/>
      <c r="K92" s="4"/>
      <c r="L92" s="4"/>
      <c r="M92" s="4"/>
      <c r="N92" s="4"/>
      <c r="O92" s="4"/>
      <c r="P92" s="4"/>
      <c r="Q92" s="4"/>
      <c r="R92" s="4"/>
      <c r="S92" s="4"/>
      <c r="T92" s="4"/>
      <c r="U92" s="4"/>
      <c r="V92" s="4"/>
      <c r="W92" s="4"/>
      <c r="X92" s="4"/>
      <c r="Y92" s="4"/>
      <c r="Z92" s="4"/>
    </row>
    <row r="93" ht="14.25" customHeight="1" spans="1:26" x14ac:dyDescent="0.25">
      <c r="A93" s="4"/>
      <c r="B93" s="4"/>
      <c r="C93" s="4"/>
      <c r="D93" s="4"/>
      <c r="E93" s="4"/>
      <c r="F93" s="4"/>
      <c r="G93" s="4"/>
      <c r="H93" s="4"/>
      <c r="I93" s="4"/>
      <c r="J93" s="4"/>
      <c r="K93" s="4"/>
      <c r="L93" s="4"/>
      <c r="M93" s="4"/>
      <c r="N93" s="4"/>
      <c r="O93" s="4"/>
      <c r="P93" s="4"/>
      <c r="Q93" s="4"/>
      <c r="R93" s="4"/>
      <c r="S93" s="4"/>
      <c r="T93" s="4"/>
      <c r="U93" s="4"/>
      <c r="V93" s="4"/>
      <c r="W93" s="4"/>
      <c r="X93" s="4"/>
      <c r="Y93" s="4"/>
      <c r="Z93" s="4"/>
    </row>
    <row r="94" ht="14.25" customHeight="1" spans="1:26" x14ac:dyDescent="0.25">
      <c r="A94" s="4"/>
      <c r="B94" s="4"/>
      <c r="C94" s="4"/>
      <c r="D94" s="4"/>
      <c r="E94" s="4"/>
      <c r="F94" s="4"/>
      <c r="G94" s="4"/>
      <c r="H94" s="4"/>
      <c r="I94" s="4"/>
      <c r="J94" s="4"/>
      <c r="K94" s="4"/>
      <c r="L94" s="4"/>
      <c r="M94" s="4"/>
      <c r="N94" s="4"/>
      <c r="O94" s="4"/>
      <c r="P94" s="4"/>
      <c r="Q94" s="4"/>
      <c r="R94" s="4"/>
      <c r="S94" s="4"/>
      <c r="T94" s="4"/>
      <c r="U94" s="4"/>
      <c r="V94" s="4"/>
      <c r="W94" s="4"/>
      <c r="X94" s="4"/>
      <c r="Y94" s="4"/>
      <c r="Z94" s="4"/>
    </row>
    <row r="95" ht="14.25" customHeight="1" spans="1:26" x14ac:dyDescent="0.25">
      <c r="A95" s="4"/>
      <c r="B95" s="4"/>
      <c r="C95" s="4"/>
      <c r="D95" s="4"/>
      <c r="E95" s="4"/>
      <c r="F95" s="4"/>
      <c r="G95" s="4"/>
      <c r="H95" s="4"/>
      <c r="I95" s="4"/>
      <c r="J95" s="4"/>
      <c r="K95" s="4"/>
      <c r="L95" s="4"/>
      <c r="M95" s="4"/>
      <c r="N95" s="4"/>
      <c r="O95" s="4"/>
      <c r="P95" s="4"/>
      <c r="Q95" s="4"/>
      <c r="R95" s="4"/>
      <c r="S95" s="4"/>
      <c r="T95" s="4"/>
      <c r="U95" s="4"/>
      <c r="V95" s="4"/>
      <c r="W95" s="4"/>
      <c r="X95" s="4"/>
      <c r="Y95" s="4"/>
      <c r="Z95" s="4"/>
    </row>
    <row r="96" ht="14.25" customHeight="1" spans="1:26" x14ac:dyDescent="0.25">
      <c r="A96" s="4"/>
      <c r="B96" s="4"/>
      <c r="C96" s="4"/>
      <c r="D96" s="4"/>
      <c r="E96" s="4"/>
      <c r="F96" s="4"/>
      <c r="G96" s="4"/>
      <c r="H96" s="4"/>
      <c r="I96" s="4"/>
      <c r="J96" s="4"/>
      <c r="K96" s="4"/>
      <c r="L96" s="4"/>
      <c r="M96" s="4"/>
      <c r="N96" s="4"/>
      <c r="O96" s="4"/>
      <c r="P96" s="4"/>
      <c r="Q96" s="4"/>
      <c r="R96" s="4"/>
      <c r="S96" s="4"/>
      <c r="T96" s="4"/>
      <c r="U96" s="4"/>
      <c r="V96" s="4"/>
      <c r="W96" s="4"/>
      <c r="X96" s="4"/>
      <c r="Y96" s="4"/>
      <c r="Z96" s="4"/>
    </row>
    <row r="97" ht="14.25" customHeight="1" spans="1:26" x14ac:dyDescent="0.25">
      <c r="A97" s="4"/>
      <c r="B97" s="4"/>
      <c r="C97" s="4"/>
      <c r="D97" s="4"/>
      <c r="E97" s="4"/>
      <c r="F97" s="4"/>
      <c r="G97" s="4"/>
      <c r="H97" s="4"/>
      <c r="I97" s="4"/>
      <c r="J97" s="4"/>
      <c r="K97" s="4"/>
      <c r="L97" s="4"/>
      <c r="M97" s="4"/>
      <c r="N97" s="4"/>
      <c r="O97" s="4"/>
      <c r="P97" s="4"/>
      <c r="Q97" s="4"/>
      <c r="R97" s="4"/>
      <c r="S97" s="4"/>
      <c r="T97" s="4"/>
      <c r="U97" s="4"/>
      <c r="V97" s="4"/>
      <c r="W97" s="4"/>
      <c r="X97" s="4"/>
      <c r="Y97" s="4"/>
      <c r="Z97" s="4"/>
    </row>
    <row r="98" ht="14.25" customHeight="1" spans="1:26" x14ac:dyDescent="0.25">
      <c r="A98" s="4"/>
      <c r="B98" s="4"/>
      <c r="C98" s="4"/>
      <c r="D98" s="4"/>
      <c r="E98" s="4"/>
      <c r="F98" s="4"/>
      <c r="G98" s="4"/>
      <c r="H98" s="4"/>
      <c r="I98" s="4"/>
      <c r="J98" s="4"/>
      <c r="K98" s="4"/>
      <c r="L98" s="4"/>
      <c r="M98" s="4"/>
      <c r="N98" s="4"/>
      <c r="O98" s="4"/>
      <c r="P98" s="4"/>
      <c r="Q98" s="4"/>
      <c r="R98" s="4"/>
      <c r="S98" s="4"/>
      <c r="T98" s="4"/>
      <c r="U98" s="4"/>
      <c r="V98" s="4"/>
      <c r="W98" s="4"/>
      <c r="X98" s="4"/>
      <c r="Y98" s="4"/>
      <c r="Z98" s="4"/>
    </row>
    <row r="99" ht="14.25" customHeight="1" spans="1:26" x14ac:dyDescent="0.25">
      <c r="A99" s="4"/>
      <c r="B99" s="4"/>
      <c r="C99" s="4"/>
      <c r="D99" s="4"/>
      <c r="E99" s="4"/>
      <c r="F99" s="4"/>
      <c r="G99" s="4"/>
      <c r="H99" s="4"/>
      <c r="I99" s="4"/>
      <c r="J99" s="4"/>
      <c r="K99" s="4"/>
      <c r="L99" s="4"/>
      <c r="M99" s="4"/>
      <c r="N99" s="4"/>
      <c r="O99" s="4"/>
      <c r="P99" s="4"/>
      <c r="Q99" s="4"/>
      <c r="R99" s="4"/>
      <c r="S99" s="4"/>
      <c r="T99" s="4"/>
      <c r="U99" s="4"/>
      <c r="V99" s="4"/>
      <c r="W99" s="4"/>
      <c r="X99" s="4"/>
      <c r="Y99" s="4"/>
      <c r="Z99" s="4"/>
    </row>
    <row r="100" ht="14.25" customHeight="1" spans="1:26" x14ac:dyDescent="0.25">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ht="14.25" customHeight="1" spans="1:26" x14ac:dyDescent="0.25">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ht="14.25" customHeight="1" spans="1:26" x14ac:dyDescent="0.25">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ht="14.25" customHeight="1" spans="1:26" x14ac:dyDescent="0.25">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ht="14.25" customHeight="1" spans="1:26" x14ac:dyDescent="0.25">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ht="14.25" customHeight="1" spans="1:26" x14ac:dyDescent="0.25">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ht="14.25" customHeight="1" spans="1:26" x14ac:dyDescent="0.25">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ht="14.25" customHeight="1" spans="1:26" x14ac:dyDescent="0.25">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ht="14.25" customHeight="1" spans="1:26" x14ac:dyDescent="0.25">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ht="14.25" customHeight="1" spans="1:26" x14ac:dyDescent="0.25">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ht="14.25" customHeight="1" spans="1:26" x14ac:dyDescent="0.25">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ht="14.25" customHeight="1" spans="1:26" x14ac:dyDescent="0.25">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ht="14.25" customHeight="1" spans="1:26" x14ac:dyDescent="0.25">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ht="14.25" customHeight="1" spans="1:26" x14ac:dyDescent="0.25">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ht="14.25" customHeight="1" spans="1:26" x14ac:dyDescent="0.25">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ht="14.25" customHeight="1" spans="1:26" x14ac:dyDescent="0.25">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ht="14.25" customHeight="1" spans="1:26" x14ac:dyDescent="0.25">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ht="14.25" customHeight="1" spans="1:26" x14ac:dyDescent="0.25">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ht="14.25" customHeight="1" spans="1:26" x14ac:dyDescent="0.25">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ht="14.25" customHeight="1" spans="1:26" x14ac:dyDescent="0.25">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ht="14.25" customHeight="1" spans="1:26" x14ac:dyDescent="0.25">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ht="14.25" customHeight="1" spans="1:26" x14ac:dyDescent="0.25">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ht="14.25" customHeight="1" spans="1:26" x14ac:dyDescent="0.25">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ht="14.25" customHeight="1" spans="1:26" x14ac:dyDescent="0.25">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ht="14.25" customHeight="1" spans="1:26" x14ac:dyDescent="0.25">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ht="14.25" customHeight="1" spans="1:26" x14ac:dyDescent="0.25">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ht="14.25" customHeight="1" spans="1:26" x14ac:dyDescent="0.25">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ht="14.25" customHeight="1" spans="1:26" x14ac:dyDescent="0.25">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ht="14.25" customHeight="1" spans="1:26" x14ac:dyDescent="0.25">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ht="14.25" customHeight="1" spans="1:26" x14ac:dyDescent="0.25">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ht="14.25" customHeight="1" spans="1:26" x14ac:dyDescent="0.25">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ht="14.25" customHeight="1" spans="1:26" x14ac:dyDescent="0.25">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ht="14.25" customHeight="1" spans="1:26" x14ac:dyDescent="0.25">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ht="14.25" customHeight="1" spans="1:26" x14ac:dyDescent="0.25">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ht="14.25" customHeight="1" spans="1:26" x14ac:dyDescent="0.25">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ht="14.25" customHeight="1" spans="1:26" x14ac:dyDescent="0.25">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ht="14.25" customHeight="1" spans="1:26" x14ac:dyDescent="0.25">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ht="14.25" customHeight="1" spans="1:26" x14ac:dyDescent="0.25">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ht="14.25" customHeight="1" spans="1:26" x14ac:dyDescent="0.25">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ht="14.25" customHeight="1" spans="1:26" x14ac:dyDescent="0.25">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ht="14.25" customHeight="1" spans="1:26" x14ac:dyDescent="0.25">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ht="14.25" customHeight="1" spans="1:26" x14ac:dyDescent="0.25">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ht="14.25" customHeight="1" spans="1:26" x14ac:dyDescent="0.25">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ht="14.25" customHeight="1" spans="1:26" x14ac:dyDescent="0.25">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ht="14.25" customHeight="1" spans="1:26" x14ac:dyDescent="0.25">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ht="14.25" customHeight="1" spans="1:26" x14ac:dyDescent="0.25">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ht="14.25" customHeight="1" spans="1:26" x14ac:dyDescent="0.25">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ht="14.25" customHeight="1" spans="1:26" x14ac:dyDescent="0.25">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ht="14.25" customHeight="1" spans="1:26" x14ac:dyDescent="0.25">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ht="14.25" customHeight="1" spans="1:26" x14ac:dyDescent="0.25">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ht="14.25" customHeight="1" spans="1:26" x14ac:dyDescent="0.25">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ht="14.25" customHeight="1" spans="1:26" x14ac:dyDescent="0.25">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ht="14.25" customHeight="1" spans="1:26" x14ac:dyDescent="0.25">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ht="14.25" customHeight="1" spans="1:26" x14ac:dyDescent="0.25">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ht="14.25" customHeight="1" spans="1:26" x14ac:dyDescent="0.25">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ht="14.25" customHeight="1" spans="1:26" x14ac:dyDescent="0.25">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ht="14.25" customHeight="1" spans="1:26" x14ac:dyDescent="0.25">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ht="14.25" customHeight="1" spans="1:26" x14ac:dyDescent="0.25">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ht="14.25" customHeight="1" spans="1:26" x14ac:dyDescent="0.25">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ht="14.25" customHeight="1" spans="1:26" x14ac:dyDescent="0.25">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ht="14.25" customHeight="1" spans="1:26" x14ac:dyDescent="0.25">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ht="14.25" customHeight="1" spans="1:26" x14ac:dyDescent="0.25">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ht="14.25" customHeight="1" spans="1:26" x14ac:dyDescent="0.25">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ht="14.25" customHeight="1" spans="1:26" x14ac:dyDescent="0.25">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ht="14.25" customHeight="1" spans="1:26" x14ac:dyDescent="0.25">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ht="14.25" customHeight="1" spans="1:26" x14ac:dyDescent="0.25">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ht="14.25" customHeight="1" spans="1:26" x14ac:dyDescent="0.25">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ht="14.25" customHeight="1" spans="1:26" x14ac:dyDescent="0.25">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ht="14.25" customHeight="1" spans="1:26" x14ac:dyDescent="0.25">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ht="14.25" customHeight="1" spans="1:26" x14ac:dyDescent="0.25">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ht="14.25" customHeight="1" spans="1:26" x14ac:dyDescent="0.25">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ht="14.25" customHeight="1" spans="1:26" x14ac:dyDescent="0.25">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ht="14.25" customHeight="1" spans="1:26" x14ac:dyDescent="0.25">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ht="14.25" customHeight="1" spans="1:26" x14ac:dyDescent="0.25">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14.25" customHeight="1" spans="1:26" x14ac:dyDescent="0.25">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14.25" customHeight="1" spans="1:26" x14ac:dyDescent="0.25">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14.25" customHeight="1" spans="1:26" x14ac:dyDescent="0.25">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ht="14.25" customHeight="1" spans="1:26" x14ac:dyDescent="0.25">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ht="14.25" customHeight="1" spans="1:26" x14ac:dyDescent="0.25">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14.25" customHeight="1" spans="1:26" x14ac:dyDescent="0.25">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14.25" customHeight="1" spans="1:26" x14ac:dyDescent="0.25">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ht="14.25" customHeight="1" spans="1:26" x14ac:dyDescent="0.25">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14.25" customHeight="1" spans="1:26" x14ac:dyDescent="0.25">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14.25" customHeight="1" spans="1:26" x14ac:dyDescent="0.25">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14.25" customHeight="1" spans="1:26" x14ac:dyDescent="0.25">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14.25" customHeight="1" spans="1:26" x14ac:dyDescent="0.25">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14.25" customHeight="1" spans="1:26" x14ac:dyDescent="0.25">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14.25" customHeight="1" spans="1:26" x14ac:dyDescent="0.25">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14.25" customHeight="1" spans="1:26" x14ac:dyDescent="0.25">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14.25" customHeight="1" spans="1:26" x14ac:dyDescent="0.25">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14.25" customHeight="1" spans="1:26" x14ac:dyDescent="0.25">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14.25" customHeight="1" spans="1:26" x14ac:dyDescent="0.25">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14.25" customHeight="1" spans="1:26" x14ac:dyDescent="0.25">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14.25" customHeight="1" spans="1:26" x14ac:dyDescent="0.25">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14.25" customHeight="1" spans="1:26" x14ac:dyDescent="0.25">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14.25" customHeight="1" spans="1:26" x14ac:dyDescent="0.25">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14.25" customHeight="1" spans="1:26" x14ac:dyDescent="0.25">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14.25" customHeight="1" spans="1:26" x14ac:dyDescent="0.25">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14.25" customHeight="1" spans="1:26" x14ac:dyDescent="0.25">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14.25" customHeight="1" spans="1:26" x14ac:dyDescent="0.25">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14.25" customHeight="1" spans="1:26" x14ac:dyDescent="0.25">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14.25" customHeight="1" spans="1:26" x14ac:dyDescent="0.25">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14.25" customHeight="1" spans="1:26" x14ac:dyDescent="0.25">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14.25" customHeight="1" spans="1:26" x14ac:dyDescent="0.25">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14.25" customHeight="1" spans="1:26" x14ac:dyDescent="0.25">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14.25" customHeight="1" spans="1:26" x14ac:dyDescent="0.25">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14.25" customHeight="1" spans="1:26" x14ac:dyDescent="0.25">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14.25" customHeight="1" spans="1:26" x14ac:dyDescent="0.25">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14.25" customHeight="1" spans="1:26" x14ac:dyDescent="0.25">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14.25" customHeight="1" spans="1:26" x14ac:dyDescent="0.25">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14.25" customHeight="1" spans="1:26" x14ac:dyDescent="0.25">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14.25" customHeight="1" spans="1:26" x14ac:dyDescent="0.25">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14.25" customHeight="1" spans="1:26" x14ac:dyDescent="0.25">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14.25" customHeight="1" spans="1:26" x14ac:dyDescent="0.25">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14.25" customHeight="1" spans="1:26" x14ac:dyDescent="0.25">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14.25" customHeight="1" spans="1:26" x14ac:dyDescent="0.25">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14.25" customHeight="1" spans="1:26" x14ac:dyDescent="0.25">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14.25" customHeight="1" spans="1:26" x14ac:dyDescent="0.25">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14.25" customHeight="1" spans="1:26" x14ac:dyDescent="0.25">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14.25" customHeight="1" spans="1:26" x14ac:dyDescent="0.25">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14.25" customHeight="1" spans="1:26" x14ac:dyDescent="0.25">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14.25" customHeight="1" spans="1:26" x14ac:dyDescent="0.25">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ht="14.25" customHeight="1" spans="1:26" x14ac:dyDescent="0.25">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ht="14.25" customHeight="1" spans="1:26" x14ac:dyDescent="0.25">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ht="14.25" customHeight="1" spans="1:26" x14ac:dyDescent="0.25">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ht="14.25" customHeight="1" spans="1:26" x14ac:dyDescent="0.25">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ht="14.25" customHeight="1" spans="1:26" x14ac:dyDescent="0.25">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ht="14.25" customHeight="1" spans="1:26" x14ac:dyDescent="0.25">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ht="14.25" customHeight="1" spans="1:26" x14ac:dyDescent="0.25">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ht="14.25" customHeight="1" spans="1:26" x14ac:dyDescent="0.25">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ht="14.25" customHeight="1" spans="1:26" x14ac:dyDescent="0.25">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ht="14.25" customHeight="1" spans="1:26" x14ac:dyDescent="0.25">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ht="14.25" customHeight="1" spans="1:26" x14ac:dyDescent="0.25">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ht="14.25" customHeight="1" spans="1:26" x14ac:dyDescent="0.25">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ht="14.25" customHeight="1" spans="1:26" x14ac:dyDescent="0.25">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ht="14.25" customHeight="1" spans="1:26" x14ac:dyDescent="0.25">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ht="14.25" customHeight="1" spans="1:26" x14ac:dyDescent="0.25">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ht="14.25" customHeight="1" spans="1:26" x14ac:dyDescent="0.25">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ht="14.25" customHeight="1" spans="1:26" x14ac:dyDescent="0.25">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ht="14.25" customHeight="1" spans="1:26" x14ac:dyDescent="0.25">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ht="14.25" customHeight="1" spans="1:26" x14ac:dyDescent="0.25">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ht="14.25" customHeight="1" spans="1:26" x14ac:dyDescent="0.25">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ht="14.25" customHeight="1" spans="1:26" x14ac:dyDescent="0.25">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ht="14.25" customHeight="1" spans="1:26" x14ac:dyDescent="0.25">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ht="14.25" customHeight="1" spans="1:26" x14ac:dyDescent="0.25">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ht="14.25" customHeight="1" spans="1:26" x14ac:dyDescent="0.25">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ht="14.25" customHeight="1" spans="1:26" x14ac:dyDescent="0.25">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ht="14.25" customHeight="1" spans="1:26" x14ac:dyDescent="0.25">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ht="14.25" customHeight="1" spans="1:26" x14ac:dyDescent="0.25">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ht="14.25" customHeight="1" spans="1:26" x14ac:dyDescent="0.25">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ht="14.25" customHeight="1" spans="1:26" x14ac:dyDescent="0.25">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ht="14.25" customHeight="1" spans="1:26" x14ac:dyDescent="0.25">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ht="14.25" customHeight="1" spans="1:26" x14ac:dyDescent="0.25">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ht="14.25" customHeight="1" spans="1:26" x14ac:dyDescent="0.25">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ht="14.25" customHeight="1" spans="1:26" x14ac:dyDescent="0.25">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ht="14.25" customHeight="1" spans="1:26" x14ac:dyDescent="0.25">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ht="14.25" customHeight="1" spans="1:26" x14ac:dyDescent="0.25">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ht="14.25" customHeight="1" spans="1:26" x14ac:dyDescent="0.25">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ht="14.25" customHeight="1" spans="1:26" x14ac:dyDescent="0.25">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ht="14.25" customHeight="1" spans="1:26" x14ac:dyDescent="0.25">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ht="14.25" customHeight="1" spans="1:26" x14ac:dyDescent="0.25">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ht="14.25" customHeight="1" spans="1:26" x14ac:dyDescent="0.25">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ht="14.25" customHeight="1" spans="1:26" x14ac:dyDescent="0.25">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ht="14.25" customHeight="1" spans="1:26" x14ac:dyDescent="0.25">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ht="14.25" customHeight="1" spans="1:26" x14ac:dyDescent="0.25">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ht="14.25" customHeight="1" spans="1:26" x14ac:dyDescent="0.25">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ht="14.25" customHeight="1" spans="1:26" x14ac:dyDescent="0.25">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ht="14.25" customHeight="1" spans="1:26" x14ac:dyDescent="0.25">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ht="14.25" customHeight="1" spans="1:26" x14ac:dyDescent="0.25">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ht="14.25" customHeight="1" spans="1:26" x14ac:dyDescent="0.25">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ht="14.25" customHeight="1" spans="1:26" x14ac:dyDescent="0.25">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ht="14.25" customHeight="1" spans="1:26" x14ac:dyDescent="0.25">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ht="14.25" customHeight="1" spans="1:26" x14ac:dyDescent="0.25">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ht="14.25" customHeight="1" spans="1:26" x14ac:dyDescent="0.25">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ht="14.25" customHeight="1" spans="1:26" x14ac:dyDescent="0.25">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ht="14.25" customHeight="1" spans="1:26" x14ac:dyDescent="0.25">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ht="14.25" customHeight="1" spans="1:26" x14ac:dyDescent="0.25">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ht="14.25" customHeight="1" spans="1:26" x14ac:dyDescent="0.25">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ht="14.25" customHeight="1" spans="1:26" x14ac:dyDescent="0.25">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ht="14.25" customHeight="1" spans="1:26" x14ac:dyDescent="0.25">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ht="14.25" customHeight="1" spans="1:26" x14ac:dyDescent="0.25">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ht="14.25" customHeight="1" spans="1:26" x14ac:dyDescent="0.25">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ht="14.25" customHeight="1" spans="1:26" x14ac:dyDescent="0.25">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ht="14.25" customHeight="1" spans="1:26" x14ac:dyDescent="0.25">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ht="14.25" customHeight="1" spans="1:26" x14ac:dyDescent="0.25">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ht="14.25" customHeight="1" spans="1:26" x14ac:dyDescent="0.25">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ht="14.25" customHeight="1" spans="1:26" x14ac:dyDescent="0.25">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ht="14.25" customHeight="1" spans="1:26" x14ac:dyDescent="0.25">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ht="14.25" customHeight="1" spans="1:26" x14ac:dyDescent="0.25">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ht="14.25" customHeight="1" spans="1:26" x14ac:dyDescent="0.25">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ht="14.25" customHeight="1" spans="1:26" x14ac:dyDescent="0.25">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ht="14.25" customHeight="1" spans="1:26" x14ac:dyDescent="0.25">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ht="14.25" customHeight="1" spans="1:26" x14ac:dyDescent="0.25">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ht="14.25" customHeight="1" spans="1:26" x14ac:dyDescent="0.25">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ht="14.25" customHeight="1" spans="1:26" x14ac:dyDescent="0.25">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ht="14.25" customHeight="1" spans="1:26" x14ac:dyDescent="0.25">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ht="14.25" customHeight="1" spans="1:26" x14ac:dyDescent="0.25">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ht="14.25" customHeight="1" spans="1:26" x14ac:dyDescent="0.25">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ht="14.25" customHeight="1" spans="1:26" x14ac:dyDescent="0.25">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ht="14.25" customHeight="1" spans="1:26" x14ac:dyDescent="0.25">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ht="14.25" customHeight="1" spans="1:26" x14ac:dyDescent="0.25">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ht="14.25" customHeight="1" spans="1:26" x14ac:dyDescent="0.25">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ht="14.25" customHeight="1" spans="1:26" x14ac:dyDescent="0.25">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ht="14.25" customHeight="1" spans="1:26" x14ac:dyDescent="0.25">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ht="14.25" customHeight="1" spans="1:26" x14ac:dyDescent="0.25">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ht="14.25" customHeight="1" spans="1:26" x14ac:dyDescent="0.2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ht="14.25" customHeight="1" spans="1:26" x14ac:dyDescent="0.25">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ht="14.25" customHeight="1" spans="1:26" x14ac:dyDescent="0.25">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ht="14.25" customHeight="1" spans="1:26" x14ac:dyDescent="0.25">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ht="14.25" customHeight="1" spans="1:26" x14ac:dyDescent="0.25">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ht="14.25" customHeight="1" spans="1:26" x14ac:dyDescent="0.25">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ht="14.25" customHeight="1" spans="1:26" x14ac:dyDescent="0.25">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ht="14.25" customHeight="1" spans="1:26" x14ac:dyDescent="0.25">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ht="14.25" customHeight="1" spans="1:26" x14ac:dyDescent="0.25">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ht="14.25" customHeight="1" spans="1:26" x14ac:dyDescent="0.25">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ht="14.25" customHeight="1" spans="1:26" x14ac:dyDescent="0.2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ht="14.25" customHeight="1" spans="1:26" x14ac:dyDescent="0.25">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ht="14.25" customHeight="1" spans="1:26" x14ac:dyDescent="0.25">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ht="14.25" customHeight="1" spans="1:26" x14ac:dyDescent="0.25">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ht="14.25" customHeight="1" spans="1:26" x14ac:dyDescent="0.25">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ht="14.25" customHeight="1" spans="1:26" x14ac:dyDescent="0.25">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ht="14.25" customHeight="1" spans="1:26" x14ac:dyDescent="0.25">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ht="14.25" customHeight="1" spans="1:26" x14ac:dyDescent="0.25">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ht="14.25" customHeight="1" spans="1:26" x14ac:dyDescent="0.25">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ht="14.25" customHeight="1" spans="1:26" x14ac:dyDescent="0.25">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ht="14.25" customHeight="1" spans="1:26" x14ac:dyDescent="0.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ht="14.25" customHeight="1" spans="1:26" x14ac:dyDescent="0.25">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ht="14.25" customHeight="1" spans="1:26" x14ac:dyDescent="0.25">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ht="14.25" customHeight="1" spans="1:26" x14ac:dyDescent="0.25">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ht="14.25" customHeight="1" spans="1:26" x14ac:dyDescent="0.25">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ht="14.25" customHeight="1" spans="1:26" x14ac:dyDescent="0.25">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ht="14.25" customHeight="1" spans="1:26" x14ac:dyDescent="0.25">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ht="14.25" customHeight="1" spans="1:26" x14ac:dyDescent="0.25">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ht="14.25" customHeight="1" spans="1:26" x14ac:dyDescent="0.25">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ht="14.25" customHeight="1" spans="1:26" x14ac:dyDescent="0.25">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ht="14.25" customHeight="1" spans="1:26" x14ac:dyDescent="0.2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ht="14.25" customHeight="1" spans="1:26" x14ac:dyDescent="0.25">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ht="14.25" customHeight="1" spans="1:26" x14ac:dyDescent="0.25">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ht="14.25" customHeight="1" spans="1:26" x14ac:dyDescent="0.25">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ht="14.25" customHeight="1" spans="1:26" x14ac:dyDescent="0.25">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ht="14.25" customHeight="1" spans="1:26" x14ac:dyDescent="0.25">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ht="14.25" customHeight="1" spans="1:26" x14ac:dyDescent="0.25">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ht="14.25" customHeight="1" spans="1:26" x14ac:dyDescent="0.25">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ht="14.25" customHeight="1" spans="1:26" x14ac:dyDescent="0.25">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ht="14.25" customHeight="1" spans="1:26" x14ac:dyDescent="0.25">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ht="14.25" customHeight="1" spans="1:26" x14ac:dyDescent="0.2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ht="14.25" customHeight="1" spans="1:26" x14ac:dyDescent="0.25">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ht="14.25" customHeight="1" spans="1:26" x14ac:dyDescent="0.25">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ht="14.25" customHeight="1" spans="1:26" x14ac:dyDescent="0.25">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ht="14.25" customHeight="1" spans="1:26" x14ac:dyDescent="0.25">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ht="14.25" customHeight="1" spans="1:26" x14ac:dyDescent="0.25">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ht="14.25" customHeight="1" spans="1:26" x14ac:dyDescent="0.25">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ht="14.25" customHeight="1" spans="1:26" x14ac:dyDescent="0.25">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ht="14.25" customHeight="1" spans="1:26" x14ac:dyDescent="0.25">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ht="14.25" customHeight="1" spans="1:26" x14ac:dyDescent="0.25">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ht="14.25" customHeight="1" spans="1:26" x14ac:dyDescent="0.2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ht="14.25" customHeight="1" spans="1:26" x14ac:dyDescent="0.25">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ht="14.25" customHeight="1" spans="1:26" x14ac:dyDescent="0.25">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ht="14.25" customHeight="1" spans="1:26" x14ac:dyDescent="0.25">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ht="14.25" customHeight="1" spans="1:26" x14ac:dyDescent="0.25">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ht="14.25" customHeight="1" spans="1:26" x14ac:dyDescent="0.25">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ht="14.25" customHeight="1" spans="1:26" x14ac:dyDescent="0.25">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ht="14.25" customHeight="1" spans="1:26" x14ac:dyDescent="0.25">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ht="14.25" customHeight="1" spans="1:26" x14ac:dyDescent="0.25">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ht="14.25" customHeight="1" spans="1:26" x14ac:dyDescent="0.25">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ht="14.25" customHeight="1" spans="1:26" x14ac:dyDescent="0.2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ht="14.25" customHeight="1" spans="1:26" x14ac:dyDescent="0.25">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ht="14.25" customHeight="1" spans="1:26" x14ac:dyDescent="0.25">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ht="14.25" customHeight="1" spans="1:26" x14ac:dyDescent="0.25">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ht="14.25" customHeight="1" spans="1:26" x14ac:dyDescent="0.25">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ht="14.25" customHeight="1" spans="1:26" x14ac:dyDescent="0.25">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ht="14.25" customHeight="1" spans="1:26" x14ac:dyDescent="0.25">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ht="14.25" customHeight="1" spans="1:26" x14ac:dyDescent="0.25">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ht="14.25" customHeight="1" spans="1:26" x14ac:dyDescent="0.25">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ht="14.25" customHeight="1" spans="1:26" x14ac:dyDescent="0.25">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ht="14.25" customHeight="1" spans="1:26" x14ac:dyDescent="0.2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ht="14.25" customHeight="1" spans="1:26" x14ac:dyDescent="0.25">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ht="14.25" customHeight="1" spans="1:26" x14ac:dyDescent="0.25">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ht="14.25" customHeight="1" spans="1:26" x14ac:dyDescent="0.25">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ht="14.25" customHeight="1" spans="1:26" x14ac:dyDescent="0.25">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ht="14.25" customHeight="1" spans="1:26" x14ac:dyDescent="0.25">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ht="14.25" customHeight="1" spans="1:26" x14ac:dyDescent="0.25">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ht="14.25" customHeight="1" spans="1:26" x14ac:dyDescent="0.25">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ht="14.25" customHeight="1" spans="1:26" x14ac:dyDescent="0.25">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ht="14.25" customHeight="1" spans="1:26" x14ac:dyDescent="0.25">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ht="14.25" customHeight="1" spans="1:26" x14ac:dyDescent="0.2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ht="14.25" customHeight="1" spans="1:26" x14ac:dyDescent="0.25">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ht="14.25" customHeight="1" spans="1:26" x14ac:dyDescent="0.25">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ht="14.25" customHeight="1" spans="1:26" x14ac:dyDescent="0.25">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ht="14.25" customHeight="1" spans="1:26" x14ac:dyDescent="0.25">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ht="14.25" customHeight="1" spans="1:26" x14ac:dyDescent="0.25">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ht="14.25" customHeight="1" spans="1:26" x14ac:dyDescent="0.25">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ht="14.25" customHeight="1" spans="1:26" x14ac:dyDescent="0.25">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ht="14.25" customHeight="1" spans="1:26" x14ac:dyDescent="0.25">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ht="14.25" customHeight="1" spans="1:26" x14ac:dyDescent="0.25">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ht="14.25" customHeight="1" spans="1:26" x14ac:dyDescent="0.2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ht="14.25" customHeight="1" spans="1:26" x14ac:dyDescent="0.25">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ht="14.25" customHeight="1" spans="1:26" x14ac:dyDescent="0.25">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ht="14.25" customHeight="1" spans="1:26" x14ac:dyDescent="0.25">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ht="14.25" customHeight="1" spans="1:26" x14ac:dyDescent="0.25">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ht="14.25" customHeight="1" spans="1:26" x14ac:dyDescent="0.25">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ht="14.25" customHeight="1" spans="1:26" x14ac:dyDescent="0.25">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ht="14.25" customHeight="1" spans="1:26" x14ac:dyDescent="0.25">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ht="14.25" customHeight="1" spans="1:26" x14ac:dyDescent="0.25">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ht="14.25" customHeight="1" spans="1:26" x14ac:dyDescent="0.25">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ht="14.25" customHeight="1" spans="1:26" x14ac:dyDescent="0.2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ht="14.25" customHeight="1" spans="1:26" x14ac:dyDescent="0.25">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ht="14.25" customHeight="1" spans="1:26" x14ac:dyDescent="0.25">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ht="14.25" customHeight="1" spans="1:26" x14ac:dyDescent="0.25">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ht="14.25" customHeight="1" spans="1:26" x14ac:dyDescent="0.25">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ht="14.25" customHeight="1" spans="1:26" x14ac:dyDescent="0.25">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ht="14.25" customHeight="1" spans="1:26" x14ac:dyDescent="0.25">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ht="14.25" customHeight="1" spans="1:26" x14ac:dyDescent="0.25">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ht="14.25" customHeight="1" spans="1:26" x14ac:dyDescent="0.25">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ht="14.25" customHeight="1" spans="1:26" x14ac:dyDescent="0.25">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ht="14.25" customHeight="1" spans="1:26" x14ac:dyDescent="0.2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ht="14.25" customHeight="1" spans="1:26" x14ac:dyDescent="0.25">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ht="14.25" customHeight="1" spans="1:26" x14ac:dyDescent="0.25">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ht="14.25" customHeight="1" spans="1:26" x14ac:dyDescent="0.25">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ht="14.25" customHeight="1" spans="1:26" x14ac:dyDescent="0.25">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ht="14.25" customHeight="1" spans="1:26" x14ac:dyDescent="0.25">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ht="14.25" customHeight="1" spans="1:26" x14ac:dyDescent="0.25">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ht="14.25" customHeight="1" spans="1:26" x14ac:dyDescent="0.25">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ht="14.25" customHeight="1" spans="1:26" x14ac:dyDescent="0.25">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ht="14.25" customHeight="1" spans="1:26" x14ac:dyDescent="0.25">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ht="14.25" customHeight="1" spans="1:26" x14ac:dyDescent="0.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ht="14.25" customHeight="1" spans="1:26" x14ac:dyDescent="0.25">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ht="14.25" customHeight="1" spans="1:26" x14ac:dyDescent="0.25">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ht="14.25" customHeight="1" spans="1:26" x14ac:dyDescent="0.25">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ht="14.25" customHeight="1" spans="1:26" x14ac:dyDescent="0.25">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ht="14.25" customHeight="1" spans="1:26" x14ac:dyDescent="0.25">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ht="14.25" customHeight="1" spans="1:26" x14ac:dyDescent="0.25">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ht="14.25" customHeight="1" spans="1:26" x14ac:dyDescent="0.25">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ht="14.25" customHeight="1" spans="1:26" x14ac:dyDescent="0.25">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ht="14.25" customHeight="1" spans="1:26" x14ac:dyDescent="0.25">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ht="14.25" customHeight="1" spans="1:26" x14ac:dyDescent="0.2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ht="14.25" customHeight="1" spans="1:26" x14ac:dyDescent="0.25">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ht="14.25" customHeight="1" spans="1:26" x14ac:dyDescent="0.25">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ht="14.25" customHeight="1" spans="1:26" x14ac:dyDescent="0.25">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ht="14.25" customHeight="1" spans="1:26" x14ac:dyDescent="0.25">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ht="14.25" customHeight="1" spans="1:26" x14ac:dyDescent="0.25">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ht="14.25" customHeight="1" spans="1:26" x14ac:dyDescent="0.25">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ht="14.25" customHeight="1" spans="1:26" x14ac:dyDescent="0.25">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ht="14.25" customHeight="1" spans="1:26" x14ac:dyDescent="0.25">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ht="14.25" customHeight="1" spans="1:26" x14ac:dyDescent="0.25">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ht="14.25" customHeight="1" spans="1:26" x14ac:dyDescent="0.2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ht="14.25" customHeight="1" spans="1:26" x14ac:dyDescent="0.25">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ht="14.25" customHeight="1" spans="1:26" x14ac:dyDescent="0.25">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ht="14.25" customHeight="1" spans="1:26" x14ac:dyDescent="0.25">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ht="14.25" customHeight="1" spans="1:26" x14ac:dyDescent="0.25">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ht="14.25" customHeight="1" spans="1:26" x14ac:dyDescent="0.25">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ht="14.25" customHeight="1" spans="1:26" x14ac:dyDescent="0.25">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ht="14.25" customHeight="1" spans="1:26" x14ac:dyDescent="0.25">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ht="14.25" customHeight="1" spans="1:26" x14ac:dyDescent="0.25">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ht="14.25" customHeight="1" spans="1:26" x14ac:dyDescent="0.25">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ht="14.25" customHeight="1" spans="1:26" x14ac:dyDescent="0.2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ht="14.25" customHeight="1" spans="1:26" x14ac:dyDescent="0.25">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ht="14.25" customHeight="1" spans="1:26" x14ac:dyDescent="0.25">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ht="14.25" customHeight="1" spans="1:26" x14ac:dyDescent="0.25">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ht="14.25" customHeight="1" spans="1:26" x14ac:dyDescent="0.25">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ht="14.25" customHeight="1" spans="1:26" x14ac:dyDescent="0.25">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ht="14.25" customHeight="1" spans="1:26" x14ac:dyDescent="0.25">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ht="14.25" customHeight="1" spans="1:26" x14ac:dyDescent="0.25">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ht="14.25" customHeight="1" spans="1:26" x14ac:dyDescent="0.25">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ht="14.25" customHeight="1" spans="1:26" x14ac:dyDescent="0.25">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ht="14.25" customHeight="1" spans="1:26" x14ac:dyDescent="0.2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ht="14.25" customHeight="1" spans="1:26" x14ac:dyDescent="0.25">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ht="14.25" customHeight="1" spans="1:26" x14ac:dyDescent="0.25">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ht="14.25" customHeight="1" spans="1:26" x14ac:dyDescent="0.25">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ht="14.25" customHeight="1" spans="1:26" x14ac:dyDescent="0.25">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ht="14.25" customHeight="1" spans="1:26" x14ac:dyDescent="0.25">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ht="14.25" customHeight="1" spans="1:26" x14ac:dyDescent="0.25">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ht="14.25" customHeight="1" spans="1:26" x14ac:dyDescent="0.25">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ht="14.25" customHeight="1" spans="1:26" x14ac:dyDescent="0.25">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ht="14.25" customHeight="1" spans="1:26" x14ac:dyDescent="0.25">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ht="14.25" customHeight="1" spans="1:26" x14ac:dyDescent="0.2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ht="14.25" customHeight="1" spans="1:26" x14ac:dyDescent="0.25">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ht="14.25" customHeight="1" spans="1:26" x14ac:dyDescent="0.25">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ht="14.25" customHeight="1" spans="1:26" x14ac:dyDescent="0.25">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ht="14.25" customHeight="1" spans="1:26" x14ac:dyDescent="0.25">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ht="14.25" customHeight="1" spans="1:26" x14ac:dyDescent="0.25">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ht="14.25" customHeight="1" spans="1:26" x14ac:dyDescent="0.25">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ht="14.25" customHeight="1" spans="1:26" x14ac:dyDescent="0.25">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ht="14.25" customHeight="1" spans="1:26" x14ac:dyDescent="0.25">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ht="14.25" customHeight="1" spans="1:26" x14ac:dyDescent="0.25">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ht="14.25" customHeight="1" spans="1:26" x14ac:dyDescent="0.2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ht="14.25" customHeight="1" spans="1:26" x14ac:dyDescent="0.25">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ht="14.25" customHeight="1" spans="1:26" x14ac:dyDescent="0.25">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ht="14.25" customHeight="1" spans="1:26" x14ac:dyDescent="0.25">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ht="14.25" customHeight="1" spans="1:26" x14ac:dyDescent="0.25">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ht="14.25" customHeight="1" spans="1:26" x14ac:dyDescent="0.25">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ht="14.25" customHeight="1" spans="1:26" x14ac:dyDescent="0.25">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ht="14.25" customHeight="1" spans="1:26" x14ac:dyDescent="0.25">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ht="14.25" customHeight="1" spans="1:26" x14ac:dyDescent="0.25">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ht="14.25" customHeight="1" spans="1:26" x14ac:dyDescent="0.25">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ht="14.25" customHeight="1" spans="1:26" x14ac:dyDescent="0.2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ht="14.25" customHeight="1" spans="1:26" x14ac:dyDescent="0.25">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ht="14.25" customHeight="1" spans="1:26" x14ac:dyDescent="0.25">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ht="14.25" customHeight="1" spans="1:26" x14ac:dyDescent="0.25">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ht="14.25" customHeight="1" spans="1:26" x14ac:dyDescent="0.25">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ht="14.25" customHeight="1" spans="1:26" x14ac:dyDescent="0.25">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ht="14.25" customHeight="1" spans="1:26" x14ac:dyDescent="0.25">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ht="14.25" customHeight="1" spans="1:26" x14ac:dyDescent="0.25">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ht="14.25" customHeight="1" spans="1:26" x14ac:dyDescent="0.25">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ht="14.25" customHeight="1" spans="1:26" x14ac:dyDescent="0.25">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ht="14.25" customHeight="1" spans="1:26" x14ac:dyDescent="0.2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ht="14.25" customHeight="1" spans="1:26" x14ac:dyDescent="0.25">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ht="14.25" customHeight="1" spans="1:26" x14ac:dyDescent="0.25">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ht="14.25" customHeight="1" spans="1:26" x14ac:dyDescent="0.25">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ht="14.25" customHeight="1" spans="1:26" x14ac:dyDescent="0.25">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ht="14.25" customHeight="1" spans="1:26" x14ac:dyDescent="0.25">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ht="14.25" customHeight="1" spans="1:26" x14ac:dyDescent="0.25">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ht="14.25" customHeight="1" spans="1:26" x14ac:dyDescent="0.25">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ht="14.25" customHeight="1" spans="1:26" x14ac:dyDescent="0.25">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ht="14.25" customHeight="1" spans="1:26" x14ac:dyDescent="0.25">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ht="14.25" customHeight="1" spans="1:26" x14ac:dyDescent="0.2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ht="14.25" customHeight="1" spans="1:26" x14ac:dyDescent="0.25">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ht="14.25" customHeight="1" spans="1:26" x14ac:dyDescent="0.25">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ht="14.25" customHeight="1" spans="1:26" x14ac:dyDescent="0.25">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ht="14.25" customHeight="1" spans="1:26" x14ac:dyDescent="0.25">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ht="14.25" customHeight="1" spans="1:26" x14ac:dyDescent="0.25">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ht="14.25" customHeight="1" spans="1:26" x14ac:dyDescent="0.25">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ht="14.25" customHeight="1" spans="1:26" x14ac:dyDescent="0.25">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ht="14.25" customHeight="1" spans="1:26" x14ac:dyDescent="0.25">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ht="14.25" customHeight="1" spans="1:26" x14ac:dyDescent="0.25">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ht="14.25" customHeight="1" spans="1:26" x14ac:dyDescent="0.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ht="14.25" customHeight="1" spans="1:26" x14ac:dyDescent="0.25">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ht="14.25" customHeight="1" spans="1:26" x14ac:dyDescent="0.25">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ht="14.25" customHeight="1" spans="1:26" x14ac:dyDescent="0.25">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ht="14.25" customHeight="1" spans="1:26" x14ac:dyDescent="0.25">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ht="14.25" customHeight="1" spans="1:26" x14ac:dyDescent="0.25">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ht="14.25" customHeight="1" spans="1:26" x14ac:dyDescent="0.25">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ht="14.25" customHeight="1" spans="1:26" x14ac:dyDescent="0.25">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ht="14.25" customHeight="1" spans="1:26" x14ac:dyDescent="0.25">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ht="14.25" customHeight="1" spans="1:26" x14ac:dyDescent="0.25">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ht="14.25" customHeight="1" spans="1:26" x14ac:dyDescent="0.2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ht="14.25" customHeight="1" spans="1:26" x14ac:dyDescent="0.25">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ht="14.25" customHeight="1" spans="1:26" x14ac:dyDescent="0.25">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ht="14.25" customHeight="1" spans="1:26" x14ac:dyDescent="0.25">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ht="14.25" customHeight="1" spans="1:26" x14ac:dyDescent="0.25">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ht="14.25" customHeight="1" spans="1:26" x14ac:dyDescent="0.25">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ht="14.25" customHeight="1" spans="1:26" x14ac:dyDescent="0.25">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ht="14.25" customHeight="1" spans="1:26" x14ac:dyDescent="0.25">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ht="14.25" customHeight="1" spans="1:26" x14ac:dyDescent="0.25">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ht="14.25" customHeight="1" spans="1:26" x14ac:dyDescent="0.25">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ht="14.25" customHeight="1" spans="1:26" x14ac:dyDescent="0.2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ht="14.25" customHeight="1" spans="1:26" x14ac:dyDescent="0.25">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ht="14.25" customHeight="1" spans="1:26" x14ac:dyDescent="0.25">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ht="14.25" customHeight="1" spans="1:26" x14ac:dyDescent="0.25">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ht="14.25" customHeight="1" spans="1:26" x14ac:dyDescent="0.25">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ht="14.25" customHeight="1" spans="1:26" x14ac:dyDescent="0.25">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ht="14.25" customHeight="1" spans="1:26" x14ac:dyDescent="0.25">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ht="14.25" customHeight="1" spans="1:26" x14ac:dyDescent="0.25">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ht="14.25" customHeight="1" spans="1:26" x14ac:dyDescent="0.25">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ht="14.25" customHeight="1" spans="1:26" x14ac:dyDescent="0.25">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ht="14.25" customHeight="1" spans="1:26" x14ac:dyDescent="0.2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ht="14.25" customHeight="1" spans="1:26" x14ac:dyDescent="0.25">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ht="14.25" customHeight="1" spans="1:26" x14ac:dyDescent="0.25">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ht="14.25" customHeight="1" spans="1:26" x14ac:dyDescent="0.25">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ht="14.25" customHeight="1" spans="1:26" x14ac:dyDescent="0.25">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ht="14.25" customHeight="1" spans="1:26" x14ac:dyDescent="0.25">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ht="14.25" customHeight="1" spans="1:26" x14ac:dyDescent="0.25">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ht="14.25" customHeight="1" spans="1:26" x14ac:dyDescent="0.25">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ht="14.25" customHeight="1" spans="1:26" x14ac:dyDescent="0.25">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ht="14.25" customHeight="1" spans="1:26" x14ac:dyDescent="0.25">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ht="14.25" customHeight="1" spans="1:26" x14ac:dyDescent="0.2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ht="14.25" customHeight="1" spans="1:26" x14ac:dyDescent="0.25">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ht="14.25" customHeight="1" spans="1:26" x14ac:dyDescent="0.25">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ht="14.25" customHeight="1" spans="1:26" x14ac:dyDescent="0.25">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ht="14.25" customHeight="1" spans="1:26" x14ac:dyDescent="0.25">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ht="14.25" customHeight="1" spans="1:26" x14ac:dyDescent="0.25">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ht="14.25" customHeight="1" spans="1:26" x14ac:dyDescent="0.25">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ht="14.25" customHeight="1" spans="1:26" x14ac:dyDescent="0.25">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ht="14.25" customHeight="1" spans="1:26" x14ac:dyDescent="0.25">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ht="14.25" customHeight="1" spans="1:26" x14ac:dyDescent="0.25">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ht="14.25" customHeight="1" spans="1:26" x14ac:dyDescent="0.2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ht="14.25" customHeight="1" spans="1:26" x14ac:dyDescent="0.25">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ht="14.25" customHeight="1" spans="1:26" x14ac:dyDescent="0.25">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ht="14.25" customHeight="1" spans="1:26" x14ac:dyDescent="0.25">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ht="14.25" customHeight="1" spans="1:26" x14ac:dyDescent="0.25">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ht="14.25" customHeight="1" spans="1:26" x14ac:dyDescent="0.25">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ht="14.25" customHeight="1" spans="1:26" x14ac:dyDescent="0.25">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ht="14.25" customHeight="1" spans="1:26" x14ac:dyDescent="0.25">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ht="14.25" customHeight="1" spans="1:26" x14ac:dyDescent="0.25">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ht="14.25" customHeight="1" spans="1:26" x14ac:dyDescent="0.25">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ht="14.25" customHeight="1" spans="1:26" x14ac:dyDescent="0.2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ht="14.25" customHeight="1" spans="1:26" x14ac:dyDescent="0.25">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ht="14.25" customHeight="1" spans="1:26" x14ac:dyDescent="0.25">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ht="14.25" customHeight="1" spans="1:26" x14ac:dyDescent="0.25">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ht="14.25" customHeight="1" spans="1:26" x14ac:dyDescent="0.25">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ht="14.25" customHeight="1" spans="1:26" x14ac:dyDescent="0.25">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ht="14.25" customHeight="1" spans="1:26" x14ac:dyDescent="0.25">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ht="14.25" customHeight="1" spans="1:26" x14ac:dyDescent="0.25">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ht="14.25" customHeight="1" spans="1:26" x14ac:dyDescent="0.25">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ht="14.25" customHeight="1" spans="1:26" x14ac:dyDescent="0.25">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ht="14.25" customHeight="1" spans="1:26" x14ac:dyDescent="0.2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ht="14.25" customHeight="1" spans="1:26" x14ac:dyDescent="0.25">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ht="14.25" customHeight="1" spans="1:26" x14ac:dyDescent="0.25">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ht="14.25" customHeight="1" spans="1:26" x14ac:dyDescent="0.25">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ht="14.25" customHeight="1" spans="1:26" x14ac:dyDescent="0.25">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ht="14.25" customHeight="1" spans="1:26" x14ac:dyDescent="0.25">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ht="14.25" customHeight="1" spans="1:26" x14ac:dyDescent="0.25">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ht="14.25" customHeight="1" spans="1:26" x14ac:dyDescent="0.25">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ht="14.25" customHeight="1" spans="1:26" x14ac:dyDescent="0.25">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ht="14.25" customHeight="1" spans="1:26" x14ac:dyDescent="0.25">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ht="14.25" customHeight="1" spans="1:26" x14ac:dyDescent="0.2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ht="14.25" customHeight="1" spans="1:26" x14ac:dyDescent="0.25">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ht="14.25" customHeight="1" spans="1:26" x14ac:dyDescent="0.25">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ht="14.25" customHeight="1" spans="1:26" x14ac:dyDescent="0.25">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ht="14.25" customHeight="1" spans="1:26" x14ac:dyDescent="0.25">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ht="14.25" customHeight="1" spans="1:26" x14ac:dyDescent="0.25">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ht="14.25" customHeight="1" spans="1:26" x14ac:dyDescent="0.25">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ht="14.25" customHeight="1" spans="1:26" x14ac:dyDescent="0.25">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ht="14.25" customHeight="1" spans="1:26" x14ac:dyDescent="0.25">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ht="14.25" customHeight="1" spans="1:26" x14ac:dyDescent="0.25">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ht="14.25" customHeight="1" spans="1:26" x14ac:dyDescent="0.2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ht="14.25" customHeight="1" spans="1:26" x14ac:dyDescent="0.25">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ht="14.25" customHeight="1" spans="1:26" x14ac:dyDescent="0.25">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ht="14.25" customHeight="1" spans="1:26" x14ac:dyDescent="0.25">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ht="14.25" customHeight="1" spans="1:26" x14ac:dyDescent="0.25">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ht="14.25" customHeight="1" spans="1:26" x14ac:dyDescent="0.25">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ht="14.25" customHeight="1" spans="1:26" x14ac:dyDescent="0.25">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ht="14.25" customHeight="1" spans="1:26" x14ac:dyDescent="0.25">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ht="14.25" customHeight="1" spans="1:26" x14ac:dyDescent="0.25">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ht="14.25" customHeight="1" spans="1:26" x14ac:dyDescent="0.25">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ht="14.25" customHeight="1" spans="1:26" x14ac:dyDescent="0.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ht="14.25" customHeight="1" spans="1:26" x14ac:dyDescent="0.25">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ht="14.25" customHeight="1" spans="1:26" x14ac:dyDescent="0.25">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ht="14.25" customHeight="1" spans="1:26" x14ac:dyDescent="0.25">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ht="14.25" customHeight="1" spans="1:26" x14ac:dyDescent="0.25">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ht="14.25" customHeight="1" spans="1:26" x14ac:dyDescent="0.25">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ht="14.25" customHeight="1" spans="1:26" x14ac:dyDescent="0.25">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ht="14.25" customHeight="1" spans="1:26" x14ac:dyDescent="0.25">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ht="14.25" customHeight="1" spans="1:26" x14ac:dyDescent="0.25">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ht="14.25" customHeight="1" spans="1:26" x14ac:dyDescent="0.25">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ht="14.25" customHeight="1" spans="1:26" x14ac:dyDescent="0.2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ht="14.25" customHeight="1" spans="1:26" x14ac:dyDescent="0.25">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ht="14.25" customHeight="1" spans="1:26" x14ac:dyDescent="0.25">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ht="14.25" customHeight="1" spans="1:26" x14ac:dyDescent="0.25">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ht="14.25" customHeight="1" spans="1:26" x14ac:dyDescent="0.25">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ht="14.25" customHeight="1" spans="1:26" x14ac:dyDescent="0.25">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ht="14.25" customHeight="1" spans="1:26" x14ac:dyDescent="0.25">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ht="14.25" customHeight="1" spans="1:26" x14ac:dyDescent="0.25">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ht="14.25" customHeight="1" spans="1:26" x14ac:dyDescent="0.25">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ht="14.25" customHeight="1" spans="1:26" x14ac:dyDescent="0.25">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ht="14.25" customHeight="1" spans="1:26" x14ac:dyDescent="0.2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ht="14.25" customHeight="1" spans="1:26" x14ac:dyDescent="0.25">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ht="14.25" customHeight="1" spans="1:26" x14ac:dyDescent="0.25">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ht="14.25" customHeight="1" spans="1:26" x14ac:dyDescent="0.25">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ht="14.25" customHeight="1" spans="1:26" x14ac:dyDescent="0.25">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ht="14.25" customHeight="1" spans="1:26" x14ac:dyDescent="0.25">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ht="14.25" customHeight="1" spans="1:26" x14ac:dyDescent="0.25">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ht="14.25" customHeight="1" spans="1:26" x14ac:dyDescent="0.25">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ht="14.25" customHeight="1" spans="1:26" x14ac:dyDescent="0.25">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ht="14.25" customHeight="1" spans="1:26" x14ac:dyDescent="0.25">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ht="14.25" customHeight="1" spans="1:26" x14ac:dyDescent="0.2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ht="14.25" customHeight="1" spans="1:26" x14ac:dyDescent="0.25">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ht="14.25" customHeight="1" spans="1:26" x14ac:dyDescent="0.25">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ht="14.25" customHeight="1" spans="1:26" x14ac:dyDescent="0.25">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ht="14.25" customHeight="1" spans="1:26" x14ac:dyDescent="0.25">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ht="14.25" customHeight="1" spans="1:26" x14ac:dyDescent="0.25">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ht="14.25" customHeight="1" spans="1:26" x14ac:dyDescent="0.25">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ht="14.25" customHeight="1" spans="1:26" x14ac:dyDescent="0.25">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ht="14.25" customHeight="1" spans="1:26" x14ac:dyDescent="0.25">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ht="14.25" customHeight="1" spans="1:26" x14ac:dyDescent="0.25">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ht="14.25" customHeight="1" spans="1:26" x14ac:dyDescent="0.2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ht="14.25" customHeight="1" spans="1:26" x14ac:dyDescent="0.25">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ht="14.25" customHeight="1" spans="1:26" x14ac:dyDescent="0.25">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ht="14.25" customHeight="1" spans="1:26" x14ac:dyDescent="0.25">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ht="14.25" customHeight="1" spans="1:26" x14ac:dyDescent="0.25">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ht="14.25" customHeight="1" spans="1:26" x14ac:dyDescent="0.25">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ht="14.25" customHeight="1" spans="1:26" x14ac:dyDescent="0.25">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ht="14.25" customHeight="1" spans="1:26" x14ac:dyDescent="0.25">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ht="14.25" customHeight="1" spans="1:26" x14ac:dyDescent="0.25">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ht="14.25" customHeight="1" spans="1:26" x14ac:dyDescent="0.25">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ht="14.25" customHeight="1" spans="1:26" x14ac:dyDescent="0.2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ht="14.25" customHeight="1" spans="1:26" x14ac:dyDescent="0.25">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ht="14.25" customHeight="1" spans="1:26" x14ac:dyDescent="0.25">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ht="14.25" customHeight="1" spans="1:26" x14ac:dyDescent="0.25">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ht="14.25" customHeight="1" spans="1:26" x14ac:dyDescent="0.25">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ht="14.25" customHeight="1" spans="1:26" x14ac:dyDescent="0.25">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ht="14.25" customHeight="1" spans="1:26" x14ac:dyDescent="0.25">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ht="14.25" customHeight="1" spans="1:26" x14ac:dyDescent="0.25">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ht="14.25" customHeight="1" spans="1:26" x14ac:dyDescent="0.25">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ht="14.25" customHeight="1" spans="1:26" x14ac:dyDescent="0.25">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ht="14.25" customHeight="1" spans="1:26" x14ac:dyDescent="0.2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ht="14.25" customHeight="1" spans="1:26" x14ac:dyDescent="0.25">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ht="14.25" customHeight="1" spans="1:26" x14ac:dyDescent="0.25">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ht="14.25" customHeight="1" spans="1:26" x14ac:dyDescent="0.25">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ht="14.25" customHeight="1" spans="1:26" x14ac:dyDescent="0.25">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ht="14.25" customHeight="1" spans="1:26" x14ac:dyDescent="0.25">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ht="14.25" customHeight="1" spans="1:26" x14ac:dyDescent="0.25">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ht="14.25" customHeight="1" spans="1:26" x14ac:dyDescent="0.25">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ht="14.25" customHeight="1" spans="1:26" x14ac:dyDescent="0.25">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ht="14.25" customHeight="1" spans="1:26" x14ac:dyDescent="0.25">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ht="14.25" customHeight="1" spans="1:26" x14ac:dyDescent="0.2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ht="14.25" customHeight="1" spans="1:26" x14ac:dyDescent="0.25">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ht="14.25" customHeight="1" spans="1:26" x14ac:dyDescent="0.25">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ht="14.25" customHeight="1" spans="1:26" x14ac:dyDescent="0.25">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ht="14.25" customHeight="1" spans="1:26" x14ac:dyDescent="0.25">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ht="14.25" customHeight="1" spans="1:26" x14ac:dyDescent="0.25">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ht="14.25" customHeight="1" spans="1:26" x14ac:dyDescent="0.25">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ht="14.25" customHeight="1" spans="1:26" x14ac:dyDescent="0.25">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ht="14.25" customHeight="1" spans="1:26" x14ac:dyDescent="0.25">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ht="14.25" customHeight="1" spans="1:26" x14ac:dyDescent="0.25">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ht="14.25" customHeight="1" spans="1:26" x14ac:dyDescent="0.2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ht="14.25" customHeight="1" spans="1:26" x14ac:dyDescent="0.25">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ht="14.25" customHeight="1" spans="1:26" x14ac:dyDescent="0.25">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ht="14.25" customHeight="1" spans="1:26" x14ac:dyDescent="0.25">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ht="14.25" customHeight="1" spans="1:26" x14ac:dyDescent="0.25">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ht="14.25" customHeight="1" spans="1:26" x14ac:dyDescent="0.25">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ht="14.25" customHeight="1" spans="1:26" x14ac:dyDescent="0.25">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ht="14.25" customHeight="1" spans="1:26" x14ac:dyDescent="0.25">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ht="14.25" customHeight="1" spans="1:26" x14ac:dyDescent="0.25">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ht="14.25" customHeight="1" spans="1:26" x14ac:dyDescent="0.25">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ht="14.25" customHeight="1" spans="1:26" x14ac:dyDescent="0.2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ht="14.25" customHeight="1" spans="1:26" x14ac:dyDescent="0.25">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ht="14.25" customHeight="1" spans="1:26" x14ac:dyDescent="0.25">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ht="14.25" customHeight="1" spans="1:26" x14ac:dyDescent="0.25">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ht="14.25" customHeight="1" spans="1:26" x14ac:dyDescent="0.25">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ht="14.25" customHeight="1" spans="1:26" x14ac:dyDescent="0.25">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ht="14.25" customHeight="1" spans="1:26" x14ac:dyDescent="0.25">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ht="14.25" customHeight="1" spans="1:26" x14ac:dyDescent="0.25">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ht="14.25" customHeight="1" spans="1:26" x14ac:dyDescent="0.25">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ht="14.25" customHeight="1" spans="1:26" x14ac:dyDescent="0.25">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ht="14.25" customHeight="1" spans="1:26" x14ac:dyDescent="0.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ht="14.25" customHeight="1" spans="1:26" x14ac:dyDescent="0.25">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ht="14.25" customHeight="1" spans="1:26" x14ac:dyDescent="0.25">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ht="14.25" customHeight="1" spans="1:26" x14ac:dyDescent="0.25">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ht="14.25" customHeight="1" spans="1:26" x14ac:dyDescent="0.25">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ht="14.25" customHeight="1" spans="1:26" x14ac:dyDescent="0.25">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ht="14.25" customHeight="1" spans="1:26" x14ac:dyDescent="0.25">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ht="14.25" customHeight="1" spans="1:26" x14ac:dyDescent="0.25">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ht="14.25" customHeight="1" spans="1:26" x14ac:dyDescent="0.25">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ht="14.25" customHeight="1" spans="1:26" x14ac:dyDescent="0.25">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ht="14.25" customHeight="1" spans="1:26" x14ac:dyDescent="0.2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ht="14.25" customHeight="1" spans="1:26" x14ac:dyDescent="0.25">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ht="14.25" customHeight="1" spans="1:26" x14ac:dyDescent="0.25">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ht="14.25" customHeight="1" spans="1:26" x14ac:dyDescent="0.25">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ht="14.25" customHeight="1" spans="1:26" x14ac:dyDescent="0.25">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ht="14.25" customHeight="1" spans="1:26" x14ac:dyDescent="0.25">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ht="14.25" customHeight="1" spans="1:26" x14ac:dyDescent="0.25">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ht="14.25" customHeight="1" spans="1:26" x14ac:dyDescent="0.25">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ht="14.25" customHeight="1" spans="1:26" x14ac:dyDescent="0.25">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ht="14.25" customHeight="1" spans="1:26" x14ac:dyDescent="0.25">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ht="14.25" customHeight="1" spans="1:26" x14ac:dyDescent="0.2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ht="14.25" customHeight="1" spans="1:26" x14ac:dyDescent="0.25">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ht="14.25" customHeight="1" spans="1:26" x14ac:dyDescent="0.25">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ht="14.25" customHeight="1" spans="1:26" x14ac:dyDescent="0.25">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ht="14.25" customHeight="1" spans="1:26" x14ac:dyDescent="0.25">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ht="14.25" customHeight="1" spans="1:26" x14ac:dyDescent="0.25">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ht="14.25" customHeight="1" spans="1:26" x14ac:dyDescent="0.25">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ht="14.25" customHeight="1" spans="1:26" x14ac:dyDescent="0.25">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ht="14.25" customHeight="1" spans="1:26" x14ac:dyDescent="0.25">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ht="14.25" customHeight="1" spans="1:26" x14ac:dyDescent="0.25">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ht="14.25" customHeight="1" spans="1:26" x14ac:dyDescent="0.2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ht="14.25" customHeight="1" spans="1:26" x14ac:dyDescent="0.25">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ht="14.25" customHeight="1" spans="1:26" x14ac:dyDescent="0.25">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ht="14.25" customHeight="1" spans="1:26" x14ac:dyDescent="0.25">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ht="14.25" customHeight="1" spans="1:26" x14ac:dyDescent="0.25">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ht="14.25" customHeight="1" spans="1:26" x14ac:dyDescent="0.25">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ht="14.25" customHeight="1" spans="1:26" x14ac:dyDescent="0.25">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ht="14.25" customHeight="1" spans="1:26" x14ac:dyDescent="0.25">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ht="14.25" customHeight="1" spans="1:26" x14ac:dyDescent="0.25">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ht="14.25" customHeight="1" spans="1:26" x14ac:dyDescent="0.25">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ht="14.25" customHeight="1" spans="1:26" x14ac:dyDescent="0.2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ht="14.25" customHeight="1" spans="1:26" x14ac:dyDescent="0.25">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ht="14.25" customHeight="1" spans="1:26" x14ac:dyDescent="0.25">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ht="14.25" customHeight="1" spans="1:26" x14ac:dyDescent="0.25">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ht="14.25" customHeight="1" spans="1:26" x14ac:dyDescent="0.25">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ht="14.25" customHeight="1" spans="1:26" x14ac:dyDescent="0.25">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ht="14.25" customHeight="1" spans="1:26" x14ac:dyDescent="0.25">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ht="14.25" customHeight="1" spans="1:26" x14ac:dyDescent="0.25">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ht="14.25" customHeight="1" spans="1:26" x14ac:dyDescent="0.25">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ht="14.25" customHeight="1" spans="1:26" x14ac:dyDescent="0.25">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ht="14.25" customHeight="1" spans="1:26" x14ac:dyDescent="0.2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ht="14.25" customHeight="1" spans="1:26" x14ac:dyDescent="0.25">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ht="14.25" customHeight="1" spans="1:26" x14ac:dyDescent="0.25">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ht="14.25" customHeight="1" spans="1:26" x14ac:dyDescent="0.25">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ht="14.25" customHeight="1" spans="1:26" x14ac:dyDescent="0.25">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ht="14.25" customHeight="1" spans="1:26" x14ac:dyDescent="0.25">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ht="14.25" customHeight="1" spans="1:26" x14ac:dyDescent="0.25">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ht="14.25" customHeight="1" spans="1:26" x14ac:dyDescent="0.25">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ht="14.25" customHeight="1" spans="1:26" x14ac:dyDescent="0.25">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ht="14.25" customHeight="1" spans="1:26" x14ac:dyDescent="0.25">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ht="14.25" customHeight="1" spans="1:26" x14ac:dyDescent="0.2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ht="14.25" customHeight="1" spans="1:26" x14ac:dyDescent="0.25">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ht="14.25" customHeight="1" spans="1:26" x14ac:dyDescent="0.25">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ht="14.25" customHeight="1" spans="1:26" x14ac:dyDescent="0.25">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ht="14.25" customHeight="1" spans="1:26" x14ac:dyDescent="0.25">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ht="14.25" customHeight="1" spans="1:26" x14ac:dyDescent="0.25">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ht="14.25" customHeight="1" spans="1:26" x14ac:dyDescent="0.25">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ht="14.25" customHeight="1" spans="1:26" x14ac:dyDescent="0.25">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ht="14.25" customHeight="1" spans="1:26" x14ac:dyDescent="0.25">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ht="14.25" customHeight="1" spans="1:26" x14ac:dyDescent="0.25">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ht="14.25" customHeight="1" spans="1:26" x14ac:dyDescent="0.2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ht="14.25" customHeight="1" spans="1:26" x14ac:dyDescent="0.25">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ht="14.25" customHeight="1" spans="1:26" x14ac:dyDescent="0.25">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ht="14.25" customHeight="1" spans="1:26" x14ac:dyDescent="0.25">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ht="14.25" customHeight="1" spans="1:26" x14ac:dyDescent="0.25">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ht="14.25" customHeight="1" spans="1:26" x14ac:dyDescent="0.25">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ht="14.25" customHeight="1" spans="1:26" x14ac:dyDescent="0.25">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ht="14.25" customHeight="1" spans="1:26" x14ac:dyDescent="0.25">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ht="14.25" customHeight="1" spans="1:26" x14ac:dyDescent="0.25">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ht="14.25" customHeight="1" spans="1:26" x14ac:dyDescent="0.25">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ht="14.25" customHeight="1" spans="1:26" x14ac:dyDescent="0.2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ht="14.25" customHeight="1" spans="1:26" x14ac:dyDescent="0.25">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ht="14.25" customHeight="1" spans="1:26" x14ac:dyDescent="0.25">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ht="14.25" customHeight="1" spans="1:26" x14ac:dyDescent="0.25">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ht="14.25" customHeight="1" spans="1:26" x14ac:dyDescent="0.25">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ht="14.25" customHeight="1" spans="1:26" x14ac:dyDescent="0.25">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ht="14.25" customHeight="1" spans="1:26" x14ac:dyDescent="0.25">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ht="14.25" customHeight="1" spans="1:26" x14ac:dyDescent="0.25">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ht="14.25" customHeight="1" spans="1:26" x14ac:dyDescent="0.25">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ht="14.25" customHeight="1" spans="1:26" x14ac:dyDescent="0.25">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ht="14.25" customHeight="1" spans="1:26" x14ac:dyDescent="0.2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ht="14.25" customHeight="1" spans="1:26" x14ac:dyDescent="0.25">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ht="14.25" customHeight="1" spans="1:26" x14ac:dyDescent="0.25">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ht="14.25" customHeight="1" spans="1:26" x14ac:dyDescent="0.25">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ht="14.25" customHeight="1" spans="1:26" x14ac:dyDescent="0.25">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ht="14.25" customHeight="1" spans="1:26" x14ac:dyDescent="0.25">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ht="14.25" customHeight="1" spans="1:26" x14ac:dyDescent="0.25">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ht="14.25" customHeight="1" spans="1:26" x14ac:dyDescent="0.25">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ht="14.25" customHeight="1" spans="1:26" x14ac:dyDescent="0.25">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ht="14.25" customHeight="1" spans="1:26" x14ac:dyDescent="0.25">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ht="14.25" customHeight="1" spans="1:26" x14ac:dyDescent="0.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ht="14.25" customHeight="1" spans="1:26" x14ac:dyDescent="0.25">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ht="14.25" customHeight="1" spans="1:26" x14ac:dyDescent="0.25">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ht="14.25" customHeight="1" spans="1:26" x14ac:dyDescent="0.25">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ht="14.25" customHeight="1" spans="1:26" x14ac:dyDescent="0.25">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ht="14.25" customHeight="1" spans="1:26" x14ac:dyDescent="0.25">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ht="14.25" customHeight="1" spans="1:26" x14ac:dyDescent="0.25">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ht="14.25" customHeight="1" spans="1:26" x14ac:dyDescent="0.25">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ht="14.25" customHeight="1" spans="1:26" x14ac:dyDescent="0.25">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ht="14.25" customHeight="1" spans="1:26" x14ac:dyDescent="0.25">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ht="14.25" customHeight="1" spans="1:26" x14ac:dyDescent="0.2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ht="14.25" customHeight="1" spans="1:26" x14ac:dyDescent="0.25">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ht="14.25" customHeight="1" spans="1:26" x14ac:dyDescent="0.25">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ht="14.25" customHeight="1" spans="1:26" x14ac:dyDescent="0.25">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ht="14.25" customHeight="1" spans="1:26" x14ac:dyDescent="0.25">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ht="14.25" customHeight="1" spans="1:26" x14ac:dyDescent="0.25">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ht="14.25" customHeight="1" spans="1:26" x14ac:dyDescent="0.25">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ht="14.25" customHeight="1" spans="1:26" x14ac:dyDescent="0.25">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ht="14.25" customHeight="1" spans="1:26" x14ac:dyDescent="0.25">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ht="14.25" customHeight="1" spans="1:26" x14ac:dyDescent="0.25">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ht="14.25" customHeight="1" spans="1:26" x14ac:dyDescent="0.2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ht="14.25" customHeight="1" spans="1:26" x14ac:dyDescent="0.25">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ht="14.25" customHeight="1" spans="1:26" x14ac:dyDescent="0.25">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ht="14.25" customHeight="1" spans="1:26" x14ac:dyDescent="0.25">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ht="14.25" customHeight="1" spans="1:26" x14ac:dyDescent="0.25">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ht="14.25" customHeight="1" spans="1:26" x14ac:dyDescent="0.25">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ht="14.25" customHeight="1" spans="1:26" x14ac:dyDescent="0.25">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ht="14.25" customHeight="1" spans="1:26" x14ac:dyDescent="0.25">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ht="14.25" customHeight="1" spans="1:26" x14ac:dyDescent="0.25">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ht="14.25" customHeight="1" spans="1:26" x14ac:dyDescent="0.25">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ht="14.25" customHeight="1" spans="1:26" x14ac:dyDescent="0.2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ht="14.25" customHeight="1" spans="1:26" x14ac:dyDescent="0.25">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ht="14.25" customHeight="1" spans="1:26" x14ac:dyDescent="0.25">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ht="14.25" customHeight="1" spans="1:26" x14ac:dyDescent="0.25">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ht="14.25" customHeight="1" spans="1:26" x14ac:dyDescent="0.25">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ht="14.25" customHeight="1" spans="1:26" x14ac:dyDescent="0.25">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ht="14.25" customHeight="1" spans="1:26" x14ac:dyDescent="0.25">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ht="14.25" customHeight="1" spans="1:26" x14ac:dyDescent="0.25">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ht="14.25" customHeight="1" spans="1:26" x14ac:dyDescent="0.25">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ht="14.25" customHeight="1" spans="1:26" x14ac:dyDescent="0.25">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ht="14.25" customHeight="1" spans="1:26" x14ac:dyDescent="0.2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ht="14.25" customHeight="1" spans="1:26" x14ac:dyDescent="0.25">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ht="14.25" customHeight="1" spans="1:26" x14ac:dyDescent="0.25">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ht="14.25" customHeight="1" spans="1:26" x14ac:dyDescent="0.25">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ht="14.25" customHeight="1" spans="1:26" x14ac:dyDescent="0.25">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ht="14.25" customHeight="1" spans="1:26" x14ac:dyDescent="0.25">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ht="14.25" customHeight="1" spans="1:26" x14ac:dyDescent="0.25">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ht="14.25" customHeight="1" spans="1:26" x14ac:dyDescent="0.25">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ht="14.25" customHeight="1" spans="1:26" x14ac:dyDescent="0.25">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ht="14.25" customHeight="1" spans="1:26" x14ac:dyDescent="0.25">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ht="14.25" customHeight="1" spans="1:26" x14ac:dyDescent="0.2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ht="14.25" customHeight="1" spans="1:26" x14ac:dyDescent="0.25">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ht="14.25" customHeight="1" spans="1:26" x14ac:dyDescent="0.25">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ht="14.25" customHeight="1" spans="1:26" x14ac:dyDescent="0.25">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ht="14.25" customHeight="1" spans="1:26" x14ac:dyDescent="0.25">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ht="14.25" customHeight="1" spans="1:26" x14ac:dyDescent="0.25">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ht="14.25" customHeight="1" spans="1:26" x14ac:dyDescent="0.25">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ht="14.25" customHeight="1" spans="1:26" x14ac:dyDescent="0.25">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ht="14.25" customHeight="1" spans="1:26" x14ac:dyDescent="0.25">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ht="14.25" customHeight="1" spans="1:26" x14ac:dyDescent="0.25">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ht="14.25" customHeight="1" spans="1:26" x14ac:dyDescent="0.2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ht="14.25" customHeight="1" spans="1:26" x14ac:dyDescent="0.25">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ht="14.25" customHeight="1" spans="1:26" x14ac:dyDescent="0.25">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ht="14.25" customHeight="1" spans="1:26" x14ac:dyDescent="0.25">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ht="14.25" customHeight="1" spans="1:26" x14ac:dyDescent="0.25">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ht="14.25" customHeight="1" spans="1:26" x14ac:dyDescent="0.25">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ht="14.25" customHeight="1" spans="1:26" x14ac:dyDescent="0.25">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ht="14.25" customHeight="1" spans="1:26" x14ac:dyDescent="0.25">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ht="14.25" customHeight="1" spans="1:26" x14ac:dyDescent="0.25">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ht="14.25" customHeight="1" spans="1:26" x14ac:dyDescent="0.25">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ht="14.25" customHeight="1" spans="1:26" x14ac:dyDescent="0.2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ht="14.25" customHeight="1" spans="1:26" x14ac:dyDescent="0.25">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ht="14.25" customHeight="1" spans="1:26" x14ac:dyDescent="0.25">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ht="14.25" customHeight="1" spans="1:26" x14ac:dyDescent="0.25">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ht="14.25" customHeight="1" spans="1:26" x14ac:dyDescent="0.25">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ht="14.25" customHeight="1" spans="1:26" x14ac:dyDescent="0.25">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ht="14.25" customHeight="1" spans="1:26" x14ac:dyDescent="0.25">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ht="14.25" customHeight="1" spans="1:26" x14ac:dyDescent="0.25">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ht="14.25" customHeight="1" spans="1:26" x14ac:dyDescent="0.25">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ht="14.25" customHeight="1" spans="1:26" x14ac:dyDescent="0.25">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ht="14.25" customHeight="1" spans="1:26" x14ac:dyDescent="0.2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ht="14.25" customHeight="1" spans="1:26" x14ac:dyDescent="0.25">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ht="14.25" customHeight="1" spans="1:26" x14ac:dyDescent="0.25">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ht="14.25" customHeight="1" spans="1:26" x14ac:dyDescent="0.25">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ht="14.25" customHeight="1" spans="1:26" x14ac:dyDescent="0.25">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ht="14.25" customHeight="1" spans="1:26" x14ac:dyDescent="0.25">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ht="14.25" customHeight="1" spans="1:26" x14ac:dyDescent="0.25">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ht="14.25" customHeight="1" spans="1:26" x14ac:dyDescent="0.25">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ht="14.25" customHeight="1" spans="1:26" x14ac:dyDescent="0.25">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ht="14.25" customHeight="1" spans="1:26" x14ac:dyDescent="0.25">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ht="14.25" customHeight="1" spans="1:26" x14ac:dyDescent="0.2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ht="14.25" customHeight="1" spans="1:26" x14ac:dyDescent="0.25">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ht="14.25" customHeight="1" spans="1:26" x14ac:dyDescent="0.25">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ht="14.25" customHeight="1" spans="1:26" x14ac:dyDescent="0.25">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ht="14.25" customHeight="1" spans="1:26" x14ac:dyDescent="0.25">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ht="14.25" customHeight="1" spans="1:26" x14ac:dyDescent="0.25">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ht="14.25" customHeight="1" spans="1:26" x14ac:dyDescent="0.25">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ht="14.25" customHeight="1" spans="1:26" x14ac:dyDescent="0.25">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ht="14.25" customHeight="1" spans="1:26" x14ac:dyDescent="0.25">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ht="14.25" customHeight="1" spans="1:26" x14ac:dyDescent="0.25">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ht="14.25" customHeight="1" spans="1:26" x14ac:dyDescent="0.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ht="14.25" customHeight="1" spans="1:26" x14ac:dyDescent="0.25">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ht="14.25" customHeight="1" spans="1:26" x14ac:dyDescent="0.25">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ht="14.25" customHeight="1" spans="1:26" x14ac:dyDescent="0.25">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ht="14.25" customHeight="1" spans="1:26" x14ac:dyDescent="0.25">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ht="14.25" customHeight="1" spans="1:26" x14ac:dyDescent="0.25">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ht="14.25" customHeight="1" spans="1:26" x14ac:dyDescent="0.25">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ht="14.25" customHeight="1" spans="1:26" x14ac:dyDescent="0.25">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ht="14.25" customHeight="1" spans="1:26" x14ac:dyDescent="0.25">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ht="14.25" customHeight="1" spans="1:26" x14ac:dyDescent="0.25">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ht="14.25" customHeight="1" spans="1:26" x14ac:dyDescent="0.2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ht="14.25" customHeight="1" spans="1:26" x14ac:dyDescent="0.25">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ht="14.25" customHeight="1" spans="1:26" x14ac:dyDescent="0.25">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ht="14.25" customHeight="1" spans="1:26" x14ac:dyDescent="0.25">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ht="14.25" customHeight="1" spans="1:26" x14ac:dyDescent="0.25">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ht="14.25" customHeight="1" spans="1:26" x14ac:dyDescent="0.25">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ht="14.25" customHeight="1" spans="1:26" x14ac:dyDescent="0.25">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ht="14.25" customHeight="1" spans="1:26" x14ac:dyDescent="0.25">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ht="14.25" customHeight="1" spans="1:26" x14ac:dyDescent="0.25">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ht="14.25" customHeight="1" spans="1:26" x14ac:dyDescent="0.25">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ht="14.25" customHeight="1" spans="1:26" x14ac:dyDescent="0.2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ht="14.25" customHeight="1" spans="1:26" x14ac:dyDescent="0.25">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ht="14.25" customHeight="1" spans="1:26" x14ac:dyDescent="0.25">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ht="14.25" customHeight="1" spans="1:26" x14ac:dyDescent="0.25">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ht="14.25" customHeight="1" spans="1:26" x14ac:dyDescent="0.25">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ht="14.25" customHeight="1" spans="1:26" x14ac:dyDescent="0.25">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ht="14.25" customHeight="1" spans="1:26" x14ac:dyDescent="0.25">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ht="14.25" customHeight="1" spans="1:26" x14ac:dyDescent="0.25">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ht="14.25" customHeight="1" spans="1:26" x14ac:dyDescent="0.25">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ht="14.25" customHeight="1" spans="1:26" x14ac:dyDescent="0.25">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ht="14.25" customHeight="1" spans="1:26" x14ac:dyDescent="0.2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ht="14.25" customHeight="1" spans="1:26" x14ac:dyDescent="0.25">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ht="14.25" customHeight="1" spans="1:26" x14ac:dyDescent="0.25">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ht="14.25" customHeight="1" spans="1:26" x14ac:dyDescent="0.25">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ht="14.25" customHeight="1" spans="1:26" x14ac:dyDescent="0.25">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ht="14.25" customHeight="1" spans="1:26" x14ac:dyDescent="0.25">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ht="14.25" customHeight="1" spans="1:26" x14ac:dyDescent="0.25">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ht="14.25" customHeight="1" spans="1:26" x14ac:dyDescent="0.25">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ht="14.25" customHeight="1" spans="1:26" x14ac:dyDescent="0.25">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ht="14.25" customHeight="1" spans="1:26" x14ac:dyDescent="0.25">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ht="14.25" customHeight="1" spans="1:26" x14ac:dyDescent="0.2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ht="14.25" customHeight="1" spans="1:26" x14ac:dyDescent="0.25">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ht="14.25" customHeight="1" spans="1:26" x14ac:dyDescent="0.25">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ht="14.25" customHeight="1" spans="1:26" x14ac:dyDescent="0.25">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ht="14.25" customHeight="1" spans="1:26" x14ac:dyDescent="0.25">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ht="14.25" customHeight="1" spans="1:26" x14ac:dyDescent="0.25">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ht="14.25" customHeight="1" spans="1:26" x14ac:dyDescent="0.25">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ht="14.25" customHeight="1" spans="1:26" x14ac:dyDescent="0.25">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ht="14.25" customHeight="1" spans="1:26" x14ac:dyDescent="0.25">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ht="14.25" customHeight="1" spans="1:26" x14ac:dyDescent="0.25">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ht="14.25" customHeight="1" spans="1:26" x14ac:dyDescent="0.2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ht="14.25" customHeight="1" spans="1:26" x14ac:dyDescent="0.25">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ht="14.25" customHeight="1" spans="1:26" x14ac:dyDescent="0.25">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ht="14.25" customHeight="1" spans="1:26" x14ac:dyDescent="0.25">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ht="14.25" customHeight="1" spans="1:26" x14ac:dyDescent="0.25">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ht="14.25" customHeight="1" spans="1:26" x14ac:dyDescent="0.25">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ht="14.25" customHeight="1" spans="1:26" x14ac:dyDescent="0.25">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ht="14.25" customHeight="1" spans="1:26" x14ac:dyDescent="0.25">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ht="14.25" customHeight="1" spans="1:26" x14ac:dyDescent="0.25">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ht="14.25" customHeight="1" spans="1:26" x14ac:dyDescent="0.25">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ht="14.25" customHeight="1" spans="1:26" x14ac:dyDescent="0.2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ht="14.25" customHeight="1" spans="1:26" x14ac:dyDescent="0.25">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ht="14.25" customHeight="1" spans="1:26" x14ac:dyDescent="0.25">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ht="14.25" customHeight="1" spans="1:26" x14ac:dyDescent="0.25">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ht="14.25" customHeight="1" spans="1:26" x14ac:dyDescent="0.25">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ht="14.25" customHeight="1" spans="1:26" x14ac:dyDescent="0.25">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ht="14.25" customHeight="1" spans="1:26" x14ac:dyDescent="0.25">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ht="14.25" customHeight="1" spans="1:26" x14ac:dyDescent="0.25">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ht="14.25" customHeight="1" spans="1:26" x14ac:dyDescent="0.25">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ht="14.25" customHeight="1" spans="1:26" x14ac:dyDescent="0.25">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ht="14.25" customHeight="1" spans="1:26" x14ac:dyDescent="0.2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ht="14.25" customHeight="1" spans="1:26" x14ac:dyDescent="0.25">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ht="14.25" customHeight="1" spans="1:26" x14ac:dyDescent="0.25">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ht="14.25" customHeight="1" spans="1:26" x14ac:dyDescent="0.25">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ht="14.25" customHeight="1" spans="1:26" x14ac:dyDescent="0.25">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ht="14.25" customHeight="1" spans="1:26" x14ac:dyDescent="0.25">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conditionalFormatting sqref="H13 J13:K13 H15 J15:K15 H17 J17:K17 H19 J19:K19">
    <cfRule type="expression" dxfId="119" priority="1">
      <formula>$H$8="Report"</formula>
    </cfRule>
  </conditionalFormatting>
  <conditionalFormatting sqref="H12:K21">
    <cfRule type="expression" dxfId="120" priority="2">
      <formula>$H$8="Report"</formula>
    </cfRule>
  </conditionalFormatting>
  <conditionalFormatting sqref="H26:K37">
    <cfRule type="expression" dxfId="121" priority="3">
      <formula>$H$8="Report"</formula>
    </cfRule>
  </conditionalFormatting>
  <conditionalFormatting sqref="H42:K44">
    <cfRule type="expression" dxfId="122" priority="4">
      <formula>$H$8="Report"</formula>
    </cfRule>
  </conditionalFormatting>
  <conditionalFormatting sqref="J43:K44">
    <cfRule type="expression" dxfId="123" priority="5">
      <formula>$H$8="Report"</formula>
    </cfRule>
  </conditionalFormatting>
  <conditionalFormatting sqref="L12:N21">
    <cfRule type="cellIs" dxfId="124" priority="6" operator="lessThan">
      <formula>0</formula>
    </cfRule>
    <cfRule type="cellIs" dxfId="125" priority="7" operator="greaterThan">
      <formula>0</formula>
    </cfRule>
  </conditionalFormatting>
  <conditionalFormatting sqref="L26:N37">
    <cfRule type="cellIs" dxfId="126" priority="8" operator="lessThan">
      <formula>0</formula>
    </cfRule>
    <cfRule type="cellIs" dxfId="127" priority="9" operator="greaterThan">
      <formula>0</formula>
    </cfRule>
  </conditionalFormatting>
  <conditionalFormatting sqref="L42:N44">
    <cfRule type="cellIs" dxfId="128" priority="10" operator="lessThan">
      <formula>0</formula>
    </cfRule>
    <cfRule type="cellIs" dxfId="129" priority="11" operator="greaterThan">
      <formula>0</formula>
    </cfRule>
  </conditionalFormatting>
  <dataValidations count="2">
    <dataValidation type="list" allowBlank="1" showErrorMessage="1" sqref="H4">
      <formula1>"1Q,2Q,3Q,4Q"</formula1>
    </dataValidation>
    <dataValidation type="list" allowBlank="1" showErrorMessage="1" sqref="H8">
      <formula1>"Working,Report"</formula1>
    </dataValidation>
  </dataValidations>
  <pageMargins left="0.7" right="0.7" top="0.75" bottom="0.75" header="0" footer="0"/>
  <pageSetup orientation="portrait" horizontalDpi="4294967295" verticalDpi="4294967295" scale="100" fitToWidth="1" fitToHeight="1" firstPageNumber="1" useFirstPageNumber="1" copies="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0"/>
  <sheetViews>
    <sheetView workbookViewId="0" showGridLines="0" zoomScale="100" zoomScaleNormal="100">
      <pane ySplit="2" topLeftCell="A3" activePane="bottomLeft" state="frozen"/>
      <selection pane="bottomLeft" activeCell="B4" sqref="B4"/>
    </sheetView>
  </sheetViews>
  <sheetFormatPr defaultRowHeight="15" outlineLevelRow="1" outlineLevelCol="0" x14ac:dyDescent="0" defaultColWidth="14.5"/>
  <cols>
    <col min="1" max="1" width="1.6640625" customWidth="1"/>
    <col min="2" max="2" width="1.5" customWidth="1"/>
    <col min="3" max="17" width="12.6640625" customWidth="1"/>
    <col min="18" max="18" width="11.6640625" customWidth="1"/>
    <col min="19" max="26" width="10.6640625" customWidth="1"/>
  </cols>
  <sheetData>
    <row r="1" ht="19.5" customHeight="1" spans="1:26" x14ac:dyDescent="0.25">
      <c r="A1" s="11"/>
      <c r="B1" s="11"/>
      <c r="C1" s="12" t="str">
        <f ca="1">Company_Name&amp;" - "&amp;MID(CELL("filename",A1),FIND("]",CELL("filename",A1))+1,255)&amp;": "&amp;Case_Scenario&amp;" Case"</f>
        <v>Lowe's Companies, Inc. - Post-Earnings: Base Case</v>
      </c>
      <c r="D1" s="11"/>
      <c r="E1" s="11"/>
      <c r="F1" s="11"/>
      <c r="G1" s="11"/>
      <c r="H1" s="11"/>
      <c r="I1" s="11"/>
      <c r="J1" s="11"/>
      <c r="K1" s="11"/>
      <c r="L1" s="11"/>
      <c r="M1" s="11"/>
      <c r="N1" s="11"/>
      <c r="O1" s="11"/>
      <c r="P1" s="11"/>
      <c r="Q1" s="11"/>
      <c r="R1" s="11"/>
      <c r="S1" s="11"/>
      <c r="T1" s="11"/>
      <c r="U1" s="11"/>
      <c r="V1" s="11"/>
      <c r="W1" s="11"/>
      <c r="X1" s="11"/>
      <c r="Y1" s="11"/>
      <c r="Z1" s="11"/>
    </row>
    <row r="2" ht="15" customHeight="1" spans="1:26" x14ac:dyDescent="0.25">
      <c r="A2" s="4"/>
      <c r="B2" s="4"/>
      <c r="C2" s="14" t="str">
        <f ca="1">Cover!C2</f>
        <v>$ in Millions Except Per Share Data</v>
      </c>
      <c r="D2" s="4"/>
      <c r="E2" s="4"/>
      <c r="F2" s="4"/>
      <c r="G2" s="4"/>
      <c r="H2" s="4"/>
      <c r="I2" s="4"/>
      <c r="J2" s="4"/>
      <c r="K2" s="4"/>
      <c r="L2" s="4"/>
      <c r="M2" s="4"/>
      <c r="N2" s="4"/>
      <c r="O2" s="4"/>
      <c r="P2" s="4"/>
      <c r="Q2" s="4"/>
      <c r="R2" s="4"/>
      <c r="S2" s="4"/>
      <c r="T2" s="4"/>
      <c r="U2" s="4"/>
      <c r="V2" s="4"/>
      <c r="W2" s="4"/>
      <c r="X2" s="4"/>
      <c r="Y2" s="4"/>
      <c r="Z2" s="4"/>
    </row>
    <row r="3" ht="14.25" customHeight="1" spans="1:26" x14ac:dyDescent="0.25">
      <c r="A3" s="16"/>
      <c r="B3" s="16"/>
      <c r="C3" s="16"/>
      <c r="D3" s="16"/>
      <c r="E3" s="16"/>
      <c r="F3" s="16"/>
      <c r="G3" s="16"/>
      <c r="H3" s="16"/>
      <c r="I3" s="16"/>
      <c r="J3" s="16"/>
      <c r="K3" s="16"/>
      <c r="L3" s="16"/>
      <c r="M3" s="16"/>
      <c r="N3" s="16"/>
      <c r="O3" s="16"/>
      <c r="P3" s="16"/>
      <c r="Q3" s="16"/>
      <c r="R3" s="16"/>
      <c r="S3" s="4"/>
      <c r="T3" s="4"/>
      <c r="U3" s="4"/>
      <c r="V3" s="4"/>
      <c r="W3" s="4"/>
      <c r="X3" s="4"/>
      <c r="Y3" s="4"/>
      <c r="Z3" s="4"/>
    </row>
    <row r="4" ht="14.25" customHeight="1" spans="1:26" x14ac:dyDescent="0.25">
      <c r="A4" s="16"/>
      <c r="B4" s="16"/>
      <c r="C4" s="16" t="s">
        <v>965</v>
      </c>
      <c r="D4" s="16"/>
      <c r="E4" s="16"/>
      <c r="F4" s="16"/>
      <c r="G4" s="16"/>
      <c r="H4" s="53" t="s">
        <v>966</v>
      </c>
      <c r="I4" s="16"/>
      <c r="J4" s="915" t="s">
        <v>915</v>
      </c>
      <c r="K4" s="16"/>
      <c r="L4" s="16"/>
      <c r="M4" s="16"/>
      <c r="N4" s="16"/>
      <c r="O4" s="16"/>
      <c r="P4" s="16"/>
      <c r="Q4" s="16"/>
      <c r="R4" s="16"/>
      <c r="S4" s="4"/>
      <c r="T4" s="4"/>
      <c r="U4" s="4"/>
      <c r="V4" s="4"/>
      <c r="W4" s="4"/>
      <c r="X4" s="4"/>
      <c r="Y4" s="4"/>
      <c r="Z4" s="4"/>
    </row>
    <row r="5" ht="14.25" customHeight="1" spans="1:26" x14ac:dyDescent="0.25">
      <c r="A5" s="16"/>
      <c r="B5" s="16"/>
      <c r="C5" s="16" t="s">
        <v>967</v>
      </c>
      <c r="D5" s="16"/>
      <c r="E5" s="16"/>
      <c r="F5" s="16"/>
      <c r="G5" s="16"/>
      <c r="H5" s="895">
        <f ca="1">YEAR(Next_FYE)</f>
        <v>2026</v>
      </c>
      <c r="I5" s="16"/>
      <c r="J5" s="16"/>
      <c r="K5" s="16"/>
      <c r="L5" s="16"/>
      <c r="M5" s="16"/>
      <c r="N5" s="16"/>
      <c r="O5" s="16"/>
      <c r="P5" s="16"/>
      <c r="Q5" s="16"/>
      <c r="R5" s="16"/>
      <c r="S5" s="4"/>
      <c r="T5" s="4"/>
      <c r="U5" s="4"/>
      <c r="V5" s="4"/>
      <c r="W5" s="4"/>
      <c r="X5" s="4"/>
      <c r="Y5" s="4"/>
      <c r="Z5" s="4"/>
    </row>
    <row r="6" ht="14.25" customHeight="1" spans="1:26" x14ac:dyDescent="0.25">
      <c r="A6" s="16"/>
      <c r="B6" s="16"/>
      <c r="C6" s="16" t="s">
        <v>968</v>
      </c>
      <c r="D6" s="16"/>
      <c r="E6" s="16"/>
      <c r="F6" s="16"/>
      <c r="G6" s="16"/>
      <c r="H6" s="896" t="str">
        <f ca="1">H4&amp;RIGHT(H5,2)&amp;"e"</f>
        <v>4Q26e</v>
      </c>
      <c r="I6" s="16"/>
      <c r="J6" s="16"/>
      <c r="K6" s="16"/>
      <c r="L6" s="16"/>
      <c r="M6" s="16"/>
      <c r="N6" s="16"/>
      <c r="O6" s="16"/>
      <c r="P6" s="16"/>
      <c r="Q6" s="16"/>
      <c r="R6" s="16"/>
      <c r="S6" s="4"/>
      <c r="T6" s="4"/>
      <c r="U6" s="4"/>
      <c r="V6" s="4"/>
      <c r="W6" s="4"/>
      <c r="X6" s="4"/>
      <c r="Y6" s="4"/>
      <c r="Z6" s="4"/>
    </row>
    <row r="7" ht="14.25" customHeight="1" spans="1:26" x14ac:dyDescent="0.25">
      <c r="A7" s="16"/>
      <c r="B7" s="16"/>
      <c r="C7" s="16" t="s">
        <v>969</v>
      </c>
      <c r="D7" s="16"/>
      <c r="E7" s="16"/>
      <c r="F7" s="16"/>
      <c r="G7" s="16"/>
      <c r="H7" s="895">
        <f ca="1">YEAR(Last_FYE)</f>
        <v>2025</v>
      </c>
      <c r="I7" s="16"/>
      <c r="J7" s="16"/>
      <c r="K7" s="16"/>
      <c r="L7" s="16"/>
      <c r="M7" s="16"/>
      <c r="N7" s="16"/>
      <c r="O7" s="16"/>
      <c r="P7" s="16"/>
      <c r="Q7" s="16"/>
      <c r="R7" s="16"/>
      <c r="S7" s="4"/>
      <c r="T7" s="4"/>
      <c r="U7" s="4"/>
      <c r="V7" s="4"/>
      <c r="W7" s="4"/>
      <c r="X7" s="4"/>
      <c r="Y7" s="4"/>
      <c r="Z7" s="4"/>
    </row>
    <row r="8" ht="14.25" customHeight="1" spans="1:26" x14ac:dyDescent="0.25">
      <c r="A8" s="16"/>
      <c r="B8" s="16"/>
      <c r="C8" s="16" t="s">
        <v>970</v>
      </c>
      <c r="D8" s="16"/>
      <c r="E8" s="16"/>
      <c r="F8" s="16"/>
      <c r="G8" s="16"/>
      <c r="H8" s="41" t="s">
        <v>6</v>
      </c>
      <c r="I8" s="16"/>
      <c r="J8" s="16"/>
      <c r="K8" s="16"/>
      <c r="L8" s="16"/>
      <c r="M8" s="16"/>
      <c r="N8" s="16"/>
      <c r="O8" s="16"/>
      <c r="P8" s="16"/>
      <c r="Q8" s="16"/>
      <c r="R8" s="16"/>
      <c r="S8" s="4"/>
      <c r="T8" s="4"/>
      <c r="U8" s="4"/>
      <c r="V8" s="4"/>
      <c r="W8" s="4"/>
      <c r="X8" s="4"/>
      <c r="Y8" s="4"/>
      <c r="Z8" s="4"/>
    </row>
    <row r="9" ht="14.25" customHeight="1" spans="1:26" x14ac:dyDescent="0.25">
      <c r="A9" s="16"/>
      <c r="B9" s="16"/>
      <c r="C9" s="16"/>
      <c r="D9" s="16"/>
      <c r="E9" s="16"/>
      <c r="F9" s="16"/>
      <c r="G9" s="16"/>
      <c r="H9" s="16"/>
      <c r="I9" s="16"/>
      <c r="J9" s="16"/>
      <c r="K9" s="16"/>
      <c r="L9" s="16"/>
      <c r="M9" s="16"/>
      <c r="N9" s="16"/>
      <c r="O9" s="16"/>
      <c r="P9" s="16"/>
      <c r="Q9" s="16"/>
      <c r="R9" s="16"/>
      <c r="S9" s="4"/>
      <c r="T9" s="4"/>
      <c r="U9" s="4"/>
      <c r="V9" s="4"/>
      <c r="W9" s="4"/>
      <c r="X9" s="4"/>
      <c r="Y9" s="4"/>
      <c r="Z9" s="4"/>
    </row>
    <row r="10" ht="14.25" customHeight="1" spans="1:26" x14ac:dyDescent="0.25">
      <c r="A10" s="16"/>
      <c r="B10" s="264" t="s">
        <v>1</v>
      </c>
      <c r="C10" s="110" t="str">
        <f ca="1">Ticker&amp;" "&amp;H4&amp;RIGHT(H5,2)&amp;" Operating Results"</f>
        <v>LOW 4Q26 Operating Results</v>
      </c>
      <c r="D10" s="110"/>
      <c r="E10" s="110"/>
      <c r="F10" s="110"/>
      <c r="G10" s="110"/>
      <c r="H10" s="111" t="str">
        <f ca="1">H4&amp;RIGHT(H5,2)&amp;"a"</f>
        <v>4Q26a</v>
      </c>
      <c r="I10" s="111" t="s">
        <v>971</v>
      </c>
      <c r="J10" s="111" t="s">
        <v>972</v>
      </c>
      <c r="K10" s="111" t="str">
        <f ca="1">H4&amp;RIGHT(H7,2)&amp;"a"</f>
        <v>4Q25a</v>
      </c>
      <c r="L10" s="111" t="str">
        <f ca="1">Last_FQR&amp;RIGHT(H5,2)&amp;"a"</f>
        <v>2Q26a</v>
      </c>
      <c r="M10" s="897" t="str">
        <f t="shared" ref="M10:P10" si="0" ca="1">"v. "&amp;I10</f>
        <v>v. OFe</v>
      </c>
      <c r="N10" s="111" t="str">
        <f ca="1">"v. "&amp;J10</f>
        <v>v. Consensus</v>
      </c>
      <c r="O10" s="111" t="str">
        <f ca="1">"v. "&amp;K10</f>
        <v>v. 4Q25a</v>
      </c>
      <c r="P10" s="111" t="str">
        <f ca="1">"v. "&amp;L10</f>
        <v>v. 2Q26a</v>
      </c>
      <c r="Q10" s="199"/>
      <c r="R10" s="199"/>
      <c r="S10" s="4"/>
      <c r="T10" s="4"/>
      <c r="U10" s="4"/>
      <c r="V10" s="4"/>
      <c r="W10" s="4"/>
      <c r="X10" s="4"/>
      <c r="Y10" s="4"/>
      <c r="Z10" s="4"/>
    </row>
    <row r="11" ht="4.5" customHeight="1" spans="1:26" x14ac:dyDescent="0.25">
      <c r="A11" s="16"/>
      <c r="B11" s="264"/>
      <c r="C11" s="47"/>
      <c r="D11" s="47"/>
      <c r="E11" s="47"/>
      <c r="F11" s="47"/>
      <c r="G11" s="47"/>
      <c r="H11" s="47"/>
      <c r="I11" s="199"/>
      <c r="J11" s="199"/>
      <c r="K11" s="199"/>
      <c r="L11" s="199"/>
      <c r="M11" s="199"/>
      <c r="N11" s="199"/>
      <c r="O11" s="199"/>
      <c r="P11" s="199"/>
      <c r="Q11" s="199"/>
      <c r="R11" s="199"/>
      <c r="S11" s="4"/>
      <c r="T11" s="4"/>
      <c r="U11" s="4"/>
      <c r="V11" s="4"/>
      <c r="W11" s="4"/>
      <c r="X11" s="4"/>
      <c r="Y11" s="4"/>
      <c r="Z11" s="4"/>
    </row>
    <row r="12" ht="14.25" customHeight="1" spans="1:26" x14ac:dyDescent="0.25">
      <c r="A12" s="16"/>
      <c r="B12" s="16"/>
      <c r="C12" s="16" t="str">
        <f ca="1">Model!C28</f>
        <v>Revenue</v>
      </c>
      <c r="D12" s="16"/>
      <c r="E12" s="16"/>
      <c r="F12" s="16"/>
      <c r="G12" s="16"/>
      <c r="H12" s="898">
        <f t="array" ref="H12" ca="1">INDEX(Data,MATCH($C12,Line_Items,0),MATCH($H$6,Fiscal_Periods,0))</f>
        <v>21772.1</v>
      </c>
      <c r="I12" s="898">
        <f t="array" ref="I12" ca="1">INDEX(Data,MATCH($C12,Line_Items,0),MATCH($H$6,Fiscal_Periods,0))</f>
        <v>21772.1</v>
      </c>
      <c r="J12" s="899">
        <v>19670.3</v>
      </c>
      <c r="K12" s="898">
        <f t="array" ref="K12" ca="1">INDEX(Data,MATCH($C12,Line_Items,0),MATCH(LEFT(K$10,4),Fiscal_Periods,0))</f>
        <v>20311</v>
      </c>
      <c r="L12" s="898">
        <f t="array" ref="L12" ca="1">INDEX(Data,MATCH($C12,Line_Items,0),MATCH(LEFT(L$10,4),Fiscal_Periods,0))</f>
        <v>27570</v>
      </c>
      <c r="M12" s="900">
        <f t="shared" ref="M12:N12" si="1" ca="1">IFERROR($H12/I12-1,"N/A")</f>
        <v>0</v>
      </c>
      <c r="N12" s="595">
        <f ca="1">IFERROR($H12/J12-1,"N/A")</f>
        <v>0.1068514460887735</v>
      </c>
      <c r="O12" s="595">
        <f t="shared" ref="O12:P12" si="2" ca="1">IFERROR($I12/K12-1,"N/A")</f>
        <v>0.07193638914873701</v>
      </c>
      <c r="P12" s="595">
        <f ca="1">IFERROR($I12/L12-1,"N/A")</f>
        <v>-0.21029742473703306</v>
      </c>
      <c r="Q12" s="16"/>
      <c r="R12" s="16"/>
      <c r="S12" s="4"/>
      <c r="T12" s="4"/>
      <c r="U12" s="4"/>
      <c r="V12" s="4"/>
      <c r="W12" s="4"/>
      <c r="X12" s="4"/>
      <c r="Y12" s="4"/>
      <c r="Z12" s="4"/>
    </row>
    <row r="13" ht="14.25" customHeight="1" spans="1:26" x14ac:dyDescent="0.25">
      <c r="A13" s="16"/>
      <c r="B13" s="16"/>
      <c r="C13" s="16" t="str">
        <f ca="1">Model!C30</f>
        <v>Gross Profit</v>
      </c>
      <c r="D13" s="16"/>
      <c r="E13" s="16"/>
      <c r="F13" s="16"/>
      <c r="G13" s="16"/>
      <c r="H13" s="901">
        <f t="array" ref="H13" ca="1">INDEX(Data,MATCH($C13,Line_Items,0),MATCH($H$6,Fiscal_Periods,0))</f>
        <v>2830.3729999999996</v>
      </c>
      <c r="I13" s="901">
        <f t="array" ref="I13" ca="1">INDEX(Data,MATCH($C13,Line_Items,0),MATCH($H$6,Fiscal_Periods,0))</f>
        <v>2830.3729999999996</v>
      </c>
      <c r="J13" s="902">
        <v>3968.1</v>
      </c>
      <c r="K13" s="901">
        <f t="array" ref="K13" ca="1">INDEX(Data,MATCH($C13,Line_Items,0),MATCH(LEFT(K$10,4),Fiscal_Periods,0))</f>
        <v>6466</v>
      </c>
      <c r="L13" s="901">
        <f t="array" ref="L13" ca="1">INDEX(Data,MATCH($C13,Line_Items,0),MATCH(LEFT(L$10,4),Fiscal_Periods,0))</f>
        <v>9312</v>
      </c>
      <c r="M13" s="900">
        <f t="shared" ref="M13:P13" si="3" ca="1">IFERROR($H13/I13-1,"N/A")</f>
        <v>0</v>
      </c>
      <c r="N13" s="595">
        <f ca="1">IFERROR($H13/J13-1,"N/A")</f>
        <v>-0.28671832867115254</v>
      </c>
      <c r="O13" s="595">
        <f ca="1">IFERROR($H13/K13-1,"N/A")</f>
        <v>-0.5622683266316115</v>
      </c>
      <c r="P13" s="595">
        <f ca="1">IFERROR($H13/L13-1,"N/A")</f>
        <v>-0.6960510094501718</v>
      </c>
      <c r="Q13" s="16"/>
      <c r="R13" s="16"/>
      <c r="S13" s="4"/>
      <c r="T13" s="4"/>
      <c r="U13" s="4"/>
      <c r="V13" s="4"/>
      <c r="W13" s="4"/>
      <c r="X13" s="4"/>
      <c r="Y13" s="4"/>
      <c r="Z13" s="4"/>
    </row>
    <row r="14" ht="14.25" customHeight="1" spans="1:26" x14ac:dyDescent="0.25">
      <c r="A14" s="16"/>
      <c r="B14" s="16"/>
      <c r="C14" s="120" t="str">
        <f ca="1">Model!C66</f>
        <v>Gross Margin</v>
      </c>
      <c r="D14" s="16"/>
      <c r="E14" s="16"/>
      <c r="F14" s="16"/>
      <c r="G14" s="16"/>
      <c r="H14" s="903">
        <f t="array" ref="H14" ca="1">INDEX(Data,MATCH($C14,Line_Items,0),MATCH($H$6,Fiscal_Periods,0))</f>
        <v>0.13</v>
      </c>
      <c r="I14" s="903">
        <f t="array" ref="I14" ca="1">INDEX(Data,MATCH($C14,Line_Items,0),MATCH($H$6,Fiscal_Periods,0))</f>
        <v>0.13</v>
      </c>
      <c r="J14" s="904">
        <v>0.202</v>
      </c>
      <c r="K14" s="903">
        <f t="array" ref="K14" ca="1">INDEX(Data,MATCH($C14,Line_Items,0),MATCH(LEFT(K$10,4),Fiscal_Periods,0))</f>
        <v>0.31834966274432575</v>
      </c>
      <c r="L14" s="903">
        <f t="array" ref="L14" ca="1">INDEX(Data,MATCH($C14,Line_Items,0),MATCH(LEFT(L$10,4),Fiscal_Periods,0))</f>
        <v>0.33775843307943415</v>
      </c>
      <c r="M14" s="905">
        <f t="shared" ref="M14:P14" si="4" ca="1">$H14-I14</f>
        <v>1e-12</v>
      </c>
      <c r="N14" s="906">
        <f ca="1">$H14-J14</f>
        <v>-0.07200000000000001</v>
      </c>
      <c r="O14" s="906">
        <f ca="1">$H14-K14</f>
        <v>-0.18834966274432574</v>
      </c>
      <c r="P14" s="906">
        <f ca="1">$H14-L14</f>
        <v>-0.20775843307943415</v>
      </c>
      <c r="Q14" s="16"/>
      <c r="R14" s="16"/>
      <c r="S14" s="4"/>
      <c r="T14" s="4"/>
      <c r="U14" s="4"/>
      <c r="V14" s="4"/>
      <c r="W14" s="4"/>
      <c r="X14" s="4"/>
      <c r="Y14" s="4"/>
      <c r="Z14" s="4"/>
    </row>
    <row r="15" ht="14.25" customHeight="1" spans="1:26" x14ac:dyDescent="0.25">
      <c r="A15" s="16"/>
      <c r="B15" s="16"/>
      <c r="C15" s="16" t="str">
        <f ca="1">Model!C61</f>
        <v>EBITDA</v>
      </c>
      <c r="D15" s="16"/>
      <c r="E15" s="16"/>
      <c r="F15" s="16"/>
      <c r="G15" s="16"/>
      <c r="H15" s="901">
        <f ca="1">INDEX(Data,MATCH($C15,Line_Items,0),MATCH($H$6,Fiscal_Periods,0))</f>
      </c>
      <c r="I15" s="901">
        <f ca="1">INDEX(Data,MATCH($C15,Line_Items,0),MATCH($H$6,Fiscal_Periods,0))</f>
      </c>
      <c r="J15" s="902">
        <v>2224.4</v>
      </c>
      <c r="K15" s="901">
        <f t="array" ref="K15" ca="1">INDEX(Data,MATCH($C15,Line_Items,0),MATCH(LEFT(K$10,4),Fiscal_Periods,0))</f>
        <v>3159</v>
      </c>
      <c r="L15" s="901">
        <f t="array" ref="L15" ca="1">INDEX(Data,MATCH($C15,Line_Items,0),MATCH(LEFT(L$10,4),Fiscal_Periods,0))</f>
        <v>4619</v>
      </c>
      <c r="M15" s="900" t="str">
        <f t="shared" ref="M15:P15" si="5" ca="1">IFERROR($H15/I15-1,"N/A")</f>
        <v>N/A</v>
      </c>
      <c r="N15" s="595" t="str">
        <f ca="1">IFERROR($H15/J15-1,"N/A")</f>
        <v>N/A</v>
      </c>
      <c r="O15" s="595" t="str">
        <f ca="1">IFERROR($H15/K15-1,"N/A")</f>
        <v>N/A</v>
      </c>
      <c r="P15" s="595" t="str">
        <f ca="1">IFERROR($H15/L15-1,"N/A")</f>
        <v>N/A</v>
      </c>
      <c r="Q15" s="16"/>
      <c r="R15" s="16"/>
      <c r="S15" s="4"/>
      <c r="T15" s="4"/>
      <c r="U15" s="4"/>
      <c r="V15" s="4"/>
      <c r="W15" s="4"/>
      <c r="X15" s="4"/>
      <c r="Y15" s="4"/>
      <c r="Z15" s="4"/>
    </row>
    <row r="16" ht="14.25" customHeight="1" spans="1:26" x14ac:dyDescent="0.25">
      <c r="A16" s="16"/>
      <c r="B16" s="16"/>
      <c r="C16" s="120" t="str">
        <f ca="1">'Segment Analysis'!C146</f>
        <v>EBITDA Margin</v>
      </c>
      <c r="D16" s="16"/>
      <c r="E16" s="16"/>
      <c r="F16" s="16"/>
      <c r="G16" s="16"/>
      <c r="H16" s="907">
        <f ca="1">H15/$H$12</f>
        <v>1e-12</v>
      </c>
      <c r="I16" s="907">
        <f ca="1">I15/$H$12</f>
        <v>1e-12</v>
      </c>
      <c r="J16" s="904">
        <v>0.113</v>
      </c>
      <c r="K16" s="907">
        <f t="shared" ref="K16:L16" si="6" ca="1">K15/$H$12</f>
        <v>0.1450939505146495</v>
      </c>
      <c r="L16" s="907">
        <f ca="1">L15/$H$12</f>
        <v>0.212152249897805</v>
      </c>
      <c r="M16" s="905">
        <f ca="1">$H16-I16</f>
        <v>1e-12</v>
      </c>
      <c r="N16" s="906">
        <f ca="1">$H16-J16</f>
        <v>-0.113</v>
      </c>
      <c r="O16" s="906">
        <f ca="1">$H16-K16</f>
        <v>-0.1450939505146495</v>
      </c>
      <c r="P16" s="906">
        <f ca="1">$H16-L16</f>
        <v>-0.212152249897805</v>
      </c>
      <c r="Q16" s="16"/>
      <c r="R16" s="16"/>
      <c r="S16" s="4"/>
      <c r="T16" s="4"/>
      <c r="U16" s="4"/>
      <c r="V16" s="4"/>
      <c r="W16" s="4"/>
      <c r="X16" s="4"/>
      <c r="Y16" s="4"/>
      <c r="Z16" s="4"/>
    </row>
    <row r="17" ht="14.25" customHeight="1" spans="1:26" x14ac:dyDescent="0.25">
      <c r="A17" s="16"/>
      <c r="B17" s="16"/>
      <c r="C17" s="16" t="str">
        <f ca="1">Model!C36</f>
        <v>EBIT</v>
      </c>
      <c r="D17" s="16"/>
      <c r="E17" s="16"/>
      <c r="F17" s="16"/>
      <c r="G17" s="16"/>
      <c r="H17" s="901">
        <f t="array" ref="H17" ca="1">INDEX(Data,MATCH($C17,Line_Items,0),MATCH($H$6,Fiscal_Periods,0))</f>
        <v>-2290.6765000000005</v>
      </c>
      <c r="I17" s="901">
        <f t="array" ref="I17" ca="1">INDEX(Data,MATCH($C17,Line_Items,0),MATCH($H$6,Fiscal_Periods,0))</f>
        <v>-2290.6765000000005</v>
      </c>
      <c r="J17" s="902">
        <v>1952.8</v>
      </c>
      <c r="K17" s="901">
        <f t="array" ref="K17" ca="1">INDEX(Data,MATCH($C17,Line_Items,0),MATCH(LEFT(K$10,4),Fiscal_Periods,0))</f>
        <v>2769</v>
      </c>
      <c r="L17" s="901">
        <f t="array" ref="L17" ca="1">INDEX(Data,MATCH($C17,Line_Items,0),MATCH(LEFT(L$10,4),Fiscal_Periods,0))</f>
        <v>4210</v>
      </c>
      <c r="M17" s="900">
        <f t="shared" ref="M17:P17" si="7" ca="1">IFERROR($H17/I17-1,"N/A")</f>
        <v>0</v>
      </c>
      <c r="N17" s="595">
        <f ca="1">IFERROR($H17/J17-1,"N/A")</f>
        <v>-2.1730215587873825</v>
      </c>
      <c r="O17" s="595">
        <f ca="1">IFERROR($H17/K17-1,"N/A")</f>
        <v>-1.8272576742506321</v>
      </c>
      <c r="P17" s="595">
        <f ca="1">IFERROR($H17/L17-1,"N/A")</f>
        <v>-1.5441036817102138</v>
      </c>
      <c r="Q17" s="16"/>
      <c r="R17" s="16"/>
      <c r="S17" s="4"/>
      <c r="T17" s="4"/>
      <c r="U17" s="4"/>
      <c r="V17" s="4"/>
      <c r="W17" s="4"/>
      <c r="X17" s="4"/>
      <c r="Y17" s="4"/>
      <c r="Z17" s="4"/>
    </row>
    <row r="18" ht="14.25" customHeight="1" spans="1:26" x14ac:dyDescent="0.25">
      <c r="A18" s="16"/>
      <c r="B18" s="16"/>
      <c r="C18" s="120" t="str">
        <f ca="1">'Segment Analysis'!C154</f>
        <v>EBIT Margin</v>
      </c>
      <c r="D18" s="16"/>
      <c r="E18" s="16"/>
      <c r="F18" s="16"/>
      <c r="G18" s="16"/>
      <c r="H18" s="907">
        <f t="shared" ref="H18:I18" si="8" ca="1">H17/$H$12</f>
        <v>-0.10521155515545128</v>
      </c>
      <c r="I18" s="907">
        <f ca="1">I17/$H$12</f>
        <v>-0.10521155515545128</v>
      </c>
      <c r="J18" s="904">
        <v>0.099</v>
      </c>
      <c r="K18" s="907">
        <f t="shared" ref="K18:L18" si="9" ca="1">K17/$H$12</f>
        <v>0.12718111711777919</v>
      </c>
      <c r="L18" s="907">
        <f ca="1">L17/$H$12</f>
        <v>0.19336674000211282</v>
      </c>
      <c r="M18" s="905">
        <f t="shared" ref="M18:P18" si="10" ca="1">$H18-I18</f>
        <v>1e-12</v>
      </c>
      <c r="N18" s="906">
        <f ca="1">$H18-J18</f>
        <v>-0.20421155515545128</v>
      </c>
      <c r="O18" s="906">
        <f ca="1">$H18-K18</f>
        <v>-0.23239267227323046</v>
      </c>
      <c r="P18" s="906">
        <f ca="1">$H18-L18</f>
        <v>-0.29857829515756407</v>
      </c>
      <c r="Q18" s="16"/>
      <c r="R18" s="16"/>
      <c r="S18" s="4"/>
      <c r="T18" s="4"/>
      <c r="U18" s="4"/>
      <c r="V18" s="4"/>
      <c r="W18" s="4"/>
      <c r="X18" s="4"/>
      <c r="Y18" s="4"/>
      <c r="Z18" s="4"/>
    </row>
    <row r="19" ht="14.25" customHeight="1" spans="1:26" x14ac:dyDescent="0.25">
      <c r="A19" s="16"/>
      <c r="B19" s="16"/>
      <c r="C19" s="16" t="str">
        <f ca="1">Model!C45</f>
        <v>Net Income (Loss)</v>
      </c>
      <c r="D19" s="16"/>
      <c r="E19" s="16"/>
      <c r="F19" s="16"/>
      <c r="G19" s="16"/>
      <c r="H19" s="901">
        <f ca="1">INDEX(Data,MATCH($C19,Line_Items,0),MATCH($H$6,Fiscal_Periods,0))</f>
      </c>
      <c r="I19" s="901">
        <f ca="1">INDEX(Data,MATCH($C19,Line_Items,0),MATCH($H$6,Fiscal_Periods,0))</f>
      </c>
      <c r="J19" s="902">
        <v>1379.1</v>
      </c>
      <c r="K19" s="901">
        <f t="array" ref="K19" ca="1">INDEX(Data,MATCH($C19,Line_Items,0),MATCH(LEFT(K$10,4),Fiscal_Periods,0))</f>
        <v>978</v>
      </c>
      <c r="L19" s="901">
        <f t="array" ref="L19" ca="1">INDEX(Data,MATCH($C19,Line_Items,0),MATCH(LEFT(L$10,4),Fiscal_Periods,0))</f>
        <v>3018</v>
      </c>
      <c r="M19" s="900" t="str">
        <f t="shared" ref="M19:P19" si="11" ca="1">IFERROR($H19/I19-1,"N/A")</f>
        <v>N/A</v>
      </c>
      <c r="N19" s="595" t="str">
        <f ca="1">IFERROR($H19/J19-1,"N/A")</f>
        <v>N/A</v>
      </c>
      <c r="O19" s="595" t="str">
        <f ca="1">IFERROR($H19/K19-1,"N/A")</f>
        <v>N/A</v>
      </c>
      <c r="P19" s="595" t="str">
        <f ca="1">IFERROR($H19/L19-1,"N/A")</f>
        <v>N/A</v>
      </c>
      <c r="Q19" s="16"/>
      <c r="R19" s="16"/>
      <c r="S19" s="4"/>
      <c r="T19" s="4"/>
      <c r="U19" s="4"/>
      <c r="V19" s="4"/>
      <c r="W19" s="4"/>
      <c r="X19" s="4"/>
      <c r="Y19" s="4"/>
      <c r="Z19" s="4"/>
    </row>
    <row r="20" ht="14.25" customHeight="1" spans="1:26" x14ac:dyDescent="0.25">
      <c r="A20" s="16"/>
      <c r="B20" s="16"/>
      <c r="C20" s="120" t="s">
        <v>500</v>
      </c>
      <c r="D20" s="16"/>
      <c r="E20" s="16"/>
      <c r="F20" s="16"/>
      <c r="G20" s="16"/>
      <c r="H20" s="903">
        <f ca="1">H19/H12</f>
        <v>1e-12</v>
      </c>
      <c r="I20" s="903">
        <f ca="1">I19/I12</f>
        <v>1e-12</v>
      </c>
      <c r="J20" s="904">
        <v>0.07</v>
      </c>
      <c r="K20" s="903">
        <f t="shared" ref="K20:L20" si="12" ca="1">K19/K12</f>
        <v>0.04815124809216681</v>
      </c>
      <c r="L20" s="903">
        <f ca="1">L19/L12</f>
        <v>0.10946681175190424</v>
      </c>
      <c r="M20" s="905">
        <f ca="1">$H20-I20</f>
        <v>1e-12</v>
      </c>
      <c r="N20" s="906">
        <f ca="1">$H20-J20</f>
        <v>-0.07</v>
      </c>
      <c r="O20" s="906">
        <f ca="1">$H20-K20</f>
        <v>-0.04815124809216681</v>
      </c>
      <c r="P20" s="906">
        <f ca="1">$H20-L20</f>
        <v>-0.10946681175190424</v>
      </c>
      <c r="Q20" s="16"/>
      <c r="R20" s="16"/>
      <c r="S20" s="4"/>
      <c r="T20" s="4"/>
      <c r="U20" s="4"/>
      <c r="V20" s="4"/>
      <c r="W20" s="4"/>
      <c r="X20" s="4"/>
      <c r="Y20" s="4"/>
      <c r="Z20" s="4"/>
    </row>
    <row r="21" ht="14.25" customHeight="1" spans="1:26" x14ac:dyDescent="0.25">
      <c r="A21" s="16"/>
      <c r="B21" s="16"/>
      <c r="C21" s="16" t="str">
        <f ca="1">Model!C57</f>
        <v>Adj. EPS (Diluted)</v>
      </c>
      <c r="D21" s="16"/>
      <c r="E21" s="16"/>
      <c r="F21" s="16"/>
      <c r="G21" s="16"/>
      <c r="H21" s="908">
        <f ca="1">INDEX(Data,MATCH($C21,Line_Items,0),MATCH($H$6,Fiscal_Periods,0))</f>
      </c>
      <c r="I21" s="908">
        <f ca="1">INDEX(Data,MATCH($C21,Line_Items,0),MATCH($H$6,Fiscal_Periods,0))</f>
      </c>
      <c r="J21" s="909">
        <v>2.15</v>
      </c>
      <c r="K21" s="908">
        <f t="array" ref="K21" ca="1">INDEX(Data,MATCH($C21,Line_Items,0),MATCH(LEFT(K$10,4),Fiscal_Periods,0))</f>
        <v>1.304</v>
      </c>
      <c r="L21" s="908">
        <f t="array" ref="L21" ca="1">INDEX(Data,MATCH($C21,Line_Items,0),MATCH(LEFT(L$10,4),Fiscal_Periods,0))</f>
        <v>4.2687411598302685</v>
      </c>
      <c r="M21" s="900" t="str">
        <f t="shared" ref="M21:P21" si="13" ca="1">IFERROR($H21/I21-1,"N/A")</f>
        <v>N/A</v>
      </c>
      <c r="N21" s="595" t="str">
        <f ca="1">IFERROR($H21/J21-1,"N/A")</f>
        <v>N/A</v>
      </c>
      <c r="O21" s="595" t="str">
        <f ca="1">IFERROR($H21/K21-1,"N/A")</f>
        <v>N/A</v>
      </c>
      <c r="P21" s="595" t="str">
        <f ca="1">IFERROR($H21/L21-1,"N/A")</f>
        <v>N/A</v>
      </c>
      <c r="Q21" s="16"/>
      <c r="R21" s="16"/>
      <c r="S21" s="4"/>
      <c r="T21" s="4"/>
      <c r="U21" s="4"/>
      <c r="V21" s="4"/>
      <c r="W21" s="4"/>
      <c r="X21" s="4"/>
      <c r="Y21" s="4"/>
      <c r="Z21" s="4"/>
    </row>
    <row r="22" ht="14.25" customHeight="1" spans="1:26" x14ac:dyDescent="0.25">
      <c r="A22" s="16"/>
      <c r="B22" s="16"/>
      <c r="C22" s="16"/>
      <c r="D22" s="16"/>
      <c r="E22" s="16"/>
      <c r="F22" s="16"/>
      <c r="G22" s="16"/>
      <c r="H22" s="84"/>
      <c r="I22" s="84"/>
      <c r="J22" s="84"/>
      <c r="K22" s="84"/>
      <c r="L22" s="84"/>
      <c r="M22" s="84"/>
      <c r="N22" s="84"/>
      <c r="O22" s="84"/>
      <c r="P22" s="84"/>
      <c r="Q22" s="16"/>
      <c r="R22" s="16"/>
      <c r="S22" s="4"/>
      <c r="T22" s="4"/>
      <c r="U22" s="4"/>
      <c r="V22" s="4"/>
      <c r="W22" s="4"/>
      <c r="X22" s="4"/>
      <c r="Y22" s="4"/>
      <c r="Z22" s="4"/>
    </row>
    <row r="23" ht="14.25" customHeight="1" spans="1:26" x14ac:dyDescent="0.25">
      <c r="A23" s="16"/>
      <c r="B23" s="16"/>
      <c r="C23" s="16"/>
      <c r="D23" s="16"/>
      <c r="E23" s="16"/>
      <c r="F23" s="16"/>
      <c r="G23" s="16"/>
      <c r="H23" s="84"/>
      <c r="I23" s="84"/>
      <c r="J23" s="84"/>
      <c r="K23" s="84"/>
      <c r="L23" s="84"/>
      <c r="M23" s="84"/>
      <c r="N23" s="84"/>
      <c r="O23" s="84"/>
      <c r="P23" s="84"/>
      <c r="Q23" s="16"/>
      <c r="R23" s="16"/>
      <c r="S23" s="4"/>
      <c r="T23" s="4"/>
      <c r="U23" s="4"/>
      <c r="V23" s="4"/>
      <c r="W23" s="4"/>
      <c r="X23" s="4"/>
      <c r="Y23" s="4"/>
      <c r="Z23" s="4"/>
    </row>
    <row r="24" ht="14.25" customHeight="1" spans="1:26" x14ac:dyDescent="0.25">
      <c r="A24" s="16"/>
      <c r="B24" s="264" t="s">
        <v>1</v>
      </c>
      <c r="C24" s="110" t="str">
        <f ca="1">Ticker&amp;" "&amp;H4&amp;RIGHT(H5,2)&amp;" Segment Results"</f>
        <v>LOW 4Q26 Segment Results</v>
      </c>
      <c r="D24" s="110"/>
      <c r="E24" s="110"/>
      <c r="F24" s="110"/>
      <c r="G24" s="110"/>
      <c r="H24" s="111" t="str">
        <f t="shared" ref="H24:P24" si="14" ca="1">H10</f>
        <v>4Q26a</v>
      </c>
      <c r="I24" s="111" t="str">
        <f ca="1">I10</f>
        <v>OFe</v>
      </c>
      <c r="J24" s="111" t="str">
        <f ca="1">J10</f>
        <v>Consensus</v>
      </c>
      <c r="K24" s="111" t="str">
        <f ca="1">K10</f>
        <v>4Q25a</v>
      </c>
      <c r="L24" s="111" t="str">
        <f ca="1">L10</f>
        <v>2Q26a</v>
      </c>
      <c r="M24" s="897" t="str">
        <f ca="1">M10</f>
        <v>v. OFe</v>
      </c>
      <c r="N24" s="111" t="str">
        <f ca="1">N10</f>
        <v>v. Consensus</v>
      </c>
      <c r="O24" s="111" t="str">
        <f ca="1">O10</f>
        <v>v. 4Q25a</v>
      </c>
      <c r="P24" s="111" t="str">
        <f ca="1">P10</f>
        <v>v. 2Q26a</v>
      </c>
      <c r="Q24" s="16"/>
      <c r="R24" s="16"/>
      <c r="S24" s="4"/>
      <c r="T24" s="4"/>
      <c r="U24" s="4"/>
      <c r="V24" s="4"/>
      <c r="W24" s="4"/>
      <c r="X24" s="4"/>
      <c r="Y24" s="4"/>
      <c r="Z24" s="4"/>
    </row>
    <row r="25" ht="4.5" customHeight="1" spans="1:26" x14ac:dyDescent="0.25">
      <c r="A25" s="16"/>
      <c r="B25" s="264"/>
      <c r="C25" s="16"/>
      <c r="D25" s="16"/>
      <c r="E25" s="16"/>
      <c r="F25" s="16"/>
      <c r="G25" s="16"/>
      <c r="H25" s="84"/>
      <c r="I25" s="84"/>
      <c r="J25" s="84"/>
      <c r="K25" s="84"/>
      <c r="L25" s="84"/>
      <c r="M25" s="84"/>
      <c r="N25" s="84"/>
      <c r="O25" s="84"/>
      <c r="P25" s="84"/>
      <c r="Q25" s="16"/>
      <c r="R25" s="16"/>
      <c r="S25" s="4"/>
      <c r="T25" s="4"/>
      <c r="U25" s="4"/>
      <c r="V25" s="4"/>
      <c r="W25" s="4"/>
      <c r="X25" s="4"/>
      <c r="Y25" s="4"/>
      <c r="Z25" s="4"/>
    </row>
    <row r="26" ht="14.25" customHeight="1" spans="1:26" x14ac:dyDescent="0.25">
      <c r="A26" s="16"/>
      <c r="B26" s="16"/>
      <c r="C26" s="16" t="str">
        <f ca="1">'Segment Analysis'!C8</f>
        <v>Home Improvement Retail Revenue</v>
      </c>
      <c r="D26" s="16"/>
      <c r="E26" s="16"/>
      <c r="F26" s="16"/>
      <c r="G26" s="16"/>
      <c r="H26" s="898">
        <f ca="1">INDEX(Data,MATCH($C26,Line_Items,0),MATCH($H$6,Fiscal_Periods,0))</f>
      </c>
      <c r="I26" s="898">
        <f ca="1">INDEX(Data,MATCH($C26,Line_Items,0),MATCH($H$6,Fiscal_Periods,0))</f>
      </c>
      <c r="J26" s="899">
        <v>6520.1</v>
      </c>
      <c r="K26" s="898">
        <f ca="1">INDEX(Data,MATCH($C26,Line_Items,0),MATCH(LEFT(K$24,4),Fiscal_Periods,0))</f>
      </c>
      <c r="L26" s="898">
        <f ca="1">INDEX(Data,MATCH($C26,Line_Items,0),MATCH(LEFT(L$24,4),Fiscal_Periods,0))</f>
      </c>
      <c r="M26" s="900" t="str">
        <f t="shared" ref="M26:N26" si="15" ca="1">IFERROR($H26/I26-1,"N/A")</f>
        <v>N/A</v>
      </c>
      <c r="N26" s="595" t="str">
        <f ca="1">IFERROR($H26/J26-1,"N/A")</f>
        <v>N/A</v>
      </c>
      <c r="O26" s="595" t="str">
        <f t="shared" ref="O26:P26" si="16" ca="1">IFERROR($I26/K26-1,"N/A")</f>
        <v>N/A</v>
      </c>
      <c r="P26" s="595" t="str">
        <f ca="1">IFERROR($I26/L26-1,"N/A")</f>
        <v>N/A</v>
      </c>
      <c r="Q26" s="16"/>
      <c r="R26" s="16"/>
      <c r="S26" s="4"/>
      <c r="T26" s="4"/>
      <c r="U26" s="4"/>
      <c r="V26" s="4"/>
      <c r="W26" s="4"/>
      <c r="X26" s="4"/>
      <c r="Y26" s="4"/>
      <c r="Z26" s="4"/>
    </row>
    <row r="27" ht="14.25" customHeight="1" spans="1:26" x14ac:dyDescent="0.25">
      <c r="A27" s="16"/>
      <c r="B27" s="16"/>
      <c r="C27" s="16" t="str">
        <f ca="1">'Segment Analysis'!C9</f>
        <v>Segment 2 Revenue</v>
      </c>
      <c r="D27" s="16"/>
      <c r="E27" s="16"/>
      <c r="F27" s="16"/>
      <c r="G27" s="16"/>
      <c r="H27" s="901">
        <f ca="1">INDEX(Data,MATCH($C27,Line_Items,0),MATCH($H$6,Fiscal_Periods,0))</f>
      </c>
      <c r="I27" s="901">
        <f ca="1">INDEX(Data,MATCH($C27,Line_Items,0),MATCH($H$6,Fiscal_Periods,0))</f>
      </c>
      <c r="J27" s="902">
        <v>11000.3</v>
      </c>
      <c r="K27" s="901">
        <f ca="1">INDEX(Data,MATCH($C27,Line_Items,0),MATCH(LEFT(K$24,4),Fiscal_Periods,0))</f>
      </c>
      <c r="L27" s="901">
        <f ca="1">INDEX(Data,MATCH($C27,Line_Items,0),MATCH(LEFT(L$24,4),Fiscal_Periods,0))</f>
      </c>
      <c r="M27" s="900" t="str">
        <f t="shared" ref="M27:N27" si="17" ca="1">IFERROR($H27/I27-1,"N/A")</f>
        <v>N/A</v>
      </c>
      <c r="N27" s="595" t="str">
        <f ca="1">IFERROR($H27/J27-1,"N/A")</f>
        <v>N/A</v>
      </c>
      <c r="O27" s="595" t="str">
        <f t="shared" ref="O27:P27" si="18" ca="1">IFERROR($I27/K27-1,"N/A")</f>
        <v>N/A</v>
      </c>
      <c r="P27" s="595" t="str">
        <f ca="1">IFERROR($I27/L27-1,"N/A")</f>
        <v>N/A</v>
      </c>
      <c r="Q27" s="16"/>
      <c r="R27" s="16"/>
      <c r="S27" s="4"/>
      <c r="T27" s="4"/>
      <c r="U27" s="4"/>
      <c r="V27" s="4"/>
      <c r="W27" s="4"/>
      <c r="X27" s="4"/>
      <c r="Y27" s="4"/>
      <c r="Z27" s="4"/>
    </row>
    <row r="28" ht="14.25" customHeight="1" spans="1:26" x14ac:dyDescent="0.25">
      <c r="A28" s="16"/>
      <c r="B28" s="16"/>
      <c r="C28" s="16" t="str">
        <f ca="1">'Segment Analysis'!C10</f>
        <v>Segment 3 Revenue</v>
      </c>
      <c r="D28" s="16"/>
      <c r="E28" s="16"/>
      <c r="F28" s="16"/>
      <c r="G28" s="16"/>
      <c r="H28" s="901">
        <f ca="1">INDEX(Data,MATCH($C28,Line_Items,0),MATCH($H$6,Fiscal_Periods,0))</f>
      </c>
      <c r="I28" s="901">
        <f ca="1">INDEX(Data,MATCH($C28,Line_Items,0),MATCH($H$6,Fiscal_Periods,0))</f>
      </c>
      <c r="J28" s="902">
        <v>75</v>
      </c>
      <c r="K28" s="901">
        <f ca="1">INDEX(Data,MATCH($C28,Line_Items,0),MATCH(LEFT(K$24,4),Fiscal_Periods,0))</f>
      </c>
      <c r="L28" s="901">
        <f ca="1">INDEX(Data,MATCH($C28,Line_Items,0),MATCH(LEFT(L$24,4),Fiscal_Periods,0))</f>
      </c>
      <c r="M28" s="900" t="str">
        <f t="shared" ref="M28:N28" si="19" ca="1">IFERROR($H28/I28-1,"N/A")</f>
        <v>N/A</v>
      </c>
      <c r="N28" s="595" t="str">
        <f ca="1">IFERROR($H28/J28-1,"N/A")</f>
        <v>N/A</v>
      </c>
      <c r="O28" s="595" t="str">
        <f t="shared" ref="O28:P28" si="20" ca="1">IFERROR($I28/K28-1,"N/A")</f>
        <v>N/A</v>
      </c>
      <c r="P28" s="595" t="str">
        <f ca="1">IFERROR($I28/L28-1,"N/A")</f>
        <v>N/A</v>
      </c>
      <c r="Q28" s="16"/>
      <c r="R28" s="16"/>
      <c r="S28" s="4"/>
      <c r="T28" s="4"/>
      <c r="U28" s="4"/>
      <c r="V28" s="4"/>
      <c r="W28" s="4"/>
      <c r="X28" s="4"/>
      <c r="Y28" s="4"/>
      <c r="Z28" s="4"/>
    </row>
    <row r="29" ht="14.25" customHeight="1" spans="1:26" x14ac:dyDescent="0.25">
      <c r="A29" s="16"/>
      <c r="B29" s="16"/>
      <c r="C29" s="16" t="str">
        <f ca="1">'Segment Analysis'!C11</f>
        <v>Segment 4 Revenue</v>
      </c>
      <c r="D29" s="16"/>
      <c r="E29" s="16"/>
      <c r="F29" s="16"/>
      <c r="G29" s="16"/>
      <c r="H29" s="901">
        <f ca="1">INDEX(Data,MATCH($C29,Line_Items,0),MATCH($H$6,Fiscal_Periods,0))</f>
      </c>
      <c r="I29" s="901">
        <f ca="1">INDEX(Data,MATCH($C29,Line_Items,0),MATCH($H$6,Fiscal_Periods,0))</f>
      </c>
      <c r="J29" s="902">
        <v>-200</v>
      </c>
      <c r="K29" s="901">
        <f ca="1">INDEX(Data,MATCH($C29,Line_Items,0),MATCH(LEFT(K$24,4),Fiscal_Periods,0))</f>
      </c>
      <c r="L29" s="901">
        <f ca="1">INDEX(Data,MATCH($C29,Line_Items,0),MATCH(LEFT(L$24,4),Fiscal_Periods,0))</f>
      </c>
      <c r="M29" s="900" t="str">
        <f t="shared" ref="M29:N29" si="21" ca="1">IFERROR($H29/I29-1,"N/A")</f>
        <v>N/A</v>
      </c>
      <c r="N29" s="595" t="str">
        <f ca="1">IFERROR($H29/J29-1,"N/A")</f>
        <v>N/A</v>
      </c>
      <c r="O29" s="595" t="str">
        <f t="shared" ref="O29:P29" si="22" ca="1">IFERROR($I29/K29-1,"N/A")</f>
        <v>N/A</v>
      </c>
      <c r="P29" s="595" t="str">
        <f ca="1">IFERROR($I29/L29-1,"N/A")</f>
        <v>N/A</v>
      </c>
      <c r="Q29" s="16"/>
      <c r="R29" s="16"/>
      <c r="S29" s="4"/>
      <c r="T29" s="4"/>
      <c r="U29" s="4"/>
      <c r="V29" s="4"/>
      <c r="W29" s="4"/>
      <c r="X29" s="4"/>
      <c r="Y29" s="4"/>
      <c r="Z29" s="4"/>
    </row>
    <row r="30" ht="14.25" customHeight="1" spans="1:26" x14ac:dyDescent="0.25">
      <c r="A30" s="16"/>
      <c r="B30" s="16"/>
      <c r="C30" s="590" t="str">
        <f ca="1">'Segment Analysis'!C12</f>
        <v>Segment 5 Revenue</v>
      </c>
      <c r="D30" s="590"/>
      <c r="E30" s="590"/>
      <c r="F30" s="590"/>
      <c r="G30" s="590"/>
      <c r="H30" s="910">
        <f ca="1">INDEX(Data,MATCH($C30,Line_Items,0),MATCH($H$6,Fiscal_Periods,0))</f>
      </c>
      <c r="I30" s="910">
        <f ca="1">INDEX(Data,MATCH($C30,Line_Items,0),MATCH($H$6,Fiscal_Periods,0))</f>
      </c>
      <c r="J30" s="911">
        <v>5000</v>
      </c>
      <c r="K30" s="910">
        <f ca="1">INDEX(Data,MATCH($C30,Line_Items,0),MATCH(LEFT(K$24,4),Fiscal_Periods,0))</f>
      </c>
      <c r="L30" s="910">
        <f ca="1">INDEX(Data,MATCH($C30,Line_Items,0),MATCH(LEFT(L$24,4),Fiscal_Periods,0))</f>
      </c>
      <c r="M30" s="912" t="str">
        <f t="shared" ref="M30:N30" si="23" ca="1">IFERROR($H30/I30-1,"N/A")</f>
        <v>N/A</v>
      </c>
      <c r="N30" s="591" t="str">
        <f ca="1">IFERROR($H30/J30-1,"N/A")</f>
        <v>N/A</v>
      </c>
      <c r="O30" s="591" t="str">
        <f t="shared" ref="O30:P30" si="24" ca="1">IFERROR($I30/K30-1,"N/A")</f>
        <v>N/A</v>
      </c>
      <c r="P30" s="591" t="str">
        <f ca="1">IFERROR($I30/L30-1,"N/A")</f>
        <v>N/A</v>
      </c>
      <c r="Q30" s="16"/>
      <c r="R30" s="16"/>
      <c r="S30" s="4"/>
      <c r="T30" s="4"/>
      <c r="U30" s="4"/>
      <c r="V30" s="4"/>
      <c r="W30" s="4"/>
      <c r="X30" s="4"/>
      <c r="Y30" s="4"/>
      <c r="Z30" s="4"/>
    </row>
    <row r="31" ht="14.25" customHeight="1" hidden="1" spans="1:26" x14ac:dyDescent="0.25" outlineLevel="1" collapsed="1">
      <c r="A31" s="16"/>
      <c r="B31" s="16"/>
      <c r="C31" s="590" t="str">
        <f ca="1">'Segment Analysis'!C13</f>
        <v>Segment 6 Revenue</v>
      </c>
      <c r="D31" s="590"/>
      <c r="E31" s="590"/>
      <c r="F31" s="590"/>
      <c r="G31" s="590"/>
      <c r="H31" s="913">
        <f ca="1">INDEX(Data,MATCH($C31,Line_Items,0),MATCH($H$6,Fiscal_Periods,0))</f>
      </c>
      <c r="I31" s="913">
        <f ca="1">INDEX(Data,MATCH($C31,Line_Items,0),MATCH($H$6,Fiscal_Periods,0))</f>
      </c>
      <c r="J31" s="914">
        <f ca="1">INDEX(Data,MATCH($C31,Line_Items,0),MATCH($H$6,Fiscal_Periods,0))</f>
      </c>
      <c r="K31" s="913">
        <f ca="1">INDEX(Data,MATCH($C31,Line_Items,0),MATCH(LEFT(K$24,4),Fiscal_Periods,0))</f>
      </c>
      <c r="L31" s="913">
        <f ca="1">INDEX(Data,MATCH($C31,Line_Items,0),MATCH(LEFT(L$24,4),Fiscal_Periods,0))</f>
      </c>
      <c r="M31" s="916" t="str">
        <f t="shared" ref="M31:N31" si="25" ca="1">IFERROR($H31/I31-1,"N/A")</f>
        <v>N/A</v>
      </c>
      <c r="N31" s="917" t="str">
        <f ca="1">IFERROR($H31/J31-1,"N/A")</f>
        <v>N/A</v>
      </c>
      <c r="O31" s="917" t="str">
        <f t="shared" ref="O31:P31" si="26" ca="1">IFERROR($I31/K31-1,"N/A")</f>
        <v>N/A</v>
      </c>
      <c r="P31" s="917" t="str">
        <f ca="1">IFERROR($I31/L31-1,"N/A")</f>
        <v>N/A</v>
      </c>
      <c r="Q31" s="16"/>
      <c r="R31" s="16"/>
      <c r="S31" s="4"/>
      <c r="T31" s="4"/>
      <c r="U31" s="4"/>
      <c r="V31" s="4"/>
      <c r="W31" s="4"/>
      <c r="X31" s="4"/>
      <c r="Y31" s="4"/>
      <c r="Z31" s="4"/>
    </row>
    <row r="32" ht="14.25" customHeight="1" spans="1:26" x14ac:dyDescent="0.25">
      <c r="A32" s="16"/>
      <c r="B32" s="16"/>
      <c r="C32" s="16">
        <f ca="1">'Segment Analysis'!#REF!</f>
      </c>
      <c r="D32" s="16"/>
      <c r="E32" s="16"/>
      <c r="F32" s="16"/>
      <c r="G32" s="16"/>
      <c r="H32" s="898">
        <f ca="1">INDEX(Data,MATCH($C32,Line_Items,0),MATCH($H$6,Fiscal_Periods,0))</f>
      </c>
      <c r="I32" s="898">
        <f ca="1">INDEX(Data,MATCH($C32,Line_Items,0),MATCH($H$6,Fiscal_Periods,0))</f>
      </c>
      <c r="J32" s="899">
        <v>820</v>
      </c>
      <c r="K32" s="898">
        <f ca="1">INDEX(Data,MATCH($C32,Line_Items,0),MATCH(LEFT(K$24,4),Fiscal_Periods,0))</f>
      </c>
      <c r="L32" s="898">
        <f ca="1">INDEX(Data,MATCH($C32,Line_Items,0),MATCH(LEFT(L$24,4),Fiscal_Periods,0))</f>
      </c>
      <c r="M32" s="900" t="str">
        <f t="shared" ref="M32:N32" si="27" ca="1">IFERROR($H32/I32-1,"N/A")</f>
        <v>N/A</v>
      </c>
      <c r="N32" s="595" t="str">
        <f ca="1">IFERROR($H32/J32-1,"N/A")</f>
        <v>N/A</v>
      </c>
      <c r="O32" s="595" t="str">
        <f t="shared" ref="O32:P32" si="28" ca="1">IFERROR($I32/K32-1,"N/A")</f>
        <v>N/A</v>
      </c>
      <c r="P32" s="595" t="str">
        <f ca="1">IFERROR($I32/L32-1,"N/A")</f>
        <v>N/A</v>
      </c>
      <c r="Q32" s="16"/>
      <c r="R32" s="16"/>
      <c r="S32" s="4"/>
      <c r="T32" s="4"/>
      <c r="U32" s="4"/>
      <c r="V32" s="4"/>
      <c r="W32" s="4"/>
      <c r="X32" s="4"/>
      <c r="Y32" s="4"/>
      <c r="Z32" s="4"/>
    </row>
    <row r="33" ht="14.25" customHeight="1" spans="1:26" x14ac:dyDescent="0.25">
      <c r="A33" s="16"/>
      <c r="B33" s="16"/>
      <c r="C33" s="16">
        <f ca="1">'Segment Analysis'!#REF!</f>
      </c>
      <c r="D33" s="16"/>
      <c r="E33" s="16"/>
      <c r="F33" s="16"/>
      <c r="G33" s="16"/>
      <c r="H33" s="901">
        <f ca="1">INDEX(Data,MATCH($C33,Line_Items,0),MATCH($H$6,Fiscal_Periods,0))</f>
      </c>
      <c r="I33" s="901">
        <f ca="1">INDEX(Data,MATCH($C33,Line_Items,0),MATCH($H$6,Fiscal_Periods,0))</f>
      </c>
      <c r="J33" s="902">
        <v>1400</v>
      </c>
      <c r="K33" s="901">
        <f ca="1">INDEX(Data,MATCH($C33,Line_Items,0),MATCH(LEFT(K$24,4),Fiscal_Periods,0))</f>
      </c>
      <c r="L33" s="901">
        <f ca="1">INDEX(Data,MATCH($C33,Line_Items,0),MATCH(LEFT(L$24,4),Fiscal_Periods,0))</f>
      </c>
      <c r="M33" s="900" t="str">
        <f t="shared" ref="M33:N33" si="29" ca="1">IFERROR($H33/I33-1,"N/A")</f>
        <v>N/A</v>
      </c>
      <c r="N33" s="595" t="str">
        <f ca="1">IFERROR($H33/J33-1,"N/A")</f>
        <v>N/A</v>
      </c>
      <c r="O33" s="595" t="str">
        <f t="shared" ref="O33:P33" si="30" ca="1">IFERROR($I33/K33-1,"N/A")</f>
        <v>N/A</v>
      </c>
      <c r="P33" s="595" t="str">
        <f ca="1">IFERROR($I33/L33-1,"N/A")</f>
        <v>N/A</v>
      </c>
      <c r="Q33" s="16"/>
      <c r="R33" s="16"/>
      <c r="S33" s="4"/>
      <c r="T33" s="4"/>
      <c r="U33" s="4"/>
      <c r="V33" s="4"/>
      <c r="W33" s="4"/>
      <c r="X33" s="4"/>
      <c r="Y33" s="4"/>
      <c r="Z33" s="4"/>
    </row>
    <row r="34" ht="14.25" customHeight="1" spans="1:26" x14ac:dyDescent="0.25">
      <c r="A34" s="16"/>
      <c r="B34" s="16"/>
      <c r="C34" s="16">
        <f ca="1">'Segment Analysis'!#REF!</f>
      </c>
      <c r="D34" s="16"/>
      <c r="E34" s="16"/>
      <c r="F34" s="16"/>
      <c r="G34" s="16"/>
      <c r="H34" s="901">
        <f ca="1">INDEX(Data,MATCH($C34,Line_Items,0),MATCH($H$6,Fiscal_Periods,0))</f>
      </c>
      <c r="I34" s="901">
        <f ca="1">INDEX(Data,MATCH($C34,Line_Items,0),MATCH($H$6,Fiscal_Periods,0))</f>
      </c>
      <c r="J34" s="902">
        <v>10</v>
      </c>
      <c r="K34" s="901">
        <f ca="1">INDEX(Data,MATCH($C34,Line_Items,0),MATCH(LEFT(K$24,4),Fiscal_Periods,0))</f>
      </c>
      <c r="L34" s="901">
        <f ca="1">INDEX(Data,MATCH($C34,Line_Items,0),MATCH(LEFT(L$24,4),Fiscal_Periods,0))</f>
      </c>
      <c r="M34" s="900" t="str">
        <f t="shared" ref="M34:N34" si="31" ca="1">IFERROR($H34/I34-1,"N/A")</f>
        <v>N/A</v>
      </c>
      <c r="N34" s="595" t="str">
        <f ca="1">IFERROR($H34/J34-1,"N/A")</f>
        <v>N/A</v>
      </c>
      <c r="O34" s="595" t="str">
        <f t="shared" ref="O34:P34" si="32" ca="1">IFERROR($I34/K34-1,"N/A")</f>
        <v>N/A</v>
      </c>
      <c r="P34" s="595" t="str">
        <f ca="1">IFERROR($I34/L34-1,"N/A")</f>
        <v>N/A</v>
      </c>
      <c r="Q34" s="16"/>
      <c r="R34" s="16"/>
      <c r="S34" s="4"/>
      <c r="T34" s="4"/>
      <c r="U34" s="4"/>
      <c r="V34" s="4"/>
      <c r="W34" s="4"/>
      <c r="X34" s="4"/>
      <c r="Y34" s="4"/>
      <c r="Z34" s="4"/>
    </row>
    <row r="35" ht="14.25" customHeight="1" spans="1:26" x14ac:dyDescent="0.25">
      <c r="A35" s="16"/>
      <c r="B35" s="16"/>
      <c r="C35" s="16">
        <f ca="1">'Segment Analysis'!#REF!</f>
      </c>
      <c r="D35" s="16"/>
      <c r="E35" s="16"/>
      <c r="F35" s="16"/>
      <c r="G35" s="16"/>
      <c r="H35" s="901">
        <f ca="1">INDEX(Data,MATCH($C35,Line_Items,0),MATCH($H$6,Fiscal_Periods,0))</f>
      </c>
      <c r="I35" s="901">
        <f ca="1">INDEX(Data,MATCH($C35,Line_Items,0),MATCH($H$6,Fiscal_Periods,0))</f>
      </c>
      <c r="J35" s="902">
        <v>-23</v>
      </c>
      <c r="K35" s="901">
        <f ca="1">INDEX(Data,MATCH($C35,Line_Items,0),MATCH(LEFT(K$24,4),Fiscal_Periods,0))</f>
      </c>
      <c r="L35" s="901">
        <f ca="1">INDEX(Data,MATCH($C35,Line_Items,0),MATCH(LEFT(L$24,4),Fiscal_Periods,0))</f>
      </c>
      <c r="M35" s="900" t="str">
        <f t="shared" ref="M35:N35" si="33" ca="1">IFERROR($H35/I35-1,"N/A")</f>
        <v>N/A</v>
      </c>
      <c r="N35" s="595" t="str">
        <f ca="1">IFERROR($H35/J35-1,"N/A")</f>
        <v>N/A</v>
      </c>
      <c r="O35" s="595" t="str">
        <f t="shared" ref="O35:P35" si="34" ca="1">IFERROR($I35/K35-1,"N/A")</f>
        <v>N/A</v>
      </c>
      <c r="P35" s="595" t="str">
        <f ca="1">IFERROR($I35/L35-1,"N/A")</f>
        <v>N/A</v>
      </c>
      <c r="Q35" s="16"/>
      <c r="R35" s="16"/>
      <c r="S35" s="4"/>
      <c r="T35" s="4"/>
      <c r="U35" s="4"/>
      <c r="V35" s="4"/>
      <c r="W35" s="4"/>
      <c r="X35" s="4"/>
      <c r="Y35" s="4"/>
      <c r="Z35" s="4"/>
    </row>
    <row r="36" ht="14.25" customHeight="1" spans="1:26" x14ac:dyDescent="0.25">
      <c r="A36" s="16"/>
      <c r="B36" s="16"/>
      <c r="C36" s="16">
        <f ca="1">'Segment Analysis'!#REF!</f>
      </c>
      <c r="D36" s="16"/>
      <c r="E36" s="16"/>
      <c r="F36" s="16"/>
      <c r="G36" s="16"/>
      <c r="H36" s="901">
        <f ca="1">INDEX(Data,MATCH($C36,Line_Items,0),MATCH($H$6,Fiscal_Periods,0))</f>
      </c>
      <c r="I36" s="901">
        <f ca="1">INDEX(Data,MATCH($C36,Line_Items,0),MATCH($H$6,Fiscal_Periods,0))</f>
      </c>
      <c r="J36" s="902">
        <v>650</v>
      </c>
      <c r="K36" s="901">
        <f ca="1">INDEX(Data,MATCH($C36,Line_Items,0),MATCH(LEFT(K$24,4),Fiscal_Periods,0))</f>
      </c>
      <c r="L36" s="901">
        <f ca="1">INDEX(Data,MATCH($C36,Line_Items,0),MATCH(LEFT(L$24,4),Fiscal_Periods,0))</f>
      </c>
      <c r="M36" s="900" t="str">
        <f t="shared" ref="M36:N36" si="35" ca="1">IFERROR($H36/I36-1,"N/A")</f>
        <v>N/A</v>
      </c>
      <c r="N36" s="595" t="str">
        <f ca="1">IFERROR($H36/J36-1,"N/A")</f>
        <v>N/A</v>
      </c>
      <c r="O36" s="595" t="str">
        <f t="shared" ref="O36:P36" si="36" ca="1">IFERROR($I36/K36-1,"N/A")</f>
        <v>N/A</v>
      </c>
      <c r="P36" s="595" t="str">
        <f ca="1">IFERROR($I36/L36-1,"N/A")</f>
        <v>N/A</v>
      </c>
      <c r="Q36" s="16"/>
      <c r="R36" s="16"/>
      <c r="S36" s="4"/>
      <c r="T36" s="4"/>
      <c r="U36" s="4"/>
      <c r="V36" s="4"/>
      <c r="W36" s="4"/>
      <c r="X36" s="4"/>
      <c r="Y36" s="4"/>
      <c r="Z36" s="4"/>
    </row>
    <row r="37" ht="14.25" customHeight="1" spans="1:26" x14ac:dyDescent="0.25">
      <c r="A37" s="16"/>
      <c r="B37" s="16"/>
      <c r="C37" s="16">
        <f ca="1">'Segment Analysis'!#REF!</f>
      </c>
      <c r="D37" s="16"/>
      <c r="E37" s="16"/>
      <c r="F37" s="16"/>
      <c r="G37" s="16"/>
      <c r="H37" s="901">
        <f ca="1">INDEX(Data,MATCH($C37,Line_Items,0),MATCH($H$6,Fiscal_Periods,0))</f>
      </c>
      <c r="I37" s="901">
        <f ca="1">INDEX(Data,MATCH($C37,Line_Items,0),MATCH($H$6,Fiscal_Periods,0))</f>
      </c>
      <c r="J37" s="902">
        <v>300</v>
      </c>
      <c r="K37" s="901">
        <f ca="1">INDEX(Data,MATCH($C37,Line_Items,0),MATCH(LEFT(K$24,4),Fiscal_Periods,0))</f>
      </c>
      <c r="L37" s="901">
        <f ca="1">INDEX(Data,MATCH($C37,Line_Items,0),MATCH(LEFT(L$24,4),Fiscal_Periods,0))</f>
      </c>
      <c r="M37" s="900" t="str">
        <f t="shared" ref="M37:N37" si="37" ca="1">IFERROR($H37/I37-1,"N/A")</f>
        <v>N/A</v>
      </c>
      <c r="N37" s="595" t="str">
        <f ca="1">IFERROR($H37/J37-1,"N/A")</f>
        <v>N/A</v>
      </c>
      <c r="O37" s="595" t="str">
        <f t="shared" ref="O37:P37" si="38" ca="1">IFERROR($I37/K37-1,"N/A")</f>
        <v>N/A</v>
      </c>
      <c r="P37" s="595" t="str">
        <f ca="1">IFERROR($I37/L37-1,"N/A")</f>
        <v>N/A</v>
      </c>
      <c r="Q37" s="16"/>
      <c r="R37" s="16"/>
      <c r="S37" s="4"/>
      <c r="T37" s="4"/>
      <c r="U37" s="4"/>
      <c r="V37" s="4"/>
      <c r="W37" s="4"/>
      <c r="X37" s="4"/>
      <c r="Y37" s="4"/>
      <c r="Z37" s="4"/>
    </row>
    <row r="38" ht="14.25" customHeight="1" spans="1:26" x14ac:dyDescent="0.25">
      <c r="A38" s="16"/>
      <c r="B38" s="16"/>
      <c r="C38" s="16"/>
      <c r="D38" s="16"/>
      <c r="E38" s="16"/>
      <c r="F38" s="16"/>
      <c r="G38" s="16"/>
      <c r="H38" s="84"/>
      <c r="I38" s="84"/>
      <c r="J38" s="84"/>
      <c r="K38" s="84"/>
      <c r="L38" s="84"/>
      <c r="M38" s="84"/>
      <c r="N38" s="84"/>
      <c r="O38" s="84"/>
      <c r="P38" s="84"/>
      <c r="Q38" s="16"/>
      <c r="R38" s="16"/>
      <c r="S38" s="4"/>
      <c r="T38" s="4"/>
      <c r="U38" s="4"/>
      <c r="V38" s="4"/>
      <c r="W38" s="4"/>
      <c r="X38" s="4"/>
      <c r="Y38" s="4"/>
      <c r="Z38" s="4"/>
    </row>
    <row r="39" ht="14.25" customHeight="1" spans="1:26" x14ac:dyDescent="0.25">
      <c r="A39" s="16"/>
      <c r="B39" s="16"/>
      <c r="C39" s="16"/>
      <c r="D39" s="16"/>
      <c r="E39" s="16"/>
      <c r="F39" s="16"/>
      <c r="G39" s="16"/>
      <c r="H39" s="84"/>
      <c r="I39" s="84"/>
      <c r="J39" s="84"/>
      <c r="K39" s="84"/>
      <c r="L39" s="84"/>
      <c r="M39" s="84"/>
      <c r="N39" s="84"/>
      <c r="O39" s="84"/>
      <c r="P39" s="84"/>
      <c r="Q39" s="16"/>
      <c r="R39" s="16"/>
      <c r="S39" s="4"/>
      <c r="T39" s="4"/>
      <c r="U39" s="4"/>
      <c r="V39" s="4"/>
      <c r="W39" s="4"/>
      <c r="X39" s="4"/>
      <c r="Y39" s="4"/>
      <c r="Z39" s="4"/>
    </row>
    <row r="40" ht="14.25" customHeight="1" spans="1:26" x14ac:dyDescent="0.25">
      <c r="A40" s="16"/>
      <c r="B40" s="264" t="s">
        <v>1</v>
      </c>
      <c r="C40" s="110" t="str">
        <f ca="1">Ticker&amp;" "&amp;H4&amp;RIGHT(H5,2)&amp;" Cash Flow Results"</f>
        <v>LOW 4Q26 Cash Flow Results</v>
      </c>
      <c r="D40" s="110"/>
      <c r="E40" s="110"/>
      <c r="F40" s="110"/>
      <c r="G40" s="110"/>
      <c r="H40" s="111" t="str">
        <f t="shared" ref="H40:P40" si="39" ca="1">H10</f>
        <v>4Q26a</v>
      </c>
      <c r="I40" s="111" t="str">
        <f ca="1">I10</f>
        <v>OFe</v>
      </c>
      <c r="J40" s="111" t="str">
        <f ca="1">J10</f>
        <v>Consensus</v>
      </c>
      <c r="K40" s="111" t="str">
        <f ca="1">K10</f>
        <v>4Q25a</v>
      </c>
      <c r="L40" s="111" t="str">
        <f ca="1">L10</f>
        <v>2Q26a</v>
      </c>
      <c r="M40" s="897" t="str">
        <f ca="1">M10</f>
        <v>v. OFe</v>
      </c>
      <c r="N40" s="111" t="str">
        <f ca="1">N10</f>
        <v>v. Consensus</v>
      </c>
      <c r="O40" s="111" t="str">
        <f ca="1">O10</f>
        <v>v. 4Q25a</v>
      </c>
      <c r="P40" s="111" t="str">
        <f ca="1">P10</f>
        <v>v. 2Q26a</v>
      </c>
      <c r="Q40" s="16"/>
      <c r="R40" s="16"/>
      <c r="S40" s="4"/>
      <c r="T40" s="4"/>
      <c r="U40" s="4"/>
      <c r="V40" s="4"/>
      <c r="W40" s="4"/>
      <c r="X40" s="4"/>
      <c r="Y40" s="4"/>
      <c r="Z40" s="4"/>
    </row>
    <row r="41" ht="4.5" customHeight="1" spans="1:26" x14ac:dyDescent="0.25">
      <c r="A41" s="16"/>
      <c r="B41" s="16"/>
      <c r="C41" s="16"/>
      <c r="D41" s="16"/>
      <c r="E41" s="16"/>
      <c r="F41" s="16"/>
      <c r="G41" s="16"/>
      <c r="H41" s="84"/>
      <c r="I41" s="84"/>
      <c r="J41" s="84"/>
      <c r="K41" s="84"/>
      <c r="L41" s="84"/>
      <c r="M41" s="84"/>
      <c r="N41" s="84"/>
      <c r="O41" s="84"/>
      <c r="P41" s="84"/>
      <c r="Q41" s="16"/>
      <c r="R41" s="16"/>
      <c r="S41" s="4"/>
      <c r="T41" s="4"/>
      <c r="U41" s="4"/>
      <c r="V41" s="4"/>
      <c r="W41" s="4"/>
      <c r="X41" s="4"/>
      <c r="Y41" s="4"/>
      <c r="Z41" s="4"/>
    </row>
    <row r="42" ht="14.25" customHeight="1" spans="1:26" x14ac:dyDescent="0.25">
      <c r="A42" s="16"/>
      <c r="B42" s="16"/>
      <c r="C42" s="16" t="str">
        <f ca="1">Model!C80</f>
        <v>Net Cash From Operating Activities</v>
      </c>
      <c r="D42" s="16"/>
      <c r="E42" s="16"/>
      <c r="F42" s="16"/>
      <c r="G42" s="16"/>
      <c r="H42" s="898">
        <f ca="1">INDEX(Data,MATCH($C42,Line_Items,0),MATCH($H$6,Fiscal_Periods,0))</f>
      </c>
      <c r="I42" s="898">
        <f ca="1">INDEX(Data,MATCH($C42,Line_Items,0),MATCH($H$6,Fiscal_Periods,0))</f>
      </c>
      <c r="J42" s="899">
        <v>50</v>
      </c>
      <c r="K42" s="898">
        <f t="array" ref="K42" ca="1">INDEX(Data,MATCH($C42,Line_Items,0),MATCH(LEFT(K$40,4),Fiscal_Periods,0))</f>
        <v>0</v>
      </c>
      <c r="L42" s="898">
        <f t="array" ref="L42" ca="1">INDEX(Data,MATCH($C42,Line_Items,0),MATCH(LEFT(L$40,4),Fiscal_Periods,0))</f>
        <v>0</v>
      </c>
      <c r="M42" s="900" t="str">
        <f t="shared" ref="M42:N42" si="40" ca="1">IFERROR($H42/I42-1,"N/A")</f>
        <v>N/A</v>
      </c>
      <c r="N42" s="595" t="str">
        <f ca="1">IFERROR($H42/J42-1,"N/A")</f>
        <v>N/A</v>
      </c>
      <c r="O42" s="595" t="str">
        <f t="shared" ref="O42:P42" si="41" ca="1">IFERROR($I42/K42-1,"N/A")</f>
        <v>N/A</v>
      </c>
      <c r="P42" s="595" t="str">
        <f ca="1">IFERROR($I42/L42-1,"N/A")</f>
        <v>N/A</v>
      </c>
      <c r="Q42" s="16"/>
      <c r="R42" s="16"/>
      <c r="S42" s="4"/>
      <c r="T42" s="4"/>
      <c r="U42" s="4"/>
      <c r="V42" s="4"/>
      <c r="W42" s="4"/>
      <c r="X42" s="4"/>
      <c r="Y42" s="4"/>
      <c r="Z42" s="4"/>
    </row>
    <row r="43" ht="14.25" customHeight="1" spans="1:26" x14ac:dyDescent="0.25">
      <c r="A43" s="16"/>
      <c r="B43" s="16"/>
      <c r="C43" s="16" t="str">
        <f ca="1">Model!C82</f>
        <v>Capital Expenditures</v>
      </c>
      <c r="D43" s="16"/>
      <c r="E43" s="16"/>
      <c r="F43" s="16"/>
      <c r="G43" s="16"/>
      <c r="H43" s="901">
        <f t="array" ref="H43" ca="1">INDEX(Data,MATCH($C43,Line_Items,0),MATCH($H$6,Fiscal_Periods,0))</f>
        <v>-370.1257</v>
      </c>
      <c r="I43" s="901">
        <f t="array" ref="I43" ca="1">INDEX(Data,MATCH($C43,Line_Items,0),MATCH($H$6,Fiscal_Periods,0))</f>
        <v>-370.1257</v>
      </c>
      <c r="J43" s="902">
        <v>-668</v>
      </c>
      <c r="K43" s="901">
        <f t="array" ref="K43" ca="1">INDEX(Data,MATCH($C43,Line_Items,0),MATCH(LEFT(K$40,4),Fiscal_Periods,0))</f>
        <v>0</v>
      </c>
      <c r="L43" s="901">
        <f t="array" ref="L43" ca="1">INDEX(Data,MATCH($C43,Line_Items,0),MATCH(LEFT(L$40,4),Fiscal_Periods,0))</f>
        <v>0</v>
      </c>
      <c r="M43" s="900">
        <f t="shared" ref="M43:N43" si="42" ca="1">IFERROR($H43/I43-1,"N/A")</f>
        <v>0</v>
      </c>
      <c r="N43" s="595">
        <f ca="1">IFERROR($H43/J43-1,"N/A")</f>
        <v>-0.4459196107784431</v>
      </c>
      <c r="O43" s="595" t="str">
        <f t="shared" ref="O43:P43" si="43" ca="1">IFERROR($I43/K43-1,"N/A")</f>
        <v>N/A</v>
      </c>
      <c r="P43" s="595" t="str">
        <f ca="1">IFERROR($I43/L43-1,"N/A")</f>
        <v>N/A</v>
      </c>
      <c r="Q43" s="16"/>
      <c r="R43" s="16"/>
      <c r="S43" s="4"/>
      <c r="T43" s="4"/>
      <c r="U43" s="4"/>
      <c r="V43" s="4"/>
      <c r="W43" s="4"/>
      <c r="X43" s="4"/>
      <c r="Y43" s="4"/>
      <c r="Z43" s="4"/>
    </row>
    <row r="44" ht="14.25" customHeight="1" spans="1:26" x14ac:dyDescent="0.25">
      <c r="A44" s="16"/>
      <c r="B44" s="16"/>
      <c r="C44" s="16" t="str">
        <f ca="1">Model!C112</f>
        <v>Free Cash Flow (FCF)</v>
      </c>
      <c r="D44" s="16"/>
      <c r="E44" s="16"/>
      <c r="F44" s="16"/>
      <c r="G44" s="16"/>
      <c r="H44" s="901">
        <f ca="1">INDEX(Data,MATCH($C44,Line_Items,0),MATCH($H$6,Fiscal_Periods,0))</f>
      </c>
      <c r="I44" s="901">
        <f ca="1">INDEX(Data,MATCH($C44,Line_Items,0),MATCH($H$6,Fiscal_Periods,0))</f>
      </c>
      <c r="J44" s="902">
        <v>1412.6</v>
      </c>
      <c r="K44" s="901">
        <f t="array" ref="K44" ca="1">INDEX(Data,MATCH($C44,Line_Items,0),MATCH(LEFT(K$40,4),Fiscal_Periods,0))</f>
        <v>-1545</v>
      </c>
      <c r="L44" s="901">
        <f t="array" ref="L44" ca="1">INDEX(Data,MATCH($C44,Line_Items,0),MATCH(LEFT(L$40,4),Fiscal_Periods,0))</f>
        <v>2149</v>
      </c>
      <c r="M44" s="900" t="str">
        <f t="shared" ref="M44:N44" si="44" ca="1">IFERROR($H44/I44-1,"N/A")</f>
        <v>N/A</v>
      </c>
      <c r="N44" s="595" t="str">
        <f ca="1">IFERROR($H44/J44-1,"N/A")</f>
        <v>N/A</v>
      </c>
      <c r="O44" s="595" t="str">
        <f t="shared" ref="O44:P44" si="45" ca="1">IFERROR($I44/K44-1,"N/A")</f>
        <v>N/A</v>
      </c>
      <c r="P44" s="595" t="str">
        <f ca="1">IFERROR($I44/L44-1,"N/A")</f>
        <v>N/A</v>
      </c>
      <c r="Q44" s="16"/>
      <c r="R44" s="16"/>
      <c r="S44" s="4"/>
      <c r="T44" s="4"/>
      <c r="U44" s="4"/>
      <c r="V44" s="4"/>
      <c r="W44" s="4"/>
      <c r="X44" s="4"/>
      <c r="Y44" s="4"/>
      <c r="Z44" s="4"/>
    </row>
    <row r="45" ht="14.25" customHeight="1" spans="1:26" x14ac:dyDescent="0.25">
      <c r="A45" s="4"/>
      <c r="B45" s="4"/>
      <c r="C45" s="4"/>
      <c r="D45" s="4"/>
      <c r="E45" s="4"/>
      <c r="F45" s="4"/>
      <c r="G45" s="4"/>
      <c r="H45" s="4"/>
      <c r="I45" s="4"/>
      <c r="J45" s="4"/>
      <c r="K45" s="4"/>
      <c r="L45" s="4"/>
      <c r="M45" s="4"/>
      <c r="N45" s="4"/>
      <c r="O45" s="4"/>
      <c r="P45" s="4"/>
      <c r="Q45" s="4"/>
      <c r="R45" s="4"/>
      <c r="S45" s="4"/>
      <c r="T45" s="4"/>
      <c r="U45" s="4"/>
      <c r="V45" s="4"/>
      <c r="W45" s="4"/>
      <c r="X45" s="4"/>
      <c r="Y45" s="4"/>
      <c r="Z45" s="4"/>
    </row>
    <row r="46" ht="14.25" customHeight="1" spans="1:26" x14ac:dyDescent="0.25">
      <c r="A46" s="4"/>
      <c r="B46" s="4"/>
      <c r="C46" s="4"/>
      <c r="D46" s="4"/>
      <c r="E46" s="4"/>
      <c r="F46" s="4"/>
      <c r="G46" s="4"/>
      <c r="H46" s="4"/>
      <c r="I46" s="4"/>
      <c r="J46" s="4"/>
      <c r="K46" s="4"/>
      <c r="L46" s="4"/>
      <c r="M46" s="4"/>
      <c r="N46" s="4"/>
      <c r="O46" s="4"/>
      <c r="P46" s="4"/>
      <c r="Q46" s="4"/>
      <c r="R46" s="4"/>
      <c r="S46" s="4"/>
      <c r="T46" s="4"/>
      <c r="U46" s="4"/>
      <c r="V46" s="4"/>
      <c r="W46" s="4"/>
      <c r="X46" s="4"/>
      <c r="Y46" s="4"/>
      <c r="Z46" s="4"/>
    </row>
    <row r="47" ht="14.25" customHeight="1" spans="1:26" x14ac:dyDescent="0.25">
      <c r="A47" s="4"/>
      <c r="B47" s="4"/>
      <c r="C47" s="4"/>
      <c r="D47" s="4"/>
      <c r="E47" s="4"/>
      <c r="F47" s="4"/>
      <c r="G47" s="4"/>
      <c r="H47" s="4"/>
      <c r="I47" s="4"/>
      <c r="J47" s="4"/>
      <c r="K47" s="4"/>
      <c r="L47" s="4"/>
      <c r="M47" s="4"/>
      <c r="N47" s="4"/>
      <c r="O47" s="4"/>
      <c r="P47" s="4"/>
      <c r="Q47" s="4"/>
      <c r="R47" s="4"/>
      <c r="S47" s="4"/>
      <c r="T47" s="4"/>
      <c r="U47" s="4"/>
      <c r="V47" s="4"/>
      <c r="W47" s="4"/>
      <c r="X47" s="4"/>
      <c r="Y47" s="4"/>
      <c r="Z47" s="4"/>
    </row>
    <row r="48" ht="14.25" customHeight="1" spans="1:26" x14ac:dyDescent="0.25">
      <c r="A48" s="4"/>
      <c r="B48" s="4"/>
      <c r="C48" s="4"/>
      <c r="D48" s="4"/>
      <c r="E48" s="4"/>
      <c r="F48" s="4"/>
      <c r="G48" s="4"/>
      <c r="H48" s="4"/>
      <c r="I48" s="4"/>
      <c r="J48" s="4"/>
      <c r="K48" s="4"/>
      <c r="L48" s="4"/>
      <c r="M48" s="4"/>
      <c r="N48" s="4"/>
      <c r="O48" s="4"/>
      <c r="P48" s="4"/>
      <c r="Q48" s="4"/>
      <c r="R48" s="4"/>
      <c r="S48" s="4"/>
      <c r="T48" s="4"/>
      <c r="U48" s="4"/>
      <c r="V48" s="4"/>
      <c r="W48" s="4"/>
      <c r="X48" s="4"/>
      <c r="Y48" s="4"/>
      <c r="Z48" s="4"/>
    </row>
    <row r="49" ht="14.25" customHeight="1" spans="1:26" x14ac:dyDescent="0.25">
      <c r="A49" s="4"/>
      <c r="B49" s="4"/>
      <c r="C49" s="4"/>
      <c r="D49" s="4"/>
      <c r="E49" s="4"/>
      <c r="F49" s="4"/>
      <c r="G49" s="4"/>
      <c r="H49" s="4"/>
      <c r="I49" s="4"/>
      <c r="J49" s="4"/>
      <c r="K49" s="4"/>
      <c r="L49" s="4"/>
      <c r="M49" s="4"/>
      <c r="N49" s="4"/>
      <c r="O49" s="4"/>
      <c r="P49" s="4"/>
      <c r="Q49" s="4"/>
      <c r="R49" s="4"/>
      <c r="S49" s="4"/>
      <c r="T49" s="4"/>
      <c r="U49" s="4"/>
      <c r="V49" s="4"/>
      <c r="W49" s="4"/>
      <c r="X49" s="4"/>
      <c r="Y49" s="4"/>
      <c r="Z49" s="4"/>
    </row>
    <row r="50" ht="14.25" customHeight="1" spans="1:26" x14ac:dyDescent="0.25">
      <c r="A50" s="4"/>
      <c r="B50" s="4"/>
      <c r="C50" s="4"/>
      <c r="D50" s="4"/>
      <c r="E50" s="4"/>
      <c r="F50" s="4"/>
      <c r="G50" s="4"/>
      <c r="H50" s="4"/>
      <c r="I50" s="4"/>
      <c r="J50" s="4"/>
      <c r="K50" s="4"/>
      <c r="L50" s="4"/>
      <c r="M50" s="4"/>
      <c r="N50" s="4"/>
      <c r="O50" s="4"/>
      <c r="P50" s="4"/>
      <c r="Q50" s="4"/>
      <c r="R50" s="4"/>
      <c r="S50" s="4"/>
      <c r="T50" s="4"/>
      <c r="U50" s="4"/>
      <c r="V50" s="4"/>
      <c r="W50" s="4"/>
      <c r="X50" s="4"/>
      <c r="Y50" s="4"/>
      <c r="Z50" s="4"/>
    </row>
    <row r="51" ht="14.25" customHeight="1" spans="1:26" x14ac:dyDescent="0.25">
      <c r="A51" s="4"/>
      <c r="B51" s="4"/>
      <c r="C51" s="4"/>
      <c r="D51" s="4"/>
      <c r="E51" s="4"/>
      <c r="F51" s="4"/>
      <c r="G51" s="4"/>
      <c r="H51" s="4"/>
      <c r="I51" s="4"/>
      <c r="J51" s="4"/>
      <c r="K51" s="4"/>
      <c r="L51" s="4"/>
      <c r="M51" s="4"/>
      <c r="N51" s="4"/>
      <c r="O51" s="4"/>
      <c r="P51" s="4"/>
      <c r="Q51" s="4"/>
      <c r="R51" s="4"/>
      <c r="S51" s="4"/>
      <c r="T51" s="4"/>
      <c r="U51" s="4"/>
      <c r="V51" s="4"/>
      <c r="W51" s="4"/>
      <c r="X51" s="4"/>
      <c r="Y51" s="4"/>
      <c r="Z51" s="4"/>
    </row>
    <row r="52" ht="14.25" customHeight="1" spans="1:26" x14ac:dyDescent="0.25">
      <c r="A52" s="4"/>
      <c r="B52" s="4"/>
      <c r="C52" s="4"/>
      <c r="D52" s="4"/>
      <c r="E52" s="4"/>
      <c r="F52" s="4"/>
      <c r="G52" s="4"/>
      <c r="H52" s="4"/>
      <c r="I52" s="4"/>
      <c r="J52" s="4"/>
      <c r="K52" s="4"/>
      <c r="L52" s="4"/>
      <c r="M52" s="4"/>
      <c r="N52" s="4"/>
      <c r="O52" s="4"/>
      <c r="P52" s="4"/>
      <c r="Q52" s="4"/>
      <c r="R52" s="4"/>
      <c r="S52" s="4"/>
      <c r="T52" s="4"/>
      <c r="U52" s="4"/>
      <c r="V52" s="4"/>
      <c r="W52" s="4"/>
      <c r="X52" s="4"/>
      <c r="Y52" s="4"/>
      <c r="Z52" s="4"/>
    </row>
    <row r="53" ht="14.25" customHeight="1" spans="1:26" x14ac:dyDescent="0.25">
      <c r="A53" s="4"/>
      <c r="B53" s="4"/>
      <c r="C53" s="4"/>
      <c r="D53" s="4"/>
      <c r="E53" s="4"/>
      <c r="F53" s="4"/>
      <c r="G53" s="4"/>
      <c r="H53" s="4"/>
      <c r="I53" s="4"/>
      <c r="J53" s="4"/>
      <c r="K53" s="4"/>
      <c r="L53" s="4"/>
      <c r="M53" s="4"/>
      <c r="N53" s="4"/>
      <c r="O53" s="4"/>
      <c r="P53" s="4"/>
      <c r="Q53" s="4"/>
      <c r="R53" s="4"/>
      <c r="S53" s="4"/>
      <c r="T53" s="4"/>
      <c r="U53" s="4"/>
      <c r="V53" s="4"/>
      <c r="W53" s="4"/>
      <c r="X53" s="4"/>
      <c r="Y53" s="4"/>
      <c r="Z53" s="4"/>
    </row>
    <row r="54" ht="14.25" customHeight="1" spans="1:26" x14ac:dyDescent="0.25">
      <c r="A54" s="4"/>
      <c r="B54" s="4"/>
      <c r="C54" s="4"/>
      <c r="D54" s="4"/>
      <c r="E54" s="4"/>
      <c r="F54" s="4"/>
      <c r="G54" s="4"/>
      <c r="H54" s="4"/>
      <c r="I54" s="4"/>
      <c r="J54" s="4"/>
      <c r="K54" s="4"/>
      <c r="L54" s="4"/>
      <c r="M54" s="4"/>
      <c r="N54" s="4"/>
      <c r="O54" s="4"/>
      <c r="P54" s="4"/>
      <c r="Q54" s="4"/>
      <c r="R54" s="4"/>
      <c r="S54" s="4"/>
      <c r="T54" s="4"/>
      <c r="U54" s="4"/>
      <c r="V54" s="4"/>
      <c r="W54" s="4"/>
      <c r="X54" s="4"/>
      <c r="Y54" s="4"/>
      <c r="Z54" s="4"/>
    </row>
    <row r="55" ht="14.25" customHeight="1" spans="1:26" x14ac:dyDescent="0.25">
      <c r="A55" s="4"/>
      <c r="B55" s="4"/>
      <c r="C55" s="4"/>
      <c r="D55" s="4"/>
      <c r="E55" s="4"/>
      <c r="F55" s="4"/>
      <c r="G55" s="4"/>
      <c r="H55" s="4"/>
      <c r="I55" s="4"/>
      <c r="J55" s="4"/>
      <c r="K55" s="4"/>
      <c r="L55" s="4"/>
      <c r="M55" s="4"/>
      <c r="N55" s="4"/>
      <c r="O55" s="4"/>
      <c r="P55" s="4"/>
      <c r="Q55" s="4"/>
      <c r="R55" s="4"/>
      <c r="S55" s="4"/>
      <c r="T55" s="4"/>
      <c r="U55" s="4"/>
      <c r="V55" s="4"/>
      <c r="W55" s="4"/>
      <c r="X55" s="4"/>
      <c r="Y55" s="4"/>
      <c r="Z55" s="4"/>
    </row>
    <row r="56" ht="14.25" customHeight="1" spans="1:26" x14ac:dyDescent="0.25">
      <c r="A56" s="4"/>
      <c r="B56" s="4"/>
      <c r="C56" s="4"/>
      <c r="D56" s="4"/>
      <c r="E56" s="4"/>
      <c r="F56" s="4"/>
      <c r="G56" s="4"/>
      <c r="H56" s="4"/>
      <c r="I56" s="4"/>
      <c r="J56" s="4"/>
      <c r="K56" s="4"/>
      <c r="L56" s="4"/>
      <c r="M56" s="4"/>
      <c r="N56" s="4"/>
      <c r="O56" s="4"/>
      <c r="P56" s="4"/>
      <c r="Q56" s="4"/>
      <c r="R56" s="4"/>
      <c r="S56" s="4"/>
      <c r="T56" s="4"/>
      <c r="U56" s="4"/>
      <c r="V56" s="4"/>
      <c r="W56" s="4"/>
      <c r="X56" s="4"/>
      <c r="Y56" s="4"/>
      <c r="Z56" s="4"/>
    </row>
    <row r="57" ht="14.25" customHeight="1" spans="1:26" x14ac:dyDescent="0.25">
      <c r="A57" s="4"/>
      <c r="B57" s="4"/>
      <c r="C57" s="4"/>
      <c r="D57" s="4"/>
      <c r="E57" s="4"/>
      <c r="F57" s="4"/>
      <c r="G57" s="4"/>
      <c r="H57" s="4"/>
      <c r="I57" s="4"/>
      <c r="J57" s="4"/>
      <c r="K57" s="4"/>
      <c r="L57" s="4"/>
      <c r="M57" s="4"/>
      <c r="N57" s="4"/>
      <c r="O57" s="4"/>
      <c r="P57" s="4"/>
      <c r="Q57" s="4"/>
      <c r="R57" s="4"/>
      <c r="S57" s="4"/>
      <c r="T57" s="4"/>
      <c r="U57" s="4"/>
      <c r="V57" s="4"/>
      <c r="W57" s="4"/>
      <c r="X57" s="4"/>
      <c r="Y57" s="4"/>
      <c r="Z57" s="4"/>
    </row>
    <row r="58" ht="14.25" customHeight="1" spans="1:26" x14ac:dyDescent="0.25">
      <c r="A58" s="4"/>
      <c r="B58" s="4"/>
      <c r="C58" s="4"/>
      <c r="D58" s="4"/>
      <c r="E58" s="4"/>
      <c r="F58" s="4"/>
      <c r="G58" s="4"/>
      <c r="H58" s="4"/>
      <c r="I58" s="4"/>
      <c r="J58" s="4"/>
      <c r="K58" s="4"/>
      <c r="L58" s="4"/>
      <c r="M58" s="4"/>
      <c r="N58" s="4"/>
      <c r="O58" s="4"/>
      <c r="P58" s="4"/>
      <c r="Q58" s="4"/>
      <c r="R58" s="4"/>
      <c r="S58" s="4"/>
      <c r="T58" s="4"/>
      <c r="U58" s="4"/>
      <c r="V58" s="4"/>
      <c r="W58" s="4"/>
      <c r="X58" s="4"/>
      <c r="Y58" s="4"/>
      <c r="Z58" s="4"/>
    </row>
    <row r="59" ht="14.25" customHeight="1" spans="1:26" x14ac:dyDescent="0.25">
      <c r="A59" s="4"/>
      <c r="B59" s="4"/>
      <c r="C59" s="4"/>
      <c r="D59" s="4"/>
      <c r="E59" s="4"/>
      <c r="F59" s="4"/>
      <c r="G59" s="4"/>
      <c r="H59" s="4"/>
      <c r="I59" s="4"/>
      <c r="J59" s="4"/>
      <c r="K59" s="4"/>
      <c r="L59" s="4"/>
      <c r="M59" s="4"/>
      <c r="N59" s="4"/>
      <c r="O59" s="4"/>
      <c r="P59" s="4"/>
      <c r="Q59" s="4"/>
      <c r="R59" s="4"/>
      <c r="S59" s="4"/>
      <c r="T59" s="4"/>
      <c r="U59" s="4"/>
      <c r="V59" s="4"/>
      <c r="W59" s="4"/>
      <c r="X59" s="4"/>
      <c r="Y59" s="4"/>
      <c r="Z59" s="4"/>
    </row>
    <row r="60" ht="14.25" customHeight="1" spans="1:26" x14ac:dyDescent="0.25">
      <c r="A60" s="4"/>
      <c r="B60" s="4"/>
      <c r="C60" s="4"/>
      <c r="D60" s="4"/>
      <c r="E60" s="4"/>
      <c r="F60" s="4"/>
      <c r="G60" s="4"/>
      <c r="H60" s="4"/>
      <c r="I60" s="4"/>
      <c r="J60" s="4"/>
      <c r="K60" s="4"/>
      <c r="L60" s="4"/>
      <c r="M60" s="4"/>
      <c r="N60" s="4"/>
      <c r="O60" s="4"/>
      <c r="P60" s="4"/>
      <c r="Q60" s="4"/>
      <c r="R60" s="4"/>
      <c r="S60" s="4"/>
      <c r="T60" s="4"/>
      <c r="U60" s="4"/>
      <c r="V60" s="4"/>
      <c r="W60" s="4"/>
      <c r="X60" s="4"/>
      <c r="Y60" s="4"/>
      <c r="Z60" s="4"/>
    </row>
    <row r="61" ht="14.25" customHeight="1" spans="1:26" x14ac:dyDescent="0.25">
      <c r="A61" s="4"/>
      <c r="B61" s="4"/>
      <c r="C61" s="4"/>
      <c r="D61" s="4"/>
      <c r="E61" s="4"/>
      <c r="F61" s="4"/>
      <c r="G61" s="4"/>
      <c r="H61" s="4"/>
      <c r="I61" s="4"/>
      <c r="J61" s="4"/>
      <c r="K61" s="4"/>
      <c r="L61" s="4"/>
      <c r="M61" s="4"/>
      <c r="N61" s="4"/>
      <c r="O61" s="4"/>
      <c r="P61" s="4"/>
      <c r="Q61" s="4"/>
      <c r="R61" s="4"/>
      <c r="S61" s="4"/>
      <c r="T61" s="4"/>
      <c r="U61" s="4"/>
      <c r="V61" s="4"/>
      <c r="W61" s="4"/>
      <c r="X61" s="4"/>
      <c r="Y61" s="4"/>
      <c r="Z61" s="4"/>
    </row>
    <row r="62" ht="14.25" customHeight="1" spans="1:26" x14ac:dyDescent="0.25">
      <c r="A62" s="4"/>
      <c r="B62" s="4"/>
      <c r="C62" s="4"/>
      <c r="D62" s="4"/>
      <c r="E62" s="4"/>
      <c r="F62" s="4"/>
      <c r="G62" s="4"/>
      <c r="H62" s="4"/>
      <c r="I62" s="4"/>
      <c r="J62" s="4"/>
      <c r="K62" s="4"/>
      <c r="L62" s="4"/>
      <c r="M62" s="4"/>
      <c r="N62" s="4"/>
      <c r="O62" s="4"/>
      <c r="P62" s="4"/>
      <c r="Q62" s="4"/>
      <c r="R62" s="4"/>
      <c r="S62" s="4"/>
      <c r="T62" s="4"/>
      <c r="U62" s="4"/>
      <c r="V62" s="4"/>
      <c r="W62" s="4"/>
      <c r="X62" s="4"/>
      <c r="Y62" s="4"/>
      <c r="Z62" s="4"/>
    </row>
    <row r="63" ht="14.25" customHeight="1" spans="1:26" x14ac:dyDescent="0.25">
      <c r="A63" s="4"/>
      <c r="B63" s="4"/>
      <c r="C63" s="4"/>
      <c r="D63" s="4"/>
      <c r="E63" s="4"/>
      <c r="F63" s="4"/>
      <c r="G63" s="4"/>
      <c r="H63" s="4"/>
      <c r="I63" s="4"/>
      <c r="J63" s="4"/>
      <c r="K63" s="4"/>
      <c r="L63" s="4"/>
      <c r="M63" s="4"/>
      <c r="N63" s="4"/>
      <c r="O63" s="4"/>
      <c r="P63" s="4"/>
      <c r="Q63" s="4"/>
      <c r="R63" s="4"/>
      <c r="S63" s="4"/>
      <c r="T63" s="4"/>
      <c r="U63" s="4"/>
      <c r="V63" s="4"/>
      <c r="W63" s="4"/>
      <c r="X63" s="4"/>
      <c r="Y63" s="4"/>
      <c r="Z63" s="4"/>
    </row>
    <row r="64" ht="14.25" customHeight="1" spans="1:26" x14ac:dyDescent="0.25">
      <c r="A64" s="4"/>
      <c r="B64" s="4"/>
      <c r="C64" s="4"/>
      <c r="D64" s="4"/>
      <c r="E64" s="4"/>
      <c r="F64" s="4"/>
      <c r="G64" s="4"/>
      <c r="H64" s="4"/>
      <c r="I64" s="4"/>
      <c r="J64" s="4"/>
      <c r="K64" s="4"/>
      <c r="L64" s="4"/>
      <c r="M64" s="4"/>
      <c r="N64" s="4"/>
      <c r="O64" s="4"/>
      <c r="P64" s="4"/>
      <c r="Q64" s="4"/>
      <c r="R64" s="4"/>
      <c r="S64" s="4"/>
      <c r="T64" s="4"/>
      <c r="U64" s="4"/>
      <c r="V64" s="4"/>
      <c r="W64" s="4"/>
      <c r="X64" s="4"/>
      <c r="Y64" s="4"/>
      <c r="Z64" s="4"/>
    </row>
    <row r="65" ht="14.25" customHeight="1" spans="1:26" x14ac:dyDescent="0.25">
      <c r="A65" s="4"/>
      <c r="B65" s="4"/>
      <c r="C65" s="4"/>
      <c r="D65" s="4"/>
      <c r="E65" s="4"/>
      <c r="F65" s="4"/>
      <c r="G65" s="4"/>
      <c r="H65" s="4"/>
      <c r="I65" s="4"/>
      <c r="J65" s="4"/>
      <c r="K65" s="4"/>
      <c r="L65" s="4"/>
      <c r="M65" s="4"/>
      <c r="N65" s="4"/>
      <c r="O65" s="4"/>
      <c r="P65" s="4"/>
      <c r="Q65" s="4"/>
      <c r="R65" s="4"/>
      <c r="S65" s="4"/>
      <c r="T65" s="4"/>
      <c r="U65" s="4"/>
      <c r="V65" s="4"/>
      <c r="W65" s="4"/>
      <c r="X65" s="4"/>
      <c r="Y65" s="4"/>
      <c r="Z65" s="4"/>
    </row>
    <row r="66" ht="14.25" customHeight="1" spans="1:26" x14ac:dyDescent="0.25">
      <c r="A66" s="4"/>
      <c r="B66" s="4"/>
      <c r="C66" s="4"/>
      <c r="D66" s="4"/>
      <c r="E66" s="4"/>
      <c r="F66" s="4"/>
      <c r="G66" s="4"/>
      <c r="H66" s="4"/>
      <c r="I66" s="4"/>
      <c r="J66" s="4"/>
      <c r="K66" s="4"/>
      <c r="L66" s="4"/>
      <c r="M66" s="4"/>
      <c r="N66" s="4"/>
      <c r="O66" s="4"/>
      <c r="P66" s="4"/>
      <c r="Q66" s="4"/>
      <c r="R66" s="4"/>
      <c r="S66" s="4"/>
      <c r="T66" s="4"/>
      <c r="U66" s="4"/>
      <c r="V66" s="4"/>
      <c r="W66" s="4"/>
      <c r="X66" s="4"/>
      <c r="Y66" s="4"/>
      <c r="Z66" s="4"/>
    </row>
    <row r="67" ht="14.25" customHeight="1" spans="1:26" x14ac:dyDescent="0.25">
      <c r="A67" s="4"/>
      <c r="B67" s="4"/>
      <c r="C67" s="4"/>
      <c r="D67" s="4"/>
      <c r="E67" s="4"/>
      <c r="F67" s="4"/>
      <c r="G67" s="4"/>
      <c r="H67" s="4"/>
      <c r="I67" s="4"/>
      <c r="J67" s="4"/>
      <c r="K67" s="4"/>
      <c r="L67" s="4"/>
      <c r="M67" s="4"/>
      <c r="N67" s="4"/>
      <c r="O67" s="4"/>
      <c r="P67" s="4"/>
      <c r="Q67" s="4"/>
      <c r="R67" s="4"/>
      <c r="S67" s="4"/>
      <c r="T67" s="4"/>
      <c r="U67" s="4"/>
      <c r="V67" s="4"/>
      <c r="W67" s="4"/>
      <c r="X67" s="4"/>
      <c r="Y67" s="4"/>
      <c r="Z67" s="4"/>
    </row>
    <row r="68" ht="14.25" customHeight="1" spans="1:26" x14ac:dyDescent="0.25">
      <c r="A68" s="4"/>
      <c r="B68" s="4"/>
      <c r="C68" s="4"/>
      <c r="D68" s="4"/>
      <c r="E68" s="4"/>
      <c r="F68" s="4"/>
      <c r="G68" s="4"/>
      <c r="H68" s="4"/>
      <c r="I68" s="4"/>
      <c r="J68" s="4"/>
      <c r="K68" s="4"/>
      <c r="L68" s="4"/>
      <c r="M68" s="4"/>
      <c r="N68" s="4"/>
      <c r="O68" s="4"/>
      <c r="P68" s="4"/>
      <c r="Q68" s="4"/>
      <c r="R68" s="4"/>
      <c r="S68" s="4"/>
      <c r="T68" s="4"/>
      <c r="U68" s="4"/>
      <c r="V68" s="4"/>
      <c r="W68" s="4"/>
      <c r="X68" s="4"/>
      <c r="Y68" s="4"/>
      <c r="Z68" s="4"/>
    </row>
    <row r="69" ht="14.25" customHeight="1" spans="1:26" x14ac:dyDescent="0.25">
      <c r="A69" s="4"/>
      <c r="B69" s="4"/>
      <c r="C69" s="4"/>
      <c r="D69" s="4"/>
      <c r="E69" s="4"/>
      <c r="F69" s="4"/>
      <c r="G69" s="4"/>
      <c r="H69" s="4"/>
      <c r="I69" s="4"/>
      <c r="J69" s="4"/>
      <c r="K69" s="4"/>
      <c r="L69" s="4"/>
      <c r="M69" s="4"/>
      <c r="N69" s="4"/>
      <c r="O69" s="4"/>
      <c r="P69" s="4"/>
      <c r="Q69" s="4"/>
      <c r="R69" s="4"/>
      <c r="S69" s="4"/>
      <c r="T69" s="4"/>
      <c r="U69" s="4"/>
      <c r="V69" s="4"/>
      <c r="W69" s="4"/>
      <c r="X69" s="4"/>
      <c r="Y69" s="4"/>
      <c r="Z69" s="4"/>
    </row>
    <row r="70" ht="14.25" customHeight="1" spans="1:26" x14ac:dyDescent="0.25">
      <c r="A70" s="4"/>
      <c r="B70" s="4"/>
      <c r="C70" s="4"/>
      <c r="D70" s="4"/>
      <c r="E70" s="4"/>
      <c r="F70" s="4"/>
      <c r="G70" s="4"/>
      <c r="H70" s="4"/>
      <c r="I70" s="4"/>
      <c r="J70" s="4"/>
      <c r="K70" s="4"/>
      <c r="L70" s="4"/>
      <c r="M70" s="4"/>
      <c r="N70" s="4"/>
      <c r="O70" s="4"/>
      <c r="P70" s="4"/>
      <c r="Q70" s="4"/>
      <c r="R70" s="4"/>
      <c r="S70" s="4"/>
      <c r="T70" s="4"/>
      <c r="U70" s="4"/>
      <c r="V70" s="4"/>
      <c r="W70" s="4"/>
      <c r="X70" s="4"/>
      <c r="Y70" s="4"/>
      <c r="Z70" s="4"/>
    </row>
    <row r="71" ht="14.25" customHeight="1" spans="1:26" x14ac:dyDescent="0.25">
      <c r="A71" s="4"/>
      <c r="B71" s="4"/>
      <c r="C71" s="4"/>
      <c r="D71" s="4"/>
      <c r="E71" s="4"/>
      <c r="F71" s="4"/>
      <c r="G71" s="4"/>
      <c r="H71" s="4"/>
      <c r="I71" s="4"/>
      <c r="J71" s="4"/>
      <c r="K71" s="4"/>
      <c r="L71" s="4"/>
      <c r="M71" s="4"/>
      <c r="N71" s="4"/>
      <c r="O71" s="4"/>
      <c r="P71" s="4"/>
      <c r="Q71" s="4"/>
      <c r="R71" s="4"/>
      <c r="S71" s="4"/>
      <c r="T71" s="4"/>
      <c r="U71" s="4"/>
      <c r="V71" s="4"/>
      <c r="W71" s="4"/>
      <c r="X71" s="4"/>
      <c r="Y71" s="4"/>
      <c r="Z71" s="4"/>
    </row>
    <row r="72" ht="14.25" customHeight="1" spans="1:26" x14ac:dyDescent="0.25">
      <c r="A72" s="4"/>
      <c r="B72" s="4"/>
      <c r="C72" s="4"/>
      <c r="D72" s="4"/>
      <c r="E72" s="4"/>
      <c r="F72" s="4"/>
      <c r="G72" s="4"/>
      <c r="H72" s="4"/>
      <c r="I72" s="4"/>
      <c r="J72" s="4"/>
      <c r="K72" s="4"/>
      <c r="L72" s="4"/>
      <c r="M72" s="4"/>
      <c r="N72" s="4"/>
      <c r="O72" s="4"/>
      <c r="P72" s="4"/>
      <c r="Q72" s="4"/>
      <c r="R72" s="4"/>
      <c r="S72" s="4"/>
      <c r="T72" s="4"/>
      <c r="U72" s="4"/>
      <c r="V72" s="4"/>
      <c r="W72" s="4"/>
      <c r="X72" s="4"/>
      <c r="Y72" s="4"/>
      <c r="Z72" s="4"/>
    </row>
    <row r="73" ht="14.25" customHeight="1" spans="1:26" x14ac:dyDescent="0.25">
      <c r="A73" s="4"/>
      <c r="B73" s="4"/>
      <c r="C73" s="4"/>
      <c r="D73" s="4"/>
      <c r="E73" s="4"/>
      <c r="F73" s="4"/>
      <c r="G73" s="4"/>
      <c r="H73" s="4"/>
      <c r="I73" s="4"/>
      <c r="J73" s="4"/>
      <c r="K73" s="4"/>
      <c r="L73" s="4"/>
      <c r="M73" s="4"/>
      <c r="N73" s="4"/>
      <c r="O73" s="4"/>
      <c r="P73" s="4"/>
      <c r="Q73" s="4"/>
      <c r="R73" s="4"/>
      <c r="S73" s="4"/>
      <c r="T73" s="4"/>
      <c r="U73" s="4"/>
      <c r="V73" s="4"/>
      <c r="W73" s="4"/>
      <c r="X73" s="4"/>
      <c r="Y73" s="4"/>
      <c r="Z73" s="4"/>
    </row>
    <row r="74" ht="14.25" customHeight="1" spans="1:26" x14ac:dyDescent="0.25">
      <c r="A74" s="4"/>
      <c r="B74" s="4"/>
      <c r="C74" s="4"/>
      <c r="D74" s="4"/>
      <c r="E74" s="4"/>
      <c r="F74" s="4"/>
      <c r="G74" s="4"/>
      <c r="H74" s="4"/>
      <c r="I74" s="4"/>
      <c r="J74" s="4"/>
      <c r="K74" s="4"/>
      <c r="L74" s="4"/>
      <c r="M74" s="4"/>
      <c r="N74" s="4"/>
      <c r="O74" s="4"/>
      <c r="P74" s="4"/>
      <c r="Q74" s="4"/>
      <c r="R74" s="4"/>
      <c r="S74" s="4"/>
      <c r="T74" s="4"/>
      <c r="U74" s="4"/>
      <c r="V74" s="4"/>
      <c r="W74" s="4"/>
      <c r="X74" s="4"/>
      <c r="Y74" s="4"/>
      <c r="Z74" s="4"/>
    </row>
    <row r="75" ht="14.25" customHeight="1" spans="1:26" x14ac:dyDescent="0.25">
      <c r="A75" s="4"/>
      <c r="B75" s="4"/>
      <c r="C75" s="4"/>
      <c r="D75" s="4"/>
      <c r="E75" s="4"/>
      <c r="F75" s="4"/>
      <c r="G75" s="4"/>
      <c r="H75" s="4"/>
      <c r="I75" s="4"/>
      <c r="J75" s="4"/>
      <c r="K75" s="4"/>
      <c r="L75" s="4"/>
      <c r="M75" s="4"/>
      <c r="N75" s="4"/>
      <c r="O75" s="4"/>
      <c r="P75" s="4"/>
      <c r="Q75" s="4"/>
      <c r="R75" s="4"/>
      <c r="S75" s="4"/>
      <c r="T75" s="4"/>
      <c r="U75" s="4"/>
      <c r="V75" s="4"/>
      <c r="W75" s="4"/>
      <c r="X75" s="4"/>
      <c r="Y75" s="4"/>
      <c r="Z75" s="4"/>
    </row>
    <row r="76" ht="14.25" customHeight="1" spans="1:26" x14ac:dyDescent="0.25">
      <c r="A76" s="4"/>
      <c r="B76" s="4"/>
      <c r="C76" s="4"/>
      <c r="D76" s="4"/>
      <c r="E76" s="4"/>
      <c r="F76" s="4"/>
      <c r="G76" s="4"/>
      <c r="H76" s="4"/>
      <c r="I76" s="4"/>
      <c r="J76" s="4"/>
      <c r="K76" s="4"/>
      <c r="L76" s="4"/>
      <c r="M76" s="4"/>
      <c r="N76" s="4"/>
      <c r="O76" s="4"/>
      <c r="P76" s="4"/>
      <c r="Q76" s="4"/>
      <c r="R76" s="4"/>
      <c r="S76" s="4"/>
      <c r="T76" s="4"/>
      <c r="U76" s="4"/>
      <c r="V76" s="4"/>
      <c r="W76" s="4"/>
      <c r="X76" s="4"/>
      <c r="Y76" s="4"/>
      <c r="Z76" s="4"/>
    </row>
    <row r="77" ht="14.25" customHeight="1" spans="1:26" x14ac:dyDescent="0.25">
      <c r="A77" s="4"/>
      <c r="B77" s="4"/>
      <c r="C77" s="4"/>
      <c r="D77" s="4"/>
      <c r="E77" s="4"/>
      <c r="F77" s="4"/>
      <c r="G77" s="4"/>
      <c r="H77" s="4"/>
      <c r="I77" s="4"/>
      <c r="J77" s="4"/>
      <c r="K77" s="4"/>
      <c r="L77" s="4"/>
      <c r="M77" s="4"/>
      <c r="N77" s="4"/>
      <c r="O77" s="4"/>
      <c r="P77" s="4"/>
      <c r="Q77" s="4"/>
      <c r="R77" s="4"/>
      <c r="S77" s="4"/>
      <c r="T77" s="4"/>
      <c r="U77" s="4"/>
      <c r="V77" s="4"/>
      <c r="W77" s="4"/>
      <c r="X77" s="4"/>
      <c r="Y77" s="4"/>
      <c r="Z77" s="4"/>
    </row>
    <row r="78" ht="14.25" customHeight="1" spans="1:26" x14ac:dyDescent="0.25">
      <c r="A78" s="4"/>
      <c r="B78" s="4"/>
      <c r="C78" s="4"/>
      <c r="D78" s="4"/>
      <c r="E78" s="4"/>
      <c r="F78" s="4"/>
      <c r="G78" s="4"/>
      <c r="H78" s="4"/>
      <c r="I78" s="4"/>
      <c r="J78" s="4"/>
      <c r="K78" s="4"/>
      <c r="L78" s="4"/>
      <c r="M78" s="4"/>
      <c r="N78" s="4"/>
      <c r="O78" s="4"/>
      <c r="P78" s="4"/>
      <c r="Q78" s="4"/>
      <c r="R78" s="4"/>
      <c r="S78" s="4"/>
      <c r="T78" s="4"/>
      <c r="U78" s="4"/>
      <c r="V78" s="4"/>
      <c r="W78" s="4"/>
      <c r="X78" s="4"/>
      <c r="Y78" s="4"/>
      <c r="Z78" s="4"/>
    </row>
    <row r="79" ht="14.25" customHeight="1" spans="1:26" x14ac:dyDescent="0.25">
      <c r="A79" s="4"/>
      <c r="B79" s="4"/>
      <c r="C79" s="4"/>
      <c r="D79" s="4"/>
      <c r="E79" s="4"/>
      <c r="F79" s="4"/>
      <c r="G79" s="4"/>
      <c r="H79" s="4"/>
      <c r="I79" s="4"/>
      <c r="J79" s="4"/>
      <c r="K79" s="4"/>
      <c r="L79" s="4"/>
      <c r="M79" s="4"/>
      <c r="N79" s="4"/>
      <c r="O79" s="4"/>
      <c r="P79" s="4"/>
      <c r="Q79" s="4"/>
      <c r="R79" s="4"/>
      <c r="S79" s="4"/>
      <c r="T79" s="4"/>
      <c r="U79" s="4"/>
      <c r="V79" s="4"/>
      <c r="W79" s="4"/>
      <c r="X79" s="4"/>
      <c r="Y79" s="4"/>
      <c r="Z79" s="4"/>
    </row>
    <row r="80" ht="14.25" customHeight="1" spans="1:26" x14ac:dyDescent="0.25">
      <c r="A80" s="4"/>
      <c r="B80" s="4"/>
      <c r="C80" s="4"/>
      <c r="D80" s="4"/>
      <c r="E80" s="4"/>
      <c r="F80" s="4"/>
      <c r="G80" s="4"/>
      <c r="H80" s="4"/>
      <c r="I80" s="4"/>
      <c r="J80" s="4"/>
      <c r="K80" s="4"/>
      <c r="L80" s="4"/>
      <c r="M80" s="4"/>
      <c r="N80" s="4"/>
      <c r="O80" s="4"/>
      <c r="P80" s="4"/>
      <c r="Q80" s="4"/>
      <c r="R80" s="4"/>
      <c r="S80" s="4"/>
      <c r="T80" s="4"/>
      <c r="U80" s="4"/>
      <c r="V80" s="4"/>
      <c r="W80" s="4"/>
      <c r="X80" s="4"/>
      <c r="Y80" s="4"/>
      <c r="Z80" s="4"/>
    </row>
    <row r="81" ht="14.25" customHeight="1" spans="1:26" x14ac:dyDescent="0.25">
      <c r="A81" s="4"/>
      <c r="B81" s="4"/>
      <c r="C81" s="4"/>
      <c r="D81" s="4"/>
      <c r="E81" s="4"/>
      <c r="F81" s="4"/>
      <c r="G81" s="4"/>
      <c r="H81" s="4"/>
      <c r="I81" s="4"/>
      <c r="J81" s="4"/>
      <c r="K81" s="4"/>
      <c r="L81" s="4"/>
      <c r="M81" s="4"/>
      <c r="N81" s="4"/>
      <c r="O81" s="4"/>
      <c r="P81" s="4"/>
      <c r="Q81" s="4"/>
      <c r="R81" s="4"/>
      <c r="S81" s="4"/>
      <c r="T81" s="4"/>
      <c r="U81" s="4"/>
      <c r="V81" s="4"/>
      <c r="W81" s="4"/>
      <c r="X81" s="4"/>
      <c r="Y81" s="4"/>
      <c r="Z81" s="4"/>
    </row>
    <row r="82" ht="14.25" customHeight="1" spans="1:26" x14ac:dyDescent="0.25">
      <c r="A82" s="4"/>
      <c r="B82" s="4"/>
      <c r="C82" s="4"/>
      <c r="D82" s="4"/>
      <c r="E82" s="4"/>
      <c r="F82" s="4"/>
      <c r="G82" s="4"/>
      <c r="H82" s="4"/>
      <c r="I82" s="4"/>
      <c r="J82" s="4"/>
      <c r="K82" s="4"/>
      <c r="L82" s="4"/>
      <c r="M82" s="4"/>
      <c r="N82" s="4"/>
      <c r="O82" s="4"/>
      <c r="P82" s="4"/>
      <c r="Q82" s="4"/>
      <c r="R82" s="4"/>
      <c r="S82" s="4"/>
      <c r="T82" s="4"/>
      <c r="U82" s="4"/>
      <c r="V82" s="4"/>
      <c r="W82" s="4"/>
      <c r="X82" s="4"/>
      <c r="Y82" s="4"/>
      <c r="Z82" s="4"/>
    </row>
    <row r="83" ht="14.25" customHeight="1" spans="1:26" x14ac:dyDescent="0.25">
      <c r="A83" s="4"/>
      <c r="B83" s="4"/>
      <c r="C83" s="4"/>
      <c r="D83" s="4"/>
      <c r="E83" s="4"/>
      <c r="F83" s="4"/>
      <c r="G83" s="4"/>
      <c r="H83" s="4"/>
      <c r="I83" s="4"/>
      <c r="J83" s="4"/>
      <c r="K83" s="4"/>
      <c r="L83" s="4"/>
      <c r="M83" s="4"/>
      <c r="N83" s="4"/>
      <c r="O83" s="4"/>
      <c r="P83" s="4"/>
      <c r="Q83" s="4"/>
      <c r="R83" s="4"/>
      <c r="S83" s="4"/>
      <c r="T83" s="4"/>
      <c r="U83" s="4"/>
      <c r="V83" s="4"/>
      <c r="W83" s="4"/>
      <c r="X83" s="4"/>
      <c r="Y83" s="4"/>
      <c r="Z83" s="4"/>
    </row>
    <row r="84" ht="14.25" customHeight="1" spans="1:26" x14ac:dyDescent="0.25">
      <c r="A84" s="4"/>
      <c r="B84" s="4"/>
      <c r="C84" s="4"/>
      <c r="D84" s="4"/>
      <c r="E84" s="4"/>
      <c r="F84" s="4"/>
      <c r="G84" s="4"/>
      <c r="H84" s="4"/>
      <c r="I84" s="4"/>
      <c r="J84" s="4"/>
      <c r="K84" s="4"/>
      <c r="L84" s="4"/>
      <c r="M84" s="4"/>
      <c r="N84" s="4"/>
      <c r="O84" s="4"/>
      <c r="P84" s="4"/>
      <c r="Q84" s="4"/>
      <c r="R84" s="4"/>
      <c r="S84" s="4"/>
      <c r="T84" s="4"/>
      <c r="U84" s="4"/>
      <c r="V84" s="4"/>
      <c r="W84" s="4"/>
      <c r="X84" s="4"/>
      <c r="Y84" s="4"/>
      <c r="Z84" s="4"/>
    </row>
    <row r="85" ht="14.25" customHeight="1" spans="1:26" x14ac:dyDescent="0.25">
      <c r="A85" s="4"/>
      <c r="B85" s="4"/>
      <c r="C85" s="4"/>
      <c r="D85" s="4"/>
      <c r="E85" s="4"/>
      <c r="F85" s="4"/>
      <c r="G85" s="4"/>
      <c r="H85" s="4"/>
      <c r="I85" s="4"/>
      <c r="J85" s="4"/>
      <c r="K85" s="4"/>
      <c r="L85" s="4"/>
      <c r="M85" s="4"/>
      <c r="N85" s="4"/>
      <c r="O85" s="4"/>
      <c r="P85" s="4"/>
      <c r="Q85" s="4"/>
      <c r="R85" s="4"/>
      <c r="S85" s="4"/>
      <c r="T85" s="4"/>
      <c r="U85" s="4"/>
      <c r="V85" s="4"/>
      <c r="W85" s="4"/>
      <c r="X85" s="4"/>
      <c r="Y85" s="4"/>
      <c r="Z85" s="4"/>
    </row>
    <row r="86" ht="14.25" customHeight="1" spans="1:26" x14ac:dyDescent="0.25">
      <c r="A86" s="4"/>
      <c r="B86" s="4"/>
      <c r="C86" s="4"/>
      <c r="D86" s="4"/>
      <c r="E86" s="4"/>
      <c r="F86" s="4"/>
      <c r="G86" s="4"/>
      <c r="H86" s="4"/>
      <c r="I86" s="4"/>
      <c r="J86" s="4"/>
      <c r="K86" s="4"/>
      <c r="L86" s="4"/>
      <c r="M86" s="4"/>
      <c r="N86" s="4"/>
      <c r="O86" s="4"/>
      <c r="P86" s="4"/>
      <c r="Q86" s="4"/>
      <c r="R86" s="4"/>
      <c r="S86" s="4"/>
      <c r="T86" s="4"/>
      <c r="U86" s="4"/>
      <c r="V86" s="4"/>
      <c r="W86" s="4"/>
      <c r="X86" s="4"/>
      <c r="Y86" s="4"/>
      <c r="Z86" s="4"/>
    </row>
    <row r="87" ht="14.25" customHeight="1" spans="1:26" x14ac:dyDescent="0.25">
      <c r="A87" s="4"/>
      <c r="B87" s="4"/>
      <c r="C87" s="4"/>
      <c r="D87" s="4"/>
      <c r="E87" s="4"/>
      <c r="F87" s="4"/>
      <c r="G87" s="4"/>
      <c r="H87" s="4"/>
      <c r="I87" s="4"/>
      <c r="J87" s="4"/>
      <c r="K87" s="4"/>
      <c r="L87" s="4"/>
      <c r="M87" s="4"/>
      <c r="N87" s="4"/>
      <c r="O87" s="4"/>
      <c r="P87" s="4"/>
      <c r="Q87" s="4"/>
      <c r="R87" s="4"/>
      <c r="S87" s="4"/>
      <c r="T87" s="4"/>
      <c r="U87" s="4"/>
      <c r="V87" s="4"/>
      <c r="W87" s="4"/>
      <c r="X87" s="4"/>
      <c r="Y87" s="4"/>
      <c r="Z87" s="4"/>
    </row>
    <row r="88" ht="14.25" customHeight="1" spans="1:26" x14ac:dyDescent="0.25">
      <c r="A88" s="4"/>
      <c r="B88" s="4"/>
      <c r="C88" s="4"/>
      <c r="D88" s="4"/>
      <c r="E88" s="4"/>
      <c r="F88" s="4"/>
      <c r="G88" s="4"/>
      <c r="H88" s="4"/>
      <c r="I88" s="4"/>
      <c r="J88" s="4"/>
      <c r="K88" s="4"/>
      <c r="L88" s="4"/>
      <c r="M88" s="4"/>
      <c r="N88" s="4"/>
      <c r="O88" s="4"/>
      <c r="P88" s="4"/>
      <c r="Q88" s="4"/>
      <c r="R88" s="4"/>
      <c r="S88" s="4"/>
      <c r="T88" s="4"/>
      <c r="U88" s="4"/>
      <c r="V88" s="4"/>
      <c r="W88" s="4"/>
      <c r="X88" s="4"/>
      <c r="Y88" s="4"/>
      <c r="Z88" s="4"/>
    </row>
    <row r="89" ht="14.25" customHeight="1" spans="1:26" x14ac:dyDescent="0.25">
      <c r="A89" s="4"/>
      <c r="B89" s="4"/>
      <c r="C89" s="4"/>
      <c r="D89" s="4"/>
      <c r="E89" s="4"/>
      <c r="F89" s="4"/>
      <c r="G89" s="4"/>
      <c r="H89" s="4"/>
      <c r="I89" s="4"/>
      <c r="J89" s="4"/>
      <c r="K89" s="4"/>
      <c r="L89" s="4"/>
      <c r="M89" s="4"/>
      <c r="N89" s="4"/>
      <c r="O89" s="4"/>
      <c r="P89" s="4"/>
      <c r="Q89" s="4"/>
      <c r="R89" s="4"/>
      <c r="S89" s="4"/>
      <c r="T89" s="4"/>
      <c r="U89" s="4"/>
      <c r="V89" s="4"/>
      <c r="W89" s="4"/>
      <c r="X89" s="4"/>
      <c r="Y89" s="4"/>
      <c r="Z89" s="4"/>
    </row>
    <row r="90" ht="14.25" customHeight="1" spans="1:26" x14ac:dyDescent="0.25">
      <c r="A90" s="4"/>
      <c r="B90" s="4"/>
      <c r="C90" s="4"/>
      <c r="D90" s="4"/>
      <c r="E90" s="4"/>
      <c r="F90" s="4"/>
      <c r="G90" s="4"/>
      <c r="H90" s="4"/>
      <c r="I90" s="4"/>
      <c r="J90" s="4"/>
      <c r="K90" s="4"/>
      <c r="L90" s="4"/>
      <c r="M90" s="4"/>
      <c r="N90" s="4"/>
      <c r="O90" s="4"/>
      <c r="P90" s="4"/>
      <c r="Q90" s="4"/>
      <c r="R90" s="4"/>
      <c r="S90" s="4"/>
      <c r="T90" s="4"/>
      <c r="U90" s="4"/>
      <c r="V90" s="4"/>
      <c r="W90" s="4"/>
      <c r="X90" s="4"/>
      <c r="Y90" s="4"/>
      <c r="Z90" s="4"/>
    </row>
    <row r="91" ht="14.25" customHeight="1" spans="1:26" x14ac:dyDescent="0.25">
      <c r="A91" s="4"/>
      <c r="B91" s="4"/>
      <c r="C91" s="4"/>
      <c r="D91" s="4"/>
      <c r="E91" s="4"/>
      <c r="F91" s="4"/>
      <c r="G91" s="4"/>
      <c r="H91" s="4"/>
      <c r="I91" s="4"/>
      <c r="J91" s="4"/>
      <c r="K91" s="4"/>
      <c r="L91" s="4"/>
      <c r="M91" s="4"/>
      <c r="N91" s="4"/>
      <c r="O91" s="4"/>
      <c r="P91" s="4"/>
      <c r="Q91" s="4"/>
      <c r="R91" s="4"/>
      <c r="S91" s="4"/>
      <c r="T91" s="4"/>
      <c r="U91" s="4"/>
      <c r="V91" s="4"/>
      <c r="W91" s="4"/>
      <c r="X91" s="4"/>
      <c r="Y91" s="4"/>
      <c r="Z91" s="4"/>
    </row>
    <row r="92" ht="14.25" customHeight="1" spans="1:26" x14ac:dyDescent="0.25">
      <c r="A92" s="4"/>
      <c r="B92" s="4"/>
      <c r="C92" s="4"/>
      <c r="D92" s="4"/>
      <c r="E92" s="4"/>
      <c r="F92" s="4"/>
      <c r="G92" s="4"/>
      <c r="H92" s="4"/>
      <c r="I92" s="4"/>
      <c r="J92" s="4"/>
      <c r="K92" s="4"/>
      <c r="L92" s="4"/>
      <c r="M92" s="4"/>
      <c r="N92" s="4"/>
      <c r="O92" s="4"/>
      <c r="P92" s="4"/>
      <c r="Q92" s="4"/>
      <c r="R92" s="4"/>
      <c r="S92" s="4"/>
      <c r="T92" s="4"/>
      <c r="U92" s="4"/>
      <c r="V92" s="4"/>
      <c r="W92" s="4"/>
      <c r="X92" s="4"/>
      <c r="Y92" s="4"/>
      <c r="Z92" s="4"/>
    </row>
    <row r="93" ht="14.25" customHeight="1" spans="1:26" x14ac:dyDescent="0.25">
      <c r="A93" s="4"/>
      <c r="B93" s="4"/>
      <c r="C93" s="4"/>
      <c r="D93" s="4"/>
      <c r="E93" s="4"/>
      <c r="F93" s="4"/>
      <c r="G93" s="4"/>
      <c r="H93" s="4"/>
      <c r="I93" s="4"/>
      <c r="J93" s="4"/>
      <c r="K93" s="4"/>
      <c r="L93" s="4"/>
      <c r="M93" s="4"/>
      <c r="N93" s="4"/>
      <c r="O93" s="4"/>
      <c r="P93" s="4"/>
      <c r="Q93" s="4"/>
      <c r="R93" s="4"/>
      <c r="S93" s="4"/>
      <c r="T93" s="4"/>
      <c r="U93" s="4"/>
      <c r="V93" s="4"/>
      <c r="W93" s="4"/>
      <c r="X93" s="4"/>
      <c r="Y93" s="4"/>
      <c r="Z93" s="4"/>
    </row>
    <row r="94" ht="14.25" customHeight="1" spans="1:26" x14ac:dyDescent="0.25">
      <c r="A94" s="4"/>
      <c r="B94" s="4"/>
      <c r="C94" s="4"/>
      <c r="D94" s="4"/>
      <c r="E94" s="4"/>
      <c r="F94" s="4"/>
      <c r="G94" s="4"/>
      <c r="H94" s="4"/>
      <c r="I94" s="4"/>
      <c r="J94" s="4"/>
      <c r="K94" s="4"/>
      <c r="L94" s="4"/>
      <c r="M94" s="4"/>
      <c r="N94" s="4"/>
      <c r="O94" s="4"/>
      <c r="P94" s="4"/>
      <c r="Q94" s="4"/>
      <c r="R94" s="4"/>
      <c r="S94" s="4"/>
      <c r="T94" s="4"/>
      <c r="U94" s="4"/>
      <c r="V94" s="4"/>
      <c r="W94" s="4"/>
      <c r="X94" s="4"/>
      <c r="Y94" s="4"/>
      <c r="Z94" s="4"/>
    </row>
    <row r="95" ht="14.25" customHeight="1" spans="1:26" x14ac:dyDescent="0.25">
      <c r="A95" s="4"/>
      <c r="B95" s="4"/>
      <c r="C95" s="4"/>
      <c r="D95" s="4"/>
      <c r="E95" s="4"/>
      <c r="F95" s="4"/>
      <c r="G95" s="4"/>
      <c r="H95" s="4"/>
      <c r="I95" s="4"/>
      <c r="J95" s="4"/>
      <c r="K95" s="4"/>
      <c r="L95" s="4"/>
      <c r="M95" s="4"/>
      <c r="N95" s="4"/>
      <c r="O95" s="4"/>
      <c r="P95" s="4"/>
      <c r="Q95" s="4"/>
      <c r="R95" s="4"/>
      <c r="S95" s="4"/>
      <c r="T95" s="4"/>
      <c r="U95" s="4"/>
      <c r="V95" s="4"/>
      <c r="W95" s="4"/>
      <c r="X95" s="4"/>
      <c r="Y95" s="4"/>
      <c r="Z95" s="4"/>
    </row>
    <row r="96" ht="14.25" customHeight="1" spans="1:26" x14ac:dyDescent="0.25">
      <c r="A96" s="4"/>
      <c r="B96" s="4"/>
      <c r="C96" s="4"/>
      <c r="D96" s="4"/>
      <c r="E96" s="4"/>
      <c r="F96" s="4"/>
      <c r="G96" s="4"/>
      <c r="H96" s="4"/>
      <c r="I96" s="4"/>
      <c r="J96" s="4"/>
      <c r="K96" s="4"/>
      <c r="L96" s="4"/>
      <c r="M96" s="4"/>
      <c r="N96" s="4"/>
      <c r="O96" s="4"/>
      <c r="P96" s="4"/>
      <c r="Q96" s="4"/>
      <c r="R96" s="4"/>
      <c r="S96" s="4"/>
      <c r="T96" s="4"/>
      <c r="U96" s="4"/>
      <c r="V96" s="4"/>
      <c r="W96" s="4"/>
      <c r="X96" s="4"/>
      <c r="Y96" s="4"/>
      <c r="Z96" s="4"/>
    </row>
    <row r="97" ht="14.25" customHeight="1" spans="1:26" x14ac:dyDescent="0.25">
      <c r="A97" s="4"/>
      <c r="B97" s="4"/>
      <c r="C97" s="4"/>
      <c r="D97" s="4"/>
      <c r="E97" s="4"/>
      <c r="F97" s="4"/>
      <c r="G97" s="4"/>
      <c r="H97" s="4"/>
      <c r="I97" s="4"/>
      <c r="J97" s="4"/>
      <c r="K97" s="4"/>
      <c r="L97" s="4"/>
      <c r="M97" s="4"/>
      <c r="N97" s="4"/>
      <c r="O97" s="4"/>
      <c r="P97" s="4"/>
      <c r="Q97" s="4"/>
      <c r="R97" s="4"/>
      <c r="S97" s="4"/>
      <c r="T97" s="4"/>
      <c r="U97" s="4"/>
      <c r="V97" s="4"/>
      <c r="W97" s="4"/>
      <c r="X97" s="4"/>
      <c r="Y97" s="4"/>
      <c r="Z97" s="4"/>
    </row>
    <row r="98" ht="14.25" customHeight="1" spans="1:26" x14ac:dyDescent="0.25">
      <c r="A98" s="4"/>
      <c r="B98" s="4"/>
      <c r="C98" s="4"/>
      <c r="D98" s="4"/>
      <c r="E98" s="4"/>
      <c r="F98" s="4"/>
      <c r="G98" s="4"/>
      <c r="H98" s="4"/>
      <c r="I98" s="4"/>
      <c r="J98" s="4"/>
      <c r="K98" s="4"/>
      <c r="L98" s="4"/>
      <c r="M98" s="4"/>
      <c r="N98" s="4"/>
      <c r="O98" s="4"/>
      <c r="P98" s="4"/>
      <c r="Q98" s="4"/>
      <c r="R98" s="4"/>
      <c r="S98" s="4"/>
      <c r="T98" s="4"/>
      <c r="U98" s="4"/>
      <c r="V98" s="4"/>
      <c r="W98" s="4"/>
      <c r="X98" s="4"/>
      <c r="Y98" s="4"/>
      <c r="Z98" s="4"/>
    </row>
    <row r="99" ht="14.25" customHeight="1" spans="1:26" x14ac:dyDescent="0.25">
      <c r="A99" s="4"/>
      <c r="B99" s="4"/>
      <c r="C99" s="4"/>
      <c r="D99" s="4"/>
      <c r="E99" s="4"/>
      <c r="F99" s="4"/>
      <c r="G99" s="4"/>
      <c r="H99" s="4"/>
      <c r="I99" s="4"/>
      <c r="J99" s="4"/>
      <c r="K99" s="4"/>
      <c r="L99" s="4"/>
      <c r="M99" s="4"/>
      <c r="N99" s="4"/>
      <c r="O99" s="4"/>
      <c r="P99" s="4"/>
      <c r="Q99" s="4"/>
      <c r="R99" s="4"/>
      <c r="S99" s="4"/>
      <c r="T99" s="4"/>
      <c r="U99" s="4"/>
      <c r="V99" s="4"/>
      <c r="W99" s="4"/>
      <c r="X99" s="4"/>
      <c r="Y99" s="4"/>
      <c r="Z99" s="4"/>
    </row>
    <row r="100" ht="14.25" customHeight="1" spans="1:26" x14ac:dyDescent="0.25">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ht="14.25" customHeight="1" spans="1:26" x14ac:dyDescent="0.25">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ht="14.25" customHeight="1" spans="1:26" x14ac:dyDescent="0.25">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ht="14.25" customHeight="1" spans="1:26" x14ac:dyDescent="0.25">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ht="14.25" customHeight="1" spans="1:26" x14ac:dyDescent="0.25">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ht="14.25" customHeight="1" spans="1:26" x14ac:dyDescent="0.25">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ht="14.25" customHeight="1" spans="1:26" x14ac:dyDescent="0.25">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ht="14.25" customHeight="1" spans="1:26" x14ac:dyDescent="0.25">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ht="14.25" customHeight="1" spans="1:26" x14ac:dyDescent="0.25">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ht="14.25" customHeight="1" spans="1:26" x14ac:dyDescent="0.25">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ht="14.25" customHeight="1" spans="1:26" x14ac:dyDescent="0.25">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ht="14.25" customHeight="1" spans="1:26" x14ac:dyDescent="0.25">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ht="14.25" customHeight="1" spans="1:26" x14ac:dyDescent="0.25">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ht="14.25" customHeight="1" spans="1:26" x14ac:dyDescent="0.25">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ht="14.25" customHeight="1" spans="1:26" x14ac:dyDescent="0.25">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ht="14.25" customHeight="1" spans="1:26" x14ac:dyDescent="0.25">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ht="14.25" customHeight="1" spans="1:26" x14ac:dyDescent="0.25">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ht="14.25" customHeight="1" spans="1:26" x14ac:dyDescent="0.25">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ht="14.25" customHeight="1" spans="1:26" x14ac:dyDescent="0.25">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ht="14.25" customHeight="1" spans="1:26" x14ac:dyDescent="0.25">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ht="14.25" customHeight="1" spans="1:26" x14ac:dyDescent="0.25">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ht="14.25" customHeight="1" spans="1:26" x14ac:dyDescent="0.25">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ht="14.25" customHeight="1" spans="1:26" x14ac:dyDescent="0.25">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ht="14.25" customHeight="1" spans="1:26" x14ac:dyDescent="0.25">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ht="14.25" customHeight="1" spans="1:26" x14ac:dyDescent="0.25">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ht="14.25" customHeight="1" spans="1:26" x14ac:dyDescent="0.25">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ht="14.25" customHeight="1" spans="1:26" x14ac:dyDescent="0.25">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ht="14.25" customHeight="1" spans="1:26" x14ac:dyDescent="0.25">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ht="14.25" customHeight="1" spans="1:26" x14ac:dyDescent="0.25">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ht="14.25" customHeight="1" spans="1:26" x14ac:dyDescent="0.25">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ht="14.25" customHeight="1" spans="1:26" x14ac:dyDescent="0.25">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ht="14.25" customHeight="1" spans="1:26" x14ac:dyDescent="0.25">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ht="14.25" customHeight="1" spans="1:26" x14ac:dyDescent="0.25">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ht="14.25" customHeight="1" spans="1:26" x14ac:dyDescent="0.25">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ht="14.25" customHeight="1" spans="1:26" x14ac:dyDescent="0.25">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ht="14.25" customHeight="1" spans="1:26" x14ac:dyDescent="0.25">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ht="14.25" customHeight="1" spans="1:26" x14ac:dyDescent="0.25">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ht="14.25" customHeight="1" spans="1:26" x14ac:dyDescent="0.25">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ht="14.25" customHeight="1" spans="1:26" x14ac:dyDescent="0.25">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ht="14.25" customHeight="1" spans="1:26" x14ac:dyDescent="0.25">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ht="14.25" customHeight="1" spans="1:26" x14ac:dyDescent="0.25">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ht="14.25" customHeight="1" spans="1:26" x14ac:dyDescent="0.25">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ht="14.25" customHeight="1" spans="1:26" x14ac:dyDescent="0.25">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ht="14.25" customHeight="1" spans="1:26" x14ac:dyDescent="0.25">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ht="14.25" customHeight="1" spans="1:26" x14ac:dyDescent="0.25">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ht="14.25" customHeight="1" spans="1:26" x14ac:dyDescent="0.25">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ht="14.25" customHeight="1" spans="1:26" x14ac:dyDescent="0.25">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ht="14.25" customHeight="1" spans="1:26" x14ac:dyDescent="0.25">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ht="14.25" customHeight="1" spans="1:26" x14ac:dyDescent="0.25">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ht="14.25" customHeight="1" spans="1:26" x14ac:dyDescent="0.25">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ht="14.25" customHeight="1" spans="1:26" x14ac:dyDescent="0.25">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ht="14.25" customHeight="1" spans="1:26" x14ac:dyDescent="0.25">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ht="14.25" customHeight="1" spans="1:26" x14ac:dyDescent="0.25">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ht="14.25" customHeight="1" spans="1:26" x14ac:dyDescent="0.25">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ht="14.25" customHeight="1" spans="1:26" x14ac:dyDescent="0.25">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ht="14.25" customHeight="1" spans="1:26" x14ac:dyDescent="0.25">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ht="14.25" customHeight="1" spans="1:26" x14ac:dyDescent="0.25">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ht="14.25" customHeight="1" spans="1:26" x14ac:dyDescent="0.25">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ht="14.25" customHeight="1" spans="1:26" x14ac:dyDescent="0.25">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ht="14.25" customHeight="1" spans="1:26" x14ac:dyDescent="0.25">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ht="14.25" customHeight="1" spans="1:26" x14ac:dyDescent="0.25">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ht="14.25" customHeight="1" spans="1:26" x14ac:dyDescent="0.25">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ht="14.25" customHeight="1" spans="1:26" x14ac:dyDescent="0.25">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ht="14.25" customHeight="1" spans="1:26" x14ac:dyDescent="0.25">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ht="14.25" customHeight="1" spans="1:26" x14ac:dyDescent="0.25">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ht="14.25" customHeight="1" spans="1:26" x14ac:dyDescent="0.25">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ht="14.25" customHeight="1" spans="1:26" x14ac:dyDescent="0.25">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ht="14.25" customHeight="1" spans="1:26" x14ac:dyDescent="0.25">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ht="14.25" customHeight="1" spans="1:26" x14ac:dyDescent="0.25">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ht="14.25" customHeight="1" spans="1:26" x14ac:dyDescent="0.25">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ht="14.25" customHeight="1" spans="1:26" x14ac:dyDescent="0.25">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ht="14.25" customHeight="1" spans="1:26" x14ac:dyDescent="0.25">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ht="14.25" customHeight="1" spans="1:26" x14ac:dyDescent="0.25">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ht="14.25" customHeight="1" spans="1:26" x14ac:dyDescent="0.25">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14.25" customHeight="1" spans="1:26" x14ac:dyDescent="0.25">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14.25" customHeight="1" spans="1:26" x14ac:dyDescent="0.25">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14.25" customHeight="1" spans="1:26" x14ac:dyDescent="0.25">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ht="14.25" customHeight="1" spans="1:26" x14ac:dyDescent="0.25">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ht="14.25" customHeight="1" spans="1:26" x14ac:dyDescent="0.25">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14.25" customHeight="1" spans="1:26" x14ac:dyDescent="0.25">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14.25" customHeight="1" spans="1:26" x14ac:dyDescent="0.25">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ht="14.25" customHeight="1" spans="1:26" x14ac:dyDescent="0.25">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14.25" customHeight="1" spans="1:26" x14ac:dyDescent="0.25">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14.25" customHeight="1" spans="1:26" x14ac:dyDescent="0.25">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14.25" customHeight="1" spans="1:26" x14ac:dyDescent="0.25">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14.25" customHeight="1" spans="1:26" x14ac:dyDescent="0.25">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14.25" customHeight="1" spans="1:26" x14ac:dyDescent="0.25">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14.25" customHeight="1" spans="1:26" x14ac:dyDescent="0.25">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14.25" customHeight="1" spans="1:26" x14ac:dyDescent="0.25">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14.25" customHeight="1" spans="1:26" x14ac:dyDescent="0.25">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14.25" customHeight="1" spans="1:26" x14ac:dyDescent="0.25">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14.25" customHeight="1" spans="1:26" x14ac:dyDescent="0.25">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14.25" customHeight="1" spans="1:26" x14ac:dyDescent="0.25">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14.25" customHeight="1" spans="1:26" x14ac:dyDescent="0.25">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14.25" customHeight="1" spans="1:26" x14ac:dyDescent="0.25">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14.25" customHeight="1" spans="1:26" x14ac:dyDescent="0.25">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14.25" customHeight="1" spans="1:26" x14ac:dyDescent="0.25">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14.25" customHeight="1" spans="1:26" x14ac:dyDescent="0.25">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14.25" customHeight="1" spans="1:26" x14ac:dyDescent="0.25">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14.25" customHeight="1" spans="1:26" x14ac:dyDescent="0.25">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14.25" customHeight="1" spans="1:26" x14ac:dyDescent="0.25">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14.25" customHeight="1" spans="1:26" x14ac:dyDescent="0.25">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14.25" customHeight="1" spans="1:26" x14ac:dyDescent="0.25">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14.25" customHeight="1" spans="1:26" x14ac:dyDescent="0.25">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14.25" customHeight="1" spans="1:26" x14ac:dyDescent="0.25">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14.25" customHeight="1" spans="1:26" x14ac:dyDescent="0.25">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14.25" customHeight="1" spans="1:26" x14ac:dyDescent="0.25">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14.25" customHeight="1" spans="1:26" x14ac:dyDescent="0.25">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14.25" customHeight="1" spans="1:26" x14ac:dyDescent="0.25">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14.25" customHeight="1" spans="1:26" x14ac:dyDescent="0.25">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14.25" customHeight="1" spans="1:26" x14ac:dyDescent="0.25">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14.25" customHeight="1" spans="1:26" x14ac:dyDescent="0.25">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14.25" customHeight="1" spans="1:26" x14ac:dyDescent="0.25">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14.25" customHeight="1" spans="1:26" x14ac:dyDescent="0.25">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14.25" customHeight="1" spans="1:26" x14ac:dyDescent="0.25">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14.25" customHeight="1" spans="1:26" x14ac:dyDescent="0.25">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14.25" customHeight="1" spans="1:26" x14ac:dyDescent="0.25">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14.25" customHeight="1" spans="1:26" x14ac:dyDescent="0.25">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14.25" customHeight="1" spans="1:26" x14ac:dyDescent="0.25">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14.25" customHeight="1" spans="1:26" x14ac:dyDescent="0.25">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14.25" customHeight="1" spans="1:26" x14ac:dyDescent="0.25">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14.25" customHeight="1" spans="1:26" x14ac:dyDescent="0.25">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ht="14.25" customHeight="1" spans="1:26" x14ac:dyDescent="0.25">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ht="14.25" customHeight="1" spans="1:26" x14ac:dyDescent="0.25">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ht="14.25" customHeight="1" spans="1:26" x14ac:dyDescent="0.25">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ht="14.25" customHeight="1" spans="1:26" x14ac:dyDescent="0.25">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ht="14.25" customHeight="1" spans="1:26" x14ac:dyDescent="0.25">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ht="14.25" customHeight="1" spans="1:26" x14ac:dyDescent="0.25">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ht="14.25" customHeight="1" spans="1:26" x14ac:dyDescent="0.25">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ht="14.25" customHeight="1" spans="1:26" x14ac:dyDescent="0.25">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ht="14.25" customHeight="1" spans="1:26" x14ac:dyDescent="0.25">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ht="14.25" customHeight="1" spans="1:26" x14ac:dyDescent="0.25">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ht="14.25" customHeight="1" spans="1:26" x14ac:dyDescent="0.25">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ht="14.25" customHeight="1" spans="1:26" x14ac:dyDescent="0.25">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ht="14.25" customHeight="1" spans="1:26" x14ac:dyDescent="0.25">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ht="14.25" customHeight="1" spans="1:26" x14ac:dyDescent="0.25">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ht="14.25" customHeight="1" spans="1:26" x14ac:dyDescent="0.25">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ht="14.25" customHeight="1" spans="1:26" x14ac:dyDescent="0.25">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ht="14.25" customHeight="1" spans="1:26" x14ac:dyDescent="0.25">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ht="14.25" customHeight="1" spans="1:26" x14ac:dyDescent="0.25">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ht="14.25" customHeight="1" spans="1:26" x14ac:dyDescent="0.25">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ht="14.25" customHeight="1" spans="1:26" x14ac:dyDescent="0.25">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ht="14.25" customHeight="1" spans="1:26" x14ac:dyDescent="0.25">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ht="14.25" customHeight="1" spans="1:26" x14ac:dyDescent="0.25">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ht="14.25" customHeight="1" spans="1:26" x14ac:dyDescent="0.25">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ht="14.25" customHeight="1" spans="1:26" x14ac:dyDescent="0.25">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ht="14.25" customHeight="1" spans="1:26" x14ac:dyDescent="0.25">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ht="14.25" customHeight="1" spans="1:26" x14ac:dyDescent="0.25">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ht="14.25" customHeight="1" spans="1:26" x14ac:dyDescent="0.25">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ht="14.25" customHeight="1" spans="1:26" x14ac:dyDescent="0.25">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ht="14.25" customHeight="1" spans="1:26" x14ac:dyDescent="0.25">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ht="14.25" customHeight="1" spans="1:26" x14ac:dyDescent="0.25">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ht="14.25" customHeight="1" spans="1:26" x14ac:dyDescent="0.25">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ht="14.25" customHeight="1" spans="1:26" x14ac:dyDescent="0.25">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ht="14.25" customHeight="1" spans="1:26" x14ac:dyDescent="0.25">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ht="14.25" customHeight="1" spans="1:26" x14ac:dyDescent="0.25">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ht="14.25" customHeight="1" spans="1:26" x14ac:dyDescent="0.25">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ht="14.25" customHeight="1" spans="1:26" x14ac:dyDescent="0.25">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ht="14.25" customHeight="1" spans="1:26" x14ac:dyDescent="0.25">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ht="14.25" customHeight="1" spans="1:26" x14ac:dyDescent="0.25">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ht="14.25" customHeight="1" spans="1:26" x14ac:dyDescent="0.25">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ht="14.25" customHeight="1" spans="1:26" x14ac:dyDescent="0.25">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ht="14.25" customHeight="1" spans="1:26" x14ac:dyDescent="0.25">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ht="14.25" customHeight="1" spans="1:26" x14ac:dyDescent="0.25">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ht="14.25" customHeight="1" spans="1:26" x14ac:dyDescent="0.25">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ht="14.25" customHeight="1" spans="1:26" x14ac:dyDescent="0.25">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ht="14.25" customHeight="1" spans="1:26" x14ac:dyDescent="0.25">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ht="14.25" customHeight="1" spans="1:26" x14ac:dyDescent="0.25">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ht="14.25" customHeight="1" spans="1:26" x14ac:dyDescent="0.25">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ht="14.25" customHeight="1" spans="1:26" x14ac:dyDescent="0.25">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ht="14.25" customHeight="1" spans="1:26" x14ac:dyDescent="0.25">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ht="14.25" customHeight="1" spans="1:26" x14ac:dyDescent="0.25">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ht="14.25" customHeight="1" spans="1:26" x14ac:dyDescent="0.25">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ht="14.25" customHeight="1" spans="1:26" x14ac:dyDescent="0.25">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ht="14.25" customHeight="1" spans="1:26" x14ac:dyDescent="0.25">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ht="14.25" customHeight="1" spans="1:26" x14ac:dyDescent="0.25">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ht="14.25" customHeight="1" spans="1:26" x14ac:dyDescent="0.25">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ht="14.25" customHeight="1" spans="1:26" x14ac:dyDescent="0.25">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ht="14.25" customHeight="1" spans="1:26" x14ac:dyDescent="0.25">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ht="14.25" customHeight="1" spans="1:26" x14ac:dyDescent="0.25">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ht="14.25" customHeight="1" spans="1:26" x14ac:dyDescent="0.25">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ht="14.25" customHeight="1" spans="1:26" x14ac:dyDescent="0.25">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ht="14.25" customHeight="1" spans="1:26" x14ac:dyDescent="0.25">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ht="14.25" customHeight="1" spans="1:26" x14ac:dyDescent="0.25">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ht="14.25" customHeight="1" spans="1:26" x14ac:dyDescent="0.25">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ht="14.25" customHeight="1" spans="1:26" x14ac:dyDescent="0.25">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ht="14.25" customHeight="1" spans="1:26" x14ac:dyDescent="0.25">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ht="14.25" customHeight="1" spans="1:26" x14ac:dyDescent="0.25">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ht="14.25" customHeight="1" spans="1:26" x14ac:dyDescent="0.25">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ht="14.25" customHeight="1" spans="1:26" x14ac:dyDescent="0.25">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ht="14.25" customHeight="1" spans="1:26" x14ac:dyDescent="0.25">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ht="14.25" customHeight="1" spans="1:26" x14ac:dyDescent="0.25">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ht="14.25" customHeight="1" spans="1:26" x14ac:dyDescent="0.25">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ht="14.25" customHeight="1" spans="1:26" x14ac:dyDescent="0.25">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ht="14.25" customHeight="1" spans="1:26" x14ac:dyDescent="0.25">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ht="14.25" customHeight="1" spans="1:26" x14ac:dyDescent="0.25">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ht="14.25" customHeight="1" spans="1:26" x14ac:dyDescent="0.25">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ht="14.25" customHeight="1" spans="1:26" x14ac:dyDescent="0.25">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ht="14.25" customHeight="1" spans="1:26" x14ac:dyDescent="0.25">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ht="14.25" customHeight="1" spans="1:26" x14ac:dyDescent="0.25">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ht="14.25" customHeight="1" spans="1:26" x14ac:dyDescent="0.25">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ht="14.25" customHeight="1" spans="1:26" x14ac:dyDescent="0.25">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ht="14.25" customHeight="1" spans="1:26" x14ac:dyDescent="0.25">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ht="14.25" customHeight="1" spans="1:26" x14ac:dyDescent="0.25">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ht="14.25" customHeight="1" spans="1:26" x14ac:dyDescent="0.25">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ht="14.25" customHeight="1" spans="1:26" x14ac:dyDescent="0.2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ht="14.25" customHeight="1" spans="1:26" x14ac:dyDescent="0.25">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ht="14.25" customHeight="1" spans="1:26" x14ac:dyDescent="0.25">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ht="14.25" customHeight="1" spans="1:26" x14ac:dyDescent="0.25">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ht="14.25" customHeight="1" spans="1:26" x14ac:dyDescent="0.25">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ht="14.25" customHeight="1" spans="1:26" x14ac:dyDescent="0.25">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ht="14.25" customHeight="1" spans="1:26" x14ac:dyDescent="0.25">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ht="14.25" customHeight="1" spans="1:26" x14ac:dyDescent="0.25">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ht="14.25" customHeight="1" spans="1:26" x14ac:dyDescent="0.25">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ht="14.25" customHeight="1" spans="1:26" x14ac:dyDescent="0.25">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ht="14.25" customHeight="1" spans="1:26" x14ac:dyDescent="0.2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ht="14.25" customHeight="1" spans="1:26" x14ac:dyDescent="0.25">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ht="14.25" customHeight="1" spans="1:26" x14ac:dyDescent="0.25">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ht="14.25" customHeight="1" spans="1:26" x14ac:dyDescent="0.25">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ht="14.25" customHeight="1" spans="1:26" x14ac:dyDescent="0.25">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ht="14.25" customHeight="1" spans="1:26" x14ac:dyDescent="0.25">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ht="14.25" customHeight="1" spans="1:26" x14ac:dyDescent="0.25">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ht="14.25" customHeight="1" spans="1:26" x14ac:dyDescent="0.25">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ht="14.25" customHeight="1" spans="1:26" x14ac:dyDescent="0.25">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ht="14.25" customHeight="1" spans="1:26" x14ac:dyDescent="0.25">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ht="14.25" customHeight="1" spans="1:26" x14ac:dyDescent="0.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ht="14.25" customHeight="1" spans="1:26" x14ac:dyDescent="0.25">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ht="14.25" customHeight="1" spans="1:26" x14ac:dyDescent="0.25">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ht="14.25" customHeight="1" spans="1:26" x14ac:dyDescent="0.25">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ht="14.25" customHeight="1" spans="1:26" x14ac:dyDescent="0.25">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ht="14.25" customHeight="1" spans="1:26" x14ac:dyDescent="0.25">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ht="14.25" customHeight="1" spans="1:26" x14ac:dyDescent="0.25">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ht="14.25" customHeight="1" spans="1:26" x14ac:dyDescent="0.25">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ht="14.25" customHeight="1" spans="1:26" x14ac:dyDescent="0.25">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ht="14.25" customHeight="1" spans="1:26" x14ac:dyDescent="0.25">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ht="14.25" customHeight="1" spans="1:26" x14ac:dyDescent="0.2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ht="14.25" customHeight="1" spans="1:26" x14ac:dyDescent="0.25">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ht="14.25" customHeight="1" spans="1:26" x14ac:dyDescent="0.25">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ht="14.25" customHeight="1" spans="1:26" x14ac:dyDescent="0.25">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ht="14.25" customHeight="1" spans="1:26" x14ac:dyDescent="0.25">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ht="14.25" customHeight="1" spans="1:26" x14ac:dyDescent="0.25">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ht="14.25" customHeight="1" spans="1:26" x14ac:dyDescent="0.25">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ht="14.25" customHeight="1" spans="1:26" x14ac:dyDescent="0.25">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ht="14.25" customHeight="1" spans="1:26" x14ac:dyDescent="0.25">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ht="14.25" customHeight="1" spans="1:26" x14ac:dyDescent="0.25">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ht="14.25" customHeight="1" spans="1:26" x14ac:dyDescent="0.2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ht="14.25" customHeight="1" spans="1:26" x14ac:dyDescent="0.25">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ht="14.25" customHeight="1" spans="1:26" x14ac:dyDescent="0.25">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ht="14.25" customHeight="1" spans="1:26" x14ac:dyDescent="0.25">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ht="14.25" customHeight="1" spans="1:26" x14ac:dyDescent="0.25">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ht="14.25" customHeight="1" spans="1:26" x14ac:dyDescent="0.25">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ht="14.25" customHeight="1" spans="1:26" x14ac:dyDescent="0.25">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ht="14.25" customHeight="1" spans="1:26" x14ac:dyDescent="0.25">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ht="14.25" customHeight="1" spans="1:26" x14ac:dyDescent="0.25">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ht="14.25" customHeight="1" spans="1:26" x14ac:dyDescent="0.25">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ht="14.25" customHeight="1" spans="1:26" x14ac:dyDescent="0.2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ht="14.25" customHeight="1" spans="1:26" x14ac:dyDescent="0.25">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ht="14.25" customHeight="1" spans="1:26" x14ac:dyDescent="0.25">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ht="14.25" customHeight="1" spans="1:26" x14ac:dyDescent="0.25">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ht="14.25" customHeight="1" spans="1:26" x14ac:dyDescent="0.25">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ht="14.25" customHeight="1" spans="1:26" x14ac:dyDescent="0.25">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ht="14.25" customHeight="1" spans="1:26" x14ac:dyDescent="0.25">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ht="14.25" customHeight="1" spans="1:26" x14ac:dyDescent="0.25">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ht="14.25" customHeight="1" spans="1:26" x14ac:dyDescent="0.25">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ht="14.25" customHeight="1" spans="1:26" x14ac:dyDescent="0.25">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ht="14.25" customHeight="1" spans="1:26" x14ac:dyDescent="0.2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ht="14.25" customHeight="1" spans="1:26" x14ac:dyDescent="0.25">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ht="14.25" customHeight="1" spans="1:26" x14ac:dyDescent="0.25">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ht="14.25" customHeight="1" spans="1:26" x14ac:dyDescent="0.25">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ht="14.25" customHeight="1" spans="1:26" x14ac:dyDescent="0.25">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ht="14.25" customHeight="1" spans="1:26" x14ac:dyDescent="0.25">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ht="14.25" customHeight="1" spans="1:26" x14ac:dyDescent="0.25">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ht="14.25" customHeight="1" spans="1:26" x14ac:dyDescent="0.25">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ht="14.25" customHeight="1" spans="1:26" x14ac:dyDescent="0.25">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ht="14.25" customHeight="1" spans="1:26" x14ac:dyDescent="0.25">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ht="14.25" customHeight="1" spans="1:26" x14ac:dyDescent="0.2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ht="14.25" customHeight="1" spans="1:26" x14ac:dyDescent="0.25">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ht="14.25" customHeight="1" spans="1:26" x14ac:dyDescent="0.25">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ht="14.25" customHeight="1" spans="1:26" x14ac:dyDescent="0.25">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ht="14.25" customHeight="1" spans="1:26" x14ac:dyDescent="0.25">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ht="14.25" customHeight="1" spans="1:26" x14ac:dyDescent="0.25">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ht="14.25" customHeight="1" spans="1:26" x14ac:dyDescent="0.25">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ht="14.25" customHeight="1" spans="1:26" x14ac:dyDescent="0.25">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ht="14.25" customHeight="1" spans="1:26" x14ac:dyDescent="0.25">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ht="14.25" customHeight="1" spans="1:26" x14ac:dyDescent="0.25">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ht="14.25" customHeight="1" spans="1:26" x14ac:dyDescent="0.2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ht="14.25" customHeight="1" spans="1:26" x14ac:dyDescent="0.25">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ht="14.25" customHeight="1" spans="1:26" x14ac:dyDescent="0.25">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ht="14.25" customHeight="1" spans="1:26" x14ac:dyDescent="0.25">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ht="14.25" customHeight="1" spans="1:26" x14ac:dyDescent="0.25">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ht="14.25" customHeight="1" spans="1:26" x14ac:dyDescent="0.25">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ht="14.25" customHeight="1" spans="1:26" x14ac:dyDescent="0.25">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ht="14.25" customHeight="1" spans="1:26" x14ac:dyDescent="0.25">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ht="14.25" customHeight="1" spans="1:26" x14ac:dyDescent="0.25">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ht="14.25" customHeight="1" spans="1:26" x14ac:dyDescent="0.25">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ht="14.25" customHeight="1" spans="1:26" x14ac:dyDescent="0.2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ht="14.25" customHeight="1" spans="1:26" x14ac:dyDescent="0.25">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ht="14.25" customHeight="1" spans="1:26" x14ac:dyDescent="0.25">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ht="14.25" customHeight="1" spans="1:26" x14ac:dyDescent="0.25">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ht="14.25" customHeight="1" spans="1:26" x14ac:dyDescent="0.25">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ht="14.25" customHeight="1" spans="1:26" x14ac:dyDescent="0.25">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ht="14.25" customHeight="1" spans="1:26" x14ac:dyDescent="0.25">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ht="14.25" customHeight="1" spans="1:26" x14ac:dyDescent="0.25">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ht="14.25" customHeight="1" spans="1:26" x14ac:dyDescent="0.25">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ht="14.25" customHeight="1" spans="1:26" x14ac:dyDescent="0.25">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ht="14.25" customHeight="1" spans="1:26" x14ac:dyDescent="0.2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ht="14.25" customHeight="1" spans="1:26" x14ac:dyDescent="0.25">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ht="14.25" customHeight="1" spans="1:26" x14ac:dyDescent="0.25">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ht="14.25" customHeight="1" spans="1:26" x14ac:dyDescent="0.25">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ht="14.25" customHeight="1" spans="1:26" x14ac:dyDescent="0.25">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ht="14.25" customHeight="1" spans="1:26" x14ac:dyDescent="0.25">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ht="14.25" customHeight="1" spans="1:26" x14ac:dyDescent="0.25">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ht="14.25" customHeight="1" spans="1:26" x14ac:dyDescent="0.25">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ht="14.25" customHeight="1" spans="1:26" x14ac:dyDescent="0.25">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ht="14.25" customHeight="1" spans="1:26" x14ac:dyDescent="0.25">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ht="14.25" customHeight="1" spans="1:26" x14ac:dyDescent="0.2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ht="14.25" customHeight="1" spans="1:26" x14ac:dyDescent="0.25">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ht="14.25" customHeight="1" spans="1:26" x14ac:dyDescent="0.25">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ht="14.25" customHeight="1" spans="1:26" x14ac:dyDescent="0.25">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ht="14.25" customHeight="1" spans="1:26" x14ac:dyDescent="0.25">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ht="14.25" customHeight="1" spans="1:26" x14ac:dyDescent="0.25">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ht="14.25" customHeight="1" spans="1:26" x14ac:dyDescent="0.25">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ht="14.25" customHeight="1" spans="1:26" x14ac:dyDescent="0.25">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ht="14.25" customHeight="1" spans="1:26" x14ac:dyDescent="0.25">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ht="14.25" customHeight="1" spans="1:26" x14ac:dyDescent="0.25">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ht="14.25" customHeight="1" spans="1:26" x14ac:dyDescent="0.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ht="14.25" customHeight="1" spans="1:26" x14ac:dyDescent="0.25">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ht="14.25" customHeight="1" spans="1:26" x14ac:dyDescent="0.25">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ht="14.25" customHeight="1" spans="1:26" x14ac:dyDescent="0.25">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ht="14.25" customHeight="1" spans="1:26" x14ac:dyDescent="0.25">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ht="14.25" customHeight="1" spans="1:26" x14ac:dyDescent="0.25">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ht="14.25" customHeight="1" spans="1:26" x14ac:dyDescent="0.25">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ht="14.25" customHeight="1" spans="1:26" x14ac:dyDescent="0.25">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ht="14.25" customHeight="1" spans="1:26" x14ac:dyDescent="0.25">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ht="14.25" customHeight="1" spans="1:26" x14ac:dyDescent="0.25">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ht="14.25" customHeight="1" spans="1:26" x14ac:dyDescent="0.2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ht="14.25" customHeight="1" spans="1:26" x14ac:dyDescent="0.25">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ht="14.25" customHeight="1" spans="1:26" x14ac:dyDescent="0.25">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ht="14.25" customHeight="1" spans="1:26" x14ac:dyDescent="0.25">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ht="14.25" customHeight="1" spans="1:26" x14ac:dyDescent="0.25">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ht="14.25" customHeight="1" spans="1:26" x14ac:dyDescent="0.25">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ht="14.25" customHeight="1" spans="1:26" x14ac:dyDescent="0.25">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ht="14.25" customHeight="1" spans="1:26" x14ac:dyDescent="0.25">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ht="14.25" customHeight="1" spans="1:26" x14ac:dyDescent="0.25">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ht="14.25" customHeight="1" spans="1:26" x14ac:dyDescent="0.25">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ht="14.25" customHeight="1" spans="1:26" x14ac:dyDescent="0.2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ht="14.25" customHeight="1" spans="1:26" x14ac:dyDescent="0.25">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ht="14.25" customHeight="1" spans="1:26" x14ac:dyDescent="0.25">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ht="14.25" customHeight="1" spans="1:26" x14ac:dyDescent="0.25">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ht="14.25" customHeight="1" spans="1:26" x14ac:dyDescent="0.25">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ht="14.25" customHeight="1" spans="1:26" x14ac:dyDescent="0.25">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ht="14.25" customHeight="1" spans="1:26" x14ac:dyDescent="0.25">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ht="14.25" customHeight="1" spans="1:26" x14ac:dyDescent="0.25">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ht="14.25" customHeight="1" spans="1:26" x14ac:dyDescent="0.25">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ht="14.25" customHeight="1" spans="1:26" x14ac:dyDescent="0.25">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ht="14.25" customHeight="1" spans="1:26" x14ac:dyDescent="0.2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ht="14.25" customHeight="1" spans="1:26" x14ac:dyDescent="0.25">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ht="14.25" customHeight="1" spans="1:26" x14ac:dyDescent="0.25">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ht="14.25" customHeight="1" spans="1:26" x14ac:dyDescent="0.25">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ht="14.25" customHeight="1" spans="1:26" x14ac:dyDescent="0.25">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ht="14.25" customHeight="1" spans="1:26" x14ac:dyDescent="0.25">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ht="14.25" customHeight="1" spans="1:26" x14ac:dyDescent="0.25">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ht="14.25" customHeight="1" spans="1:26" x14ac:dyDescent="0.25">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ht="14.25" customHeight="1" spans="1:26" x14ac:dyDescent="0.25">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ht="14.25" customHeight="1" spans="1:26" x14ac:dyDescent="0.25">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ht="14.25" customHeight="1" spans="1:26" x14ac:dyDescent="0.2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ht="14.25" customHeight="1" spans="1:26" x14ac:dyDescent="0.25">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ht="14.25" customHeight="1" spans="1:26" x14ac:dyDescent="0.25">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ht="14.25" customHeight="1" spans="1:26" x14ac:dyDescent="0.25">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ht="14.25" customHeight="1" spans="1:26" x14ac:dyDescent="0.25">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ht="14.25" customHeight="1" spans="1:26" x14ac:dyDescent="0.25">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ht="14.25" customHeight="1" spans="1:26" x14ac:dyDescent="0.25">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ht="14.25" customHeight="1" spans="1:26" x14ac:dyDescent="0.25">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ht="14.25" customHeight="1" spans="1:26" x14ac:dyDescent="0.25">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ht="14.25" customHeight="1" spans="1:26" x14ac:dyDescent="0.25">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ht="14.25" customHeight="1" spans="1:26" x14ac:dyDescent="0.2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ht="14.25" customHeight="1" spans="1:26" x14ac:dyDescent="0.25">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ht="14.25" customHeight="1" spans="1:26" x14ac:dyDescent="0.25">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ht="14.25" customHeight="1" spans="1:26" x14ac:dyDescent="0.25">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ht="14.25" customHeight="1" spans="1:26" x14ac:dyDescent="0.25">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ht="14.25" customHeight="1" spans="1:26" x14ac:dyDescent="0.25">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ht="14.25" customHeight="1" spans="1:26" x14ac:dyDescent="0.25">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ht="14.25" customHeight="1" spans="1:26" x14ac:dyDescent="0.25">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ht="14.25" customHeight="1" spans="1:26" x14ac:dyDescent="0.25">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ht="14.25" customHeight="1" spans="1:26" x14ac:dyDescent="0.25">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ht="14.25" customHeight="1" spans="1:26" x14ac:dyDescent="0.2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ht="14.25" customHeight="1" spans="1:26" x14ac:dyDescent="0.25">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ht="14.25" customHeight="1" spans="1:26" x14ac:dyDescent="0.25">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ht="14.25" customHeight="1" spans="1:26" x14ac:dyDescent="0.25">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ht="14.25" customHeight="1" spans="1:26" x14ac:dyDescent="0.25">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ht="14.25" customHeight="1" spans="1:26" x14ac:dyDescent="0.25">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ht="14.25" customHeight="1" spans="1:26" x14ac:dyDescent="0.25">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ht="14.25" customHeight="1" spans="1:26" x14ac:dyDescent="0.25">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ht="14.25" customHeight="1" spans="1:26" x14ac:dyDescent="0.25">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ht="14.25" customHeight="1" spans="1:26" x14ac:dyDescent="0.25">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ht="14.25" customHeight="1" spans="1:26" x14ac:dyDescent="0.2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ht="14.25" customHeight="1" spans="1:26" x14ac:dyDescent="0.25">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ht="14.25" customHeight="1" spans="1:26" x14ac:dyDescent="0.25">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ht="14.25" customHeight="1" spans="1:26" x14ac:dyDescent="0.25">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ht="14.25" customHeight="1" spans="1:26" x14ac:dyDescent="0.25">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ht="14.25" customHeight="1" spans="1:26" x14ac:dyDescent="0.25">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ht="14.25" customHeight="1" spans="1:26" x14ac:dyDescent="0.25">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ht="14.25" customHeight="1" spans="1:26" x14ac:dyDescent="0.25">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ht="14.25" customHeight="1" spans="1:26" x14ac:dyDescent="0.25">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ht="14.25" customHeight="1" spans="1:26" x14ac:dyDescent="0.25">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ht="14.25" customHeight="1" spans="1:26" x14ac:dyDescent="0.2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ht="14.25" customHeight="1" spans="1:26" x14ac:dyDescent="0.25">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ht="14.25" customHeight="1" spans="1:26" x14ac:dyDescent="0.25">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ht="14.25" customHeight="1" spans="1:26" x14ac:dyDescent="0.25">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ht="14.25" customHeight="1" spans="1:26" x14ac:dyDescent="0.25">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ht="14.25" customHeight="1" spans="1:26" x14ac:dyDescent="0.25">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ht="14.25" customHeight="1" spans="1:26" x14ac:dyDescent="0.25">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ht="14.25" customHeight="1" spans="1:26" x14ac:dyDescent="0.25">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ht="14.25" customHeight="1" spans="1:26" x14ac:dyDescent="0.25">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ht="14.25" customHeight="1" spans="1:26" x14ac:dyDescent="0.25">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ht="14.25" customHeight="1" spans="1:26" x14ac:dyDescent="0.2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ht="14.25" customHeight="1" spans="1:26" x14ac:dyDescent="0.25">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ht="14.25" customHeight="1" spans="1:26" x14ac:dyDescent="0.25">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ht="14.25" customHeight="1" spans="1:26" x14ac:dyDescent="0.25">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ht="14.25" customHeight="1" spans="1:26" x14ac:dyDescent="0.25">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ht="14.25" customHeight="1" spans="1:26" x14ac:dyDescent="0.25">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ht="14.25" customHeight="1" spans="1:26" x14ac:dyDescent="0.25">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ht="14.25" customHeight="1" spans="1:26" x14ac:dyDescent="0.25">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ht="14.25" customHeight="1" spans="1:26" x14ac:dyDescent="0.25">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ht="14.25" customHeight="1" spans="1:26" x14ac:dyDescent="0.25">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ht="14.25" customHeight="1" spans="1:26" x14ac:dyDescent="0.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ht="14.25" customHeight="1" spans="1:26" x14ac:dyDescent="0.25">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ht="14.25" customHeight="1" spans="1:26" x14ac:dyDescent="0.25">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ht="14.25" customHeight="1" spans="1:26" x14ac:dyDescent="0.25">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ht="14.25" customHeight="1" spans="1:26" x14ac:dyDescent="0.25">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ht="14.25" customHeight="1" spans="1:26" x14ac:dyDescent="0.25">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ht="14.25" customHeight="1" spans="1:26" x14ac:dyDescent="0.25">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ht="14.25" customHeight="1" spans="1:26" x14ac:dyDescent="0.25">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ht="14.25" customHeight="1" spans="1:26" x14ac:dyDescent="0.25">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ht="14.25" customHeight="1" spans="1:26" x14ac:dyDescent="0.25">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ht="14.25" customHeight="1" spans="1:26" x14ac:dyDescent="0.2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ht="14.25" customHeight="1" spans="1:26" x14ac:dyDescent="0.25">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ht="14.25" customHeight="1" spans="1:26" x14ac:dyDescent="0.25">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ht="14.25" customHeight="1" spans="1:26" x14ac:dyDescent="0.25">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ht="14.25" customHeight="1" spans="1:26" x14ac:dyDescent="0.25">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ht="14.25" customHeight="1" spans="1:26" x14ac:dyDescent="0.25">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ht="14.25" customHeight="1" spans="1:26" x14ac:dyDescent="0.25">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ht="14.25" customHeight="1" spans="1:26" x14ac:dyDescent="0.25">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ht="14.25" customHeight="1" spans="1:26" x14ac:dyDescent="0.25">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ht="14.25" customHeight="1" spans="1:26" x14ac:dyDescent="0.25">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ht="14.25" customHeight="1" spans="1:26" x14ac:dyDescent="0.2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ht="14.25" customHeight="1" spans="1:26" x14ac:dyDescent="0.25">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ht="14.25" customHeight="1" spans="1:26" x14ac:dyDescent="0.25">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ht="14.25" customHeight="1" spans="1:26" x14ac:dyDescent="0.25">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ht="14.25" customHeight="1" spans="1:26" x14ac:dyDescent="0.25">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ht="14.25" customHeight="1" spans="1:26" x14ac:dyDescent="0.25">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ht="14.25" customHeight="1" spans="1:26" x14ac:dyDescent="0.25">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ht="14.25" customHeight="1" spans="1:26" x14ac:dyDescent="0.25">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ht="14.25" customHeight="1" spans="1:26" x14ac:dyDescent="0.25">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ht="14.25" customHeight="1" spans="1:26" x14ac:dyDescent="0.25">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ht="14.25" customHeight="1" spans="1:26" x14ac:dyDescent="0.2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ht="14.25" customHeight="1" spans="1:26" x14ac:dyDescent="0.25">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ht="14.25" customHeight="1" spans="1:26" x14ac:dyDescent="0.25">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ht="14.25" customHeight="1" spans="1:26" x14ac:dyDescent="0.25">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ht="14.25" customHeight="1" spans="1:26" x14ac:dyDescent="0.25">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ht="14.25" customHeight="1" spans="1:26" x14ac:dyDescent="0.25">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ht="14.25" customHeight="1" spans="1:26" x14ac:dyDescent="0.25">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ht="14.25" customHeight="1" spans="1:26" x14ac:dyDescent="0.25">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ht="14.25" customHeight="1" spans="1:26" x14ac:dyDescent="0.25">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ht="14.25" customHeight="1" spans="1:26" x14ac:dyDescent="0.25">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ht="14.25" customHeight="1" spans="1:26" x14ac:dyDescent="0.2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ht="14.25" customHeight="1" spans="1:26" x14ac:dyDescent="0.25">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ht="14.25" customHeight="1" spans="1:26" x14ac:dyDescent="0.25">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ht="14.25" customHeight="1" spans="1:26" x14ac:dyDescent="0.25">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ht="14.25" customHeight="1" spans="1:26" x14ac:dyDescent="0.25">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ht="14.25" customHeight="1" spans="1:26" x14ac:dyDescent="0.25">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ht="14.25" customHeight="1" spans="1:26" x14ac:dyDescent="0.25">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ht="14.25" customHeight="1" spans="1:26" x14ac:dyDescent="0.25">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ht="14.25" customHeight="1" spans="1:26" x14ac:dyDescent="0.25">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ht="14.25" customHeight="1" spans="1:26" x14ac:dyDescent="0.25">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ht="14.25" customHeight="1" spans="1:26" x14ac:dyDescent="0.2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ht="14.25" customHeight="1" spans="1:26" x14ac:dyDescent="0.25">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ht="14.25" customHeight="1" spans="1:26" x14ac:dyDescent="0.25">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ht="14.25" customHeight="1" spans="1:26" x14ac:dyDescent="0.25">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ht="14.25" customHeight="1" spans="1:26" x14ac:dyDescent="0.25">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ht="14.25" customHeight="1" spans="1:26" x14ac:dyDescent="0.25">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ht="14.25" customHeight="1" spans="1:26" x14ac:dyDescent="0.25">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ht="14.25" customHeight="1" spans="1:26" x14ac:dyDescent="0.25">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ht="14.25" customHeight="1" spans="1:26" x14ac:dyDescent="0.25">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ht="14.25" customHeight="1" spans="1:26" x14ac:dyDescent="0.25">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ht="14.25" customHeight="1" spans="1:26" x14ac:dyDescent="0.2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ht="14.25" customHeight="1" spans="1:26" x14ac:dyDescent="0.25">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ht="14.25" customHeight="1" spans="1:26" x14ac:dyDescent="0.25">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ht="14.25" customHeight="1" spans="1:26" x14ac:dyDescent="0.25">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ht="14.25" customHeight="1" spans="1:26" x14ac:dyDescent="0.25">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ht="14.25" customHeight="1" spans="1:26" x14ac:dyDescent="0.25">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ht="14.25" customHeight="1" spans="1:26" x14ac:dyDescent="0.25">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ht="14.25" customHeight="1" spans="1:26" x14ac:dyDescent="0.25">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ht="14.25" customHeight="1" spans="1:26" x14ac:dyDescent="0.25">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ht="14.25" customHeight="1" spans="1:26" x14ac:dyDescent="0.25">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ht="14.25" customHeight="1" spans="1:26" x14ac:dyDescent="0.2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ht="14.25" customHeight="1" spans="1:26" x14ac:dyDescent="0.25">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ht="14.25" customHeight="1" spans="1:26" x14ac:dyDescent="0.25">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ht="14.25" customHeight="1" spans="1:26" x14ac:dyDescent="0.25">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ht="14.25" customHeight="1" spans="1:26" x14ac:dyDescent="0.25">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ht="14.25" customHeight="1" spans="1:26" x14ac:dyDescent="0.25">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ht="14.25" customHeight="1" spans="1:26" x14ac:dyDescent="0.25">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ht="14.25" customHeight="1" spans="1:26" x14ac:dyDescent="0.25">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ht="14.25" customHeight="1" spans="1:26" x14ac:dyDescent="0.25">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ht="14.25" customHeight="1" spans="1:26" x14ac:dyDescent="0.25">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ht="14.25" customHeight="1" spans="1:26" x14ac:dyDescent="0.2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ht="14.25" customHeight="1" spans="1:26" x14ac:dyDescent="0.25">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ht="14.25" customHeight="1" spans="1:26" x14ac:dyDescent="0.25">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ht="14.25" customHeight="1" spans="1:26" x14ac:dyDescent="0.25">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ht="14.25" customHeight="1" spans="1:26" x14ac:dyDescent="0.25">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ht="14.25" customHeight="1" spans="1:26" x14ac:dyDescent="0.25">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ht="14.25" customHeight="1" spans="1:26" x14ac:dyDescent="0.25">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ht="14.25" customHeight="1" spans="1:26" x14ac:dyDescent="0.25">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ht="14.25" customHeight="1" spans="1:26" x14ac:dyDescent="0.25">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ht="14.25" customHeight="1" spans="1:26" x14ac:dyDescent="0.25">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ht="14.25" customHeight="1" spans="1:26" x14ac:dyDescent="0.2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ht="14.25" customHeight="1" spans="1:26" x14ac:dyDescent="0.25">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ht="14.25" customHeight="1" spans="1:26" x14ac:dyDescent="0.25">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ht="14.25" customHeight="1" spans="1:26" x14ac:dyDescent="0.25">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ht="14.25" customHeight="1" spans="1:26" x14ac:dyDescent="0.25">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ht="14.25" customHeight="1" spans="1:26" x14ac:dyDescent="0.25">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ht="14.25" customHeight="1" spans="1:26" x14ac:dyDescent="0.25">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ht="14.25" customHeight="1" spans="1:26" x14ac:dyDescent="0.25">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ht="14.25" customHeight="1" spans="1:26" x14ac:dyDescent="0.25">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ht="14.25" customHeight="1" spans="1:26" x14ac:dyDescent="0.25">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ht="14.25" customHeight="1" spans="1:26" x14ac:dyDescent="0.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ht="14.25" customHeight="1" spans="1:26" x14ac:dyDescent="0.25">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ht="14.25" customHeight="1" spans="1:26" x14ac:dyDescent="0.25">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ht="14.25" customHeight="1" spans="1:26" x14ac:dyDescent="0.25">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ht="14.25" customHeight="1" spans="1:26" x14ac:dyDescent="0.25">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ht="14.25" customHeight="1" spans="1:26" x14ac:dyDescent="0.25">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ht="14.25" customHeight="1" spans="1:26" x14ac:dyDescent="0.25">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ht="14.25" customHeight="1" spans="1:26" x14ac:dyDescent="0.25">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ht="14.25" customHeight="1" spans="1:26" x14ac:dyDescent="0.25">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ht="14.25" customHeight="1" spans="1:26" x14ac:dyDescent="0.25">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ht="14.25" customHeight="1" spans="1:26" x14ac:dyDescent="0.2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ht="14.25" customHeight="1" spans="1:26" x14ac:dyDescent="0.25">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ht="14.25" customHeight="1" spans="1:26" x14ac:dyDescent="0.25">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ht="14.25" customHeight="1" spans="1:26" x14ac:dyDescent="0.25">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ht="14.25" customHeight="1" spans="1:26" x14ac:dyDescent="0.25">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ht="14.25" customHeight="1" spans="1:26" x14ac:dyDescent="0.25">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ht="14.25" customHeight="1" spans="1:26" x14ac:dyDescent="0.25">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ht="14.25" customHeight="1" spans="1:26" x14ac:dyDescent="0.25">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ht="14.25" customHeight="1" spans="1:26" x14ac:dyDescent="0.25">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ht="14.25" customHeight="1" spans="1:26" x14ac:dyDescent="0.25">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ht="14.25" customHeight="1" spans="1:26" x14ac:dyDescent="0.2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ht="14.25" customHeight="1" spans="1:26" x14ac:dyDescent="0.25">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ht="14.25" customHeight="1" spans="1:26" x14ac:dyDescent="0.25">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ht="14.25" customHeight="1" spans="1:26" x14ac:dyDescent="0.25">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ht="14.25" customHeight="1" spans="1:26" x14ac:dyDescent="0.25">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ht="14.25" customHeight="1" spans="1:26" x14ac:dyDescent="0.25">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ht="14.25" customHeight="1" spans="1:26" x14ac:dyDescent="0.25">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ht="14.25" customHeight="1" spans="1:26" x14ac:dyDescent="0.25">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ht="14.25" customHeight="1" spans="1:26" x14ac:dyDescent="0.25">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ht="14.25" customHeight="1" spans="1:26" x14ac:dyDescent="0.25">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ht="14.25" customHeight="1" spans="1:26" x14ac:dyDescent="0.2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ht="14.25" customHeight="1" spans="1:26" x14ac:dyDescent="0.25">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ht="14.25" customHeight="1" spans="1:26" x14ac:dyDescent="0.25">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ht="14.25" customHeight="1" spans="1:26" x14ac:dyDescent="0.25">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ht="14.25" customHeight="1" spans="1:26" x14ac:dyDescent="0.25">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ht="14.25" customHeight="1" spans="1:26" x14ac:dyDescent="0.25">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ht="14.25" customHeight="1" spans="1:26" x14ac:dyDescent="0.25">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ht="14.25" customHeight="1" spans="1:26" x14ac:dyDescent="0.25">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ht="14.25" customHeight="1" spans="1:26" x14ac:dyDescent="0.25">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ht="14.25" customHeight="1" spans="1:26" x14ac:dyDescent="0.25">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ht="14.25" customHeight="1" spans="1:26" x14ac:dyDescent="0.2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ht="14.25" customHeight="1" spans="1:26" x14ac:dyDescent="0.25">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ht="14.25" customHeight="1" spans="1:26" x14ac:dyDescent="0.25">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ht="14.25" customHeight="1" spans="1:26" x14ac:dyDescent="0.25">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ht="14.25" customHeight="1" spans="1:26" x14ac:dyDescent="0.25">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ht="14.25" customHeight="1" spans="1:26" x14ac:dyDescent="0.25">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ht="14.25" customHeight="1" spans="1:26" x14ac:dyDescent="0.25">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ht="14.25" customHeight="1" spans="1:26" x14ac:dyDescent="0.25">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ht="14.25" customHeight="1" spans="1:26" x14ac:dyDescent="0.25">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ht="14.25" customHeight="1" spans="1:26" x14ac:dyDescent="0.25">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ht="14.25" customHeight="1" spans="1:26" x14ac:dyDescent="0.2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ht="14.25" customHeight="1" spans="1:26" x14ac:dyDescent="0.25">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ht="14.25" customHeight="1" spans="1:26" x14ac:dyDescent="0.25">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ht="14.25" customHeight="1" spans="1:26" x14ac:dyDescent="0.25">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ht="14.25" customHeight="1" spans="1:26" x14ac:dyDescent="0.25">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ht="14.25" customHeight="1" spans="1:26" x14ac:dyDescent="0.25">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ht="14.25" customHeight="1" spans="1:26" x14ac:dyDescent="0.25">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ht="14.25" customHeight="1" spans="1:26" x14ac:dyDescent="0.25">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ht="14.25" customHeight="1" spans="1:26" x14ac:dyDescent="0.25">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ht="14.25" customHeight="1" spans="1:26" x14ac:dyDescent="0.25">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ht="14.25" customHeight="1" spans="1:26" x14ac:dyDescent="0.2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ht="14.25" customHeight="1" spans="1:26" x14ac:dyDescent="0.25">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ht="14.25" customHeight="1" spans="1:26" x14ac:dyDescent="0.25">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ht="14.25" customHeight="1" spans="1:26" x14ac:dyDescent="0.25">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ht="14.25" customHeight="1" spans="1:26" x14ac:dyDescent="0.25">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ht="14.25" customHeight="1" spans="1:26" x14ac:dyDescent="0.25">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ht="14.25" customHeight="1" spans="1:26" x14ac:dyDescent="0.25">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ht="14.25" customHeight="1" spans="1:26" x14ac:dyDescent="0.25">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ht="14.25" customHeight="1" spans="1:26" x14ac:dyDescent="0.25">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ht="14.25" customHeight="1" spans="1:26" x14ac:dyDescent="0.25">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ht="14.25" customHeight="1" spans="1:26" x14ac:dyDescent="0.2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ht="14.25" customHeight="1" spans="1:26" x14ac:dyDescent="0.25">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ht="14.25" customHeight="1" spans="1:26" x14ac:dyDescent="0.25">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ht="14.25" customHeight="1" spans="1:26" x14ac:dyDescent="0.25">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ht="14.25" customHeight="1" spans="1:26" x14ac:dyDescent="0.25">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ht="14.25" customHeight="1" spans="1:26" x14ac:dyDescent="0.25">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ht="14.25" customHeight="1" spans="1:26" x14ac:dyDescent="0.25">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ht="14.25" customHeight="1" spans="1:26" x14ac:dyDescent="0.25">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ht="14.25" customHeight="1" spans="1:26" x14ac:dyDescent="0.25">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ht="14.25" customHeight="1" spans="1:26" x14ac:dyDescent="0.25">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ht="14.25" customHeight="1" spans="1:26" x14ac:dyDescent="0.2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ht="14.25" customHeight="1" spans="1:26" x14ac:dyDescent="0.25">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ht="14.25" customHeight="1" spans="1:26" x14ac:dyDescent="0.25">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ht="14.25" customHeight="1" spans="1:26" x14ac:dyDescent="0.25">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ht="14.25" customHeight="1" spans="1:26" x14ac:dyDescent="0.25">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ht="14.25" customHeight="1" spans="1:26" x14ac:dyDescent="0.25">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ht="14.25" customHeight="1" spans="1:26" x14ac:dyDescent="0.25">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ht="14.25" customHeight="1" spans="1:26" x14ac:dyDescent="0.25">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ht="14.25" customHeight="1" spans="1:26" x14ac:dyDescent="0.25">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ht="14.25" customHeight="1" spans="1:26" x14ac:dyDescent="0.25">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ht="14.25" customHeight="1" spans="1:26" x14ac:dyDescent="0.2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ht="14.25" customHeight="1" spans="1:26" x14ac:dyDescent="0.25">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ht="14.25" customHeight="1" spans="1:26" x14ac:dyDescent="0.25">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ht="14.25" customHeight="1" spans="1:26" x14ac:dyDescent="0.25">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ht="14.25" customHeight="1" spans="1:26" x14ac:dyDescent="0.25">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ht="14.25" customHeight="1" spans="1:26" x14ac:dyDescent="0.25">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ht="14.25" customHeight="1" spans="1:26" x14ac:dyDescent="0.25">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ht="14.25" customHeight="1" spans="1:26" x14ac:dyDescent="0.25">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ht="14.25" customHeight="1" spans="1:26" x14ac:dyDescent="0.25">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ht="14.25" customHeight="1" spans="1:26" x14ac:dyDescent="0.25">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ht="14.25" customHeight="1" spans="1:26" x14ac:dyDescent="0.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ht="14.25" customHeight="1" spans="1:26" x14ac:dyDescent="0.25">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ht="14.25" customHeight="1" spans="1:26" x14ac:dyDescent="0.25">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ht="14.25" customHeight="1" spans="1:26" x14ac:dyDescent="0.25">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ht="14.25" customHeight="1" spans="1:26" x14ac:dyDescent="0.25">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ht="14.25" customHeight="1" spans="1:26" x14ac:dyDescent="0.25">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ht="14.25" customHeight="1" spans="1:26" x14ac:dyDescent="0.25">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ht="14.25" customHeight="1" spans="1:26" x14ac:dyDescent="0.25">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ht="14.25" customHeight="1" spans="1:26" x14ac:dyDescent="0.25">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ht="14.25" customHeight="1" spans="1:26" x14ac:dyDescent="0.25">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ht="14.25" customHeight="1" spans="1:26" x14ac:dyDescent="0.2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ht="14.25" customHeight="1" spans="1:26" x14ac:dyDescent="0.25">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ht="14.25" customHeight="1" spans="1:26" x14ac:dyDescent="0.25">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ht="14.25" customHeight="1" spans="1:26" x14ac:dyDescent="0.25">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ht="14.25" customHeight="1" spans="1:26" x14ac:dyDescent="0.25">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ht="14.25" customHeight="1" spans="1:26" x14ac:dyDescent="0.25">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ht="14.25" customHeight="1" spans="1:26" x14ac:dyDescent="0.25">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ht="14.25" customHeight="1" spans="1:26" x14ac:dyDescent="0.25">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ht="14.25" customHeight="1" spans="1:26" x14ac:dyDescent="0.25">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ht="14.25" customHeight="1" spans="1:26" x14ac:dyDescent="0.25">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ht="14.25" customHeight="1" spans="1:26" x14ac:dyDescent="0.2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ht="14.25" customHeight="1" spans="1:26" x14ac:dyDescent="0.25">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ht="14.25" customHeight="1" spans="1:26" x14ac:dyDescent="0.25">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ht="14.25" customHeight="1" spans="1:26" x14ac:dyDescent="0.25">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ht="14.25" customHeight="1" spans="1:26" x14ac:dyDescent="0.25">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ht="14.25" customHeight="1" spans="1:26" x14ac:dyDescent="0.25">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ht="14.25" customHeight="1" spans="1:26" x14ac:dyDescent="0.25">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ht="14.25" customHeight="1" spans="1:26" x14ac:dyDescent="0.25">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ht="14.25" customHeight="1" spans="1:26" x14ac:dyDescent="0.25">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ht="14.25" customHeight="1" spans="1:26" x14ac:dyDescent="0.25">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ht="14.25" customHeight="1" spans="1:26" x14ac:dyDescent="0.2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ht="14.25" customHeight="1" spans="1:26" x14ac:dyDescent="0.25">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ht="14.25" customHeight="1" spans="1:26" x14ac:dyDescent="0.25">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ht="14.25" customHeight="1" spans="1:26" x14ac:dyDescent="0.25">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ht="14.25" customHeight="1" spans="1:26" x14ac:dyDescent="0.25">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ht="14.25" customHeight="1" spans="1:26" x14ac:dyDescent="0.25">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ht="14.25" customHeight="1" spans="1:26" x14ac:dyDescent="0.25">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ht="14.25" customHeight="1" spans="1:26" x14ac:dyDescent="0.25">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ht="14.25" customHeight="1" spans="1:26" x14ac:dyDescent="0.25">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ht="14.25" customHeight="1" spans="1:26" x14ac:dyDescent="0.25">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ht="14.25" customHeight="1" spans="1:26" x14ac:dyDescent="0.2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ht="14.25" customHeight="1" spans="1:26" x14ac:dyDescent="0.25">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ht="14.25" customHeight="1" spans="1:26" x14ac:dyDescent="0.25">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ht="14.25" customHeight="1" spans="1:26" x14ac:dyDescent="0.25">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ht="14.25" customHeight="1" spans="1:26" x14ac:dyDescent="0.25">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ht="14.25" customHeight="1" spans="1:26" x14ac:dyDescent="0.25">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ht="14.25" customHeight="1" spans="1:26" x14ac:dyDescent="0.25">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ht="14.25" customHeight="1" spans="1:26" x14ac:dyDescent="0.25">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ht="14.25" customHeight="1" spans="1:26" x14ac:dyDescent="0.25">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ht="14.25" customHeight="1" spans="1:26" x14ac:dyDescent="0.25">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ht="14.25" customHeight="1" spans="1:26" x14ac:dyDescent="0.2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ht="14.25" customHeight="1" spans="1:26" x14ac:dyDescent="0.25">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ht="14.25" customHeight="1" spans="1:26" x14ac:dyDescent="0.25">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ht="14.25" customHeight="1" spans="1:26" x14ac:dyDescent="0.25">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ht="14.25" customHeight="1" spans="1:26" x14ac:dyDescent="0.25">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ht="14.25" customHeight="1" spans="1:26" x14ac:dyDescent="0.25">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ht="14.25" customHeight="1" spans="1:26" x14ac:dyDescent="0.25">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ht="14.25" customHeight="1" spans="1:26" x14ac:dyDescent="0.25">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ht="14.25" customHeight="1" spans="1:26" x14ac:dyDescent="0.25">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ht="14.25" customHeight="1" spans="1:26" x14ac:dyDescent="0.25">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ht="14.25" customHeight="1" spans="1:26" x14ac:dyDescent="0.2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ht="14.25" customHeight="1" spans="1:26" x14ac:dyDescent="0.25">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ht="14.25" customHeight="1" spans="1:26" x14ac:dyDescent="0.25">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ht="14.25" customHeight="1" spans="1:26" x14ac:dyDescent="0.25">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ht="14.25" customHeight="1" spans="1:26" x14ac:dyDescent="0.25">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ht="14.25" customHeight="1" spans="1:26" x14ac:dyDescent="0.25">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ht="14.25" customHeight="1" spans="1:26" x14ac:dyDescent="0.25">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ht="14.25" customHeight="1" spans="1:26" x14ac:dyDescent="0.25">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ht="14.25" customHeight="1" spans="1:26" x14ac:dyDescent="0.25">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ht="14.25" customHeight="1" spans="1:26" x14ac:dyDescent="0.25">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ht="14.25" customHeight="1" spans="1:26" x14ac:dyDescent="0.2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ht="14.25" customHeight="1" spans="1:26" x14ac:dyDescent="0.25">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ht="14.25" customHeight="1" spans="1:26" x14ac:dyDescent="0.25">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ht="14.25" customHeight="1" spans="1:26" x14ac:dyDescent="0.25">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ht="14.25" customHeight="1" spans="1:26" x14ac:dyDescent="0.25">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ht="14.25" customHeight="1" spans="1:26" x14ac:dyDescent="0.25">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ht="14.25" customHeight="1" spans="1:26" x14ac:dyDescent="0.25">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ht="14.25" customHeight="1" spans="1:26" x14ac:dyDescent="0.25">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ht="14.25" customHeight="1" spans="1:26" x14ac:dyDescent="0.25">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ht="14.25" customHeight="1" spans="1:26" x14ac:dyDescent="0.25">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ht="14.25" customHeight="1" spans="1:26" x14ac:dyDescent="0.2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ht="14.25" customHeight="1" spans="1:26" x14ac:dyDescent="0.25">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ht="14.25" customHeight="1" spans="1:26" x14ac:dyDescent="0.25">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ht="14.25" customHeight="1" spans="1:26" x14ac:dyDescent="0.25">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ht="14.25" customHeight="1" spans="1:26" x14ac:dyDescent="0.25">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ht="14.25" customHeight="1" spans="1:26" x14ac:dyDescent="0.25">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ht="14.25" customHeight="1" spans="1:26" x14ac:dyDescent="0.25">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ht="14.25" customHeight="1" spans="1:26" x14ac:dyDescent="0.25">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ht="14.25" customHeight="1" spans="1:26" x14ac:dyDescent="0.25">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ht="14.25" customHeight="1" spans="1:26" x14ac:dyDescent="0.25">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ht="14.25" customHeight="1" spans="1:26" x14ac:dyDescent="0.2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ht="14.25" customHeight="1" spans="1:26" x14ac:dyDescent="0.25">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ht="14.25" customHeight="1" spans="1:26" x14ac:dyDescent="0.25">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ht="14.25" customHeight="1" spans="1:26" x14ac:dyDescent="0.25">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ht="14.25" customHeight="1" spans="1:26" x14ac:dyDescent="0.25">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ht="14.25" customHeight="1" spans="1:26" x14ac:dyDescent="0.25">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ht="14.25" customHeight="1" spans="1:26" x14ac:dyDescent="0.25">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ht="14.25" customHeight="1" spans="1:26" x14ac:dyDescent="0.25">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ht="14.25" customHeight="1" spans="1:26" x14ac:dyDescent="0.25">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ht="14.25" customHeight="1" spans="1:26" x14ac:dyDescent="0.25">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ht="14.25" customHeight="1" spans="1:26" x14ac:dyDescent="0.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ht="14.25" customHeight="1" spans="1:26" x14ac:dyDescent="0.25">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ht="14.25" customHeight="1" spans="1:26" x14ac:dyDescent="0.25">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ht="14.25" customHeight="1" spans="1:26" x14ac:dyDescent="0.25">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ht="14.25" customHeight="1" spans="1:26" x14ac:dyDescent="0.25">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ht="14.25" customHeight="1" spans="1:26" x14ac:dyDescent="0.25">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ht="14.25" customHeight="1" spans="1:26" x14ac:dyDescent="0.25">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ht="14.25" customHeight="1" spans="1:26" x14ac:dyDescent="0.25">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ht="14.25" customHeight="1" spans="1:26" x14ac:dyDescent="0.25">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ht="14.25" customHeight="1" spans="1:26" x14ac:dyDescent="0.25">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ht="14.25" customHeight="1" spans="1:26" x14ac:dyDescent="0.2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ht="14.25" customHeight="1" spans="1:26" x14ac:dyDescent="0.25">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ht="14.25" customHeight="1" spans="1:26" x14ac:dyDescent="0.25">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ht="14.25" customHeight="1" spans="1:26" x14ac:dyDescent="0.25">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ht="14.25" customHeight="1" spans="1:26" x14ac:dyDescent="0.25">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ht="14.25" customHeight="1" spans="1:26" x14ac:dyDescent="0.25">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ht="14.25" customHeight="1" spans="1:26" x14ac:dyDescent="0.25">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ht="14.25" customHeight="1" spans="1:26" x14ac:dyDescent="0.25">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ht="14.25" customHeight="1" spans="1:26" x14ac:dyDescent="0.25">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ht="14.25" customHeight="1" spans="1:26" x14ac:dyDescent="0.25">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ht="14.25" customHeight="1" spans="1:26" x14ac:dyDescent="0.2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ht="14.25" customHeight="1" spans="1:26" x14ac:dyDescent="0.25">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ht="14.25" customHeight="1" spans="1:26" x14ac:dyDescent="0.25">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ht="14.25" customHeight="1" spans="1:26" x14ac:dyDescent="0.25">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ht="14.25" customHeight="1" spans="1:26" x14ac:dyDescent="0.25">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ht="14.25" customHeight="1" spans="1:26" x14ac:dyDescent="0.25">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ht="14.25" customHeight="1" spans="1:26" x14ac:dyDescent="0.25">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ht="14.25" customHeight="1" spans="1:26" x14ac:dyDescent="0.25">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ht="14.25" customHeight="1" spans="1:26" x14ac:dyDescent="0.25">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ht="14.25" customHeight="1" spans="1:26" x14ac:dyDescent="0.25">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ht="14.25" customHeight="1" spans="1:26" x14ac:dyDescent="0.2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ht="14.25" customHeight="1" spans="1:26" x14ac:dyDescent="0.25">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ht="14.25" customHeight="1" spans="1:26" x14ac:dyDescent="0.25">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ht="14.25" customHeight="1" spans="1:26" x14ac:dyDescent="0.25">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ht="14.25" customHeight="1" spans="1:26" x14ac:dyDescent="0.25">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ht="14.25" customHeight="1" spans="1:26" x14ac:dyDescent="0.25">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ht="14.25" customHeight="1" spans="1:26" x14ac:dyDescent="0.25">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ht="14.25" customHeight="1" spans="1:26" x14ac:dyDescent="0.25">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ht="14.25" customHeight="1" spans="1:26" x14ac:dyDescent="0.25">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ht="14.25" customHeight="1" spans="1:26" x14ac:dyDescent="0.25">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ht="14.25" customHeight="1" spans="1:26" x14ac:dyDescent="0.2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ht="14.25" customHeight="1" spans="1:26" x14ac:dyDescent="0.25">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ht="14.25" customHeight="1" spans="1:26" x14ac:dyDescent="0.25">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ht="14.25" customHeight="1" spans="1:26" x14ac:dyDescent="0.25">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ht="14.25" customHeight="1" spans="1:26" x14ac:dyDescent="0.25">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ht="14.25" customHeight="1" spans="1:26" x14ac:dyDescent="0.25">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ht="14.25" customHeight="1" spans="1:26" x14ac:dyDescent="0.25">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ht="14.25" customHeight="1" spans="1:26" x14ac:dyDescent="0.25">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ht="14.25" customHeight="1" spans="1:26" x14ac:dyDescent="0.25">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ht="14.25" customHeight="1" spans="1:26" x14ac:dyDescent="0.25">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ht="14.25" customHeight="1" spans="1:26" x14ac:dyDescent="0.2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ht="14.25" customHeight="1" spans="1:26" x14ac:dyDescent="0.25">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ht="14.25" customHeight="1" spans="1:26" x14ac:dyDescent="0.25">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ht="14.25" customHeight="1" spans="1:26" x14ac:dyDescent="0.25">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ht="14.25" customHeight="1" spans="1:26" x14ac:dyDescent="0.25">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ht="14.25" customHeight="1" spans="1:26" x14ac:dyDescent="0.25">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ht="14.25" customHeight="1" spans="1:26" x14ac:dyDescent="0.25">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ht="14.25" customHeight="1" spans="1:26" x14ac:dyDescent="0.25">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ht="14.25" customHeight="1" spans="1:26" x14ac:dyDescent="0.25">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ht="14.25" customHeight="1" spans="1:26" x14ac:dyDescent="0.25">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ht="14.25" customHeight="1" spans="1:26" x14ac:dyDescent="0.2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ht="14.25" customHeight="1" spans="1:26" x14ac:dyDescent="0.25">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ht="14.25" customHeight="1" spans="1:26" x14ac:dyDescent="0.25">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ht="14.25" customHeight="1" spans="1:26" x14ac:dyDescent="0.25">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ht="14.25" customHeight="1" spans="1:26" x14ac:dyDescent="0.25">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ht="14.25" customHeight="1" spans="1:26" x14ac:dyDescent="0.25">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ht="14.25" customHeight="1" spans="1:26" x14ac:dyDescent="0.25">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ht="14.25" customHeight="1" spans="1:26" x14ac:dyDescent="0.25">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ht="14.25" customHeight="1" spans="1:26" x14ac:dyDescent="0.25">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ht="14.25" customHeight="1" spans="1:26" x14ac:dyDescent="0.25">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ht="14.25" customHeight="1" spans="1:26" x14ac:dyDescent="0.2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ht="14.25" customHeight="1" spans="1:26" x14ac:dyDescent="0.25">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ht="14.25" customHeight="1" spans="1:26" x14ac:dyDescent="0.25">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ht="14.25" customHeight="1" spans="1:26" x14ac:dyDescent="0.25">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ht="14.25" customHeight="1" spans="1:26" x14ac:dyDescent="0.25">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ht="14.25" customHeight="1" spans="1:26" x14ac:dyDescent="0.25">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ht="14.25" customHeight="1" spans="1:26" x14ac:dyDescent="0.25">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ht="14.25" customHeight="1" spans="1:26" x14ac:dyDescent="0.25">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ht="14.25" customHeight="1" spans="1:26" x14ac:dyDescent="0.25">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ht="14.25" customHeight="1" spans="1:26" x14ac:dyDescent="0.25">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ht="14.25" customHeight="1" spans="1:26" x14ac:dyDescent="0.2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ht="14.25" customHeight="1" spans="1:26" x14ac:dyDescent="0.25">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ht="14.25" customHeight="1" spans="1:26" x14ac:dyDescent="0.25">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ht="14.25" customHeight="1" spans="1:26" x14ac:dyDescent="0.25">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ht="14.25" customHeight="1" spans="1:26" x14ac:dyDescent="0.25">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ht="14.25" customHeight="1" spans="1:26" x14ac:dyDescent="0.25">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ht="14.25" customHeight="1" spans="1:26" x14ac:dyDescent="0.25">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ht="14.25" customHeight="1" spans="1:26" x14ac:dyDescent="0.25">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ht="14.25" customHeight="1" spans="1:26" x14ac:dyDescent="0.25">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ht="14.25" customHeight="1" spans="1:26" x14ac:dyDescent="0.25">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ht="14.25" customHeight="1" spans="1:26" x14ac:dyDescent="0.2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ht="14.25" customHeight="1" spans="1:26" x14ac:dyDescent="0.25">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ht="14.25" customHeight="1" spans="1:26" x14ac:dyDescent="0.25">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ht="14.25" customHeight="1" spans="1:26" x14ac:dyDescent="0.25">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ht="14.25" customHeight="1" spans="1:26" x14ac:dyDescent="0.25">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ht="14.25" customHeight="1" spans="1:26" x14ac:dyDescent="0.25">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ht="14.25" customHeight="1" spans="1:26" x14ac:dyDescent="0.25">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ht="14.25" customHeight="1" spans="1:26" x14ac:dyDescent="0.25">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ht="14.25" customHeight="1" spans="1:26" x14ac:dyDescent="0.25">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ht="14.25" customHeight="1" spans="1:26" x14ac:dyDescent="0.25">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ht="14.25" customHeight="1" spans="1:26" x14ac:dyDescent="0.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ht="14.25" customHeight="1" spans="1:26" x14ac:dyDescent="0.25">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ht="14.25" customHeight="1" spans="1:26" x14ac:dyDescent="0.25">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ht="14.25" customHeight="1" spans="1:26" x14ac:dyDescent="0.25">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ht="14.25" customHeight="1" spans="1:26" x14ac:dyDescent="0.25">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ht="14.25" customHeight="1" spans="1:26" x14ac:dyDescent="0.25">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ht="14.25" customHeight="1" spans="1:26" x14ac:dyDescent="0.25">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ht="14.25" customHeight="1" spans="1:26" x14ac:dyDescent="0.25">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ht="14.25" customHeight="1" spans="1:26" x14ac:dyDescent="0.25">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ht="14.25" customHeight="1" spans="1:26" x14ac:dyDescent="0.25">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ht="14.25" customHeight="1" spans="1:26" x14ac:dyDescent="0.2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ht="14.25" customHeight="1" spans="1:26" x14ac:dyDescent="0.25">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ht="14.25" customHeight="1" spans="1:26" x14ac:dyDescent="0.25">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ht="14.25" customHeight="1" spans="1:26" x14ac:dyDescent="0.25">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ht="14.25" customHeight="1" spans="1:26" x14ac:dyDescent="0.25">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ht="14.25" customHeight="1" spans="1:26" x14ac:dyDescent="0.25">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ht="14.25" customHeight="1" spans="1:26" x14ac:dyDescent="0.25">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ht="14.25" customHeight="1" spans="1:26" x14ac:dyDescent="0.25">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ht="14.25" customHeight="1" spans="1:26" x14ac:dyDescent="0.25">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ht="14.25" customHeight="1" spans="1:26" x14ac:dyDescent="0.25">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ht="14.25" customHeight="1" spans="1:26" x14ac:dyDescent="0.2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ht="14.25" customHeight="1" spans="1:26" x14ac:dyDescent="0.25">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ht="14.25" customHeight="1" spans="1:26" x14ac:dyDescent="0.25">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ht="14.25" customHeight="1" spans="1:26" x14ac:dyDescent="0.25">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ht="14.25" customHeight="1" spans="1:26" x14ac:dyDescent="0.25">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ht="14.25" customHeight="1" spans="1:26" x14ac:dyDescent="0.25">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ht="14.25" customHeight="1" spans="1:26" x14ac:dyDescent="0.25">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ht="14.25" customHeight="1" spans="1:26" x14ac:dyDescent="0.25">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ht="14.25" customHeight="1" spans="1:26" x14ac:dyDescent="0.25">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ht="14.25" customHeight="1" spans="1:26" x14ac:dyDescent="0.25">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ht="14.25" customHeight="1" spans="1:26" x14ac:dyDescent="0.2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ht="14.25" customHeight="1" spans="1:26" x14ac:dyDescent="0.25">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ht="14.25" customHeight="1" spans="1:26" x14ac:dyDescent="0.25">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ht="14.25" customHeight="1" spans="1:26" x14ac:dyDescent="0.25">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ht="14.25" customHeight="1" spans="1:26" x14ac:dyDescent="0.25">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ht="14.25" customHeight="1" spans="1:26" x14ac:dyDescent="0.25">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ht="14.25" customHeight="1" spans="1:26" x14ac:dyDescent="0.25">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ht="14.25" customHeight="1" spans="1:26" x14ac:dyDescent="0.25">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ht="14.25" customHeight="1" spans="1:26" x14ac:dyDescent="0.25">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ht="14.25" customHeight="1" spans="1:26" x14ac:dyDescent="0.25">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ht="14.25" customHeight="1" spans="1:26" x14ac:dyDescent="0.2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ht="14.25" customHeight="1" spans="1:26" x14ac:dyDescent="0.25">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ht="14.25" customHeight="1" spans="1:26" x14ac:dyDescent="0.25">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ht="14.25" customHeight="1" spans="1:26" x14ac:dyDescent="0.25">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ht="14.25" customHeight="1" spans="1:26" x14ac:dyDescent="0.25">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ht="14.25" customHeight="1" spans="1:26" x14ac:dyDescent="0.25">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ht="14.25" customHeight="1" spans="1:26" x14ac:dyDescent="0.25">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ht="14.25" customHeight="1" spans="1:26" x14ac:dyDescent="0.25">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ht="14.25" customHeight="1" spans="1:26" x14ac:dyDescent="0.25">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ht="14.25" customHeight="1" spans="1:26" x14ac:dyDescent="0.25">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ht="14.25" customHeight="1" spans="1:26" x14ac:dyDescent="0.2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ht="14.25" customHeight="1" spans="1:26" x14ac:dyDescent="0.25">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ht="14.25" customHeight="1" spans="1:26" x14ac:dyDescent="0.25">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ht="14.25" customHeight="1" spans="1:26" x14ac:dyDescent="0.25">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ht="14.25" customHeight="1" spans="1:26" x14ac:dyDescent="0.25">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ht="14.25" customHeight="1" spans="1:26" x14ac:dyDescent="0.25">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ht="14.25" customHeight="1" spans="1:26" x14ac:dyDescent="0.25">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ht="14.25" customHeight="1" spans="1:26" x14ac:dyDescent="0.25">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ht="14.25" customHeight="1" spans="1:26" x14ac:dyDescent="0.25">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ht="14.25" customHeight="1" spans="1:26" x14ac:dyDescent="0.25">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ht="14.25" customHeight="1" spans="1:26" x14ac:dyDescent="0.2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ht="14.25" customHeight="1" spans="1:26" x14ac:dyDescent="0.25">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ht="14.25" customHeight="1" spans="1:26" x14ac:dyDescent="0.25">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ht="14.25" customHeight="1" spans="1:26" x14ac:dyDescent="0.25">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ht="14.25" customHeight="1" spans="1:26" x14ac:dyDescent="0.25">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ht="14.25" customHeight="1" spans="1:26" x14ac:dyDescent="0.25">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ht="14.25" customHeight="1" spans="1:26" x14ac:dyDescent="0.25">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ht="14.25" customHeight="1" spans="1:26" x14ac:dyDescent="0.25">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ht="14.25" customHeight="1" spans="1:26" x14ac:dyDescent="0.25">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ht="14.25" customHeight="1" spans="1:26" x14ac:dyDescent="0.25">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ht="14.25" customHeight="1" spans="1:26" x14ac:dyDescent="0.2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ht="14.25" customHeight="1" spans="1:26" x14ac:dyDescent="0.25">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ht="14.25" customHeight="1" spans="1:26" x14ac:dyDescent="0.25">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ht="14.25" customHeight="1" spans="1:26" x14ac:dyDescent="0.25">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ht="14.25" customHeight="1" spans="1:26" x14ac:dyDescent="0.25">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ht="14.25" customHeight="1" spans="1:26" x14ac:dyDescent="0.25">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conditionalFormatting sqref="H12:H21">
    <cfRule type="expression" dxfId="130" priority="1">
      <formula>$H$8="Report"</formula>
    </cfRule>
  </conditionalFormatting>
  <conditionalFormatting sqref="H26:L37">
    <cfRule type="expression" dxfId="131" priority="2">
      <formula>$H$8="Report"</formula>
    </cfRule>
  </conditionalFormatting>
  <conditionalFormatting sqref="H42:L44">
    <cfRule type="expression" dxfId="132" priority="3">
      <formula>$H$8="Report"</formula>
    </cfRule>
  </conditionalFormatting>
  <conditionalFormatting sqref="I13 K13:L13 J16 J18">
    <cfRule type="expression" dxfId="133" priority="4">
      <formula>$H$8="Report"</formula>
    </cfRule>
  </conditionalFormatting>
  <conditionalFormatting sqref="I15:I19">
    <cfRule type="expression" dxfId="134" priority="5">
      <formula>$H$8="Report"</formula>
    </cfRule>
  </conditionalFormatting>
  <conditionalFormatting sqref="I12:L15">
    <cfRule type="expression" dxfId="135" priority="6">
      <formula>$H$8="Report"</formula>
    </cfRule>
  </conditionalFormatting>
  <conditionalFormatting sqref="I17:L17">
    <cfRule type="expression" dxfId="136" priority="7">
      <formula>$H$8="Report"</formula>
    </cfRule>
  </conditionalFormatting>
  <conditionalFormatting sqref="I19:L21">
    <cfRule type="expression" dxfId="137" priority="8">
      <formula>$H$8="Report"</formula>
    </cfRule>
  </conditionalFormatting>
  <conditionalFormatting sqref="K15:L19">
    <cfRule type="expression" dxfId="138" priority="9">
      <formula>$H$8="Report"</formula>
    </cfRule>
  </conditionalFormatting>
  <conditionalFormatting sqref="K43:L44">
    <cfRule type="expression" dxfId="139" priority="10">
      <formula>$H$8="Report"</formula>
    </cfRule>
  </conditionalFormatting>
  <conditionalFormatting sqref="M12:P21">
    <cfRule type="cellIs" dxfId="140" priority="11" operator="lessThan">
      <formula>0</formula>
    </cfRule>
    <cfRule type="cellIs" dxfId="141" priority="12" operator="greaterThan">
      <formula>0</formula>
    </cfRule>
  </conditionalFormatting>
  <conditionalFormatting sqref="M26:P37">
    <cfRule type="cellIs" dxfId="142" priority="13" operator="lessThan">
      <formula>0</formula>
    </cfRule>
    <cfRule type="cellIs" dxfId="143" priority="14" operator="greaterThan">
      <formula>0</formula>
    </cfRule>
  </conditionalFormatting>
  <conditionalFormatting sqref="M42:P44">
    <cfRule type="cellIs" dxfId="144" priority="15" operator="lessThan">
      <formula>0</formula>
    </cfRule>
    <cfRule type="cellIs" dxfId="145" priority="16" operator="greaterThan">
      <formula>0</formula>
    </cfRule>
  </conditionalFormatting>
  <dataValidations count="2">
    <dataValidation type="list" allowBlank="1" showErrorMessage="1" sqref="H4">
      <formula1>"1Q,2Q,3Q,4Q"</formula1>
    </dataValidation>
    <dataValidation type="list" allowBlank="1" showErrorMessage="1" sqref="H8">
      <formula1>"Working,Report"</formula1>
    </dataValidation>
  </dataValidations>
  <pageMargins left="0.7" right="0.7" top="0.75" bottom="0.75" header="0" footer="0"/>
  <pageSetup orientation="portrait" horizontalDpi="4294967295" verticalDpi="4294967295" scale="100" fitToWidth="1" fitToHeight="1" firstPageNumber="1" useFirstPageNumber="1" copies="1"/>
  <legacy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X859"/>
  <sheetViews>
    <sheetView workbookViewId="0">
      <pane ySplit="1" topLeftCell="A2" activePane="bottomLeft" state="frozen"/>
      <selection pane="bottomLeft"/>
    </sheetView>
  </sheetViews>
  <sheetFormatPr defaultRowHeight="15" outlineLevelRow="0" outlineLevelCol="0" x14ac:dyDescent="55"/>
  <cols>
    <col min="1" max="1" width="24" customWidth="1"/>
    <col min="2" max="2" width="12" customWidth="1"/>
    <col min="3" max="3" width="36" customWidth="1"/>
    <col min="4" max="4" width="28" customWidth="1"/>
    <col min="5" max="5" width="12" customWidth="1"/>
    <col min="6" max="7" width="16" customWidth="1"/>
    <col min="8" max="8" width="60" customWidth="1"/>
    <col min="9" max="9" width="44" customWidth="1"/>
    <col min="10" max="12" width="24" customWidth="1"/>
    <col min="13" max="17" width="14" customWidth="1"/>
    <col min="18" max="18" width="18" customWidth="1"/>
    <col min="19" max="19" width="22" customWidth="1"/>
    <col min="20" max="21" width="28" customWidth="1"/>
    <col min="22" max="22" width="12" customWidth="1"/>
    <col min="23" max="23" width="18" customWidth="1"/>
    <col min="24" max="24" width="60" customWidth="1"/>
  </cols>
  <sheetData>
    <row r="1" spans="1:24" s="918" customFormat="1" x14ac:dyDescent="0.25">
      <c r="A1" s="918" t="s">
        <v>973</v>
      </c>
      <c r="B1" s="918" t="s">
        <v>974</v>
      </c>
      <c r="C1" s="918" t="s">
        <v>975</v>
      </c>
      <c r="D1" s="918" t="s">
        <v>976</v>
      </c>
      <c r="E1" s="918" t="s">
        <v>977</v>
      </c>
      <c r="F1" s="918" t="s">
        <v>978</v>
      </c>
      <c r="G1" s="918" t="s">
        <v>979</v>
      </c>
      <c r="H1" s="918" t="s">
        <v>980</v>
      </c>
      <c r="I1" s="918" t="s">
        <v>981</v>
      </c>
      <c r="J1" s="918" t="s">
        <v>982</v>
      </c>
      <c r="K1" s="918" t="s">
        <v>983</v>
      </c>
      <c r="L1" s="918" t="s">
        <v>984</v>
      </c>
      <c r="M1" s="918" t="s">
        <v>985</v>
      </c>
      <c r="N1" s="918" t="s">
        <v>986</v>
      </c>
      <c r="O1" s="918" t="s">
        <v>987</v>
      </c>
      <c r="P1" s="918" t="s">
        <v>988</v>
      </c>
      <c r="Q1" s="918" t="s">
        <v>989</v>
      </c>
      <c r="R1" s="918" t="s">
        <v>990</v>
      </c>
      <c r="S1" s="918" t="s">
        <v>991</v>
      </c>
      <c r="T1" s="918" t="s">
        <v>992</v>
      </c>
      <c r="U1" s="918" t="s">
        <v>993</v>
      </c>
      <c r="V1" s="918" t="s">
        <v>994</v>
      </c>
      <c r="W1" s="918" t="s">
        <v>995</v>
      </c>
      <c r="X1" s="918" t="s">
        <v>996</v>
      </c>
    </row>
    <row r="2" spans="1:24" x14ac:dyDescent="0.25">
      <c r="A2" t="s">
        <v>42</v>
      </c>
      <c r="B2" t="s">
        <v>997</v>
      </c>
      <c r="C2" t="s">
        <v>375</v>
      </c>
      <c r="E2" t="s">
        <v>998</v>
      </c>
      <c r="F2">
        <v>0</v>
      </c>
      <c r="G2" t="s">
        <v>999</v>
      </c>
      <c r="H2" t="s">
        <v>446</v>
      </c>
      <c r="J2" t="s">
        <v>1000</v>
      </c>
      <c r="K2" t="s">
        <v>446</v>
      </c>
      <c r="L2" t="s">
        <v>446</v>
      </c>
      <c r="Q2" t="b">
        <v>1</v>
      </c>
      <c r="R2" t="b">
        <v>0</v>
      </c>
      <c r="T2" t="s">
        <v>446</v>
      </c>
      <c r="U2" t="s">
        <v>1001</v>
      </c>
      <c r="V2" t="s">
        <v>1002</v>
      </c>
      <c r="W2" t="s">
        <v>1003</v>
      </c>
      <c r="X2" t="s">
        <v>446</v>
      </c>
    </row>
    <row r="3" spans="1:24" x14ac:dyDescent="0.25">
      <c r="A3" t="s">
        <v>42</v>
      </c>
      <c r="B3" t="s">
        <v>1004</v>
      </c>
      <c r="C3" t="s">
        <v>375</v>
      </c>
      <c r="E3" t="s">
        <v>1005</v>
      </c>
      <c r="F3">
        <v>0</v>
      </c>
      <c r="G3" t="s">
        <v>999</v>
      </c>
      <c r="H3" t="s">
        <v>446</v>
      </c>
      <c r="J3" t="s">
        <v>1000</v>
      </c>
      <c r="K3" t="s">
        <v>446</v>
      </c>
      <c r="L3" t="s">
        <v>446</v>
      </c>
      <c r="Q3" t="b">
        <v>1</v>
      </c>
      <c r="R3" t="b">
        <v>0</v>
      </c>
      <c r="T3" t="s">
        <v>446</v>
      </c>
      <c r="U3" t="s">
        <v>1001</v>
      </c>
      <c r="V3" t="s">
        <v>1002</v>
      </c>
      <c r="W3" t="s">
        <v>1003</v>
      </c>
      <c r="X3" t="s">
        <v>446</v>
      </c>
    </row>
    <row r="4" spans="1:24" x14ac:dyDescent="0.25">
      <c r="A4" t="s">
        <v>42</v>
      </c>
      <c r="B4" t="s">
        <v>1006</v>
      </c>
      <c r="C4" t="s">
        <v>375</v>
      </c>
      <c r="E4" t="s">
        <v>1007</v>
      </c>
      <c r="F4">
        <v>0</v>
      </c>
      <c r="G4" t="s">
        <v>999</v>
      </c>
      <c r="H4" t="s">
        <v>446</v>
      </c>
      <c r="J4" t="s">
        <v>1000</v>
      </c>
      <c r="K4" t="s">
        <v>446</v>
      </c>
      <c r="L4" t="s">
        <v>446</v>
      </c>
      <c r="Q4" t="b">
        <v>1</v>
      </c>
      <c r="R4" t="b">
        <v>0</v>
      </c>
      <c r="T4" t="s">
        <v>446</v>
      </c>
      <c r="U4" t="s">
        <v>1001</v>
      </c>
      <c r="V4" t="s">
        <v>1002</v>
      </c>
      <c r="W4" t="s">
        <v>1003</v>
      </c>
      <c r="X4" t="s">
        <v>446</v>
      </c>
    </row>
    <row r="5" spans="1:24" x14ac:dyDescent="0.25">
      <c r="A5" t="s">
        <v>42</v>
      </c>
      <c r="B5" t="s">
        <v>1008</v>
      </c>
      <c r="C5" t="s">
        <v>375</v>
      </c>
      <c r="E5" t="s">
        <v>1009</v>
      </c>
      <c r="F5">
        <v>0</v>
      </c>
      <c r="G5" t="s">
        <v>999</v>
      </c>
      <c r="H5" t="s">
        <v>446</v>
      </c>
      <c r="J5" t="s">
        <v>1000</v>
      </c>
      <c r="K5" t="s">
        <v>446</v>
      </c>
      <c r="L5" t="s">
        <v>446</v>
      </c>
      <c r="Q5" t="b">
        <v>1</v>
      </c>
      <c r="R5" t="b">
        <v>0</v>
      </c>
      <c r="T5" t="s">
        <v>446</v>
      </c>
      <c r="U5" t="s">
        <v>1001</v>
      </c>
      <c r="V5" t="s">
        <v>1002</v>
      </c>
      <c r="W5" t="s">
        <v>1003</v>
      </c>
      <c r="X5" t="s">
        <v>446</v>
      </c>
    </row>
    <row r="6" spans="1:24" x14ac:dyDescent="0.25">
      <c r="A6" t="s">
        <v>42</v>
      </c>
      <c r="B6" t="s">
        <v>1010</v>
      </c>
      <c r="C6" t="s">
        <v>375</v>
      </c>
      <c r="E6" t="s">
        <v>1011</v>
      </c>
      <c r="F6">
        <v>0</v>
      </c>
      <c r="G6" t="s">
        <v>999</v>
      </c>
      <c r="H6" t="s">
        <v>446</v>
      </c>
      <c r="J6" t="s">
        <v>1000</v>
      </c>
      <c r="K6" t="s">
        <v>446</v>
      </c>
      <c r="L6" t="s">
        <v>446</v>
      </c>
      <c r="Q6" t="b">
        <v>1</v>
      </c>
      <c r="R6" t="b">
        <v>0</v>
      </c>
      <c r="T6" t="s">
        <v>446</v>
      </c>
      <c r="U6" t="s">
        <v>1001</v>
      </c>
      <c r="V6" t="s">
        <v>1002</v>
      </c>
      <c r="W6" t="s">
        <v>1003</v>
      </c>
      <c r="X6" t="s">
        <v>446</v>
      </c>
    </row>
    <row r="7" spans="1:24" x14ac:dyDescent="0.25">
      <c r="A7" t="s">
        <v>42</v>
      </c>
      <c r="B7" t="s">
        <v>1012</v>
      </c>
      <c r="C7" t="s">
        <v>375</v>
      </c>
      <c r="E7" t="s">
        <v>1013</v>
      </c>
      <c r="F7">
        <v>0</v>
      </c>
      <c r="G7" t="s">
        <v>999</v>
      </c>
      <c r="H7" t="s">
        <v>446</v>
      </c>
      <c r="J7" t="s">
        <v>1000</v>
      </c>
      <c r="K7" t="s">
        <v>446</v>
      </c>
      <c r="L7" t="s">
        <v>446</v>
      </c>
      <c r="Q7" t="b">
        <v>1</v>
      </c>
      <c r="R7" t="b">
        <v>0</v>
      </c>
      <c r="T7" t="s">
        <v>446</v>
      </c>
      <c r="U7" t="s">
        <v>1001</v>
      </c>
      <c r="V7" t="s">
        <v>1002</v>
      </c>
      <c r="W7" t="s">
        <v>1003</v>
      </c>
      <c r="X7" t="s">
        <v>446</v>
      </c>
    </row>
    <row r="8" spans="1:24" x14ac:dyDescent="0.25">
      <c r="A8" t="s">
        <v>42</v>
      </c>
      <c r="B8" t="s">
        <v>1014</v>
      </c>
      <c r="C8" t="s">
        <v>375</v>
      </c>
      <c r="E8" t="s">
        <v>1015</v>
      </c>
      <c r="F8">
        <v>0</v>
      </c>
      <c r="G8" t="s">
        <v>999</v>
      </c>
      <c r="H8" t="s">
        <v>446</v>
      </c>
      <c r="J8" t="s">
        <v>1000</v>
      </c>
      <c r="K8" t="s">
        <v>446</v>
      </c>
      <c r="L8" t="s">
        <v>446</v>
      </c>
      <c r="Q8" t="b">
        <v>1</v>
      </c>
      <c r="R8" t="b">
        <v>0</v>
      </c>
      <c r="T8" t="s">
        <v>446</v>
      </c>
      <c r="U8" t="s">
        <v>1001</v>
      </c>
      <c r="V8" t="s">
        <v>1002</v>
      </c>
      <c r="W8" t="s">
        <v>1003</v>
      </c>
      <c r="X8" t="s">
        <v>446</v>
      </c>
    </row>
    <row r="9" spans="1:24" x14ac:dyDescent="0.25">
      <c r="A9" t="s">
        <v>42</v>
      </c>
      <c r="B9" t="s">
        <v>1016</v>
      </c>
      <c r="C9" t="s">
        <v>375</v>
      </c>
      <c r="E9" t="s">
        <v>1017</v>
      </c>
      <c r="F9">
        <v>0</v>
      </c>
      <c r="G9" t="s">
        <v>999</v>
      </c>
      <c r="H9" t="s">
        <v>446</v>
      </c>
      <c r="J9" t="s">
        <v>1000</v>
      </c>
      <c r="K9" t="s">
        <v>446</v>
      </c>
      <c r="L9" t="s">
        <v>446</v>
      </c>
      <c r="Q9" t="b">
        <v>1</v>
      </c>
      <c r="R9" t="b">
        <v>0</v>
      </c>
      <c r="T9" t="s">
        <v>446</v>
      </c>
      <c r="U9" t="s">
        <v>1001</v>
      </c>
      <c r="V9" t="s">
        <v>1002</v>
      </c>
      <c r="W9" t="s">
        <v>1003</v>
      </c>
      <c r="X9" t="s">
        <v>446</v>
      </c>
    </row>
    <row r="10" spans="1:24" x14ac:dyDescent="0.25">
      <c r="A10" t="s">
        <v>42</v>
      </c>
      <c r="B10" t="s">
        <v>1018</v>
      </c>
      <c r="C10" t="s">
        <v>375</v>
      </c>
      <c r="E10" t="s">
        <v>1019</v>
      </c>
      <c r="F10">
        <v>0</v>
      </c>
      <c r="G10" t="s">
        <v>999</v>
      </c>
      <c r="H10" t="s">
        <v>446</v>
      </c>
      <c r="J10" t="s">
        <v>1000</v>
      </c>
      <c r="K10" t="s">
        <v>446</v>
      </c>
      <c r="L10" t="s">
        <v>446</v>
      </c>
      <c r="Q10" t="b">
        <v>1</v>
      </c>
      <c r="R10" t="b">
        <v>0</v>
      </c>
      <c r="T10" t="s">
        <v>446</v>
      </c>
      <c r="U10" t="s">
        <v>1001</v>
      </c>
      <c r="V10" t="s">
        <v>1002</v>
      </c>
      <c r="W10" t="s">
        <v>1003</v>
      </c>
      <c r="X10" t="s">
        <v>446</v>
      </c>
    </row>
    <row r="11" spans="1:24" x14ac:dyDescent="0.25">
      <c r="A11" t="s">
        <v>42</v>
      </c>
      <c r="B11" t="s">
        <v>1020</v>
      </c>
      <c r="C11" t="s">
        <v>375</v>
      </c>
      <c r="E11" t="s">
        <v>1021</v>
      </c>
      <c r="F11">
        <v>0</v>
      </c>
      <c r="G11" t="s">
        <v>999</v>
      </c>
      <c r="H11" t="s">
        <v>446</v>
      </c>
      <c r="J11" t="s">
        <v>1000</v>
      </c>
      <c r="K11" t="s">
        <v>446</v>
      </c>
      <c r="L11" t="s">
        <v>446</v>
      </c>
      <c r="Q11" t="b">
        <v>1</v>
      </c>
      <c r="R11" t="b">
        <v>0</v>
      </c>
      <c r="T11" t="s">
        <v>446</v>
      </c>
      <c r="U11" t="s">
        <v>1001</v>
      </c>
      <c r="V11" t="s">
        <v>1002</v>
      </c>
      <c r="W11" t="s">
        <v>1003</v>
      </c>
      <c r="X11" t="s">
        <v>446</v>
      </c>
    </row>
    <row r="12" spans="1:24" x14ac:dyDescent="0.25">
      <c r="A12" t="s">
        <v>42</v>
      </c>
      <c r="B12" t="s">
        <v>1022</v>
      </c>
      <c r="C12" t="s">
        <v>375</v>
      </c>
      <c r="E12" t="s">
        <v>1023</v>
      </c>
      <c r="F12">
        <v>0</v>
      </c>
      <c r="G12" t="s">
        <v>999</v>
      </c>
      <c r="H12" t="s">
        <v>446</v>
      </c>
      <c r="J12" t="s">
        <v>1000</v>
      </c>
      <c r="K12" t="s">
        <v>446</v>
      </c>
      <c r="L12" t="s">
        <v>446</v>
      </c>
      <c r="Q12" t="b">
        <v>1</v>
      </c>
      <c r="R12" t="b">
        <v>0</v>
      </c>
      <c r="T12" t="s">
        <v>446</v>
      </c>
      <c r="U12" t="s">
        <v>1001</v>
      </c>
      <c r="V12" t="s">
        <v>1002</v>
      </c>
      <c r="W12" t="s">
        <v>1003</v>
      </c>
      <c r="X12" t="s">
        <v>446</v>
      </c>
    </row>
    <row r="13" spans="1:24" x14ac:dyDescent="0.25">
      <c r="A13" t="s">
        <v>42</v>
      </c>
      <c r="B13" t="s">
        <v>1024</v>
      </c>
      <c r="C13" t="s">
        <v>375</v>
      </c>
      <c r="E13" t="s">
        <v>1025</v>
      </c>
      <c r="F13">
        <v>0</v>
      </c>
      <c r="G13" t="s">
        <v>999</v>
      </c>
      <c r="H13" t="s">
        <v>446</v>
      </c>
      <c r="J13" t="s">
        <v>1000</v>
      </c>
      <c r="K13" t="s">
        <v>446</v>
      </c>
      <c r="L13" t="s">
        <v>446</v>
      </c>
      <c r="Q13" t="b">
        <v>1</v>
      </c>
      <c r="R13" t="b">
        <v>0</v>
      </c>
      <c r="T13" t="s">
        <v>446</v>
      </c>
      <c r="U13" t="s">
        <v>1001</v>
      </c>
      <c r="V13" t="s">
        <v>1002</v>
      </c>
      <c r="W13" t="s">
        <v>1003</v>
      </c>
      <c r="X13" t="s">
        <v>446</v>
      </c>
    </row>
    <row r="14" spans="1:24" x14ac:dyDescent="0.25">
      <c r="A14" t="s">
        <v>42</v>
      </c>
      <c r="B14" t="s">
        <v>1026</v>
      </c>
      <c r="C14" t="s">
        <v>375</v>
      </c>
      <c r="E14" t="s">
        <v>1027</v>
      </c>
      <c r="F14">
        <v>0</v>
      </c>
      <c r="G14" t="s">
        <v>999</v>
      </c>
      <c r="H14" t="s">
        <v>446</v>
      </c>
      <c r="J14" t="s">
        <v>1000</v>
      </c>
      <c r="K14" t="s">
        <v>446</v>
      </c>
      <c r="L14" t="s">
        <v>446</v>
      </c>
      <c r="Q14" t="b">
        <v>1</v>
      </c>
      <c r="R14" t="b">
        <v>0</v>
      </c>
      <c r="T14" t="s">
        <v>446</v>
      </c>
      <c r="U14" t="s">
        <v>1001</v>
      </c>
      <c r="V14" t="s">
        <v>1002</v>
      </c>
      <c r="W14" t="s">
        <v>1003</v>
      </c>
      <c r="X14" t="s">
        <v>446</v>
      </c>
    </row>
    <row r="15" spans="1:24" x14ac:dyDescent="0.25">
      <c r="A15" t="s">
        <v>42</v>
      </c>
      <c r="B15" t="s">
        <v>1028</v>
      </c>
      <c r="C15" t="s">
        <v>269</v>
      </c>
      <c r="D15" t="s">
        <v>427</v>
      </c>
      <c r="E15" t="s">
        <v>998</v>
      </c>
      <c r="F15">
        <v>-2857</v>
      </c>
      <c r="G15" t="s">
        <v>1029</v>
      </c>
      <c r="H15" t="s">
        <v>1030</v>
      </c>
      <c r="I15" t="s">
        <v>1031</v>
      </c>
      <c r="J15" t="s">
        <v>1000</v>
      </c>
      <c r="K15" t="s">
        <v>1032</v>
      </c>
      <c r="L15" t="s">
        <v>1033</v>
      </c>
      <c r="M15" t="s">
        <v>1034</v>
      </c>
      <c r="N15" t="s">
        <v>1035</v>
      </c>
      <c r="O15" t="s">
        <v>1036</v>
      </c>
      <c r="P15" t="s">
        <v>1037</v>
      </c>
      <c r="Q15" t="b">
        <v>1</v>
      </c>
      <c r="R15" t="b">
        <v>0</v>
      </c>
      <c r="S15" t="s">
        <v>1038</v>
      </c>
      <c r="T15" t="s">
        <v>446</v>
      </c>
      <c r="U15" t="s">
        <v>1039</v>
      </c>
      <c r="V15" t="s">
        <v>1002</v>
      </c>
      <c r="W15" t="s">
        <v>1040</v>
      </c>
      <c r="X15" t="s">
        <v>1041</v>
      </c>
    </row>
    <row r="16" spans="1:24" x14ac:dyDescent="0.25">
      <c r="A16" t="s">
        <v>42</v>
      </c>
      <c r="B16" t="s">
        <v>1042</v>
      </c>
      <c r="C16" t="s">
        <v>269</v>
      </c>
      <c r="D16" t="s">
        <v>427</v>
      </c>
      <c r="E16" t="s">
        <v>1005</v>
      </c>
      <c r="F16">
        <v>-3789</v>
      </c>
      <c r="G16" t="s">
        <v>1029</v>
      </c>
      <c r="H16" t="s">
        <v>1043</v>
      </c>
      <c r="I16" t="s">
        <v>1031</v>
      </c>
      <c r="J16" t="s">
        <v>1000</v>
      </c>
      <c r="K16" t="s">
        <v>1044</v>
      </c>
      <c r="L16" t="s">
        <v>1045</v>
      </c>
      <c r="M16" t="s">
        <v>1034</v>
      </c>
      <c r="N16" t="s">
        <v>1046</v>
      </c>
      <c r="O16" t="s">
        <v>1047</v>
      </c>
      <c r="P16" t="s">
        <v>1048</v>
      </c>
      <c r="Q16" t="b">
        <v>1</v>
      </c>
      <c r="R16" t="b">
        <v>0</v>
      </c>
      <c r="S16" t="s">
        <v>1038</v>
      </c>
      <c r="T16" t="s">
        <v>446</v>
      </c>
      <c r="U16" t="s">
        <v>1039</v>
      </c>
      <c r="V16" t="s">
        <v>1002</v>
      </c>
      <c r="W16" t="s">
        <v>1040</v>
      </c>
      <c r="X16" t="s">
        <v>1041</v>
      </c>
    </row>
    <row r="17" spans="1:24" x14ac:dyDescent="0.25">
      <c r="A17" t="s">
        <v>42</v>
      </c>
      <c r="B17" t="s">
        <v>1049</v>
      </c>
      <c r="C17" t="s">
        <v>269</v>
      </c>
      <c r="D17" t="s">
        <v>427</v>
      </c>
      <c r="E17" t="s">
        <v>1007</v>
      </c>
      <c r="F17">
        <v>-2754</v>
      </c>
      <c r="G17" t="s">
        <v>1029</v>
      </c>
      <c r="H17" t="s">
        <v>1050</v>
      </c>
      <c r="I17" t="s">
        <v>1031</v>
      </c>
      <c r="J17" t="s">
        <v>1000</v>
      </c>
      <c r="K17" t="s">
        <v>1051</v>
      </c>
      <c r="L17" t="s">
        <v>1052</v>
      </c>
      <c r="M17" t="s">
        <v>1034</v>
      </c>
      <c r="N17" t="s">
        <v>1053</v>
      </c>
      <c r="O17" t="s">
        <v>1054</v>
      </c>
      <c r="P17" t="s">
        <v>1055</v>
      </c>
      <c r="Q17" t="b">
        <v>1</v>
      </c>
      <c r="R17" t="b">
        <v>0</v>
      </c>
      <c r="S17" t="s">
        <v>1038</v>
      </c>
      <c r="T17" t="s">
        <v>446</v>
      </c>
      <c r="U17" t="s">
        <v>1039</v>
      </c>
      <c r="V17" t="s">
        <v>1002</v>
      </c>
      <c r="W17" t="s">
        <v>1040</v>
      </c>
      <c r="X17" t="s">
        <v>1041</v>
      </c>
    </row>
    <row r="18" spans="1:24" x14ac:dyDescent="0.25">
      <c r="A18" t="s">
        <v>42</v>
      </c>
      <c r="B18" t="s">
        <v>1056</v>
      </c>
      <c r="C18" t="s">
        <v>269</v>
      </c>
      <c r="D18" t="s">
        <v>427</v>
      </c>
      <c r="E18" t="s">
        <v>1009</v>
      </c>
      <c r="F18">
        <v>-2218</v>
      </c>
      <c r="G18" t="s">
        <v>1057</v>
      </c>
      <c r="H18" t="s">
        <v>1058</v>
      </c>
      <c r="I18" t="s">
        <v>1059</v>
      </c>
      <c r="J18" t="s">
        <v>1000</v>
      </c>
      <c r="K18" t="s">
        <v>1060</v>
      </c>
      <c r="L18" t="s">
        <v>1061</v>
      </c>
      <c r="M18" t="s">
        <v>1062</v>
      </c>
      <c r="N18" t="s">
        <v>1063</v>
      </c>
      <c r="O18" t="s">
        <v>1036</v>
      </c>
      <c r="P18" t="s">
        <v>1064</v>
      </c>
      <c r="Q18" t="b">
        <v>1</v>
      </c>
      <c r="R18" t="b">
        <v>1</v>
      </c>
      <c r="S18" t="s">
        <v>1065</v>
      </c>
      <c r="T18" t="s">
        <v>446</v>
      </c>
      <c r="U18" t="s">
        <v>1066</v>
      </c>
      <c r="V18" t="s">
        <v>1067</v>
      </c>
      <c r="W18" t="s">
        <v>1040</v>
      </c>
      <c r="X18" t="s">
        <v>446</v>
      </c>
    </row>
    <row r="19" spans="1:24" x14ac:dyDescent="0.25">
      <c r="A19" t="s">
        <v>42</v>
      </c>
      <c r="B19" t="s">
        <v>1068</v>
      </c>
      <c r="C19" t="s">
        <v>269</v>
      </c>
      <c r="D19" t="s">
        <v>427</v>
      </c>
      <c r="E19" t="s">
        <v>1011</v>
      </c>
      <c r="F19">
        <v>-2544</v>
      </c>
      <c r="G19" t="s">
        <v>1029</v>
      </c>
      <c r="H19" t="s">
        <v>1069</v>
      </c>
      <c r="I19" t="s">
        <v>1031</v>
      </c>
      <c r="J19" t="s">
        <v>1000</v>
      </c>
      <c r="K19" t="s">
        <v>1070</v>
      </c>
      <c r="L19" t="s">
        <v>1071</v>
      </c>
      <c r="M19" t="s">
        <v>1034</v>
      </c>
      <c r="N19" t="s">
        <v>1072</v>
      </c>
      <c r="O19" t="s">
        <v>1073</v>
      </c>
      <c r="P19" t="s">
        <v>1074</v>
      </c>
      <c r="Q19" t="b">
        <v>1</v>
      </c>
      <c r="R19" t="b">
        <v>0</v>
      </c>
      <c r="S19" t="s">
        <v>1038</v>
      </c>
      <c r="T19" t="s">
        <v>446</v>
      </c>
      <c r="U19" t="s">
        <v>1039</v>
      </c>
      <c r="V19" t="s">
        <v>1002</v>
      </c>
      <c r="W19" t="s">
        <v>1040</v>
      </c>
      <c r="X19" t="s">
        <v>1041</v>
      </c>
    </row>
    <row r="20" spans="1:24" x14ac:dyDescent="0.25">
      <c r="A20" t="s">
        <v>42</v>
      </c>
      <c r="B20" t="s">
        <v>1075</v>
      </c>
      <c r="C20" t="s">
        <v>269</v>
      </c>
      <c r="D20" t="s">
        <v>427</v>
      </c>
      <c r="E20" t="s">
        <v>1013</v>
      </c>
      <c r="F20">
        <v>-4045</v>
      </c>
      <c r="G20" t="s">
        <v>1029</v>
      </c>
      <c r="H20" t="s">
        <v>1076</v>
      </c>
      <c r="I20" t="s">
        <v>1031</v>
      </c>
      <c r="J20" t="s">
        <v>1000</v>
      </c>
      <c r="K20" t="s">
        <v>1077</v>
      </c>
      <c r="L20" t="s">
        <v>1078</v>
      </c>
      <c r="M20" t="s">
        <v>1034</v>
      </c>
      <c r="N20" t="s">
        <v>1079</v>
      </c>
      <c r="O20" t="s">
        <v>1080</v>
      </c>
      <c r="P20" t="s">
        <v>1081</v>
      </c>
      <c r="Q20" t="b">
        <v>1</v>
      </c>
      <c r="R20" t="b">
        <v>0</v>
      </c>
      <c r="S20" t="s">
        <v>1038</v>
      </c>
      <c r="T20" t="s">
        <v>446</v>
      </c>
      <c r="U20" t="s">
        <v>1039</v>
      </c>
      <c r="V20" t="s">
        <v>1002</v>
      </c>
      <c r="W20" t="s">
        <v>1040</v>
      </c>
      <c r="X20" t="s">
        <v>1041</v>
      </c>
    </row>
    <row r="21" spans="1:24" x14ac:dyDescent="0.25">
      <c r="A21" t="s">
        <v>42</v>
      </c>
      <c r="B21" t="s">
        <v>1082</v>
      </c>
      <c r="C21" t="s">
        <v>269</v>
      </c>
      <c r="D21" t="s">
        <v>427</v>
      </c>
      <c r="E21" t="s">
        <v>1015</v>
      </c>
      <c r="F21">
        <v>-4720</v>
      </c>
      <c r="G21" t="s">
        <v>1029</v>
      </c>
      <c r="H21" t="s">
        <v>1083</v>
      </c>
      <c r="I21" t="s">
        <v>1031</v>
      </c>
      <c r="J21" t="s">
        <v>1000</v>
      </c>
      <c r="K21" t="s">
        <v>1084</v>
      </c>
      <c r="L21" t="s">
        <v>1085</v>
      </c>
      <c r="M21" t="s">
        <v>1034</v>
      </c>
      <c r="N21" t="s">
        <v>1086</v>
      </c>
      <c r="O21" t="s">
        <v>1087</v>
      </c>
      <c r="P21" t="s">
        <v>1088</v>
      </c>
      <c r="Q21" t="b">
        <v>1</v>
      </c>
      <c r="R21" t="b">
        <v>0</v>
      </c>
      <c r="S21" t="s">
        <v>1038</v>
      </c>
      <c r="T21" t="s">
        <v>446</v>
      </c>
      <c r="U21" t="s">
        <v>1039</v>
      </c>
      <c r="V21" t="s">
        <v>1002</v>
      </c>
      <c r="W21" t="s">
        <v>1040</v>
      </c>
      <c r="X21" t="s">
        <v>1041</v>
      </c>
    </row>
    <row r="22" spans="1:24" x14ac:dyDescent="0.25">
      <c r="A22" t="s">
        <v>42</v>
      </c>
      <c r="B22" t="s">
        <v>1089</v>
      </c>
      <c r="C22" t="s">
        <v>269</v>
      </c>
      <c r="D22" t="s">
        <v>427</v>
      </c>
      <c r="E22" t="s">
        <v>1017</v>
      </c>
      <c r="F22">
        <v>-5312</v>
      </c>
      <c r="G22" t="s">
        <v>1029</v>
      </c>
      <c r="H22" t="s">
        <v>1090</v>
      </c>
      <c r="I22" t="s">
        <v>1059</v>
      </c>
      <c r="J22" t="s">
        <v>1000</v>
      </c>
      <c r="K22" t="s">
        <v>1091</v>
      </c>
      <c r="L22" t="s">
        <v>1092</v>
      </c>
      <c r="M22" t="s">
        <v>1062</v>
      </c>
      <c r="N22" t="s">
        <v>1093</v>
      </c>
      <c r="O22" t="s">
        <v>1073</v>
      </c>
      <c r="P22" t="s">
        <v>1094</v>
      </c>
      <c r="Q22" t="b">
        <v>1</v>
      </c>
      <c r="R22" t="b">
        <v>0</v>
      </c>
      <c r="S22" t="s">
        <v>1038</v>
      </c>
      <c r="T22" t="s">
        <v>446</v>
      </c>
      <c r="U22" t="s">
        <v>1039</v>
      </c>
      <c r="V22" t="s">
        <v>1067</v>
      </c>
      <c r="W22" t="s">
        <v>1040</v>
      </c>
      <c r="X22" t="s">
        <v>446</v>
      </c>
    </row>
    <row r="23" spans="1:24" x14ac:dyDescent="0.25">
      <c r="A23" t="s">
        <v>42</v>
      </c>
      <c r="B23" t="s">
        <v>1095</v>
      </c>
      <c r="C23" t="s">
        <v>269</v>
      </c>
      <c r="D23" t="s">
        <v>427</v>
      </c>
      <c r="E23" t="s">
        <v>1019</v>
      </c>
      <c r="F23">
        <v>-5638</v>
      </c>
      <c r="G23" t="s">
        <v>1057</v>
      </c>
      <c r="H23" t="s">
        <v>1096</v>
      </c>
      <c r="I23" t="s">
        <v>1031</v>
      </c>
      <c r="J23" t="s">
        <v>1000</v>
      </c>
      <c r="K23" t="s">
        <v>1097</v>
      </c>
      <c r="L23" t="s">
        <v>1098</v>
      </c>
      <c r="M23" t="s">
        <v>1034</v>
      </c>
      <c r="N23" t="s">
        <v>1099</v>
      </c>
      <c r="O23" t="s">
        <v>1100</v>
      </c>
      <c r="P23" t="s">
        <v>1101</v>
      </c>
      <c r="Q23" t="b">
        <v>1</v>
      </c>
      <c r="R23" t="b">
        <v>0</v>
      </c>
      <c r="S23" t="s">
        <v>1102</v>
      </c>
      <c r="T23" t="s">
        <v>446</v>
      </c>
      <c r="U23" t="s">
        <v>1066</v>
      </c>
      <c r="V23" t="s">
        <v>1002</v>
      </c>
      <c r="W23" t="s">
        <v>1040</v>
      </c>
      <c r="X23" t="s">
        <v>1041</v>
      </c>
    </row>
    <row r="24" spans="1:24" x14ac:dyDescent="0.25">
      <c r="A24" t="s">
        <v>42</v>
      </c>
      <c r="B24" t="s">
        <v>1103</v>
      </c>
      <c r="C24" t="s">
        <v>269</v>
      </c>
      <c r="D24" t="s">
        <v>427</v>
      </c>
      <c r="E24" t="s">
        <v>1021</v>
      </c>
      <c r="F24">
        <v>-7466</v>
      </c>
      <c r="G24" t="s">
        <v>1057</v>
      </c>
      <c r="H24" t="s">
        <v>1104</v>
      </c>
      <c r="I24" t="s">
        <v>1031</v>
      </c>
      <c r="J24" t="s">
        <v>1000</v>
      </c>
      <c r="K24" t="s">
        <v>1105</v>
      </c>
      <c r="L24" t="s">
        <v>1106</v>
      </c>
      <c r="M24" t="s">
        <v>1034</v>
      </c>
      <c r="N24" t="s">
        <v>1107</v>
      </c>
      <c r="O24" t="s">
        <v>1108</v>
      </c>
      <c r="P24" t="s">
        <v>1109</v>
      </c>
      <c r="Q24" t="b">
        <v>1</v>
      </c>
      <c r="R24" t="b">
        <v>0</v>
      </c>
      <c r="S24" t="s">
        <v>1102</v>
      </c>
      <c r="T24" t="s">
        <v>446</v>
      </c>
      <c r="U24" t="s">
        <v>1066</v>
      </c>
      <c r="V24" t="s">
        <v>1002</v>
      </c>
      <c r="W24" t="s">
        <v>1040</v>
      </c>
      <c r="X24" t="s">
        <v>1041</v>
      </c>
    </row>
    <row r="25" spans="1:24" x14ac:dyDescent="0.25">
      <c r="A25" t="s">
        <v>42</v>
      </c>
      <c r="B25" t="s">
        <v>1110</v>
      </c>
      <c r="C25" t="s">
        <v>269</v>
      </c>
      <c r="D25" t="s">
        <v>427</v>
      </c>
      <c r="E25" t="s">
        <v>1023</v>
      </c>
      <c r="F25">
        <v>-8926</v>
      </c>
      <c r="G25" t="s">
        <v>1057</v>
      </c>
      <c r="H25" t="s">
        <v>1111</v>
      </c>
      <c r="I25" t="s">
        <v>1031</v>
      </c>
      <c r="J25" t="s">
        <v>1000</v>
      </c>
      <c r="K25" t="s">
        <v>1112</v>
      </c>
      <c r="L25" t="s">
        <v>1113</v>
      </c>
      <c r="M25" t="s">
        <v>1034</v>
      </c>
      <c r="N25" t="s">
        <v>1114</v>
      </c>
      <c r="O25" t="s">
        <v>1115</v>
      </c>
      <c r="P25" t="s">
        <v>1116</v>
      </c>
      <c r="Q25" t="b">
        <v>1</v>
      </c>
      <c r="R25" t="b">
        <v>0</v>
      </c>
      <c r="S25" t="s">
        <v>1102</v>
      </c>
      <c r="T25" t="s">
        <v>446</v>
      </c>
      <c r="U25" t="s">
        <v>1066</v>
      </c>
      <c r="V25" t="s">
        <v>1002</v>
      </c>
      <c r="W25" t="s">
        <v>1040</v>
      </c>
      <c r="X25" t="s">
        <v>1041</v>
      </c>
    </row>
    <row r="26" spans="1:24" x14ac:dyDescent="0.25">
      <c r="A26" t="s">
        <v>42</v>
      </c>
      <c r="B26" t="s">
        <v>1117</v>
      </c>
      <c r="C26" t="s">
        <v>269</v>
      </c>
      <c r="D26" t="s">
        <v>427</v>
      </c>
      <c r="E26" t="s">
        <v>1025</v>
      </c>
      <c r="F26">
        <v>-10608</v>
      </c>
      <c r="G26" t="s">
        <v>1029</v>
      </c>
      <c r="H26" t="s">
        <v>1118</v>
      </c>
      <c r="I26" t="s">
        <v>1059</v>
      </c>
      <c r="J26" t="s">
        <v>1000</v>
      </c>
      <c r="K26" t="s">
        <v>1119</v>
      </c>
      <c r="L26" t="s">
        <v>1120</v>
      </c>
      <c r="M26" t="s">
        <v>1062</v>
      </c>
      <c r="N26" t="s">
        <v>1121</v>
      </c>
      <c r="O26" t="s">
        <v>1100</v>
      </c>
      <c r="P26" t="s">
        <v>1122</v>
      </c>
      <c r="Q26" t="b">
        <v>1</v>
      </c>
      <c r="R26" t="b">
        <v>0</v>
      </c>
      <c r="S26" t="s">
        <v>1038</v>
      </c>
      <c r="T26" t="s">
        <v>446</v>
      </c>
      <c r="U26" t="s">
        <v>1039</v>
      </c>
      <c r="V26" t="s">
        <v>1067</v>
      </c>
      <c r="W26" t="s">
        <v>1040</v>
      </c>
      <c r="X26" t="s">
        <v>446</v>
      </c>
    </row>
    <row r="27" spans="1:24" x14ac:dyDescent="0.25">
      <c r="A27" t="s">
        <v>42</v>
      </c>
      <c r="B27" t="s">
        <v>1123</v>
      </c>
      <c r="C27" t="s">
        <v>269</v>
      </c>
      <c r="D27" t="s">
        <v>427</v>
      </c>
      <c r="E27" t="s">
        <v>1027</v>
      </c>
      <c r="F27">
        <v>-17394</v>
      </c>
      <c r="G27" t="s">
        <v>1057</v>
      </c>
      <c r="H27" t="s">
        <v>1124</v>
      </c>
      <c r="I27" t="s">
        <v>1031</v>
      </c>
      <c r="J27" t="s">
        <v>1000</v>
      </c>
      <c r="K27" t="s">
        <v>1125</v>
      </c>
      <c r="L27" t="s">
        <v>1126</v>
      </c>
      <c r="M27" t="s">
        <v>1034</v>
      </c>
      <c r="N27" t="s">
        <v>1127</v>
      </c>
      <c r="O27" t="s">
        <v>1128</v>
      </c>
      <c r="P27" t="s">
        <v>1129</v>
      </c>
      <c r="Q27" t="b">
        <v>1</v>
      </c>
      <c r="R27" t="b">
        <v>0</v>
      </c>
      <c r="S27" t="s">
        <v>1102</v>
      </c>
      <c r="T27" t="s">
        <v>446</v>
      </c>
      <c r="U27" t="s">
        <v>1066</v>
      </c>
      <c r="V27" t="s">
        <v>1002</v>
      </c>
      <c r="W27" t="s">
        <v>1040</v>
      </c>
      <c r="X27" t="s">
        <v>1041</v>
      </c>
    </row>
    <row r="28" spans="1:24" x14ac:dyDescent="0.25">
      <c r="A28" t="s">
        <v>42</v>
      </c>
      <c r="B28" t="s">
        <v>1130</v>
      </c>
      <c r="C28" t="s">
        <v>269</v>
      </c>
      <c r="D28" t="s">
        <v>427</v>
      </c>
      <c r="E28" t="s">
        <v>1131</v>
      </c>
      <c r="F28">
        <v>-12890</v>
      </c>
      <c r="G28" t="s">
        <v>1057</v>
      </c>
      <c r="H28" t="s">
        <v>1132</v>
      </c>
      <c r="I28" t="s">
        <v>1031</v>
      </c>
      <c r="J28" t="s">
        <v>1000</v>
      </c>
      <c r="K28" t="s">
        <v>1133</v>
      </c>
      <c r="L28" t="s">
        <v>1134</v>
      </c>
      <c r="M28" t="s">
        <v>1034</v>
      </c>
      <c r="N28" t="s">
        <v>1135</v>
      </c>
      <c r="O28" t="s">
        <v>1136</v>
      </c>
      <c r="P28" t="s">
        <v>1137</v>
      </c>
      <c r="Q28" t="b">
        <v>1</v>
      </c>
      <c r="R28" t="b">
        <v>0</v>
      </c>
      <c r="S28" t="s">
        <v>1102</v>
      </c>
      <c r="T28" t="s">
        <v>446</v>
      </c>
      <c r="U28" t="s">
        <v>1066</v>
      </c>
      <c r="V28" t="s">
        <v>1002</v>
      </c>
      <c r="W28" t="s">
        <v>1040</v>
      </c>
      <c r="X28" t="s">
        <v>1041</v>
      </c>
    </row>
    <row r="29" spans="1:24" x14ac:dyDescent="0.25">
      <c r="A29" t="s">
        <v>42</v>
      </c>
      <c r="B29" t="s">
        <v>1138</v>
      </c>
      <c r="C29" t="s">
        <v>271</v>
      </c>
      <c r="D29" t="s">
        <v>427</v>
      </c>
      <c r="E29" t="s">
        <v>998</v>
      </c>
      <c r="F29">
        <v>-592</v>
      </c>
      <c r="G29" t="s">
        <v>1029</v>
      </c>
      <c r="H29" t="s">
        <v>1139</v>
      </c>
      <c r="I29" t="s">
        <v>1140</v>
      </c>
      <c r="J29" t="s">
        <v>1000</v>
      </c>
      <c r="K29" t="s">
        <v>1032</v>
      </c>
      <c r="L29" t="s">
        <v>1033</v>
      </c>
      <c r="M29" t="s">
        <v>1034</v>
      </c>
      <c r="N29" t="s">
        <v>1035</v>
      </c>
      <c r="O29" t="s">
        <v>1036</v>
      </c>
      <c r="P29" t="s">
        <v>1037</v>
      </c>
      <c r="Q29" t="b">
        <v>1</v>
      </c>
      <c r="R29" t="b">
        <v>0</v>
      </c>
      <c r="S29" t="s">
        <v>1038</v>
      </c>
      <c r="T29" t="s">
        <v>446</v>
      </c>
      <c r="U29" t="s">
        <v>1039</v>
      </c>
      <c r="V29" t="s">
        <v>1002</v>
      </c>
      <c r="W29" t="s">
        <v>1040</v>
      </c>
      <c r="X29" t="s">
        <v>1141</v>
      </c>
    </row>
    <row r="30" spans="1:24" x14ac:dyDescent="0.25">
      <c r="A30" t="s">
        <v>42</v>
      </c>
      <c r="B30" t="s">
        <v>1142</v>
      </c>
      <c r="C30" t="s">
        <v>271</v>
      </c>
      <c r="D30" t="s">
        <v>427</v>
      </c>
      <c r="E30" t="s">
        <v>1005</v>
      </c>
      <c r="F30">
        <v>-592</v>
      </c>
      <c r="G30" t="s">
        <v>1029</v>
      </c>
      <c r="H30" t="s">
        <v>1139</v>
      </c>
      <c r="I30" t="s">
        <v>1140</v>
      </c>
      <c r="J30" t="s">
        <v>1000</v>
      </c>
      <c r="K30" t="s">
        <v>1044</v>
      </c>
      <c r="L30" t="s">
        <v>1045</v>
      </c>
      <c r="M30" t="s">
        <v>1034</v>
      </c>
      <c r="N30" t="s">
        <v>1046</v>
      </c>
      <c r="O30" t="s">
        <v>1047</v>
      </c>
      <c r="P30" t="s">
        <v>1048</v>
      </c>
      <c r="Q30" t="b">
        <v>1</v>
      </c>
      <c r="R30" t="b">
        <v>0</v>
      </c>
      <c r="S30" t="s">
        <v>1038</v>
      </c>
      <c r="T30" t="s">
        <v>446</v>
      </c>
      <c r="U30" t="s">
        <v>1039</v>
      </c>
      <c r="V30" t="s">
        <v>1002</v>
      </c>
      <c r="W30" t="s">
        <v>1040</v>
      </c>
      <c r="X30" t="s">
        <v>1141</v>
      </c>
    </row>
    <row r="31" spans="1:24" x14ac:dyDescent="0.25">
      <c r="A31" t="s">
        <v>42</v>
      </c>
      <c r="B31" t="s">
        <v>1143</v>
      </c>
      <c r="C31" t="s">
        <v>271</v>
      </c>
      <c r="D31" t="s">
        <v>427</v>
      </c>
      <c r="E31" t="s">
        <v>1007</v>
      </c>
      <c r="F31">
        <v>-631</v>
      </c>
      <c r="G31" t="s">
        <v>1029</v>
      </c>
      <c r="H31" t="s">
        <v>1144</v>
      </c>
      <c r="I31" t="s">
        <v>1140</v>
      </c>
      <c r="J31" t="s">
        <v>1000</v>
      </c>
      <c r="K31" t="s">
        <v>1051</v>
      </c>
      <c r="L31" t="s">
        <v>1052</v>
      </c>
      <c r="M31" t="s">
        <v>1034</v>
      </c>
      <c r="N31" t="s">
        <v>1053</v>
      </c>
      <c r="O31" t="s">
        <v>1054</v>
      </c>
      <c r="P31" t="s">
        <v>1055</v>
      </c>
      <c r="Q31" t="b">
        <v>1</v>
      </c>
      <c r="R31" t="b">
        <v>0</v>
      </c>
      <c r="S31" t="s">
        <v>1038</v>
      </c>
      <c r="T31" t="s">
        <v>446</v>
      </c>
      <c r="U31" t="s">
        <v>1039</v>
      </c>
      <c r="V31" t="s">
        <v>1002</v>
      </c>
      <c r="W31" t="s">
        <v>1040</v>
      </c>
      <c r="X31" t="s">
        <v>1141</v>
      </c>
    </row>
    <row r="32" spans="1:24" x14ac:dyDescent="0.25">
      <c r="A32" t="s">
        <v>42</v>
      </c>
      <c r="B32" t="s">
        <v>1145</v>
      </c>
      <c r="C32" t="s">
        <v>271</v>
      </c>
      <c r="D32" t="s">
        <v>427</v>
      </c>
      <c r="E32" t="s">
        <v>1009</v>
      </c>
      <c r="F32">
        <v>-625</v>
      </c>
      <c r="G32" t="s">
        <v>1057</v>
      </c>
      <c r="H32" t="s">
        <v>1146</v>
      </c>
      <c r="I32" t="s">
        <v>1147</v>
      </c>
      <c r="J32" t="s">
        <v>1000</v>
      </c>
      <c r="K32" t="s">
        <v>1060</v>
      </c>
      <c r="L32" t="s">
        <v>1061</v>
      </c>
      <c r="M32" t="s">
        <v>1062</v>
      </c>
      <c r="N32" t="s">
        <v>1063</v>
      </c>
      <c r="O32" t="s">
        <v>1036</v>
      </c>
      <c r="P32" t="s">
        <v>1064</v>
      </c>
      <c r="Q32" t="b">
        <v>1</v>
      </c>
      <c r="R32" t="b">
        <v>1</v>
      </c>
      <c r="S32" t="s">
        <v>1065</v>
      </c>
      <c r="T32" t="s">
        <v>446</v>
      </c>
      <c r="U32" t="s">
        <v>1066</v>
      </c>
      <c r="V32" t="s">
        <v>1067</v>
      </c>
      <c r="W32" t="s">
        <v>1040</v>
      </c>
      <c r="X32" t="s">
        <v>446</v>
      </c>
    </row>
    <row r="33" spans="1:24" x14ac:dyDescent="0.25">
      <c r="A33" t="s">
        <v>42</v>
      </c>
      <c r="B33" t="s">
        <v>1148</v>
      </c>
      <c r="C33" t="s">
        <v>271</v>
      </c>
      <c r="D33" t="s">
        <v>427</v>
      </c>
      <c r="E33" t="s">
        <v>1011</v>
      </c>
      <c r="F33">
        <v>-633</v>
      </c>
      <c r="G33" t="s">
        <v>1029</v>
      </c>
      <c r="H33" t="s">
        <v>1149</v>
      </c>
      <c r="I33" t="s">
        <v>1140</v>
      </c>
      <c r="J33" t="s">
        <v>1000</v>
      </c>
      <c r="K33" t="s">
        <v>1070</v>
      </c>
      <c r="L33" t="s">
        <v>1071</v>
      </c>
      <c r="M33" t="s">
        <v>1034</v>
      </c>
      <c r="N33" t="s">
        <v>1072</v>
      </c>
      <c r="O33" t="s">
        <v>1073</v>
      </c>
      <c r="P33" t="s">
        <v>1074</v>
      </c>
      <c r="Q33" t="b">
        <v>1</v>
      </c>
      <c r="R33" t="b">
        <v>0</v>
      </c>
      <c r="S33" t="s">
        <v>1038</v>
      </c>
      <c r="T33" t="s">
        <v>446</v>
      </c>
      <c r="U33" t="s">
        <v>1039</v>
      </c>
      <c r="V33" t="s">
        <v>1002</v>
      </c>
      <c r="W33" t="s">
        <v>1040</v>
      </c>
      <c r="X33" t="s">
        <v>1141</v>
      </c>
    </row>
    <row r="34" spans="1:24" x14ac:dyDescent="0.25">
      <c r="A34" t="s">
        <v>42</v>
      </c>
      <c r="B34" t="s">
        <v>1150</v>
      </c>
      <c r="C34" t="s">
        <v>271</v>
      </c>
      <c r="D34" t="s">
        <v>427</v>
      </c>
      <c r="E34" t="s">
        <v>1013</v>
      </c>
      <c r="F34">
        <v>-622</v>
      </c>
      <c r="G34" t="s">
        <v>1029</v>
      </c>
      <c r="H34" t="s">
        <v>1151</v>
      </c>
      <c r="I34" t="s">
        <v>1140</v>
      </c>
      <c r="J34" t="s">
        <v>1000</v>
      </c>
      <c r="K34" t="s">
        <v>1077</v>
      </c>
      <c r="L34" t="s">
        <v>1078</v>
      </c>
      <c r="M34" t="s">
        <v>1034</v>
      </c>
      <c r="N34" t="s">
        <v>1079</v>
      </c>
      <c r="O34" t="s">
        <v>1080</v>
      </c>
      <c r="P34" t="s">
        <v>1081</v>
      </c>
      <c r="Q34" t="b">
        <v>1</v>
      </c>
      <c r="R34" t="b">
        <v>0</v>
      </c>
      <c r="S34" t="s">
        <v>1038</v>
      </c>
      <c r="T34" t="s">
        <v>446</v>
      </c>
      <c r="U34" t="s">
        <v>1039</v>
      </c>
      <c r="V34" t="s">
        <v>1002</v>
      </c>
      <c r="W34" t="s">
        <v>1040</v>
      </c>
      <c r="X34" t="s">
        <v>1141</v>
      </c>
    </row>
    <row r="35" spans="1:24" x14ac:dyDescent="0.25">
      <c r="A35" t="s">
        <v>42</v>
      </c>
      <c r="B35" t="s">
        <v>1152</v>
      </c>
      <c r="C35" t="s">
        <v>271</v>
      </c>
      <c r="D35" t="s">
        <v>427</v>
      </c>
      <c r="E35" t="s">
        <v>1015</v>
      </c>
      <c r="F35">
        <v>-689</v>
      </c>
      <c r="G35" t="s">
        <v>1029</v>
      </c>
      <c r="H35" t="s">
        <v>1153</v>
      </c>
      <c r="I35" t="s">
        <v>1140</v>
      </c>
      <c r="J35" t="s">
        <v>1000</v>
      </c>
      <c r="K35" t="s">
        <v>1084</v>
      </c>
      <c r="L35" t="s">
        <v>1085</v>
      </c>
      <c r="M35" t="s">
        <v>1034</v>
      </c>
      <c r="N35" t="s">
        <v>1086</v>
      </c>
      <c r="O35" t="s">
        <v>1087</v>
      </c>
      <c r="P35" t="s">
        <v>1088</v>
      </c>
      <c r="Q35" t="b">
        <v>1</v>
      </c>
      <c r="R35" t="b">
        <v>0</v>
      </c>
      <c r="S35" t="s">
        <v>1038</v>
      </c>
      <c r="T35" t="s">
        <v>446</v>
      </c>
      <c r="U35" t="s">
        <v>1039</v>
      </c>
      <c r="V35" t="s">
        <v>1002</v>
      </c>
      <c r="W35" t="s">
        <v>1040</v>
      </c>
      <c r="X35" t="s">
        <v>1141</v>
      </c>
    </row>
    <row r="36" spans="1:24" x14ac:dyDescent="0.25">
      <c r="A36" t="s">
        <v>42</v>
      </c>
      <c r="B36" t="s">
        <v>1154</v>
      </c>
      <c r="C36" t="s">
        <v>271</v>
      </c>
      <c r="D36" t="s">
        <v>427</v>
      </c>
      <c r="E36" t="s">
        <v>1017</v>
      </c>
      <c r="F36">
        <v>-712</v>
      </c>
      <c r="G36" t="s">
        <v>1029</v>
      </c>
      <c r="H36" t="s">
        <v>1155</v>
      </c>
      <c r="I36" t="s">
        <v>1147</v>
      </c>
      <c r="J36" t="s">
        <v>1000</v>
      </c>
      <c r="K36" t="s">
        <v>1091</v>
      </c>
      <c r="L36" t="s">
        <v>1092</v>
      </c>
      <c r="M36" t="s">
        <v>1062</v>
      </c>
      <c r="N36" t="s">
        <v>1093</v>
      </c>
      <c r="O36" t="s">
        <v>1073</v>
      </c>
      <c r="P36" t="s">
        <v>1094</v>
      </c>
      <c r="Q36" t="b">
        <v>1</v>
      </c>
      <c r="R36" t="b">
        <v>0</v>
      </c>
      <c r="S36" t="s">
        <v>1038</v>
      </c>
      <c r="T36" t="s">
        <v>446</v>
      </c>
      <c r="U36" t="s">
        <v>1039</v>
      </c>
      <c r="V36" t="s">
        <v>1067</v>
      </c>
      <c r="W36" t="s">
        <v>1040</v>
      </c>
      <c r="X36" t="s">
        <v>446</v>
      </c>
    </row>
    <row r="37" spans="1:24" x14ac:dyDescent="0.25">
      <c r="A37" t="s">
        <v>42</v>
      </c>
      <c r="B37" t="s">
        <v>1156</v>
      </c>
      <c r="C37" t="s">
        <v>271</v>
      </c>
      <c r="D37" t="s">
        <v>427</v>
      </c>
      <c r="E37" t="s">
        <v>1019</v>
      </c>
      <c r="F37">
        <v>-777</v>
      </c>
      <c r="G37" t="s">
        <v>1057</v>
      </c>
      <c r="H37" t="s">
        <v>1157</v>
      </c>
      <c r="I37" t="s">
        <v>1140</v>
      </c>
      <c r="J37" t="s">
        <v>1000</v>
      </c>
      <c r="K37" t="s">
        <v>1097</v>
      </c>
      <c r="L37" t="s">
        <v>1098</v>
      </c>
      <c r="M37" t="s">
        <v>1034</v>
      </c>
      <c r="N37" t="s">
        <v>1099</v>
      </c>
      <c r="O37" t="s">
        <v>1100</v>
      </c>
      <c r="P37" t="s">
        <v>1101</v>
      </c>
      <c r="Q37" t="b">
        <v>1</v>
      </c>
      <c r="R37" t="b">
        <v>0</v>
      </c>
      <c r="S37" t="s">
        <v>1102</v>
      </c>
      <c r="T37" t="s">
        <v>446</v>
      </c>
      <c r="U37" t="s">
        <v>1066</v>
      </c>
      <c r="V37" t="s">
        <v>1002</v>
      </c>
      <c r="W37" t="s">
        <v>1040</v>
      </c>
      <c r="X37" t="s">
        <v>1141</v>
      </c>
    </row>
    <row r="38" spans="1:24" x14ac:dyDescent="0.25">
      <c r="A38" t="s">
        <v>42</v>
      </c>
      <c r="B38" t="s">
        <v>1158</v>
      </c>
      <c r="C38" t="s">
        <v>271</v>
      </c>
      <c r="D38" t="s">
        <v>427</v>
      </c>
      <c r="E38" t="s">
        <v>1021</v>
      </c>
      <c r="F38">
        <v>-842</v>
      </c>
      <c r="G38" t="s">
        <v>1057</v>
      </c>
      <c r="H38" t="s">
        <v>1159</v>
      </c>
      <c r="I38" t="s">
        <v>1140</v>
      </c>
      <c r="J38" t="s">
        <v>1000</v>
      </c>
      <c r="K38" t="s">
        <v>1105</v>
      </c>
      <c r="L38" t="s">
        <v>1106</v>
      </c>
      <c r="M38" t="s">
        <v>1034</v>
      </c>
      <c r="N38" t="s">
        <v>1107</v>
      </c>
      <c r="O38" t="s">
        <v>1108</v>
      </c>
      <c r="P38" t="s">
        <v>1109</v>
      </c>
      <c r="Q38" t="b">
        <v>1</v>
      </c>
      <c r="R38" t="b">
        <v>0</v>
      </c>
      <c r="S38" t="s">
        <v>1102</v>
      </c>
      <c r="T38" t="s">
        <v>446</v>
      </c>
      <c r="U38" t="s">
        <v>1066</v>
      </c>
      <c r="V38" t="s">
        <v>1002</v>
      </c>
      <c r="W38" t="s">
        <v>1040</v>
      </c>
      <c r="X38" t="s">
        <v>1141</v>
      </c>
    </row>
    <row r="39" spans="1:24" x14ac:dyDescent="0.25">
      <c r="A39" t="s">
        <v>42</v>
      </c>
      <c r="B39" t="s">
        <v>1160</v>
      </c>
      <c r="C39" t="s">
        <v>271</v>
      </c>
      <c r="D39" t="s">
        <v>427</v>
      </c>
      <c r="E39" t="s">
        <v>1023</v>
      </c>
      <c r="F39">
        <v>-897</v>
      </c>
      <c r="G39" t="s">
        <v>1057</v>
      </c>
      <c r="H39" t="s">
        <v>1161</v>
      </c>
      <c r="I39" t="s">
        <v>1140</v>
      </c>
      <c r="J39" t="s">
        <v>1000</v>
      </c>
      <c r="K39" t="s">
        <v>1112</v>
      </c>
      <c r="L39" t="s">
        <v>1113</v>
      </c>
      <c r="M39" t="s">
        <v>1034</v>
      </c>
      <c r="N39" t="s">
        <v>1114</v>
      </c>
      <c r="O39" t="s">
        <v>1115</v>
      </c>
      <c r="P39" t="s">
        <v>1116</v>
      </c>
      <c r="Q39" t="b">
        <v>1</v>
      </c>
      <c r="R39" t="b">
        <v>0</v>
      </c>
      <c r="S39" t="s">
        <v>1102</v>
      </c>
      <c r="T39" t="s">
        <v>446</v>
      </c>
      <c r="U39" t="s">
        <v>1066</v>
      </c>
      <c r="V39" t="s">
        <v>1002</v>
      </c>
      <c r="W39" t="s">
        <v>1040</v>
      </c>
      <c r="X39" t="s">
        <v>1141</v>
      </c>
    </row>
    <row r="40" spans="1:24" x14ac:dyDescent="0.25">
      <c r="A40" t="s">
        <v>42</v>
      </c>
      <c r="B40" t="s">
        <v>1162</v>
      </c>
      <c r="C40" t="s">
        <v>271</v>
      </c>
      <c r="D40" t="s">
        <v>427</v>
      </c>
      <c r="E40" t="s">
        <v>1025</v>
      </c>
      <c r="F40">
        <v>-975</v>
      </c>
      <c r="G40" t="s">
        <v>1029</v>
      </c>
      <c r="H40" t="s">
        <v>1163</v>
      </c>
      <c r="I40" t="s">
        <v>1147</v>
      </c>
      <c r="J40" t="s">
        <v>1000</v>
      </c>
      <c r="K40" t="s">
        <v>1119</v>
      </c>
      <c r="L40" t="s">
        <v>1120</v>
      </c>
      <c r="M40" t="s">
        <v>1062</v>
      </c>
      <c r="N40" t="s">
        <v>1121</v>
      </c>
      <c r="O40" t="s">
        <v>1100</v>
      </c>
      <c r="P40" t="s">
        <v>1122</v>
      </c>
      <c r="Q40" t="b">
        <v>1</v>
      </c>
      <c r="R40" t="b">
        <v>0</v>
      </c>
      <c r="S40" t="s">
        <v>1038</v>
      </c>
      <c r="T40" t="s">
        <v>446</v>
      </c>
      <c r="U40" t="s">
        <v>1039</v>
      </c>
      <c r="V40" t="s">
        <v>1067</v>
      </c>
      <c r="W40" t="s">
        <v>1040</v>
      </c>
      <c r="X40" t="s">
        <v>446</v>
      </c>
    </row>
    <row r="41" spans="1:24" x14ac:dyDescent="0.25">
      <c r="A41" t="s">
        <v>42</v>
      </c>
      <c r="B41" t="s">
        <v>1164</v>
      </c>
      <c r="C41" t="s">
        <v>271</v>
      </c>
      <c r="D41" t="s">
        <v>427</v>
      </c>
      <c r="E41" t="s">
        <v>1027</v>
      </c>
      <c r="F41">
        <v>-1041</v>
      </c>
      <c r="G41" t="s">
        <v>1029</v>
      </c>
      <c r="H41" t="s">
        <v>1165</v>
      </c>
      <c r="I41" t="s">
        <v>1140</v>
      </c>
      <c r="J41" t="s">
        <v>1000</v>
      </c>
      <c r="K41" t="s">
        <v>1125</v>
      </c>
      <c r="L41" t="s">
        <v>1126</v>
      </c>
      <c r="M41" t="s">
        <v>1034</v>
      </c>
      <c r="N41" t="s">
        <v>1127</v>
      </c>
      <c r="O41" t="s">
        <v>1128</v>
      </c>
      <c r="P41" t="s">
        <v>1129</v>
      </c>
      <c r="Q41" t="b">
        <v>1</v>
      </c>
      <c r="R41" t="b">
        <v>0</v>
      </c>
      <c r="S41" t="s">
        <v>1038</v>
      </c>
      <c r="T41" t="s">
        <v>446</v>
      </c>
      <c r="U41" t="s">
        <v>1039</v>
      </c>
      <c r="V41" t="s">
        <v>1002</v>
      </c>
      <c r="W41" t="s">
        <v>1040</v>
      </c>
      <c r="X41" t="s">
        <v>1141</v>
      </c>
    </row>
    <row r="42" spans="1:24" x14ac:dyDescent="0.25">
      <c r="A42" t="s">
        <v>42</v>
      </c>
      <c r="B42" t="s">
        <v>1166</v>
      </c>
      <c r="C42" t="s">
        <v>271</v>
      </c>
      <c r="D42" t="s">
        <v>427</v>
      </c>
      <c r="E42" t="s">
        <v>1131</v>
      </c>
      <c r="F42">
        <v>-1122</v>
      </c>
      <c r="G42" t="s">
        <v>1057</v>
      </c>
      <c r="H42" t="s">
        <v>1167</v>
      </c>
      <c r="I42" t="s">
        <v>1140</v>
      </c>
      <c r="J42" t="s">
        <v>1000</v>
      </c>
      <c r="K42" t="s">
        <v>1133</v>
      </c>
      <c r="L42" t="s">
        <v>1134</v>
      </c>
      <c r="M42" t="s">
        <v>1034</v>
      </c>
      <c r="N42" t="s">
        <v>1135</v>
      </c>
      <c r="O42" t="s">
        <v>1136</v>
      </c>
      <c r="P42" t="s">
        <v>1137</v>
      </c>
      <c r="Q42" t="b">
        <v>1</v>
      </c>
      <c r="R42" t="b">
        <v>0</v>
      </c>
      <c r="S42" t="s">
        <v>1102</v>
      </c>
      <c r="T42" t="s">
        <v>446</v>
      </c>
      <c r="U42" t="s">
        <v>1066</v>
      </c>
      <c r="V42" t="s">
        <v>1002</v>
      </c>
      <c r="W42" t="s">
        <v>1040</v>
      </c>
      <c r="X42" t="s">
        <v>1141</v>
      </c>
    </row>
    <row r="43" spans="1:24" x14ac:dyDescent="0.25">
      <c r="A43" t="s">
        <v>42</v>
      </c>
      <c r="B43" t="s">
        <v>1168</v>
      </c>
      <c r="C43" t="s">
        <v>272</v>
      </c>
      <c r="D43" t="s">
        <v>427</v>
      </c>
      <c r="E43" t="s">
        <v>998</v>
      </c>
      <c r="F43">
        <v>-1618</v>
      </c>
      <c r="G43" t="s">
        <v>1029</v>
      </c>
      <c r="H43" t="s">
        <v>1169</v>
      </c>
      <c r="I43" t="s">
        <v>1170</v>
      </c>
      <c r="J43" t="s">
        <v>1000</v>
      </c>
      <c r="K43" t="s">
        <v>1032</v>
      </c>
      <c r="L43" t="s">
        <v>1033</v>
      </c>
      <c r="M43" t="s">
        <v>1034</v>
      </c>
      <c r="N43" t="s">
        <v>1035</v>
      </c>
      <c r="O43" t="s">
        <v>1036</v>
      </c>
      <c r="P43" t="s">
        <v>1037</v>
      </c>
      <c r="Q43" t="b">
        <v>1</v>
      </c>
      <c r="R43" t="b">
        <v>0</v>
      </c>
      <c r="S43" t="s">
        <v>1038</v>
      </c>
      <c r="T43" t="s">
        <v>446</v>
      </c>
      <c r="U43" t="s">
        <v>1039</v>
      </c>
      <c r="V43" t="s">
        <v>1002</v>
      </c>
      <c r="W43" t="s">
        <v>1040</v>
      </c>
      <c r="X43" t="s">
        <v>1171</v>
      </c>
    </row>
    <row r="44" spans="1:24" x14ac:dyDescent="0.25">
      <c r="A44" t="s">
        <v>42</v>
      </c>
      <c r="B44" t="s">
        <v>1172</v>
      </c>
      <c r="C44" t="s">
        <v>272</v>
      </c>
      <c r="D44" t="s">
        <v>427</v>
      </c>
      <c r="E44" t="s">
        <v>1005</v>
      </c>
      <c r="F44">
        <v>-1824</v>
      </c>
      <c r="G44" t="s">
        <v>1029</v>
      </c>
      <c r="H44" t="s">
        <v>1173</v>
      </c>
      <c r="I44" t="s">
        <v>1170</v>
      </c>
      <c r="J44" t="s">
        <v>1000</v>
      </c>
      <c r="K44" t="s">
        <v>1044</v>
      </c>
      <c r="L44" t="s">
        <v>1045</v>
      </c>
      <c r="M44" t="s">
        <v>1034</v>
      </c>
      <c r="N44" t="s">
        <v>1046</v>
      </c>
      <c r="O44" t="s">
        <v>1047</v>
      </c>
      <c r="P44" t="s">
        <v>1048</v>
      </c>
      <c r="Q44" t="b">
        <v>1</v>
      </c>
      <c r="R44" t="b">
        <v>0</v>
      </c>
      <c r="S44" t="s">
        <v>1038</v>
      </c>
      <c r="T44" t="s">
        <v>446</v>
      </c>
      <c r="U44" t="s">
        <v>1039</v>
      </c>
      <c r="V44" t="s">
        <v>1002</v>
      </c>
      <c r="W44" t="s">
        <v>1040</v>
      </c>
      <c r="X44" t="s">
        <v>1171</v>
      </c>
    </row>
    <row r="45" spans="1:24" x14ac:dyDescent="0.25">
      <c r="A45" t="s">
        <v>42</v>
      </c>
      <c r="B45" t="s">
        <v>1174</v>
      </c>
      <c r="C45" t="s">
        <v>272</v>
      </c>
      <c r="D45" t="s">
        <v>427</v>
      </c>
      <c r="E45" t="s">
        <v>1007</v>
      </c>
      <c r="F45">
        <v>-1945</v>
      </c>
      <c r="G45" t="s">
        <v>1029</v>
      </c>
      <c r="H45" t="s">
        <v>1175</v>
      </c>
      <c r="I45" t="s">
        <v>1170</v>
      </c>
      <c r="J45" t="s">
        <v>1000</v>
      </c>
      <c r="K45" t="s">
        <v>1051</v>
      </c>
      <c r="L45" t="s">
        <v>1052</v>
      </c>
      <c r="M45" t="s">
        <v>1034</v>
      </c>
      <c r="N45" t="s">
        <v>1053</v>
      </c>
      <c r="O45" t="s">
        <v>1054</v>
      </c>
      <c r="P45" t="s">
        <v>1055</v>
      </c>
      <c r="Q45" t="b">
        <v>1</v>
      </c>
      <c r="R45" t="b">
        <v>0</v>
      </c>
      <c r="S45" t="s">
        <v>1038</v>
      </c>
      <c r="T45" t="s">
        <v>446</v>
      </c>
      <c r="U45" t="s">
        <v>1039</v>
      </c>
      <c r="V45" t="s">
        <v>1002</v>
      </c>
      <c r="W45" t="s">
        <v>1040</v>
      </c>
      <c r="X45" t="s">
        <v>1171</v>
      </c>
    </row>
    <row r="46" spans="1:24" x14ac:dyDescent="0.25">
      <c r="A46" t="s">
        <v>42</v>
      </c>
      <c r="B46" t="s">
        <v>1176</v>
      </c>
      <c r="C46" t="s">
        <v>272</v>
      </c>
      <c r="D46" t="s">
        <v>427</v>
      </c>
      <c r="E46" t="s">
        <v>1009</v>
      </c>
      <c r="F46">
        <v>-1952</v>
      </c>
      <c r="G46" t="s">
        <v>1029</v>
      </c>
      <c r="H46" t="s">
        <v>1177</v>
      </c>
      <c r="I46" t="s">
        <v>1178</v>
      </c>
      <c r="J46" t="s">
        <v>1000</v>
      </c>
      <c r="K46" t="s">
        <v>1060</v>
      </c>
      <c r="L46" t="s">
        <v>1061</v>
      </c>
      <c r="M46" t="s">
        <v>1062</v>
      </c>
      <c r="N46" t="s">
        <v>1063</v>
      </c>
      <c r="O46" t="s">
        <v>1036</v>
      </c>
      <c r="P46" t="s">
        <v>1064</v>
      </c>
      <c r="Q46" t="b">
        <v>1</v>
      </c>
      <c r="R46" t="b">
        <v>0</v>
      </c>
      <c r="S46" t="s">
        <v>1038</v>
      </c>
      <c r="T46" t="s">
        <v>446</v>
      </c>
      <c r="U46" t="s">
        <v>1039</v>
      </c>
      <c r="V46" t="s">
        <v>1067</v>
      </c>
      <c r="W46" t="s">
        <v>1040</v>
      </c>
      <c r="X46" t="s">
        <v>446</v>
      </c>
    </row>
    <row r="47" spans="1:24" x14ac:dyDescent="0.25">
      <c r="A47" t="s">
        <v>42</v>
      </c>
      <c r="B47" t="s">
        <v>1179</v>
      </c>
      <c r="C47" t="s">
        <v>272</v>
      </c>
      <c r="D47" t="s">
        <v>427</v>
      </c>
      <c r="E47" t="s">
        <v>1011</v>
      </c>
      <c r="F47">
        <v>-1875</v>
      </c>
      <c r="G47" t="s">
        <v>1029</v>
      </c>
      <c r="H47" t="s">
        <v>1180</v>
      </c>
      <c r="I47" t="s">
        <v>1170</v>
      </c>
      <c r="J47" t="s">
        <v>1000</v>
      </c>
      <c r="K47" t="s">
        <v>1070</v>
      </c>
      <c r="L47" t="s">
        <v>1071</v>
      </c>
      <c r="M47" t="s">
        <v>1034</v>
      </c>
      <c r="N47" t="s">
        <v>1072</v>
      </c>
      <c r="O47" t="s">
        <v>1073</v>
      </c>
      <c r="P47" t="s">
        <v>1074</v>
      </c>
      <c r="Q47" t="b">
        <v>1</v>
      </c>
      <c r="R47" t="b">
        <v>0</v>
      </c>
      <c r="S47" t="s">
        <v>1038</v>
      </c>
      <c r="T47" t="s">
        <v>446</v>
      </c>
      <c r="U47" t="s">
        <v>1039</v>
      </c>
      <c r="V47" t="s">
        <v>1002</v>
      </c>
      <c r="W47" t="s">
        <v>1040</v>
      </c>
      <c r="X47" t="s">
        <v>1171</v>
      </c>
    </row>
    <row r="48" spans="1:24" x14ac:dyDescent="0.25">
      <c r="A48" t="s">
        <v>42</v>
      </c>
      <c r="B48" t="s">
        <v>1181</v>
      </c>
      <c r="C48" t="s">
        <v>272</v>
      </c>
      <c r="D48" t="s">
        <v>427</v>
      </c>
      <c r="E48" t="s">
        <v>1013</v>
      </c>
      <c r="F48">
        <v>-2040</v>
      </c>
      <c r="G48" t="s">
        <v>1029</v>
      </c>
      <c r="H48" t="s">
        <v>1182</v>
      </c>
      <c r="I48" t="s">
        <v>1170</v>
      </c>
      <c r="J48" t="s">
        <v>1000</v>
      </c>
      <c r="K48" t="s">
        <v>1077</v>
      </c>
      <c r="L48" t="s">
        <v>1078</v>
      </c>
      <c r="M48" t="s">
        <v>1034</v>
      </c>
      <c r="N48" t="s">
        <v>1079</v>
      </c>
      <c r="O48" t="s">
        <v>1080</v>
      </c>
      <c r="P48" t="s">
        <v>1081</v>
      </c>
      <c r="Q48" t="b">
        <v>1</v>
      </c>
      <c r="R48" t="b">
        <v>0</v>
      </c>
      <c r="S48" t="s">
        <v>1038</v>
      </c>
      <c r="T48" t="s">
        <v>446</v>
      </c>
      <c r="U48" t="s">
        <v>1039</v>
      </c>
      <c r="V48" t="s">
        <v>1002</v>
      </c>
      <c r="W48" t="s">
        <v>1040</v>
      </c>
      <c r="X48" t="s">
        <v>1171</v>
      </c>
    </row>
    <row r="49" spans="1:24" x14ac:dyDescent="0.25">
      <c r="A49" t="s">
        <v>42</v>
      </c>
      <c r="B49" t="s">
        <v>1183</v>
      </c>
      <c r="C49" t="s">
        <v>272</v>
      </c>
      <c r="D49" t="s">
        <v>427</v>
      </c>
      <c r="E49" t="s">
        <v>1015</v>
      </c>
      <c r="F49">
        <v>-2294</v>
      </c>
      <c r="G49" t="s">
        <v>1029</v>
      </c>
      <c r="H49" t="s">
        <v>1184</v>
      </c>
      <c r="I49" t="s">
        <v>1170</v>
      </c>
      <c r="J49" t="s">
        <v>1000</v>
      </c>
      <c r="K49" t="s">
        <v>1084</v>
      </c>
      <c r="L49" t="s">
        <v>1085</v>
      </c>
      <c r="M49" t="s">
        <v>1034</v>
      </c>
      <c r="N49" t="s">
        <v>1086</v>
      </c>
      <c r="O49" t="s">
        <v>1087</v>
      </c>
      <c r="P49" t="s">
        <v>1088</v>
      </c>
      <c r="Q49" t="b">
        <v>1</v>
      </c>
      <c r="R49" t="b">
        <v>0</v>
      </c>
      <c r="S49" t="s">
        <v>1038</v>
      </c>
      <c r="T49" t="s">
        <v>446</v>
      </c>
      <c r="U49" t="s">
        <v>1039</v>
      </c>
      <c r="V49" t="s">
        <v>1002</v>
      </c>
      <c r="W49" t="s">
        <v>1040</v>
      </c>
      <c r="X49" t="s">
        <v>1171</v>
      </c>
    </row>
    <row r="50" spans="1:24" x14ac:dyDescent="0.25">
      <c r="A50" t="s">
        <v>42</v>
      </c>
      <c r="B50" t="s">
        <v>1185</v>
      </c>
      <c r="C50" t="s">
        <v>272</v>
      </c>
      <c r="D50" t="s">
        <v>427</v>
      </c>
      <c r="E50" t="s">
        <v>1017</v>
      </c>
      <c r="F50">
        <v>-2465</v>
      </c>
      <c r="G50" t="s">
        <v>1029</v>
      </c>
      <c r="H50" t="s">
        <v>1186</v>
      </c>
      <c r="I50" t="s">
        <v>1178</v>
      </c>
      <c r="J50" t="s">
        <v>1000</v>
      </c>
      <c r="K50" t="s">
        <v>1091</v>
      </c>
      <c r="L50" t="s">
        <v>1092</v>
      </c>
      <c r="M50" t="s">
        <v>1062</v>
      </c>
      <c r="N50" t="s">
        <v>1093</v>
      </c>
      <c r="O50" t="s">
        <v>1073</v>
      </c>
      <c r="P50" t="s">
        <v>1094</v>
      </c>
      <c r="Q50" t="b">
        <v>1</v>
      </c>
      <c r="R50" t="b">
        <v>0</v>
      </c>
      <c r="S50" t="s">
        <v>1038</v>
      </c>
      <c r="T50" t="s">
        <v>446</v>
      </c>
      <c r="U50" t="s">
        <v>1039</v>
      </c>
      <c r="V50" t="s">
        <v>1067</v>
      </c>
      <c r="W50" t="s">
        <v>1040</v>
      </c>
      <c r="X50" t="s">
        <v>446</v>
      </c>
    </row>
    <row r="51" spans="1:24" x14ac:dyDescent="0.25">
      <c r="A51" t="s">
        <v>42</v>
      </c>
      <c r="B51" t="s">
        <v>1187</v>
      </c>
      <c r="C51" t="s">
        <v>272</v>
      </c>
      <c r="D51" t="s">
        <v>427</v>
      </c>
      <c r="E51" t="s">
        <v>1019</v>
      </c>
      <c r="F51">
        <v>-2720</v>
      </c>
      <c r="G51" t="s">
        <v>1029</v>
      </c>
      <c r="H51" t="s">
        <v>1188</v>
      </c>
      <c r="I51" t="s">
        <v>1170</v>
      </c>
      <c r="J51" t="s">
        <v>1000</v>
      </c>
      <c r="K51" t="s">
        <v>1097</v>
      </c>
      <c r="L51" t="s">
        <v>1098</v>
      </c>
      <c r="M51" t="s">
        <v>1034</v>
      </c>
      <c r="N51" t="s">
        <v>1099</v>
      </c>
      <c r="O51" t="s">
        <v>1100</v>
      </c>
      <c r="P51" t="s">
        <v>1101</v>
      </c>
      <c r="Q51" t="b">
        <v>1</v>
      </c>
      <c r="R51" t="b">
        <v>0</v>
      </c>
      <c r="S51" t="s">
        <v>1038</v>
      </c>
      <c r="T51" t="s">
        <v>446</v>
      </c>
      <c r="U51" t="s">
        <v>1039</v>
      </c>
      <c r="V51" t="s">
        <v>1002</v>
      </c>
      <c r="W51" t="s">
        <v>1040</v>
      </c>
      <c r="X51" t="s">
        <v>1171</v>
      </c>
    </row>
    <row r="52" spans="1:24" x14ac:dyDescent="0.25">
      <c r="A52" t="s">
        <v>42</v>
      </c>
      <c r="B52" t="s">
        <v>1189</v>
      </c>
      <c r="C52" t="s">
        <v>272</v>
      </c>
      <c r="D52" t="s">
        <v>427</v>
      </c>
      <c r="E52" t="s">
        <v>1021</v>
      </c>
      <c r="F52">
        <v>-3090</v>
      </c>
      <c r="G52" t="s">
        <v>1029</v>
      </c>
      <c r="H52" t="s">
        <v>1190</v>
      </c>
      <c r="I52" t="s">
        <v>1170</v>
      </c>
      <c r="J52" t="s">
        <v>1000</v>
      </c>
      <c r="K52" t="s">
        <v>1105</v>
      </c>
      <c r="L52" t="s">
        <v>1106</v>
      </c>
      <c r="M52" t="s">
        <v>1034</v>
      </c>
      <c r="N52" t="s">
        <v>1107</v>
      </c>
      <c r="O52" t="s">
        <v>1108</v>
      </c>
      <c r="P52" t="s">
        <v>1109</v>
      </c>
      <c r="Q52" t="b">
        <v>1</v>
      </c>
      <c r="R52" t="b">
        <v>0</v>
      </c>
      <c r="S52" t="s">
        <v>1038</v>
      </c>
      <c r="T52" t="s">
        <v>446</v>
      </c>
      <c r="U52" t="s">
        <v>1039</v>
      </c>
      <c r="V52" t="s">
        <v>1002</v>
      </c>
      <c r="W52" t="s">
        <v>1040</v>
      </c>
      <c r="X52" t="s">
        <v>1171</v>
      </c>
    </row>
    <row r="53" spans="1:24" x14ac:dyDescent="0.25">
      <c r="A53" t="s">
        <v>42</v>
      </c>
      <c r="B53" t="s">
        <v>1191</v>
      </c>
      <c r="C53" t="s">
        <v>272</v>
      </c>
      <c r="D53" t="s">
        <v>427</v>
      </c>
      <c r="E53" t="s">
        <v>1023</v>
      </c>
      <c r="F53">
        <v>-3390</v>
      </c>
      <c r="G53" t="s">
        <v>1029</v>
      </c>
      <c r="H53" t="s">
        <v>1192</v>
      </c>
      <c r="I53" t="s">
        <v>1170</v>
      </c>
      <c r="J53" t="s">
        <v>1000</v>
      </c>
      <c r="K53" t="s">
        <v>1112</v>
      </c>
      <c r="L53" t="s">
        <v>1113</v>
      </c>
      <c r="M53" t="s">
        <v>1034</v>
      </c>
      <c r="N53" t="s">
        <v>1114</v>
      </c>
      <c r="O53" t="s">
        <v>1115</v>
      </c>
      <c r="P53" t="s">
        <v>1116</v>
      </c>
      <c r="Q53" t="b">
        <v>1</v>
      </c>
      <c r="R53" t="b">
        <v>0</v>
      </c>
      <c r="S53" t="s">
        <v>1038</v>
      </c>
      <c r="T53" t="s">
        <v>446</v>
      </c>
      <c r="U53" t="s">
        <v>1039</v>
      </c>
      <c r="V53" t="s">
        <v>1002</v>
      </c>
      <c r="W53" t="s">
        <v>1040</v>
      </c>
      <c r="X53" t="s">
        <v>1171</v>
      </c>
    </row>
    <row r="54" spans="1:24" x14ac:dyDescent="0.25">
      <c r="A54" t="s">
        <v>42</v>
      </c>
      <c r="B54" t="s">
        <v>1193</v>
      </c>
      <c r="C54" t="s">
        <v>272</v>
      </c>
      <c r="D54" t="s">
        <v>427</v>
      </c>
      <c r="E54" t="s">
        <v>1025</v>
      </c>
      <c r="F54">
        <v>-3714</v>
      </c>
      <c r="G54" t="s">
        <v>1029</v>
      </c>
      <c r="H54" t="s">
        <v>1194</v>
      </c>
      <c r="I54" t="s">
        <v>1178</v>
      </c>
      <c r="J54" t="s">
        <v>1000</v>
      </c>
      <c r="K54" t="s">
        <v>1119</v>
      </c>
      <c r="L54" t="s">
        <v>1120</v>
      </c>
      <c r="M54" t="s">
        <v>1062</v>
      </c>
      <c r="N54" t="s">
        <v>1121</v>
      </c>
      <c r="O54" t="s">
        <v>1100</v>
      </c>
      <c r="P54" t="s">
        <v>1122</v>
      </c>
      <c r="Q54" t="b">
        <v>1</v>
      </c>
      <c r="R54" t="b">
        <v>0</v>
      </c>
      <c r="S54" t="s">
        <v>1038</v>
      </c>
      <c r="T54" t="s">
        <v>446</v>
      </c>
      <c r="U54" t="s">
        <v>1039</v>
      </c>
      <c r="V54" t="s">
        <v>1067</v>
      </c>
      <c r="W54" t="s">
        <v>1040</v>
      </c>
      <c r="X54" t="s">
        <v>446</v>
      </c>
    </row>
    <row r="55" spans="1:24" x14ac:dyDescent="0.25">
      <c r="A55" t="s">
        <v>42</v>
      </c>
      <c r="B55" t="s">
        <v>1195</v>
      </c>
      <c r="C55" t="s">
        <v>272</v>
      </c>
      <c r="D55" t="s">
        <v>427</v>
      </c>
      <c r="E55" t="s">
        <v>1027</v>
      </c>
      <c r="F55">
        <v>-3989</v>
      </c>
      <c r="G55" t="s">
        <v>1029</v>
      </c>
      <c r="H55" t="s">
        <v>1196</v>
      </c>
      <c r="I55" t="s">
        <v>1170</v>
      </c>
      <c r="J55" t="s">
        <v>1000</v>
      </c>
      <c r="K55" t="s">
        <v>1125</v>
      </c>
      <c r="L55" t="s">
        <v>1126</v>
      </c>
      <c r="M55" t="s">
        <v>1034</v>
      </c>
      <c r="N55" t="s">
        <v>1127</v>
      </c>
      <c r="O55" t="s">
        <v>1128</v>
      </c>
      <c r="P55" t="s">
        <v>1129</v>
      </c>
      <c r="Q55" t="b">
        <v>1</v>
      </c>
      <c r="R55" t="b">
        <v>0</v>
      </c>
      <c r="S55" t="s">
        <v>1038</v>
      </c>
      <c r="T55" t="s">
        <v>446</v>
      </c>
      <c r="U55" t="s">
        <v>1039</v>
      </c>
      <c r="V55" t="s">
        <v>1002</v>
      </c>
      <c r="W55" t="s">
        <v>1040</v>
      </c>
      <c r="X55" t="s">
        <v>1171</v>
      </c>
    </row>
    <row r="56" spans="1:24" x14ac:dyDescent="0.25">
      <c r="A56" t="s">
        <v>42</v>
      </c>
      <c r="B56" t="s">
        <v>1197</v>
      </c>
      <c r="C56" t="s">
        <v>272</v>
      </c>
      <c r="D56" t="s">
        <v>427</v>
      </c>
      <c r="E56" t="s">
        <v>1131</v>
      </c>
      <c r="F56">
        <v>-4291</v>
      </c>
      <c r="G56" t="s">
        <v>1029</v>
      </c>
      <c r="H56" t="s">
        <v>1198</v>
      </c>
      <c r="I56" t="s">
        <v>1170</v>
      </c>
      <c r="J56" t="s">
        <v>1000</v>
      </c>
      <c r="K56" t="s">
        <v>1133</v>
      </c>
      <c r="L56" t="s">
        <v>1134</v>
      </c>
      <c r="M56" t="s">
        <v>1034</v>
      </c>
      <c r="N56" t="s">
        <v>1135</v>
      </c>
      <c r="O56" t="s">
        <v>1136</v>
      </c>
      <c r="P56" t="s">
        <v>1137</v>
      </c>
      <c r="Q56" t="b">
        <v>1</v>
      </c>
      <c r="R56" t="b">
        <v>0</v>
      </c>
      <c r="S56" t="s">
        <v>1038</v>
      </c>
      <c r="T56" t="s">
        <v>446</v>
      </c>
      <c r="U56" t="s">
        <v>1039</v>
      </c>
      <c r="V56" t="s">
        <v>1002</v>
      </c>
      <c r="W56" t="s">
        <v>1040</v>
      </c>
      <c r="X56" t="s">
        <v>1171</v>
      </c>
    </row>
    <row r="57" spans="1:24" x14ac:dyDescent="0.25">
      <c r="A57" t="s">
        <v>42</v>
      </c>
      <c r="B57" t="s">
        <v>1199</v>
      </c>
      <c r="C57" t="s">
        <v>273</v>
      </c>
      <c r="D57" t="s">
        <v>427</v>
      </c>
      <c r="E57" t="s">
        <v>998</v>
      </c>
      <c r="F57">
        <v>-334</v>
      </c>
      <c r="G57" t="s">
        <v>1029</v>
      </c>
      <c r="H57" t="s">
        <v>1200</v>
      </c>
      <c r="I57" t="s">
        <v>1201</v>
      </c>
      <c r="J57" t="s">
        <v>1000</v>
      </c>
      <c r="K57" t="s">
        <v>1032</v>
      </c>
      <c r="L57" t="s">
        <v>1033</v>
      </c>
      <c r="M57" t="s">
        <v>1034</v>
      </c>
      <c r="N57" t="s">
        <v>1035</v>
      </c>
      <c r="O57" t="s">
        <v>1036</v>
      </c>
      <c r="P57" t="s">
        <v>1037</v>
      </c>
      <c r="Q57" t="b">
        <v>1</v>
      </c>
      <c r="R57" t="b">
        <v>0</v>
      </c>
      <c r="S57" t="s">
        <v>1038</v>
      </c>
      <c r="T57" t="s">
        <v>446</v>
      </c>
      <c r="U57" t="s">
        <v>1039</v>
      </c>
      <c r="V57" t="s">
        <v>1002</v>
      </c>
      <c r="W57" t="s">
        <v>1040</v>
      </c>
      <c r="X57" t="s">
        <v>1202</v>
      </c>
    </row>
    <row r="58" spans="1:24" x14ac:dyDescent="0.25">
      <c r="A58" t="s">
        <v>42</v>
      </c>
      <c r="B58" t="s">
        <v>1203</v>
      </c>
      <c r="C58" t="s">
        <v>273</v>
      </c>
      <c r="D58" t="s">
        <v>427</v>
      </c>
      <c r="E58" t="s">
        <v>1005</v>
      </c>
      <c r="F58">
        <v>-378</v>
      </c>
      <c r="G58" t="s">
        <v>1029</v>
      </c>
      <c r="H58" t="s">
        <v>1204</v>
      </c>
      <c r="I58" t="s">
        <v>1205</v>
      </c>
      <c r="J58" t="s">
        <v>1000</v>
      </c>
      <c r="K58" t="s">
        <v>1044</v>
      </c>
      <c r="L58" t="s">
        <v>1045</v>
      </c>
      <c r="M58" t="s">
        <v>1034</v>
      </c>
      <c r="N58" t="s">
        <v>1046</v>
      </c>
      <c r="O58" t="s">
        <v>1036</v>
      </c>
      <c r="P58" t="s">
        <v>1048</v>
      </c>
      <c r="Q58" t="b">
        <v>1</v>
      </c>
      <c r="R58" t="b">
        <v>0</v>
      </c>
      <c r="S58" t="s">
        <v>1038</v>
      </c>
      <c r="T58" t="s">
        <v>446</v>
      </c>
      <c r="U58" t="s">
        <v>1039</v>
      </c>
      <c r="V58" t="s">
        <v>1067</v>
      </c>
      <c r="W58" t="s">
        <v>1040</v>
      </c>
      <c r="X58" t="s">
        <v>446</v>
      </c>
    </row>
    <row r="59" spans="1:24" x14ac:dyDescent="0.25">
      <c r="A59" t="s">
        <v>42</v>
      </c>
      <c r="B59" t="s">
        <v>1206</v>
      </c>
      <c r="C59" t="s">
        <v>273</v>
      </c>
      <c r="D59" t="s">
        <v>427</v>
      </c>
      <c r="E59" t="s">
        <v>1007</v>
      </c>
      <c r="F59">
        <v>-406</v>
      </c>
      <c r="G59" t="s">
        <v>1029</v>
      </c>
      <c r="H59" t="s">
        <v>1207</v>
      </c>
      <c r="I59" t="s">
        <v>1208</v>
      </c>
      <c r="J59" t="s">
        <v>1000</v>
      </c>
      <c r="K59" t="s">
        <v>1051</v>
      </c>
      <c r="L59" t="s">
        <v>1052</v>
      </c>
      <c r="M59" t="s">
        <v>1034</v>
      </c>
      <c r="N59" t="s">
        <v>1053</v>
      </c>
      <c r="O59" t="s">
        <v>1036</v>
      </c>
      <c r="P59" t="s">
        <v>1055</v>
      </c>
      <c r="Q59" t="b">
        <v>1</v>
      </c>
      <c r="R59" t="b">
        <v>0</v>
      </c>
      <c r="S59" t="s">
        <v>1038</v>
      </c>
      <c r="T59" t="s">
        <v>446</v>
      </c>
      <c r="U59" t="s">
        <v>1039</v>
      </c>
      <c r="V59" t="s">
        <v>1067</v>
      </c>
      <c r="W59" t="s">
        <v>1040</v>
      </c>
      <c r="X59" t="s">
        <v>446</v>
      </c>
    </row>
    <row r="60" spans="1:24" x14ac:dyDescent="0.25">
      <c r="A60" t="s">
        <v>42</v>
      </c>
      <c r="B60" t="s">
        <v>1209</v>
      </c>
      <c r="C60" t="s">
        <v>273</v>
      </c>
      <c r="D60" t="s">
        <v>427</v>
      </c>
      <c r="E60" t="s">
        <v>1009</v>
      </c>
      <c r="F60">
        <v>-426</v>
      </c>
      <c r="G60" t="s">
        <v>1057</v>
      </c>
      <c r="H60" t="s">
        <v>1210</v>
      </c>
      <c r="I60" t="s">
        <v>1211</v>
      </c>
      <c r="J60" t="s">
        <v>1000</v>
      </c>
      <c r="K60" t="s">
        <v>1060</v>
      </c>
      <c r="L60" t="s">
        <v>1061</v>
      </c>
      <c r="M60" t="s">
        <v>1062</v>
      </c>
      <c r="N60" t="s">
        <v>1063</v>
      </c>
      <c r="O60" t="s">
        <v>1036</v>
      </c>
      <c r="P60" t="s">
        <v>1064</v>
      </c>
      <c r="Q60" t="b">
        <v>1</v>
      </c>
      <c r="R60" t="b">
        <v>0</v>
      </c>
      <c r="S60" t="s">
        <v>1102</v>
      </c>
      <c r="T60" t="s">
        <v>446</v>
      </c>
      <c r="U60" t="s">
        <v>1066</v>
      </c>
      <c r="V60" t="s">
        <v>1067</v>
      </c>
      <c r="W60" t="s">
        <v>1040</v>
      </c>
      <c r="X60" t="s">
        <v>446</v>
      </c>
    </row>
    <row r="61" spans="1:24" x14ac:dyDescent="0.25">
      <c r="A61" t="s">
        <v>42</v>
      </c>
      <c r="B61" t="s">
        <v>1212</v>
      </c>
      <c r="C61" t="s">
        <v>273</v>
      </c>
      <c r="D61" t="s">
        <v>427</v>
      </c>
      <c r="E61" t="s">
        <v>1011</v>
      </c>
      <c r="F61">
        <v>-384</v>
      </c>
      <c r="G61" t="s">
        <v>1029</v>
      </c>
      <c r="H61" t="s">
        <v>1213</v>
      </c>
      <c r="I61" t="s">
        <v>1201</v>
      </c>
      <c r="J61" t="s">
        <v>1000</v>
      </c>
      <c r="K61" t="s">
        <v>1070</v>
      </c>
      <c r="L61" t="s">
        <v>1071</v>
      </c>
      <c r="M61" t="s">
        <v>1034</v>
      </c>
      <c r="N61" t="s">
        <v>1072</v>
      </c>
      <c r="O61" t="s">
        <v>1073</v>
      </c>
      <c r="P61" t="s">
        <v>1074</v>
      </c>
      <c r="Q61" t="b">
        <v>1</v>
      </c>
      <c r="R61" t="b">
        <v>0</v>
      </c>
      <c r="S61" t="s">
        <v>1038</v>
      </c>
      <c r="T61" t="s">
        <v>446</v>
      </c>
      <c r="U61" t="s">
        <v>1039</v>
      </c>
      <c r="V61" t="s">
        <v>1002</v>
      </c>
      <c r="W61" t="s">
        <v>1040</v>
      </c>
      <c r="X61" t="s">
        <v>1202</v>
      </c>
    </row>
    <row r="62" spans="1:24" x14ac:dyDescent="0.25">
      <c r="A62" t="s">
        <v>42</v>
      </c>
      <c r="B62" t="s">
        <v>1214</v>
      </c>
      <c r="C62" t="s">
        <v>273</v>
      </c>
      <c r="D62" t="s">
        <v>427</v>
      </c>
      <c r="E62" t="s">
        <v>1013</v>
      </c>
      <c r="F62">
        <v>-365</v>
      </c>
      <c r="G62" t="s">
        <v>1029</v>
      </c>
      <c r="H62" t="s">
        <v>1215</v>
      </c>
      <c r="I62" t="s">
        <v>1205</v>
      </c>
      <c r="J62" t="s">
        <v>1000</v>
      </c>
      <c r="K62" t="s">
        <v>1077</v>
      </c>
      <c r="L62" t="s">
        <v>1078</v>
      </c>
      <c r="M62" t="s">
        <v>1034</v>
      </c>
      <c r="N62" t="s">
        <v>1079</v>
      </c>
      <c r="O62" t="s">
        <v>1073</v>
      </c>
      <c r="P62" t="s">
        <v>1081</v>
      </c>
      <c r="Q62" t="b">
        <v>1</v>
      </c>
      <c r="R62" t="b">
        <v>0</v>
      </c>
      <c r="S62" t="s">
        <v>1038</v>
      </c>
      <c r="T62" t="s">
        <v>446</v>
      </c>
      <c r="U62" t="s">
        <v>1039</v>
      </c>
      <c r="V62" t="s">
        <v>1067</v>
      </c>
      <c r="W62" t="s">
        <v>1040</v>
      </c>
      <c r="X62" t="s">
        <v>446</v>
      </c>
    </row>
    <row r="63" spans="1:24" x14ac:dyDescent="0.25">
      <c r="A63" t="s">
        <v>42</v>
      </c>
      <c r="B63" t="s">
        <v>1216</v>
      </c>
      <c r="C63" t="s">
        <v>273</v>
      </c>
      <c r="D63" t="s">
        <v>427</v>
      </c>
      <c r="E63" t="s">
        <v>1015</v>
      </c>
      <c r="F63">
        <v>-372</v>
      </c>
      <c r="G63" t="s">
        <v>1029</v>
      </c>
      <c r="H63" t="s">
        <v>1217</v>
      </c>
      <c r="I63" t="s">
        <v>1208</v>
      </c>
      <c r="J63" t="s">
        <v>1000</v>
      </c>
      <c r="K63" t="s">
        <v>1084</v>
      </c>
      <c r="L63" t="s">
        <v>1085</v>
      </c>
      <c r="M63" t="s">
        <v>1034</v>
      </c>
      <c r="N63" t="s">
        <v>1086</v>
      </c>
      <c r="O63" t="s">
        <v>1073</v>
      </c>
      <c r="P63" t="s">
        <v>1088</v>
      </c>
      <c r="Q63" t="b">
        <v>1</v>
      </c>
      <c r="R63" t="b">
        <v>0</v>
      </c>
      <c r="S63" t="s">
        <v>1038</v>
      </c>
      <c r="T63" t="s">
        <v>446</v>
      </c>
      <c r="U63" t="s">
        <v>1039</v>
      </c>
      <c r="V63" t="s">
        <v>1067</v>
      </c>
      <c r="W63" t="s">
        <v>1040</v>
      </c>
      <c r="X63" t="s">
        <v>446</v>
      </c>
    </row>
    <row r="64" spans="1:24" x14ac:dyDescent="0.25">
      <c r="A64" t="s">
        <v>42</v>
      </c>
      <c r="B64" t="s">
        <v>1218</v>
      </c>
      <c r="C64" t="s">
        <v>273</v>
      </c>
      <c r="D64" t="s">
        <v>427</v>
      </c>
      <c r="E64" t="s">
        <v>1017</v>
      </c>
      <c r="F64">
        <v>-387</v>
      </c>
      <c r="G64" t="s">
        <v>1029</v>
      </c>
      <c r="H64" t="s">
        <v>1219</v>
      </c>
      <c r="I64" t="s">
        <v>1211</v>
      </c>
      <c r="J64" t="s">
        <v>1000</v>
      </c>
      <c r="K64" t="s">
        <v>1091</v>
      </c>
      <c r="L64" t="s">
        <v>1092</v>
      </c>
      <c r="M64" t="s">
        <v>1062</v>
      </c>
      <c r="N64" t="s">
        <v>1093</v>
      </c>
      <c r="O64" t="s">
        <v>1073</v>
      </c>
      <c r="P64" t="s">
        <v>1094</v>
      </c>
      <c r="Q64" t="b">
        <v>1</v>
      </c>
      <c r="R64" t="b">
        <v>0</v>
      </c>
      <c r="S64" t="s">
        <v>1038</v>
      </c>
      <c r="T64" t="s">
        <v>446</v>
      </c>
      <c r="U64" t="s">
        <v>1039</v>
      </c>
      <c r="V64" t="s">
        <v>1067</v>
      </c>
      <c r="W64" t="s">
        <v>1040</v>
      </c>
      <c r="X64" t="s">
        <v>446</v>
      </c>
    </row>
    <row r="65" spans="1:24" x14ac:dyDescent="0.25">
      <c r="A65" t="s">
        <v>42</v>
      </c>
      <c r="B65" t="s">
        <v>1220</v>
      </c>
      <c r="C65" t="s">
        <v>273</v>
      </c>
      <c r="D65" t="s">
        <v>427</v>
      </c>
      <c r="E65" t="s">
        <v>1019</v>
      </c>
      <c r="F65">
        <v>-410</v>
      </c>
      <c r="G65" t="s">
        <v>1057</v>
      </c>
      <c r="H65" t="s">
        <v>1221</v>
      </c>
      <c r="I65" t="s">
        <v>1201</v>
      </c>
      <c r="J65" t="s">
        <v>1000</v>
      </c>
      <c r="K65" t="s">
        <v>1097</v>
      </c>
      <c r="L65" t="s">
        <v>1098</v>
      </c>
      <c r="M65" t="s">
        <v>1034</v>
      </c>
      <c r="N65" t="s">
        <v>1099</v>
      </c>
      <c r="O65" t="s">
        <v>1100</v>
      </c>
      <c r="P65" t="s">
        <v>1101</v>
      </c>
      <c r="Q65" t="b">
        <v>1</v>
      </c>
      <c r="R65" t="b">
        <v>0</v>
      </c>
      <c r="S65" t="s">
        <v>1102</v>
      </c>
      <c r="T65" t="s">
        <v>446</v>
      </c>
      <c r="U65" t="s">
        <v>1066</v>
      </c>
      <c r="V65" t="s">
        <v>1002</v>
      </c>
      <c r="W65" t="s">
        <v>1040</v>
      </c>
      <c r="X65" t="s">
        <v>1202</v>
      </c>
    </row>
    <row r="66" spans="1:24" x14ac:dyDescent="0.25">
      <c r="A66" t="s">
        <v>42</v>
      </c>
      <c r="B66" t="s">
        <v>1222</v>
      </c>
      <c r="C66" t="s">
        <v>273</v>
      </c>
      <c r="D66" t="s">
        <v>427</v>
      </c>
      <c r="E66" t="s">
        <v>1021</v>
      </c>
      <c r="F66">
        <v>-433</v>
      </c>
      <c r="G66" t="s">
        <v>1057</v>
      </c>
      <c r="H66" t="s">
        <v>1223</v>
      </c>
      <c r="I66" t="s">
        <v>1205</v>
      </c>
      <c r="J66" t="s">
        <v>1000</v>
      </c>
      <c r="K66" t="s">
        <v>1105</v>
      </c>
      <c r="L66" t="s">
        <v>1106</v>
      </c>
      <c r="M66" t="s">
        <v>1034</v>
      </c>
      <c r="N66" t="s">
        <v>1107</v>
      </c>
      <c r="O66" t="s">
        <v>1100</v>
      </c>
      <c r="P66" t="s">
        <v>1109</v>
      </c>
      <c r="Q66" t="b">
        <v>1</v>
      </c>
      <c r="R66" t="b">
        <v>0</v>
      </c>
      <c r="S66" t="s">
        <v>1102</v>
      </c>
      <c r="T66" t="s">
        <v>446</v>
      </c>
      <c r="U66" t="s">
        <v>1066</v>
      </c>
      <c r="V66" t="s">
        <v>1067</v>
      </c>
      <c r="W66" t="s">
        <v>1040</v>
      </c>
      <c r="X66" t="s">
        <v>446</v>
      </c>
    </row>
    <row r="67" spans="1:24" x14ac:dyDescent="0.25">
      <c r="A67" t="s">
        <v>42</v>
      </c>
      <c r="B67" t="s">
        <v>1224</v>
      </c>
      <c r="C67" t="s">
        <v>273</v>
      </c>
      <c r="D67" t="s">
        <v>427</v>
      </c>
      <c r="E67" t="s">
        <v>1023</v>
      </c>
      <c r="F67">
        <v>-478</v>
      </c>
      <c r="G67" t="s">
        <v>1057</v>
      </c>
      <c r="H67" t="s">
        <v>1225</v>
      </c>
      <c r="I67" t="s">
        <v>1208</v>
      </c>
      <c r="J67" t="s">
        <v>1000</v>
      </c>
      <c r="K67" t="s">
        <v>1112</v>
      </c>
      <c r="L67" t="s">
        <v>1113</v>
      </c>
      <c r="M67" t="s">
        <v>1034</v>
      </c>
      <c r="N67" t="s">
        <v>1114</v>
      </c>
      <c r="O67" t="s">
        <v>1100</v>
      </c>
      <c r="P67" t="s">
        <v>1116</v>
      </c>
      <c r="Q67" t="b">
        <v>1</v>
      </c>
      <c r="R67" t="b">
        <v>0</v>
      </c>
      <c r="S67" t="s">
        <v>1102</v>
      </c>
      <c r="T67" t="s">
        <v>446</v>
      </c>
      <c r="U67" t="s">
        <v>1066</v>
      </c>
      <c r="V67" t="s">
        <v>1067</v>
      </c>
      <c r="W67" t="s">
        <v>1040</v>
      </c>
      <c r="X67" t="s">
        <v>446</v>
      </c>
    </row>
    <row r="68" spans="1:24" x14ac:dyDescent="0.25">
      <c r="A68" t="s">
        <v>42</v>
      </c>
      <c r="B68" t="s">
        <v>1226</v>
      </c>
      <c r="C68" t="s">
        <v>273</v>
      </c>
      <c r="D68" t="s">
        <v>427</v>
      </c>
      <c r="E68" t="s">
        <v>1025</v>
      </c>
      <c r="F68">
        <v>-543</v>
      </c>
      <c r="G68" t="s">
        <v>1029</v>
      </c>
      <c r="H68" t="s">
        <v>1227</v>
      </c>
      <c r="I68" t="s">
        <v>1211</v>
      </c>
      <c r="J68" t="s">
        <v>1000</v>
      </c>
      <c r="K68" t="s">
        <v>1119</v>
      </c>
      <c r="L68" t="s">
        <v>1120</v>
      </c>
      <c r="M68" t="s">
        <v>1062</v>
      </c>
      <c r="N68" t="s">
        <v>1121</v>
      </c>
      <c r="O68" t="s">
        <v>1100</v>
      </c>
      <c r="P68" t="s">
        <v>1122</v>
      </c>
      <c r="Q68" t="b">
        <v>1</v>
      </c>
      <c r="R68" t="b">
        <v>0</v>
      </c>
      <c r="S68" t="s">
        <v>1038</v>
      </c>
      <c r="T68" t="s">
        <v>446</v>
      </c>
      <c r="U68" t="s">
        <v>1039</v>
      </c>
      <c r="V68" t="s">
        <v>1067</v>
      </c>
      <c r="W68" t="s">
        <v>1040</v>
      </c>
      <c r="X68" t="s">
        <v>446</v>
      </c>
    </row>
    <row r="69" spans="1:24" x14ac:dyDescent="0.25">
      <c r="A69" t="s">
        <v>42</v>
      </c>
      <c r="B69" t="s">
        <v>1228</v>
      </c>
      <c r="C69" t="s">
        <v>273</v>
      </c>
      <c r="D69" t="s">
        <v>427</v>
      </c>
      <c r="E69" t="s">
        <v>1027</v>
      </c>
      <c r="F69">
        <v>-611</v>
      </c>
      <c r="G69" t="s">
        <v>1029</v>
      </c>
      <c r="H69" t="s">
        <v>1229</v>
      </c>
      <c r="I69" t="s">
        <v>1201</v>
      </c>
      <c r="J69" t="s">
        <v>1000</v>
      </c>
      <c r="K69" t="s">
        <v>1125</v>
      </c>
      <c r="L69" t="s">
        <v>1126</v>
      </c>
      <c r="M69" t="s">
        <v>1034</v>
      </c>
      <c r="N69" t="s">
        <v>1127</v>
      </c>
      <c r="O69" t="s">
        <v>1128</v>
      </c>
      <c r="P69" t="s">
        <v>1129</v>
      </c>
      <c r="Q69" t="b">
        <v>1</v>
      </c>
      <c r="R69" t="b">
        <v>0</v>
      </c>
      <c r="S69" t="s">
        <v>1038</v>
      </c>
      <c r="T69" t="s">
        <v>446</v>
      </c>
      <c r="U69" t="s">
        <v>1039</v>
      </c>
      <c r="V69" t="s">
        <v>1002</v>
      </c>
      <c r="W69" t="s">
        <v>1040</v>
      </c>
      <c r="X69" t="s">
        <v>1202</v>
      </c>
    </row>
    <row r="70" spans="1:24" x14ac:dyDescent="0.25">
      <c r="A70" t="s">
        <v>42</v>
      </c>
      <c r="B70" t="s">
        <v>1230</v>
      </c>
      <c r="C70" t="s">
        <v>273</v>
      </c>
      <c r="D70" t="s">
        <v>427</v>
      </c>
      <c r="E70" t="s">
        <v>1131</v>
      </c>
      <c r="F70">
        <v>-669</v>
      </c>
      <c r="G70" t="s">
        <v>1029</v>
      </c>
      <c r="H70" t="s">
        <v>1231</v>
      </c>
      <c r="I70" t="s">
        <v>1205</v>
      </c>
      <c r="J70" t="s">
        <v>1000</v>
      </c>
      <c r="K70" t="s">
        <v>1133</v>
      </c>
      <c r="L70" t="s">
        <v>1134</v>
      </c>
      <c r="M70" t="s">
        <v>1034</v>
      </c>
      <c r="N70" t="s">
        <v>1135</v>
      </c>
      <c r="O70" t="s">
        <v>1128</v>
      </c>
      <c r="P70" t="s">
        <v>1137</v>
      </c>
      <c r="Q70" t="b">
        <v>1</v>
      </c>
      <c r="R70" t="b">
        <v>0</v>
      </c>
      <c r="S70" t="s">
        <v>1038</v>
      </c>
      <c r="T70" t="s">
        <v>446</v>
      </c>
      <c r="U70" t="s">
        <v>1039</v>
      </c>
      <c r="V70" t="s">
        <v>1067</v>
      </c>
      <c r="W70" t="s">
        <v>1040</v>
      </c>
      <c r="X70" t="s">
        <v>446</v>
      </c>
    </row>
    <row r="71" spans="1:24" x14ac:dyDescent="0.25">
      <c r="A71" t="s">
        <v>42</v>
      </c>
      <c r="B71" t="s">
        <v>1232</v>
      </c>
      <c r="C71" t="s">
        <v>274</v>
      </c>
      <c r="D71" t="s">
        <v>427</v>
      </c>
      <c r="E71" t="s">
        <v>998</v>
      </c>
      <c r="F71">
        <v>0</v>
      </c>
      <c r="G71" t="s">
        <v>1233</v>
      </c>
      <c r="H71" t="s">
        <v>1234</v>
      </c>
      <c r="I71" t="s">
        <v>1235</v>
      </c>
      <c r="J71" t="s">
        <v>1000</v>
      </c>
      <c r="K71" t="s">
        <v>446</v>
      </c>
      <c r="L71" t="s">
        <v>446</v>
      </c>
      <c r="M71" t="s">
        <v>446</v>
      </c>
      <c r="N71" t="s">
        <v>446</v>
      </c>
      <c r="O71" t="s">
        <v>446</v>
      </c>
      <c r="P71" t="s">
        <v>446</v>
      </c>
      <c r="Q71" t="b">
        <v>1</v>
      </c>
      <c r="R71" t="b">
        <v>0</v>
      </c>
      <c r="S71" t="s">
        <v>1038</v>
      </c>
      <c r="T71" t="s">
        <v>446</v>
      </c>
      <c r="U71" t="s">
        <v>1039</v>
      </c>
      <c r="V71" t="s">
        <v>1067</v>
      </c>
      <c r="W71" t="s">
        <v>1236</v>
      </c>
      <c r="X71" t="s">
        <v>446</v>
      </c>
    </row>
    <row r="72" spans="1:24" x14ac:dyDescent="0.25">
      <c r="A72" t="s">
        <v>42</v>
      </c>
      <c r="B72" t="s">
        <v>1237</v>
      </c>
      <c r="C72" t="s">
        <v>274</v>
      </c>
      <c r="D72" t="s">
        <v>427</v>
      </c>
      <c r="E72" t="s">
        <v>1005</v>
      </c>
      <c r="F72">
        <v>0</v>
      </c>
      <c r="G72" t="s">
        <v>1233</v>
      </c>
      <c r="H72" t="s">
        <v>1234</v>
      </c>
      <c r="I72" t="s">
        <v>1235</v>
      </c>
      <c r="J72" t="s">
        <v>1000</v>
      </c>
      <c r="K72" t="s">
        <v>446</v>
      </c>
      <c r="L72" t="s">
        <v>446</v>
      </c>
      <c r="M72" t="s">
        <v>446</v>
      </c>
      <c r="N72" t="s">
        <v>446</v>
      </c>
      <c r="O72" t="s">
        <v>446</v>
      </c>
      <c r="P72" t="s">
        <v>446</v>
      </c>
      <c r="Q72" t="b">
        <v>1</v>
      </c>
      <c r="R72" t="b">
        <v>0</v>
      </c>
      <c r="S72" t="s">
        <v>1038</v>
      </c>
      <c r="T72" t="s">
        <v>446</v>
      </c>
      <c r="U72" t="s">
        <v>1039</v>
      </c>
      <c r="V72" t="s">
        <v>1067</v>
      </c>
      <c r="W72" t="s">
        <v>1236</v>
      </c>
      <c r="X72" t="s">
        <v>446</v>
      </c>
    </row>
    <row r="73" spans="1:24" x14ac:dyDescent="0.25">
      <c r="A73" t="s">
        <v>42</v>
      </c>
      <c r="B73" t="s">
        <v>1238</v>
      </c>
      <c r="C73" t="s">
        <v>274</v>
      </c>
      <c r="D73" t="s">
        <v>427</v>
      </c>
      <c r="E73" t="s">
        <v>1007</v>
      </c>
      <c r="F73">
        <v>0</v>
      </c>
      <c r="G73" t="s">
        <v>1233</v>
      </c>
      <c r="H73" t="s">
        <v>1234</v>
      </c>
      <c r="I73" t="s">
        <v>1235</v>
      </c>
      <c r="J73" t="s">
        <v>1000</v>
      </c>
      <c r="K73" t="s">
        <v>446</v>
      </c>
      <c r="L73" t="s">
        <v>446</v>
      </c>
      <c r="M73" t="s">
        <v>446</v>
      </c>
      <c r="N73" t="s">
        <v>446</v>
      </c>
      <c r="O73" t="s">
        <v>446</v>
      </c>
      <c r="P73" t="s">
        <v>446</v>
      </c>
      <c r="Q73" t="b">
        <v>1</v>
      </c>
      <c r="R73" t="b">
        <v>0</v>
      </c>
      <c r="S73" t="s">
        <v>1038</v>
      </c>
      <c r="T73" t="s">
        <v>446</v>
      </c>
      <c r="U73" t="s">
        <v>1039</v>
      </c>
      <c r="V73" t="s">
        <v>1067</v>
      </c>
      <c r="W73" t="s">
        <v>1236</v>
      </c>
      <c r="X73" t="s">
        <v>446</v>
      </c>
    </row>
    <row r="74" spans="1:24" x14ac:dyDescent="0.25">
      <c r="A74" t="s">
        <v>42</v>
      </c>
      <c r="B74" t="s">
        <v>1239</v>
      </c>
      <c r="C74" t="s">
        <v>274</v>
      </c>
      <c r="D74" t="s">
        <v>427</v>
      </c>
      <c r="E74" t="s">
        <v>1009</v>
      </c>
      <c r="F74">
        <v>0</v>
      </c>
      <c r="G74" t="s">
        <v>1233</v>
      </c>
      <c r="H74" t="s">
        <v>1234</v>
      </c>
      <c r="I74" t="s">
        <v>1235</v>
      </c>
      <c r="J74" t="s">
        <v>1000</v>
      </c>
      <c r="K74" t="s">
        <v>446</v>
      </c>
      <c r="L74" t="s">
        <v>446</v>
      </c>
      <c r="M74" t="s">
        <v>446</v>
      </c>
      <c r="N74" t="s">
        <v>446</v>
      </c>
      <c r="O74" t="s">
        <v>446</v>
      </c>
      <c r="P74" t="s">
        <v>446</v>
      </c>
      <c r="Q74" t="b">
        <v>1</v>
      </c>
      <c r="R74" t="b">
        <v>0</v>
      </c>
      <c r="S74" t="s">
        <v>1038</v>
      </c>
      <c r="T74" t="s">
        <v>446</v>
      </c>
      <c r="U74" t="s">
        <v>1039</v>
      </c>
      <c r="V74" t="s">
        <v>1067</v>
      </c>
      <c r="W74" t="s">
        <v>1236</v>
      </c>
      <c r="X74" t="s">
        <v>446</v>
      </c>
    </row>
    <row r="75" spans="1:24" x14ac:dyDescent="0.25">
      <c r="A75" t="s">
        <v>42</v>
      </c>
      <c r="B75" t="s">
        <v>1240</v>
      </c>
      <c r="C75" t="s">
        <v>274</v>
      </c>
      <c r="D75" t="s">
        <v>427</v>
      </c>
      <c r="E75" t="s">
        <v>1011</v>
      </c>
      <c r="F75">
        <v>0</v>
      </c>
      <c r="G75" t="s">
        <v>1233</v>
      </c>
      <c r="H75" t="s">
        <v>1234</v>
      </c>
      <c r="I75" t="s">
        <v>1235</v>
      </c>
      <c r="J75" t="s">
        <v>1000</v>
      </c>
      <c r="K75" t="s">
        <v>446</v>
      </c>
      <c r="L75" t="s">
        <v>446</v>
      </c>
      <c r="M75" t="s">
        <v>446</v>
      </c>
      <c r="N75" t="s">
        <v>446</v>
      </c>
      <c r="O75" t="s">
        <v>446</v>
      </c>
      <c r="P75" t="s">
        <v>446</v>
      </c>
      <c r="Q75" t="b">
        <v>1</v>
      </c>
      <c r="R75" t="b">
        <v>0</v>
      </c>
      <c r="S75" t="s">
        <v>1038</v>
      </c>
      <c r="T75" t="s">
        <v>446</v>
      </c>
      <c r="U75" t="s">
        <v>1039</v>
      </c>
      <c r="V75" t="s">
        <v>1067</v>
      </c>
      <c r="W75" t="s">
        <v>1236</v>
      </c>
      <c r="X75" t="s">
        <v>446</v>
      </c>
    </row>
    <row r="76" spans="1:24" x14ac:dyDescent="0.25">
      <c r="A76" t="s">
        <v>42</v>
      </c>
      <c r="B76" t="s">
        <v>1241</v>
      </c>
      <c r="C76" t="s">
        <v>274</v>
      </c>
      <c r="D76" t="s">
        <v>427</v>
      </c>
      <c r="E76" t="s">
        <v>1013</v>
      </c>
      <c r="F76">
        <v>0</v>
      </c>
      <c r="G76" t="s">
        <v>1233</v>
      </c>
      <c r="H76" t="s">
        <v>1234</v>
      </c>
      <c r="I76" t="s">
        <v>1235</v>
      </c>
      <c r="J76" t="s">
        <v>1000</v>
      </c>
      <c r="K76" t="s">
        <v>446</v>
      </c>
      <c r="L76" t="s">
        <v>446</v>
      </c>
      <c r="M76" t="s">
        <v>446</v>
      </c>
      <c r="N76" t="s">
        <v>446</v>
      </c>
      <c r="O76" t="s">
        <v>446</v>
      </c>
      <c r="P76" t="s">
        <v>446</v>
      </c>
      <c r="Q76" t="b">
        <v>1</v>
      </c>
      <c r="R76" t="b">
        <v>0</v>
      </c>
      <c r="S76" t="s">
        <v>1038</v>
      </c>
      <c r="T76" t="s">
        <v>446</v>
      </c>
      <c r="U76" t="s">
        <v>1039</v>
      </c>
      <c r="V76" t="s">
        <v>1067</v>
      </c>
      <c r="W76" t="s">
        <v>1236</v>
      </c>
      <c r="X76" t="s">
        <v>446</v>
      </c>
    </row>
    <row r="77" spans="1:24" x14ac:dyDescent="0.25">
      <c r="A77" t="s">
        <v>42</v>
      </c>
      <c r="B77" t="s">
        <v>1242</v>
      </c>
      <c r="C77" t="s">
        <v>274</v>
      </c>
      <c r="D77" t="s">
        <v>427</v>
      </c>
      <c r="E77" t="s">
        <v>1015</v>
      </c>
      <c r="F77">
        <v>0</v>
      </c>
      <c r="G77" t="s">
        <v>1233</v>
      </c>
      <c r="H77" t="s">
        <v>1234</v>
      </c>
      <c r="I77" t="s">
        <v>1235</v>
      </c>
      <c r="J77" t="s">
        <v>1000</v>
      </c>
      <c r="K77" t="s">
        <v>446</v>
      </c>
      <c r="L77" t="s">
        <v>446</v>
      </c>
      <c r="M77" t="s">
        <v>446</v>
      </c>
      <c r="N77" t="s">
        <v>446</v>
      </c>
      <c r="O77" t="s">
        <v>446</v>
      </c>
      <c r="P77" t="s">
        <v>446</v>
      </c>
      <c r="Q77" t="b">
        <v>1</v>
      </c>
      <c r="R77" t="b">
        <v>0</v>
      </c>
      <c r="S77" t="s">
        <v>1038</v>
      </c>
      <c r="T77" t="s">
        <v>446</v>
      </c>
      <c r="U77" t="s">
        <v>1039</v>
      </c>
      <c r="V77" t="s">
        <v>1067</v>
      </c>
      <c r="W77" t="s">
        <v>1236</v>
      </c>
      <c r="X77" t="s">
        <v>446</v>
      </c>
    </row>
    <row r="78" spans="1:24" x14ac:dyDescent="0.25">
      <c r="A78" t="s">
        <v>42</v>
      </c>
      <c r="B78" t="s">
        <v>1243</v>
      </c>
      <c r="C78" t="s">
        <v>274</v>
      </c>
      <c r="D78" t="s">
        <v>427</v>
      </c>
      <c r="E78" t="s">
        <v>1017</v>
      </c>
      <c r="F78">
        <v>0</v>
      </c>
      <c r="G78" t="s">
        <v>1233</v>
      </c>
      <c r="H78" t="s">
        <v>1234</v>
      </c>
      <c r="I78" t="s">
        <v>1235</v>
      </c>
      <c r="J78" t="s">
        <v>1000</v>
      </c>
      <c r="K78" t="s">
        <v>446</v>
      </c>
      <c r="L78" t="s">
        <v>446</v>
      </c>
      <c r="M78" t="s">
        <v>446</v>
      </c>
      <c r="N78" t="s">
        <v>446</v>
      </c>
      <c r="O78" t="s">
        <v>446</v>
      </c>
      <c r="P78" t="s">
        <v>446</v>
      </c>
      <c r="Q78" t="b">
        <v>1</v>
      </c>
      <c r="R78" t="b">
        <v>0</v>
      </c>
      <c r="S78" t="s">
        <v>1038</v>
      </c>
      <c r="T78" t="s">
        <v>446</v>
      </c>
      <c r="U78" t="s">
        <v>1039</v>
      </c>
      <c r="V78" t="s">
        <v>1067</v>
      </c>
      <c r="W78" t="s">
        <v>1236</v>
      </c>
      <c r="X78" t="s">
        <v>446</v>
      </c>
    </row>
    <row r="79" spans="1:24" x14ac:dyDescent="0.25">
      <c r="A79" t="s">
        <v>42</v>
      </c>
      <c r="B79" t="s">
        <v>1244</v>
      </c>
      <c r="C79" t="s">
        <v>274</v>
      </c>
      <c r="D79" t="s">
        <v>427</v>
      </c>
      <c r="E79" t="s">
        <v>1019</v>
      </c>
      <c r="F79">
        <v>0</v>
      </c>
      <c r="G79" t="s">
        <v>1233</v>
      </c>
      <c r="H79" t="s">
        <v>1234</v>
      </c>
      <c r="I79" t="s">
        <v>1235</v>
      </c>
      <c r="J79" t="s">
        <v>1000</v>
      </c>
      <c r="K79" t="s">
        <v>446</v>
      </c>
      <c r="L79" t="s">
        <v>446</v>
      </c>
      <c r="M79" t="s">
        <v>446</v>
      </c>
      <c r="N79" t="s">
        <v>446</v>
      </c>
      <c r="O79" t="s">
        <v>446</v>
      </c>
      <c r="P79" t="s">
        <v>446</v>
      </c>
      <c r="Q79" t="b">
        <v>1</v>
      </c>
      <c r="R79" t="b">
        <v>0</v>
      </c>
      <c r="S79" t="s">
        <v>1038</v>
      </c>
      <c r="T79" t="s">
        <v>446</v>
      </c>
      <c r="U79" t="s">
        <v>1039</v>
      </c>
      <c r="V79" t="s">
        <v>1067</v>
      </c>
      <c r="W79" t="s">
        <v>1236</v>
      </c>
      <c r="X79" t="s">
        <v>446</v>
      </c>
    </row>
    <row r="80" spans="1:24" x14ac:dyDescent="0.25">
      <c r="A80" t="s">
        <v>42</v>
      </c>
      <c r="B80" t="s">
        <v>1245</v>
      </c>
      <c r="C80" t="s">
        <v>274</v>
      </c>
      <c r="D80" t="s">
        <v>427</v>
      </c>
      <c r="E80" t="s">
        <v>1021</v>
      </c>
      <c r="F80">
        <v>0</v>
      </c>
      <c r="G80" t="s">
        <v>1233</v>
      </c>
      <c r="H80" t="s">
        <v>1234</v>
      </c>
      <c r="I80" t="s">
        <v>1235</v>
      </c>
      <c r="J80" t="s">
        <v>1000</v>
      </c>
      <c r="K80" t="s">
        <v>446</v>
      </c>
      <c r="L80" t="s">
        <v>446</v>
      </c>
      <c r="M80" t="s">
        <v>446</v>
      </c>
      <c r="N80" t="s">
        <v>446</v>
      </c>
      <c r="O80" t="s">
        <v>446</v>
      </c>
      <c r="P80" t="s">
        <v>446</v>
      </c>
      <c r="Q80" t="b">
        <v>1</v>
      </c>
      <c r="R80" t="b">
        <v>0</v>
      </c>
      <c r="S80" t="s">
        <v>1038</v>
      </c>
      <c r="T80" t="s">
        <v>446</v>
      </c>
      <c r="U80" t="s">
        <v>1039</v>
      </c>
      <c r="V80" t="s">
        <v>1067</v>
      </c>
      <c r="W80" t="s">
        <v>1236</v>
      </c>
      <c r="X80" t="s">
        <v>446</v>
      </c>
    </row>
    <row r="81" spans="1:24" x14ac:dyDescent="0.25">
      <c r="A81" t="s">
        <v>42</v>
      </c>
      <c r="B81" t="s">
        <v>1246</v>
      </c>
      <c r="C81" t="s">
        <v>274</v>
      </c>
      <c r="D81" t="s">
        <v>427</v>
      </c>
      <c r="E81" t="s">
        <v>1023</v>
      </c>
      <c r="F81">
        <v>0</v>
      </c>
      <c r="G81" t="s">
        <v>1233</v>
      </c>
      <c r="H81" t="s">
        <v>1234</v>
      </c>
      <c r="I81" t="s">
        <v>1235</v>
      </c>
      <c r="J81" t="s">
        <v>1000</v>
      </c>
      <c r="K81" t="s">
        <v>446</v>
      </c>
      <c r="L81" t="s">
        <v>446</v>
      </c>
      <c r="M81" t="s">
        <v>446</v>
      </c>
      <c r="N81" t="s">
        <v>446</v>
      </c>
      <c r="O81" t="s">
        <v>446</v>
      </c>
      <c r="P81" t="s">
        <v>446</v>
      </c>
      <c r="Q81" t="b">
        <v>1</v>
      </c>
      <c r="R81" t="b">
        <v>0</v>
      </c>
      <c r="S81" t="s">
        <v>1038</v>
      </c>
      <c r="T81" t="s">
        <v>446</v>
      </c>
      <c r="U81" t="s">
        <v>1039</v>
      </c>
      <c r="V81" t="s">
        <v>1067</v>
      </c>
      <c r="W81" t="s">
        <v>1236</v>
      </c>
      <c r="X81" t="s">
        <v>446</v>
      </c>
    </row>
    <row r="82" spans="1:24" x14ac:dyDescent="0.25">
      <c r="A82" t="s">
        <v>42</v>
      </c>
      <c r="B82" t="s">
        <v>1247</v>
      </c>
      <c r="C82" t="s">
        <v>274</v>
      </c>
      <c r="D82" t="s">
        <v>427</v>
      </c>
      <c r="E82" t="s">
        <v>1025</v>
      </c>
      <c r="F82">
        <v>0</v>
      </c>
      <c r="G82" t="s">
        <v>1233</v>
      </c>
      <c r="H82" t="s">
        <v>1234</v>
      </c>
      <c r="I82" t="s">
        <v>1235</v>
      </c>
      <c r="J82" t="s">
        <v>1000</v>
      </c>
      <c r="K82" t="s">
        <v>446</v>
      </c>
      <c r="L82" t="s">
        <v>446</v>
      </c>
      <c r="M82" t="s">
        <v>446</v>
      </c>
      <c r="N82" t="s">
        <v>446</v>
      </c>
      <c r="O82" t="s">
        <v>446</v>
      </c>
      <c r="P82" t="s">
        <v>446</v>
      </c>
      <c r="Q82" t="b">
        <v>1</v>
      </c>
      <c r="R82" t="b">
        <v>0</v>
      </c>
      <c r="S82" t="s">
        <v>1038</v>
      </c>
      <c r="T82" t="s">
        <v>446</v>
      </c>
      <c r="U82" t="s">
        <v>1039</v>
      </c>
      <c r="V82" t="s">
        <v>1067</v>
      </c>
      <c r="W82" t="s">
        <v>1236</v>
      </c>
      <c r="X82" t="s">
        <v>446</v>
      </c>
    </row>
    <row r="83" spans="1:24" x14ac:dyDescent="0.25">
      <c r="A83" t="s">
        <v>42</v>
      </c>
      <c r="B83" t="s">
        <v>1248</v>
      </c>
      <c r="C83" t="s">
        <v>274</v>
      </c>
      <c r="D83" t="s">
        <v>427</v>
      </c>
      <c r="E83" t="s">
        <v>1027</v>
      </c>
      <c r="F83">
        <v>0</v>
      </c>
      <c r="G83" t="s">
        <v>1233</v>
      </c>
      <c r="H83" t="s">
        <v>1234</v>
      </c>
      <c r="I83" t="s">
        <v>1235</v>
      </c>
      <c r="J83" t="s">
        <v>1000</v>
      </c>
      <c r="K83" t="s">
        <v>446</v>
      </c>
      <c r="L83" t="s">
        <v>446</v>
      </c>
      <c r="M83" t="s">
        <v>446</v>
      </c>
      <c r="N83" t="s">
        <v>446</v>
      </c>
      <c r="O83" t="s">
        <v>446</v>
      </c>
      <c r="P83" t="s">
        <v>446</v>
      </c>
      <c r="Q83" t="b">
        <v>1</v>
      </c>
      <c r="R83" t="b">
        <v>0</v>
      </c>
      <c r="S83" t="s">
        <v>1038</v>
      </c>
      <c r="T83" t="s">
        <v>446</v>
      </c>
      <c r="U83" t="s">
        <v>1039</v>
      </c>
      <c r="V83" t="s">
        <v>1067</v>
      </c>
      <c r="W83" t="s">
        <v>1236</v>
      </c>
      <c r="X83" t="s">
        <v>446</v>
      </c>
    </row>
    <row r="84" spans="1:24" x14ac:dyDescent="0.25">
      <c r="A84" t="s">
        <v>42</v>
      </c>
      <c r="B84" t="s">
        <v>1249</v>
      </c>
      <c r="C84" t="s">
        <v>274</v>
      </c>
      <c r="D84" t="s">
        <v>427</v>
      </c>
      <c r="E84" t="s">
        <v>1131</v>
      </c>
      <c r="F84">
        <v>0</v>
      </c>
      <c r="G84" t="s">
        <v>1233</v>
      </c>
      <c r="H84" t="s">
        <v>1234</v>
      </c>
      <c r="I84" t="s">
        <v>1235</v>
      </c>
      <c r="J84" t="s">
        <v>1000</v>
      </c>
      <c r="K84" t="s">
        <v>446</v>
      </c>
      <c r="L84" t="s">
        <v>446</v>
      </c>
      <c r="M84" t="s">
        <v>446</v>
      </c>
      <c r="N84" t="s">
        <v>446</v>
      </c>
      <c r="O84" t="s">
        <v>446</v>
      </c>
      <c r="P84" t="s">
        <v>446</v>
      </c>
      <c r="Q84" t="b">
        <v>1</v>
      </c>
      <c r="R84" t="b">
        <v>0</v>
      </c>
      <c r="S84" t="s">
        <v>1038</v>
      </c>
      <c r="T84" t="s">
        <v>446</v>
      </c>
      <c r="U84" t="s">
        <v>1039</v>
      </c>
      <c r="V84" t="s">
        <v>1067</v>
      </c>
      <c r="W84" t="s">
        <v>1236</v>
      </c>
      <c r="X84" t="s">
        <v>446</v>
      </c>
    </row>
    <row r="85" spans="1:24" x14ac:dyDescent="0.25">
      <c r="A85" t="s">
        <v>42</v>
      </c>
      <c r="B85" t="s">
        <v>1250</v>
      </c>
      <c r="C85" t="s">
        <v>276</v>
      </c>
      <c r="D85" t="s">
        <v>427</v>
      </c>
      <c r="E85" t="s">
        <v>998</v>
      </c>
      <c r="F85">
        <v>18</v>
      </c>
      <c r="G85" t="s">
        <v>1029</v>
      </c>
      <c r="H85" t="s">
        <v>1251</v>
      </c>
      <c r="I85" t="s">
        <v>1252</v>
      </c>
      <c r="J85" t="s">
        <v>1000</v>
      </c>
      <c r="K85" t="s">
        <v>1032</v>
      </c>
      <c r="L85" t="s">
        <v>1033</v>
      </c>
      <c r="M85" t="s">
        <v>1034</v>
      </c>
      <c r="N85" t="s">
        <v>1035</v>
      </c>
      <c r="O85" t="s">
        <v>1036</v>
      </c>
      <c r="P85" t="s">
        <v>1037</v>
      </c>
      <c r="Q85" t="b">
        <v>1</v>
      </c>
      <c r="R85" t="b">
        <v>0</v>
      </c>
      <c r="S85" t="s">
        <v>1038</v>
      </c>
      <c r="T85" t="s">
        <v>446</v>
      </c>
      <c r="U85" t="s">
        <v>1039</v>
      </c>
      <c r="V85" t="s">
        <v>1002</v>
      </c>
      <c r="W85" t="s">
        <v>1040</v>
      </c>
      <c r="X85" t="s">
        <v>1253</v>
      </c>
    </row>
    <row r="86" spans="1:24" x14ac:dyDescent="0.25">
      <c r="A86" t="s">
        <v>42</v>
      </c>
      <c r="B86" t="s">
        <v>1254</v>
      </c>
      <c r="C86" t="s">
        <v>276</v>
      </c>
      <c r="D86" t="s">
        <v>427</v>
      </c>
      <c r="E86" t="s">
        <v>1005</v>
      </c>
      <c r="F86">
        <v>46</v>
      </c>
      <c r="G86" t="s">
        <v>1029</v>
      </c>
      <c r="H86" t="s">
        <v>1255</v>
      </c>
      <c r="I86" t="s">
        <v>1252</v>
      </c>
      <c r="J86" t="s">
        <v>1000</v>
      </c>
      <c r="K86" t="s">
        <v>1044</v>
      </c>
      <c r="L86" t="s">
        <v>1045</v>
      </c>
      <c r="M86" t="s">
        <v>1034</v>
      </c>
      <c r="N86" t="s">
        <v>1046</v>
      </c>
      <c r="O86" t="s">
        <v>1047</v>
      </c>
      <c r="P86" t="s">
        <v>1048</v>
      </c>
      <c r="Q86" t="b">
        <v>1</v>
      </c>
      <c r="R86" t="b">
        <v>0</v>
      </c>
      <c r="S86" t="s">
        <v>1038</v>
      </c>
      <c r="T86" t="s">
        <v>446</v>
      </c>
      <c r="U86" t="s">
        <v>1039</v>
      </c>
      <c r="V86" t="s">
        <v>1002</v>
      </c>
      <c r="W86" t="s">
        <v>1040</v>
      </c>
      <c r="X86" t="s">
        <v>1253</v>
      </c>
    </row>
    <row r="87" spans="1:24" x14ac:dyDescent="0.25">
      <c r="A87" t="s">
        <v>42</v>
      </c>
      <c r="B87" t="s">
        <v>1256</v>
      </c>
      <c r="C87" t="s">
        <v>276</v>
      </c>
      <c r="D87" t="s">
        <v>427</v>
      </c>
      <c r="E87" t="s">
        <v>1007</v>
      </c>
      <c r="F87">
        <v>88</v>
      </c>
      <c r="G87" t="s">
        <v>1029</v>
      </c>
      <c r="H87" t="s">
        <v>1257</v>
      </c>
      <c r="I87" t="s">
        <v>1252</v>
      </c>
      <c r="J87" t="s">
        <v>1000</v>
      </c>
      <c r="K87" t="s">
        <v>1051</v>
      </c>
      <c r="L87" t="s">
        <v>1052</v>
      </c>
      <c r="M87" t="s">
        <v>1034</v>
      </c>
      <c r="N87" t="s">
        <v>1053</v>
      </c>
      <c r="O87" t="s">
        <v>1054</v>
      </c>
      <c r="P87" t="s">
        <v>1055</v>
      </c>
      <c r="Q87" t="b">
        <v>1</v>
      </c>
      <c r="R87" t="b">
        <v>0</v>
      </c>
      <c r="S87" t="s">
        <v>1038</v>
      </c>
      <c r="T87" t="s">
        <v>446</v>
      </c>
      <c r="U87" t="s">
        <v>1039</v>
      </c>
      <c r="V87" t="s">
        <v>1002</v>
      </c>
      <c r="W87" t="s">
        <v>1040</v>
      </c>
      <c r="X87" t="s">
        <v>1253</v>
      </c>
    </row>
    <row r="88" spans="1:24" x14ac:dyDescent="0.25">
      <c r="A88" t="s">
        <v>42</v>
      </c>
      <c r="B88" t="s">
        <v>1258</v>
      </c>
      <c r="C88" t="s">
        <v>276</v>
      </c>
      <c r="D88" t="s">
        <v>427</v>
      </c>
      <c r="E88" t="s">
        <v>1009</v>
      </c>
      <c r="F88">
        <v>115</v>
      </c>
      <c r="G88" t="s">
        <v>1029</v>
      </c>
      <c r="H88" t="s">
        <v>1259</v>
      </c>
      <c r="I88" t="s">
        <v>1260</v>
      </c>
      <c r="J88" t="s">
        <v>1000</v>
      </c>
      <c r="K88" t="s">
        <v>1060</v>
      </c>
      <c r="L88" t="s">
        <v>1061</v>
      </c>
      <c r="M88" t="s">
        <v>1062</v>
      </c>
      <c r="N88" t="s">
        <v>1063</v>
      </c>
      <c r="O88" t="s">
        <v>1036</v>
      </c>
      <c r="P88" t="s">
        <v>1064</v>
      </c>
      <c r="Q88" t="b">
        <v>1</v>
      </c>
      <c r="R88" t="b">
        <v>0</v>
      </c>
      <c r="S88" t="s">
        <v>1038</v>
      </c>
      <c r="T88" t="s">
        <v>446</v>
      </c>
      <c r="U88" t="s">
        <v>1039</v>
      </c>
      <c r="V88" t="s">
        <v>1067</v>
      </c>
      <c r="W88" t="s">
        <v>1040</v>
      </c>
      <c r="X88" t="s">
        <v>446</v>
      </c>
    </row>
    <row r="89" spans="1:24" x14ac:dyDescent="0.25">
      <c r="A89" t="s">
        <v>42</v>
      </c>
      <c r="B89" t="s">
        <v>1261</v>
      </c>
      <c r="C89" t="s">
        <v>276</v>
      </c>
      <c r="D89" t="s">
        <v>427</v>
      </c>
      <c r="E89" t="s">
        <v>1011</v>
      </c>
      <c r="F89">
        <v>150</v>
      </c>
      <c r="G89" t="s">
        <v>1029</v>
      </c>
      <c r="H89" t="s">
        <v>1262</v>
      </c>
      <c r="I89" t="s">
        <v>1252</v>
      </c>
      <c r="J89" t="s">
        <v>1000</v>
      </c>
      <c r="K89" t="s">
        <v>1070</v>
      </c>
      <c r="L89" t="s">
        <v>1071</v>
      </c>
      <c r="M89" t="s">
        <v>1034</v>
      </c>
      <c r="N89" t="s">
        <v>1072</v>
      </c>
      <c r="O89" t="s">
        <v>1073</v>
      </c>
      <c r="P89" t="s">
        <v>1074</v>
      </c>
      <c r="Q89" t="b">
        <v>1</v>
      </c>
      <c r="R89" t="b">
        <v>0</v>
      </c>
      <c r="S89" t="s">
        <v>1038</v>
      </c>
      <c r="T89" t="s">
        <v>446</v>
      </c>
      <c r="U89" t="s">
        <v>1039</v>
      </c>
      <c r="V89" t="s">
        <v>1002</v>
      </c>
      <c r="W89" t="s">
        <v>1040</v>
      </c>
      <c r="X89" t="s">
        <v>1253</v>
      </c>
    </row>
    <row r="90" spans="1:24" x14ac:dyDescent="0.25">
      <c r="A90" t="s">
        <v>42</v>
      </c>
      <c r="B90" t="s">
        <v>1263</v>
      </c>
      <c r="C90" t="s">
        <v>276</v>
      </c>
      <c r="D90" t="s">
        <v>427</v>
      </c>
      <c r="E90" t="s">
        <v>1013</v>
      </c>
      <c r="F90">
        <v>187</v>
      </c>
      <c r="G90" t="s">
        <v>1029</v>
      </c>
      <c r="H90" t="s">
        <v>1264</v>
      </c>
      <c r="I90" t="s">
        <v>1252</v>
      </c>
      <c r="J90" t="s">
        <v>1000</v>
      </c>
      <c r="K90" t="s">
        <v>1077</v>
      </c>
      <c r="L90" t="s">
        <v>1078</v>
      </c>
      <c r="M90" t="s">
        <v>1034</v>
      </c>
      <c r="N90" t="s">
        <v>1079</v>
      </c>
      <c r="O90" t="s">
        <v>1080</v>
      </c>
      <c r="P90" t="s">
        <v>1081</v>
      </c>
      <c r="Q90" t="b">
        <v>1</v>
      </c>
      <c r="R90" t="b">
        <v>0</v>
      </c>
      <c r="S90" t="s">
        <v>1038</v>
      </c>
      <c r="T90" t="s">
        <v>446</v>
      </c>
      <c r="U90" t="s">
        <v>1039</v>
      </c>
      <c r="V90" t="s">
        <v>1002</v>
      </c>
      <c r="W90" t="s">
        <v>1040</v>
      </c>
      <c r="X90" t="s">
        <v>1253</v>
      </c>
    </row>
    <row r="91" spans="1:24" x14ac:dyDescent="0.25">
      <c r="A91" t="s">
        <v>42</v>
      </c>
      <c r="B91" t="s">
        <v>1265</v>
      </c>
      <c r="C91" t="s">
        <v>276</v>
      </c>
      <c r="D91" t="s">
        <v>427</v>
      </c>
      <c r="E91" t="s">
        <v>1015</v>
      </c>
      <c r="F91">
        <v>234</v>
      </c>
      <c r="G91" t="s">
        <v>1029</v>
      </c>
      <c r="H91" t="s">
        <v>1266</v>
      </c>
      <c r="I91" t="s">
        <v>1252</v>
      </c>
      <c r="J91" t="s">
        <v>1000</v>
      </c>
      <c r="K91" t="s">
        <v>1084</v>
      </c>
      <c r="L91" t="s">
        <v>1085</v>
      </c>
      <c r="M91" t="s">
        <v>1034</v>
      </c>
      <c r="N91" t="s">
        <v>1086</v>
      </c>
      <c r="O91" t="s">
        <v>1087</v>
      </c>
      <c r="P91" t="s">
        <v>1088</v>
      </c>
      <c r="Q91" t="b">
        <v>1</v>
      </c>
      <c r="R91" t="b">
        <v>0</v>
      </c>
      <c r="S91" t="s">
        <v>1038</v>
      </c>
      <c r="T91" t="s">
        <v>446</v>
      </c>
      <c r="U91" t="s">
        <v>1039</v>
      </c>
      <c r="V91" t="s">
        <v>1002</v>
      </c>
      <c r="W91" t="s">
        <v>1040</v>
      </c>
      <c r="X91" t="s">
        <v>1253</v>
      </c>
    </row>
    <row r="92" spans="1:24" x14ac:dyDescent="0.25">
      <c r="A92" t="s">
        <v>42</v>
      </c>
      <c r="B92" t="s">
        <v>1267</v>
      </c>
      <c r="C92" t="s">
        <v>276</v>
      </c>
      <c r="D92" t="s">
        <v>427</v>
      </c>
      <c r="E92" t="s">
        <v>1017</v>
      </c>
      <c r="F92">
        <v>294</v>
      </c>
      <c r="G92" t="s">
        <v>1029</v>
      </c>
      <c r="H92" t="s">
        <v>1268</v>
      </c>
      <c r="I92" t="s">
        <v>1260</v>
      </c>
      <c r="J92" t="s">
        <v>1000</v>
      </c>
      <c r="K92" t="s">
        <v>1091</v>
      </c>
      <c r="L92" t="s">
        <v>1092</v>
      </c>
      <c r="M92" t="s">
        <v>1062</v>
      </c>
      <c r="N92" t="s">
        <v>1093</v>
      </c>
      <c r="O92" t="s">
        <v>1073</v>
      </c>
      <c r="P92" t="s">
        <v>1094</v>
      </c>
      <c r="Q92" t="b">
        <v>1</v>
      </c>
      <c r="R92" t="b">
        <v>0</v>
      </c>
      <c r="S92" t="s">
        <v>1038</v>
      </c>
      <c r="T92" t="s">
        <v>446</v>
      </c>
      <c r="U92" t="s">
        <v>1039</v>
      </c>
      <c r="V92" t="s">
        <v>1067</v>
      </c>
      <c r="W92" t="s">
        <v>1040</v>
      </c>
      <c r="X92" t="s">
        <v>446</v>
      </c>
    </row>
    <row r="93" spans="1:24" x14ac:dyDescent="0.25">
      <c r="A93" t="s">
        <v>42</v>
      </c>
      <c r="B93" t="s">
        <v>1269</v>
      </c>
      <c r="C93" t="s">
        <v>276</v>
      </c>
      <c r="D93" t="s">
        <v>427</v>
      </c>
      <c r="E93" t="s">
        <v>1019</v>
      </c>
      <c r="F93">
        <v>359</v>
      </c>
      <c r="G93" t="s">
        <v>1029</v>
      </c>
      <c r="H93" t="s">
        <v>1270</v>
      </c>
      <c r="I93" t="s">
        <v>1252</v>
      </c>
      <c r="J93" t="s">
        <v>1000</v>
      </c>
      <c r="K93" t="s">
        <v>1097</v>
      </c>
      <c r="L93" t="s">
        <v>1098</v>
      </c>
      <c r="M93" t="s">
        <v>1034</v>
      </c>
      <c r="N93" t="s">
        <v>1099</v>
      </c>
      <c r="O93" t="s">
        <v>1100</v>
      </c>
      <c r="P93" t="s">
        <v>1101</v>
      </c>
      <c r="Q93" t="b">
        <v>1</v>
      </c>
      <c r="R93" t="b">
        <v>0</v>
      </c>
      <c r="S93" t="s">
        <v>1038</v>
      </c>
      <c r="T93" t="s">
        <v>446</v>
      </c>
      <c r="U93" t="s">
        <v>1039</v>
      </c>
      <c r="V93" t="s">
        <v>1002</v>
      </c>
      <c r="W93" t="s">
        <v>1040</v>
      </c>
      <c r="X93" t="s">
        <v>1253</v>
      </c>
    </row>
    <row r="94" spans="1:24" x14ac:dyDescent="0.25">
      <c r="A94" t="s">
        <v>42</v>
      </c>
      <c r="B94" t="s">
        <v>1271</v>
      </c>
      <c r="C94" t="s">
        <v>276</v>
      </c>
      <c r="D94" t="s">
        <v>427</v>
      </c>
      <c r="E94" t="s">
        <v>1021</v>
      </c>
      <c r="F94">
        <v>444</v>
      </c>
      <c r="G94" t="s">
        <v>1029</v>
      </c>
      <c r="H94" t="s">
        <v>1272</v>
      </c>
      <c r="I94" t="s">
        <v>1252</v>
      </c>
      <c r="J94" t="s">
        <v>1000</v>
      </c>
      <c r="K94" t="s">
        <v>1105</v>
      </c>
      <c r="L94" t="s">
        <v>1106</v>
      </c>
      <c r="M94" t="s">
        <v>1034</v>
      </c>
      <c r="N94" t="s">
        <v>1107</v>
      </c>
      <c r="O94" t="s">
        <v>1108</v>
      </c>
      <c r="P94" t="s">
        <v>1109</v>
      </c>
      <c r="Q94" t="b">
        <v>1</v>
      </c>
      <c r="R94" t="b">
        <v>0</v>
      </c>
      <c r="S94" t="s">
        <v>1038</v>
      </c>
      <c r="T94" t="s">
        <v>446</v>
      </c>
      <c r="U94" t="s">
        <v>1039</v>
      </c>
      <c r="V94" t="s">
        <v>1002</v>
      </c>
      <c r="W94" t="s">
        <v>1040</v>
      </c>
      <c r="X94" t="s">
        <v>1253</v>
      </c>
    </row>
    <row r="95" spans="1:24" x14ac:dyDescent="0.25">
      <c r="A95" t="s">
        <v>42</v>
      </c>
      <c r="B95" t="s">
        <v>1273</v>
      </c>
      <c r="C95" t="s">
        <v>276</v>
      </c>
      <c r="D95" t="s">
        <v>427</v>
      </c>
      <c r="E95" t="s">
        <v>1023</v>
      </c>
      <c r="F95">
        <v>472</v>
      </c>
      <c r="G95" t="s">
        <v>1029</v>
      </c>
      <c r="H95" t="s">
        <v>1274</v>
      </c>
      <c r="I95" t="s">
        <v>1252</v>
      </c>
      <c r="J95" t="s">
        <v>1000</v>
      </c>
      <c r="K95" t="s">
        <v>1112</v>
      </c>
      <c r="L95" t="s">
        <v>1113</v>
      </c>
      <c r="M95" t="s">
        <v>1034</v>
      </c>
      <c r="N95" t="s">
        <v>1114</v>
      </c>
      <c r="O95" t="s">
        <v>1115</v>
      </c>
      <c r="P95" t="s">
        <v>1116</v>
      </c>
      <c r="Q95" t="b">
        <v>1</v>
      </c>
      <c r="R95" t="b">
        <v>0</v>
      </c>
      <c r="S95" t="s">
        <v>1038</v>
      </c>
      <c r="T95" t="s">
        <v>446</v>
      </c>
      <c r="U95" t="s">
        <v>1039</v>
      </c>
      <c r="V95" t="s">
        <v>1002</v>
      </c>
      <c r="W95" t="s">
        <v>1040</v>
      </c>
      <c r="X95" t="s">
        <v>1253</v>
      </c>
    </row>
    <row r="96" spans="1:24" x14ac:dyDescent="0.25">
      <c r="A96" t="s">
        <v>42</v>
      </c>
      <c r="B96" t="s">
        <v>1275</v>
      </c>
      <c r="C96" t="s">
        <v>276</v>
      </c>
      <c r="D96" t="s">
        <v>427</v>
      </c>
      <c r="E96" t="s">
        <v>1025</v>
      </c>
      <c r="F96">
        <v>511</v>
      </c>
      <c r="G96" t="s">
        <v>1029</v>
      </c>
      <c r="H96" t="s">
        <v>1276</v>
      </c>
      <c r="I96" t="s">
        <v>1260</v>
      </c>
      <c r="J96" t="s">
        <v>1000</v>
      </c>
      <c r="K96" t="s">
        <v>1119</v>
      </c>
      <c r="L96" t="s">
        <v>1120</v>
      </c>
      <c r="M96" t="s">
        <v>1062</v>
      </c>
      <c r="N96" t="s">
        <v>1121</v>
      </c>
      <c r="O96" t="s">
        <v>1100</v>
      </c>
      <c r="P96" t="s">
        <v>1122</v>
      </c>
      <c r="Q96" t="b">
        <v>1</v>
      </c>
      <c r="R96" t="b">
        <v>0</v>
      </c>
      <c r="S96" t="s">
        <v>1038</v>
      </c>
      <c r="T96" t="s">
        <v>446</v>
      </c>
      <c r="U96" t="s">
        <v>1039</v>
      </c>
      <c r="V96" t="s">
        <v>1067</v>
      </c>
      <c r="W96" t="s">
        <v>1040</v>
      </c>
      <c r="X96" t="s">
        <v>446</v>
      </c>
    </row>
    <row r="97" spans="1:24" x14ac:dyDescent="0.25">
      <c r="A97" t="s">
        <v>42</v>
      </c>
      <c r="B97" t="s">
        <v>1277</v>
      </c>
      <c r="C97" t="s">
        <v>276</v>
      </c>
      <c r="D97" t="s">
        <v>427</v>
      </c>
      <c r="E97" t="s">
        <v>1027</v>
      </c>
      <c r="F97">
        <v>515</v>
      </c>
      <c r="G97" t="s">
        <v>1029</v>
      </c>
      <c r="H97" t="s">
        <v>1278</v>
      </c>
      <c r="I97" t="s">
        <v>1252</v>
      </c>
      <c r="J97" t="s">
        <v>1000</v>
      </c>
      <c r="K97" t="s">
        <v>1125</v>
      </c>
      <c r="L97" t="s">
        <v>1126</v>
      </c>
      <c r="M97" t="s">
        <v>1034</v>
      </c>
      <c r="N97" t="s">
        <v>1127</v>
      </c>
      <c r="O97" t="s">
        <v>1128</v>
      </c>
      <c r="P97" t="s">
        <v>1129</v>
      </c>
      <c r="Q97" t="b">
        <v>1</v>
      </c>
      <c r="R97" t="b">
        <v>0</v>
      </c>
      <c r="S97" t="s">
        <v>1038</v>
      </c>
      <c r="T97" t="s">
        <v>446</v>
      </c>
      <c r="U97" t="s">
        <v>1039</v>
      </c>
      <c r="V97" t="s">
        <v>1002</v>
      </c>
      <c r="W97" t="s">
        <v>1040</v>
      </c>
      <c r="X97" t="s">
        <v>1253</v>
      </c>
    </row>
    <row r="98" spans="1:24" x14ac:dyDescent="0.25">
      <c r="A98" t="s">
        <v>42</v>
      </c>
      <c r="B98" t="s">
        <v>1279</v>
      </c>
      <c r="C98" t="s">
        <v>276</v>
      </c>
      <c r="D98" t="s">
        <v>427</v>
      </c>
      <c r="E98" t="s">
        <v>1131</v>
      </c>
      <c r="F98">
        <v>592</v>
      </c>
      <c r="G98" t="s">
        <v>1029</v>
      </c>
      <c r="H98" t="s">
        <v>1280</v>
      </c>
      <c r="I98" t="s">
        <v>1252</v>
      </c>
      <c r="J98" t="s">
        <v>1000</v>
      </c>
      <c r="K98" t="s">
        <v>1133</v>
      </c>
      <c r="L98" t="s">
        <v>1134</v>
      </c>
      <c r="M98" t="s">
        <v>1034</v>
      </c>
      <c r="N98" t="s">
        <v>1135</v>
      </c>
      <c r="O98" t="s">
        <v>1136</v>
      </c>
      <c r="P98" t="s">
        <v>1137</v>
      </c>
      <c r="Q98" t="b">
        <v>1</v>
      </c>
      <c r="R98" t="b">
        <v>0</v>
      </c>
      <c r="S98" t="s">
        <v>1038</v>
      </c>
      <c r="T98" t="s">
        <v>446</v>
      </c>
      <c r="U98" t="s">
        <v>1039</v>
      </c>
      <c r="V98" t="s">
        <v>1002</v>
      </c>
      <c r="W98" t="s">
        <v>1040</v>
      </c>
      <c r="X98" t="s">
        <v>1253</v>
      </c>
    </row>
    <row r="99" spans="1:24" x14ac:dyDescent="0.25">
      <c r="A99" t="s">
        <v>42</v>
      </c>
      <c r="B99" t="s">
        <v>1281</v>
      </c>
      <c r="C99" t="s">
        <v>277</v>
      </c>
      <c r="D99" t="s">
        <v>427</v>
      </c>
      <c r="E99" t="s">
        <v>998</v>
      </c>
      <c r="F99">
        <v>-68</v>
      </c>
      <c r="G99" t="s">
        <v>1029</v>
      </c>
      <c r="H99" t="s">
        <v>1282</v>
      </c>
      <c r="I99" t="s">
        <v>120</v>
      </c>
      <c r="J99" t="s">
        <v>1000</v>
      </c>
      <c r="K99" t="s">
        <v>1032</v>
      </c>
      <c r="L99" t="s">
        <v>1033</v>
      </c>
      <c r="M99" t="s">
        <v>1034</v>
      </c>
      <c r="N99" t="s">
        <v>1035</v>
      </c>
      <c r="O99" t="s">
        <v>1036</v>
      </c>
      <c r="P99" t="s">
        <v>1037</v>
      </c>
      <c r="Q99" t="b">
        <v>1</v>
      </c>
      <c r="R99" t="b">
        <v>0</v>
      </c>
      <c r="S99" t="s">
        <v>1038</v>
      </c>
      <c r="T99" t="s">
        <v>446</v>
      </c>
      <c r="U99" t="s">
        <v>1039</v>
      </c>
      <c r="V99" t="s">
        <v>1002</v>
      </c>
      <c r="W99" t="s">
        <v>1040</v>
      </c>
      <c r="X99" t="s">
        <v>1283</v>
      </c>
    </row>
    <row r="100" spans="1:24" x14ac:dyDescent="0.25">
      <c r="A100" t="s">
        <v>42</v>
      </c>
      <c r="B100" t="s">
        <v>1284</v>
      </c>
      <c r="C100" t="s">
        <v>277</v>
      </c>
      <c r="D100" t="s">
        <v>427</v>
      </c>
      <c r="E100" t="s">
        <v>1005</v>
      </c>
      <c r="F100">
        <v>-65</v>
      </c>
      <c r="G100" t="s">
        <v>1029</v>
      </c>
      <c r="H100" t="s">
        <v>1285</v>
      </c>
      <c r="I100" t="s">
        <v>120</v>
      </c>
      <c r="J100" t="s">
        <v>1000</v>
      </c>
      <c r="K100" t="s">
        <v>1044</v>
      </c>
      <c r="L100" t="s">
        <v>1045</v>
      </c>
      <c r="M100" t="s">
        <v>1034</v>
      </c>
      <c r="N100" t="s">
        <v>1046</v>
      </c>
      <c r="O100" t="s">
        <v>1047</v>
      </c>
      <c r="P100" t="s">
        <v>1048</v>
      </c>
      <c r="Q100" t="b">
        <v>1</v>
      </c>
      <c r="R100" t="b">
        <v>0</v>
      </c>
      <c r="S100" t="s">
        <v>1038</v>
      </c>
      <c r="T100" t="s">
        <v>446</v>
      </c>
      <c r="U100" t="s">
        <v>1039</v>
      </c>
      <c r="V100" t="s">
        <v>1002</v>
      </c>
      <c r="W100" t="s">
        <v>1040</v>
      </c>
      <c r="X100" t="s">
        <v>1283</v>
      </c>
    </row>
    <row r="101" spans="1:24" x14ac:dyDescent="0.25">
      <c r="A101" t="s">
        <v>42</v>
      </c>
      <c r="B101" t="s">
        <v>1286</v>
      </c>
      <c r="C101" t="s">
        <v>277</v>
      </c>
      <c r="D101" t="s">
        <v>427</v>
      </c>
      <c r="E101" t="s">
        <v>1007</v>
      </c>
      <c r="F101">
        <v>-65</v>
      </c>
      <c r="G101" t="s">
        <v>1029</v>
      </c>
      <c r="H101" t="s">
        <v>1285</v>
      </c>
      <c r="I101" t="s">
        <v>120</v>
      </c>
      <c r="J101" t="s">
        <v>1000</v>
      </c>
      <c r="K101" t="s">
        <v>1051</v>
      </c>
      <c r="L101" t="s">
        <v>1052</v>
      </c>
      <c r="M101" t="s">
        <v>1034</v>
      </c>
      <c r="N101" t="s">
        <v>1053</v>
      </c>
      <c r="O101" t="s">
        <v>1054</v>
      </c>
      <c r="P101" t="s">
        <v>1055</v>
      </c>
      <c r="Q101" t="b">
        <v>1</v>
      </c>
      <c r="R101" t="b">
        <v>0</v>
      </c>
      <c r="S101" t="s">
        <v>1038</v>
      </c>
      <c r="T101" t="s">
        <v>446</v>
      </c>
      <c r="U101" t="s">
        <v>1039</v>
      </c>
      <c r="V101" t="s">
        <v>1002</v>
      </c>
      <c r="W101" t="s">
        <v>1040</v>
      </c>
      <c r="X101" t="s">
        <v>1283</v>
      </c>
    </row>
    <row r="102" spans="1:24" x14ac:dyDescent="0.25">
      <c r="A102" t="s">
        <v>42</v>
      </c>
      <c r="B102" t="s">
        <v>1287</v>
      </c>
      <c r="C102" t="s">
        <v>277</v>
      </c>
      <c r="D102" t="s">
        <v>427</v>
      </c>
      <c r="E102" t="s">
        <v>1009</v>
      </c>
      <c r="F102">
        <v>-64</v>
      </c>
      <c r="G102" t="s">
        <v>1057</v>
      </c>
      <c r="H102" t="s">
        <v>1288</v>
      </c>
      <c r="I102" t="s">
        <v>1289</v>
      </c>
      <c r="J102" t="s">
        <v>1000</v>
      </c>
      <c r="K102" t="s">
        <v>1060</v>
      </c>
      <c r="L102" t="s">
        <v>1061</v>
      </c>
      <c r="M102" t="s">
        <v>1062</v>
      </c>
      <c r="N102" t="s">
        <v>1063</v>
      </c>
      <c r="O102" t="s">
        <v>1036</v>
      </c>
      <c r="P102" t="s">
        <v>1064</v>
      </c>
      <c r="Q102" t="b">
        <v>1</v>
      </c>
      <c r="R102" t="b">
        <v>1</v>
      </c>
      <c r="S102" t="s">
        <v>1065</v>
      </c>
      <c r="T102" t="s">
        <v>446</v>
      </c>
      <c r="U102" t="s">
        <v>1066</v>
      </c>
      <c r="V102" t="s">
        <v>1067</v>
      </c>
      <c r="W102" t="s">
        <v>1040</v>
      </c>
      <c r="X102" t="s">
        <v>446</v>
      </c>
    </row>
    <row r="103" spans="1:24" x14ac:dyDescent="0.25">
      <c r="A103" t="s">
        <v>42</v>
      </c>
      <c r="B103" t="s">
        <v>1290</v>
      </c>
      <c r="C103" t="s">
        <v>277</v>
      </c>
      <c r="D103" t="s">
        <v>427</v>
      </c>
      <c r="E103" t="s">
        <v>1011</v>
      </c>
      <c r="F103">
        <v>-66</v>
      </c>
      <c r="G103" t="s">
        <v>1029</v>
      </c>
      <c r="H103" t="s">
        <v>1291</v>
      </c>
      <c r="I103" t="s">
        <v>120</v>
      </c>
      <c r="J103" t="s">
        <v>1000</v>
      </c>
      <c r="K103" t="s">
        <v>1070</v>
      </c>
      <c r="L103" t="s">
        <v>1071</v>
      </c>
      <c r="M103" t="s">
        <v>1034</v>
      </c>
      <c r="N103" t="s">
        <v>1072</v>
      </c>
      <c r="O103" t="s">
        <v>1073</v>
      </c>
      <c r="P103" t="s">
        <v>1074</v>
      </c>
      <c r="Q103" t="b">
        <v>1</v>
      </c>
      <c r="R103" t="b">
        <v>0</v>
      </c>
      <c r="S103" t="s">
        <v>1038</v>
      </c>
      <c r="T103" t="s">
        <v>446</v>
      </c>
      <c r="U103" t="s">
        <v>1039</v>
      </c>
      <c r="V103" t="s">
        <v>1002</v>
      </c>
      <c r="W103" t="s">
        <v>1040</v>
      </c>
      <c r="X103" t="s">
        <v>1283</v>
      </c>
    </row>
    <row r="104" spans="1:24" x14ac:dyDescent="0.25">
      <c r="A104" t="s">
        <v>42</v>
      </c>
      <c r="B104" t="s">
        <v>1292</v>
      </c>
      <c r="C104" t="s">
        <v>277</v>
      </c>
      <c r="D104" t="s">
        <v>427</v>
      </c>
      <c r="E104" t="s">
        <v>1013</v>
      </c>
      <c r="F104">
        <v>-65</v>
      </c>
      <c r="G104" t="s">
        <v>1029</v>
      </c>
      <c r="H104" t="s">
        <v>1285</v>
      </c>
      <c r="I104" t="s">
        <v>120</v>
      </c>
      <c r="J104" t="s">
        <v>1000</v>
      </c>
      <c r="K104" t="s">
        <v>1077</v>
      </c>
      <c r="L104" t="s">
        <v>1078</v>
      </c>
      <c r="M104" t="s">
        <v>1034</v>
      </c>
      <c r="N104" t="s">
        <v>1079</v>
      </c>
      <c r="O104" t="s">
        <v>1080</v>
      </c>
      <c r="P104" t="s">
        <v>1081</v>
      </c>
      <c r="Q104" t="b">
        <v>1</v>
      </c>
      <c r="R104" t="b">
        <v>0</v>
      </c>
      <c r="S104" t="s">
        <v>1038</v>
      </c>
      <c r="T104" t="s">
        <v>446</v>
      </c>
      <c r="U104" t="s">
        <v>1039</v>
      </c>
      <c r="V104" t="s">
        <v>1002</v>
      </c>
      <c r="W104" t="s">
        <v>1040</v>
      </c>
      <c r="X104" t="s">
        <v>1283</v>
      </c>
    </row>
    <row r="105" spans="1:24" x14ac:dyDescent="0.25">
      <c r="A105" t="s">
        <v>42</v>
      </c>
      <c r="B105" t="s">
        <v>1293</v>
      </c>
      <c r="C105" t="s">
        <v>277</v>
      </c>
      <c r="D105" t="s">
        <v>427</v>
      </c>
      <c r="E105" t="s">
        <v>1015</v>
      </c>
      <c r="F105">
        <v>-63</v>
      </c>
      <c r="G105" t="s">
        <v>1029</v>
      </c>
      <c r="H105" t="s">
        <v>1294</v>
      </c>
      <c r="I105" t="s">
        <v>120</v>
      </c>
      <c r="J105" t="s">
        <v>1000</v>
      </c>
      <c r="K105" t="s">
        <v>1084</v>
      </c>
      <c r="L105" t="s">
        <v>1085</v>
      </c>
      <c r="M105" t="s">
        <v>1034</v>
      </c>
      <c r="N105" t="s">
        <v>1086</v>
      </c>
      <c r="O105" t="s">
        <v>1087</v>
      </c>
      <c r="P105" t="s">
        <v>1088</v>
      </c>
      <c r="Q105" t="b">
        <v>1</v>
      </c>
      <c r="R105" t="b">
        <v>0</v>
      </c>
      <c r="S105" t="s">
        <v>1038</v>
      </c>
      <c r="T105" t="s">
        <v>446</v>
      </c>
      <c r="U105" t="s">
        <v>1039</v>
      </c>
      <c r="V105" t="s">
        <v>1002</v>
      </c>
      <c r="W105" t="s">
        <v>1040</v>
      </c>
      <c r="X105" t="s">
        <v>1283</v>
      </c>
    </row>
    <row r="106" spans="1:24" x14ac:dyDescent="0.25">
      <c r="A106" t="s">
        <v>42</v>
      </c>
      <c r="B106" t="s">
        <v>1295</v>
      </c>
      <c r="C106" t="s">
        <v>277</v>
      </c>
      <c r="D106" t="s">
        <v>427</v>
      </c>
      <c r="E106" t="s">
        <v>1017</v>
      </c>
      <c r="F106">
        <v>-63</v>
      </c>
      <c r="G106" t="s">
        <v>1029</v>
      </c>
      <c r="H106" t="s">
        <v>1294</v>
      </c>
      <c r="I106" t="s">
        <v>1289</v>
      </c>
      <c r="J106" t="s">
        <v>1000</v>
      </c>
      <c r="K106" t="s">
        <v>1091</v>
      </c>
      <c r="L106" t="s">
        <v>1092</v>
      </c>
      <c r="M106" t="s">
        <v>1062</v>
      </c>
      <c r="N106" t="s">
        <v>1093</v>
      </c>
      <c r="O106" t="s">
        <v>1073</v>
      </c>
      <c r="P106" t="s">
        <v>1094</v>
      </c>
      <c r="Q106" t="b">
        <v>1</v>
      </c>
      <c r="R106" t="b">
        <v>0</v>
      </c>
      <c r="S106" t="s">
        <v>1038</v>
      </c>
      <c r="T106" t="s">
        <v>446</v>
      </c>
      <c r="U106" t="s">
        <v>1039</v>
      </c>
      <c r="V106" t="s">
        <v>1067</v>
      </c>
      <c r="W106" t="s">
        <v>1040</v>
      </c>
      <c r="X106" t="s">
        <v>446</v>
      </c>
    </row>
    <row r="107" spans="1:24" x14ac:dyDescent="0.25">
      <c r="A107" t="s">
        <v>42</v>
      </c>
      <c r="B107" t="s">
        <v>1296</v>
      </c>
      <c r="C107" t="s">
        <v>277</v>
      </c>
      <c r="D107" t="s">
        <v>427</v>
      </c>
      <c r="E107" t="s">
        <v>1019</v>
      </c>
      <c r="F107">
        <v>-64</v>
      </c>
      <c r="G107" t="s">
        <v>1029</v>
      </c>
      <c r="H107" t="s">
        <v>1288</v>
      </c>
      <c r="I107" t="s">
        <v>120</v>
      </c>
      <c r="J107" t="s">
        <v>1000</v>
      </c>
      <c r="K107" t="s">
        <v>1097</v>
      </c>
      <c r="L107" t="s">
        <v>1098</v>
      </c>
      <c r="M107" t="s">
        <v>1034</v>
      </c>
      <c r="N107" t="s">
        <v>1099</v>
      </c>
      <c r="O107" t="s">
        <v>1100</v>
      </c>
      <c r="P107" t="s">
        <v>1101</v>
      </c>
      <c r="Q107" t="b">
        <v>1</v>
      </c>
      <c r="R107" t="b">
        <v>0</v>
      </c>
      <c r="S107" t="s">
        <v>1038</v>
      </c>
      <c r="T107" t="s">
        <v>446</v>
      </c>
      <c r="U107" t="s">
        <v>1039</v>
      </c>
      <c r="V107" t="s">
        <v>1002</v>
      </c>
      <c r="W107" t="s">
        <v>1040</v>
      </c>
      <c r="X107" t="s">
        <v>1283</v>
      </c>
    </row>
    <row r="108" spans="1:24" x14ac:dyDescent="0.25">
      <c r="A108" t="s">
        <v>42</v>
      </c>
      <c r="B108" t="s">
        <v>1297</v>
      </c>
      <c r="C108" t="s">
        <v>277</v>
      </c>
      <c r="D108" t="s">
        <v>427</v>
      </c>
      <c r="E108" t="s">
        <v>1021</v>
      </c>
      <c r="F108">
        <v>-61</v>
      </c>
      <c r="G108" t="s">
        <v>1057</v>
      </c>
      <c r="H108" t="s">
        <v>1298</v>
      </c>
      <c r="I108" t="s">
        <v>1299</v>
      </c>
      <c r="J108" t="s">
        <v>1000</v>
      </c>
      <c r="K108" t="s">
        <v>1105</v>
      </c>
      <c r="L108" t="s">
        <v>1106</v>
      </c>
      <c r="M108" t="s">
        <v>1034</v>
      </c>
      <c r="N108" t="s">
        <v>1107</v>
      </c>
      <c r="O108" t="s">
        <v>1108</v>
      </c>
      <c r="P108" t="s">
        <v>1109</v>
      </c>
      <c r="Q108" t="b">
        <v>1</v>
      </c>
      <c r="R108" t="b">
        <v>0</v>
      </c>
      <c r="S108" t="s">
        <v>1102</v>
      </c>
      <c r="T108" t="s">
        <v>446</v>
      </c>
      <c r="U108" t="s">
        <v>1066</v>
      </c>
      <c r="V108" t="s">
        <v>1067</v>
      </c>
      <c r="W108" t="s">
        <v>1040</v>
      </c>
      <c r="X108" t="s">
        <v>446</v>
      </c>
    </row>
    <row r="109" spans="1:24" x14ac:dyDescent="0.25">
      <c r="A109" t="s">
        <v>42</v>
      </c>
      <c r="B109" t="s">
        <v>1300</v>
      </c>
      <c r="C109" t="s">
        <v>277</v>
      </c>
      <c r="D109" t="s">
        <v>427</v>
      </c>
      <c r="E109" t="s">
        <v>1023</v>
      </c>
      <c r="F109">
        <v>-61</v>
      </c>
      <c r="G109" t="s">
        <v>1233</v>
      </c>
      <c r="H109" t="s">
        <v>1298</v>
      </c>
      <c r="I109" t="s">
        <v>1299</v>
      </c>
      <c r="J109" t="s">
        <v>1000</v>
      </c>
      <c r="K109" t="s">
        <v>1112</v>
      </c>
      <c r="L109" t="s">
        <v>1113</v>
      </c>
      <c r="M109" t="s">
        <v>1034</v>
      </c>
      <c r="N109" t="s">
        <v>1114</v>
      </c>
      <c r="O109" t="s">
        <v>1115</v>
      </c>
      <c r="P109" t="s">
        <v>1116</v>
      </c>
      <c r="Q109" t="b">
        <v>1</v>
      </c>
      <c r="R109" t="b">
        <v>0</v>
      </c>
      <c r="S109" t="s">
        <v>1038</v>
      </c>
      <c r="T109" t="s">
        <v>446</v>
      </c>
      <c r="U109" t="s">
        <v>1039</v>
      </c>
      <c r="V109" t="s">
        <v>1067</v>
      </c>
      <c r="W109" t="s">
        <v>1040</v>
      </c>
      <c r="X109" t="s">
        <v>446</v>
      </c>
    </row>
    <row r="110" spans="1:24" x14ac:dyDescent="0.25">
      <c r="A110" t="s">
        <v>42</v>
      </c>
      <c r="B110" t="s">
        <v>1301</v>
      </c>
      <c r="C110" t="s">
        <v>277</v>
      </c>
      <c r="D110" t="s">
        <v>427</v>
      </c>
      <c r="E110" t="s">
        <v>1025</v>
      </c>
      <c r="F110">
        <v>-61</v>
      </c>
      <c r="G110" t="s">
        <v>1233</v>
      </c>
      <c r="H110" t="s">
        <v>1298</v>
      </c>
      <c r="I110" t="s">
        <v>1302</v>
      </c>
      <c r="J110" t="s">
        <v>1000</v>
      </c>
      <c r="K110" t="s">
        <v>1119</v>
      </c>
      <c r="L110" t="s">
        <v>1120</v>
      </c>
      <c r="M110" t="s">
        <v>1062</v>
      </c>
      <c r="N110" t="s">
        <v>1121</v>
      </c>
      <c r="O110" t="s">
        <v>1100</v>
      </c>
      <c r="P110" t="s">
        <v>1122</v>
      </c>
      <c r="Q110" t="b">
        <v>1</v>
      </c>
      <c r="R110" t="b">
        <v>0</v>
      </c>
      <c r="S110" t="s">
        <v>1038</v>
      </c>
      <c r="T110" t="s">
        <v>446</v>
      </c>
      <c r="U110" t="s">
        <v>1039</v>
      </c>
      <c r="V110" t="s">
        <v>1067</v>
      </c>
      <c r="W110" t="s">
        <v>1040</v>
      </c>
      <c r="X110" t="s">
        <v>446</v>
      </c>
    </row>
    <row r="111" spans="1:24" x14ac:dyDescent="0.25">
      <c r="A111" t="s">
        <v>42</v>
      </c>
      <c r="B111" t="s">
        <v>1303</v>
      </c>
      <c r="C111" t="s">
        <v>277</v>
      </c>
      <c r="D111" t="s">
        <v>427</v>
      </c>
      <c r="E111" t="s">
        <v>1027</v>
      </c>
      <c r="F111">
        <v>-63</v>
      </c>
      <c r="G111" t="s">
        <v>1233</v>
      </c>
      <c r="H111" t="s">
        <v>1304</v>
      </c>
      <c r="I111" t="s">
        <v>1299</v>
      </c>
      <c r="J111" t="s">
        <v>1000</v>
      </c>
      <c r="K111" t="s">
        <v>1125</v>
      </c>
      <c r="L111" t="s">
        <v>1126</v>
      </c>
      <c r="M111" t="s">
        <v>1034</v>
      </c>
      <c r="N111" t="s">
        <v>1127</v>
      </c>
      <c r="O111" t="s">
        <v>1128</v>
      </c>
      <c r="P111" t="s">
        <v>1129</v>
      </c>
      <c r="Q111" t="b">
        <v>1</v>
      </c>
      <c r="R111" t="b">
        <v>0</v>
      </c>
      <c r="S111" t="s">
        <v>1038</v>
      </c>
      <c r="T111" t="s">
        <v>446</v>
      </c>
      <c r="U111" t="s">
        <v>1039</v>
      </c>
      <c r="V111" t="s">
        <v>1067</v>
      </c>
      <c r="W111" t="s">
        <v>1040</v>
      </c>
      <c r="X111" t="s">
        <v>446</v>
      </c>
    </row>
    <row r="112" spans="1:24" x14ac:dyDescent="0.25">
      <c r="A112" t="s">
        <v>42</v>
      </c>
      <c r="B112" t="s">
        <v>1305</v>
      </c>
      <c r="C112" t="s">
        <v>277</v>
      </c>
      <c r="D112" t="s">
        <v>427</v>
      </c>
      <c r="E112" t="s">
        <v>1131</v>
      </c>
      <c r="F112">
        <v>-62</v>
      </c>
      <c r="G112" t="s">
        <v>1057</v>
      </c>
      <c r="H112" t="s">
        <v>1306</v>
      </c>
      <c r="I112" t="s">
        <v>1299</v>
      </c>
      <c r="J112" t="s">
        <v>1000</v>
      </c>
      <c r="K112" t="s">
        <v>1133</v>
      </c>
      <c r="L112" t="s">
        <v>1134</v>
      </c>
      <c r="M112" t="s">
        <v>1034</v>
      </c>
      <c r="N112" t="s">
        <v>1135</v>
      </c>
      <c r="O112" t="s">
        <v>1136</v>
      </c>
      <c r="P112" t="s">
        <v>1137</v>
      </c>
      <c r="Q112" t="b">
        <v>1</v>
      </c>
      <c r="R112" t="b">
        <v>0</v>
      </c>
      <c r="S112" t="s">
        <v>1102</v>
      </c>
      <c r="T112" t="s">
        <v>446</v>
      </c>
      <c r="U112" t="s">
        <v>1066</v>
      </c>
      <c r="V112" t="s">
        <v>1067</v>
      </c>
      <c r="W112" t="s">
        <v>1040</v>
      </c>
      <c r="X112" t="s">
        <v>446</v>
      </c>
    </row>
    <row r="113" spans="1:24" x14ac:dyDescent="0.25">
      <c r="A113" t="s">
        <v>42</v>
      </c>
      <c r="B113" t="s">
        <v>1307</v>
      </c>
      <c r="C113" t="s">
        <v>279</v>
      </c>
      <c r="D113" t="s">
        <v>427</v>
      </c>
      <c r="E113" t="s">
        <v>998</v>
      </c>
      <c r="F113">
        <v>-13</v>
      </c>
      <c r="G113" t="s">
        <v>1233</v>
      </c>
      <c r="H113" t="s">
        <v>1308</v>
      </c>
      <c r="I113" t="s">
        <v>1309</v>
      </c>
      <c r="J113" t="s">
        <v>1000</v>
      </c>
      <c r="K113" t="s">
        <v>1032</v>
      </c>
      <c r="L113" t="s">
        <v>1033</v>
      </c>
      <c r="M113" t="s">
        <v>1034</v>
      </c>
      <c r="N113" t="s">
        <v>1035</v>
      </c>
      <c r="O113" t="s">
        <v>1036</v>
      </c>
      <c r="P113" t="s">
        <v>1037</v>
      </c>
      <c r="Q113" t="b">
        <v>1</v>
      </c>
      <c r="R113" t="b">
        <v>0</v>
      </c>
      <c r="S113" t="s">
        <v>1038</v>
      </c>
      <c r="T113" t="s">
        <v>446</v>
      </c>
      <c r="U113" t="s">
        <v>1039</v>
      </c>
      <c r="V113" t="s">
        <v>1067</v>
      </c>
      <c r="W113" t="s">
        <v>1040</v>
      </c>
      <c r="X113" t="s">
        <v>1310</v>
      </c>
    </row>
    <row r="114" spans="1:24" x14ac:dyDescent="0.25">
      <c r="A114" t="s">
        <v>42</v>
      </c>
      <c r="B114" t="s">
        <v>1311</v>
      </c>
      <c r="C114" t="s">
        <v>279</v>
      </c>
      <c r="D114" t="s">
        <v>427</v>
      </c>
      <c r="E114" t="s">
        <v>1005</v>
      </c>
      <c r="F114">
        <v>-5</v>
      </c>
      <c r="G114" t="s">
        <v>1233</v>
      </c>
      <c r="H114" t="s">
        <v>1312</v>
      </c>
      <c r="I114" t="s">
        <v>1309</v>
      </c>
      <c r="J114" t="s">
        <v>1000</v>
      </c>
      <c r="K114" t="s">
        <v>1044</v>
      </c>
      <c r="L114" t="s">
        <v>1045</v>
      </c>
      <c r="M114" t="s">
        <v>1034</v>
      </c>
      <c r="N114" t="s">
        <v>1046</v>
      </c>
      <c r="O114" t="s">
        <v>1047</v>
      </c>
      <c r="P114" t="s">
        <v>1048</v>
      </c>
      <c r="Q114" t="b">
        <v>1</v>
      </c>
      <c r="R114" t="b">
        <v>0</v>
      </c>
      <c r="S114" t="s">
        <v>1038</v>
      </c>
      <c r="T114" t="s">
        <v>446</v>
      </c>
      <c r="U114" t="s">
        <v>1039</v>
      </c>
      <c r="V114" t="s">
        <v>1067</v>
      </c>
      <c r="W114" t="s">
        <v>1040</v>
      </c>
      <c r="X114" t="s">
        <v>1310</v>
      </c>
    </row>
    <row r="115" spans="1:24" x14ac:dyDescent="0.25">
      <c r="A115" t="s">
        <v>42</v>
      </c>
      <c r="B115" t="s">
        <v>1313</v>
      </c>
      <c r="C115" t="s">
        <v>279</v>
      </c>
      <c r="D115" t="s">
        <v>427</v>
      </c>
      <c r="E115" t="s">
        <v>1007</v>
      </c>
      <c r="F115">
        <v>-11</v>
      </c>
      <c r="G115" t="s">
        <v>1233</v>
      </c>
      <c r="H115" t="s">
        <v>1314</v>
      </c>
      <c r="I115" t="s">
        <v>1309</v>
      </c>
      <c r="J115" t="s">
        <v>1000</v>
      </c>
      <c r="K115" t="s">
        <v>1051</v>
      </c>
      <c r="L115" t="s">
        <v>1052</v>
      </c>
      <c r="M115" t="s">
        <v>1034</v>
      </c>
      <c r="N115" t="s">
        <v>1053</v>
      </c>
      <c r="O115" t="s">
        <v>1054</v>
      </c>
      <c r="P115" t="s">
        <v>1055</v>
      </c>
      <c r="Q115" t="b">
        <v>1</v>
      </c>
      <c r="R115" t="b">
        <v>0</v>
      </c>
      <c r="S115" t="s">
        <v>1038</v>
      </c>
      <c r="T115" t="s">
        <v>446</v>
      </c>
      <c r="U115" t="s">
        <v>1039</v>
      </c>
      <c r="V115" t="s">
        <v>1067</v>
      </c>
      <c r="W115" t="s">
        <v>1040</v>
      </c>
      <c r="X115" t="s">
        <v>1310</v>
      </c>
    </row>
    <row r="116" spans="1:24" x14ac:dyDescent="0.25">
      <c r="A116" t="s">
        <v>42</v>
      </c>
      <c r="B116" t="s">
        <v>1315</v>
      </c>
      <c r="C116" t="s">
        <v>279</v>
      </c>
      <c r="D116" t="s">
        <v>427</v>
      </c>
      <c r="E116" t="s">
        <v>1009</v>
      </c>
      <c r="F116">
        <v>-19</v>
      </c>
      <c r="G116" t="s">
        <v>1233</v>
      </c>
      <c r="H116" t="s">
        <v>1316</v>
      </c>
      <c r="I116" t="s">
        <v>1317</v>
      </c>
      <c r="J116" t="s">
        <v>1000</v>
      </c>
      <c r="K116" t="s">
        <v>1060</v>
      </c>
      <c r="L116" t="s">
        <v>1061</v>
      </c>
      <c r="M116" t="s">
        <v>1062</v>
      </c>
      <c r="N116" t="s">
        <v>1063</v>
      </c>
      <c r="O116" t="s">
        <v>1036</v>
      </c>
      <c r="P116" t="s">
        <v>1064</v>
      </c>
      <c r="Q116" t="b">
        <v>1</v>
      </c>
      <c r="R116" t="b">
        <v>0</v>
      </c>
      <c r="S116" t="s">
        <v>1038</v>
      </c>
      <c r="T116" t="s">
        <v>446</v>
      </c>
      <c r="U116" t="s">
        <v>1039</v>
      </c>
      <c r="V116" t="s">
        <v>1067</v>
      </c>
      <c r="W116" t="s">
        <v>1040</v>
      </c>
      <c r="X116" t="s">
        <v>1318</v>
      </c>
    </row>
    <row r="117" spans="1:24" x14ac:dyDescent="0.25">
      <c r="A117" t="s">
        <v>42</v>
      </c>
      <c r="B117" t="s">
        <v>1319</v>
      </c>
      <c r="C117" t="s">
        <v>279</v>
      </c>
      <c r="D117" t="s">
        <v>427</v>
      </c>
      <c r="E117" t="s">
        <v>1011</v>
      </c>
      <c r="F117">
        <v>-15</v>
      </c>
      <c r="G117" t="s">
        <v>1233</v>
      </c>
      <c r="H117" t="s">
        <v>1320</v>
      </c>
      <c r="I117" t="s">
        <v>1309</v>
      </c>
      <c r="J117" t="s">
        <v>1000</v>
      </c>
      <c r="K117" t="s">
        <v>1070</v>
      </c>
      <c r="L117" t="s">
        <v>1071</v>
      </c>
      <c r="M117" t="s">
        <v>1034</v>
      </c>
      <c r="N117" t="s">
        <v>1072</v>
      </c>
      <c r="O117" t="s">
        <v>1073</v>
      </c>
      <c r="P117" t="s">
        <v>1074</v>
      </c>
      <c r="Q117" t="b">
        <v>1</v>
      </c>
      <c r="R117" t="b">
        <v>0</v>
      </c>
      <c r="S117" t="s">
        <v>1038</v>
      </c>
      <c r="T117" t="s">
        <v>446</v>
      </c>
      <c r="U117" t="s">
        <v>1039</v>
      </c>
      <c r="V117" t="s">
        <v>1067</v>
      </c>
      <c r="W117" t="s">
        <v>1040</v>
      </c>
      <c r="X117" t="s">
        <v>1310</v>
      </c>
    </row>
    <row r="118" spans="1:24" x14ac:dyDescent="0.25">
      <c r="A118" t="s">
        <v>42</v>
      </c>
      <c r="B118" t="s">
        <v>1321</v>
      </c>
      <c r="C118" t="s">
        <v>279</v>
      </c>
      <c r="D118" t="s">
        <v>427</v>
      </c>
      <c r="E118" t="s">
        <v>1013</v>
      </c>
      <c r="F118">
        <v>59</v>
      </c>
      <c r="G118" t="s">
        <v>1233</v>
      </c>
      <c r="H118" t="s">
        <v>1322</v>
      </c>
      <c r="I118" t="s">
        <v>1309</v>
      </c>
      <c r="J118" t="s">
        <v>1000</v>
      </c>
      <c r="K118" t="s">
        <v>1077</v>
      </c>
      <c r="L118" t="s">
        <v>1078</v>
      </c>
      <c r="M118" t="s">
        <v>1034</v>
      </c>
      <c r="N118" t="s">
        <v>1079</v>
      </c>
      <c r="O118" t="s">
        <v>1080</v>
      </c>
      <c r="P118" t="s">
        <v>1081</v>
      </c>
      <c r="Q118" t="b">
        <v>1</v>
      </c>
      <c r="R118" t="b">
        <v>0</v>
      </c>
      <c r="S118" t="s">
        <v>1038</v>
      </c>
      <c r="T118" t="s">
        <v>446</v>
      </c>
      <c r="U118" t="s">
        <v>1039</v>
      </c>
      <c r="V118" t="s">
        <v>1067</v>
      </c>
      <c r="W118" t="s">
        <v>1040</v>
      </c>
      <c r="X118" t="s">
        <v>1310</v>
      </c>
    </row>
    <row r="119" spans="1:24" x14ac:dyDescent="0.25">
      <c r="A119" t="s">
        <v>42</v>
      </c>
      <c r="B119" t="s">
        <v>1323</v>
      </c>
      <c r="C119" t="s">
        <v>279</v>
      </c>
      <c r="D119" t="s">
        <v>427</v>
      </c>
      <c r="E119" t="s">
        <v>1015</v>
      </c>
      <c r="F119">
        <v>-66</v>
      </c>
      <c r="G119" t="s">
        <v>1233</v>
      </c>
      <c r="H119" t="s">
        <v>1324</v>
      </c>
      <c r="I119" t="s">
        <v>1309</v>
      </c>
      <c r="J119" t="s">
        <v>1000</v>
      </c>
      <c r="K119" t="s">
        <v>1084</v>
      </c>
      <c r="L119" t="s">
        <v>1085</v>
      </c>
      <c r="M119" t="s">
        <v>1034</v>
      </c>
      <c r="N119" t="s">
        <v>1086</v>
      </c>
      <c r="O119" t="s">
        <v>1087</v>
      </c>
      <c r="P119" t="s">
        <v>1088</v>
      </c>
      <c r="Q119" t="b">
        <v>1</v>
      </c>
      <c r="R119" t="b">
        <v>0</v>
      </c>
      <c r="S119" t="s">
        <v>1038</v>
      </c>
      <c r="T119" t="s">
        <v>446</v>
      </c>
      <c r="U119" t="s">
        <v>1039</v>
      </c>
      <c r="V119" t="s">
        <v>1067</v>
      </c>
      <c r="W119" t="s">
        <v>1040</v>
      </c>
      <c r="X119" t="s">
        <v>1310</v>
      </c>
    </row>
    <row r="120" spans="1:24" x14ac:dyDescent="0.25">
      <c r="A120" t="s">
        <v>42</v>
      </c>
      <c r="B120" t="s">
        <v>1325</v>
      </c>
      <c r="C120" t="s">
        <v>279</v>
      </c>
      <c r="D120" t="s">
        <v>427</v>
      </c>
      <c r="E120" t="s">
        <v>1017</v>
      </c>
      <c r="F120">
        <v>261</v>
      </c>
      <c r="G120" t="s">
        <v>1233</v>
      </c>
      <c r="H120" t="s">
        <v>1326</v>
      </c>
      <c r="I120" t="s">
        <v>1317</v>
      </c>
      <c r="J120" t="s">
        <v>1000</v>
      </c>
      <c r="K120" t="s">
        <v>1091</v>
      </c>
      <c r="L120" t="s">
        <v>1092</v>
      </c>
      <c r="M120" t="s">
        <v>1062</v>
      </c>
      <c r="N120" t="s">
        <v>1093</v>
      </c>
      <c r="O120" t="s">
        <v>1073</v>
      </c>
      <c r="P120" t="s">
        <v>1094</v>
      </c>
      <c r="Q120" t="b">
        <v>1</v>
      </c>
      <c r="R120" t="b">
        <v>0</v>
      </c>
      <c r="S120" t="s">
        <v>1038</v>
      </c>
      <c r="T120" t="s">
        <v>446</v>
      </c>
      <c r="U120" t="s">
        <v>1039</v>
      </c>
      <c r="V120" t="s">
        <v>1067</v>
      </c>
      <c r="W120" t="s">
        <v>1040</v>
      </c>
      <c r="X120" t="s">
        <v>1318</v>
      </c>
    </row>
    <row r="121" spans="1:24" x14ac:dyDescent="0.25">
      <c r="A121" t="s">
        <v>42</v>
      </c>
      <c r="B121" t="s">
        <v>1327</v>
      </c>
      <c r="C121" t="s">
        <v>279</v>
      </c>
      <c r="D121" t="s">
        <v>427</v>
      </c>
      <c r="E121" t="s">
        <v>1019</v>
      </c>
      <c r="F121">
        <v>75</v>
      </c>
      <c r="G121" t="s">
        <v>1233</v>
      </c>
      <c r="H121" t="s">
        <v>1328</v>
      </c>
      <c r="I121" t="s">
        <v>1309</v>
      </c>
      <c r="J121" t="s">
        <v>1000</v>
      </c>
      <c r="K121" t="s">
        <v>1097</v>
      </c>
      <c r="L121" t="s">
        <v>1098</v>
      </c>
      <c r="M121" t="s">
        <v>1034</v>
      </c>
      <c r="N121" t="s">
        <v>1099</v>
      </c>
      <c r="O121" t="s">
        <v>1100</v>
      </c>
      <c r="P121" t="s">
        <v>1101</v>
      </c>
      <c r="Q121" t="b">
        <v>1</v>
      </c>
      <c r="R121" t="b">
        <v>0</v>
      </c>
      <c r="S121" t="s">
        <v>1038</v>
      </c>
      <c r="T121" t="s">
        <v>446</v>
      </c>
      <c r="U121" t="s">
        <v>1039</v>
      </c>
      <c r="V121" t="s">
        <v>1067</v>
      </c>
      <c r="W121" t="s">
        <v>1040</v>
      </c>
      <c r="X121" t="s">
        <v>1310</v>
      </c>
    </row>
    <row r="122" spans="1:24" x14ac:dyDescent="0.25">
      <c r="A122" t="s">
        <v>42</v>
      </c>
      <c r="B122" t="s">
        <v>1329</v>
      </c>
      <c r="C122" t="s">
        <v>279</v>
      </c>
      <c r="D122" t="s">
        <v>427</v>
      </c>
      <c r="E122" t="s">
        <v>1021</v>
      </c>
      <c r="F122">
        <v>189</v>
      </c>
      <c r="G122" t="s">
        <v>1233</v>
      </c>
      <c r="H122" t="s">
        <v>1330</v>
      </c>
      <c r="I122" t="s">
        <v>1331</v>
      </c>
      <c r="J122" t="s">
        <v>1000</v>
      </c>
      <c r="K122" t="s">
        <v>1105</v>
      </c>
      <c r="L122" t="s">
        <v>1106</v>
      </c>
      <c r="M122" t="s">
        <v>1034</v>
      </c>
      <c r="N122" t="s">
        <v>1107</v>
      </c>
      <c r="O122" t="s">
        <v>1108</v>
      </c>
      <c r="P122" t="s">
        <v>1109</v>
      </c>
      <c r="Q122" t="b">
        <v>1</v>
      </c>
      <c r="R122" t="b">
        <v>0</v>
      </c>
      <c r="S122" t="s">
        <v>1038</v>
      </c>
      <c r="T122" t="s">
        <v>446</v>
      </c>
      <c r="U122" t="s">
        <v>1039</v>
      </c>
      <c r="V122" t="s">
        <v>1067</v>
      </c>
      <c r="W122" t="s">
        <v>1040</v>
      </c>
      <c r="X122" t="s">
        <v>1332</v>
      </c>
    </row>
    <row r="123" spans="1:24" x14ac:dyDescent="0.25">
      <c r="A123" t="s">
        <v>42</v>
      </c>
      <c r="B123" t="s">
        <v>1333</v>
      </c>
      <c r="C123" t="s">
        <v>279</v>
      </c>
      <c r="D123" t="s">
        <v>427</v>
      </c>
      <c r="E123" t="s">
        <v>1023</v>
      </c>
      <c r="F123">
        <v>36</v>
      </c>
      <c r="G123" t="s">
        <v>1233</v>
      </c>
      <c r="H123" t="s">
        <v>1334</v>
      </c>
      <c r="I123" t="s">
        <v>1331</v>
      </c>
      <c r="J123" t="s">
        <v>1000</v>
      </c>
      <c r="K123" t="s">
        <v>1112</v>
      </c>
      <c r="L123" t="s">
        <v>1113</v>
      </c>
      <c r="M123" t="s">
        <v>1034</v>
      </c>
      <c r="N123" t="s">
        <v>1114</v>
      </c>
      <c r="O123" t="s">
        <v>1115</v>
      </c>
      <c r="P123" t="s">
        <v>1116</v>
      </c>
      <c r="Q123" t="b">
        <v>1</v>
      </c>
      <c r="R123" t="b">
        <v>0</v>
      </c>
      <c r="S123" t="s">
        <v>1038</v>
      </c>
      <c r="T123" t="s">
        <v>446</v>
      </c>
      <c r="U123" t="s">
        <v>1039</v>
      </c>
      <c r="V123" t="s">
        <v>1067</v>
      </c>
      <c r="W123" t="s">
        <v>1040</v>
      </c>
      <c r="X123" t="s">
        <v>1332</v>
      </c>
    </row>
    <row r="124" spans="1:24" x14ac:dyDescent="0.25">
      <c r="A124" t="s">
        <v>42</v>
      </c>
      <c r="B124" t="s">
        <v>1335</v>
      </c>
      <c r="C124" t="s">
        <v>279</v>
      </c>
      <c r="D124" t="s">
        <v>427</v>
      </c>
      <c r="E124" t="s">
        <v>1025</v>
      </c>
      <c r="F124">
        <v>733</v>
      </c>
      <c r="G124" t="s">
        <v>1057</v>
      </c>
      <c r="H124" t="s">
        <v>1336</v>
      </c>
      <c r="I124" t="s">
        <v>1337</v>
      </c>
      <c r="J124" t="s">
        <v>1000</v>
      </c>
      <c r="K124" t="s">
        <v>1119</v>
      </c>
      <c r="L124" t="s">
        <v>1120</v>
      </c>
      <c r="M124" t="s">
        <v>1062</v>
      </c>
      <c r="N124" t="s">
        <v>1121</v>
      </c>
      <c r="O124" t="s">
        <v>1100</v>
      </c>
      <c r="P124" t="s">
        <v>1122</v>
      </c>
      <c r="Q124" t="b">
        <v>1</v>
      </c>
      <c r="R124" t="b">
        <v>0</v>
      </c>
      <c r="S124" t="s">
        <v>1102</v>
      </c>
      <c r="T124" t="s">
        <v>446</v>
      </c>
      <c r="U124" t="s">
        <v>1066</v>
      </c>
      <c r="V124" t="s">
        <v>1067</v>
      </c>
      <c r="W124" t="s">
        <v>1040</v>
      </c>
      <c r="X124" t="s">
        <v>1318</v>
      </c>
    </row>
    <row r="125" spans="1:24" x14ac:dyDescent="0.25">
      <c r="A125" t="s">
        <v>42</v>
      </c>
      <c r="B125" t="s">
        <v>1338</v>
      </c>
      <c r="C125" t="s">
        <v>279</v>
      </c>
      <c r="D125" t="s">
        <v>427</v>
      </c>
      <c r="E125" t="s">
        <v>1027</v>
      </c>
      <c r="F125">
        <v>-180</v>
      </c>
      <c r="G125" t="s">
        <v>1233</v>
      </c>
      <c r="H125" t="s">
        <v>1339</v>
      </c>
      <c r="I125" t="s">
        <v>1331</v>
      </c>
      <c r="J125" t="s">
        <v>1000</v>
      </c>
      <c r="K125" t="s">
        <v>1125</v>
      </c>
      <c r="L125" t="s">
        <v>1126</v>
      </c>
      <c r="M125" t="s">
        <v>1034</v>
      </c>
      <c r="N125" t="s">
        <v>1127</v>
      </c>
      <c r="O125" t="s">
        <v>1128</v>
      </c>
      <c r="P125" t="s">
        <v>1129</v>
      </c>
      <c r="Q125" t="b">
        <v>1</v>
      </c>
      <c r="R125" t="b">
        <v>0</v>
      </c>
      <c r="S125" t="s">
        <v>1038</v>
      </c>
      <c r="T125" t="s">
        <v>446</v>
      </c>
      <c r="U125" t="s">
        <v>1039</v>
      </c>
      <c r="V125" t="s">
        <v>1067</v>
      </c>
      <c r="W125" t="s">
        <v>1040</v>
      </c>
      <c r="X125" t="s">
        <v>1332</v>
      </c>
    </row>
    <row r="126" spans="1:24" x14ac:dyDescent="0.25">
      <c r="A126" t="s">
        <v>42</v>
      </c>
      <c r="B126" t="s">
        <v>1340</v>
      </c>
      <c r="C126" t="s">
        <v>279</v>
      </c>
      <c r="D126" t="s">
        <v>427</v>
      </c>
      <c r="E126" t="s">
        <v>1131</v>
      </c>
      <c r="F126">
        <v>2236</v>
      </c>
      <c r="G126" t="s">
        <v>1233</v>
      </c>
      <c r="H126" t="s">
        <v>1341</v>
      </c>
      <c r="I126" t="s">
        <v>1331</v>
      </c>
      <c r="J126" t="s">
        <v>1000</v>
      </c>
      <c r="K126" t="s">
        <v>1133</v>
      </c>
      <c r="L126" t="s">
        <v>1134</v>
      </c>
      <c r="M126" t="s">
        <v>1034</v>
      </c>
      <c r="N126" t="s">
        <v>1135</v>
      </c>
      <c r="O126" t="s">
        <v>1136</v>
      </c>
      <c r="P126" t="s">
        <v>1137</v>
      </c>
      <c r="Q126" t="b">
        <v>1</v>
      </c>
      <c r="R126" t="b">
        <v>0</v>
      </c>
      <c r="S126" t="s">
        <v>1038</v>
      </c>
      <c r="T126" t="s">
        <v>446</v>
      </c>
      <c r="U126" t="s">
        <v>1039</v>
      </c>
      <c r="V126" t="s">
        <v>1067</v>
      </c>
      <c r="W126" t="s">
        <v>1040</v>
      </c>
      <c r="X126" t="s">
        <v>1332</v>
      </c>
    </row>
    <row r="127" spans="1:24" x14ac:dyDescent="0.25">
      <c r="A127" t="s">
        <v>42</v>
      </c>
      <c r="B127" t="s">
        <v>1342</v>
      </c>
      <c r="C127" t="s">
        <v>281</v>
      </c>
      <c r="D127" t="s">
        <v>427</v>
      </c>
      <c r="E127" t="s">
        <v>998</v>
      </c>
      <c r="F127">
        <v>-187</v>
      </c>
      <c r="G127" t="s">
        <v>1029</v>
      </c>
      <c r="H127" t="s">
        <v>1343</v>
      </c>
      <c r="I127" t="s">
        <v>1344</v>
      </c>
      <c r="J127" t="s">
        <v>1000</v>
      </c>
      <c r="K127" t="s">
        <v>1032</v>
      </c>
      <c r="L127" t="s">
        <v>1033</v>
      </c>
      <c r="M127" t="s">
        <v>1034</v>
      </c>
      <c r="N127" t="s">
        <v>1035</v>
      </c>
      <c r="O127" t="s">
        <v>1036</v>
      </c>
      <c r="P127" t="s">
        <v>1037</v>
      </c>
      <c r="Q127" t="b">
        <v>1</v>
      </c>
      <c r="R127" t="b">
        <v>0</v>
      </c>
      <c r="S127" t="s">
        <v>1038</v>
      </c>
      <c r="T127" t="s">
        <v>446</v>
      </c>
      <c r="U127" t="s">
        <v>1039</v>
      </c>
      <c r="V127" t="s">
        <v>1002</v>
      </c>
      <c r="W127" t="s">
        <v>1040</v>
      </c>
      <c r="X127" t="s">
        <v>1345</v>
      </c>
    </row>
    <row r="128" spans="1:24" x14ac:dyDescent="0.25">
      <c r="A128" t="s">
        <v>42</v>
      </c>
      <c r="B128" t="s">
        <v>1346</v>
      </c>
      <c r="C128" t="s">
        <v>281</v>
      </c>
      <c r="D128" t="s">
        <v>427</v>
      </c>
      <c r="E128" t="s">
        <v>1005</v>
      </c>
      <c r="F128">
        <v>181</v>
      </c>
      <c r="G128" t="s">
        <v>1029</v>
      </c>
      <c r="H128" t="s">
        <v>1347</v>
      </c>
      <c r="I128" t="s">
        <v>1344</v>
      </c>
      <c r="J128" t="s">
        <v>1000</v>
      </c>
      <c r="K128" t="s">
        <v>1044</v>
      </c>
      <c r="L128" t="s">
        <v>1045</v>
      </c>
      <c r="M128" t="s">
        <v>1034</v>
      </c>
      <c r="N128" t="s">
        <v>1046</v>
      </c>
      <c r="O128" t="s">
        <v>1047</v>
      </c>
      <c r="P128" t="s">
        <v>1048</v>
      </c>
      <c r="Q128" t="b">
        <v>1</v>
      </c>
      <c r="R128" t="b">
        <v>0</v>
      </c>
      <c r="S128" t="s">
        <v>1038</v>
      </c>
      <c r="T128" t="s">
        <v>446</v>
      </c>
      <c r="U128" t="s">
        <v>1039</v>
      </c>
      <c r="V128" t="s">
        <v>1002</v>
      </c>
      <c r="W128" t="s">
        <v>1040</v>
      </c>
      <c r="X128" t="s">
        <v>1345</v>
      </c>
    </row>
    <row r="129" spans="1:24" x14ac:dyDescent="0.25">
      <c r="A129" t="s">
        <v>42</v>
      </c>
      <c r="B129" t="s">
        <v>1348</v>
      </c>
      <c r="C129" t="s">
        <v>281</v>
      </c>
      <c r="D129" t="s">
        <v>427</v>
      </c>
      <c r="E129" t="s">
        <v>1007</v>
      </c>
      <c r="F129">
        <v>67</v>
      </c>
      <c r="G129" t="s">
        <v>1029</v>
      </c>
      <c r="H129" t="s">
        <v>1349</v>
      </c>
      <c r="I129" t="s">
        <v>1344</v>
      </c>
      <c r="J129" t="s">
        <v>1000</v>
      </c>
      <c r="K129" t="s">
        <v>1051</v>
      </c>
      <c r="L129" t="s">
        <v>1052</v>
      </c>
      <c r="M129" t="s">
        <v>1034</v>
      </c>
      <c r="N129" t="s">
        <v>1053</v>
      </c>
      <c r="O129" t="s">
        <v>1054</v>
      </c>
      <c r="P129" t="s">
        <v>1055</v>
      </c>
      <c r="Q129" t="b">
        <v>1</v>
      </c>
      <c r="R129" t="b">
        <v>0</v>
      </c>
      <c r="S129" t="s">
        <v>1038</v>
      </c>
      <c r="T129" t="s">
        <v>446</v>
      </c>
      <c r="U129" t="s">
        <v>1039</v>
      </c>
      <c r="V129" t="s">
        <v>1002</v>
      </c>
      <c r="W129" t="s">
        <v>1040</v>
      </c>
      <c r="X129" t="s">
        <v>1345</v>
      </c>
    </row>
    <row r="130" spans="1:24" x14ac:dyDescent="0.25">
      <c r="A130" t="s">
        <v>42</v>
      </c>
      <c r="B130" t="s">
        <v>1350</v>
      </c>
      <c r="C130" t="s">
        <v>281</v>
      </c>
      <c r="D130" t="s">
        <v>427</v>
      </c>
      <c r="E130" t="s">
        <v>1009</v>
      </c>
      <c r="F130">
        <v>126</v>
      </c>
      <c r="G130" t="s">
        <v>1057</v>
      </c>
      <c r="H130" t="s">
        <v>1351</v>
      </c>
      <c r="I130" t="s">
        <v>1352</v>
      </c>
      <c r="J130" t="s">
        <v>1000</v>
      </c>
      <c r="K130" t="s">
        <v>1060</v>
      </c>
      <c r="L130" t="s">
        <v>1061</v>
      </c>
      <c r="M130" t="s">
        <v>1062</v>
      </c>
      <c r="N130" t="s">
        <v>1063</v>
      </c>
      <c r="O130" t="s">
        <v>1036</v>
      </c>
      <c r="P130" t="s">
        <v>1064</v>
      </c>
      <c r="Q130" t="b">
        <v>1</v>
      </c>
      <c r="R130" t="b">
        <v>1</v>
      </c>
      <c r="S130" t="s">
        <v>1065</v>
      </c>
      <c r="T130" t="s">
        <v>446</v>
      </c>
      <c r="U130" t="s">
        <v>1066</v>
      </c>
      <c r="V130" t="s">
        <v>1067</v>
      </c>
      <c r="W130" t="s">
        <v>1040</v>
      </c>
      <c r="X130" t="s">
        <v>446</v>
      </c>
    </row>
    <row r="131" spans="1:24" x14ac:dyDescent="0.25">
      <c r="A131" t="s">
        <v>42</v>
      </c>
      <c r="B131" t="s">
        <v>1353</v>
      </c>
      <c r="C131" t="s">
        <v>281</v>
      </c>
      <c r="D131" t="s">
        <v>427</v>
      </c>
      <c r="E131" t="s">
        <v>1011</v>
      </c>
      <c r="F131">
        <v>-166</v>
      </c>
      <c r="G131" t="s">
        <v>1029</v>
      </c>
      <c r="H131" t="s">
        <v>1354</v>
      </c>
      <c r="I131" t="s">
        <v>1344</v>
      </c>
      <c r="J131" t="s">
        <v>1000</v>
      </c>
      <c r="K131" t="s">
        <v>1070</v>
      </c>
      <c r="L131" t="s">
        <v>1071</v>
      </c>
      <c r="M131" t="s">
        <v>1034</v>
      </c>
      <c r="N131" t="s">
        <v>1072</v>
      </c>
      <c r="O131" t="s">
        <v>1073</v>
      </c>
      <c r="P131" t="s">
        <v>1074</v>
      </c>
      <c r="Q131" t="b">
        <v>1</v>
      </c>
      <c r="R131" t="b">
        <v>0</v>
      </c>
      <c r="S131" t="s">
        <v>1038</v>
      </c>
      <c r="T131" t="s">
        <v>446</v>
      </c>
      <c r="U131" t="s">
        <v>1039</v>
      </c>
      <c r="V131" t="s">
        <v>1002</v>
      </c>
      <c r="W131" t="s">
        <v>1040</v>
      </c>
      <c r="X131" t="s">
        <v>1345</v>
      </c>
    </row>
    <row r="132" spans="1:24" x14ac:dyDescent="0.25">
      <c r="A132" t="s">
        <v>42</v>
      </c>
      <c r="B132" t="s">
        <v>1355</v>
      </c>
      <c r="C132" t="s">
        <v>281</v>
      </c>
      <c r="D132" t="s">
        <v>427</v>
      </c>
      <c r="E132" t="s">
        <v>1013</v>
      </c>
      <c r="F132">
        <v>-793</v>
      </c>
      <c r="G132" t="s">
        <v>1029</v>
      </c>
      <c r="H132" t="s">
        <v>1356</v>
      </c>
      <c r="I132" t="s">
        <v>1344</v>
      </c>
      <c r="J132" t="s">
        <v>1000</v>
      </c>
      <c r="K132" t="s">
        <v>1077</v>
      </c>
      <c r="L132" t="s">
        <v>1078</v>
      </c>
      <c r="M132" t="s">
        <v>1034</v>
      </c>
      <c r="N132" t="s">
        <v>1079</v>
      </c>
      <c r="O132" t="s">
        <v>1080</v>
      </c>
      <c r="P132" t="s">
        <v>1081</v>
      </c>
      <c r="Q132" t="b">
        <v>1</v>
      </c>
      <c r="R132" t="b">
        <v>0</v>
      </c>
      <c r="S132" t="s">
        <v>1038</v>
      </c>
      <c r="T132" t="s">
        <v>446</v>
      </c>
      <c r="U132" t="s">
        <v>1039</v>
      </c>
      <c r="V132" t="s">
        <v>1002</v>
      </c>
      <c r="W132" t="s">
        <v>1040</v>
      </c>
      <c r="X132" t="s">
        <v>1345</v>
      </c>
    </row>
    <row r="133" spans="1:24" x14ac:dyDescent="0.25">
      <c r="A133" t="s">
        <v>42</v>
      </c>
      <c r="B133" t="s">
        <v>1357</v>
      </c>
      <c r="C133" t="s">
        <v>281</v>
      </c>
      <c r="D133" t="s">
        <v>427</v>
      </c>
      <c r="E133" t="s">
        <v>1015</v>
      </c>
      <c r="F133">
        <v>-1279</v>
      </c>
      <c r="G133" t="s">
        <v>1029</v>
      </c>
      <c r="H133" t="s">
        <v>1358</v>
      </c>
      <c r="I133" t="s">
        <v>1344</v>
      </c>
      <c r="J133" t="s">
        <v>1000</v>
      </c>
      <c r="K133" t="s">
        <v>1084</v>
      </c>
      <c r="L133" t="s">
        <v>1085</v>
      </c>
      <c r="M133" t="s">
        <v>1034</v>
      </c>
      <c r="N133" t="s">
        <v>1086</v>
      </c>
      <c r="O133" t="s">
        <v>1087</v>
      </c>
      <c r="P133" t="s">
        <v>1088</v>
      </c>
      <c r="Q133" t="b">
        <v>1</v>
      </c>
      <c r="R133" t="b">
        <v>0</v>
      </c>
      <c r="S133" t="s">
        <v>1038</v>
      </c>
      <c r="T133" t="s">
        <v>446</v>
      </c>
      <c r="U133" t="s">
        <v>1039</v>
      </c>
      <c r="V133" t="s">
        <v>1002</v>
      </c>
      <c r="W133" t="s">
        <v>1040</v>
      </c>
      <c r="X133" t="s">
        <v>1345</v>
      </c>
    </row>
    <row r="134" spans="1:24" x14ac:dyDescent="0.25">
      <c r="A134" t="s">
        <v>42</v>
      </c>
      <c r="B134" t="s">
        <v>1359</v>
      </c>
      <c r="C134" t="s">
        <v>281</v>
      </c>
      <c r="D134" t="s">
        <v>427</v>
      </c>
      <c r="E134" t="s">
        <v>1017</v>
      </c>
      <c r="F134">
        <v>-1821</v>
      </c>
      <c r="G134" t="s">
        <v>1029</v>
      </c>
      <c r="H134" t="s">
        <v>1360</v>
      </c>
      <c r="I134" t="s">
        <v>1352</v>
      </c>
      <c r="J134" t="s">
        <v>1000</v>
      </c>
      <c r="K134" t="s">
        <v>1091</v>
      </c>
      <c r="L134" t="s">
        <v>1092</v>
      </c>
      <c r="M134" t="s">
        <v>1062</v>
      </c>
      <c r="N134" t="s">
        <v>1093</v>
      </c>
      <c r="O134" t="s">
        <v>1073</v>
      </c>
      <c r="P134" t="s">
        <v>1094</v>
      </c>
      <c r="Q134" t="b">
        <v>1</v>
      </c>
      <c r="R134" t="b">
        <v>0</v>
      </c>
      <c r="S134" t="s">
        <v>1038</v>
      </c>
      <c r="T134" t="s">
        <v>446</v>
      </c>
      <c r="U134" t="s">
        <v>1039</v>
      </c>
      <c r="V134" t="s">
        <v>1067</v>
      </c>
      <c r="W134" t="s">
        <v>1040</v>
      </c>
      <c r="X134" t="s">
        <v>446</v>
      </c>
    </row>
    <row r="135" spans="1:24" x14ac:dyDescent="0.25">
      <c r="A135" t="s">
        <v>42</v>
      </c>
      <c r="B135" t="s">
        <v>1361</v>
      </c>
      <c r="C135" t="s">
        <v>281</v>
      </c>
      <c r="D135" t="s">
        <v>427</v>
      </c>
      <c r="E135" t="s">
        <v>1019</v>
      </c>
      <c r="F135">
        <v>-2398</v>
      </c>
      <c r="G135" t="s">
        <v>1029</v>
      </c>
      <c r="H135" t="s">
        <v>1362</v>
      </c>
      <c r="I135" t="s">
        <v>1344</v>
      </c>
      <c r="J135" t="s">
        <v>1000</v>
      </c>
      <c r="K135" t="s">
        <v>1097</v>
      </c>
      <c r="L135" t="s">
        <v>1098</v>
      </c>
      <c r="M135" t="s">
        <v>1034</v>
      </c>
      <c r="N135" t="s">
        <v>1099</v>
      </c>
      <c r="O135" t="s">
        <v>1100</v>
      </c>
      <c r="P135" t="s">
        <v>1101</v>
      </c>
      <c r="Q135" t="b">
        <v>1</v>
      </c>
      <c r="R135" t="b">
        <v>0</v>
      </c>
      <c r="S135" t="s">
        <v>1038</v>
      </c>
      <c r="T135" t="s">
        <v>446</v>
      </c>
      <c r="U135" t="s">
        <v>1039</v>
      </c>
      <c r="V135" t="s">
        <v>1002</v>
      </c>
      <c r="W135" t="s">
        <v>1040</v>
      </c>
      <c r="X135" t="s">
        <v>1345</v>
      </c>
    </row>
    <row r="136" spans="1:24" x14ac:dyDescent="0.25">
      <c r="A136" t="s">
        <v>42</v>
      </c>
      <c r="B136" t="s">
        <v>1363</v>
      </c>
      <c r="C136" t="s">
        <v>281</v>
      </c>
      <c r="D136" t="s">
        <v>427</v>
      </c>
      <c r="E136" t="s">
        <v>1021</v>
      </c>
      <c r="F136">
        <v>-2615</v>
      </c>
      <c r="G136" t="s">
        <v>1029</v>
      </c>
      <c r="H136" t="s">
        <v>1364</v>
      </c>
      <c r="I136" t="s">
        <v>1344</v>
      </c>
      <c r="J136" t="s">
        <v>1000</v>
      </c>
      <c r="K136" t="s">
        <v>1105</v>
      </c>
      <c r="L136" t="s">
        <v>1106</v>
      </c>
      <c r="M136" t="s">
        <v>1034</v>
      </c>
      <c r="N136" t="s">
        <v>1107</v>
      </c>
      <c r="O136" t="s">
        <v>1108</v>
      </c>
      <c r="P136" t="s">
        <v>1109</v>
      </c>
      <c r="Q136" t="b">
        <v>1</v>
      </c>
      <c r="R136" t="b">
        <v>0</v>
      </c>
      <c r="S136" t="s">
        <v>1038</v>
      </c>
      <c r="T136" t="s">
        <v>446</v>
      </c>
      <c r="U136" t="s">
        <v>1039</v>
      </c>
      <c r="V136" t="s">
        <v>1002</v>
      </c>
      <c r="W136" t="s">
        <v>1040</v>
      </c>
      <c r="X136" t="s">
        <v>1345</v>
      </c>
    </row>
    <row r="137" spans="1:24" x14ac:dyDescent="0.25">
      <c r="A137" t="s">
        <v>42</v>
      </c>
      <c r="B137" t="s">
        <v>1365</v>
      </c>
      <c r="C137" t="s">
        <v>281</v>
      </c>
      <c r="D137" t="s">
        <v>427</v>
      </c>
      <c r="E137" t="s">
        <v>1023</v>
      </c>
      <c r="F137">
        <v>-3007</v>
      </c>
      <c r="G137" t="s">
        <v>1029</v>
      </c>
      <c r="H137" t="s">
        <v>1366</v>
      </c>
      <c r="I137" t="s">
        <v>1344</v>
      </c>
      <c r="J137" t="s">
        <v>1000</v>
      </c>
      <c r="K137" t="s">
        <v>1112</v>
      </c>
      <c r="L137" t="s">
        <v>1113</v>
      </c>
      <c r="M137" t="s">
        <v>1034</v>
      </c>
      <c r="N137" t="s">
        <v>1114</v>
      </c>
      <c r="O137" t="s">
        <v>1115</v>
      </c>
      <c r="P137" t="s">
        <v>1116</v>
      </c>
      <c r="Q137" t="b">
        <v>1</v>
      </c>
      <c r="R137" t="b">
        <v>0</v>
      </c>
      <c r="S137" t="s">
        <v>1038</v>
      </c>
      <c r="T137" t="s">
        <v>446</v>
      </c>
      <c r="U137" t="s">
        <v>1039</v>
      </c>
      <c r="V137" t="s">
        <v>1002</v>
      </c>
      <c r="W137" t="s">
        <v>1040</v>
      </c>
      <c r="X137" t="s">
        <v>1345</v>
      </c>
    </row>
    <row r="138" spans="1:24" x14ac:dyDescent="0.25">
      <c r="A138" t="s">
        <v>42</v>
      </c>
      <c r="B138" t="s">
        <v>1367</v>
      </c>
      <c r="C138" t="s">
        <v>281</v>
      </c>
      <c r="D138" t="s">
        <v>427</v>
      </c>
      <c r="E138" t="s">
        <v>1025</v>
      </c>
      <c r="F138">
        <v>-3126</v>
      </c>
      <c r="G138" t="s">
        <v>1029</v>
      </c>
      <c r="H138" t="s">
        <v>1368</v>
      </c>
      <c r="I138" t="s">
        <v>1352</v>
      </c>
      <c r="J138" t="s">
        <v>1000</v>
      </c>
      <c r="K138" t="s">
        <v>1119</v>
      </c>
      <c r="L138" t="s">
        <v>1120</v>
      </c>
      <c r="M138" t="s">
        <v>1062</v>
      </c>
      <c r="N138" t="s">
        <v>1121</v>
      </c>
      <c r="O138" t="s">
        <v>1100</v>
      </c>
      <c r="P138" t="s">
        <v>1122</v>
      </c>
      <c r="Q138" t="b">
        <v>1</v>
      </c>
      <c r="R138" t="b">
        <v>0</v>
      </c>
      <c r="S138" t="s">
        <v>1038</v>
      </c>
      <c r="T138" t="s">
        <v>446</v>
      </c>
      <c r="U138" t="s">
        <v>1039</v>
      </c>
      <c r="V138" t="s">
        <v>1067</v>
      </c>
      <c r="W138" t="s">
        <v>1040</v>
      </c>
      <c r="X138" t="s">
        <v>446</v>
      </c>
    </row>
    <row r="139" spans="1:24" x14ac:dyDescent="0.25">
      <c r="A139" t="s">
        <v>42</v>
      </c>
      <c r="B139" t="s">
        <v>1369</v>
      </c>
      <c r="C139" t="s">
        <v>281</v>
      </c>
      <c r="D139" t="s">
        <v>427</v>
      </c>
      <c r="E139" t="s">
        <v>1027</v>
      </c>
      <c r="F139">
        <v>-3135</v>
      </c>
      <c r="G139" t="s">
        <v>1029</v>
      </c>
      <c r="H139" t="s">
        <v>1370</v>
      </c>
      <c r="I139" t="s">
        <v>1344</v>
      </c>
      <c r="J139" t="s">
        <v>1000</v>
      </c>
      <c r="K139" t="s">
        <v>1125</v>
      </c>
      <c r="L139" t="s">
        <v>1126</v>
      </c>
      <c r="M139" t="s">
        <v>1034</v>
      </c>
      <c r="N139" t="s">
        <v>1127</v>
      </c>
      <c r="O139" t="s">
        <v>1128</v>
      </c>
      <c r="P139" t="s">
        <v>1129</v>
      </c>
      <c r="Q139" t="b">
        <v>1</v>
      </c>
      <c r="R139" t="b">
        <v>0</v>
      </c>
      <c r="S139" t="s">
        <v>1038</v>
      </c>
      <c r="T139" t="s">
        <v>446</v>
      </c>
      <c r="U139" t="s">
        <v>1039</v>
      </c>
      <c r="V139" t="s">
        <v>1002</v>
      </c>
      <c r="W139" t="s">
        <v>1040</v>
      </c>
      <c r="X139" t="s">
        <v>1345</v>
      </c>
    </row>
    <row r="140" spans="1:24" x14ac:dyDescent="0.25">
      <c r="A140" t="s">
        <v>42</v>
      </c>
      <c r="B140" t="s">
        <v>1371</v>
      </c>
      <c r="C140" t="s">
        <v>281</v>
      </c>
      <c r="D140" t="s">
        <v>427</v>
      </c>
      <c r="E140" t="s">
        <v>1131</v>
      </c>
      <c r="F140">
        <v>-4784</v>
      </c>
      <c r="G140" t="s">
        <v>1057</v>
      </c>
      <c r="H140" t="s">
        <v>1372</v>
      </c>
      <c r="I140" t="s">
        <v>1344</v>
      </c>
      <c r="J140" t="s">
        <v>1000</v>
      </c>
      <c r="K140" t="s">
        <v>1133</v>
      </c>
      <c r="L140" t="s">
        <v>1134</v>
      </c>
      <c r="M140" t="s">
        <v>1034</v>
      </c>
      <c r="N140" t="s">
        <v>1135</v>
      </c>
      <c r="O140" t="s">
        <v>1136</v>
      </c>
      <c r="P140" t="s">
        <v>1137</v>
      </c>
      <c r="Q140" t="b">
        <v>1</v>
      </c>
      <c r="R140" t="b">
        <v>0</v>
      </c>
      <c r="S140" t="s">
        <v>1102</v>
      </c>
      <c r="T140" t="s">
        <v>446</v>
      </c>
      <c r="U140" t="s">
        <v>1066</v>
      </c>
      <c r="V140" t="s">
        <v>1002</v>
      </c>
      <c r="W140" t="s">
        <v>1040</v>
      </c>
      <c r="X140" t="s">
        <v>1345</v>
      </c>
    </row>
    <row r="141" spans="1:24" x14ac:dyDescent="0.25">
      <c r="A141" t="s">
        <v>42</v>
      </c>
      <c r="B141" t="s">
        <v>1373</v>
      </c>
      <c r="C141" t="s">
        <v>283</v>
      </c>
      <c r="D141" t="s">
        <v>446</v>
      </c>
      <c r="E141" t="s">
        <v>998</v>
      </c>
      <c r="F141">
        <v>0</v>
      </c>
      <c r="G141" t="s">
        <v>1233</v>
      </c>
      <c r="H141" t="s">
        <v>1374</v>
      </c>
      <c r="I141" t="s">
        <v>1375</v>
      </c>
      <c r="J141" t="s">
        <v>1000</v>
      </c>
      <c r="K141" t="s">
        <v>446</v>
      </c>
      <c r="L141" t="s">
        <v>446</v>
      </c>
      <c r="M141" t="s">
        <v>446</v>
      </c>
      <c r="N141" t="s">
        <v>446</v>
      </c>
      <c r="O141" t="s">
        <v>446</v>
      </c>
      <c r="P141" t="s">
        <v>446</v>
      </c>
      <c r="Q141" t="b">
        <v>1</v>
      </c>
      <c r="R141" t="b">
        <v>0</v>
      </c>
      <c r="S141" t="s">
        <v>1038</v>
      </c>
      <c r="T141" t="s">
        <v>446</v>
      </c>
      <c r="U141" t="s">
        <v>1039</v>
      </c>
      <c r="V141" t="s">
        <v>1067</v>
      </c>
      <c r="W141" t="s">
        <v>1236</v>
      </c>
      <c r="X141" t="s">
        <v>446</v>
      </c>
    </row>
    <row r="142" spans="1:24" x14ac:dyDescent="0.25">
      <c r="A142" t="s">
        <v>42</v>
      </c>
      <c r="B142" t="s">
        <v>1376</v>
      </c>
      <c r="C142" t="s">
        <v>283</v>
      </c>
      <c r="D142" t="s">
        <v>446</v>
      </c>
      <c r="E142" t="s">
        <v>1005</v>
      </c>
      <c r="F142">
        <v>0</v>
      </c>
      <c r="G142" t="s">
        <v>1233</v>
      </c>
      <c r="H142" t="s">
        <v>1374</v>
      </c>
      <c r="I142" t="s">
        <v>1375</v>
      </c>
      <c r="J142" t="s">
        <v>1000</v>
      </c>
      <c r="K142" t="s">
        <v>446</v>
      </c>
      <c r="L142" t="s">
        <v>446</v>
      </c>
      <c r="M142" t="s">
        <v>446</v>
      </c>
      <c r="N142" t="s">
        <v>446</v>
      </c>
      <c r="O142" t="s">
        <v>446</v>
      </c>
      <c r="P142" t="s">
        <v>446</v>
      </c>
      <c r="Q142" t="b">
        <v>1</v>
      </c>
      <c r="R142" t="b">
        <v>0</v>
      </c>
      <c r="S142" t="s">
        <v>1038</v>
      </c>
      <c r="T142" t="s">
        <v>446</v>
      </c>
      <c r="U142" t="s">
        <v>1039</v>
      </c>
      <c r="V142" t="s">
        <v>1067</v>
      </c>
      <c r="W142" t="s">
        <v>1236</v>
      </c>
      <c r="X142" t="s">
        <v>446</v>
      </c>
    </row>
    <row r="143" spans="1:24" x14ac:dyDescent="0.25">
      <c r="A143" t="s">
        <v>42</v>
      </c>
      <c r="B143" t="s">
        <v>1377</v>
      </c>
      <c r="C143" t="s">
        <v>283</v>
      </c>
      <c r="D143" t="s">
        <v>446</v>
      </c>
      <c r="E143" t="s">
        <v>1007</v>
      </c>
      <c r="F143">
        <v>0</v>
      </c>
      <c r="G143" t="s">
        <v>1233</v>
      </c>
      <c r="H143" t="s">
        <v>1374</v>
      </c>
      <c r="I143" t="s">
        <v>1375</v>
      </c>
      <c r="J143" t="s">
        <v>1000</v>
      </c>
      <c r="K143" t="s">
        <v>446</v>
      </c>
      <c r="L143" t="s">
        <v>446</v>
      </c>
      <c r="M143" t="s">
        <v>446</v>
      </c>
      <c r="N143" t="s">
        <v>446</v>
      </c>
      <c r="O143" t="s">
        <v>446</v>
      </c>
      <c r="P143" t="s">
        <v>446</v>
      </c>
      <c r="Q143" t="b">
        <v>1</v>
      </c>
      <c r="R143" t="b">
        <v>0</v>
      </c>
      <c r="S143" t="s">
        <v>1038</v>
      </c>
      <c r="T143" t="s">
        <v>446</v>
      </c>
      <c r="U143" t="s">
        <v>1039</v>
      </c>
      <c r="V143" t="s">
        <v>1067</v>
      </c>
      <c r="W143" t="s">
        <v>1236</v>
      </c>
      <c r="X143" t="s">
        <v>446</v>
      </c>
    </row>
    <row r="144" spans="1:24" x14ac:dyDescent="0.25">
      <c r="A144" t="s">
        <v>42</v>
      </c>
      <c r="B144" t="s">
        <v>1378</v>
      </c>
      <c r="C144" t="s">
        <v>283</v>
      </c>
      <c r="D144" t="s">
        <v>446</v>
      </c>
      <c r="E144" t="s">
        <v>1009</v>
      </c>
      <c r="F144">
        <v>0</v>
      </c>
      <c r="G144" t="s">
        <v>1233</v>
      </c>
      <c r="H144" t="s">
        <v>1374</v>
      </c>
      <c r="I144" t="s">
        <v>1375</v>
      </c>
      <c r="J144" t="s">
        <v>1000</v>
      </c>
      <c r="K144" t="s">
        <v>446</v>
      </c>
      <c r="L144" t="s">
        <v>446</v>
      </c>
      <c r="M144" t="s">
        <v>446</v>
      </c>
      <c r="N144" t="s">
        <v>446</v>
      </c>
      <c r="O144" t="s">
        <v>446</v>
      </c>
      <c r="P144" t="s">
        <v>446</v>
      </c>
      <c r="Q144" t="b">
        <v>1</v>
      </c>
      <c r="R144" t="b">
        <v>0</v>
      </c>
      <c r="S144" t="s">
        <v>1038</v>
      </c>
      <c r="T144" t="s">
        <v>446</v>
      </c>
      <c r="U144" t="s">
        <v>1039</v>
      </c>
      <c r="V144" t="s">
        <v>1067</v>
      </c>
      <c r="W144" t="s">
        <v>1236</v>
      </c>
      <c r="X144" t="s">
        <v>446</v>
      </c>
    </row>
    <row r="145" spans="1:24" x14ac:dyDescent="0.25">
      <c r="A145" t="s">
        <v>42</v>
      </c>
      <c r="B145" t="s">
        <v>1379</v>
      </c>
      <c r="C145" t="s">
        <v>283</v>
      </c>
      <c r="D145" t="s">
        <v>446</v>
      </c>
      <c r="E145" t="s">
        <v>1011</v>
      </c>
      <c r="F145">
        <v>0</v>
      </c>
      <c r="G145" t="s">
        <v>1233</v>
      </c>
      <c r="H145" t="s">
        <v>1374</v>
      </c>
      <c r="I145" t="s">
        <v>1375</v>
      </c>
      <c r="J145" t="s">
        <v>1000</v>
      </c>
      <c r="K145" t="s">
        <v>446</v>
      </c>
      <c r="L145" t="s">
        <v>446</v>
      </c>
      <c r="M145" t="s">
        <v>446</v>
      </c>
      <c r="N145" t="s">
        <v>446</v>
      </c>
      <c r="O145" t="s">
        <v>446</v>
      </c>
      <c r="P145" t="s">
        <v>446</v>
      </c>
      <c r="Q145" t="b">
        <v>1</v>
      </c>
      <c r="R145" t="b">
        <v>0</v>
      </c>
      <c r="S145" t="s">
        <v>1038</v>
      </c>
      <c r="T145" t="s">
        <v>446</v>
      </c>
      <c r="U145" t="s">
        <v>1039</v>
      </c>
      <c r="V145" t="s">
        <v>1067</v>
      </c>
      <c r="W145" t="s">
        <v>1236</v>
      </c>
      <c r="X145" t="s">
        <v>446</v>
      </c>
    </row>
    <row r="146" spans="1:24" x14ac:dyDescent="0.25">
      <c r="A146" t="s">
        <v>42</v>
      </c>
      <c r="B146" t="s">
        <v>1380</v>
      </c>
      <c r="C146" t="s">
        <v>283</v>
      </c>
      <c r="D146" t="s">
        <v>446</v>
      </c>
      <c r="E146" t="s">
        <v>1013</v>
      </c>
      <c r="F146">
        <v>0</v>
      </c>
      <c r="G146" t="s">
        <v>1233</v>
      </c>
      <c r="H146" t="s">
        <v>1374</v>
      </c>
      <c r="I146" t="s">
        <v>1375</v>
      </c>
      <c r="J146" t="s">
        <v>1000</v>
      </c>
      <c r="K146" t="s">
        <v>446</v>
      </c>
      <c r="L146" t="s">
        <v>446</v>
      </c>
      <c r="M146" t="s">
        <v>446</v>
      </c>
      <c r="N146" t="s">
        <v>446</v>
      </c>
      <c r="O146" t="s">
        <v>446</v>
      </c>
      <c r="P146" t="s">
        <v>446</v>
      </c>
      <c r="Q146" t="b">
        <v>1</v>
      </c>
      <c r="R146" t="b">
        <v>0</v>
      </c>
      <c r="S146" t="s">
        <v>1038</v>
      </c>
      <c r="T146" t="s">
        <v>446</v>
      </c>
      <c r="U146" t="s">
        <v>1039</v>
      </c>
      <c r="V146" t="s">
        <v>1067</v>
      </c>
      <c r="W146" t="s">
        <v>1236</v>
      </c>
      <c r="X146" t="s">
        <v>446</v>
      </c>
    </row>
    <row r="147" spans="1:24" x14ac:dyDescent="0.25">
      <c r="A147" t="s">
        <v>42</v>
      </c>
      <c r="B147" t="s">
        <v>1381</v>
      </c>
      <c r="C147" t="s">
        <v>283</v>
      </c>
      <c r="D147" t="s">
        <v>446</v>
      </c>
      <c r="E147" t="s">
        <v>1015</v>
      </c>
      <c r="F147">
        <v>0</v>
      </c>
      <c r="G147" t="s">
        <v>1233</v>
      </c>
      <c r="H147" t="s">
        <v>1374</v>
      </c>
      <c r="I147" t="s">
        <v>1375</v>
      </c>
      <c r="J147" t="s">
        <v>1000</v>
      </c>
      <c r="K147" t="s">
        <v>446</v>
      </c>
      <c r="L147" t="s">
        <v>446</v>
      </c>
      <c r="M147" t="s">
        <v>446</v>
      </c>
      <c r="N147" t="s">
        <v>446</v>
      </c>
      <c r="O147" t="s">
        <v>446</v>
      </c>
      <c r="P147" t="s">
        <v>446</v>
      </c>
      <c r="Q147" t="b">
        <v>1</v>
      </c>
      <c r="R147" t="b">
        <v>0</v>
      </c>
      <c r="S147" t="s">
        <v>1038</v>
      </c>
      <c r="T147" t="s">
        <v>446</v>
      </c>
      <c r="U147" t="s">
        <v>1039</v>
      </c>
      <c r="V147" t="s">
        <v>1067</v>
      </c>
      <c r="W147" t="s">
        <v>1236</v>
      </c>
      <c r="X147" t="s">
        <v>446</v>
      </c>
    </row>
    <row r="148" spans="1:24" x14ac:dyDescent="0.25">
      <c r="A148" t="s">
        <v>42</v>
      </c>
      <c r="B148" t="s">
        <v>1382</v>
      </c>
      <c r="C148" t="s">
        <v>283</v>
      </c>
      <c r="D148" t="s">
        <v>446</v>
      </c>
      <c r="E148" t="s">
        <v>1017</v>
      </c>
      <c r="F148">
        <v>0</v>
      </c>
      <c r="G148" t="s">
        <v>1233</v>
      </c>
      <c r="H148" t="s">
        <v>1374</v>
      </c>
      <c r="I148" t="s">
        <v>1375</v>
      </c>
      <c r="J148" t="s">
        <v>1000</v>
      </c>
      <c r="K148" t="s">
        <v>446</v>
      </c>
      <c r="L148" t="s">
        <v>446</v>
      </c>
      <c r="M148" t="s">
        <v>446</v>
      </c>
      <c r="N148" t="s">
        <v>446</v>
      </c>
      <c r="O148" t="s">
        <v>446</v>
      </c>
      <c r="P148" t="s">
        <v>446</v>
      </c>
      <c r="Q148" t="b">
        <v>1</v>
      </c>
      <c r="R148" t="b">
        <v>0</v>
      </c>
      <c r="S148" t="s">
        <v>1038</v>
      </c>
      <c r="T148" t="s">
        <v>446</v>
      </c>
      <c r="U148" t="s">
        <v>1039</v>
      </c>
      <c r="V148" t="s">
        <v>1067</v>
      </c>
      <c r="W148" t="s">
        <v>1236</v>
      </c>
      <c r="X148" t="s">
        <v>446</v>
      </c>
    </row>
    <row r="149" spans="1:24" x14ac:dyDescent="0.25">
      <c r="A149" t="s">
        <v>42</v>
      </c>
      <c r="B149" t="s">
        <v>1383</v>
      </c>
      <c r="C149" t="s">
        <v>283</v>
      </c>
      <c r="D149" t="s">
        <v>446</v>
      </c>
      <c r="E149" t="s">
        <v>1019</v>
      </c>
      <c r="F149">
        <v>0</v>
      </c>
      <c r="G149" t="s">
        <v>1233</v>
      </c>
      <c r="H149" t="s">
        <v>1374</v>
      </c>
      <c r="I149" t="s">
        <v>1375</v>
      </c>
      <c r="J149" t="s">
        <v>1000</v>
      </c>
      <c r="K149" t="s">
        <v>446</v>
      </c>
      <c r="L149" t="s">
        <v>446</v>
      </c>
      <c r="M149" t="s">
        <v>446</v>
      </c>
      <c r="N149" t="s">
        <v>446</v>
      </c>
      <c r="O149" t="s">
        <v>446</v>
      </c>
      <c r="P149" t="s">
        <v>446</v>
      </c>
      <c r="Q149" t="b">
        <v>1</v>
      </c>
      <c r="R149" t="b">
        <v>0</v>
      </c>
      <c r="S149" t="s">
        <v>1038</v>
      </c>
      <c r="T149" t="s">
        <v>446</v>
      </c>
      <c r="U149" t="s">
        <v>1039</v>
      </c>
      <c r="V149" t="s">
        <v>1067</v>
      </c>
      <c r="W149" t="s">
        <v>1236</v>
      </c>
      <c r="X149" t="s">
        <v>446</v>
      </c>
    </row>
    <row r="150" spans="1:24" x14ac:dyDescent="0.25">
      <c r="A150" t="s">
        <v>42</v>
      </c>
      <c r="B150" t="s">
        <v>1384</v>
      </c>
      <c r="C150" t="s">
        <v>283</v>
      </c>
      <c r="D150" t="s">
        <v>446</v>
      </c>
      <c r="E150" t="s">
        <v>1021</v>
      </c>
      <c r="F150">
        <v>0</v>
      </c>
      <c r="G150" t="s">
        <v>1233</v>
      </c>
      <c r="H150" t="s">
        <v>1374</v>
      </c>
      <c r="I150" t="s">
        <v>1375</v>
      </c>
      <c r="J150" t="s">
        <v>1000</v>
      </c>
      <c r="K150" t="s">
        <v>446</v>
      </c>
      <c r="L150" t="s">
        <v>446</v>
      </c>
      <c r="M150" t="s">
        <v>446</v>
      </c>
      <c r="N150" t="s">
        <v>446</v>
      </c>
      <c r="O150" t="s">
        <v>446</v>
      </c>
      <c r="P150" t="s">
        <v>446</v>
      </c>
      <c r="Q150" t="b">
        <v>1</v>
      </c>
      <c r="R150" t="b">
        <v>0</v>
      </c>
      <c r="S150" t="s">
        <v>1038</v>
      </c>
      <c r="T150" t="s">
        <v>446</v>
      </c>
      <c r="U150" t="s">
        <v>1039</v>
      </c>
      <c r="V150" t="s">
        <v>1067</v>
      </c>
      <c r="W150" t="s">
        <v>1236</v>
      </c>
      <c r="X150" t="s">
        <v>446</v>
      </c>
    </row>
    <row r="151" spans="1:24" x14ac:dyDescent="0.25">
      <c r="A151" t="s">
        <v>42</v>
      </c>
      <c r="B151" t="s">
        <v>1385</v>
      </c>
      <c r="C151" t="s">
        <v>283</v>
      </c>
      <c r="D151" t="s">
        <v>446</v>
      </c>
      <c r="E151" t="s">
        <v>1023</v>
      </c>
      <c r="F151">
        <v>0</v>
      </c>
      <c r="G151" t="s">
        <v>1233</v>
      </c>
      <c r="H151" t="s">
        <v>1374</v>
      </c>
      <c r="I151" t="s">
        <v>1375</v>
      </c>
      <c r="J151" t="s">
        <v>1000</v>
      </c>
      <c r="K151" t="s">
        <v>446</v>
      </c>
      <c r="L151" t="s">
        <v>446</v>
      </c>
      <c r="M151" t="s">
        <v>446</v>
      </c>
      <c r="N151" t="s">
        <v>446</v>
      </c>
      <c r="O151" t="s">
        <v>446</v>
      </c>
      <c r="P151" t="s">
        <v>446</v>
      </c>
      <c r="Q151" t="b">
        <v>1</v>
      </c>
      <c r="R151" t="b">
        <v>0</v>
      </c>
      <c r="S151" t="s">
        <v>1038</v>
      </c>
      <c r="T151" t="s">
        <v>446</v>
      </c>
      <c r="U151" t="s">
        <v>1039</v>
      </c>
      <c r="V151" t="s">
        <v>1067</v>
      </c>
      <c r="W151" t="s">
        <v>1236</v>
      </c>
      <c r="X151" t="s">
        <v>446</v>
      </c>
    </row>
    <row r="152" spans="1:24" x14ac:dyDescent="0.25">
      <c r="A152" t="s">
        <v>42</v>
      </c>
      <c r="B152" t="s">
        <v>1386</v>
      </c>
      <c r="C152" t="s">
        <v>283</v>
      </c>
      <c r="D152" t="s">
        <v>446</v>
      </c>
      <c r="E152" t="s">
        <v>1025</v>
      </c>
      <c r="F152">
        <v>0</v>
      </c>
      <c r="G152" t="s">
        <v>1233</v>
      </c>
      <c r="H152" t="s">
        <v>1374</v>
      </c>
      <c r="I152" t="s">
        <v>1375</v>
      </c>
      <c r="J152" t="s">
        <v>1000</v>
      </c>
      <c r="K152" t="s">
        <v>446</v>
      </c>
      <c r="L152" t="s">
        <v>446</v>
      </c>
      <c r="M152" t="s">
        <v>446</v>
      </c>
      <c r="N152" t="s">
        <v>446</v>
      </c>
      <c r="O152" t="s">
        <v>446</v>
      </c>
      <c r="P152" t="s">
        <v>446</v>
      </c>
      <c r="Q152" t="b">
        <v>1</v>
      </c>
      <c r="R152" t="b">
        <v>0</v>
      </c>
      <c r="S152" t="s">
        <v>1038</v>
      </c>
      <c r="T152" t="s">
        <v>446</v>
      </c>
      <c r="U152" t="s">
        <v>1039</v>
      </c>
      <c r="V152" t="s">
        <v>1067</v>
      </c>
      <c r="W152" t="s">
        <v>1236</v>
      </c>
      <c r="X152" t="s">
        <v>446</v>
      </c>
    </row>
    <row r="153" spans="1:24" x14ac:dyDescent="0.25">
      <c r="A153" t="s">
        <v>42</v>
      </c>
      <c r="B153" t="s">
        <v>1387</v>
      </c>
      <c r="C153" t="s">
        <v>283</v>
      </c>
      <c r="D153" t="s">
        <v>446</v>
      </c>
      <c r="E153" t="s">
        <v>1027</v>
      </c>
      <c r="F153">
        <v>0</v>
      </c>
      <c r="G153" t="s">
        <v>1233</v>
      </c>
      <c r="H153" t="s">
        <v>1374</v>
      </c>
      <c r="I153" t="s">
        <v>1375</v>
      </c>
      <c r="J153" t="s">
        <v>1000</v>
      </c>
      <c r="K153" t="s">
        <v>446</v>
      </c>
      <c r="L153" t="s">
        <v>446</v>
      </c>
      <c r="M153" t="s">
        <v>446</v>
      </c>
      <c r="N153" t="s">
        <v>446</v>
      </c>
      <c r="O153" t="s">
        <v>446</v>
      </c>
      <c r="P153" t="s">
        <v>446</v>
      </c>
      <c r="Q153" t="b">
        <v>1</v>
      </c>
      <c r="R153" t="b">
        <v>0</v>
      </c>
      <c r="S153" t="s">
        <v>1038</v>
      </c>
      <c r="T153" t="s">
        <v>446</v>
      </c>
      <c r="U153" t="s">
        <v>1039</v>
      </c>
      <c r="V153" t="s">
        <v>1067</v>
      </c>
      <c r="W153" t="s">
        <v>1236</v>
      </c>
      <c r="X153" t="s">
        <v>446</v>
      </c>
    </row>
    <row r="154" spans="1:24" x14ac:dyDescent="0.25">
      <c r="A154" t="s">
        <v>42</v>
      </c>
      <c r="B154" t="s">
        <v>1388</v>
      </c>
      <c r="C154" t="s">
        <v>283</v>
      </c>
      <c r="D154" t="s">
        <v>446</v>
      </c>
      <c r="E154" t="s">
        <v>1131</v>
      </c>
      <c r="F154">
        <v>0</v>
      </c>
      <c r="G154" t="s">
        <v>1233</v>
      </c>
      <c r="H154" t="s">
        <v>1374</v>
      </c>
      <c r="I154" t="s">
        <v>1375</v>
      </c>
      <c r="J154" t="s">
        <v>1000</v>
      </c>
      <c r="K154" t="s">
        <v>446</v>
      </c>
      <c r="L154" t="s">
        <v>446</v>
      </c>
      <c r="M154" t="s">
        <v>446</v>
      </c>
      <c r="N154" t="s">
        <v>446</v>
      </c>
      <c r="O154" t="s">
        <v>446</v>
      </c>
      <c r="P154" t="s">
        <v>446</v>
      </c>
      <c r="Q154" t="b">
        <v>1</v>
      </c>
      <c r="R154" t="b">
        <v>0</v>
      </c>
      <c r="S154" t="s">
        <v>1038</v>
      </c>
      <c r="T154" t="s">
        <v>446</v>
      </c>
      <c r="U154" t="s">
        <v>1039</v>
      </c>
      <c r="V154" t="s">
        <v>1067</v>
      </c>
      <c r="W154" t="s">
        <v>1236</v>
      </c>
      <c r="X154" t="s">
        <v>446</v>
      </c>
    </row>
    <row r="155" spans="1:24" x14ac:dyDescent="0.25">
      <c r="A155" t="s">
        <v>42</v>
      </c>
      <c r="B155" t="s">
        <v>1389</v>
      </c>
      <c r="C155" t="s">
        <v>284</v>
      </c>
      <c r="D155" t="s">
        <v>446</v>
      </c>
      <c r="E155" t="s">
        <v>998</v>
      </c>
      <c r="F155">
        <v>0</v>
      </c>
      <c r="G155" t="s">
        <v>1233</v>
      </c>
      <c r="H155" t="s">
        <v>1390</v>
      </c>
      <c r="I155" t="s">
        <v>1391</v>
      </c>
      <c r="J155" t="s">
        <v>1000</v>
      </c>
      <c r="K155" t="s">
        <v>446</v>
      </c>
      <c r="L155" t="s">
        <v>446</v>
      </c>
      <c r="M155" t="s">
        <v>446</v>
      </c>
      <c r="N155" t="s">
        <v>446</v>
      </c>
      <c r="O155" t="s">
        <v>446</v>
      </c>
      <c r="P155" t="s">
        <v>446</v>
      </c>
      <c r="Q155" t="b">
        <v>1</v>
      </c>
      <c r="R155" t="b">
        <v>0</v>
      </c>
      <c r="S155" t="s">
        <v>1038</v>
      </c>
      <c r="T155" t="s">
        <v>446</v>
      </c>
      <c r="U155" t="s">
        <v>1039</v>
      </c>
      <c r="V155" t="s">
        <v>1067</v>
      </c>
      <c r="W155" t="s">
        <v>1236</v>
      </c>
      <c r="X155" t="s">
        <v>446</v>
      </c>
    </row>
    <row r="156" spans="1:24" x14ac:dyDescent="0.25">
      <c r="A156" t="s">
        <v>42</v>
      </c>
      <c r="B156" t="s">
        <v>1392</v>
      </c>
      <c r="C156" t="s">
        <v>284</v>
      </c>
      <c r="D156" t="s">
        <v>446</v>
      </c>
      <c r="E156" t="s">
        <v>1005</v>
      </c>
      <c r="F156">
        <v>0</v>
      </c>
      <c r="G156" t="s">
        <v>1233</v>
      </c>
      <c r="H156" t="s">
        <v>1390</v>
      </c>
      <c r="I156" t="s">
        <v>1391</v>
      </c>
      <c r="J156" t="s">
        <v>1000</v>
      </c>
      <c r="K156" t="s">
        <v>446</v>
      </c>
      <c r="L156" t="s">
        <v>446</v>
      </c>
      <c r="M156" t="s">
        <v>446</v>
      </c>
      <c r="N156" t="s">
        <v>446</v>
      </c>
      <c r="O156" t="s">
        <v>446</v>
      </c>
      <c r="P156" t="s">
        <v>446</v>
      </c>
      <c r="Q156" t="b">
        <v>1</v>
      </c>
      <c r="R156" t="b">
        <v>0</v>
      </c>
      <c r="S156" t="s">
        <v>1038</v>
      </c>
      <c r="T156" t="s">
        <v>446</v>
      </c>
      <c r="U156" t="s">
        <v>1039</v>
      </c>
      <c r="V156" t="s">
        <v>1067</v>
      </c>
      <c r="W156" t="s">
        <v>1236</v>
      </c>
      <c r="X156" t="s">
        <v>446</v>
      </c>
    </row>
    <row r="157" spans="1:24" x14ac:dyDescent="0.25">
      <c r="A157" t="s">
        <v>42</v>
      </c>
      <c r="B157" t="s">
        <v>1393</v>
      </c>
      <c r="C157" t="s">
        <v>284</v>
      </c>
      <c r="E157" t="s">
        <v>1007</v>
      </c>
      <c r="F157">
        <v>0</v>
      </c>
      <c r="G157" t="s">
        <v>1057</v>
      </c>
      <c r="H157" t="s">
        <v>1390</v>
      </c>
      <c r="I157" t="s">
        <v>1391</v>
      </c>
      <c r="J157" t="s">
        <v>1000</v>
      </c>
      <c r="K157" t="s">
        <v>446</v>
      </c>
      <c r="L157" t="s">
        <v>446</v>
      </c>
      <c r="M157" t="s">
        <v>446</v>
      </c>
      <c r="N157" t="s">
        <v>446</v>
      </c>
      <c r="O157" t="s">
        <v>446</v>
      </c>
      <c r="P157" t="s">
        <v>446</v>
      </c>
      <c r="Q157" t="b">
        <v>1</v>
      </c>
      <c r="R157" t="b">
        <v>0</v>
      </c>
      <c r="S157" t="s">
        <v>1102</v>
      </c>
      <c r="T157" t="s">
        <v>446</v>
      </c>
      <c r="U157" t="s">
        <v>1066</v>
      </c>
      <c r="V157" t="s">
        <v>1067</v>
      </c>
      <c r="W157" t="s">
        <v>1236</v>
      </c>
      <c r="X157" t="s">
        <v>446</v>
      </c>
    </row>
    <row r="158" spans="1:24" x14ac:dyDescent="0.25">
      <c r="A158" t="s">
        <v>42</v>
      </c>
      <c r="B158" t="s">
        <v>1394</v>
      </c>
      <c r="C158" t="s">
        <v>284</v>
      </c>
      <c r="D158" t="s">
        <v>446</v>
      </c>
      <c r="E158" t="s">
        <v>1009</v>
      </c>
      <c r="F158">
        <v>0</v>
      </c>
      <c r="G158" t="s">
        <v>1233</v>
      </c>
      <c r="H158" t="s">
        <v>1390</v>
      </c>
      <c r="I158" t="s">
        <v>1391</v>
      </c>
      <c r="J158" t="s">
        <v>1000</v>
      </c>
      <c r="K158" t="s">
        <v>446</v>
      </c>
      <c r="L158" t="s">
        <v>446</v>
      </c>
      <c r="M158" t="s">
        <v>446</v>
      </c>
      <c r="N158" t="s">
        <v>446</v>
      </c>
      <c r="O158" t="s">
        <v>446</v>
      </c>
      <c r="P158" t="s">
        <v>446</v>
      </c>
      <c r="Q158" t="b">
        <v>1</v>
      </c>
      <c r="R158" t="b">
        <v>0</v>
      </c>
      <c r="S158" t="s">
        <v>1038</v>
      </c>
      <c r="T158" t="s">
        <v>446</v>
      </c>
      <c r="U158" t="s">
        <v>1039</v>
      </c>
      <c r="V158" t="s">
        <v>1067</v>
      </c>
      <c r="W158" t="s">
        <v>1236</v>
      </c>
      <c r="X158" t="s">
        <v>446</v>
      </c>
    </row>
    <row r="159" spans="1:24" x14ac:dyDescent="0.25">
      <c r="A159" t="s">
        <v>42</v>
      </c>
      <c r="B159" t="s">
        <v>1395</v>
      </c>
      <c r="C159" t="s">
        <v>284</v>
      </c>
      <c r="D159" t="s">
        <v>446</v>
      </c>
      <c r="E159" t="s">
        <v>1011</v>
      </c>
      <c r="F159">
        <v>0</v>
      </c>
      <c r="G159" t="s">
        <v>1233</v>
      </c>
      <c r="H159" t="s">
        <v>1390</v>
      </c>
      <c r="I159" t="s">
        <v>1391</v>
      </c>
      <c r="J159" t="s">
        <v>1000</v>
      </c>
      <c r="K159" t="s">
        <v>446</v>
      </c>
      <c r="L159" t="s">
        <v>446</v>
      </c>
      <c r="M159" t="s">
        <v>446</v>
      </c>
      <c r="N159" t="s">
        <v>446</v>
      </c>
      <c r="O159" t="s">
        <v>446</v>
      </c>
      <c r="P159" t="s">
        <v>446</v>
      </c>
      <c r="Q159" t="b">
        <v>1</v>
      </c>
      <c r="R159" t="b">
        <v>0</v>
      </c>
      <c r="S159" t="s">
        <v>1038</v>
      </c>
      <c r="T159" t="s">
        <v>446</v>
      </c>
      <c r="U159" t="s">
        <v>1039</v>
      </c>
      <c r="V159" t="s">
        <v>1067</v>
      </c>
      <c r="W159" t="s">
        <v>1236</v>
      </c>
      <c r="X159" t="s">
        <v>446</v>
      </c>
    </row>
    <row r="160" spans="1:24" x14ac:dyDescent="0.25">
      <c r="A160" t="s">
        <v>42</v>
      </c>
      <c r="B160" t="s">
        <v>1396</v>
      </c>
      <c r="C160" t="s">
        <v>284</v>
      </c>
      <c r="D160" t="s">
        <v>446</v>
      </c>
      <c r="E160" t="s">
        <v>1013</v>
      </c>
      <c r="F160">
        <v>0</v>
      </c>
      <c r="G160" t="s">
        <v>1233</v>
      </c>
      <c r="H160" t="s">
        <v>1390</v>
      </c>
      <c r="I160" t="s">
        <v>1391</v>
      </c>
      <c r="J160" t="s">
        <v>1000</v>
      </c>
      <c r="K160" t="s">
        <v>446</v>
      </c>
      <c r="L160" t="s">
        <v>446</v>
      </c>
      <c r="M160" t="s">
        <v>446</v>
      </c>
      <c r="N160" t="s">
        <v>446</v>
      </c>
      <c r="O160" t="s">
        <v>446</v>
      </c>
      <c r="P160" t="s">
        <v>446</v>
      </c>
      <c r="Q160" t="b">
        <v>1</v>
      </c>
      <c r="R160" t="b">
        <v>0</v>
      </c>
      <c r="S160" t="s">
        <v>1038</v>
      </c>
      <c r="T160" t="s">
        <v>446</v>
      </c>
      <c r="U160" t="s">
        <v>1039</v>
      </c>
      <c r="V160" t="s">
        <v>1067</v>
      </c>
      <c r="W160" t="s">
        <v>1236</v>
      </c>
      <c r="X160" t="s">
        <v>446</v>
      </c>
    </row>
    <row r="161" spans="1:24" x14ac:dyDescent="0.25">
      <c r="A161" t="s">
        <v>42</v>
      </c>
      <c r="B161" t="s">
        <v>1397</v>
      </c>
      <c r="C161" t="s">
        <v>284</v>
      </c>
      <c r="D161" t="s">
        <v>446</v>
      </c>
      <c r="E161" t="s">
        <v>1015</v>
      </c>
      <c r="F161">
        <v>0</v>
      </c>
      <c r="G161" t="s">
        <v>1233</v>
      </c>
      <c r="H161" t="s">
        <v>1390</v>
      </c>
      <c r="I161" t="s">
        <v>1391</v>
      </c>
      <c r="J161" t="s">
        <v>1000</v>
      </c>
      <c r="K161" t="s">
        <v>446</v>
      </c>
      <c r="L161" t="s">
        <v>446</v>
      </c>
      <c r="M161" t="s">
        <v>446</v>
      </c>
      <c r="N161" t="s">
        <v>446</v>
      </c>
      <c r="O161" t="s">
        <v>446</v>
      </c>
      <c r="P161" t="s">
        <v>446</v>
      </c>
      <c r="Q161" t="b">
        <v>1</v>
      </c>
      <c r="R161" t="b">
        <v>0</v>
      </c>
      <c r="S161" t="s">
        <v>1038</v>
      </c>
      <c r="T161" t="s">
        <v>446</v>
      </c>
      <c r="U161" t="s">
        <v>1039</v>
      </c>
      <c r="V161" t="s">
        <v>1067</v>
      </c>
      <c r="W161" t="s">
        <v>1236</v>
      </c>
      <c r="X161" t="s">
        <v>446</v>
      </c>
    </row>
    <row r="162" spans="1:24" x14ac:dyDescent="0.25">
      <c r="A162" t="s">
        <v>42</v>
      </c>
      <c r="B162" t="s">
        <v>1398</v>
      </c>
      <c r="C162" t="s">
        <v>284</v>
      </c>
      <c r="D162" t="s">
        <v>446</v>
      </c>
      <c r="E162" t="s">
        <v>1017</v>
      </c>
      <c r="F162">
        <v>0</v>
      </c>
      <c r="G162" t="s">
        <v>1233</v>
      </c>
      <c r="H162" t="s">
        <v>1390</v>
      </c>
      <c r="I162" t="s">
        <v>1391</v>
      </c>
      <c r="J162" t="s">
        <v>1000</v>
      </c>
      <c r="K162" t="s">
        <v>446</v>
      </c>
      <c r="L162" t="s">
        <v>446</v>
      </c>
      <c r="M162" t="s">
        <v>446</v>
      </c>
      <c r="N162" t="s">
        <v>446</v>
      </c>
      <c r="O162" t="s">
        <v>446</v>
      </c>
      <c r="P162" t="s">
        <v>446</v>
      </c>
      <c r="Q162" t="b">
        <v>1</v>
      </c>
      <c r="R162" t="b">
        <v>0</v>
      </c>
      <c r="S162" t="s">
        <v>1038</v>
      </c>
      <c r="T162" t="s">
        <v>446</v>
      </c>
      <c r="U162" t="s">
        <v>1039</v>
      </c>
      <c r="V162" t="s">
        <v>1067</v>
      </c>
      <c r="W162" t="s">
        <v>1236</v>
      </c>
      <c r="X162" t="s">
        <v>446</v>
      </c>
    </row>
    <row r="163" spans="1:24" x14ac:dyDescent="0.25">
      <c r="A163" t="s">
        <v>42</v>
      </c>
      <c r="B163" t="s">
        <v>1399</v>
      </c>
      <c r="C163" t="s">
        <v>284</v>
      </c>
      <c r="D163" t="s">
        <v>446</v>
      </c>
      <c r="E163" t="s">
        <v>1019</v>
      </c>
      <c r="F163">
        <v>0</v>
      </c>
      <c r="G163" t="s">
        <v>1233</v>
      </c>
      <c r="H163" t="s">
        <v>1390</v>
      </c>
      <c r="I163" t="s">
        <v>1391</v>
      </c>
      <c r="J163" t="s">
        <v>1000</v>
      </c>
      <c r="K163" t="s">
        <v>446</v>
      </c>
      <c r="L163" t="s">
        <v>446</v>
      </c>
      <c r="M163" t="s">
        <v>446</v>
      </c>
      <c r="N163" t="s">
        <v>446</v>
      </c>
      <c r="O163" t="s">
        <v>446</v>
      </c>
      <c r="P163" t="s">
        <v>446</v>
      </c>
      <c r="Q163" t="b">
        <v>1</v>
      </c>
      <c r="R163" t="b">
        <v>0</v>
      </c>
      <c r="S163" t="s">
        <v>1038</v>
      </c>
      <c r="T163" t="s">
        <v>446</v>
      </c>
      <c r="U163" t="s">
        <v>1039</v>
      </c>
      <c r="V163" t="s">
        <v>1067</v>
      </c>
      <c r="W163" t="s">
        <v>1236</v>
      </c>
      <c r="X163" t="s">
        <v>446</v>
      </c>
    </row>
    <row r="164" spans="1:24" x14ac:dyDescent="0.25">
      <c r="A164" t="s">
        <v>42</v>
      </c>
      <c r="B164" t="s">
        <v>1400</v>
      </c>
      <c r="C164" t="s">
        <v>284</v>
      </c>
      <c r="D164" t="s">
        <v>446</v>
      </c>
      <c r="E164" t="s">
        <v>1021</v>
      </c>
      <c r="F164">
        <v>0</v>
      </c>
      <c r="G164" t="s">
        <v>1233</v>
      </c>
      <c r="H164" t="s">
        <v>1390</v>
      </c>
      <c r="I164" t="s">
        <v>1391</v>
      </c>
      <c r="J164" t="s">
        <v>1000</v>
      </c>
      <c r="K164" t="s">
        <v>446</v>
      </c>
      <c r="L164" t="s">
        <v>446</v>
      </c>
      <c r="M164" t="s">
        <v>446</v>
      </c>
      <c r="N164" t="s">
        <v>446</v>
      </c>
      <c r="O164" t="s">
        <v>446</v>
      </c>
      <c r="P164" t="s">
        <v>446</v>
      </c>
      <c r="Q164" t="b">
        <v>1</v>
      </c>
      <c r="R164" t="b">
        <v>0</v>
      </c>
      <c r="S164" t="s">
        <v>1038</v>
      </c>
      <c r="T164" t="s">
        <v>446</v>
      </c>
      <c r="U164" t="s">
        <v>1039</v>
      </c>
      <c r="V164" t="s">
        <v>1067</v>
      </c>
      <c r="W164" t="s">
        <v>1236</v>
      </c>
      <c r="X164" t="s">
        <v>446</v>
      </c>
    </row>
    <row r="165" spans="1:24" x14ac:dyDescent="0.25">
      <c r="A165" t="s">
        <v>42</v>
      </c>
      <c r="B165" t="s">
        <v>1401</v>
      </c>
      <c r="C165" t="s">
        <v>284</v>
      </c>
      <c r="D165" t="s">
        <v>446</v>
      </c>
      <c r="E165" t="s">
        <v>1023</v>
      </c>
      <c r="F165">
        <v>0</v>
      </c>
      <c r="G165" t="s">
        <v>1233</v>
      </c>
      <c r="H165" t="s">
        <v>1390</v>
      </c>
      <c r="I165" t="s">
        <v>1391</v>
      </c>
      <c r="J165" t="s">
        <v>1000</v>
      </c>
      <c r="K165" t="s">
        <v>446</v>
      </c>
      <c r="L165" t="s">
        <v>446</v>
      </c>
      <c r="M165" t="s">
        <v>446</v>
      </c>
      <c r="N165" t="s">
        <v>446</v>
      </c>
      <c r="O165" t="s">
        <v>446</v>
      </c>
      <c r="P165" t="s">
        <v>446</v>
      </c>
      <c r="Q165" t="b">
        <v>1</v>
      </c>
      <c r="R165" t="b">
        <v>0</v>
      </c>
      <c r="S165" t="s">
        <v>1038</v>
      </c>
      <c r="T165" t="s">
        <v>446</v>
      </c>
      <c r="U165" t="s">
        <v>1039</v>
      </c>
      <c r="V165" t="s">
        <v>1067</v>
      </c>
      <c r="W165" t="s">
        <v>1236</v>
      </c>
      <c r="X165" t="s">
        <v>446</v>
      </c>
    </row>
    <row r="166" spans="1:24" x14ac:dyDescent="0.25">
      <c r="A166" t="s">
        <v>42</v>
      </c>
      <c r="B166" t="s">
        <v>1402</v>
      </c>
      <c r="C166" t="s">
        <v>284</v>
      </c>
      <c r="D166" t="s">
        <v>446</v>
      </c>
      <c r="E166" t="s">
        <v>1025</v>
      </c>
      <c r="F166">
        <v>0</v>
      </c>
      <c r="G166" t="s">
        <v>1233</v>
      </c>
      <c r="H166" t="s">
        <v>1390</v>
      </c>
      <c r="I166" t="s">
        <v>1391</v>
      </c>
      <c r="J166" t="s">
        <v>1000</v>
      </c>
      <c r="K166" t="s">
        <v>446</v>
      </c>
      <c r="L166" t="s">
        <v>446</v>
      </c>
      <c r="M166" t="s">
        <v>446</v>
      </c>
      <c r="N166" t="s">
        <v>446</v>
      </c>
      <c r="O166" t="s">
        <v>446</v>
      </c>
      <c r="P166" t="s">
        <v>446</v>
      </c>
      <c r="Q166" t="b">
        <v>1</v>
      </c>
      <c r="R166" t="b">
        <v>0</v>
      </c>
      <c r="S166" t="s">
        <v>1038</v>
      </c>
      <c r="T166" t="s">
        <v>446</v>
      </c>
      <c r="U166" t="s">
        <v>1039</v>
      </c>
      <c r="V166" t="s">
        <v>1067</v>
      </c>
      <c r="W166" t="s">
        <v>1236</v>
      </c>
      <c r="X166" t="s">
        <v>446</v>
      </c>
    </row>
    <row r="167" spans="1:24" x14ac:dyDescent="0.25">
      <c r="A167" t="s">
        <v>42</v>
      </c>
      <c r="B167" t="s">
        <v>1403</v>
      </c>
      <c r="C167" t="s">
        <v>284</v>
      </c>
      <c r="D167" t="s">
        <v>446</v>
      </c>
      <c r="E167" t="s">
        <v>1027</v>
      </c>
      <c r="F167">
        <v>0</v>
      </c>
      <c r="G167" t="s">
        <v>1233</v>
      </c>
      <c r="H167" t="s">
        <v>1390</v>
      </c>
      <c r="I167" t="s">
        <v>1391</v>
      </c>
      <c r="J167" t="s">
        <v>1000</v>
      </c>
      <c r="K167" t="s">
        <v>446</v>
      </c>
      <c r="L167" t="s">
        <v>446</v>
      </c>
      <c r="M167" t="s">
        <v>446</v>
      </c>
      <c r="N167" t="s">
        <v>446</v>
      </c>
      <c r="O167" t="s">
        <v>446</v>
      </c>
      <c r="P167" t="s">
        <v>446</v>
      </c>
      <c r="Q167" t="b">
        <v>1</v>
      </c>
      <c r="R167" t="b">
        <v>0</v>
      </c>
      <c r="S167" t="s">
        <v>1038</v>
      </c>
      <c r="T167" t="s">
        <v>446</v>
      </c>
      <c r="U167" t="s">
        <v>1039</v>
      </c>
      <c r="V167" t="s">
        <v>1067</v>
      </c>
      <c r="W167" t="s">
        <v>1236</v>
      </c>
      <c r="X167" t="s">
        <v>446</v>
      </c>
    </row>
    <row r="168" spans="1:24" x14ac:dyDescent="0.25">
      <c r="A168" t="s">
        <v>42</v>
      </c>
      <c r="B168" t="s">
        <v>1404</v>
      </c>
      <c r="C168" t="s">
        <v>284</v>
      </c>
      <c r="D168" t="s">
        <v>446</v>
      </c>
      <c r="E168" t="s">
        <v>1131</v>
      </c>
      <c r="F168">
        <v>0</v>
      </c>
      <c r="G168" t="s">
        <v>1233</v>
      </c>
      <c r="H168" t="s">
        <v>1390</v>
      </c>
      <c r="I168" t="s">
        <v>1391</v>
      </c>
      <c r="J168" t="s">
        <v>1000</v>
      </c>
      <c r="K168" t="s">
        <v>446</v>
      </c>
      <c r="L168" t="s">
        <v>446</v>
      </c>
      <c r="M168" t="s">
        <v>446</v>
      </c>
      <c r="N168" t="s">
        <v>446</v>
      </c>
      <c r="O168" t="s">
        <v>446</v>
      </c>
      <c r="P168" t="s">
        <v>446</v>
      </c>
      <c r="Q168" t="b">
        <v>1</v>
      </c>
      <c r="R168" t="b">
        <v>0</v>
      </c>
      <c r="S168" t="s">
        <v>1038</v>
      </c>
      <c r="T168" t="s">
        <v>446</v>
      </c>
      <c r="U168" t="s">
        <v>1039</v>
      </c>
      <c r="V168" t="s">
        <v>1067</v>
      </c>
      <c r="W168" t="s">
        <v>1236</v>
      </c>
      <c r="X168" t="s">
        <v>446</v>
      </c>
    </row>
    <row r="169" spans="1:24" x14ac:dyDescent="0.25">
      <c r="A169" t="s">
        <v>42</v>
      </c>
      <c r="B169" t="s">
        <v>1405</v>
      </c>
      <c r="C169" t="s">
        <v>285</v>
      </c>
      <c r="D169" t="s">
        <v>446</v>
      </c>
      <c r="E169" t="s">
        <v>998</v>
      </c>
      <c r="F169">
        <v>0</v>
      </c>
      <c r="G169" t="s">
        <v>1233</v>
      </c>
      <c r="H169" t="s">
        <v>1406</v>
      </c>
      <c r="I169" t="s">
        <v>1407</v>
      </c>
      <c r="J169" t="s">
        <v>1000</v>
      </c>
      <c r="K169" t="s">
        <v>446</v>
      </c>
      <c r="L169" t="s">
        <v>446</v>
      </c>
      <c r="M169" t="s">
        <v>446</v>
      </c>
      <c r="N169" t="s">
        <v>446</v>
      </c>
      <c r="O169" t="s">
        <v>446</v>
      </c>
      <c r="P169" t="s">
        <v>446</v>
      </c>
      <c r="Q169" t="b">
        <v>1</v>
      </c>
      <c r="R169" t="b">
        <v>0</v>
      </c>
      <c r="S169" t="s">
        <v>1038</v>
      </c>
      <c r="T169" t="s">
        <v>446</v>
      </c>
      <c r="U169" t="s">
        <v>1039</v>
      </c>
      <c r="V169" t="s">
        <v>1067</v>
      </c>
      <c r="W169" t="s">
        <v>1236</v>
      </c>
      <c r="X169" t="s">
        <v>446</v>
      </c>
    </row>
    <row r="170" spans="1:24" x14ac:dyDescent="0.25">
      <c r="A170" t="s">
        <v>42</v>
      </c>
      <c r="B170" t="s">
        <v>1408</v>
      </c>
      <c r="C170" t="s">
        <v>285</v>
      </c>
      <c r="D170" t="s">
        <v>446</v>
      </c>
      <c r="E170" t="s">
        <v>1005</v>
      </c>
      <c r="F170">
        <v>0</v>
      </c>
      <c r="G170" t="s">
        <v>1233</v>
      </c>
      <c r="H170" t="s">
        <v>1406</v>
      </c>
      <c r="I170" t="s">
        <v>1407</v>
      </c>
      <c r="J170" t="s">
        <v>1000</v>
      </c>
      <c r="K170" t="s">
        <v>446</v>
      </c>
      <c r="L170" t="s">
        <v>446</v>
      </c>
      <c r="M170" t="s">
        <v>446</v>
      </c>
      <c r="N170" t="s">
        <v>446</v>
      </c>
      <c r="O170" t="s">
        <v>446</v>
      </c>
      <c r="P170" t="s">
        <v>446</v>
      </c>
      <c r="Q170" t="b">
        <v>1</v>
      </c>
      <c r="R170" t="b">
        <v>0</v>
      </c>
      <c r="S170" t="s">
        <v>1038</v>
      </c>
      <c r="T170" t="s">
        <v>446</v>
      </c>
      <c r="U170" t="s">
        <v>1039</v>
      </c>
      <c r="V170" t="s">
        <v>1067</v>
      </c>
      <c r="W170" t="s">
        <v>1236</v>
      </c>
      <c r="X170" t="s">
        <v>446</v>
      </c>
    </row>
    <row r="171" spans="1:24" x14ac:dyDescent="0.25">
      <c r="A171" t="s">
        <v>42</v>
      </c>
      <c r="B171" t="s">
        <v>1409</v>
      </c>
      <c r="C171" t="s">
        <v>285</v>
      </c>
      <c r="D171" t="s">
        <v>446</v>
      </c>
      <c r="E171" t="s">
        <v>1007</v>
      </c>
      <c r="F171">
        <v>0</v>
      </c>
      <c r="G171" t="s">
        <v>1233</v>
      </c>
      <c r="H171" t="s">
        <v>1406</v>
      </c>
      <c r="I171" t="s">
        <v>1407</v>
      </c>
      <c r="J171" t="s">
        <v>1000</v>
      </c>
      <c r="K171" t="s">
        <v>446</v>
      </c>
      <c r="L171" t="s">
        <v>446</v>
      </c>
      <c r="M171" t="s">
        <v>446</v>
      </c>
      <c r="N171" t="s">
        <v>446</v>
      </c>
      <c r="O171" t="s">
        <v>446</v>
      </c>
      <c r="P171" t="s">
        <v>446</v>
      </c>
      <c r="Q171" t="b">
        <v>1</v>
      </c>
      <c r="R171" t="b">
        <v>0</v>
      </c>
      <c r="S171" t="s">
        <v>1038</v>
      </c>
      <c r="T171" t="s">
        <v>446</v>
      </c>
      <c r="U171" t="s">
        <v>1039</v>
      </c>
      <c r="V171" t="s">
        <v>1067</v>
      </c>
      <c r="W171" t="s">
        <v>1236</v>
      </c>
      <c r="X171" t="s">
        <v>446</v>
      </c>
    </row>
    <row r="172" spans="1:24" x14ac:dyDescent="0.25">
      <c r="A172" t="s">
        <v>42</v>
      </c>
      <c r="B172" t="s">
        <v>1410</v>
      </c>
      <c r="C172" t="s">
        <v>285</v>
      </c>
      <c r="D172" t="s">
        <v>446</v>
      </c>
      <c r="E172" t="s">
        <v>1009</v>
      </c>
      <c r="F172">
        <v>0</v>
      </c>
      <c r="G172" t="s">
        <v>1233</v>
      </c>
      <c r="H172" t="s">
        <v>1406</v>
      </c>
      <c r="I172" t="s">
        <v>1407</v>
      </c>
      <c r="J172" t="s">
        <v>1000</v>
      </c>
      <c r="K172" t="s">
        <v>446</v>
      </c>
      <c r="L172" t="s">
        <v>446</v>
      </c>
      <c r="M172" t="s">
        <v>446</v>
      </c>
      <c r="N172" t="s">
        <v>446</v>
      </c>
      <c r="O172" t="s">
        <v>446</v>
      </c>
      <c r="P172" t="s">
        <v>446</v>
      </c>
      <c r="Q172" t="b">
        <v>1</v>
      </c>
      <c r="R172" t="b">
        <v>0</v>
      </c>
      <c r="S172" t="s">
        <v>1038</v>
      </c>
      <c r="T172" t="s">
        <v>446</v>
      </c>
      <c r="U172" t="s">
        <v>1039</v>
      </c>
      <c r="V172" t="s">
        <v>1067</v>
      </c>
      <c r="W172" t="s">
        <v>1236</v>
      </c>
      <c r="X172" t="s">
        <v>446</v>
      </c>
    </row>
    <row r="173" spans="1:24" x14ac:dyDescent="0.25">
      <c r="A173" t="s">
        <v>42</v>
      </c>
      <c r="B173" t="s">
        <v>1411</v>
      </c>
      <c r="C173" t="s">
        <v>285</v>
      </c>
      <c r="D173" t="s">
        <v>446</v>
      </c>
      <c r="E173" t="s">
        <v>1011</v>
      </c>
      <c r="F173">
        <v>0</v>
      </c>
      <c r="G173" t="s">
        <v>1233</v>
      </c>
      <c r="H173" t="s">
        <v>1406</v>
      </c>
      <c r="I173" t="s">
        <v>1407</v>
      </c>
      <c r="J173" t="s">
        <v>1000</v>
      </c>
      <c r="K173" t="s">
        <v>446</v>
      </c>
      <c r="L173" t="s">
        <v>446</v>
      </c>
      <c r="M173" t="s">
        <v>446</v>
      </c>
      <c r="N173" t="s">
        <v>446</v>
      </c>
      <c r="O173" t="s">
        <v>446</v>
      </c>
      <c r="P173" t="s">
        <v>446</v>
      </c>
      <c r="Q173" t="b">
        <v>1</v>
      </c>
      <c r="R173" t="b">
        <v>0</v>
      </c>
      <c r="S173" t="s">
        <v>1038</v>
      </c>
      <c r="T173" t="s">
        <v>446</v>
      </c>
      <c r="U173" t="s">
        <v>1039</v>
      </c>
      <c r="V173" t="s">
        <v>1067</v>
      </c>
      <c r="W173" t="s">
        <v>1236</v>
      </c>
      <c r="X173" t="s">
        <v>446</v>
      </c>
    </row>
    <row r="174" spans="1:24" x14ac:dyDescent="0.25">
      <c r="A174" t="s">
        <v>42</v>
      </c>
      <c r="B174" t="s">
        <v>1412</v>
      </c>
      <c r="C174" t="s">
        <v>285</v>
      </c>
      <c r="D174" t="s">
        <v>446</v>
      </c>
      <c r="E174" t="s">
        <v>1013</v>
      </c>
      <c r="F174">
        <v>0</v>
      </c>
      <c r="G174" t="s">
        <v>1233</v>
      </c>
      <c r="H174" t="s">
        <v>1406</v>
      </c>
      <c r="I174" t="s">
        <v>1407</v>
      </c>
      <c r="J174" t="s">
        <v>1000</v>
      </c>
      <c r="K174" t="s">
        <v>446</v>
      </c>
      <c r="L174" t="s">
        <v>446</v>
      </c>
      <c r="M174" t="s">
        <v>446</v>
      </c>
      <c r="N174" t="s">
        <v>446</v>
      </c>
      <c r="O174" t="s">
        <v>446</v>
      </c>
      <c r="P174" t="s">
        <v>446</v>
      </c>
      <c r="Q174" t="b">
        <v>1</v>
      </c>
      <c r="R174" t="b">
        <v>0</v>
      </c>
      <c r="S174" t="s">
        <v>1038</v>
      </c>
      <c r="T174" t="s">
        <v>446</v>
      </c>
      <c r="U174" t="s">
        <v>1039</v>
      </c>
      <c r="V174" t="s">
        <v>1067</v>
      </c>
      <c r="W174" t="s">
        <v>1236</v>
      </c>
      <c r="X174" t="s">
        <v>446</v>
      </c>
    </row>
    <row r="175" spans="1:24" x14ac:dyDescent="0.25">
      <c r="A175" t="s">
        <v>42</v>
      </c>
      <c r="B175" t="s">
        <v>1413</v>
      </c>
      <c r="C175" t="s">
        <v>285</v>
      </c>
      <c r="D175" t="s">
        <v>446</v>
      </c>
      <c r="E175" t="s">
        <v>1015</v>
      </c>
      <c r="F175">
        <v>0</v>
      </c>
      <c r="G175" t="s">
        <v>1233</v>
      </c>
      <c r="H175" t="s">
        <v>1406</v>
      </c>
      <c r="I175" t="s">
        <v>1407</v>
      </c>
      <c r="J175" t="s">
        <v>1000</v>
      </c>
      <c r="K175" t="s">
        <v>446</v>
      </c>
      <c r="L175" t="s">
        <v>446</v>
      </c>
      <c r="M175" t="s">
        <v>446</v>
      </c>
      <c r="N175" t="s">
        <v>446</v>
      </c>
      <c r="O175" t="s">
        <v>446</v>
      </c>
      <c r="P175" t="s">
        <v>446</v>
      </c>
      <c r="Q175" t="b">
        <v>1</v>
      </c>
      <c r="R175" t="b">
        <v>0</v>
      </c>
      <c r="S175" t="s">
        <v>1038</v>
      </c>
      <c r="T175" t="s">
        <v>446</v>
      </c>
      <c r="U175" t="s">
        <v>1039</v>
      </c>
      <c r="V175" t="s">
        <v>1067</v>
      </c>
      <c r="W175" t="s">
        <v>1236</v>
      </c>
      <c r="X175" t="s">
        <v>446</v>
      </c>
    </row>
    <row r="176" spans="1:24" x14ac:dyDescent="0.25">
      <c r="A176" t="s">
        <v>42</v>
      </c>
      <c r="B176" t="s">
        <v>1414</v>
      </c>
      <c r="C176" t="s">
        <v>285</v>
      </c>
      <c r="D176" t="s">
        <v>446</v>
      </c>
      <c r="E176" t="s">
        <v>1017</v>
      </c>
      <c r="F176">
        <v>0</v>
      </c>
      <c r="G176" t="s">
        <v>1233</v>
      </c>
      <c r="H176" t="s">
        <v>1406</v>
      </c>
      <c r="I176" t="s">
        <v>1407</v>
      </c>
      <c r="J176" t="s">
        <v>1000</v>
      </c>
      <c r="K176" t="s">
        <v>446</v>
      </c>
      <c r="L176" t="s">
        <v>446</v>
      </c>
      <c r="M176" t="s">
        <v>446</v>
      </c>
      <c r="N176" t="s">
        <v>446</v>
      </c>
      <c r="O176" t="s">
        <v>446</v>
      </c>
      <c r="P176" t="s">
        <v>446</v>
      </c>
      <c r="Q176" t="b">
        <v>1</v>
      </c>
      <c r="R176" t="b">
        <v>0</v>
      </c>
      <c r="S176" t="s">
        <v>1038</v>
      </c>
      <c r="T176" t="s">
        <v>446</v>
      </c>
      <c r="U176" t="s">
        <v>1039</v>
      </c>
      <c r="V176" t="s">
        <v>1067</v>
      </c>
      <c r="W176" t="s">
        <v>1236</v>
      </c>
      <c r="X176" t="s">
        <v>446</v>
      </c>
    </row>
    <row r="177" spans="1:24" x14ac:dyDescent="0.25">
      <c r="A177" t="s">
        <v>42</v>
      </c>
      <c r="B177" t="s">
        <v>1415</v>
      </c>
      <c r="C177" t="s">
        <v>285</v>
      </c>
      <c r="D177" t="s">
        <v>446</v>
      </c>
      <c r="E177" t="s">
        <v>1019</v>
      </c>
      <c r="F177">
        <v>0</v>
      </c>
      <c r="G177" t="s">
        <v>1233</v>
      </c>
      <c r="H177" t="s">
        <v>1406</v>
      </c>
      <c r="I177" t="s">
        <v>1407</v>
      </c>
      <c r="J177" t="s">
        <v>1000</v>
      </c>
      <c r="K177" t="s">
        <v>446</v>
      </c>
      <c r="L177" t="s">
        <v>446</v>
      </c>
      <c r="M177" t="s">
        <v>446</v>
      </c>
      <c r="N177" t="s">
        <v>446</v>
      </c>
      <c r="O177" t="s">
        <v>446</v>
      </c>
      <c r="P177" t="s">
        <v>446</v>
      </c>
      <c r="Q177" t="b">
        <v>1</v>
      </c>
      <c r="R177" t="b">
        <v>0</v>
      </c>
      <c r="S177" t="s">
        <v>1038</v>
      </c>
      <c r="T177" t="s">
        <v>446</v>
      </c>
      <c r="U177" t="s">
        <v>1039</v>
      </c>
      <c r="V177" t="s">
        <v>1067</v>
      </c>
      <c r="W177" t="s">
        <v>1236</v>
      </c>
      <c r="X177" t="s">
        <v>446</v>
      </c>
    </row>
    <row r="178" spans="1:24" x14ac:dyDescent="0.25">
      <c r="A178" t="s">
        <v>42</v>
      </c>
      <c r="B178" t="s">
        <v>1416</v>
      </c>
      <c r="C178" t="s">
        <v>285</v>
      </c>
      <c r="D178" t="s">
        <v>446</v>
      </c>
      <c r="E178" t="s">
        <v>1021</v>
      </c>
      <c r="F178">
        <v>0</v>
      </c>
      <c r="G178" t="s">
        <v>1233</v>
      </c>
      <c r="H178" t="s">
        <v>1406</v>
      </c>
      <c r="I178" t="s">
        <v>1407</v>
      </c>
      <c r="J178" t="s">
        <v>1000</v>
      </c>
      <c r="K178" t="s">
        <v>446</v>
      </c>
      <c r="L178" t="s">
        <v>446</v>
      </c>
      <c r="M178" t="s">
        <v>446</v>
      </c>
      <c r="N178" t="s">
        <v>446</v>
      </c>
      <c r="O178" t="s">
        <v>446</v>
      </c>
      <c r="P178" t="s">
        <v>446</v>
      </c>
      <c r="Q178" t="b">
        <v>1</v>
      </c>
      <c r="R178" t="b">
        <v>0</v>
      </c>
      <c r="S178" t="s">
        <v>1038</v>
      </c>
      <c r="T178" t="s">
        <v>446</v>
      </c>
      <c r="U178" t="s">
        <v>1039</v>
      </c>
      <c r="V178" t="s">
        <v>1067</v>
      </c>
      <c r="W178" t="s">
        <v>1236</v>
      </c>
      <c r="X178" t="s">
        <v>446</v>
      </c>
    </row>
    <row r="179" spans="1:24" x14ac:dyDescent="0.25">
      <c r="A179" t="s">
        <v>42</v>
      </c>
      <c r="B179" t="s">
        <v>1417</v>
      </c>
      <c r="C179" t="s">
        <v>285</v>
      </c>
      <c r="D179" t="s">
        <v>446</v>
      </c>
      <c r="E179" t="s">
        <v>1023</v>
      </c>
      <c r="F179">
        <v>0</v>
      </c>
      <c r="G179" t="s">
        <v>1233</v>
      </c>
      <c r="H179" t="s">
        <v>1406</v>
      </c>
      <c r="I179" t="s">
        <v>1407</v>
      </c>
      <c r="J179" t="s">
        <v>1000</v>
      </c>
      <c r="K179" t="s">
        <v>446</v>
      </c>
      <c r="L179" t="s">
        <v>446</v>
      </c>
      <c r="M179" t="s">
        <v>446</v>
      </c>
      <c r="N179" t="s">
        <v>446</v>
      </c>
      <c r="O179" t="s">
        <v>446</v>
      </c>
      <c r="P179" t="s">
        <v>446</v>
      </c>
      <c r="Q179" t="b">
        <v>1</v>
      </c>
      <c r="R179" t="b">
        <v>0</v>
      </c>
      <c r="S179" t="s">
        <v>1038</v>
      </c>
      <c r="T179" t="s">
        <v>446</v>
      </c>
      <c r="U179" t="s">
        <v>1039</v>
      </c>
      <c r="V179" t="s">
        <v>1067</v>
      </c>
      <c r="W179" t="s">
        <v>1236</v>
      </c>
      <c r="X179" t="s">
        <v>446</v>
      </c>
    </row>
    <row r="180" spans="1:24" x14ac:dyDescent="0.25">
      <c r="A180" t="s">
        <v>42</v>
      </c>
      <c r="B180" t="s">
        <v>1418</v>
      </c>
      <c r="C180" t="s">
        <v>285</v>
      </c>
      <c r="D180" t="s">
        <v>446</v>
      </c>
      <c r="E180" t="s">
        <v>1025</v>
      </c>
      <c r="F180">
        <v>0</v>
      </c>
      <c r="G180" t="s">
        <v>1233</v>
      </c>
      <c r="H180" t="s">
        <v>1406</v>
      </c>
      <c r="I180" t="s">
        <v>1407</v>
      </c>
      <c r="J180" t="s">
        <v>1000</v>
      </c>
      <c r="K180" t="s">
        <v>446</v>
      </c>
      <c r="L180" t="s">
        <v>446</v>
      </c>
      <c r="M180" t="s">
        <v>446</v>
      </c>
      <c r="N180" t="s">
        <v>446</v>
      </c>
      <c r="O180" t="s">
        <v>446</v>
      </c>
      <c r="P180" t="s">
        <v>446</v>
      </c>
      <c r="Q180" t="b">
        <v>1</v>
      </c>
      <c r="R180" t="b">
        <v>0</v>
      </c>
      <c r="S180" t="s">
        <v>1038</v>
      </c>
      <c r="T180" t="s">
        <v>446</v>
      </c>
      <c r="U180" t="s">
        <v>1039</v>
      </c>
      <c r="V180" t="s">
        <v>1067</v>
      </c>
      <c r="W180" t="s">
        <v>1236</v>
      </c>
      <c r="X180" t="s">
        <v>446</v>
      </c>
    </row>
    <row r="181" spans="1:24" x14ac:dyDescent="0.25">
      <c r="A181" t="s">
        <v>42</v>
      </c>
      <c r="B181" t="s">
        <v>1419</v>
      </c>
      <c r="C181" t="s">
        <v>330</v>
      </c>
      <c r="D181" t="s">
        <v>323</v>
      </c>
      <c r="E181" t="s">
        <v>998</v>
      </c>
      <c r="F181">
        <v>20338</v>
      </c>
      <c r="G181" t="s">
        <v>1057</v>
      </c>
      <c r="H181" t="s">
        <v>1420</v>
      </c>
      <c r="I181" t="s">
        <v>1421</v>
      </c>
      <c r="J181" t="s">
        <v>1422</v>
      </c>
      <c r="K181" t="s">
        <v>1032</v>
      </c>
      <c r="L181" t="s">
        <v>1033</v>
      </c>
      <c r="M181" t="s">
        <v>1034</v>
      </c>
      <c r="N181" t="s">
        <v>1035</v>
      </c>
      <c r="O181" t="s">
        <v>446</v>
      </c>
      <c r="P181" t="s">
        <v>1037</v>
      </c>
      <c r="Q181" t="b">
        <v>1</v>
      </c>
      <c r="R181" t="b">
        <v>0</v>
      </c>
      <c r="S181" t="s">
        <v>1102</v>
      </c>
      <c r="T181" t="s">
        <v>446</v>
      </c>
      <c r="U181" t="s">
        <v>1066</v>
      </c>
      <c r="V181" t="s">
        <v>1002</v>
      </c>
      <c r="W181" t="s">
        <v>1040</v>
      </c>
      <c r="X181" t="s">
        <v>1423</v>
      </c>
    </row>
    <row r="182" spans="1:24" x14ac:dyDescent="0.25">
      <c r="A182" t="s">
        <v>42</v>
      </c>
      <c r="B182" t="s">
        <v>1424</v>
      </c>
      <c r="C182" t="s">
        <v>330</v>
      </c>
      <c r="D182" t="s">
        <v>323</v>
      </c>
      <c r="E182" t="s">
        <v>1005</v>
      </c>
      <c r="F182">
        <v>17037</v>
      </c>
      <c r="G182" t="s">
        <v>1057</v>
      </c>
      <c r="H182" t="s">
        <v>1425</v>
      </c>
      <c r="I182" t="s">
        <v>1421</v>
      </c>
      <c r="J182" t="s">
        <v>1422</v>
      </c>
      <c r="K182" t="s">
        <v>1044</v>
      </c>
      <c r="L182" t="s">
        <v>1045</v>
      </c>
      <c r="M182" t="s">
        <v>1034</v>
      </c>
      <c r="N182" t="s">
        <v>1046</v>
      </c>
      <c r="O182" t="s">
        <v>446</v>
      </c>
      <c r="P182" t="s">
        <v>1048</v>
      </c>
      <c r="Q182" t="b">
        <v>1</v>
      </c>
      <c r="R182" t="b">
        <v>0</v>
      </c>
      <c r="S182" t="s">
        <v>1102</v>
      </c>
      <c r="T182" t="s">
        <v>446</v>
      </c>
      <c r="U182" t="s">
        <v>1066</v>
      </c>
      <c r="V182" t="s">
        <v>1002</v>
      </c>
      <c r="W182" t="s">
        <v>1040</v>
      </c>
      <c r="X182" t="s">
        <v>1423</v>
      </c>
    </row>
    <row r="183" spans="1:24" x14ac:dyDescent="0.25">
      <c r="A183" t="s">
        <v>42</v>
      </c>
      <c r="B183" t="s">
        <v>1426</v>
      </c>
      <c r="C183" t="s">
        <v>330</v>
      </c>
      <c r="D183" t="s">
        <v>323</v>
      </c>
      <c r="E183" t="s">
        <v>1007</v>
      </c>
      <c r="F183">
        <v>13143</v>
      </c>
      <c r="G183" t="s">
        <v>1057</v>
      </c>
      <c r="H183" t="s">
        <v>1427</v>
      </c>
      <c r="I183" t="s">
        <v>1421</v>
      </c>
      <c r="J183" t="s">
        <v>1422</v>
      </c>
      <c r="K183" t="s">
        <v>1051</v>
      </c>
      <c r="L183" t="s">
        <v>1052</v>
      </c>
      <c r="M183" t="s">
        <v>1034</v>
      </c>
      <c r="N183" t="s">
        <v>1053</v>
      </c>
      <c r="O183" t="s">
        <v>446</v>
      </c>
      <c r="P183" t="s">
        <v>1055</v>
      </c>
      <c r="Q183" t="b">
        <v>1</v>
      </c>
      <c r="R183" t="b">
        <v>0</v>
      </c>
      <c r="S183" t="s">
        <v>1102</v>
      </c>
      <c r="T183" t="s">
        <v>446</v>
      </c>
      <c r="U183" t="s">
        <v>1066</v>
      </c>
      <c r="V183" t="s">
        <v>1002</v>
      </c>
      <c r="W183" t="s">
        <v>1040</v>
      </c>
      <c r="X183" t="s">
        <v>1423</v>
      </c>
    </row>
    <row r="184" spans="1:24" x14ac:dyDescent="0.25">
      <c r="A184" t="s">
        <v>42</v>
      </c>
      <c r="B184" t="s">
        <v>1428</v>
      </c>
      <c r="C184" t="s">
        <v>330</v>
      </c>
      <c r="D184" t="s">
        <v>323</v>
      </c>
      <c r="E184" t="s">
        <v>1009</v>
      </c>
      <c r="F184">
        <v>13296</v>
      </c>
      <c r="G184" t="s">
        <v>1057</v>
      </c>
      <c r="H184" t="s">
        <v>1429</v>
      </c>
      <c r="I184" t="s">
        <v>1421</v>
      </c>
      <c r="J184" t="s">
        <v>1422</v>
      </c>
      <c r="K184" t="s">
        <v>1060</v>
      </c>
      <c r="L184" t="s">
        <v>1061</v>
      </c>
      <c r="M184" t="s">
        <v>1062</v>
      </c>
      <c r="N184" t="s">
        <v>1063</v>
      </c>
      <c r="O184" t="s">
        <v>446</v>
      </c>
      <c r="P184" t="s">
        <v>1064</v>
      </c>
      <c r="Q184" t="b">
        <v>1</v>
      </c>
      <c r="R184" t="b">
        <v>0</v>
      </c>
      <c r="S184" t="s">
        <v>1102</v>
      </c>
      <c r="T184" t="s">
        <v>446</v>
      </c>
      <c r="U184" t="s">
        <v>1066</v>
      </c>
      <c r="V184" t="s">
        <v>1002</v>
      </c>
      <c r="W184" t="s">
        <v>1040</v>
      </c>
      <c r="X184" t="s">
        <v>1423</v>
      </c>
    </row>
    <row r="185" spans="1:24" x14ac:dyDescent="0.25">
      <c r="A185" t="s">
        <v>42</v>
      </c>
      <c r="B185" t="s">
        <v>1430</v>
      </c>
      <c r="C185" t="s">
        <v>330</v>
      </c>
      <c r="D185" t="s">
        <v>323</v>
      </c>
      <c r="E185" t="s">
        <v>1011</v>
      </c>
      <c r="F185">
        <v>15320</v>
      </c>
      <c r="G185" t="s">
        <v>1057</v>
      </c>
      <c r="H185" t="s">
        <v>1431</v>
      </c>
      <c r="I185" t="s">
        <v>1421</v>
      </c>
      <c r="J185" t="s">
        <v>1422</v>
      </c>
      <c r="K185" t="s">
        <v>1070</v>
      </c>
      <c r="L185" t="s">
        <v>1071</v>
      </c>
      <c r="M185" t="s">
        <v>1034</v>
      </c>
      <c r="N185" t="s">
        <v>1072</v>
      </c>
      <c r="O185" t="s">
        <v>446</v>
      </c>
      <c r="P185" t="s">
        <v>1074</v>
      </c>
      <c r="Q185" t="b">
        <v>1</v>
      </c>
      <c r="R185" t="b">
        <v>0</v>
      </c>
      <c r="S185" t="s">
        <v>1102</v>
      </c>
      <c r="T185" t="s">
        <v>446</v>
      </c>
      <c r="U185" t="s">
        <v>1066</v>
      </c>
      <c r="V185" t="s">
        <v>1002</v>
      </c>
      <c r="W185" t="s">
        <v>1040</v>
      </c>
      <c r="X185" t="s">
        <v>1423</v>
      </c>
    </row>
    <row r="186" spans="1:24" x14ac:dyDescent="0.25">
      <c r="A186" t="s">
        <v>42</v>
      </c>
      <c r="B186" t="s">
        <v>1432</v>
      </c>
      <c r="C186" t="s">
        <v>330</v>
      </c>
      <c r="D186" t="s">
        <v>323</v>
      </c>
      <c r="E186" t="s">
        <v>1013</v>
      </c>
      <c r="F186">
        <v>16023</v>
      </c>
      <c r="G186" t="s">
        <v>1057</v>
      </c>
      <c r="H186" t="s">
        <v>1433</v>
      </c>
      <c r="I186" t="s">
        <v>1421</v>
      </c>
      <c r="J186" t="s">
        <v>1422</v>
      </c>
      <c r="K186" t="s">
        <v>1077</v>
      </c>
      <c r="L186" t="s">
        <v>1078</v>
      </c>
      <c r="M186" t="s">
        <v>1034</v>
      </c>
      <c r="N186" t="s">
        <v>1079</v>
      </c>
      <c r="O186" t="s">
        <v>446</v>
      </c>
      <c r="P186" t="s">
        <v>1081</v>
      </c>
      <c r="Q186" t="b">
        <v>1</v>
      </c>
      <c r="R186" t="b">
        <v>0</v>
      </c>
      <c r="S186" t="s">
        <v>1102</v>
      </c>
      <c r="T186" t="s">
        <v>446</v>
      </c>
      <c r="U186" t="s">
        <v>1066</v>
      </c>
      <c r="V186" t="s">
        <v>1002</v>
      </c>
      <c r="W186" t="s">
        <v>1040</v>
      </c>
      <c r="X186" t="s">
        <v>1423</v>
      </c>
    </row>
    <row r="187" spans="1:24" x14ac:dyDescent="0.25">
      <c r="A187" t="s">
        <v>42</v>
      </c>
      <c r="B187" t="s">
        <v>1434</v>
      </c>
      <c r="C187" t="s">
        <v>330</v>
      </c>
      <c r="D187" t="s">
        <v>323</v>
      </c>
      <c r="E187" t="s">
        <v>1015</v>
      </c>
      <c r="F187">
        <v>18281</v>
      </c>
      <c r="G187" t="s">
        <v>1057</v>
      </c>
      <c r="H187" t="s">
        <v>1435</v>
      </c>
      <c r="I187" t="s">
        <v>1421</v>
      </c>
      <c r="J187" t="s">
        <v>1422</v>
      </c>
      <c r="K187" t="s">
        <v>1084</v>
      </c>
      <c r="L187" t="s">
        <v>1085</v>
      </c>
      <c r="M187" t="s">
        <v>1034</v>
      </c>
      <c r="N187" t="s">
        <v>1086</v>
      </c>
      <c r="O187" t="s">
        <v>446</v>
      </c>
      <c r="P187" t="s">
        <v>1088</v>
      </c>
      <c r="Q187" t="b">
        <v>1</v>
      </c>
      <c r="R187" t="b">
        <v>0</v>
      </c>
      <c r="S187" t="s">
        <v>1102</v>
      </c>
      <c r="T187" t="s">
        <v>446</v>
      </c>
      <c r="U187" t="s">
        <v>1066</v>
      </c>
      <c r="V187" t="s">
        <v>1002</v>
      </c>
      <c r="W187" t="s">
        <v>1040</v>
      </c>
      <c r="X187" t="s">
        <v>1423</v>
      </c>
    </row>
    <row r="188" spans="1:24" x14ac:dyDescent="0.25">
      <c r="A188" t="s">
        <v>42</v>
      </c>
      <c r="B188" t="s">
        <v>1436</v>
      </c>
      <c r="C188" t="s">
        <v>330</v>
      </c>
      <c r="D188" t="s">
        <v>323</v>
      </c>
      <c r="E188" t="s">
        <v>1017</v>
      </c>
      <c r="F188">
        <v>25984</v>
      </c>
      <c r="G188" t="s">
        <v>1057</v>
      </c>
      <c r="H188" t="s">
        <v>1437</v>
      </c>
      <c r="I188" t="s">
        <v>1421</v>
      </c>
      <c r="J188" t="s">
        <v>1422</v>
      </c>
      <c r="K188" t="s">
        <v>1091</v>
      </c>
      <c r="L188" t="s">
        <v>1092</v>
      </c>
      <c r="M188" t="s">
        <v>1062</v>
      </c>
      <c r="N188" t="s">
        <v>1093</v>
      </c>
      <c r="O188" t="s">
        <v>446</v>
      </c>
      <c r="P188" t="s">
        <v>1094</v>
      </c>
      <c r="Q188" t="b">
        <v>1</v>
      </c>
      <c r="R188" t="b">
        <v>0</v>
      </c>
      <c r="S188" t="s">
        <v>1102</v>
      </c>
      <c r="T188" t="s">
        <v>446</v>
      </c>
      <c r="U188" t="s">
        <v>1066</v>
      </c>
      <c r="V188" t="s">
        <v>1002</v>
      </c>
      <c r="W188" t="s">
        <v>1040</v>
      </c>
      <c r="X188" t="s">
        <v>1423</v>
      </c>
    </row>
    <row r="189" spans="1:24" x14ac:dyDescent="0.25">
      <c r="A189" t="s">
        <v>42</v>
      </c>
      <c r="B189" t="s">
        <v>1438</v>
      </c>
      <c r="C189" t="s">
        <v>330</v>
      </c>
      <c r="D189" t="s">
        <v>323</v>
      </c>
      <c r="E189" t="s">
        <v>1019</v>
      </c>
      <c r="F189">
        <v>31438</v>
      </c>
      <c r="G189" t="s">
        <v>1233</v>
      </c>
      <c r="H189" t="s">
        <v>1439</v>
      </c>
      <c r="I189" t="s">
        <v>1421</v>
      </c>
      <c r="J189" t="s">
        <v>1422</v>
      </c>
      <c r="K189" t="s">
        <v>1097</v>
      </c>
      <c r="L189" t="s">
        <v>1098</v>
      </c>
      <c r="M189" t="s">
        <v>1034</v>
      </c>
      <c r="N189" t="s">
        <v>1099</v>
      </c>
      <c r="O189" t="s">
        <v>446</v>
      </c>
      <c r="P189" t="s">
        <v>1101</v>
      </c>
      <c r="Q189" t="b">
        <v>1</v>
      </c>
      <c r="R189" t="b">
        <v>0</v>
      </c>
      <c r="S189" t="s">
        <v>1038</v>
      </c>
      <c r="T189" t="s">
        <v>446</v>
      </c>
      <c r="U189" t="s">
        <v>1039</v>
      </c>
      <c r="V189" t="s">
        <v>1002</v>
      </c>
      <c r="W189" t="s">
        <v>1040</v>
      </c>
      <c r="X189" t="s">
        <v>1423</v>
      </c>
    </row>
    <row r="190" spans="1:24" x14ac:dyDescent="0.25">
      <c r="A190" t="s">
        <v>42</v>
      </c>
      <c r="B190" t="s">
        <v>1440</v>
      </c>
      <c r="C190" t="s">
        <v>330</v>
      </c>
      <c r="D190" t="s">
        <v>323</v>
      </c>
      <c r="E190" t="s">
        <v>1021</v>
      </c>
      <c r="F190">
        <v>34800</v>
      </c>
      <c r="G190" t="s">
        <v>1233</v>
      </c>
      <c r="H190" t="s">
        <v>1441</v>
      </c>
      <c r="I190" t="s">
        <v>1421</v>
      </c>
      <c r="J190" t="s">
        <v>1422</v>
      </c>
      <c r="K190" t="s">
        <v>1105</v>
      </c>
      <c r="L190" t="s">
        <v>1106</v>
      </c>
      <c r="M190" t="s">
        <v>1034</v>
      </c>
      <c r="N190" t="s">
        <v>1107</v>
      </c>
      <c r="O190" t="s">
        <v>446</v>
      </c>
      <c r="P190" t="s">
        <v>1109</v>
      </c>
      <c r="Q190" t="b">
        <v>1</v>
      </c>
      <c r="R190" t="b">
        <v>0</v>
      </c>
      <c r="S190" t="s">
        <v>1038</v>
      </c>
      <c r="T190" t="s">
        <v>446</v>
      </c>
      <c r="U190" t="s">
        <v>1039</v>
      </c>
      <c r="V190" t="s">
        <v>1002</v>
      </c>
      <c r="W190" t="s">
        <v>1040</v>
      </c>
      <c r="X190" t="s">
        <v>1423</v>
      </c>
    </row>
    <row r="191" spans="1:24" x14ac:dyDescent="0.25">
      <c r="A191" t="s">
        <v>42</v>
      </c>
      <c r="B191" t="s">
        <v>1442</v>
      </c>
      <c r="C191" t="s">
        <v>330</v>
      </c>
      <c r="D191" t="s">
        <v>323</v>
      </c>
      <c r="E191" t="s">
        <v>1023</v>
      </c>
      <c r="F191">
        <v>38487</v>
      </c>
      <c r="G191" t="s">
        <v>1233</v>
      </c>
      <c r="H191" t="s">
        <v>1443</v>
      </c>
      <c r="I191" t="s">
        <v>1421</v>
      </c>
      <c r="J191" t="s">
        <v>1422</v>
      </c>
      <c r="K191" t="s">
        <v>1112</v>
      </c>
      <c r="L191" t="s">
        <v>1113</v>
      </c>
      <c r="M191" t="s">
        <v>1034</v>
      </c>
      <c r="N191" t="s">
        <v>1114</v>
      </c>
      <c r="O191" t="s">
        <v>446</v>
      </c>
      <c r="P191" t="s">
        <v>1116</v>
      </c>
      <c r="Q191" t="b">
        <v>1</v>
      </c>
      <c r="R191" t="b">
        <v>0</v>
      </c>
      <c r="S191" t="s">
        <v>1038</v>
      </c>
      <c r="T191" t="s">
        <v>446</v>
      </c>
      <c r="U191" t="s">
        <v>1039</v>
      </c>
      <c r="V191" t="s">
        <v>1002</v>
      </c>
      <c r="W191" t="s">
        <v>1040</v>
      </c>
      <c r="X191" t="s">
        <v>1423</v>
      </c>
    </row>
    <row r="192" spans="1:24" x14ac:dyDescent="0.25">
      <c r="A192" t="s">
        <v>42</v>
      </c>
      <c r="B192" t="s">
        <v>1444</v>
      </c>
      <c r="C192" t="s">
        <v>330</v>
      </c>
      <c r="D192" t="s">
        <v>323</v>
      </c>
      <c r="E192" t="s">
        <v>1025</v>
      </c>
      <c r="F192">
        <v>43210</v>
      </c>
      <c r="G192" t="s">
        <v>1233</v>
      </c>
      <c r="H192" t="s">
        <v>1445</v>
      </c>
      <c r="I192" t="s">
        <v>1421</v>
      </c>
      <c r="J192" t="s">
        <v>1422</v>
      </c>
      <c r="K192" t="s">
        <v>1119</v>
      </c>
      <c r="L192" t="s">
        <v>1120</v>
      </c>
      <c r="M192" t="s">
        <v>1062</v>
      </c>
      <c r="N192" t="s">
        <v>1121</v>
      </c>
      <c r="O192" t="s">
        <v>446</v>
      </c>
      <c r="P192" t="s">
        <v>1122</v>
      </c>
      <c r="Q192" t="b">
        <v>1</v>
      </c>
      <c r="R192" t="b">
        <v>0</v>
      </c>
      <c r="S192" t="s">
        <v>1038</v>
      </c>
      <c r="T192" t="s">
        <v>446</v>
      </c>
      <c r="U192" t="s">
        <v>1039</v>
      </c>
      <c r="V192" t="s">
        <v>1002</v>
      </c>
      <c r="W192" t="s">
        <v>1040</v>
      </c>
      <c r="X192" t="s">
        <v>1423</v>
      </c>
    </row>
    <row r="193" spans="1:24" x14ac:dyDescent="0.25">
      <c r="A193" t="s">
        <v>42</v>
      </c>
      <c r="B193" t="s">
        <v>1446</v>
      </c>
      <c r="C193" t="s">
        <v>330</v>
      </c>
      <c r="D193" t="s">
        <v>323</v>
      </c>
      <c r="E193" t="s">
        <v>1027</v>
      </c>
      <c r="F193">
        <v>53691</v>
      </c>
      <c r="G193" t="s">
        <v>1057</v>
      </c>
      <c r="H193" t="s">
        <v>1447</v>
      </c>
      <c r="I193" t="s">
        <v>1421</v>
      </c>
      <c r="J193" t="s">
        <v>1422</v>
      </c>
      <c r="K193" t="s">
        <v>1125</v>
      </c>
      <c r="L193" t="s">
        <v>1126</v>
      </c>
      <c r="M193" t="s">
        <v>1034</v>
      </c>
      <c r="N193" t="s">
        <v>1127</v>
      </c>
      <c r="O193" t="s">
        <v>446</v>
      </c>
      <c r="P193" t="s">
        <v>1129</v>
      </c>
      <c r="Q193" t="b">
        <v>1</v>
      </c>
      <c r="R193" t="b">
        <v>0</v>
      </c>
      <c r="S193" t="s">
        <v>1102</v>
      </c>
      <c r="T193" t="s">
        <v>446</v>
      </c>
      <c r="U193" t="s">
        <v>1066</v>
      </c>
      <c r="V193" t="s">
        <v>1002</v>
      </c>
      <c r="W193" t="s">
        <v>1040</v>
      </c>
      <c r="X193" t="s">
        <v>1423</v>
      </c>
    </row>
    <row r="194" spans="1:24" x14ac:dyDescent="0.25">
      <c r="A194" t="s">
        <v>42</v>
      </c>
      <c r="B194" t="s">
        <v>1448</v>
      </c>
      <c r="C194" t="s">
        <v>330</v>
      </c>
      <c r="D194" t="s">
        <v>323</v>
      </c>
      <c r="E194" t="s">
        <v>1131</v>
      </c>
      <c r="F194">
        <v>56791</v>
      </c>
      <c r="G194" t="s">
        <v>1057</v>
      </c>
      <c r="H194" t="s">
        <v>1449</v>
      </c>
      <c r="I194" t="s">
        <v>1421</v>
      </c>
      <c r="J194" t="s">
        <v>1422</v>
      </c>
      <c r="K194" t="s">
        <v>1133</v>
      </c>
      <c r="L194" t="s">
        <v>1134</v>
      </c>
      <c r="M194" t="s">
        <v>1034</v>
      </c>
      <c r="N194" t="s">
        <v>1135</v>
      </c>
      <c r="O194" t="s">
        <v>446</v>
      </c>
      <c r="P194" t="s">
        <v>1137</v>
      </c>
      <c r="Q194" t="b">
        <v>1</v>
      </c>
      <c r="R194" t="b">
        <v>0</v>
      </c>
      <c r="S194" t="s">
        <v>1102</v>
      </c>
      <c r="T194" t="s">
        <v>446</v>
      </c>
      <c r="U194" t="s">
        <v>1066</v>
      </c>
      <c r="V194" t="s">
        <v>1002</v>
      </c>
      <c r="W194" t="s">
        <v>1040</v>
      </c>
      <c r="X194" t="s">
        <v>1423</v>
      </c>
    </row>
    <row r="195" spans="1:24" x14ac:dyDescent="0.25">
      <c r="A195" t="s">
        <v>42</v>
      </c>
      <c r="B195" t="s">
        <v>1450</v>
      </c>
      <c r="C195" t="s">
        <v>331</v>
      </c>
      <c r="D195" t="s">
        <v>323</v>
      </c>
      <c r="E195" t="s">
        <v>998</v>
      </c>
      <c r="F195">
        <v>5438</v>
      </c>
      <c r="G195" t="s">
        <v>1451</v>
      </c>
      <c r="H195" t="s">
        <v>1452</v>
      </c>
      <c r="I195" t="s">
        <v>1453</v>
      </c>
      <c r="J195" t="s">
        <v>1422</v>
      </c>
      <c r="K195" t="s">
        <v>1032</v>
      </c>
      <c r="L195" t="s">
        <v>1033</v>
      </c>
      <c r="M195" t="s">
        <v>1034</v>
      </c>
      <c r="N195" t="s">
        <v>1035</v>
      </c>
      <c r="O195" t="s">
        <v>446</v>
      </c>
      <c r="P195" t="s">
        <v>1037</v>
      </c>
      <c r="Q195" t="b">
        <v>1</v>
      </c>
      <c r="R195" t="b">
        <v>0</v>
      </c>
      <c r="S195" t="s">
        <v>1001</v>
      </c>
      <c r="T195" t="s">
        <v>1454</v>
      </c>
      <c r="U195" t="s">
        <v>1455</v>
      </c>
      <c r="V195" t="s">
        <v>1456</v>
      </c>
      <c r="W195" t="s">
        <v>1457</v>
      </c>
      <c r="X195" t="s">
        <v>1458</v>
      </c>
    </row>
    <row r="196" spans="1:24" x14ac:dyDescent="0.25">
      <c r="A196" t="s">
        <v>42</v>
      </c>
      <c r="B196" t="s">
        <v>1459</v>
      </c>
      <c r="C196" t="s">
        <v>331</v>
      </c>
      <c r="D196" t="s">
        <v>323</v>
      </c>
      <c r="E196" t="s">
        <v>1005</v>
      </c>
      <c r="F196">
        <v>5317</v>
      </c>
      <c r="G196" t="s">
        <v>1451</v>
      </c>
      <c r="H196" t="s">
        <v>1460</v>
      </c>
      <c r="I196" t="s">
        <v>1453</v>
      </c>
      <c r="J196" t="s">
        <v>1422</v>
      </c>
      <c r="K196" t="s">
        <v>1044</v>
      </c>
      <c r="L196" t="s">
        <v>1045</v>
      </c>
      <c r="M196" t="s">
        <v>1034</v>
      </c>
      <c r="N196" t="s">
        <v>1046</v>
      </c>
      <c r="O196" t="s">
        <v>446</v>
      </c>
      <c r="P196" t="s">
        <v>1048</v>
      </c>
      <c r="Q196" t="b">
        <v>1</v>
      </c>
      <c r="R196" t="b">
        <v>0</v>
      </c>
      <c r="S196" t="s">
        <v>1001</v>
      </c>
      <c r="T196" t="s">
        <v>1454</v>
      </c>
      <c r="U196" t="s">
        <v>1455</v>
      </c>
      <c r="V196" t="s">
        <v>1456</v>
      </c>
      <c r="W196" t="s">
        <v>1457</v>
      </c>
      <c r="X196" t="s">
        <v>1458</v>
      </c>
    </row>
    <row r="197" spans="1:24" x14ac:dyDescent="0.25">
      <c r="A197" t="s">
        <v>42</v>
      </c>
      <c r="B197" t="s">
        <v>1461</v>
      </c>
      <c r="C197" t="s">
        <v>331</v>
      </c>
      <c r="D197" t="s">
        <v>323</v>
      </c>
      <c r="E197" t="s">
        <v>1007</v>
      </c>
      <c r="F197">
        <v>4908</v>
      </c>
      <c r="G197" t="s">
        <v>1451</v>
      </c>
      <c r="H197" t="s">
        <v>1462</v>
      </c>
      <c r="I197" t="s">
        <v>1453</v>
      </c>
      <c r="J197" t="s">
        <v>1422</v>
      </c>
      <c r="K197" t="s">
        <v>1051</v>
      </c>
      <c r="L197" t="s">
        <v>1052</v>
      </c>
      <c r="M197" t="s">
        <v>1034</v>
      </c>
      <c r="N197" t="s">
        <v>1053</v>
      </c>
      <c r="O197" t="s">
        <v>446</v>
      </c>
      <c r="P197" t="s">
        <v>1055</v>
      </c>
      <c r="Q197" t="b">
        <v>1</v>
      </c>
      <c r="R197" t="b">
        <v>0</v>
      </c>
      <c r="S197" t="s">
        <v>1001</v>
      </c>
      <c r="T197" t="s">
        <v>1454</v>
      </c>
      <c r="U197" t="s">
        <v>1455</v>
      </c>
      <c r="V197" t="s">
        <v>1456</v>
      </c>
      <c r="W197" t="s">
        <v>1457</v>
      </c>
      <c r="X197" t="s">
        <v>1458</v>
      </c>
    </row>
    <row r="198" spans="1:24" x14ac:dyDescent="0.25">
      <c r="A198" t="s">
        <v>42</v>
      </c>
      <c r="B198" t="s">
        <v>1463</v>
      </c>
      <c r="C198" t="s">
        <v>331</v>
      </c>
      <c r="D198" t="s">
        <v>323</v>
      </c>
      <c r="E198" t="s">
        <v>1009</v>
      </c>
      <c r="F198">
        <v>3827</v>
      </c>
      <c r="G198" t="s">
        <v>1451</v>
      </c>
      <c r="H198" t="s">
        <v>1464</v>
      </c>
      <c r="I198" t="s">
        <v>1453</v>
      </c>
      <c r="J198" t="s">
        <v>1422</v>
      </c>
      <c r="K198" t="s">
        <v>1060</v>
      </c>
      <c r="L198" t="s">
        <v>1061</v>
      </c>
      <c r="M198" t="s">
        <v>1062</v>
      </c>
      <c r="N198" t="s">
        <v>1063</v>
      </c>
      <c r="O198" t="s">
        <v>446</v>
      </c>
      <c r="P198" t="s">
        <v>1064</v>
      </c>
      <c r="Q198" t="b">
        <v>1</v>
      </c>
      <c r="R198" t="b">
        <v>0</v>
      </c>
      <c r="S198" t="s">
        <v>1001</v>
      </c>
      <c r="T198" t="s">
        <v>1454</v>
      </c>
      <c r="U198" t="s">
        <v>1455</v>
      </c>
      <c r="V198" t="s">
        <v>1456</v>
      </c>
      <c r="W198" t="s">
        <v>1457</v>
      </c>
      <c r="X198" t="s">
        <v>1458</v>
      </c>
    </row>
    <row r="199" spans="1:24" x14ac:dyDescent="0.25">
      <c r="A199" t="s">
        <v>42</v>
      </c>
      <c r="B199" t="s">
        <v>1465</v>
      </c>
      <c r="C199" t="s">
        <v>331</v>
      </c>
      <c r="D199" t="s">
        <v>323</v>
      </c>
      <c r="E199" t="s">
        <v>1011</v>
      </c>
      <c r="F199">
        <v>4080</v>
      </c>
      <c r="G199" t="s">
        <v>1451</v>
      </c>
      <c r="H199" t="s">
        <v>1466</v>
      </c>
      <c r="I199" t="s">
        <v>1453</v>
      </c>
      <c r="J199" t="s">
        <v>1422</v>
      </c>
      <c r="K199" t="s">
        <v>1070</v>
      </c>
      <c r="L199" t="s">
        <v>1071</v>
      </c>
      <c r="M199" t="s">
        <v>1034</v>
      </c>
      <c r="N199" t="s">
        <v>1072</v>
      </c>
      <c r="O199" t="s">
        <v>446</v>
      </c>
      <c r="P199" t="s">
        <v>1074</v>
      </c>
      <c r="Q199" t="b">
        <v>1</v>
      </c>
      <c r="R199" t="b">
        <v>0</v>
      </c>
      <c r="S199" t="s">
        <v>1001</v>
      </c>
      <c r="T199" t="s">
        <v>1454</v>
      </c>
      <c r="U199" t="s">
        <v>1455</v>
      </c>
      <c r="V199" t="s">
        <v>1456</v>
      </c>
      <c r="W199" t="s">
        <v>1457</v>
      </c>
      <c r="X199" t="s">
        <v>1458</v>
      </c>
    </row>
    <row r="200" spans="1:24" x14ac:dyDescent="0.25">
      <c r="A200" t="s">
        <v>42</v>
      </c>
      <c r="B200" t="s">
        <v>1467</v>
      </c>
      <c r="C200" t="s">
        <v>331</v>
      </c>
      <c r="D200" t="s">
        <v>323</v>
      </c>
      <c r="E200" t="s">
        <v>1013</v>
      </c>
      <c r="F200">
        <v>7066</v>
      </c>
      <c r="G200" t="s">
        <v>1451</v>
      </c>
      <c r="H200" t="s">
        <v>1468</v>
      </c>
      <c r="I200" t="s">
        <v>1453</v>
      </c>
      <c r="J200" t="s">
        <v>1422</v>
      </c>
      <c r="K200" t="s">
        <v>1077</v>
      </c>
      <c r="L200" t="s">
        <v>1078</v>
      </c>
      <c r="M200" t="s">
        <v>1034</v>
      </c>
      <c r="N200" t="s">
        <v>1079</v>
      </c>
      <c r="O200" t="s">
        <v>446</v>
      </c>
      <c r="P200" t="s">
        <v>1081</v>
      </c>
      <c r="Q200" t="b">
        <v>1</v>
      </c>
      <c r="R200" t="b">
        <v>0</v>
      </c>
      <c r="S200" t="s">
        <v>1001</v>
      </c>
      <c r="T200" t="s">
        <v>1454</v>
      </c>
      <c r="U200" t="s">
        <v>1455</v>
      </c>
      <c r="V200" t="s">
        <v>1456</v>
      </c>
      <c r="W200" t="s">
        <v>1457</v>
      </c>
      <c r="X200" t="s">
        <v>1458</v>
      </c>
    </row>
    <row r="201" spans="1:24" x14ac:dyDescent="0.25">
      <c r="A201" t="s">
        <v>42</v>
      </c>
      <c r="B201" t="s">
        <v>1469</v>
      </c>
      <c r="C201" t="s">
        <v>331</v>
      </c>
      <c r="D201" t="s">
        <v>323</v>
      </c>
      <c r="E201" t="s">
        <v>1015</v>
      </c>
      <c r="F201">
        <v>8309</v>
      </c>
      <c r="G201" t="s">
        <v>1451</v>
      </c>
      <c r="H201" t="s">
        <v>1470</v>
      </c>
      <c r="I201" t="s">
        <v>1453</v>
      </c>
      <c r="J201" t="s">
        <v>1422</v>
      </c>
      <c r="K201" t="s">
        <v>1084</v>
      </c>
      <c r="L201" t="s">
        <v>1085</v>
      </c>
      <c r="M201" t="s">
        <v>1034</v>
      </c>
      <c r="N201" t="s">
        <v>1086</v>
      </c>
      <c r="O201" t="s">
        <v>446</v>
      </c>
      <c r="P201" t="s">
        <v>1088</v>
      </c>
      <c r="Q201" t="b">
        <v>1</v>
      </c>
      <c r="R201" t="b">
        <v>0</v>
      </c>
      <c r="S201" t="s">
        <v>1001</v>
      </c>
      <c r="T201" t="s">
        <v>1454</v>
      </c>
      <c r="U201" t="s">
        <v>1455</v>
      </c>
      <c r="V201" t="s">
        <v>1456</v>
      </c>
      <c r="W201" t="s">
        <v>1457</v>
      </c>
      <c r="X201" t="s">
        <v>1458</v>
      </c>
    </row>
    <row r="202" spans="1:24" x14ac:dyDescent="0.25">
      <c r="A202" t="s">
        <v>42</v>
      </c>
      <c r="B202" t="s">
        <v>1471</v>
      </c>
      <c r="C202" t="s">
        <v>331</v>
      </c>
      <c r="D202" t="s">
        <v>323</v>
      </c>
      <c r="E202" t="s">
        <v>1017</v>
      </c>
      <c r="F202">
        <v>9999</v>
      </c>
      <c r="G202" t="s">
        <v>1451</v>
      </c>
      <c r="H202" t="s">
        <v>1472</v>
      </c>
      <c r="I202" t="s">
        <v>1453</v>
      </c>
      <c r="J202" t="s">
        <v>1422</v>
      </c>
      <c r="K202" t="s">
        <v>1091</v>
      </c>
      <c r="L202" t="s">
        <v>1092</v>
      </c>
      <c r="M202" t="s">
        <v>1062</v>
      </c>
      <c r="N202" t="s">
        <v>1093</v>
      </c>
      <c r="O202" t="s">
        <v>446</v>
      </c>
      <c r="P202" t="s">
        <v>1094</v>
      </c>
      <c r="Q202" t="b">
        <v>1</v>
      </c>
      <c r="R202" t="b">
        <v>0</v>
      </c>
      <c r="S202" t="s">
        <v>1001</v>
      </c>
      <c r="T202" t="s">
        <v>1454</v>
      </c>
      <c r="U202" t="s">
        <v>1455</v>
      </c>
      <c r="V202" t="s">
        <v>1456</v>
      </c>
      <c r="W202" t="s">
        <v>1457</v>
      </c>
      <c r="X202" t="s">
        <v>1458</v>
      </c>
    </row>
    <row r="203" spans="1:24" x14ac:dyDescent="0.25">
      <c r="A203" t="s">
        <v>42</v>
      </c>
      <c r="B203" t="s">
        <v>1473</v>
      </c>
      <c r="C203" t="s">
        <v>331</v>
      </c>
      <c r="D203" t="s">
        <v>323</v>
      </c>
      <c r="E203" t="s">
        <v>1019</v>
      </c>
      <c r="F203">
        <v>12365</v>
      </c>
      <c r="G203" t="s">
        <v>1451</v>
      </c>
      <c r="H203" t="s">
        <v>1474</v>
      </c>
      <c r="I203" t="s">
        <v>1453</v>
      </c>
      <c r="J203" t="s">
        <v>1422</v>
      </c>
      <c r="K203" t="s">
        <v>1097</v>
      </c>
      <c r="L203" t="s">
        <v>1098</v>
      </c>
      <c r="M203" t="s">
        <v>1034</v>
      </c>
      <c r="N203" t="s">
        <v>1099</v>
      </c>
      <c r="O203" t="s">
        <v>446</v>
      </c>
      <c r="P203" t="s">
        <v>1101</v>
      </c>
      <c r="Q203" t="b">
        <v>1</v>
      </c>
      <c r="R203" t="b">
        <v>0</v>
      </c>
      <c r="S203" t="s">
        <v>1001</v>
      </c>
      <c r="T203" t="s">
        <v>1454</v>
      </c>
      <c r="U203" t="s">
        <v>1455</v>
      </c>
      <c r="V203" t="s">
        <v>1456</v>
      </c>
      <c r="W203" t="s">
        <v>1457</v>
      </c>
      <c r="X203" t="s">
        <v>1458</v>
      </c>
    </row>
    <row r="204" spans="1:24" x14ac:dyDescent="0.25">
      <c r="A204" t="s">
        <v>42</v>
      </c>
      <c r="B204" t="s">
        <v>1475</v>
      </c>
      <c r="C204" t="s">
        <v>331</v>
      </c>
      <c r="D204" t="s">
        <v>323</v>
      </c>
      <c r="E204" t="s">
        <v>1021</v>
      </c>
      <c r="F204">
        <v>14132</v>
      </c>
      <c r="G204" t="s">
        <v>1451</v>
      </c>
      <c r="H204" t="s">
        <v>1476</v>
      </c>
      <c r="I204" t="s">
        <v>1453</v>
      </c>
      <c r="J204" t="s">
        <v>1422</v>
      </c>
      <c r="K204" t="s">
        <v>1105</v>
      </c>
      <c r="L204" t="s">
        <v>1106</v>
      </c>
      <c r="M204" t="s">
        <v>1034</v>
      </c>
      <c r="N204" t="s">
        <v>1107</v>
      </c>
      <c r="O204" t="s">
        <v>446</v>
      </c>
      <c r="P204" t="s">
        <v>1109</v>
      </c>
      <c r="Q204" t="b">
        <v>1</v>
      </c>
      <c r="R204" t="b">
        <v>0</v>
      </c>
      <c r="S204" t="s">
        <v>1001</v>
      </c>
      <c r="T204" t="s">
        <v>1454</v>
      </c>
      <c r="U204" t="s">
        <v>1455</v>
      </c>
      <c r="V204" t="s">
        <v>1456</v>
      </c>
      <c r="W204" t="s">
        <v>1457</v>
      </c>
      <c r="X204" t="s">
        <v>1458</v>
      </c>
    </row>
    <row r="205" spans="1:24" x14ac:dyDescent="0.25">
      <c r="A205" t="s">
        <v>42</v>
      </c>
      <c r="B205" t="s">
        <v>1477</v>
      </c>
      <c r="C205" t="s">
        <v>331</v>
      </c>
      <c r="D205" t="s">
        <v>323</v>
      </c>
      <c r="E205" t="s">
        <v>1023</v>
      </c>
      <c r="F205">
        <v>17693</v>
      </c>
      <c r="G205" t="s">
        <v>1451</v>
      </c>
      <c r="H205" t="s">
        <v>1478</v>
      </c>
      <c r="I205" t="s">
        <v>1453</v>
      </c>
      <c r="J205" t="s">
        <v>1422</v>
      </c>
      <c r="K205" t="s">
        <v>1112</v>
      </c>
      <c r="L205" t="s">
        <v>1113</v>
      </c>
      <c r="M205" t="s">
        <v>1034</v>
      </c>
      <c r="N205" t="s">
        <v>1114</v>
      </c>
      <c r="O205" t="s">
        <v>446</v>
      </c>
      <c r="P205" t="s">
        <v>1116</v>
      </c>
      <c r="Q205" t="b">
        <v>1</v>
      </c>
      <c r="R205" t="b">
        <v>0</v>
      </c>
      <c r="S205" t="s">
        <v>1001</v>
      </c>
      <c r="T205" t="s">
        <v>1454</v>
      </c>
      <c r="U205" t="s">
        <v>1455</v>
      </c>
      <c r="V205" t="s">
        <v>1456</v>
      </c>
      <c r="W205" t="s">
        <v>1457</v>
      </c>
      <c r="X205" t="s">
        <v>1458</v>
      </c>
    </row>
    <row r="206" spans="1:24" x14ac:dyDescent="0.25">
      <c r="A206" t="s">
        <v>42</v>
      </c>
      <c r="B206" t="s">
        <v>1479</v>
      </c>
      <c r="C206" t="s">
        <v>331</v>
      </c>
      <c r="D206" t="s">
        <v>323</v>
      </c>
      <c r="E206" t="s">
        <v>1025</v>
      </c>
      <c r="F206">
        <v>23065</v>
      </c>
      <c r="G206" t="s">
        <v>1451</v>
      </c>
      <c r="H206" t="s">
        <v>1480</v>
      </c>
      <c r="I206" t="s">
        <v>1453</v>
      </c>
      <c r="J206" t="s">
        <v>1422</v>
      </c>
      <c r="K206" t="s">
        <v>1119</v>
      </c>
      <c r="L206" t="s">
        <v>1120</v>
      </c>
      <c r="M206" t="s">
        <v>1062</v>
      </c>
      <c r="N206" t="s">
        <v>1121</v>
      </c>
      <c r="O206" t="s">
        <v>446</v>
      </c>
      <c r="P206" t="s">
        <v>1122</v>
      </c>
      <c r="Q206" t="b">
        <v>1</v>
      </c>
      <c r="R206" t="b">
        <v>0</v>
      </c>
      <c r="S206" t="s">
        <v>1001</v>
      </c>
      <c r="T206" t="s">
        <v>1454</v>
      </c>
      <c r="U206" t="s">
        <v>1455</v>
      </c>
      <c r="V206" t="s">
        <v>1456</v>
      </c>
      <c r="W206" t="s">
        <v>1457</v>
      </c>
      <c r="X206" t="s">
        <v>1458</v>
      </c>
    </row>
    <row r="207" spans="1:24" x14ac:dyDescent="0.25">
      <c r="A207" t="s">
        <v>42</v>
      </c>
      <c r="B207" t="s">
        <v>1481</v>
      </c>
      <c r="C207" t="s">
        <v>331</v>
      </c>
      <c r="D207" t="s">
        <v>323</v>
      </c>
      <c r="E207" t="s">
        <v>1027</v>
      </c>
      <c r="F207">
        <v>22132</v>
      </c>
      <c r="G207" t="s">
        <v>1451</v>
      </c>
      <c r="H207" t="s">
        <v>1482</v>
      </c>
      <c r="I207" t="s">
        <v>1453</v>
      </c>
      <c r="J207" t="s">
        <v>1422</v>
      </c>
      <c r="K207" t="s">
        <v>1125</v>
      </c>
      <c r="L207" t="s">
        <v>1126</v>
      </c>
      <c r="M207" t="s">
        <v>1034</v>
      </c>
      <c r="N207" t="s">
        <v>1127</v>
      </c>
      <c r="O207" t="s">
        <v>446</v>
      </c>
      <c r="P207" t="s">
        <v>1129</v>
      </c>
      <c r="Q207" t="b">
        <v>1</v>
      </c>
      <c r="R207" t="b">
        <v>0</v>
      </c>
      <c r="S207" t="s">
        <v>1001</v>
      </c>
      <c r="T207" t="s">
        <v>1454</v>
      </c>
      <c r="U207" t="s">
        <v>1455</v>
      </c>
      <c r="V207" t="s">
        <v>1456</v>
      </c>
      <c r="W207" t="s">
        <v>1457</v>
      </c>
      <c r="X207" t="s">
        <v>1458</v>
      </c>
    </row>
    <row r="208" spans="1:24" x14ac:dyDescent="0.25">
      <c r="A208" t="s">
        <v>42</v>
      </c>
      <c r="B208" t="s">
        <v>1483</v>
      </c>
      <c r="C208" t="s">
        <v>331</v>
      </c>
      <c r="D208" t="s">
        <v>323</v>
      </c>
      <c r="E208" t="s">
        <v>1131</v>
      </c>
      <c r="F208">
        <v>27808</v>
      </c>
      <c r="G208" t="s">
        <v>1451</v>
      </c>
      <c r="H208" t="s">
        <v>1484</v>
      </c>
      <c r="I208" t="s">
        <v>1453</v>
      </c>
      <c r="J208" t="s">
        <v>1422</v>
      </c>
      <c r="K208" t="s">
        <v>1133</v>
      </c>
      <c r="L208" t="s">
        <v>1134</v>
      </c>
      <c r="M208" t="s">
        <v>1034</v>
      </c>
      <c r="N208" t="s">
        <v>1135</v>
      </c>
      <c r="O208" t="s">
        <v>446</v>
      </c>
      <c r="P208" t="s">
        <v>1137</v>
      </c>
      <c r="Q208" t="b">
        <v>1</v>
      </c>
      <c r="R208" t="b">
        <v>0</v>
      </c>
      <c r="S208" t="s">
        <v>1001</v>
      </c>
      <c r="T208" t="s">
        <v>1454</v>
      </c>
      <c r="U208" t="s">
        <v>1455</v>
      </c>
      <c r="V208" t="s">
        <v>1456</v>
      </c>
      <c r="W208" t="s">
        <v>1457</v>
      </c>
      <c r="X208" t="s">
        <v>1458</v>
      </c>
    </row>
    <row r="209" spans="1:24" x14ac:dyDescent="0.25">
      <c r="A209" t="s">
        <v>42</v>
      </c>
      <c r="B209" t="s">
        <v>1485</v>
      </c>
      <c r="C209" t="s">
        <v>332</v>
      </c>
      <c r="D209" t="s">
        <v>323</v>
      </c>
      <c r="E209" t="s">
        <v>998</v>
      </c>
      <c r="F209">
        <v>3163</v>
      </c>
      <c r="G209" t="s">
        <v>1029</v>
      </c>
      <c r="H209" t="s">
        <v>1486</v>
      </c>
      <c r="I209" t="s">
        <v>1487</v>
      </c>
      <c r="J209" t="s">
        <v>1422</v>
      </c>
      <c r="K209" t="s">
        <v>1032</v>
      </c>
      <c r="L209" t="s">
        <v>1033</v>
      </c>
      <c r="M209" t="s">
        <v>1034</v>
      </c>
      <c r="N209" t="s">
        <v>1035</v>
      </c>
      <c r="O209" t="s">
        <v>446</v>
      </c>
      <c r="P209" t="s">
        <v>1037</v>
      </c>
      <c r="Q209" t="b">
        <v>1</v>
      </c>
      <c r="R209" t="b">
        <v>0</v>
      </c>
      <c r="S209" t="s">
        <v>1038</v>
      </c>
      <c r="T209" t="s">
        <v>446</v>
      </c>
      <c r="U209" t="s">
        <v>1039</v>
      </c>
      <c r="V209" t="s">
        <v>1002</v>
      </c>
      <c r="W209" t="s">
        <v>1040</v>
      </c>
      <c r="X209" t="s">
        <v>1488</v>
      </c>
    </row>
    <row r="210" spans="1:24" x14ac:dyDescent="0.25">
      <c r="A210" t="s">
        <v>42</v>
      </c>
      <c r="B210" t="s">
        <v>1489</v>
      </c>
      <c r="C210" t="s">
        <v>332</v>
      </c>
      <c r="D210" t="s">
        <v>323</v>
      </c>
      <c r="E210" t="s">
        <v>1005</v>
      </c>
      <c r="F210">
        <v>3889</v>
      </c>
      <c r="G210" t="s">
        <v>1029</v>
      </c>
      <c r="H210" t="s">
        <v>1490</v>
      </c>
      <c r="I210" t="s">
        <v>1487</v>
      </c>
      <c r="J210" t="s">
        <v>1422</v>
      </c>
      <c r="K210" t="s">
        <v>1044</v>
      </c>
      <c r="L210" t="s">
        <v>1045</v>
      </c>
      <c r="M210" t="s">
        <v>1034</v>
      </c>
      <c r="N210" t="s">
        <v>1046</v>
      </c>
      <c r="O210" t="s">
        <v>446</v>
      </c>
      <c r="P210" t="s">
        <v>1048</v>
      </c>
      <c r="Q210" t="b">
        <v>1</v>
      </c>
      <c r="R210" t="b">
        <v>0</v>
      </c>
      <c r="S210" t="s">
        <v>1038</v>
      </c>
      <c r="T210" t="s">
        <v>446</v>
      </c>
      <c r="U210" t="s">
        <v>1039</v>
      </c>
      <c r="V210" t="s">
        <v>1002</v>
      </c>
      <c r="W210" t="s">
        <v>1040</v>
      </c>
      <c r="X210" t="s">
        <v>1488</v>
      </c>
    </row>
    <row r="211" spans="1:24" x14ac:dyDescent="0.25">
      <c r="A211" t="s">
        <v>42</v>
      </c>
      <c r="B211" t="s">
        <v>1491</v>
      </c>
      <c r="C211" t="s">
        <v>332</v>
      </c>
      <c r="D211" t="s">
        <v>323</v>
      </c>
      <c r="E211" t="s">
        <v>1007</v>
      </c>
      <c r="F211">
        <v>4454</v>
      </c>
      <c r="G211" t="s">
        <v>1029</v>
      </c>
      <c r="H211" t="s">
        <v>1492</v>
      </c>
      <c r="I211" t="s">
        <v>1487</v>
      </c>
      <c r="J211" t="s">
        <v>1422</v>
      </c>
      <c r="K211" t="s">
        <v>1051</v>
      </c>
      <c r="L211" t="s">
        <v>1052</v>
      </c>
      <c r="M211" t="s">
        <v>1034</v>
      </c>
      <c r="N211" t="s">
        <v>1053</v>
      </c>
      <c r="O211" t="s">
        <v>446</v>
      </c>
      <c r="P211" t="s">
        <v>1055</v>
      </c>
      <c r="Q211" t="b">
        <v>1</v>
      </c>
      <c r="R211" t="b">
        <v>0</v>
      </c>
      <c r="S211" t="s">
        <v>1038</v>
      </c>
      <c r="T211" t="s">
        <v>446</v>
      </c>
      <c r="U211" t="s">
        <v>1039</v>
      </c>
      <c r="V211" t="s">
        <v>1002</v>
      </c>
      <c r="W211" t="s">
        <v>1040</v>
      </c>
      <c r="X211" t="s">
        <v>1488</v>
      </c>
    </row>
    <row r="212" spans="1:24" x14ac:dyDescent="0.25">
      <c r="A212" t="s">
        <v>42</v>
      </c>
      <c r="B212" t="s">
        <v>1493</v>
      </c>
      <c r="C212" t="s">
        <v>332</v>
      </c>
      <c r="D212" t="s">
        <v>323</v>
      </c>
      <c r="E212" t="s">
        <v>1009</v>
      </c>
      <c r="F212">
        <v>5159</v>
      </c>
      <c r="G212" t="s">
        <v>1029</v>
      </c>
      <c r="H212" t="s">
        <v>1494</v>
      </c>
      <c r="I212" t="s">
        <v>1487</v>
      </c>
      <c r="J212" t="s">
        <v>1422</v>
      </c>
      <c r="K212" t="s">
        <v>1060</v>
      </c>
      <c r="L212" t="s">
        <v>1061</v>
      </c>
      <c r="M212" t="s">
        <v>1062</v>
      </c>
      <c r="N212" t="s">
        <v>1063</v>
      </c>
      <c r="O212" t="s">
        <v>446</v>
      </c>
      <c r="P212" t="s">
        <v>1064</v>
      </c>
      <c r="Q212" t="b">
        <v>1</v>
      </c>
      <c r="R212" t="b">
        <v>0</v>
      </c>
      <c r="S212" t="s">
        <v>1038</v>
      </c>
      <c r="T212" t="s">
        <v>446</v>
      </c>
      <c r="U212" t="s">
        <v>1039</v>
      </c>
      <c r="V212" t="s">
        <v>1002</v>
      </c>
      <c r="W212" t="s">
        <v>1040</v>
      </c>
      <c r="X212" t="s">
        <v>1488</v>
      </c>
    </row>
    <row r="213" spans="1:24" x14ac:dyDescent="0.25">
      <c r="A213" t="s">
        <v>42</v>
      </c>
      <c r="B213" t="s">
        <v>1495</v>
      </c>
      <c r="C213" t="s">
        <v>332</v>
      </c>
      <c r="D213" t="s">
        <v>323</v>
      </c>
      <c r="E213" t="s">
        <v>1011</v>
      </c>
      <c r="F213">
        <v>4611</v>
      </c>
      <c r="G213" t="s">
        <v>1029</v>
      </c>
      <c r="H213" t="s">
        <v>1496</v>
      </c>
      <c r="I213" t="s">
        <v>1487</v>
      </c>
      <c r="J213" t="s">
        <v>1422</v>
      </c>
      <c r="K213" t="s">
        <v>1070</v>
      </c>
      <c r="L213" t="s">
        <v>1071</v>
      </c>
      <c r="M213" t="s">
        <v>1034</v>
      </c>
      <c r="N213" t="s">
        <v>1072</v>
      </c>
      <c r="O213" t="s">
        <v>446</v>
      </c>
      <c r="P213" t="s">
        <v>1074</v>
      </c>
      <c r="Q213" t="b">
        <v>1</v>
      </c>
      <c r="R213" t="b">
        <v>0</v>
      </c>
      <c r="S213" t="s">
        <v>1038</v>
      </c>
      <c r="T213" t="s">
        <v>446</v>
      </c>
      <c r="U213" t="s">
        <v>1039</v>
      </c>
      <c r="V213" t="s">
        <v>1002</v>
      </c>
      <c r="W213" t="s">
        <v>1040</v>
      </c>
      <c r="X213" t="s">
        <v>1488</v>
      </c>
    </row>
    <row r="214" spans="1:24" x14ac:dyDescent="0.25">
      <c r="A214" t="s">
        <v>42</v>
      </c>
      <c r="B214" t="s">
        <v>1497</v>
      </c>
      <c r="C214" t="s">
        <v>332</v>
      </c>
      <c r="D214" t="s">
        <v>323</v>
      </c>
      <c r="E214" t="s">
        <v>1013</v>
      </c>
      <c r="F214">
        <v>4319</v>
      </c>
      <c r="G214" t="s">
        <v>1029</v>
      </c>
      <c r="H214" t="s">
        <v>1498</v>
      </c>
      <c r="I214" t="s">
        <v>1487</v>
      </c>
      <c r="J214" t="s">
        <v>1422</v>
      </c>
      <c r="K214" t="s">
        <v>1077</v>
      </c>
      <c r="L214" t="s">
        <v>1078</v>
      </c>
      <c r="M214" t="s">
        <v>1034</v>
      </c>
      <c r="N214" t="s">
        <v>1079</v>
      </c>
      <c r="O214" t="s">
        <v>446</v>
      </c>
      <c r="P214" t="s">
        <v>1081</v>
      </c>
      <c r="Q214" t="b">
        <v>1</v>
      </c>
      <c r="R214" t="b">
        <v>0</v>
      </c>
      <c r="S214" t="s">
        <v>1038</v>
      </c>
      <c r="T214" t="s">
        <v>446</v>
      </c>
      <c r="U214" t="s">
        <v>1039</v>
      </c>
      <c r="V214" t="s">
        <v>1002</v>
      </c>
      <c r="W214" t="s">
        <v>1040</v>
      </c>
      <c r="X214" t="s">
        <v>1488</v>
      </c>
    </row>
    <row r="215" spans="1:24" x14ac:dyDescent="0.25">
      <c r="A215" t="s">
        <v>42</v>
      </c>
      <c r="B215" t="s">
        <v>1499</v>
      </c>
      <c r="C215" t="s">
        <v>332</v>
      </c>
      <c r="D215" t="s">
        <v>323</v>
      </c>
      <c r="E215" t="s">
        <v>1015</v>
      </c>
      <c r="F215">
        <v>4779</v>
      </c>
      <c r="G215" t="s">
        <v>1029</v>
      </c>
      <c r="H215" t="s">
        <v>1500</v>
      </c>
      <c r="I215" t="s">
        <v>1487</v>
      </c>
      <c r="J215" t="s">
        <v>1422</v>
      </c>
      <c r="K215" t="s">
        <v>1084</v>
      </c>
      <c r="L215" t="s">
        <v>1085</v>
      </c>
      <c r="M215" t="s">
        <v>1034</v>
      </c>
      <c r="N215" t="s">
        <v>1086</v>
      </c>
      <c r="O215" t="s">
        <v>446</v>
      </c>
      <c r="P215" t="s">
        <v>1088</v>
      </c>
      <c r="Q215" t="b">
        <v>1</v>
      </c>
      <c r="R215" t="b">
        <v>0</v>
      </c>
      <c r="S215" t="s">
        <v>1038</v>
      </c>
      <c r="T215" t="s">
        <v>446</v>
      </c>
      <c r="U215" t="s">
        <v>1039</v>
      </c>
      <c r="V215" t="s">
        <v>1002</v>
      </c>
      <c r="W215" t="s">
        <v>1040</v>
      </c>
      <c r="X215" t="s">
        <v>1488</v>
      </c>
    </row>
    <row r="216" spans="1:24" x14ac:dyDescent="0.25">
      <c r="A216" t="s">
        <v>42</v>
      </c>
      <c r="B216" t="s">
        <v>1501</v>
      </c>
      <c r="C216" t="s">
        <v>332</v>
      </c>
      <c r="D216" t="s">
        <v>323</v>
      </c>
      <c r="E216" t="s">
        <v>1017</v>
      </c>
      <c r="F216">
        <v>5282</v>
      </c>
      <c r="G216" t="s">
        <v>1029</v>
      </c>
      <c r="H216" t="s">
        <v>1502</v>
      </c>
      <c r="I216" t="s">
        <v>1487</v>
      </c>
      <c r="J216" t="s">
        <v>1422</v>
      </c>
      <c r="K216" t="s">
        <v>1091</v>
      </c>
      <c r="L216" t="s">
        <v>1092</v>
      </c>
      <c r="M216" t="s">
        <v>1062</v>
      </c>
      <c r="N216" t="s">
        <v>1093</v>
      </c>
      <c r="O216" t="s">
        <v>446</v>
      </c>
      <c r="P216" t="s">
        <v>1094</v>
      </c>
      <c r="Q216" t="b">
        <v>1</v>
      </c>
      <c r="R216" t="b">
        <v>0</v>
      </c>
      <c r="S216" t="s">
        <v>1038</v>
      </c>
      <c r="T216" t="s">
        <v>446</v>
      </c>
      <c r="U216" t="s">
        <v>1039</v>
      </c>
      <c r="V216" t="s">
        <v>1002</v>
      </c>
      <c r="W216" t="s">
        <v>1040</v>
      </c>
      <c r="X216" t="s">
        <v>1488</v>
      </c>
    </row>
    <row r="217" spans="1:24" x14ac:dyDescent="0.25">
      <c r="A217" t="s">
        <v>42</v>
      </c>
      <c r="B217" t="s">
        <v>1503</v>
      </c>
      <c r="C217" t="s">
        <v>332</v>
      </c>
      <c r="D217" t="s">
        <v>323</v>
      </c>
      <c r="E217" t="s">
        <v>1019</v>
      </c>
      <c r="F217">
        <v>5864</v>
      </c>
      <c r="G217" t="s">
        <v>1029</v>
      </c>
      <c r="H217" t="s">
        <v>1504</v>
      </c>
      <c r="I217" t="s">
        <v>1487</v>
      </c>
      <c r="J217" t="s">
        <v>1422</v>
      </c>
      <c r="K217" t="s">
        <v>1097</v>
      </c>
      <c r="L217" t="s">
        <v>1098</v>
      </c>
      <c r="M217" t="s">
        <v>1034</v>
      </c>
      <c r="N217" t="s">
        <v>1099</v>
      </c>
      <c r="O217" t="s">
        <v>446</v>
      </c>
      <c r="P217" t="s">
        <v>1101</v>
      </c>
      <c r="Q217" t="b">
        <v>1</v>
      </c>
      <c r="R217" t="b">
        <v>0</v>
      </c>
      <c r="S217" t="s">
        <v>1038</v>
      </c>
      <c r="T217" t="s">
        <v>446</v>
      </c>
      <c r="U217" t="s">
        <v>1039</v>
      </c>
      <c r="V217" t="s">
        <v>1002</v>
      </c>
      <c r="W217" t="s">
        <v>1040</v>
      </c>
      <c r="X217" t="s">
        <v>1488</v>
      </c>
    </row>
    <row r="218" spans="1:24" x14ac:dyDescent="0.25">
      <c r="A218" t="s">
        <v>42</v>
      </c>
      <c r="B218" t="s">
        <v>1505</v>
      </c>
      <c r="C218" t="s">
        <v>332</v>
      </c>
      <c r="D218" t="s">
        <v>323</v>
      </c>
      <c r="E218" t="s">
        <v>1021</v>
      </c>
      <c r="F218">
        <v>6675</v>
      </c>
      <c r="G218" t="s">
        <v>1029</v>
      </c>
      <c r="H218" t="s">
        <v>1506</v>
      </c>
      <c r="I218" t="s">
        <v>1487</v>
      </c>
      <c r="J218" t="s">
        <v>1422</v>
      </c>
      <c r="K218" t="s">
        <v>1105</v>
      </c>
      <c r="L218" t="s">
        <v>1106</v>
      </c>
      <c r="M218" t="s">
        <v>1034</v>
      </c>
      <c r="N218" t="s">
        <v>1107</v>
      </c>
      <c r="O218" t="s">
        <v>446</v>
      </c>
      <c r="P218" t="s">
        <v>1109</v>
      </c>
      <c r="Q218" t="b">
        <v>1</v>
      </c>
      <c r="R218" t="b">
        <v>0</v>
      </c>
      <c r="S218" t="s">
        <v>1038</v>
      </c>
      <c r="T218" t="s">
        <v>446</v>
      </c>
      <c r="U218" t="s">
        <v>1039</v>
      </c>
      <c r="V218" t="s">
        <v>1002</v>
      </c>
      <c r="W218" t="s">
        <v>1040</v>
      </c>
      <c r="X218" t="s">
        <v>1488</v>
      </c>
    </row>
    <row r="219" spans="1:24" x14ac:dyDescent="0.25">
      <c r="A219" t="s">
        <v>42</v>
      </c>
      <c r="B219" t="s">
        <v>1507</v>
      </c>
      <c r="C219" t="s">
        <v>332</v>
      </c>
      <c r="D219" t="s">
        <v>323</v>
      </c>
      <c r="E219" t="s">
        <v>1023</v>
      </c>
      <c r="F219">
        <v>7654</v>
      </c>
      <c r="G219" t="s">
        <v>1029</v>
      </c>
      <c r="H219" t="s">
        <v>1508</v>
      </c>
      <c r="I219" t="s">
        <v>1487</v>
      </c>
      <c r="J219" t="s">
        <v>1422</v>
      </c>
      <c r="K219" t="s">
        <v>1112</v>
      </c>
      <c r="L219" t="s">
        <v>1113</v>
      </c>
      <c r="M219" t="s">
        <v>1034</v>
      </c>
      <c r="N219" t="s">
        <v>1114</v>
      </c>
      <c r="O219" t="s">
        <v>446</v>
      </c>
      <c r="P219" t="s">
        <v>1116</v>
      </c>
      <c r="Q219" t="b">
        <v>1</v>
      </c>
      <c r="R219" t="b">
        <v>0</v>
      </c>
      <c r="S219" t="s">
        <v>1038</v>
      </c>
      <c r="T219" t="s">
        <v>446</v>
      </c>
      <c r="U219" t="s">
        <v>1039</v>
      </c>
      <c r="V219" t="s">
        <v>1002</v>
      </c>
      <c r="W219" t="s">
        <v>1040</v>
      </c>
      <c r="X219" t="s">
        <v>1488</v>
      </c>
    </row>
    <row r="220" spans="1:24" x14ac:dyDescent="0.25">
      <c r="A220" t="s">
        <v>42</v>
      </c>
      <c r="B220" t="s">
        <v>1509</v>
      </c>
      <c r="C220" t="s">
        <v>332</v>
      </c>
      <c r="D220" t="s">
        <v>323</v>
      </c>
      <c r="E220" t="s">
        <v>1025</v>
      </c>
      <c r="F220">
        <v>10080</v>
      </c>
      <c r="G220" t="s">
        <v>1029</v>
      </c>
      <c r="H220" t="s">
        <v>1510</v>
      </c>
      <c r="I220" t="s">
        <v>1487</v>
      </c>
      <c r="J220" t="s">
        <v>1422</v>
      </c>
      <c r="K220" t="s">
        <v>1119</v>
      </c>
      <c r="L220" t="s">
        <v>1120</v>
      </c>
      <c r="M220" t="s">
        <v>1062</v>
      </c>
      <c r="N220" t="s">
        <v>1121</v>
      </c>
      <c r="O220" t="s">
        <v>446</v>
      </c>
      <c r="P220" t="s">
        <v>1122</v>
      </c>
      <c r="Q220" t="b">
        <v>1</v>
      </c>
      <c r="R220" t="b">
        <v>0</v>
      </c>
      <c r="S220" t="s">
        <v>1038</v>
      </c>
      <c r="T220" t="s">
        <v>446</v>
      </c>
      <c r="U220" t="s">
        <v>1039</v>
      </c>
      <c r="V220" t="s">
        <v>1002</v>
      </c>
      <c r="W220" t="s">
        <v>1040</v>
      </c>
      <c r="X220" t="s">
        <v>1488</v>
      </c>
    </row>
    <row r="221" spans="1:24" x14ac:dyDescent="0.25">
      <c r="A221" t="s">
        <v>42</v>
      </c>
      <c r="B221" t="s">
        <v>1511</v>
      </c>
      <c r="C221" t="s">
        <v>332</v>
      </c>
      <c r="D221" t="s">
        <v>323</v>
      </c>
      <c r="E221" t="s">
        <v>1027</v>
      </c>
      <c r="F221">
        <v>11333</v>
      </c>
      <c r="G221" t="s">
        <v>1029</v>
      </c>
      <c r="H221" t="s">
        <v>1512</v>
      </c>
      <c r="I221" t="s">
        <v>1487</v>
      </c>
      <c r="J221" t="s">
        <v>1422</v>
      </c>
      <c r="K221" t="s">
        <v>1125</v>
      </c>
      <c r="L221" t="s">
        <v>1126</v>
      </c>
      <c r="M221" t="s">
        <v>1034</v>
      </c>
      <c r="N221" t="s">
        <v>1127</v>
      </c>
      <c r="O221" t="s">
        <v>446</v>
      </c>
      <c r="P221" t="s">
        <v>1129</v>
      </c>
      <c r="Q221" t="b">
        <v>1</v>
      </c>
      <c r="R221" t="b">
        <v>0</v>
      </c>
      <c r="S221" t="s">
        <v>1038</v>
      </c>
      <c r="T221" t="s">
        <v>446</v>
      </c>
      <c r="U221" t="s">
        <v>1039</v>
      </c>
      <c r="V221" t="s">
        <v>1002</v>
      </c>
      <c r="W221" t="s">
        <v>1040</v>
      </c>
      <c r="X221" t="s">
        <v>1488</v>
      </c>
    </row>
    <row r="222" spans="1:24" x14ac:dyDescent="0.25">
      <c r="A222" t="s">
        <v>42</v>
      </c>
      <c r="B222" t="s">
        <v>1513</v>
      </c>
      <c r="C222" t="s">
        <v>332</v>
      </c>
      <c r="D222" t="s">
        <v>323</v>
      </c>
      <c r="E222" t="s">
        <v>1131</v>
      </c>
      <c r="F222">
        <v>14962</v>
      </c>
      <c r="G222" t="s">
        <v>1029</v>
      </c>
      <c r="H222" t="s">
        <v>1514</v>
      </c>
      <c r="I222" t="s">
        <v>1487</v>
      </c>
      <c r="J222" t="s">
        <v>1422</v>
      </c>
      <c r="K222" t="s">
        <v>1133</v>
      </c>
      <c r="L222" t="s">
        <v>1134</v>
      </c>
      <c r="M222" t="s">
        <v>1034</v>
      </c>
      <c r="N222" t="s">
        <v>1135</v>
      </c>
      <c r="O222" t="s">
        <v>446</v>
      </c>
      <c r="P222" t="s">
        <v>1137</v>
      </c>
      <c r="Q222" t="b">
        <v>1</v>
      </c>
      <c r="R222" t="b">
        <v>0</v>
      </c>
      <c r="S222" t="s">
        <v>1038</v>
      </c>
      <c r="T222" t="s">
        <v>446</v>
      </c>
      <c r="U222" t="s">
        <v>1039</v>
      </c>
      <c r="V222" t="s">
        <v>1002</v>
      </c>
      <c r="W222" t="s">
        <v>1040</v>
      </c>
      <c r="X222" t="s">
        <v>1488</v>
      </c>
    </row>
    <row r="223" spans="1:24" x14ac:dyDescent="0.25">
      <c r="A223" t="s">
        <v>42</v>
      </c>
      <c r="B223" t="s">
        <v>1515</v>
      </c>
      <c r="C223" t="s">
        <v>333</v>
      </c>
      <c r="D223" t="s">
        <v>323</v>
      </c>
      <c r="E223" t="s">
        <v>998</v>
      </c>
      <c r="F223">
        <v>636</v>
      </c>
      <c r="G223" t="s">
        <v>1451</v>
      </c>
      <c r="H223" t="s">
        <v>1516</v>
      </c>
      <c r="I223" t="s">
        <v>1517</v>
      </c>
      <c r="J223" t="s">
        <v>1422</v>
      </c>
      <c r="K223" t="s">
        <v>1032</v>
      </c>
      <c r="L223" t="s">
        <v>1033</v>
      </c>
      <c r="M223" t="s">
        <v>1034</v>
      </c>
      <c r="N223" t="s">
        <v>1035</v>
      </c>
      <c r="O223" t="s">
        <v>446</v>
      </c>
      <c r="P223" t="s">
        <v>1037</v>
      </c>
      <c r="Q223" t="b">
        <v>1</v>
      </c>
      <c r="R223" t="b">
        <v>0</v>
      </c>
      <c r="S223" t="s">
        <v>1001</v>
      </c>
      <c r="T223" t="s">
        <v>1518</v>
      </c>
      <c r="U223" t="s">
        <v>1455</v>
      </c>
      <c r="V223" t="s">
        <v>1456</v>
      </c>
      <c r="W223" t="s">
        <v>1519</v>
      </c>
      <c r="X223" t="s">
        <v>1520</v>
      </c>
    </row>
    <row r="224" spans="1:24" x14ac:dyDescent="0.25">
      <c r="A224" t="s">
        <v>42</v>
      </c>
      <c r="B224" t="s">
        <v>1521</v>
      </c>
      <c r="C224" t="s">
        <v>333</v>
      </c>
      <c r="D224" t="s">
        <v>323</v>
      </c>
      <c r="E224" t="s">
        <v>1005</v>
      </c>
      <c r="F224">
        <v>1175</v>
      </c>
      <c r="G224" t="s">
        <v>1451</v>
      </c>
      <c r="H224" t="s">
        <v>1522</v>
      </c>
      <c r="I224" t="s">
        <v>1517</v>
      </c>
      <c r="J224" t="s">
        <v>1422</v>
      </c>
      <c r="K224" t="s">
        <v>1044</v>
      </c>
      <c r="L224" t="s">
        <v>1045</v>
      </c>
      <c r="M224" t="s">
        <v>1034</v>
      </c>
      <c r="N224" t="s">
        <v>1046</v>
      </c>
      <c r="O224" t="s">
        <v>446</v>
      </c>
      <c r="P224" t="s">
        <v>1048</v>
      </c>
      <c r="Q224" t="b">
        <v>1</v>
      </c>
      <c r="R224" t="b">
        <v>0</v>
      </c>
      <c r="S224" t="s">
        <v>1001</v>
      </c>
      <c r="T224" t="s">
        <v>1518</v>
      </c>
      <c r="U224" t="s">
        <v>1455</v>
      </c>
      <c r="V224" t="s">
        <v>1456</v>
      </c>
      <c r="W224" t="s">
        <v>1519</v>
      </c>
      <c r="X224" t="s">
        <v>1520</v>
      </c>
    </row>
    <row r="225" spans="1:24" x14ac:dyDescent="0.25">
      <c r="A225" t="s">
        <v>42</v>
      </c>
      <c r="B225" t="s">
        <v>1523</v>
      </c>
      <c r="C225" t="s">
        <v>333</v>
      </c>
      <c r="D225" t="s">
        <v>323</v>
      </c>
      <c r="E225" t="s">
        <v>1007</v>
      </c>
      <c r="F225">
        <v>718</v>
      </c>
      <c r="G225" t="s">
        <v>1451</v>
      </c>
      <c r="H225" t="s">
        <v>1524</v>
      </c>
      <c r="I225" t="s">
        <v>1517</v>
      </c>
      <c r="J225" t="s">
        <v>1422</v>
      </c>
      <c r="K225" t="s">
        <v>1051</v>
      </c>
      <c r="L225" t="s">
        <v>1052</v>
      </c>
      <c r="M225" t="s">
        <v>1034</v>
      </c>
      <c r="N225" t="s">
        <v>1053</v>
      </c>
      <c r="O225" t="s">
        <v>446</v>
      </c>
      <c r="P225" t="s">
        <v>1055</v>
      </c>
      <c r="Q225" t="b">
        <v>1</v>
      </c>
      <c r="R225" t="b">
        <v>0</v>
      </c>
      <c r="S225" t="s">
        <v>1001</v>
      </c>
      <c r="T225" t="s">
        <v>1518</v>
      </c>
      <c r="U225" t="s">
        <v>1455</v>
      </c>
      <c r="V225" t="s">
        <v>1456</v>
      </c>
      <c r="W225" t="s">
        <v>1519</v>
      </c>
      <c r="X225" t="s">
        <v>1520</v>
      </c>
    </row>
    <row r="226" spans="1:24" x14ac:dyDescent="0.25">
      <c r="A226" t="s">
        <v>42</v>
      </c>
      <c r="B226" t="s">
        <v>1525</v>
      </c>
      <c r="C226" t="s">
        <v>333</v>
      </c>
      <c r="D226" t="s">
        <v>323</v>
      </c>
      <c r="E226" t="s">
        <v>1009</v>
      </c>
      <c r="F226">
        <v>791</v>
      </c>
      <c r="G226" t="s">
        <v>1451</v>
      </c>
      <c r="H226" t="s">
        <v>1526</v>
      </c>
      <c r="I226" t="s">
        <v>1517</v>
      </c>
      <c r="J226" t="s">
        <v>1422</v>
      </c>
      <c r="K226" t="s">
        <v>1060</v>
      </c>
      <c r="L226" t="s">
        <v>1061</v>
      </c>
      <c r="M226" t="s">
        <v>1062</v>
      </c>
      <c r="N226" t="s">
        <v>1063</v>
      </c>
      <c r="O226" t="s">
        <v>446</v>
      </c>
      <c r="P226" t="s">
        <v>1064</v>
      </c>
      <c r="Q226" t="b">
        <v>1</v>
      </c>
      <c r="R226" t="b">
        <v>0</v>
      </c>
      <c r="S226" t="s">
        <v>1001</v>
      </c>
      <c r="T226" t="s">
        <v>1518</v>
      </c>
      <c r="U226" t="s">
        <v>1455</v>
      </c>
      <c r="V226" t="s">
        <v>1456</v>
      </c>
      <c r="W226" t="s">
        <v>1519</v>
      </c>
      <c r="X226" t="s">
        <v>1520</v>
      </c>
    </row>
    <row r="227" spans="1:24" x14ac:dyDescent="0.25">
      <c r="A227" t="s">
        <v>42</v>
      </c>
      <c r="B227" t="s">
        <v>1527</v>
      </c>
      <c r="C227" t="s">
        <v>333</v>
      </c>
      <c r="D227" t="s">
        <v>323</v>
      </c>
      <c r="E227" t="s">
        <v>1011</v>
      </c>
      <c r="F227">
        <v>872</v>
      </c>
      <c r="G227" t="s">
        <v>1451</v>
      </c>
      <c r="H227" t="s">
        <v>1528</v>
      </c>
      <c r="I227" t="s">
        <v>1517</v>
      </c>
      <c r="J227" t="s">
        <v>1422</v>
      </c>
      <c r="K227" t="s">
        <v>1070</v>
      </c>
      <c r="L227" t="s">
        <v>1071</v>
      </c>
      <c r="M227" t="s">
        <v>1034</v>
      </c>
      <c r="N227" t="s">
        <v>1072</v>
      </c>
      <c r="O227" t="s">
        <v>446</v>
      </c>
      <c r="P227" t="s">
        <v>1074</v>
      </c>
      <c r="Q227" t="b">
        <v>1</v>
      </c>
      <c r="R227" t="b">
        <v>0</v>
      </c>
      <c r="S227" t="s">
        <v>1001</v>
      </c>
      <c r="T227" t="s">
        <v>1518</v>
      </c>
      <c r="U227" t="s">
        <v>1455</v>
      </c>
      <c r="V227" t="s">
        <v>1456</v>
      </c>
      <c r="W227" t="s">
        <v>1519</v>
      </c>
      <c r="X227" t="s">
        <v>1520</v>
      </c>
    </row>
    <row r="228" spans="1:24" x14ac:dyDescent="0.25">
      <c r="A228" t="s">
        <v>42</v>
      </c>
      <c r="B228" t="s">
        <v>1529</v>
      </c>
      <c r="C228" t="s">
        <v>333</v>
      </c>
      <c r="D228" t="s">
        <v>323</v>
      </c>
      <c r="E228" t="s">
        <v>1013</v>
      </c>
      <c r="F228">
        <v>1389</v>
      </c>
      <c r="G228" t="s">
        <v>1451</v>
      </c>
      <c r="H228" t="s">
        <v>1530</v>
      </c>
      <c r="I228" t="s">
        <v>1517</v>
      </c>
      <c r="J228" t="s">
        <v>1422</v>
      </c>
      <c r="K228" t="s">
        <v>1077</v>
      </c>
      <c r="L228" t="s">
        <v>1078</v>
      </c>
      <c r="M228" t="s">
        <v>1034</v>
      </c>
      <c r="N228" t="s">
        <v>1079</v>
      </c>
      <c r="O228" t="s">
        <v>446</v>
      </c>
      <c r="P228" t="s">
        <v>1081</v>
      </c>
      <c r="Q228" t="b">
        <v>1</v>
      </c>
      <c r="R228" t="b">
        <v>0</v>
      </c>
      <c r="S228" t="s">
        <v>1001</v>
      </c>
      <c r="T228" t="s">
        <v>1518</v>
      </c>
      <c r="U228" t="s">
        <v>1455</v>
      </c>
      <c r="V228" t="s">
        <v>1456</v>
      </c>
      <c r="W228" t="s">
        <v>1519</v>
      </c>
      <c r="X228" t="s">
        <v>1520</v>
      </c>
    </row>
    <row r="229" spans="1:24" x14ac:dyDescent="0.25">
      <c r="A229" t="s">
        <v>42</v>
      </c>
      <c r="B229" t="s">
        <v>1531</v>
      </c>
      <c r="C229" t="s">
        <v>333</v>
      </c>
      <c r="D229" t="s">
        <v>323</v>
      </c>
      <c r="E229" t="s">
        <v>1015</v>
      </c>
      <c r="F229">
        <v>1289</v>
      </c>
      <c r="G229" t="s">
        <v>1451</v>
      </c>
      <c r="H229" t="s">
        <v>1532</v>
      </c>
      <c r="I229" t="s">
        <v>1517</v>
      </c>
      <c r="J229" t="s">
        <v>1422</v>
      </c>
      <c r="K229" t="s">
        <v>1084</v>
      </c>
      <c r="L229" t="s">
        <v>1085</v>
      </c>
      <c r="M229" t="s">
        <v>1034</v>
      </c>
      <c r="N229" t="s">
        <v>1086</v>
      </c>
      <c r="O229" t="s">
        <v>446</v>
      </c>
      <c r="P229" t="s">
        <v>1088</v>
      </c>
      <c r="Q229" t="b">
        <v>1</v>
      </c>
      <c r="R229" t="b">
        <v>0</v>
      </c>
      <c r="S229" t="s">
        <v>1001</v>
      </c>
      <c r="T229" t="s">
        <v>1518</v>
      </c>
      <c r="U229" t="s">
        <v>1455</v>
      </c>
      <c r="V229" t="s">
        <v>1456</v>
      </c>
      <c r="W229" t="s">
        <v>1519</v>
      </c>
      <c r="X229" t="s">
        <v>1520</v>
      </c>
    </row>
    <row r="230" spans="1:24" x14ac:dyDescent="0.25">
      <c r="A230" t="s">
        <v>42</v>
      </c>
      <c r="B230" t="s">
        <v>1533</v>
      </c>
      <c r="C230" t="s">
        <v>333</v>
      </c>
      <c r="D230" t="s">
        <v>323</v>
      </c>
      <c r="E230" t="s">
        <v>1017</v>
      </c>
      <c r="F230">
        <v>3080</v>
      </c>
      <c r="G230" t="s">
        <v>1451</v>
      </c>
      <c r="H230" t="s">
        <v>1534</v>
      </c>
      <c r="I230" t="s">
        <v>1517</v>
      </c>
      <c r="J230" t="s">
        <v>1422</v>
      </c>
      <c r="K230" t="s">
        <v>1091</v>
      </c>
      <c r="L230" t="s">
        <v>1092</v>
      </c>
      <c r="M230" t="s">
        <v>1062</v>
      </c>
      <c r="N230" t="s">
        <v>1093</v>
      </c>
      <c r="O230" t="s">
        <v>446</v>
      </c>
      <c r="P230" t="s">
        <v>1094</v>
      </c>
      <c r="Q230" t="b">
        <v>1</v>
      </c>
      <c r="R230" t="b">
        <v>0</v>
      </c>
      <c r="S230" t="s">
        <v>1001</v>
      </c>
      <c r="T230" t="s">
        <v>1518</v>
      </c>
      <c r="U230" t="s">
        <v>1455</v>
      </c>
      <c r="V230" t="s">
        <v>1456</v>
      </c>
      <c r="W230" t="s">
        <v>1519</v>
      </c>
      <c r="X230" t="s">
        <v>1520</v>
      </c>
    </row>
    <row r="231" spans="1:24" x14ac:dyDescent="0.25">
      <c r="A231" t="s">
        <v>42</v>
      </c>
      <c r="B231" t="s">
        <v>1535</v>
      </c>
      <c r="C231" t="s">
        <v>333</v>
      </c>
      <c r="D231" t="s">
        <v>323</v>
      </c>
      <c r="E231" t="s">
        <v>1019</v>
      </c>
      <c r="F231">
        <v>4062</v>
      </c>
      <c r="G231" t="s">
        <v>1451</v>
      </c>
      <c r="H231" t="s">
        <v>1536</v>
      </c>
      <c r="I231" t="s">
        <v>1517</v>
      </c>
      <c r="J231" t="s">
        <v>1422</v>
      </c>
      <c r="K231" t="s">
        <v>1097</v>
      </c>
      <c r="L231" t="s">
        <v>1098</v>
      </c>
      <c r="M231" t="s">
        <v>1034</v>
      </c>
      <c r="N231" t="s">
        <v>1099</v>
      </c>
      <c r="O231" t="s">
        <v>446</v>
      </c>
      <c r="P231" t="s">
        <v>1101</v>
      </c>
      <c r="Q231" t="b">
        <v>1</v>
      </c>
      <c r="R231" t="b">
        <v>0</v>
      </c>
      <c r="S231" t="s">
        <v>1001</v>
      </c>
      <c r="T231" t="s">
        <v>1518</v>
      </c>
      <c r="U231" t="s">
        <v>1455</v>
      </c>
      <c r="V231" t="s">
        <v>1456</v>
      </c>
      <c r="W231" t="s">
        <v>1519</v>
      </c>
      <c r="X231" t="s">
        <v>1520</v>
      </c>
    </row>
    <row r="232" spans="1:24" x14ac:dyDescent="0.25">
      <c r="A232" t="s">
        <v>42</v>
      </c>
      <c r="B232" t="s">
        <v>1537</v>
      </c>
      <c r="C232" t="s">
        <v>333</v>
      </c>
      <c r="D232" t="s">
        <v>323</v>
      </c>
      <c r="E232" t="s">
        <v>1021</v>
      </c>
      <c r="F232">
        <v>4026</v>
      </c>
      <c r="G232" t="s">
        <v>1451</v>
      </c>
      <c r="H232" t="s">
        <v>1538</v>
      </c>
      <c r="I232" t="s">
        <v>1517</v>
      </c>
      <c r="J232" t="s">
        <v>1422</v>
      </c>
      <c r="K232" t="s">
        <v>1105</v>
      </c>
      <c r="L232" t="s">
        <v>1106</v>
      </c>
      <c r="M232" t="s">
        <v>1034</v>
      </c>
      <c r="N232" t="s">
        <v>1107</v>
      </c>
      <c r="O232" t="s">
        <v>446</v>
      </c>
      <c r="P232" t="s">
        <v>1109</v>
      </c>
      <c r="Q232" t="b">
        <v>1</v>
      </c>
      <c r="R232" t="b">
        <v>0</v>
      </c>
      <c r="S232" t="s">
        <v>1001</v>
      </c>
      <c r="T232" t="s">
        <v>1518</v>
      </c>
      <c r="U232" t="s">
        <v>1455</v>
      </c>
      <c r="V232" t="s">
        <v>1456</v>
      </c>
      <c r="W232" t="s">
        <v>1519</v>
      </c>
      <c r="X232" t="s">
        <v>1520</v>
      </c>
    </row>
    <row r="233" spans="1:24" x14ac:dyDescent="0.25">
      <c r="A233" t="s">
        <v>42</v>
      </c>
      <c r="B233" t="s">
        <v>1539</v>
      </c>
      <c r="C233" t="s">
        <v>333</v>
      </c>
      <c r="D233" t="s">
        <v>323</v>
      </c>
      <c r="E233" t="s">
        <v>1023</v>
      </c>
      <c r="F233">
        <v>3806</v>
      </c>
      <c r="G233" t="s">
        <v>1451</v>
      </c>
      <c r="H233" t="s">
        <v>1540</v>
      </c>
      <c r="I233" t="s">
        <v>1517</v>
      </c>
      <c r="J233" t="s">
        <v>1422</v>
      </c>
      <c r="K233" t="s">
        <v>1112</v>
      </c>
      <c r="L233" t="s">
        <v>1113</v>
      </c>
      <c r="M233" t="s">
        <v>1034</v>
      </c>
      <c r="N233" t="s">
        <v>1114</v>
      </c>
      <c r="O233" t="s">
        <v>446</v>
      </c>
      <c r="P233" t="s">
        <v>1116</v>
      </c>
      <c r="Q233" t="b">
        <v>1</v>
      </c>
      <c r="R233" t="b">
        <v>0</v>
      </c>
      <c r="S233" t="s">
        <v>1001</v>
      </c>
      <c r="T233" t="s">
        <v>1518</v>
      </c>
      <c r="U233" t="s">
        <v>1455</v>
      </c>
      <c r="V233" t="s">
        <v>1456</v>
      </c>
      <c r="W233" t="s">
        <v>1519</v>
      </c>
      <c r="X233" t="s">
        <v>1520</v>
      </c>
    </row>
    <row r="234" spans="1:24" x14ac:dyDescent="0.25">
      <c r="A234" t="s">
        <v>42</v>
      </c>
      <c r="B234" t="s">
        <v>1541</v>
      </c>
      <c r="C234" t="s">
        <v>333</v>
      </c>
      <c r="D234" t="s">
        <v>323</v>
      </c>
      <c r="E234" t="s">
        <v>1025</v>
      </c>
      <c r="F234">
        <v>3771</v>
      </c>
      <c r="G234" t="s">
        <v>1451</v>
      </c>
      <c r="H234" t="s">
        <v>1542</v>
      </c>
      <c r="I234" t="s">
        <v>1517</v>
      </c>
      <c r="J234" t="s">
        <v>1422</v>
      </c>
      <c r="K234" t="s">
        <v>1119</v>
      </c>
      <c r="L234" t="s">
        <v>1120</v>
      </c>
      <c r="M234" t="s">
        <v>1062</v>
      </c>
      <c r="N234" t="s">
        <v>1121</v>
      </c>
      <c r="O234" t="s">
        <v>446</v>
      </c>
      <c r="P234" t="s">
        <v>1122</v>
      </c>
      <c r="Q234" t="b">
        <v>1</v>
      </c>
      <c r="R234" t="b">
        <v>0</v>
      </c>
      <c r="S234" t="s">
        <v>1001</v>
      </c>
      <c r="T234" t="s">
        <v>1518</v>
      </c>
      <c r="U234" t="s">
        <v>1455</v>
      </c>
      <c r="V234" t="s">
        <v>1456</v>
      </c>
      <c r="W234" t="s">
        <v>1519</v>
      </c>
      <c r="X234" t="s">
        <v>1520</v>
      </c>
    </row>
    <row r="235" spans="1:24" x14ac:dyDescent="0.25">
      <c r="A235" t="s">
        <v>42</v>
      </c>
      <c r="B235" t="s">
        <v>1543</v>
      </c>
      <c r="C235" t="s">
        <v>333</v>
      </c>
      <c r="D235" t="s">
        <v>323</v>
      </c>
      <c r="E235" t="s">
        <v>1027</v>
      </c>
      <c r="F235">
        <v>2779</v>
      </c>
      <c r="G235" t="s">
        <v>1451</v>
      </c>
      <c r="H235" t="s">
        <v>1544</v>
      </c>
      <c r="I235" t="s">
        <v>1517</v>
      </c>
      <c r="J235" t="s">
        <v>1422</v>
      </c>
      <c r="K235" t="s">
        <v>1125</v>
      </c>
      <c r="L235" t="s">
        <v>1126</v>
      </c>
      <c r="M235" t="s">
        <v>1034</v>
      </c>
      <c r="N235" t="s">
        <v>1127</v>
      </c>
      <c r="O235" t="s">
        <v>446</v>
      </c>
      <c r="P235" t="s">
        <v>1129</v>
      </c>
      <c r="Q235" t="b">
        <v>1</v>
      </c>
      <c r="R235" t="b">
        <v>0</v>
      </c>
      <c r="S235" t="s">
        <v>1001</v>
      </c>
      <c r="T235" t="s">
        <v>1518</v>
      </c>
      <c r="U235" t="s">
        <v>1455</v>
      </c>
      <c r="V235" t="s">
        <v>1456</v>
      </c>
      <c r="W235" t="s">
        <v>1519</v>
      </c>
      <c r="X235" t="s">
        <v>1520</v>
      </c>
    </row>
    <row r="236" spans="1:24" x14ac:dyDescent="0.25">
      <c r="A236" t="s">
        <v>42</v>
      </c>
      <c r="B236" t="s">
        <v>1545</v>
      </c>
      <c r="C236" t="s">
        <v>333</v>
      </c>
      <c r="D236" t="s">
        <v>323</v>
      </c>
      <c r="E236" t="s">
        <v>1131</v>
      </c>
      <c r="F236">
        <v>2658</v>
      </c>
      <c r="G236" t="s">
        <v>1451</v>
      </c>
      <c r="H236" t="s">
        <v>1546</v>
      </c>
      <c r="I236" t="s">
        <v>1517</v>
      </c>
      <c r="J236" t="s">
        <v>1422</v>
      </c>
      <c r="K236" t="s">
        <v>1133</v>
      </c>
      <c r="L236" t="s">
        <v>1134</v>
      </c>
      <c r="M236" t="s">
        <v>1034</v>
      </c>
      <c r="N236" t="s">
        <v>1135</v>
      </c>
      <c r="O236" t="s">
        <v>446</v>
      </c>
      <c r="P236" t="s">
        <v>1137</v>
      </c>
      <c r="Q236" t="b">
        <v>1</v>
      </c>
      <c r="R236" t="b">
        <v>0</v>
      </c>
      <c r="S236" t="s">
        <v>1001</v>
      </c>
      <c r="T236" t="s">
        <v>1518</v>
      </c>
      <c r="U236" t="s">
        <v>1455</v>
      </c>
      <c r="V236" t="s">
        <v>1456</v>
      </c>
      <c r="W236" t="s">
        <v>1519</v>
      </c>
      <c r="X236" t="s">
        <v>1520</v>
      </c>
    </row>
    <row r="237" spans="1:24" x14ac:dyDescent="0.25">
      <c r="A237" t="s">
        <v>42</v>
      </c>
      <c r="B237" t="s">
        <v>1547</v>
      </c>
      <c r="C237" t="s">
        <v>335</v>
      </c>
      <c r="D237" t="s">
        <v>323</v>
      </c>
      <c r="E237" t="s">
        <v>998</v>
      </c>
      <c r="F237">
        <v>2916</v>
      </c>
      <c r="G237" t="s">
        <v>1233</v>
      </c>
      <c r="H237" t="s">
        <v>1548</v>
      </c>
      <c r="I237" t="s">
        <v>1549</v>
      </c>
      <c r="J237" t="s">
        <v>1422</v>
      </c>
      <c r="K237" t="s">
        <v>1032</v>
      </c>
      <c r="L237" t="s">
        <v>1033</v>
      </c>
      <c r="M237" t="s">
        <v>1034</v>
      </c>
      <c r="N237" t="s">
        <v>1035</v>
      </c>
      <c r="O237" t="s">
        <v>446</v>
      </c>
      <c r="P237" t="s">
        <v>1037</v>
      </c>
      <c r="Q237" t="b">
        <v>1</v>
      </c>
      <c r="R237" t="b">
        <v>0</v>
      </c>
      <c r="S237" t="s">
        <v>1038</v>
      </c>
      <c r="T237" t="s">
        <v>446</v>
      </c>
      <c r="U237" t="s">
        <v>1039</v>
      </c>
      <c r="V237" t="s">
        <v>1002</v>
      </c>
      <c r="W237" t="s">
        <v>1040</v>
      </c>
      <c r="X237" t="s">
        <v>1550</v>
      </c>
    </row>
    <row r="238" spans="1:24" x14ac:dyDescent="0.25">
      <c r="A238" t="s">
        <v>42</v>
      </c>
      <c r="B238" t="s">
        <v>1551</v>
      </c>
      <c r="C238" t="s">
        <v>335</v>
      </c>
      <c r="D238" t="s">
        <v>323</v>
      </c>
      <c r="E238" t="s">
        <v>1005</v>
      </c>
      <c r="F238">
        <v>3233</v>
      </c>
      <c r="G238" t="s">
        <v>1233</v>
      </c>
      <c r="H238" t="s">
        <v>1552</v>
      </c>
      <c r="I238" t="s">
        <v>1549</v>
      </c>
      <c r="J238" t="s">
        <v>1422</v>
      </c>
      <c r="K238" t="s">
        <v>1044</v>
      </c>
      <c r="L238" t="s">
        <v>1045</v>
      </c>
      <c r="M238" t="s">
        <v>1034</v>
      </c>
      <c r="N238" t="s">
        <v>1046</v>
      </c>
      <c r="O238" t="s">
        <v>446</v>
      </c>
      <c r="P238" t="s">
        <v>1048</v>
      </c>
      <c r="Q238" t="b">
        <v>1</v>
      </c>
      <c r="R238" t="b">
        <v>0</v>
      </c>
      <c r="S238" t="s">
        <v>1038</v>
      </c>
      <c r="T238" t="s">
        <v>446</v>
      </c>
      <c r="U238" t="s">
        <v>1039</v>
      </c>
      <c r="V238" t="s">
        <v>1002</v>
      </c>
      <c r="W238" t="s">
        <v>1040</v>
      </c>
      <c r="X238" t="s">
        <v>1550</v>
      </c>
    </row>
    <row r="239" spans="1:24" x14ac:dyDescent="0.25">
      <c r="A239" t="s">
        <v>42</v>
      </c>
      <c r="B239" t="s">
        <v>1553</v>
      </c>
      <c r="C239" t="s">
        <v>335</v>
      </c>
      <c r="D239" t="s">
        <v>323</v>
      </c>
      <c r="E239" t="s">
        <v>1007</v>
      </c>
      <c r="F239">
        <v>3774</v>
      </c>
      <c r="G239" t="s">
        <v>1233</v>
      </c>
      <c r="H239" t="s">
        <v>1554</v>
      </c>
      <c r="I239" t="s">
        <v>1549</v>
      </c>
      <c r="J239" t="s">
        <v>1422</v>
      </c>
      <c r="K239" t="s">
        <v>1051</v>
      </c>
      <c r="L239" t="s">
        <v>1052</v>
      </c>
      <c r="M239" t="s">
        <v>1034</v>
      </c>
      <c r="N239" t="s">
        <v>1053</v>
      </c>
      <c r="O239" t="s">
        <v>446</v>
      </c>
      <c r="P239" t="s">
        <v>1055</v>
      </c>
      <c r="Q239" t="b">
        <v>1</v>
      </c>
      <c r="R239" t="b">
        <v>0</v>
      </c>
      <c r="S239" t="s">
        <v>1038</v>
      </c>
      <c r="T239" t="s">
        <v>446</v>
      </c>
      <c r="U239" t="s">
        <v>1039</v>
      </c>
      <c r="V239" t="s">
        <v>1002</v>
      </c>
      <c r="W239" t="s">
        <v>1040</v>
      </c>
      <c r="X239" t="s">
        <v>1550</v>
      </c>
    </row>
    <row r="240" spans="1:24" x14ac:dyDescent="0.25">
      <c r="A240" t="s">
        <v>42</v>
      </c>
      <c r="B240" t="s">
        <v>1555</v>
      </c>
      <c r="C240" t="s">
        <v>335</v>
      </c>
      <c r="D240" t="s">
        <v>323</v>
      </c>
      <c r="E240" t="s">
        <v>1009</v>
      </c>
      <c r="F240">
        <v>3807</v>
      </c>
      <c r="G240" t="s">
        <v>1233</v>
      </c>
      <c r="H240" t="s">
        <v>1556</v>
      </c>
      <c r="I240" t="s">
        <v>1549</v>
      </c>
      <c r="J240" t="s">
        <v>1422</v>
      </c>
      <c r="K240" t="s">
        <v>1060</v>
      </c>
      <c r="L240" t="s">
        <v>1061</v>
      </c>
      <c r="M240" t="s">
        <v>1062</v>
      </c>
      <c r="N240" t="s">
        <v>1063</v>
      </c>
      <c r="O240" t="s">
        <v>446</v>
      </c>
      <c r="P240" t="s">
        <v>1064</v>
      </c>
      <c r="Q240" t="b">
        <v>1</v>
      </c>
      <c r="R240" t="b">
        <v>0</v>
      </c>
      <c r="S240" t="s">
        <v>1038</v>
      </c>
      <c r="T240" t="s">
        <v>446</v>
      </c>
      <c r="U240" t="s">
        <v>1039</v>
      </c>
      <c r="V240" t="s">
        <v>1002</v>
      </c>
      <c r="W240" t="s">
        <v>1040</v>
      </c>
      <c r="X240" t="s">
        <v>1550</v>
      </c>
    </row>
    <row r="241" spans="1:24" x14ac:dyDescent="0.25">
      <c r="A241" t="s">
        <v>42</v>
      </c>
      <c r="B241" t="s">
        <v>1557</v>
      </c>
      <c r="C241" t="s">
        <v>335</v>
      </c>
      <c r="D241" t="s">
        <v>323</v>
      </c>
      <c r="E241" t="s">
        <v>1011</v>
      </c>
      <c r="F241">
        <v>3740</v>
      </c>
      <c r="G241" t="s">
        <v>1233</v>
      </c>
      <c r="H241" t="s">
        <v>1558</v>
      </c>
      <c r="I241" t="s">
        <v>1549</v>
      </c>
      <c r="J241" t="s">
        <v>1422</v>
      </c>
      <c r="K241" t="s">
        <v>1070</v>
      </c>
      <c r="L241" t="s">
        <v>1071</v>
      </c>
      <c r="M241" t="s">
        <v>1034</v>
      </c>
      <c r="N241" t="s">
        <v>1072</v>
      </c>
      <c r="O241" t="s">
        <v>446</v>
      </c>
      <c r="P241" t="s">
        <v>1074</v>
      </c>
      <c r="Q241" t="b">
        <v>1</v>
      </c>
      <c r="R241" t="b">
        <v>0</v>
      </c>
      <c r="S241" t="s">
        <v>1038</v>
      </c>
      <c r="T241" t="s">
        <v>446</v>
      </c>
      <c r="U241" t="s">
        <v>1039</v>
      </c>
      <c r="V241" t="s">
        <v>1002</v>
      </c>
      <c r="W241" t="s">
        <v>1040</v>
      </c>
      <c r="X241" t="s">
        <v>1550</v>
      </c>
    </row>
    <row r="242" spans="1:24" x14ac:dyDescent="0.25">
      <c r="A242" t="s">
        <v>42</v>
      </c>
      <c r="B242" t="s">
        <v>1559</v>
      </c>
      <c r="C242" t="s">
        <v>335</v>
      </c>
      <c r="D242" t="s">
        <v>323</v>
      </c>
      <c r="E242" t="s">
        <v>1013</v>
      </c>
      <c r="F242">
        <v>3799</v>
      </c>
      <c r="G242" t="s">
        <v>1233</v>
      </c>
      <c r="H242" t="s">
        <v>1560</v>
      </c>
      <c r="I242" t="s">
        <v>1549</v>
      </c>
      <c r="J242" t="s">
        <v>1422</v>
      </c>
      <c r="K242" t="s">
        <v>1077</v>
      </c>
      <c r="L242" t="s">
        <v>1078</v>
      </c>
      <c r="M242" t="s">
        <v>1034</v>
      </c>
      <c r="N242" t="s">
        <v>1079</v>
      </c>
      <c r="O242" t="s">
        <v>446</v>
      </c>
      <c r="P242" t="s">
        <v>1081</v>
      </c>
      <c r="Q242" t="b">
        <v>1</v>
      </c>
      <c r="R242" t="b">
        <v>0</v>
      </c>
      <c r="S242" t="s">
        <v>1038</v>
      </c>
      <c r="T242" t="s">
        <v>446</v>
      </c>
      <c r="U242" t="s">
        <v>1039</v>
      </c>
      <c r="V242" t="s">
        <v>1002</v>
      </c>
      <c r="W242" t="s">
        <v>1040</v>
      </c>
      <c r="X242" t="s">
        <v>1550</v>
      </c>
    </row>
    <row r="243" spans="1:24" x14ac:dyDescent="0.25">
      <c r="A243" t="s">
        <v>42</v>
      </c>
      <c r="B243" t="s">
        <v>1561</v>
      </c>
      <c r="C243" t="s">
        <v>335</v>
      </c>
      <c r="D243" t="s">
        <v>323</v>
      </c>
      <c r="E243" t="s">
        <v>1015</v>
      </c>
      <c r="F243">
        <v>3844</v>
      </c>
      <c r="G243" t="s">
        <v>1233</v>
      </c>
      <c r="H243" t="s">
        <v>1562</v>
      </c>
      <c r="I243" t="s">
        <v>1549</v>
      </c>
      <c r="J243" t="s">
        <v>1422</v>
      </c>
      <c r="K243" t="s">
        <v>1084</v>
      </c>
      <c r="L243" t="s">
        <v>1085</v>
      </c>
      <c r="M243" t="s">
        <v>1034</v>
      </c>
      <c r="N243" t="s">
        <v>1086</v>
      </c>
      <c r="O243" t="s">
        <v>446</v>
      </c>
      <c r="P243" t="s">
        <v>1088</v>
      </c>
      <c r="Q243" t="b">
        <v>1</v>
      </c>
      <c r="R243" t="b">
        <v>0</v>
      </c>
      <c r="S243" t="s">
        <v>1038</v>
      </c>
      <c r="T243" t="s">
        <v>446</v>
      </c>
      <c r="U243" t="s">
        <v>1039</v>
      </c>
      <c r="V243" t="s">
        <v>1002</v>
      </c>
      <c r="W243" t="s">
        <v>1040</v>
      </c>
      <c r="X243" t="s">
        <v>1550</v>
      </c>
    </row>
    <row r="244" spans="1:24" x14ac:dyDescent="0.25">
      <c r="A244" t="s">
        <v>42</v>
      </c>
      <c r="B244" t="s">
        <v>1563</v>
      </c>
      <c r="C244" t="s">
        <v>335</v>
      </c>
      <c r="D244" t="s">
        <v>323</v>
      </c>
      <c r="E244" t="s">
        <v>1017</v>
      </c>
      <c r="F244">
        <v>3914</v>
      </c>
      <c r="G244" t="s">
        <v>1233</v>
      </c>
      <c r="H244" t="s">
        <v>1564</v>
      </c>
      <c r="I244" t="s">
        <v>1549</v>
      </c>
      <c r="J244" t="s">
        <v>1422</v>
      </c>
      <c r="K244" t="s">
        <v>1091</v>
      </c>
      <c r="L244" t="s">
        <v>1092</v>
      </c>
      <c r="M244" t="s">
        <v>1062</v>
      </c>
      <c r="N244" t="s">
        <v>1093</v>
      </c>
      <c r="O244" t="s">
        <v>446</v>
      </c>
      <c r="P244" t="s">
        <v>1094</v>
      </c>
      <c r="Q244" t="b">
        <v>1</v>
      </c>
      <c r="R244" t="b">
        <v>0</v>
      </c>
      <c r="S244" t="s">
        <v>1038</v>
      </c>
      <c r="T244" t="s">
        <v>446</v>
      </c>
      <c r="U244" t="s">
        <v>1039</v>
      </c>
      <c r="V244" t="s">
        <v>1002</v>
      </c>
      <c r="W244" t="s">
        <v>1040</v>
      </c>
      <c r="X244" t="s">
        <v>1550</v>
      </c>
    </row>
    <row r="245" spans="1:24" x14ac:dyDescent="0.25">
      <c r="A245" t="s">
        <v>42</v>
      </c>
      <c r="B245" t="s">
        <v>1565</v>
      </c>
      <c r="C245" t="s">
        <v>335</v>
      </c>
      <c r="D245" t="s">
        <v>323</v>
      </c>
      <c r="E245" t="s">
        <v>1019</v>
      </c>
      <c r="F245">
        <v>4006</v>
      </c>
      <c r="G245" t="s">
        <v>1233</v>
      </c>
      <c r="H245" t="s">
        <v>1566</v>
      </c>
      <c r="I245" t="s">
        <v>1549</v>
      </c>
      <c r="J245" t="s">
        <v>1422</v>
      </c>
      <c r="K245" t="s">
        <v>1097</v>
      </c>
      <c r="L245" t="s">
        <v>1098</v>
      </c>
      <c r="M245" t="s">
        <v>1034</v>
      </c>
      <c r="N245" t="s">
        <v>1099</v>
      </c>
      <c r="O245" t="s">
        <v>446</v>
      </c>
      <c r="P245" t="s">
        <v>1101</v>
      </c>
      <c r="Q245" t="b">
        <v>1</v>
      </c>
      <c r="R245" t="b">
        <v>0</v>
      </c>
      <c r="S245" t="s">
        <v>1038</v>
      </c>
      <c r="T245" t="s">
        <v>446</v>
      </c>
      <c r="U245" t="s">
        <v>1039</v>
      </c>
      <c r="V245" t="s">
        <v>1002</v>
      </c>
      <c r="W245" t="s">
        <v>1040</v>
      </c>
      <c r="X245" t="s">
        <v>1550</v>
      </c>
    </row>
    <row r="246" spans="1:24" x14ac:dyDescent="0.25">
      <c r="A246" t="s">
        <v>42</v>
      </c>
      <c r="B246" t="s">
        <v>1567</v>
      </c>
      <c r="C246" t="s">
        <v>335</v>
      </c>
      <c r="D246" t="s">
        <v>323</v>
      </c>
      <c r="E246" t="s">
        <v>1021</v>
      </c>
      <c r="F246">
        <v>4885</v>
      </c>
      <c r="G246" t="s">
        <v>1233</v>
      </c>
      <c r="H246" t="s">
        <v>1568</v>
      </c>
      <c r="I246" t="s">
        <v>1549</v>
      </c>
      <c r="J246" t="s">
        <v>1422</v>
      </c>
      <c r="K246" t="s">
        <v>1105</v>
      </c>
      <c r="L246" t="s">
        <v>1106</v>
      </c>
      <c r="M246" t="s">
        <v>1034</v>
      </c>
      <c r="N246" t="s">
        <v>1107</v>
      </c>
      <c r="O246" t="s">
        <v>446</v>
      </c>
      <c r="P246" t="s">
        <v>1109</v>
      </c>
      <c r="Q246" t="b">
        <v>1</v>
      </c>
      <c r="R246" t="b">
        <v>0</v>
      </c>
      <c r="S246" t="s">
        <v>1038</v>
      </c>
      <c r="T246" t="s">
        <v>446</v>
      </c>
      <c r="U246" t="s">
        <v>1039</v>
      </c>
      <c r="V246" t="s">
        <v>1002</v>
      </c>
      <c r="W246" t="s">
        <v>1040</v>
      </c>
      <c r="X246" t="s">
        <v>1550</v>
      </c>
    </row>
    <row r="247" spans="1:24" x14ac:dyDescent="0.25">
      <c r="A247" t="s">
        <v>42</v>
      </c>
      <c r="B247" t="s">
        <v>1569</v>
      </c>
      <c r="C247" t="s">
        <v>335</v>
      </c>
      <c r="D247" t="s">
        <v>323</v>
      </c>
      <c r="E247" t="s">
        <v>1023</v>
      </c>
      <c r="F247">
        <v>5343</v>
      </c>
      <c r="G247" t="s">
        <v>1233</v>
      </c>
      <c r="H247" t="s">
        <v>1570</v>
      </c>
      <c r="I247" t="s">
        <v>1549</v>
      </c>
      <c r="J247" t="s">
        <v>1422</v>
      </c>
      <c r="K247" t="s">
        <v>1112</v>
      </c>
      <c r="L247" t="s">
        <v>1113</v>
      </c>
      <c r="M247" t="s">
        <v>1034</v>
      </c>
      <c r="N247" t="s">
        <v>1114</v>
      </c>
      <c r="O247" t="s">
        <v>446</v>
      </c>
      <c r="P247" t="s">
        <v>1116</v>
      </c>
      <c r="Q247" t="b">
        <v>1</v>
      </c>
      <c r="R247" t="b">
        <v>0</v>
      </c>
      <c r="S247" t="s">
        <v>1038</v>
      </c>
      <c r="T247" t="s">
        <v>446</v>
      </c>
      <c r="U247" t="s">
        <v>1039</v>
      </c>
      <c r="V247" t="s">
        <v>1002</v>
      </c>
      <c r="W247" t="s">
        <v>1040</v>
      </c>
      <c r="X247" t="s">
        <v>1550</v>
      </c>
    </row>
    <row r="248" spans="1:24" x14ac:dyDescent="0.25">
      <c r="A248" t="s">
        <v>42</v>
      </c>
      <c r="B248" t="s">
        <v>1571</v>
      </c>
      <c r="C248" t="s">
        <v>335</v>
      </c>
      <c r="D248" t="s">
        <v>323</v>
      </c>
      <c r="E248" t="s">
        <v>1025</v>
      </c>
      <c r="F248">
        <v>6283</v>
      </c>
      <c r="G248" t="s">
        <v>1233</v>
      </c>
      <c r="H248" t="s">
        <v>1572</v>
      </c>
      <c r="I248" t="s">
        <v>1549</v>
      </c>
      <c r="J248" t="s">
        <v>1422</v>
      </c>
      <c r="K248" t="s">
        <v>1119</v>
      </c>
      <c r="L248" t="s">
        <v>1120</v>
      </c>
      <c r="M248" t="s">
        <v>1062</v>
      </c>
      <c r="N248" t="s">
        <v>1121</v>
      </c>
      <c r="O248" t="s">
        <v>446</v>
      </c>
      <c r="P248" t="s">
        <v>1122</v>
      </c>
      <c r="Q248" t="b">
        <v>1</v>
      </c>
      <c r="R248" t="b">
        <v>0</v>
      </c>
      <c r="S248" t="s">
        <v>1038</v>
      </c>
      <c r="T248" t="s">
        <v>446</v>
      </c>
      <c r="U248" t="s">
        <v>1039</v>
      </c>
      <c r="V248" t="s">
        <v>1002</v>
      </c>
      <c r="W248" t="s">
        <v>1040</v>
      </c>
      <c r="X248" t="s">
        <v>1550</v>
      </c>
    </row>
    <row r="249" spans="1:24" x14ac:dyDescent="0.25">
      <c r="A249" t="s">
        <v>42</v>
      </c>
      <c r="B249" t="s">
        <v>1573</v>
      </c>
      <c r="C249" t="s">
        <v>335</v>
      </c>
      <c r="D249" t="s">
        <v>323</v>
      </c>
      <c r="E249" t="s">
        <v>1027</v>
      </c>
      <c r="F249">
        <v>7136</v>
      </c>
      <c r="G249" t="s">
        <v>1233</v>
      </c>
      <c r="H249" t="s">
        <v>1574</v>
      </c>
      <c r="I249" t="s">
        <v>1549</v>
      </c>
      <c r="J249" t="s">
        <v>1422</v>
      </c>
      <c r="K249" t="s">
        <v>1125</v>
      </c>
      <c r="L249" t="s">
        <v>1126</v>
      </c>
      <c r="M249" t="s">
        <v>1034</v>
      </c>
      <c r="N249" t="s">
        <v>1127</v>
      </c>
      <c r="O249" t="s">
        <v>446</v>
      </c>
      <c r="P249" t="s">
        <v>1129</v>
      </c>
      <c r="Q249" t="b">
        <v>1</v>
      </c>
      <c r="R249" t="b">
        <v>0</v>
      </c>
      <c r="S249" t="s">
        <v>1038</v>
      </c>
      <c r="T249" t="s">
        <v>446</v>
      </c>
      <c r="U249" t="s">
        <v>1039</v>
      </c>
      <c r="V249" t="s">
        <v>1002</v>
      </c>
      <c r="W249" t="s">
        <v>1040</v>
      </c>
      <c r="X249" t="s">
        <v>1550</v>
      </c>
    </row>
    <row r="250" spans="1:24" x14ac:dyDescent="0.25">
      <c r="A250" t="s">
        <v>42</v>
      </c>
      <c r="B250" t="s">
        <v>1575</v>
      </c>
      <c r="C250" t="s">
        <v>335</v>
      </c>
      <c r="D250" t="s">
        <v>323</v>
      </c>
      <c r="E250" t="s">
        <v>1131</v>
      </c>
      <c r="F250">
        <v>9141</v>
      </c>
      <c r="G250" t="s">
        <v>1233</v>
      </c>
      <c r="H250" t="s">
        <v>1576</v>
      </c>
      <c r="I250" t="s">
        <v>1549</v>
      </c>
      <c r="J250" t="s">
        <v>1422</v>
      </c>
      <c r="K250" t="s">
        <v>1133</v>
      </c>
      <c r="L250" t="s">
        <v>1134</v>
      </c>
      <c r="M250" t="s">
        <v>1034</v>
      </c>
      <c r="N250" t="s">
        <v>1135</v>
      </c>
      <c r="O250" t="s">
        <v>446</v>
      </c>
      <c r="P250" t="s">
        <v>1137</v>
      </c>
      <c r="Q250" t="b">
        <v>1</v>
      </c>
      <c r="R250" t="b">
        <v>0</v>
      </c>
      <c r="S250" t="s">
        <v>1038</v>
      </c>
      <c r="T250" t="s">
        <v>446</v>
      </c>
      <c r="U250" t="s">
        <v>1039</v>
      </c>
      <c r="V250" t="s">
        <v>1002</v>
      </c>
      <c r="W250" t="s">
        <v>1040</v>
      </c>
      <c r="X250" t="s">
        <v>1550</v>
      </c>
    </row>
    <row r="251" spans="1:24" x14ac:dyDescent="0.25">
      <c r="A251" t="s">
        <v>42</v>
      </c>
      <c r="B251" t="s">
        <v>1577</v>
      </c>
      <c r="C251" t="s">
        <v>336</v>
      </c>
      <c r="D251" t="s">
        <v>323</v>
      </c>
      <c r="E251" t="s">
        <v>998</v>
      </c>
      <c r="F251">
        <v>2211</v>
      </c>
      <c r="G251" t="s">
        <v>1233</v>
      </c>
      <c r="H251" t="s">
        <v>1578</v>
      </c>
      <c r="I251" t="s">
        <v>1579</v>
      </c>
      <c r="J251" t="s">
        <v>1422</v>
      </c>
      <c r="K251" t="s">
        <v>1032</v>
      </c>
      <c r="L251" t="s">
        <v>1033</v>
      </c>
      <c r="M251" t="s">
        <v>1034</v>
      </c>
      <c r="N251" t="s">
        <v>1035</v>
      </c>
      <c r="O251" t="s">
        <v>446</v>
      </c>
      <c r="P251" t="s">
        <v>1037</v>
      </c>
      <c r="Q251" t="b">
        <v>1</v>
      </c>
      <c r="R251" t="b">
        <v>0</v>
      </c>
      <c r="S251" t="s">
        <v>1038</v>
      </c>
      <c r="T251" t="s">
        <v>446</v>
      </c>
      <c r="U251" t="s">
        <v>1039</v>
      </c>
      <c r="V251" t="s">
        <v>1002</v>
      </c>
      <c r="W251" t="s">
        <v>1040</v>
      </c>
      <c r="X251" t="s">
        <v>1580</v>
      </c>
    </row>
    <row r="252" spans="1:24" x14ac:dyDescent="0.25">
      <c r="A252" t="s">
        <v>42</v>
      </c>
      <c r="B252" t="s">
        <v>1581</v>
      </c>
      <c r="C252" t="s">
        <v>336</v>
      </c>
      <c r="D252" t="s">
        <v>323</v>
      </c>
      <c r="E252" t="s">
        <v>1005</v>
      </c>
      <c r="F252">
        <v>2036</v>
      </c>
      <c r="G252" t="s">
        <v>1233</v>
      </c>
      <c r="H252" t="s">
        <v>1582</v>
      </c>
      <c r="I252" t="s">
        <v>1579</v>
      </c>
      <c r="J252" t="s">
        <v>1422</v>
      </c>
      <c r="K252" t="s">
        <v>1044</v>
      </c>
      <c r="L252" t="s">
        <v>1045</v>
      </c>
      <c r="M252" t="s">
        <v>1034</v>
      </c>
      <c r="N252" t="s">
        <v>1046</v>
      </c>
      <c r="O252" t="s">
        <v>446</v>
      </c>
      <c r="P252" t="s">
        <v>1048</v>
      </c>
      <c r="Q252" t="b">
        <v>1</v>
      </c>
      <c r="R252" t="b">
        <v>0</v>
      </c>
      <c r="S252" t="s">
        <v>1038</v>
      </c>
      <c r="T252" t="s">
        <v>446</v>
      </c>
      <c r="U252" t="s">
        <v>1039</v>
      </c>
      <c r="V252" t="s">
        <v>1002</v>
      </c>
      <c r="W252" t="s">
        <v>1040</v>
      </c>
      <c r="X252" t="s">
        <v>1580</v>
      </c>
    </row>
    <row r="253" spans="1:24" x14ac:dyDescent="0.25">
      <c r="A253" t="s">
        <v>42</v>
      </c>
      <c r="B253" t="s">
        <v>1583</v>
      </c>
      <c r="C253" t="s">
        <v>336</v>
      </c>
      <c r="D253" t="s">
        <v>323</v>
      </c>
      <c r="E253" t="s">
        <v>1007</v>
      </c>
      <c r="F253">
        <v>1850</v>
      </c>
      <c r="G253" t="s">
        <v>1233</v>
      </c>
      <c r="H253" t="s">
        <v>1584</v>
      </c>
      <c r="I253" t="s">
        <v>1579</v>
      </c>
      <c r="J253" t="s">
        <v>1422</v>
      </c>
      <c r="K253" t="s">
        <v>1051</v>
      </c>
      <c r="L253" t="s">
        <v>1052</v>
      </c>
      <c r="M253" t="s">
        <v>1034</v>
      </c>
      <c r="N253" t="s">
        <v>1053</v>
      </c>
      <c r="O253" t="s">
        <v>446</v>
      </c>
      <c r="P253" t="s">
        <v>1055</v>
      </c>
      <c r="Q253" t="b">
        <v>1</v>
      </c>
      <c r="R253" t="b">
        <v>0</v>
      </c>
      <c r="S253" t="s">
        <v>1038</v>
      </c>
      <c r="T253" t="s">
        <v>446</v>
      </c>
      <c r="U253" t="s">
        <v>1039</v>
      </c>
      <c r="V253" t="s">
        <v>1002</v>
      </c>
      <c r="W253" t="s">
        <v>1040</v>
      </c>
      <c r="X253" t="s">
        <v>1580</v>
      </c>
    </row>
    <row r="254" spans="1:24" x14ac:dyDescent="0.25">
      <c r="A254" t="s">
        <v>42</v>
      </c>
      <c r="B254" t="s">
        <v>1585</v>
      </c>
      <c r="C254" t="s">
        <v>336</v>
      </c>
      <c r="D254" t="s">
        <v>323</v>
      </c>
      <c r="E254" t="s">
        <v>1009</v>
      </c>
      <c r="F254">
        <v>1676</v>
      </c>
      <c r="G254" t="s">
        <v>1233</v>
      </c>
      <c r="H254" t="s">
        <v>1586</v>
      </c>
      <c r="I254" t="s">
        <v>1579</v>
      </c>
      <c r="J254" t="s">
        <v>1422</v>
      </c>
      <c r="K254" t="s">
        <v>1060</v>
      </c>
      <c r="L254" t="s">
        <v>1061</v>
      </c>
      <c r="M254" t="s">
        <v>1062</v>
      </c>
      <c r="N254" t="s">
        <v>1063</v>
      </c>
      <c r="O254" t="s">
        <v>446</v>
      </c>
      <c r="P254" t="s">
        <v>1064</v>
      </c>
      <c r="Q254" t="b">
        <v>1</v>
      </c>
      <c r="R254" t="b">
        <v>0</v>
      </c>
      <c r="S254" t="s">
        <v>1038</v>
      </c>
      <c r="T254" t="s">
        <v>446</v>
      </c>
      <c r="U254" t="s">
        <v>1039</v>
      </c>
      <c r="V254" t="s">
        <v>1002</v>
      </c>
      <c r="W254" t="s">
        <v>1040</v>
      </c>
      <c r="X254" t="s">
        <v>1580</v>
      </c>
    </row>
    <row r="255" spans="1:24" x14ac:dyDescent="0.25">
      <c r="A255" t="s">
        <v>42</v>
      </c>
      <c r="B255" t="s">
        <v>1587</v>
      </c>
      <c r="C255" t="s">
        <v>336</v>
      </c>
      <c r="D255" t="s">
        <v>323</v>
      </c>
      <c r="E255" t="s">
        <v>1011</v>
      </c>
      <c r="F255">
        <v>1541</v>
      </c>
      <c r="G255" t="s">
        <v>1233</v>
      </c>
      <c r="H255" t="s">
        <v>1588</v>
      </c>
      <c r="I255" t="s">
        <v>1579</v>
      </c>
      <c r="J255" t="s">
        <v>1422</v>
      </c>
      <c r="K255" t="s">
        <v>1070</v>
      </c>
      <c r="L255" t="s">
        <v>1071</v>
      </c>
      <c r="M255" t="s">
        <v>1034</v>
      </c>
      <c r="N255" t="s">
        <v>1072</v>
      </c>
      <c r="O255" t="s">
        <v>446</v>
      </c>
      <c r="P255" t="s">
        <v>1074</v>
      </c>
      <c r="Q255" t="b">
        <v>1</v>
      </c>
      <c r="R255" t="b">
        <v>0</v>
      </c>
      <c r="S255" t="s">
        <v>1038</v>
      </c>
      <c r="T255" t="s">
        <v>446</v>
      </c>
      <c r="U255" t="s">
        <v>1039</v>
      </c>
      <c r="V255" t="s">
        <v>1002</v>
      </c>
      <c r="W255" t="s">
        <v>1040</v>
      </c>
      <c r="X255" t="s">
        <v>1580</v>
      </c>
    </row>
    <row r="256" spans="1:24" x14ac:dyDescent="0.25">
      <c r="A256" t="s">
        <v>42</v>
      </c>
      <c r="B256" t="s">
        <v>1589</v>
      </c>
      <c r="C256" t="s">
        <v>336</v>
      </c>
      <c r="D256" t="s">
        <v>323</v>
      </c>
      <c r="E256" t="s">
        <v>1013</v>
      </c>
      <c r="F256">
        <v>1395</v>
      </c>
      <c r="G256" t="s">
        <v>1233</v>
      </c>
      <c r="H256" t="s">
        <v>1590</v>
      </c>
      <c r="I256" t="s">
        <v>1579</v>
      </c>
      <c r="J256" t="s">
        <v>1422</v>
      </c>
      <c r="K256" t="s">
        <v>1077</v>
      </c>
      <c r="L256" t="s">
        <v>1078</v>
      </c>
      <c r="M256" t="s">
        <v>1034</v>
      </c>
      <c r="N256" t="s">
        <v>1079</v>
      </c>
      <c r="O256" t="s">
        <v>446</v>
      </c>
      <c r="P256" t="s">
        <v>1081</v>
      </c>
      <c r="Q256" t="b">
        <v>1</v>
      </c>
      <c r="R256" t="b">
        <v>0</v>
      </c>
      <c r="S256" t="s">
        <v>1038</v>
      </c>
      <c r="T256" t="s">
        <v>446</v>
      </c>
      <c r="U256" t="s">
        <v>1039</v>
      </c>
      <c r="V256" t="s">
        <v>1002</v>
      </c>
      <c r="W256" t="s">
        <v>1040</v>
      </c>
      <c r="X256" t="s">
        <v>1580</v>
      </c>
    </row>
    <row r="257" spans="1:24" x14ac:dyDescent="0.25">
      <c r="A257" t="s">
        <v>42</v>
      </c>
      <c r="B257" t="s">
        <v>1591</v>
      </c>
      <c r="C257" t="s">
        <v>336</v>
      </c>
      <c r="D257" t="s">
        <v>323</v>
      </c>
      <c r="E257" t="s">
        <v>1015</v>
      </c>
      <c r="F257">
        <v>1251</v>
      </c>
      <c r="G257" t="s">
        <v>1233</v>
      </c>
      <c r="H257" t="s">
        <v>1592</v>
      </c>
      <c r="I257" t="s">
        <v>1579</v>
      </c>
      <c r="J257" t="s">
        <v>1422</v>
      </c>
      <c r="K257" t="s">
        <v>1084</v>
      </c>
      <c r="L257" t="s">
        <v>1085</v>
      </c>
      <c r="M257" t="s">
        <v>1034</v>
      </c>
      <c r="N257" t="s">
        <v>1086</v>
      </c>
      <c r="O257" t="s">
        <v>446</v>
      </c>
      <c r="P257" t="s">
        <v>1088</v>
      </c>
      <c r="Q257" t="b">
        <v>1</v>
      </c>
      <c r="R257" t="b">
        <v>0</v>
      </c>
      <c r="S257" t="s">
        <v>1038</v>
      </c>
      <c r="T257" t="s">
        <v>446</v>
      </c>
      <c r="U257" t="s">
        <v>1039</v>
      </c>
      <c r="V257" t="s">
        <v>1002</v>
      </c>
      <c r="W257" t="s">
        <v>1040</v>
      </c>
      <c r="X257" t="s">
        <v>1580</v>
      </c>
    </row>
    <row r="258" spans="1:24" x14ac:dyDescent="0.25">
      <c r="A258" t="s">
        <v>42</v>
      </c>
      <c r="B258" t="s">
        <v>1593</v>
      </c>
      <c r="C258" t="s">
        <v>336</v>
      </c>
      <c r="D258" t="s">
        <v>323</v>
      </c>
      <c r="E258" t="s">
        <v>1017</v>
      </c>
      <c r="F258">
        <v>1112</v>
      </c>
      <c r="G258" t="s">
        <v>1233</v>
      </c>
      <c r="H258" t="s">
        <v>1594</v>
      </c>
      <c r="I258" t="s">
        <v>1579</v>
      </c>
      <c r="J258" t="s">
        <v>1422</v>
      </c>
      <c r="K258" t="s">
        <v>1091</v>
      </c>
      <c r="L258" t="s">
        <v>1092</v>
      </c>
      <c r="M258" t="s">
        <v>1062</v>
      </c>
      <c r="N258" t="s">
        <v>1093</v>
      </c>
      <c r="O258" t="s">
        <v>446</v>
      </c>
      <c r="P258" t="s">
        <v>1094</v>
      </c>
      <c r="Q258" t="b">
        <v>1</v>
      </c>
      <c r="R258" t="b">
        <v>0</v>
      </c>
      <c r="S258" t="s">
        <v>1038</v>
      </c>
      <c r="T258" t="s">
        <v>446</v>
      </c>
      <c r="U258" t="s">
        <v>1039</v>
      </c>
      <c r="V258" t="s">
        <v>1002</v>
      </c>
      <c r="W258" t="s">
        <v>1040</v>
      </c>
      <c r="X258" t="s">
        <v>1580</v>
      </c>
    </row>
    <row r="259" spans="1:24" x14ac:dyDescent="0.25">
      <c r="A259" t="s">
        <v>42</v>
      </c>
      <c r="B259" t="s">
        <v>1595</v>
      </c>
      <c r="C259" t="s">
        <v>336</v>
      </c>
      <c r="D259" t="s">
        <v>323</v>
      </c>
      <c r="E259" t="s">
        <v>1019</v>
      </c>
      <c r="F259">
        <v>986</v>
      </c>
      <c r="G259" t="s">
        <v>1233</v>
      </c>
      <c r="H259" t="s">
        <v>1596</v>
      </c>
      <c r="I259" t="s">
        <v>1579</v>
      </c>
      <c r="J259" t="s">
        <v>1422</v>
      </c>
      <c r="K259" t="s">
        <v>1097</v>
      </c>
      <c r="L259" t="s">
        <v>1098</v>
      </c>
      <c r="M259" t="s">
        <v>1034</v>
      </c>
      <c r="N259" t="s">
        <v>1099</v>
      </c>
      <c r="O259" t="s">
        <v>446</v>
      </c>
      <c r="P259" t="s">
        <v>1101</v>
      </c>
      <c r="Q259" t="b">
        <v>1</v>
      </c>
      <c r="R259" t="b">
        <v>0</v>
      </c>
      <c r="S259" t="s">
        <v>1038</v>
      </c>
      <c r="T259" t="s">
        <v>446</v>
      </c>
      <c r="U259" t="s">
        <v>1039</v>
      </c>
      <c r="V259" t="s">
        <v>1002</v>
      </c>
      <c r="W259" t="s">
        <v>1040</v>
      </c>
      <c r="X259" t="s">
        <v>1580</v>
      </c>
    </row>
    <row r="260" spans="1:24" x14ac:dyDescent="0.25">
      <c r="A260" t="s">
        <v>42</v>
      </c>
      <c r="B260" t="s">
        <v>1597</v>
      </c>
      <c r="C260" t="s">
        <v>336</v>
      </c>
      <c r="D260" t="s">
        <v>323</v>
      </c>
      <c r="E260" t="s">
        <v>1021</v>
      </c>
      <c r="F260">
        <v>952</v>
      </c>
      <c r="G260" t="s">
        <v>1233</v>
      </c>
      <c r="H260" t="s">
        <v>1598</v>
      </c>
      <c r="I260" t="s">
        <v>1579</v>
      </c>
      <c r="J260" t="s">
        <v>1422</v>
      </c>
      <c r="K260" t="s">
        <v>1105</v>
      </c>
      <c r="L260" t="s">
        <v>1106</v>
      </c>
      <c r="M260" t="s">
        <v>1034</v>
      </c>
      <c r="N260" t="s">
        <v>1107</v>
      </c>
      <c r="O260" t="s">
        <v>446</v>
      </c>
      <c r="P260" t="s">
        <v>1109</v>
      </c>
      <c r="Q260" t="b">
        <v>1</v>
      </c>
      <c r="R260" t="b">
        <v>0</v>
      </c>
      <c r="S260" t="s">
        <v>1038</v>
      </c>
      <c r="T260" t="s">
        <v>446</v>
      </c>
      <c r="U260" t="s">
        <v>1039</v>
      </c>
      <c r="V260" t="s">
        <v>1002</v>
      </c>
      <c r="W260" t="s">
        <v>1040</v>
      </c>
      <c r="X260" t="s">
        <v>1580</v>
      </c>
    </row>
    <row r="261" spans="1:24" x14ac:dyDescent="0.25">
      <c r="A261" t="s">
        <v>42</v>
      </c>
      <c r="B261" t="s">
        <v>1599</v>
      </c>
      <c r="C261" t="s">
        <v>336</v>
      </c>
      <c r="D261" t="s">
        <v>323</v>
      </c>
      <c r="E261" t="s">
        <v>1023</v>
      </c>
      <c r="F261">
        <v>838</v>
      </c>
      <c r="G261" t="s">
        <v>1233</v>
      </c>
      <c r="H261" t="s">
        <v>1600</v>
      </c>
      <c r="I261" t="s">
        <v>1579</v>
      </c>
      <c r="J261" t="s">
        <v>1422</v>
      </c>
      <c r="K261" t="s">
        <v>1112</v>
      </c>
      <c r="L261" t="s">
        <v>1113</v>
      </c>
      <c r="M261" t="s">
        <v>1034</v>
      </c>
      <c r="N261" t="s">
        <v>1114</v>
      </c>
      <c r="O261" t="s">
        <v>446</v>
      </c>
      <c r="P261" t="s">
        <v>1116</v>
      </c>
      <c r="Q261" t="b">
        <v>1</v>
      </c>
      <c r="R261" t="b">
        <v>0</v>
      </c>
      <c r="S261" t="s">
        <v>1038</v>
      </c>
      <c r="T261" t="s">
        <v>446</v>
      </c>
      <c r="U261" t="s">
        <v>1039</v>
      </c>
      <c r="V261" t="s">
        <v>1002</v>
      </c>
      <c r="W261" t="s">
        <v>1040</v>
      </c>
      <c r="X261" t="s">
        <v>1580</v>
      </c>
    </row>
    <row r="262" spans="1:24" x14ac:dyDescent="0.25">
      <c r="A262" t="s">
        <v>42</v>
      </c>
      <c r="B262" t="s">
        <v>1601</v>
      </c>
      <c r="C262" t="s">
        <v>336</v>
      </c>
      <c r="D262" t="s">
        <v>323</v>
      </c>
      <c r="E262" t="s">
        <v>1025</v>
      </c>
      <c r="F262">
        <v>807</v>
      </c>
      <c r="G262" t="s">
        <v>1233</v>
      </c>
      <c r="H262" t="s">
        <v>1602</v>
      </c>
      <c r="I262" t="s">
        <v>1579</v>
      </c>
      <c r="J262" t="s">
        <v>1422</v>
      </c>
      <c r="K262" t="s">
        <v>1119</v>
      </c>
      <c r="L262" t="s">
        <v>1120</v>
      </c>
      <c r="M262" t="s">
        <v>1062</v>
      </c>
      <c r="N262" t="s">
        <v>1121</v>
      </c>
      <c r="O262" t="s">
        <v>446</v>
      </c>
      <c r="P262" t="s">
        <v>1122</v>
      </c>
      <c r="Q262" t="b">
        <v>1</v>
      </c>
      <c r="R262" t="b">
        <v>0</v>
      </c>
      <c r="S262" t="s">
        <v>1038</v>
      </c>
      <c r="T262" t="s">
        <v>446</v>
      </c>
      <c r="U262" t="s">
        <v>1039</v>
      </c>
      <c r="V262" t="s">
        <v>1002</v>
      </c>
      <c r="W262" t="s">
        <v>1040</v>
      </c>
      <c r="X262" t="s">
        <v>1580</v>
      </c>
    </row>
    <row r="263" spans="1:24" x14ac:dyDescent="0.25">
      <c r="A263" t="s">
        <v>42</v>
      </c>
      <c r="B263" t="s">
        <v>1603</v>
      </c>
      <c r="C263" t="s">
        <v>336</v>
      </c>
      <c r="D263" t="s">
        <v>323</v>
      </c>
      <c r="E263" t="s">
        <v>1027</v>
      </c>
      <c r="F263">
        <v>769</v>
      </c>
      <c r="G263" t="s">
        <v>1233</v>
      </c>
      <c r="H263" t="s">
        <v>1604</v>
      </c>
      <c r="I263" t="s">
        <v>1579</v>
      </c>
      <c r="J263" t="s">
        <v>1422</v>
      </c>
      <c r="K263" t="s">
        <v>1125</v>
      </c>
      <c r="L263" t="s">
        <v>1126</v>
      </c>
      <c r="M263" t="s">
        <v>1034</v>
      </c>
      <c r="N263" t="s">
        <v>1127</v>
      </c>
      <c r="O263" t="s">
        <v>446</v>
      </c>
      <c r="P263" t="s">
        <v>1129</v>
      </c>
      <c r="Q263" t="b">
        <v>1</v>
      </c>
      <c r="R263" t="b">
        <v>0</v>
      </c>
      <c r="S263" t="s">
        <v>1038</v>
      </c>
      <c r="T263" t="s">
        <v>446</v>
      </c>
      <c r="U263" t="s">
        <v>1039</v>
      </c>
      <c r="V263" t="s">
        <v>1002</v>
      </c>
      <c r="W263" t="s">
        <v>1040</v>
      </c>
      <c r="X263" t="s">
        <v>1580</v>
      </c>
    </row>
    <row r="264" spans="1:24" x14ac:dyDescent="0.25">
      <c r="A264" t="s">
        <v>42</v>
      </c>
      <c r="B264" t="s">
        <v>1605</v>
      </c>
      <c r="C264" t="s">
        <v>336</v>
      </c>
      <c r="D264" t="s">
        <v>323</v>
      </c>
      <c r="E264" t="s">
        <v>1131</v>
      </c>
      <c r="F264">
        <v>755</v>
      </c>
      <c r="G264" t="s">
        <v>1233</v>
      </c>
      <c r="H264" t="s">
        <v>1606</v>
      </c>
      <c r="I264" t="s">
        <v>1579</v>
      </c>
      <c r="J264" t="s">
        <v>1422</v>
      </c>
      <c r="K264" t="s">
        <v>1133</v>
      </c>
      <c r="L264" t="s">
        <v>1134</v>
      </c>
      <c r="M264" t="s">
        <v>1034</v>
      </c>
      <c r="N264" t="s">
        <v>1135</v>
      </c>
      <c r="O264" t="s">
        <v>446</v>
      </c>
      <c r="P264" t="s">
        <v>1137</v>
      </c>
      <c r="Q264" t="b">
        <v>1</v>
      </c>
      <c r="R264" t="b">
        <v>0</v>
      </c>
      <c r="S264" t="s">
        <v>1038</v>
      </c>
      <c r="T264" t="s">
        <v>446</v>
      </c>
      <c r="U264" t="s">
        <v>1039</v>
      </c>
      <c r="V264" t="s">
        <v>1002</v>
      </c>
      <c r="W264" t="s">
        <v>1040</v>
      </c>
      <c r="X264" t="s">
        <v>1580</v>
      </c>
    </row>
    <row r="265" spans="1:24" x14ac:dyDescent="0.25">
      <c r="A265" t="s">
        <v>42</v>
      </c>
      <c r="B265" t="s">
        <v>1607</v>
      </c>
      <c r="C265" t="s">
        <v>337</v>
      </c>
      <c r="D265" t="s">
        <v>323</v>
      </c>
      <c r="E265" t="s">
        <v>998</v>
      </c>
      <c r="F265">
        <v>4365</v>
      </c>
      <c r="G265" t="s">
        <v>1233</v>
      </c>
      <c r="H265" t="s">
        <v>1608</v>
      </c>
      <c r="I265" t="s">
        <v>337</v>
      </c>
      <c r="J265" t="s">
        <v>1422</v>
      </c>
      <c r="K265" t="s">
        <v>1032</v>
      </c>
      <c r="L265" t="s">
        <v>1033</v>
      </c>
      <c r="M265" t="s">
        <v>1034</v>
      </c>
      <c r="N265" t="s">
        <v>1035</v>
      </c>
      <c r="O265" t="s">
        <v>446</v>
      </c>
      <c r="P265" t="s">
        <v>1037</v>
      </c>
      <c r="Q265" t="b">
        <v>1</v>
      </c>
      <c r="R265" t="b">
        <v>0</v>
      </c>
      <c r="S265" t="s">
        <v>1038</v>
      </c>
      <c r="T265" t="s">
        <v>446</v>
      </c>
      <c r="U265" t="s">
        <v>1039</v>
      </c>
      <c r="V265" t="s">
        <v>1002</v>
      </c>
      <c r="W265" t="s">
        <v>1040</v>
      </c>
      <c r="X265" t="s">
        <v>446</v>
      </c>
    </row>
    <row r="266" spans="1:24" x14ac:dyDescent="0.25">
      <c r="A266" t="s">
        <v>42</v>
      </c>
      <c r="B266" t="s">
        <v>1609</v>
      </c>
      <c r="C266" t="s">
        <v>337</v>
      </c>
      <c r="D266" t="s">
        <v>323</v>
      </c>
      <c r="E266" t="s">
        <v>1005</v>
      </c>
      <c r="F266">
        <v>4372</v>
      </c>
      <c r="G266" t="s">
        <v>1233</v>
      </c>
      <c r="H266" t="s">
        <v>1610</v>
      </c>
      <c r="I266" t="s">
        <v>337</v>
      </c>
      <c r="J266" t="s">
        <v>1422</v>
      </c>
      <c r="K266" t="s">
        <v>1044</v>
      </c>
      <c r="L266" t="s">
        <v>1045</v>
      </c>
      <c r="M266" t="s">
        <v>1034</v>
      </c>
      <c r="N266" t="s">
        <v>1046</v>
      </c>
      <c r="O266" t="s">
        <v>446</v>
      </c>
      <c r="P266" t="s">
        <v>1048</v>
      </c>
      <c r="Q266" t="b">
        <v>1</v>
      </c>
      <c r="R266" t="b">
        <v>0</v>
      </c>
      <c r="S266" t="s">
        <v>1038</v>
      </c>
      <c r="T266" t="s">
        <v>446</v>
      </c>
      <c r="U266" t="s">
        <v>1039</v>
      </c>
      <c r="V266" t="s">
        <v>1002</v>
      </c>
      <c r="W266" t="s">
        <v>1040</v>
      </c>
      <c r="X266" t="s">
        <v>446</v>
      </c>
    </row>
    <row r="267" spans="1:24" x14ac:dyDescent="0.25">
      <c r="A267" t="s">
        <v>42</v>
      </c>
      <c r="B267" t="s">
        <v>1611</v>
      </c>
      <c r="C267" t="s">
        <v>337</v>
      </c>
      <c r="D267" t="s">
        <v>323</v>
      </c>
      <c r="E267" t="s">
        <v>1007</v>
      </c>
      <c r="F267">
        <v>4372</v>
      </c>
      <c r="G267" t="s">
        <v>1233</v>
      </c>
      <c r="H267" t="s">
        <v>1610</v>
      </c>
      <c r="I267" t="s">
        <v>337</v>
      </c>
      <c r="J267" t="s">
        <v>1422</v>
      </c>
      <c r="K267" t="s">
        <v>1051</v>
      </c>
      <c r="L267" t="s">
        <v>1052</v>
      </c>
      <c r="M267" t="s">
        <v>1034</v>
      </c>
      <c r="N267" t="s">
        <v>1053</v>
      </c>
      <c r="O267" t="s">
        <v>446</v>
      </c>
      <c r="P267" t="s">
        <v>1055</v>
      </c>
      <c r="Q267" t="b">
        <v>1</v>
      </c>
      <c r="R267" t="b">
        <v>0</v>
      </c>
      <c r="S267" t="s">
        <v>1038</v>
      </c>
      <c r="T267" t="s">
        <v>446</v>
      </c>
      <c r="U267" t="s">
        <v>1039</v>
      </c>
      <c r="V267" t="s">
        <v>1002</v>
      </c>
      <c r="W267" t="s">
        <v>1040</v>
      </c>
      <c r="X267" t="s">
        <v>446</v>
      </c>
    </row>
    <row r="268" spans="1:24" x14ac:dyDescent="0.25">
      <c r="A268" t="s">
        <v>42</v>
      </c>
      <c r="B268" t="s">
        <v>1612</v>
      </c>
      <c r="C268" t="s">
        <v>337</v>
      </c>
      <c r="D268" t="s">
        <v>323</v>
      </c>
      <c r="E268" t="s">
        <v>1009</v>
      </c>
      <c r="F268">
        <v>4372</v>
      </c>
      <c r="G268" t="s">
        <v>1233</v>
      </c>
      <c r="H268" t="s">
        <v>1610</v>
      </c>
      <c r="I268" t="s">
        <v>337</v>
      </c>
      <c r="J268" t="s">
        <v>1422</v>
      </c>
      <c r="K268" t="s">
        <v>1060</v>
      </c>
      <c r="L268" t="s">
        <v>1061</v>
      </c>
      <c r="M268" t="s">
        <v>1062</v>
      </c>
      <c r="N268" t="s">
        <v>1063</v>
      </c>
      <c r="O268" t="s">
        <v>446</v>
      </c>
      <c r="P268" t="s">
        <v>1064</v>
      </c>
      <c r="Q268" t="b">
        <v>1</v>
      </c>
      <c r="R268" t="b">
        <v>0</v>
      </c>
      <c r="S268" t="s">
        <v>1038</v>
      </c>
      <c r="T268" t="s">
        <v>446</v>
      </c>
      <c r="U268" t="s">
        <v>1039</v>
      </c>
      <c r="V268" t="s">
        <v>1002</v>
      </c>
      <c r="W268" t="s">
        <v>1040</v>
      </c>
      <c r="X268" t="s">
        <v>446</v>
      </c>
    </row>
    <row r="269" spans="1:24" x14ac:dyDescent="0.25">
      <c r="A269" t="s">
        <v>42</v>
      </c>
      <c r="B269" t="s">
        <v>1613</v>
      </c>
      <c r="C269" t="s">
        <v>337</v>
      </c>
      <c r="D269" t="s">
        <v>323</v>
      </c>
      <c r="E269" t="s">
        <v>1011</v>
      </c>
      <c r="F269">
        <v>4430</v>
      </c>
      <c r="G269" t="s">
        <v>1233</v>
      </c>
      <c r="H269" t="s">
        <v>1614</v>
      </c>
      <c r="I269" t="s">
        <v>337</v>
      </c>
      <c r="J269" t="s">
        <v>1422</v>
      </c>
      <c r="K269" t="s">
        <v>1070</v>
      </c>
      <c r="L269" t="s">
        <v>1071</v>
      </c>
      <c r="M269" t="s">
        <v>1034</v>
      </c>
      <c r="N269" t="s">
        <v>1072</v>
      </c>
      <c r="O269" t="s">
        <v>446</v>
      </c>
      <c r="P269" t="s">
        <v>1074</v>
      </c>
      <c r="Q269" t="b">
        <v>1</v>
      </c>
      <c r="R269" t="b">
        <v>0</v>
      </c>
      <c r="S269" t="s">
        <v>1038</v>
      </c>
      <c r="T269" t="s">
        <v>446</v>
      </c>
      <c r="U269" t="s">
        <v>1039</v>
      </c>
      <c r="V269" t="s">
        <v>1002</v>
      </c>
      <c r="W269" t="s">
        <v>1040</v>
      </c>
      <c r="X269" t="s">
        <v>446</v>
      </c>
    </row>
    <row r="270" spans="1:24" x14ac:dyDescent="0.25">
      <c r="A270" t="s">
        <v>42</v>
      </c>
      <c r="B270" t="s">
        <v>1615</v>
      </c>
      <c r="C270" t="s">
        <v>337</v>
      </c>
      <c r="D270" t="s">
        <v>323</v>
      </c>
      <c r="E270" t="s">
        <v>1013</v>
      </c>
      <c r="F270">
        <v>4430</v>
      </c>
      <c r="G270" t="s">
        <v>1233</v>
      </c>
      <c r="H270" t="s">
        <v>1614</v>
      </c>
      <c r="I270" t="s">
        <v>337</v>
      </c>
      <c r="J270" t="s">
        <v>1422</v>
      </c>
      <c r="K270" t="s">
        <v>1077</v>
      </c>
      <c r="L270" t="s">
        <v>1078</v>
      </c>
      <c r="M270" t="s">
        <v>1034</v>
      </c>
      <c r="N270" t="s">
        <v>1079</v>
      </c>
      <c r="O270" t="s">
        <v>446</v>
      </c>
      <c r="P270" t="s">
        <v>1081</v>
      </c>
      <c r="Q270" t="b">
        <v>1</v>
      </c>
      <c r="R270" t="b">
        <v>0</v>
      </c>
      <c r="S270" t="s">
        <v>1038</v>
      </c>
      <c r="T270" t="s">
        <v>446</v>
      </c>
      <c r="U270" t="s">
        <v>1039</v>
      </c>
      <c r="V270" t="s">
        <v>1002</v>
      </c>
      <c r="W270" t="s">
        <v>1040</v>
      </c>
      <c r="X270" t="s">
        <v>446</v>
      </c>
    </row>
    <row r="271" spans="1:24" x14ac:dyDescent="0.25">
      <c r="A271" t="s">
        <v>42</v>
      </c>
      <c r="B271" t="s">
        <v>1616</v>
      </c>
      <c r="C271" t="s">
        <v>337</v>
      </c>
      <c r="D271" t="s">
        <v>323</v>
      </c>
      <c r="E271" t="s">
        <v>1015</v>
      </c>
      <c r="F271">
        <v>4430</v>
      </c>
      <c r="G271" t="s">
        <v>1233</v>
      </c>
      <c r="H271" t="s">
        <v>1614</v>
      </c>
      <c r="I271" t="s">
        <v>337</v>
      </c>
      <c r="J271" t="s">
        <v>1422</v>
      </c>
      <c r="K271" t="s">
        <v>1084</v>
      </c>
      <c r="L271" t="s">
        <v>1085</v>
      </c>
      <c r="M271" t="s">
        <v>1034</v>
      </c>
      <c r="N271" t="s">
        <v>1086</v>
      </c>
      <c r="O271" t="s">
        <v>446</v>
      </c>
      <c r="P271" t="s">
        <v>1088</v>
      </c>
      <c r="Q271" t="b">
        <v>1</v>
      </c>
      <c r="R271" t="b">
        <v>0</v>
      </c>
      <c r="S271" t="s">
        <v>1038</v>
      </c>
      <c r="T271" t="s">
        <v>446</v>
      </c>
      <c r="U271" t="s">
        <v>1039</v>
      </c>
      <c r="V271" t="s">
        <v>1002</v>
      </c>
      <c r="W271" t="s">
        <v>1040</v>
      </c>
      <c r="X271" t="s">
        <v>446</v>
      </c>
    </row>
    <row r="272" spans="1:24" x14ac:dyDescent="0.25">
      <c r="A272" t="s">
        <v>42</v>
      </c>
      <c r="B272" t="s">
        <v>1617</v>
      </c>
      <c r="C272" t="s">
        <v>337</v>
      </c>
      <c r="D272" t="s">
        <v>323</v>
      </c>
      <c r="E272" t="s">
        <v>1017</v>
      </c>
      <c r="F272">
        <v>4430</v>
      </c>
      <c r="G272" t="s">
        <v>1233</v>
      </c>
      <c r="H272" t="s">
        <v>1614</v>
      </c>
      <c r="I272" t="s">
        <v>337</v>
      </c>
      <c r="J272" t="s">
        <v>1422</v>
      </c>
      <c r="K272" t="s">
        <v>1091</v>
      </c>
      <c r="L272" t="s">
        <v>1092</v>
      </c>
      <c r="M272" t="s">
        <v>1062</v>
      </c>
      <c r="N272" t="s">
        <v>1093</v>
      </c>
      <c r="O272" t="s">
        <v>446</v>
      </c>
      <c r="P272" t="s">
        <v>1094</v>
      </c>
      <c r="Q272" t="b">
        <v>1</v>
      </c>
      <c r="R272" t="b">
        <v>0</v>
      </c>
      <c r="S272" t="s">
        <v>1038</v>
      </c>
      <c r="T272" t="s">
        <v>446</v>
      </c>
      <c r="U272" t="s">
        <v>1039</v>
      </c>
      <c r="V272" t="s">
        <v>1002</v>
      </c>
      <c r="W272" t="s">
        <v>1040</v>
      </c>
      <c r="X272" t="s">
        <v>446</v>
      </c>
    </row>
    <row r="273" spans="1:24" x14ac:dyDescent="0.25">
      <c r="A273" t="s">
        <v>42</v>
      </c>
      <c r="B273" t="s">
        <v>1618</v>
      </c>
      <c r="C273" t="s">
        <v>337</v>
      </c>
      <c r="D273" t="s">
        <v>323</v>
      </c>
      <c r="E273" t="s">
        <v>1019</v>
      </c>
      <c r="F273">
        <v>4453</v>
      </c>
      <c r="G273" t="s">
        <v>1233</v>
      </c>
      <c r="H273" t="s">
        <v>1619</v>
      </c>
      <c r="I273" t="s">
        <v>337</v>
      </c>
      <c r="J273" t="s">
        <v>1422</v>
      </c>
      <c r="K273" t="s">
        <v>1097</v>
      </c>
      <c r="L273" t="s">
        <v>1098</v>
      </c>
      <c r="M273" t="s">
        <v>1034</v>
      </c>
      <c r="N273" t="s">
        <v>1099</v>
      </c>
      <c r="O273" t="s">
        <v>446</v>
      </c>
      <c r="P273" t="s">
        <v>1101</v>
      </c>
      <c r="Q273" t="b">
        <v>1</v>
      </c>
      <c r="R273" t="b">
        <v>0</v>
      </c>
      <c r="S273" t="s">
        <v>1038</v>
      </c>
      <c r="T273" t="s">
        <v>446</v>
      </c>
      <c r="U273" t="s">
        <v>1039</v>
      </c>
      <c r="V273" t="s">
        <v>1002</v>
      </c>
      <c r="W273" t="s">
        <v>1040</v>
      </c>
      <c r="X273" t="s">
        <v>446</v>
      </c>
    </row>
    <row r="274" spans="1:24" x14ac:dyDescent="0.25">
      <c r="A274" t="s">
        <v>42</v>
      </c>
      <c r="B274" t="s">
        <v>1620</v>
      </c>
      <c r="C274" t="s">
        <v>337</v>
      </c>
      <c r="D274" t="s">
        <v>323</v>
      </c>
      <c r="E274" t="s">
        <v>1021</v>
      </c>
      <c r="F274">
        <v>4622</v>
      </c>
      <c r="G274" t="s">
        <v>1233</v>
      </c>
      <c r="H274" t="s">
        <v>1621</v>
      </c>
      <c r="I274" t="s">
        <v>337</v>
      </c>
      <c r="J274" t="s">
        <v>1422</v>
      </c>
      <c r="K274" t="s">
        <v>1105</v>
      </c>
      <c r="L274" t="s">
        <v>1106</v>
      </c>
      <c r="M274" t="s">
        <v>1034</v>
      </c>
      <c r="N274" t="s">
        <v>1107</v>
      </c>
      <c r="O274" t="s">
        <v>446</v>
      </c>
      <c r="P274" t="s">
        <v>1109</v>
      </c>
      <c r="Q274" t="b">
        <v>1</v>
      </c>
      <c r="R274" t="b">
        <v>0</v>
      </c>
      <c r="S274" t="s">
        <v>1038</v>
      </c>
      <c r="T274" t="s">
        <v>446</v>
      </c>
      <c r="U274" t="s">
        <v>1039</v>
      </c>
      <c r="V274" t="s">
        <v>1002</v>
      </c>
      <c r="W274" t="s">
        <v>1040</v>
      </c>
      <c r="X274" t="s">
        <v>446</v>
      </c>
    </row>
    <row r="275" spans="1:24" x14ac:dyDescent="0.25">
      <c r="A275" t="s">
        <v>42</v>
      </c>
      <c r="B275" t="s">
        <v>1622</v>
      </c>
      <c r="C275" t="s">
        <v>337</v>
      </c>
      <c r="D275" t="s">
        <v>323</v>
      </c>
      <c r="E275" t="s">
        <v>1023</v>
      </c>
      <c r="F275">
        <v>4724</v>
      </c>
      <c r="G275" t="s">
        <v>1233</v>
      </c>
      <c r="H275" t="s">
        <v>1623</v>
      </c>
      <c r="I275" t="s">
        <v>337</v>
      </c>
      <c r="J275" t="s">
        <v>1422</v>
      </c>
      <c r="K275" t="s">
        <v>1112</v>
      </c>
      <c r="L275" t="s">
        <v>1113</v>
      </c>
      <c r="M275" t="s">
        <v>1034</v>
      </c>
      <c r="N275" t="s">
        <v>1114</v>
      </c>
      <c r="O275" t="s">
        <v>446</v>
      </c>
      <c r="P275" t="s">
        <v>1116</v>
      </c>
      <c r="Q275" t="b">
        <v>1</v>
      </c>
      <c r="R275" t="b">
        <v>0</v>
      </c>
      <c r="S275" t="s">
        <v>1038</v>
      </c>
      <c r="T275" t="s">
        <v>446</v>
      </c>
      <c r="U275" t="s">
        <v>1039</v>
      </c>
      <c r="V275" t="s">
        <v>1002</v>
      </c>
      <c r="W275" t="s">
        <v>1040</v>
      </c>
      <c r="X275" t="s">
        <v>446</v>
      </c>
    </row>
    <row r="276" spans="1:24" x14ac:dyDescent="0.25">
      <c r="A276" t="s">
        <v>42</v>
      </c>
      <c r="B276" t="s">
        <v>1624</v>
      </c>
      <c r="C276" t="s">
        <v>337</v>
      </c>
      <c r="D276" t="s">
        <v>323</v>
      </c>
      <c r="E276" t="s">
        <v>1025</v>
      </c>
      <c r="F276">
        <v>5188</v>
      </c>
      <c r="G276" t="s">
        <v>1233</v>
      </c>
      <c r="H276" t="s">
        <v>1625</v>
      </c>
      <c r="I276" t="s">
        <v>337</v>
      </c>
      <c r="J276" t="s">
        <v>1422</v>
      </c>
      <c r="K276" t="s">
        <v>1119</v>
      </c>
      <c r="L276" t="s">
        <v>1120</v>
      </c>
      <c r="M276" t="s">
        <v>1062</v>
      </c>
      <c r="N276" t="s">
        <v>1121</v>
      </c>
      <c r="O276" t="s">
        <v>446</v>
      </c>
      <c r="P276" t="s">
        <v>1122</v>
      </c>
      <c r="Q276" t="b">
        <v>1</v>
      </c>
      <c r="R276" t="b">
        <v>0</v>
      </c>
      <c r="S276" t="s">
        <v>1038</v>
      </c>
      <c r="T276" t="s">
        <v>446</v>
      </c>
      <c r="U276" t="s">
        <v>1039</v>
      </c>
      <c r="V276" t="s">
        <v>1002</v>
      </c>
      <c r="W276" t="s">
        <v>1040</v>
      </c>
      <c r="X276" t="s">
        <v>446</v>
      </c>
    </row>
    <row r="277" spans="1:24" x14ac:dyDescent="0.25">
      <c r="A277" t="s">
        <v>42</v>
      </c>
      <c r="B277" t="s">
        <v>1626</v>
      </c>
      <c r="C277" t="s">
        <v>337</v>
      </c>
      <c r="D277" t="s">
        <v>323</v>
      </c>
      <c r="E277" t="s">
        <v>1027</v>
      </c>
      <c r="F277">
        <v>5498</v>
      </c>
      <c r="G277" t="s">
        <v>1233</v>
      </c>
      <c r="H277" t="s">
        <v>1627</v>
      </c>
      <c r="I277" t="s">
        <v>337</v>
      </c>
      <c r="J277" t="s">
        <v>1422</v>
      </c>
      <c r="K277" t="s">
        <v>1125</v>
      </c>
      <c r="L277" t="s">
        <v>1126</v>
      </c>
      <c r="M277" t="s">
        <v>1034</v>
      </c>
      <c r="N277" t="s">
        <v>1127</v>
      </c>
      <c r="O277" t="s">
        <v>446</v>
      </c>
      <c r="P277" t="s">
        <v>1129</v>
      </c>
      <c r="Q277" t="b">
        <v>1</v>
      </c>
      <c r="R277" t="b">
        <v>0</v>
      </c>
      <c r="S277" t="s">
        <v>1038</v>
      </c>
      <c r="T277" t="s">
        <v>446</v>
      </c>
      <c r="U277" t="s">
        <v>1039</v>
      </c>
      <c r="V277" t="s">
        <v>1002</v>
      </c>
      <c r="W277" t="s">
        <v>1040</v>
      </c>
      <c r="X277" t="s">
        <v>446</v>
      </c>
    </row>
    <row r="278" spans="1:24" x14ac:dyDescent="0.25">
      <c r="A278" t="s">
        <v>42</v>
      </c>
      <c r="B278" t="s">
        <v>1628</v>
      </c>
      <c r="C278" t="s">
        <v>337</v>
      </c>
      <c r="D278" t="s">
        <v>323</v>
      </c>
      <c r="E278" t="s">
        <v>1131</v>
      </c>
      <c r="F278">
        <v>5755</v>
      </c>
      <c r="G278" t="s">
        <v>1233</v>
      </c>
      <c r="H278" t="s">
        <v>1629</v>
      </c>
      <c r="I278" t="s">
        <v>337</v>
      </c>
      <c r="J278" t="s">
        <v>1422</v>
      </c>
      <c r="K278" t="s">
        <v>1133</v>
      </c>
      <c r="L278" t="s">
        <v>1134</v>
      </c>
      <c r="M278" t="s">
        <v>1034</v>
      </c>
      <c r="N278" t="s">
        <v>1135</v>
      </c>
      <c r="O278" t="s">
        <v>446</v>
      </c>
      <c r="P278" t="s">
        <v>1137</v>
      </c>
      <c r="Q278" t="b">
        <v>1</v>
      </c>
      <c r="R278" t="b">
        <v>0</v>
      </c>
      <c r="S278" t="s">
        <v>1038</v>
      </c>
      <c r="T278" t="s">
        <v>446</v>
      </c>
      <c r="U278" t="s">
        <v>1039</v>
      </c>
      <c r="V278" t="s">
        <v>1002</v>
      </c>
      <c r="W278" t="s">
        <v>1040</v>
      </c>
      <c r="X278" t="s">
        <v>446</v>
      </c>
    </row>
    <row r="279" spans="1:24" x14ac:dyDescent="0.25">
      <c r="A279" t="s">
        <v>42</v>
      </c>
      <c r="B279" t="s">
        <v>1630</v>
      </c>
      <c r="C279" t="s">
        <v>338</v>
      </c>
      <c r="D279" t="s">
        <v>323</v>
      </c>
      <c r="E279" t="s">
        <v>998</v>
      </c>
      <c r="F279">
        <v>6145</v>
      </c>
      <c r="G279" t="s">
        <v>1451</v>
      </c>
      <c r="H279" t="s">
        <v>1631</v>
      </c>
      <c r="I279" t="s">
        <v>1632</v>
      </c>
      <c r="J279" t="s">
        <v>1422</v>
      </c>
      <c r="K279" t="s">
        <v>1032</v>
      </c>
      <c r="L279" t="s">
        <v>1033</v>
      </c>
      <c r="M279" t="s">
        <v>1034</v>
      </c>
      <c r="N279" t="s">
        <v>1035</v>
      </c>
      <c r="O279" t="s">
        <v>446</v>
      </c>
      <c r="P279" t="s">
        <v>1037</v>
      </c>
      <c r="Q279" t="b">
        <v>0</v>
      </c>
      <c r="R279" t="b">
        <v>1</v>
      </c>
      <c r="S279" t="s">
        <v>1633</v>
      </c>
      <c r="T279" t="s">
        <v>1634</v>
      </c>
      <c r="U279" t="s">
        <v>1455</v>
      </c>
      <c r="V279" t="s">
        <v>1456</v>
      </c>
      <c r="W279" t="s">
        <v>1635</v>
      </c>
      <c r="X279" t="s">
        <v>1636</v>
      </c>
    </row>
    <row r="280" spans="1:24" x14ac:dyDescent="0.25">
      <c r="A280" t="s">
        <v>42</v>
      </c>
      <c r="B280" t="s">
        <v>1637</v>
      </c>
      <c r="C280" t="s">
        <v>338</v>
      </c>
      <c r="D280" t="s">
        <v>323</v>
      </c>
      <c r="E280" t="s">
        <v>1005</v>
      </c>
      <c r="F280">
        <v>6417</v>
      </c>
      <c r="G280" t="s">
        <v>1451</v>
      </c>
      <c r="H280" t="s">
        <v>1638</v>
      </c>
      <c r="I280" t="s">
        <v>1632</v>
      </c>
      <c r="J280" t="s">
        <v>1422</v>
      </c>
      <c r="K280" t="s">
        <v>1044</v>
      </c>
      <c r="L280" t="s">
        <v>1045</v>
      </c>
      <c r="M280" t="s">
        <v>1034</v>
      </c>
      <c r="N280" t="s">
        <v>1046</v>
      </c>
      <c r="O280" t="s">
        <v>446</v>
      </c>
      <c r="P280" t="s">
        <v>1048</v>
      </c>
      <c r="Q280" t="b">
        <v>0</v>
      </c>
      <c r="R280" t="b">
        <v>1</v>
      </c>
      <c r="S280" t="s">
        <v>1633</v>
      </c>
      <c r="T280" t="s">
        <v>1634</v>
      </c>
      <c r="U280" t="s">
        <v>1455</v>
      </c>
      <c r="V280" t="s">
        <v>1456</v>
      </c>
      <c r="W280" t="s">
        <v>1635</v>
      </c>
      <c r="X280" t="s">
        <v>1636</v>
      </c>
    </row>
    <row r="281" spans="1:24" x14ac:dyDescent="0.25">
      <c r="A281" t="s">
        <v>42</v>
      </c>
      <c r="B281" t="s">
        <v>1639</v>
      </c>
      <c r="C281" t="s">
        <v>338</v>
      </c>
      <c r="D281" t="s">
        <v>323</v>
      </c>
      <c r="E281" t="s">
        <v>1007</v>
      </c>
      <c r="F281">
        <v>7269</v>
      </c>
      <c r="G281" t="s">
        <v>1451</v>
      </c>
      <c r="H281" t="s">
        <v>1640</v>
      </c>
      <c r="I281" t="s">
        <v>1632</v>
      </c>
      <c r="J281" t="s">
        <v>1422</v>
      </c>
      <c r="K281" t="s">
        <v>1051</v>
      </c>
      <c r="L281" t="s">
        <v>1052</v>
      </c>
      <c r="M281" t="s">
        <v>1034</v>
      </c>
      <c r="N281" t="s">
        <v>1053</v>
      </c>
      <c r="O281" t="s">
        <v>446</v>
      </c>
      <c r="P281" t="s">
        <v>1055</v>
      </c>
      <c r="Q281" t="b">
        <v>0</v>
      </c>
      <c r="R281" t="b">
        <v>1</v>
      </c>
      <c r="S281" t="s">
        <v>1633</v>
      </c>
      <c r="T281" t="s">
        <v>1634</v>
      </c>
      <c r="U281" t="s">
        <v>1455</v>
      </c>
      <c r="V281" t="s">
        <v>1456</v>
      </c>
      <c r="W281" t="s">
        <v>1635</v>
      </c>
      <c r="X281" t="s">
        <v>1636</v>
      </c>
    </row>
    <row r="282" spans="1:24" x14ac:dyDescent="0.25">
      <c r="A282" t="s">
        <v>42</v>
      </c>
      <c r="B282" t="s">
        <v>1641</v>
      </c>
      <c r="C282" t="s">
        <v>338</v>
      </c>
      <c r="D282" t="s">
        <v>323</v>
      </c>
      <c r="E282" t="s">
        <v>1009</v>
      </c>
      <c r="F282">
        <v>8254</v>
      </c>
      <c r="G282" t="s">
        <v>1451</v>
      </c>
      <c r="H282" t="s">
        <v>1642</v>
      </c>
      <c r="I282" t="s">
        <v>1632</v>
      </c>
      <c r="J282" t="s">
        <v>1422</v>
      </c>
      <c r="K282" t="s">
        <v>1060</v>
      </c>
      <c r="L282" t="s">
        <v>1061</v>
      </c>
      <c r="M282" t="s">
        <v>1062</v>
      </c>
      <c r="N282" t="s">
        <v>1063</v>
      </c>
      <c r="O282" t="s">
        <v>446</v>
      </c>
      <c r="P282" t="s">
        <v>1064</v>
      </c>
      <c r="Q282" t="b">
        <v>0</v>
      </c>
      <c r="R282" t="b">
        <v>1</v>
      </c>
      <c r="S282" t="s">
        <v>1633</v>
      </c>
      <c r="T282" t="s">
        <v>1634</v>
      </c>
      <c r="U282" t="s">
        <v>1455</v>
      </c>
      <c r="V282" t="s">
        <v>1456</v>
      </c>
      <c r="W282" t="s">
        <v>1635</v>
      </c>
      <c r="X282" t="s">
        <v>1636</v>
      </c>
    </row>
    <row r="283" spans="1:24" x14ac:dyDescent="0.25">
      <c r="A283" t="s">
        <v>42</v>
      </c>
      <c r="B283" t="s">
        <v>1643</v>
      </c>
      <c r="C283" t="s">
        <v>338</v>
      </c>
      <c r="D283" t="s">
        <v>323</v>
      </c>
      <c r="E283" t="s">
        <v>1011</v>
      </c>
      <c r="F283">
        <v>9866</v>
      </c>
      <c r="G283" t="s">
        <v>1451</v>
      </c>
      <c r="H283" t="s">
        <v>1644</v>
      </c>
      <c r="I283" t="s">
        <v>1632</v>
      </c>
      <c r="J283" t="s">
        <v>1422</v>
      </c>
      <c r="K283" t="s">
        <v>1070</v>
      </c>
      <c r="L283" t="s">
        <v>1071</v>
      </c>
      <c r="M283" t="s">
        <v>1034</v>
      </c>
      <c r="N283" t="s">
        <v>1072</v>
      </c>
      <c r="O283" t="s">
        <v>446</v>
      </c>
      <c r="P283" t="s">
        <v>1074</v>
      </c>
      <c r="Q283" t="b">
        <v>0</v>
      </c>
      <c r="R283" t="b">
        <v>1</v>
      </c>
      <c r="S283" t="s">
        <v>1633</v>
      </c>
      <c r="T283" t="s">
        <v>1634</v>
      </c>
      <c r="U283" t="s">
        <v>1455</v>
      </c>
      <c r="V283" t="s">
        <v>1456</v>
      </c>
      <c r="W283" t="s">
        <v>1635</v>
      </c>
      <c r="X283" t="s">
        <v>1636</v>
      </c>
    </row>
    <row r="284" spans="1:24" x14ac:dyDescent="0.25">
      <c r="A284" t="s">
        <v>42</v>
      </c>
      <c r="B284" t="s">
        <v>1645</v>
      </c>
      <c r="C284" t="s">
        <v>338</v>
      </c>
      <c r="D284" t="s">
        <v>323</v>
      </c>
      <c r="E284" t="s">
        <v>1013</v>
      </c>
      <c r="F284">
        <v>11134</v>
      </c>
      <c r="G284" t="s">
        <v>1451</v>
      </c>
      <c r="H284" t="s">
        <v>1646</v>
      </c>
      <c r="I284" t="s">
        <v>1632</v>
      </c>
      <c r="J284" t="s">
        <v>1422</v>
      </c>
      <c r="K284" t="s">
        <v>1077</v>
      </c>
      <c r="L284" t="s">
        <v>1078</v>
      </c>
      <c r="M284" t="s">
        <v>1034</v>
      </c>
      <c r="N284" t="s">
        <v>1079</v>
      </c>
      <c r="O284" t="s">
        <v>446</v>
      </c>
      <c r="P284" t="s">
        <v>1081</v>
      </c>
      <c r="Q284" t="b">
        <v>0</v>
      </c>
      <c r="R284" t="b">
        <v>1</v>
      </c>
      <c r="S284" t="s">
        <v>1633</v>
      </c>
      <c r="T284" t="s">
        <v>1634</v>
      </c>
      <c r="U284" t="s">
        <v>1455</v>
      </c>
      <c r="V284" t="s">
        <v>1456</v>
      </c>
      <c r="W284" t="s">
        <v>1635</v>
      </c>
      <c r="X284" t="s">
        <v>1636</v>
      </c>
    </row>
    <row r="285" spans="1:24" x14ac:dyDescent="0.25">
      <c r="A285" t="s">
        <v>42</v>
      </c>
      <c r="B285" t="s">
        <v>1647</v>
      </c>
      <c r="C285" t="s">
        <v>338</v>
      </c>
      <c r="D285" t="s">
        <v>323</v>
      </c>
      <c r="E285" t="s">
        <v>1015</v>
      </c>
      <c r="F285">
        <v>11965</v>
      </c>
      <c r="G285" t="s">
        <v>1451</v>
      </c>
      <c r="H285" t="s">
        <v>1648</v>
      </c>
      <c r="I285" t="s">
        <v>1632</v>
      </c>
      <c r="J285" t="s">
        <v>1422</v>
      </c>
      <c r="K285" t="s">
        <v>1084</v>
      </c>
      <c r="L285" t="s">
        <v>1085</v>
      </c>
      <c r="M285" t="s">
        <v>1034</v>
      </c>
      <c r="N285" t="s">
        <v>1086</v>
      </c>
      <c r="O285" t="s">
        <v>446</v>
      </c>
      <c r="P285" t="s">
        <v>1088</v>
      </c>
      <c r="Q285" t="b">
        <v>0</v>
      </c>
      <c r="R285" t="b">
        <v>1</v>
      </c>
      <c r="S285" t="s">
        <v>1633</v>
      </c>
      <c r="T285" t="s">
        <v>1634</v>
      </c>
      <c r="U285" t="s">
        <v>1455</v>
      </c>
      <c r="V285" t="s">
        <v>1456</v>
      </c>
      <c r="W285" t="s">
        <v>1635</v>
      </c>
      <c r="X285" t="s">
        <v>1636</v>
      </c>
    </row>
    <row r="286" spans="1:24" x14ac:dyDescent="0.25">
      <c r="A286" t="s">
        <v>42</v>
      </c>
      <c r="B286" t="s">
        <v>1649</v>
      </c>
      <c r="C286" t="s">
        <v>338</v>
      </c>
      <c r="D286" t="s">
        <v>323</v>
      </c>
      <c r="E286" t="s">
        <v>1017</v>
      </c>
      <c r="F286">
        <v>11927</v>
      </c>
      <c r="G286" t="s">
        <v>1451</v>
      </c>
      <c r="H286" t="s">
        <v>1650</v>
      </c>
      <c r="I286" t="s">
        <v>1632</v>
      </c>
      <c r="J286" t="s">
        <v>1422</v>
      </c>
      <c r="K286" t="s">
        <v>1091</v>
      </c>
      <c r="L286" t="s">
        <v>1092</v>
      </c>
      <c r="M286" t="s">
        <v>1062</v>
      </c>
      <c r="N286" t="s">
        <v>1093</v>
      </c>
      <c r="O286" t="s">
        <v>446</v>
      </c>
      <c r="P286" t="s">
        <v>1094</v>
      </c>
      <c r="Q286" t="b">
        <v>0</v>
      </c>
      <c r="R286" t="b">
        <v>1</v>
      </c>
      <c r="S286" t="s">
        <v>1633</v>
      </c>
      <c r="T286" t="s">
        <v>1634</v>
      </c>
      <c r="U286" t="s">
        <v>1455</v>
      </c>
      <c r="V286" t="s">
        <v>1456</v>
      </c>
      <c r="W286" t="s">
        <v>1635</v>
      </c>
      <c r="X286" t="s">
        <v>1636</v>
      </c>
    </row>
    <row r="287" spans="1:24" x14ac:dyDescent="0.25">
      <c r="A287" t="s">
        <v>42</v>
      </c>
      <c r="B287" t="s">
        <v>1651</v>
      </c>
      <c r="C287" t="s">
        <v>338</v>
      </c>
      <c r="D287" t="s">
        <v>323</v>
      </c>
      <c r="E287" t="s">
        <v>1019</v>
      </c>
      <c r="F287">
        <v>13898</v>
      </c>
      <c r="G287" t="s">
        <v>1451</v>
      </c>
      <c r="H287" t="s">
        <v>1652</v>
      </c>
      <c r="I287" t="s">
        <v>1632</v>
      </c>
      <c r="J287" t="s">
        <v>1422</v>
      </c>
      <c r="K287" t="s">
        <v>1097</v>
      </c>
      <c r="L287" t="s">
        <v>1098</v>
      </c>
      <c r="M287" t="s">
        <v>1034</v>
      </c>
      <c r="N287" t="s">
        <v>1099</v>
      </c>
      <c r="O287" t="s">
        <v>446</v>
      </c>
      <c r="P287" t="s">
        <v>1101</v>
      </c>
      <c r="Q287" t="b">
        <v>1</v>
      </c>
      <c r="R287" t="b">
        <v>0</v>
      </c>
      <c r="S287" t="s">
        <v>1001</v>
      </c>
      <c r="T287" t="s">
        <v>1634</v>
      </c>
      <c r="U287" t="s">
        <v>1455</v>
      </c>
      <c r="V287" t="s">
        <v>1456</v>
      </c>
      <c r="W287" t="s">
        <v>1635</v>
      </c>
      <c r="X287" t="s">
        <v>1636</v>
      </c>
    </row>
    <row r="288" spans="1:24" x14ac:dyDescent="0.25">
      <c r="A288" t="s">
        <v>42</v>
      </c>
      <c r="B288" t="s">
        <v>1653</v>
      </c>
      <c r="C288" t="s">
        <v>338</v>
      </c>
      <c r="D288" t="s">
        <v>323</v>
      </c>
      <c r="E288" t="s">
        <v>1021</v>
      </c>
      <c r="F288">
        <v>15135</v>
      </c>
      <c r="G288" t="s">
        <v>1451</v>
      </c>
      <c r="H288" t="s">
        <v>1654</v>
      </c>
      <c r="I288" t="s">
        <v>1632</v>
      </c>
      <c r="J288" t="s">
        <v>1422</v>
      </c>
      <c r="K288" t="s">
        <v>1105</v>
      </c>
      <c r="L288" t="s">
        <v>1106</v>
      </c>
      <c r="M288" t="s">
        <v>1034</v>
      </c>
      <c r="N288" t="s">
        <v>1107</v>
      </c>
      <c r="O288" t="s">
        <v>446</v>
      </c>
      <c r="P288" t="s">
        <v>1109</v>
      </c>
      <c r="Q288" t="b">
        <v>1</v>
      </c>
      <c r="R288" t="b">
        <v>0</v>
      </c>
      <c r="S288" t="s">
        <v>1001</v>
      </c>
      <c r="T288" t="s">
        <v>1634</v>
      </c>
      <c r="U288" t="s">
        <v>1455</v>
      </c>
      <c r="V288" t="s">
        <v>1456</v>
      </c>
      <c r="W288" t="s">
        <v>1635</v>
      </c>
      <c r="X288" t="s">
        <v>1636</v>
      </c>
    </row>
    <row r="289" spans="1:24" x14ac:dyDescent="0.25">
      <c r="A289" t="s">
        <v>42</v>
      </c>
      <c r="B289" t="s">
        <v>1655</v>
      </c>
      <c r="C289" t="s">
        <v>338</v>
      </c>
      <c r="D289" t="s">
        <v>323</v>
      </c>
      <c r="E289" t="s">
        <v>1023</v>
      </c>
      <c r="F289">
        <v>17468</v>
      </c>
      <c r="G289" t="s">
        <v>1451</v>
      </c>
      <c r="H289" t="s">
        <v>1656</v>
      </c>
      <c r="I289" t="s">
        <v>1632</v>
      </c>
      <c r="J289" t="s">
        <v>1422</v>
      </c>
      <c r="K289" t="s">
        <v>1112</v>
      </c>
      <c r="L289" t="s">
        <v>1113</v>
      </c>
      <c r="M289" t="s">
        <v>1034</v>
      </c>
      <c r="N289" t="s">
        <v>1114</v>
      </c>
      <c r="O289" t="s">
        <v>446</v>
      </c>
      <c r="P289" t="s">
        <v>1116</v>
      </c>
      <c r="Q289" t="b">
        <v>1</v>
      </c>
      <c r="R289" t="b">
        <v>0</v>
      </c>
      <c r="S289" t="s">
        <v>1001</v>
      </c>
      <c r="T289" t="s">
        <v>1634</v>
      </c>
      <c r="U289" t="s">
        <v>1455</v>
      </c>
      <c r="V289" t="s">
        <v>1456</v>
      </c>
      <c r="W289" t="s">
        <v>1635</v>
      </c>
      <c r="X289" t="s">
        <v>1636</v>
      </c>
    </row>
    <row r="290" spans="1:24" x14ac:dyDescent="0.25">
      <c r="A290" t="s">
        <v>42</v>
      </c>
      <c r="B290" t="s">
        <v>1657</v>
      </c>
      <c r="C290" t="s">
        <v>338</v>
      </c>
      <c r="D290" t="s">
        <v>323</v>
      </c>
      <c r="E290" t="s">
        <v>1025</v>
      </c>
      <c r="F290">
        <v>19197</v>
      </c>
      <c r="G290" t="s">
        <v>1451</v>
      </c>
      <c r="H290" t="s">
        <v>1658</v>
      </c>
      <c r="I290" t="s">
        <v>1632</v>
      </c>
      <c r="J290" t="s">
        <v>1422</v>
      </c>
      <c r="K290" t="s">
        <v>1119</v>
      </c>
      <c r="L290" t="s">
        <v>1120</v>
      </c>
      <c r="M290" t="s">
        <v>1062</v>
      </c>
      <c r="N290" t="s">
        <v>1121</v>
      </c>
      <c r="O290" t="s">
        <v>446</v>
      </c>
      <c r="P290" t="s">
        <v>1122</v>
      </c>
      <c r="Q290" t="b">
        <v>1</v>
      </c>
      <c r="R290" t="b">
        <v>0</v>
      </c>
      <c r="S290" t="s">
        <v>1001</v>
      </c>
      <c r="T290" t="s">
        <v>1634</v>
      </c>
      <c r="U290" t="s">
        <v>1455</v>
      </c>
      <c r="V290" t="s">
        <v>1456</v>
      </c>
      <c r="W290" t="s">
        <v>1635</v>
      </c>
      <c r="X290" t="s">
        <v>1636</v>
      </c>
    </row>
    <row r="291" spans="1:24" x14ac:dyDescent="0.25">
      <c r="A291" t="s">
        <v>42</v>
      </c>
      <c r="B291" t="s">
        <v>1659</v>
      </c>
      <c r="C291" t="s">
        <v>338</v>
      </c>
      <c r="D291" t="s">
        <v>323</v>
      </c>
      <c r="E291" t="s">
        <v>1027</v>
      </c>
      <c r="F291">
        <v>21916</v>
      </c>
      <c r="G291" t="s">
        <v>1451</v>
      </c>
      <c r="H291" t="s">
        <v>1660</v>
      </c>
      <c r="I291" t="s">
        <v>1632</v>
      </c>
      <c r="J291" t="s">
        <v>1422</v>
      </c>
      <c r="K291" t="s">
        <v>1125</v>
      </c>
      <c r="L291" t="s">
        <v>1126</v>
      </c>
      <c r="M291" t="s">
        <v>1034</v>
      </c>
      <c r="N291" t="s">
        <v>1127</v>
      </c>
      <c r="O291" t="s">
        <v>446</v>
      </c>
      <c r="P291" t="s">
        <v>1129</v>
      </c>
      <c r="Q291" t="b">
        <v>0</v>
      </c>
      <c r="R291" t="b">
        <v>1</v>
      </c>
      <c r="S291" t="s">
        <v>1633</v>
      </c>
      <c r="T291" t="s">
        <v>1634</v>
      </c>
      <c r="U291" t="s">
        <v>1455</v>
      </c>
      <c r="V291" t="s">
        <v>1456</v>
      </c>
      <c r="W291" t="s">
        <v>1635</v>
      </c>
      <c r="X291" t="s">
        <v>1636</v>
      </c>
    </row>
    <row r="292" spans="1:24" x14ac:dyDescent="0.25">
      <c r="A292" t="s">
        <v>42</v>
      </c>
      <c r="B292" t="s">
        <v>1661</v>
      </c>
      <c r="C292" t="s">
        <v>338</v>
      </c>
      <c r="D292" t="s">
        <v>323</v>
      </c>
      <c r="E292" t="s">
        <v>1131</v>
      </c>
      <c r="F292">
        <v>22870</v>
      </c>
      <c r="G292" t="s">
        <v>1451</v>
      </c>
      <c r="H292" t="s">
        <v>1662</v>
      </c>
      <c r="I292" t="s">
        <v>1632</v>
      </c>
      <c r="J292" t="s">
        <v>1422</v>
      </c>
      <c r="K292" t="s">
        <v>1133</v>
      </c>
      <c r="L292" t="s">
        <v>1134</v>
      </c>
      <c r="M292" t="s">
        <v>1034</v>
      </c>
      <c r="N292" t="s">
        <v>1135</v>
      </c>
      <c r="O292" t="s">
        <v>446</v>
      </c>
      <c r="P292" t="s">
        <v>1137</v>
      </c>
      <c r="Q292" t="b">
        <v>0</v>
      </c>
      <c r="R292" t="b">
        <v>1</v>
      </c>
      <c r="S292" t="s">
        <v>1633</v>
      </c>
      <c r="T292" t="s">
        <v>1634</v>
      </c>
      <c r="U292" t="s">
        <v>1455</v>
      </c>
      <c r="V292" t="s">
        <v>1456</v>
      </c>
      <c r="W292" t="s">
        <v>1635</v>
      </c>
      <c r="X292" t="s">
        <v>1636</v>
      </c>
    </row>
    <row r="293" spans="1:24" x14ac:dyDescent="0.25">
      <c r="A293" t="s">
        <v>42</v>
      </c>
      <c r="B293" t="s">
        <v>1663</v>
      </c>
      <c r="C293" t="s">
        <v>341</v>
      </c>
      <c r="D293" t="s">
        <v>446</v>
      </c>
      <c r="E293" t="s">
        <v>998</v>
      </c>
      <c r="F293">
        <v>1999</v>
      </c>
      <c r="G293" t="s">
        <v>1233</v>
      </c>
      <c r="H293" t="s">
        <v>1664</v>
      </c>
      <c r="I293" t="s">
        <v>1665</v>
      </c>
      <c r="J293" t="s">
        <v>1422</v>
      </c>
      <c r="K293" t="s">
        <v>1032</v>
      </c>
      <c r="L293" t="s">
        <v>1033</v>
      </c>
      <c r="M293" t="s">
        <v>1034</v>
      </c>
      <c r="N293" t="s">
        <v>1035</v>
      </c>
      <c r="O293" t="s">
        <v>446</v>
      </c>
      <c r="P293" t="s">
        <v>1037</v>
      </c>
      <c r="Q293" t="b">
        <v>1</v>
      </c>
      <c r="R293" t="b">
        <v>0</v>
      </c>
      <c r="S293" t="s">
        <v>1038</v>
      </c>
      <c r="T293" t="s">
        <v>446</v>
      </c>
      <c r="U293" t="s">
        <v>1039</v>
      </c>
      <c r="V293" t="s">
        <v>1002</v>
      </c>
      <c r="W293" t="s">
        <v>1040</v>
      </c>
      <c r="X293" t="s">
        <v>1666</v>
      </c>
    </row>
    <row r="294" spans="1:24" x14ac:dyDescent="0.25">
      <c r="A294" t="s">
        <v>42</v>
      </c>
      <c r="B294" t="s">
        <v>1667</v>
      </c>
      <c r="C294" t="s">
        <v>341</v>
      </c>
      <c r="D294" t="s">
        <v>446</v>
      </c>
      <c r="E294" t="s">
        <v>1005</v>
      </c>
      <c r="F294">
        <v>2421</v>
      </c>
      <c r="G294" t="s">
        <v>1233</v>
      </c>
      <c r="H294" t="s">
        <v>1668</v>
      </c>
      <c r="I294" t="s">
        <v>1665</v>
      </c>
      <c r="J294" t="s">
        <v>1422</v>
      </c>
      <c r="K294" t="s">
        <v>1044</v>
      </c>
      <c r="L294" t="s">
        <v>1045</v>
      </c>
      <c r="M294" t="s">
        <v>1034</v>
      </c>
      <c r="N294" t="s">
        <v>1046</v>
      </c>
      <c r="O294" t="s">
        <v>446</v>
      </c>
      <c r="P294" t="s">
        <v>1048</v>
      </c>
      <c r="Q294" t="b">
        <v>1</v>
      </c>
      <c r="R294" t="b">
        <v>0</v>
      </c>
      <c r="S294" t="s">
        <v>1038</v>
      </c>
      <c r="T294" t="s">
        <v>446</v>
      </c>
      <c r="U294" t="s">
        <v>1039</v>
      </c>
      <c r="V294" t="s">
        <v>1002</v>
      </c>
      <c r="W294" t="s">
        <v>1040</v>
      </c>
      <c r="X294" t="s">
        <v>1666</v>
      </c>
    </row>
    <row r="295" spans="1:24" x14ac:dyDescent="0.25">
      <c r="A295" t="s">
        <v>42</v>
      </c>
      <c r="B295" t="s">
        <v>1669</v>
      </c>
      <c r="C295" t="s">
        <v>341</v>
      </c>
      <c r="D295" t="s">
        <v>446</v>
      </c>
      <c r="E295" t="s">
        <v>1007</v>
      </c>
      <c r="F295">
        <v>1491</v>
      </c>
      <c r="G295" t="s">
        <v>1233</v>
      </c>
      <c r="H295" t="s">
        <v>1670</v>
      </c>
      <c r="I295" t="s">
        <v>1665</v>
      </c>
      <c r="J295" t="s">
        <v>1422</v>
      </c>
      <c r="K295" t="s">
        <v>1051</v>
      </c>
      <c r="L295" t="s">
        <v>1052</v>
      </c>
      <c r="M295" t="s">
        <v>1034</v>
      </c>
      <c r="N295" t="s">
        <v>1053</v>
      </c>
      <c r="O295" t="s">
        <v>446</v>
      </c>
      <c r="P295" t="s">
        <v>1055</v>
      </c>
      <c r="Q295" t="b">
        <v>1</v>
      </c>
      <c r="R295" t="b">
        <v>0</v>
      </c>
      <c r="S295" t="s">
        <v>1038</v>
      </c>
      <c r="T295" t="s">
        <v>446</v>
      </c>
      <c r="U295" t="s">
        <v>1039</v>
      </c>
      <c r="V295" t="s">
        <v>1002</v>
      </c>
      <c r="W295" t="s">
        <v>1040</v>
      </c>
      <c r="X295" t="s">
        <v>1666</v>
      </c>
    </row>
    <row r="296" spans="1:24" x14ac:dyDescent="0.25">
      <c r="A296" t="s">
        <v>42</v>
      </c>
      <c r="B296" t="s">
        <v>1671</v>
      </c>
      <c r="C296" t="s">
        <v>341</v>
      </c>
      <c r="D296" t="s">
        <v>446</v>
      </c>
      <c r="E296" t="s">
        <v>1009</v>
      </c>
      <c r="F296">
        <v>1193</v>
      </c>
      <c r="G296" t="s">
        <v>1233</v>
      </c>
      <c r="H296" t="s">
        <v>1672</v>
      </c>
      <c r="I296" t="s">
        <v>1665</v>
      </c>
      <c r="J296" t="s">
        <v>1422</v>
      </c>
      <c r="K296" t="s">
        <v>1060</v>
      </c>
      <c r="L296" t="s">
        <v>1061</v>
      </c>
      <c r="M296" t="s">
        <v>1062</v>
      </c>
      <c r="N296" t="s">
        <v>1063</v>
      </c>
      <c r="O296" t="s">
        <v>446</v>
      </c>
      <c r="P296" t="s">
        <v>1064</v>
      </c>
      <c r="Q296" t="b">
        <v>1</v>
      </c>
      <c r="R296" t="b">
        <v>0</v>
      </c>
      <c r="S296" t="s">
        <v>1038</v>
      </c>
      <c r="T296" t="s">
        <v>446</v>
      </c>
      <c r="U296" t="s">
        <v>1039</v>
      </c>
      <c r="V296" t="s">
        <v>1002</v>
      </c>
      <c r="W296" t="s">
        <v>1040</v>
      </c>
      <c r="X296" t="s">
        <v>1666</v>
      </c>
    </row>
    <row r="297" spans="1:24" x14ac:dyDescent="0.25">
      <c r="A297" t="s">
        <v>42</v>
      </c>
      <c r="B297" t="s">
        <v>1673</v>
      </c>
      <c r="C297" t="s">
        <v>341</v>
      </c>
      <c r="D297" t="s">
        <v>446</v>
      </c>
      <c r="E297" t="s">
        <v>1011</v>
      </c>
      <c r="F297">
        <v>1141</v>
      </c>
      <c r="G297" t="s">
        <v>1233</v>
      </c>
      <c r="H297" t="s">
        <v>1674</v>
      </c>
      <c r="I297" t="s">
        <v>1665</v>
      </c>
      <c r="J297" t="s">
        <v>1422</v>
      </c>
      <c r="K297" t="s">
        <v>1070</v>
      </c>
      <c r="L297" t="s">
        <v>1071</v>
      </c>
      <c r="M297" t="s">
        <v>1034</v>
      </c>
      <c r="N297" t="s">
        <v>1072</v>
      </c>
      <c r="O297" t="s">
        <v>446</v>
      </c>
      <c r="P297" t="s">
        <v>1074</v>
      </c>
      <c r="Q297" t="b">
        <v>1</v>
      </c>
      <c r="R297" t="b">
        <v>0</v>
      </c>
      <c r="S297" t="s">
        <v>1038</v>
      </c>
      <c r="T297" t="s">
        <v>446</v>
      </c>
      <c r="U297" t="s">
        <v>1039</v>
      </c>
      <c r="V297" t="s">
        <v>1002</v>
      </c>
      <c r="W297" t="s">
        <v>1040</v>
      </c>
      <c r="X297" t="s">
        <v>1666</v>
      </c>
    </row>
    <row r="298" spans="1:24" x14ac:dyDescent="0.25">
      <c r="A298" t="s">
        <v>42</v>
      </c>
      <c r="B298" t="s">
        <v>1675</v>
      </c>
      <c r="C298" t="s">
        <v>341</v>
      </c>
      <c r="D298" t="s">
        <v>446</v>
      </c>
      <c r="E298" t="s">
        <v>1013</v>
      </c>
      <c r="F298">
        <v>1929</v>
      </c>
      <c r="G298" t="s">
        <v>1233</v>
      </c>
      <c r="H298" t="s">
        <v>1676</v>
      </c>
      <c r="I298" t="s">
        <v>1665</v>
      </c>
      <c r="J298" t="s">
        <v>1422</v>
      </c>
      <c r="K298" t="s">
        <v>1077</v>
      </c>
      <c r="L298" t="s">
        <v>1078</v>
      </c>
      <c r="M298" t="s">
        <v>1034</v>
      </c>
      <c r="N298" t="s">
        <v>1079</v>
      </c>
      <c r="O298" t="s">
        <v>446</v>
      </c>
      <c r="P298" t="s">
        <v>1081</v>
      </c>
      <c r="Q298" t="b">
        <v>1</v>
      </c>
      <c r="R298" t="b">
        <v>0</v>
      </c>
      <c r="S298" t="s">
        <v>1038</v>
      </c>
      <c r="T298" t="s">
        <v>446</v>
      </c>
      <c r="U298" t="s">
        <v>1039</v>
      </c>
      <c r="V298" t="s">
        <v>1002</v>
      </c>
      <c r="W298" t="s">
        <v>1040</v>
      </c>
      <c r="X298" t="s">
        <v>1666</v>
      </c>
    </row>
    <row r="299" spans="1:24" x14ac:dyDescent="0.25">
      <c r="A299" t="s">
        <v>42</v>
      </c>
      <c r="B299" t="s">
        <v>1677</v>
      </c>
      <c r="C299" t="s">
        <v>341</v>
      </c>
      <c r="D299" t="s">
        <v>446</v>
      </c>
      <c r="E299" t="s">
        <v>1015</v>
      </c>
      <c r="F299">
        <v>2380</v>
      </c>
      <c r="G299" t="s">
        <v>1233</v>
      </c>
      <c r="H299" t="s">
        <v>1678</v>
      </c>
      <c r="I299" t="s">
        <v>1665</v>
      </c>
      <c r="J299" t="s">
        <v>1422</v>
      </c>
      <c r="K299" t="s">
        <v>1084</v>
      </c>
      <c r="L299" t="s">
        <v>1085</v>
      </c>
      <c r="M299" t="s">
        <v>1034</v>
      </c>
      <c r="N299" t="s">
        <v>1086</v>
      </c>
      <c r="O299" t="s">
        <v>446</v>
      </c>
      <c r="P299" t="s">
        <v>1088</v>
      </c>
      <c r="Q299" t="b">
        <v>1</v>
      </c>
      <c r="R299" t="b">
        <v>0</v>
      </c>
      <c r="S299" t="s">
        <v>1038</v>
      </c>
      <c r="T299" t="s">
        <v>446</v>
      </c>
      <c r="U299" t="s">
        <v>1039</v>
      </c>
      <c r="V299" t="s">
        <v>1002</v>
      </c>
      <c r="W299" t="s">
        <v>1040</v>
      </c>
      <c r="X299" t="s">
        <v>1666</v>
      </c>
    </row>
    <row r="300" spans="1:24" x14ac:dyDescent="0.25">
      <c r="A300" t="s">
        <v>42</v>
      </c>
      <c r="B300" t="s">
        <v>1679</v>
      </c>
      <c r="C300" t="s">
        <v>341</v>
      </c>
      <c r="D300" t="s">
        <v>446</v>
      </c>
      <c r="E300" t="s">
        <v>1017</v>
      </c>
      <c r="F300">
        <v>2699</v>
      </c>
      <c r="G300" t="s">
        <v>1233</v>
      </c>
      <c r="H300" t="s">
        <v>1680</v>
      </c>
      <c r="I300" t="s">
        <v>1665</v>
      </c>
      <c r="J300" t="s">
        <v>1422</v>
      </c>
      <c r="K300" t="s">
        <v>1091</v>
      </c>
      <c r="L300" t="s">
        <v>1092</v>
      </c>
      <c r="M300" t="s">
        <v>1062</v>
      </c>
      <c r="N300" t="s">
        <v>1093</v>
      </c>
      <c r="O300" t="s">
        <v>446</v>
      </c>
      <c r="P300" t="s">
        <v>1094</v>
      </c>
      <c r="Q300" t="b">
        <v>1</v>
      </c>
      <c r="R300" t="b">
        <v>0</v>
      </c>
      <c r="S300" t="s">
        <v>1038</v>
      </c>
      <c r="T300" t="s">
        <v>446</v>
      </c>
      <c r="U300" t="s">
        <v>1039</v>
      </c>
      <c r="V300" t="s">
        <v>1002</v>
      </c>
      <c r="W300" t="s">
        <v>1040</v>
      </c>
      <c r="X300" t="s">
        <v>1666</v>
      </c>
    </row>
    <row r="301" spans="1:24" x14ac:dyDescent="0.25">
      <c r="A301" t="s">
        <v>42</v>
      </c>
      <c r="B301" t="s">
        <v>1681</v>
      </c>
      <c r="C301" t="s">
        <v>341</v>
      </c>
      <c r="D301" t="s">
        <v>446</v>
      </c>
      <c r="E301" t="s">
        <v>1019</v>
      </c>
      <c r="F301">
        <v>2715</v>
      </c>
      <c r="G301" t="s">
        <v>1233</v>
      </c>
      <c r="H301" t="s">
        <v>1682</v>
      </c>
      <c r="I301" t="s">
        <v>1665</v>
      </c>
      <c r="J301" t="s">
        <v>1422</v>
      </c>
      <c r="K301" t="s">
        <v>1097</v>
      </c>
      <c r="L301" t="s">
        <v>1098</v>
      </c>
      <c r="M301" t="s">
        <v>1034</v>
      </c>
      <c r="N301" t="s">
        <v>1099</v>
      </c>
      <c r="O301" t="s">
        <v>446</v>
      </c>
      <c r="P301" t="s">
        <v>1101</v>
      </c>
      <c r="Q301" t="b">
        <v>1</v>
      </c>
      <c r="R301" t="b">
        <v>0</v>
      </c>
      <c r="S301" t="s">
        <v>1038</v>
      </c>
      <c r="T301" t="s">
        <v>446</v>
      </c>
      <c r="U301" t="s">
        <v>1039</v>
      </c>
      <c r="V301" t="s">
        <v>1002</v>
      </c>
      <c r="W301" t="s">
        <v>1040</v>
      </c>
      <c r="X301" t="s">
        <v>1666</v>
      </c>
    </row>
    <row r="302" spans="1:24" x14ac:dyDescent="0.25">
      <c r="A302" t="s">
        <v>42</v>
      </c>
      <c r="B302" t="s">
        <v>1683</v>
      </c>
      <c r="C302" t="s">
        <v>341</v>
      </c>
      <c r="D302" t="s">
        <v>446</v>
      </c>
      <c r="E302" t="s">
        <v>1021</v>
      </c>
      <c r="F302">
        <v>3680</v>
      </c>
      <c r="G302" t="s">
        <v>1233</v>
      </c>
      <c r="H302" t="s">
        <v>1684</v>
      </c>
      <c r="I302" t="s">
        <v>1665</v>
      </c>
      <c r="J302" t="s">
        <v>1422</v>
      </c>
      <c r="K302" t="s">
        <v>1105</v>
      </c>
      <c r="L302" t="s">
        <v>1106</v>
      </c>
      <c r="M302" t="s">
        <v>1034</v>
      </c>
      <c r="N302" t="s">
        <v>1107</v>
      </c>
      <c r="O302" t="s">
        <v>446</v>
      </c>
      <c r="P302" t="s">
        <v>1109</v>
      </c>
      <c r="Q302" t="b">
        <v>1</v>
      </c>
      <c r="R302" t="b">
        <v>0</v>
      </c>
      <c r="S302" t="s">
        <v>1038</v>
      </c>
      <c r="T302" t="s">
        <v>446</v>
      </c>
      <c r="U302" t="s">
        <v>1039</v>
      </c>
      <c r="V302" t="s">
        <v>1002</v>
      </c>
      <c r="W302" t="s">
        <v>1040</v>
      </c>
      <c r="X302" t="s">
        <v>1666</v>
      </c>
    </row>
    <row r="303" spans="1:24" x14ac:dyDescent="0.25">
      <c r="A303" t="s">
        <v>42</v>
      </c>
      <c r="B303" t="s">
        <v>1685</v>
      </c>
      <c r="C303" t="s">
        <v>341</v>
      </c>
      <c r="D303" t="s">
        <v>446</v>
      </c>
      <c r="E303" t="s">
        <v>1023</v>
      </c>
      <c r="F303">
        <v>5353</v>
      </c>
      <c r="G303" t="s">
        <v>1233</v>
      </c>
      <c r="H303" t="s">
        <v>1686</v>
      </c>
      <c r="I303" t="s">
        <v>1665</v>
      </c>
      <c r="J303" t="s">
        <v>1422</v>
      </c>
      <c r="K303" t="s">
        <v>1112</v>
      </c>
      <c r="L303" t="s">
        <v>1113</v>
      </c>
      <c r="M303" t="s">
        <v>1034</v>
      </c>
      <c r="N303" t="s">
        <v>1114</v>
      </c>
      <c r="O303" t="s">
        <v>446</v>
      </c>
      <c r="P303" t="s">
        <v>1116</v>
      </c>
      <c r="Q303" t="b">
        <v>1</v>
      </c>
      <c r="R303" t="b">
        <v>0</v>
      </c>
      <c r="S303" t="s">
        <v>1038</v>
      </c>
      <c r="T303" t="s">
        <v>446</v>
      </c>
      <c r="U303" t="s">
        <v>1039</v>
      </c>
      <c r="V303" t="s">
        <v>1002</v>
      </c>
      <c r="W303" t="s">
        <v>1040</v>
      </c>
      <c r="X303" t="s">
        <v>1666</v>
      </c>
    </row>
    <row r="304" spans="1:24" x14ac:dyDescent="0.25">
      <c r="A304" t="s">
        <v>42</v>
      </c>
      <c r="B304" t="s">
        <v>1687</v>
      </c>
      <c r="C304" t="s">
        <v>341</v>
      </c>
      <c r="D304" t="s">
        <v>446</v>
      </c>
      <c r="E304" t="s">
        <v>1025</v>
      </c>
      <c r="F304">
        <v>6310</v>
      </c>
      <c r="G304" t="s">
        <v>1233</v>
      </c>
      <c r="H304" t="s">
        <v>1688</v>
      </c>
      <c r="I304" t="s">
        <v>1665</v>
      </c>
      <c r="J304" t="s">
        <v>1422</v>
      </c>
      <c r="K304" t="s">
        <v>1119</v>
      </c>
      <c r="L304" t="s">
        <v>1120</v>
      </c>
      <c r="M304" t="s">
        <v>1062</v>
      </c>
      <c r="N304" t="s">
        <v>1121</v>
      </c>
      <c r="O304" t="s">
        <v>446</v>
      </c>
      <c r="P304" t="s">
        <v>1122</v>
      </c>
      <c r="Q304" t="b">
        <v>1</v>
      </c>
      <c r="R304" t="b">
        <v>0</v>
      </c>
      <c r="S304" t="s">
        <v>1038</v>
      </c>
      <c r="T304" t="s">
        <v>446</v>
      </c>
      <c r="U304" t="s">
        <v>1039</v>
      </c>
      <c r="V304" t="s">
        <v>1002</v>
      </c>
      <c r="W304" t="s">
        <v>1040</v>
      </c>
      <c r="X304" t="s">
        <v>1666</v>
      </c>
    </row>
    <row r="305" spans="1:24" x14ac:dyDescent="0.25">
      <c r="A305" t="s">
        <v>42</v>
      </c>
      <c r="B305" t="s">
        <v>1689</v>
      </c>
      <c r="C305" t="s">
        <v>341</v>
      </c>
      <c r="D305" t="s">
        <v>446</v>
      </c>
      <c r="E305" t="s">
        <v>1027</v>
      </c>
      <c r="F305">
        <v>7331</v>
      </c>
      <c r="G305" t="s">
        <v>1233</v>
      </c>
      <c r="H305" t="s">
        <v>1690</v>
      </c>
      <c r="I305" t="s">
        <v>1665</v>
      </c>
      <c r="J305" t="s">
        <v>1422</v>
      </c>
      <c r="K305" t="s">
        <v>1125</v>
      </c>
      <c r="L305" t="s">
        <v>1126</v>
      </c>
      <c r="M305" t="s">
        <v>1034</v>
      </c>
      <c r="N305" t="s">
        <v>1127</v>
      </c>
      <c r="O305" t="s">
        <v>446</v>
      </c>
      <c r="P305" t="s">
        <v>1129</v>
      </c>
      <c r="Q305" t="b">
        <v>1</v>
      </c>
      <c r="R305" t="b">
        <v>0</v>
      </c>
      <c r="S305" t="s">
        <v>1038</v>
      </c>
      <c r="T305" t="s">
        <v>446</v>
      </c>
      <c r="U305" t="s">
        <v>1039</v>
      </c>
      <c r="V305" t="s">
        <v>1002</v>
      </c>
      <c r="W305" t="s">
        <v>1040</v>
      </c>
      <c r="X305" t="s">
        <v>1666</v>
      </c>
    </row>
    <row r="306" spans="1:24" x14ac:dyDescent="0.25">
      <c r="A306" t="s">
        <v>42</v>
      </c>
      <c r="B306" t="s">
        <v>1691</v>
      </c>
      <c r="C306" t="s">
        <v>341</v>
      </c>
      <c r="D306" t="s">
        <v>446</v>
      </c>
      <c r="E306" t="s">
        <v>1131</v>
      </c>
      <c r="F306">
        <v>9064</v>
      </c>
      <c r="G306" t="s">
        <v>1233</v>
      </c>
      <c r="H306" t="s">
        <v>1692</v>
      </c>
      <c r="I306" t="s">
        <v>1665</v>
      </c>
      <c r="J306" t="s">
        <v>1422</v>
      </c>
      <c r="K306" t="s">
        <v>1133</v>
      </c>
      <c r="L306" t="s">
        <v>1134</v>
      </c>
      <c r="M306" t="s">
        <v>1034</v>
      </c>
      <c r="N306" t="s">
        <v>1135</v>
      </c>
      <c r="O306" t="s">
        <v>446</v>
      </c>
      <c r="P306" t="s">
        <v>1137</v>
      </c>
      <c r="Q306" t="b">
        <v>1</v>
      </c>
      <c r="R306" t="b">
        <v>0</v>
      </c>
      <c r="S306" t="s">
        <v>1038</v>
      </c>
      <c r="T306" t="s">
        <v>446</v>
      </c>
      <c r="U306" t="s">
        <v>1039</v>
      </c>
      <c r="V306" t="s">
        <v>1002</v>
      </c>
      <c r="W306" t="s">
        <v>1040</v>
      </c>
      <c r="X306" t="s">
        <v>1666</v>
      </c>
    </row>
    <row r="307" spans="1:24" x14ac:dyDescent="0.25">
      <c r="A307" t="s">
        <v>42</v>
      </c>
      <c r="B307" t="s">
        <v>1693</v>
      </c>
      <c r="C307" t="s">
        <v>342</v>
      </c>
      <c r="D307" t="s">
        <v>446</v>
      </c>
      <c r="E307" t="s">
        <v>998</v>
      </c>
      <c r="F307">
        <v>3229</v>
      </c>
      <c r="G307" t="s">
        <v>1233</v>
      </c>
      <c r="H307" t="s">
        <v>1694</v>
      </c>
      <c r="I307" t="s">
        <v>1695</v>
      </c>
      <c r="J307" t="s">
        <v>1422</v>
      </c>
      <c r="K307" t="s">
        <v>1032</v>
      </c>
      <c r="L307" t="s">
        <v>1033</v>
      </c>
      <c r="M307" t="s">
        <v>1034</v>
      </c>
      <c r="N307" t="s">
        <v>1035</v>
      </c>
      <c r="O307" t="s">
        <v>446</v>
      </c>
      <c r="P307" t="s">
        <v>1037</v>
      </c>
      <c r="Q307" t="b">
        <v>1</v>
      </c>
      <c r="R307" t="b">
        <v>0</v>
      </c>
      <c r="S307" t="s">
        <v>1038</v>
      </c>
      <c r="T307" t="s">
        <v>446</v>
      </c>
      <c r="U307" t="s">
        <v>1039</v>
      </c>
      <c r="V307" t="s">
        <v>1002</v>
      </c>
      <c r="W307" t="s">
        <v>1040</v>
      </c>
      <c r="X307" t="s">
        <v>1696</v>
      </c>
    </row>
    <row r="308" spans="1:24" x14ac:dyDescent="0.25">
      <c r="A308" t="s">
        <v>42</v>
      </c>
      <c r="B308" t="s">
        <v>1697</v>
      </c>
      <c r="C308" t="s">
        <v>342</v>
      </c>
      <c r="D308" t="s">
        <v>446</v>
      </c>
      <c r="E308" t="s">
        <v>1005</v>
      </c>
      <c r="F308">
        <v>3544</v>
      </c>
      <c r="G308" t="s">
        <v>1233</v>
      </c>
      <c r="H308" t="s">
        <v>1698</v>
      </c>
      <c r="I308" t="s">
        <v>1699</v>
      </c>
      <c r="J308" t="s">
        <v>1422</v>
      </c>
      <c r="K308" t="s">
        <v>1044</v>
      </c>
      <c r="L308" t="s">
        <v>1045</v>
      </c>
      <c r="M308" t="s">
        <v>1034</v>
      </c>
      <c r="N308" t="s">
        <v>1046</v>
      </c>
      <c r="O308" t="s">
        <v>446</v>
      </c>
      <c r="P308" t="s">
        <v>1048</v>
      </c>
      <c r="Q308" t="b">
        <v>1</v>
      </c>
      <c r="R308" t="b">
        <v>0</v>
      </c>
      <c r="S308" t="s">
        <v>1038</v>
      </c>
      <c r="T308" t="s">
        <v>446</v>
      </c>
      <c r="U308" t="s">
        <v>1039</v>
      </c>
      <c r="V308" t="s">
        <v>1002</v>
      </c>
      <c r="W308" t="s">
        <v>1040</v>
      </c>
      <c r="X308" t="s">
        <v>1700</v>
      </c>
    </row>
    <row r="309" spans="1:24" x14ac:dyDescent="0.25">
      <c r="A309" t="s">
        <v>42</v>
      </c>
      <c r="B309" t="s">
        <v>1701</v>
      </c>
      <c r="C309" t="s">
        <v>342</v>
      </c>
      <c r="D309" t="s">
        <v>446</v>
      </c>
      <c r="E309" t="s">
        <v>1007</v>
      </c>
      <c r="F309">
        <v>3777</v>
      </c>
      <c r="G309" t="s">
        <v>1233</v>
      </c>
      <c r="H309" t="s">
        <v>1702</v>
      </c>
      <c r="I309" t="s">
        <v>1699</v>
      </c>
      <c r="J309" t="s">
        <v>1422</v>
      </c>
      <c r="K309" t="s">
        <v>1051</v>
      </c>
      <c r="L309" t="s">
        <v>1052</v>
      </c>
      <c r="M309" t="s">
        <v>1034</v>
      </c>
      <c r="N309" t="s">
        <v>1053</v>
      </c>
      <c r="O309" t="s">
        <v>446</v>
      </c>
      <c r="P309" t="s">
        <v>1055</v>
      </c>
      <c r="Q309" t="b">
        <v>1</v>
      </c>
      <c r="R309" t="b">
        <v>0</v>
      </c>
      <c r="S309" t="s">
        <v>1038</v>
      </c>
      <c r="T309" t="s">
        <v>446</v>
      </c>
      <c r="U309" t="s">
        <v>1039</v>
      </c>
      <c r="V309" t="s">
        <v>1002</v>
      </c>
      <c r="W309" t="s">
        <v>1040</v>
      </c>
      <c r="X309" t="s">
        <v>1700</v>
      </c>
    </row>
    <row r="310" spans="1:24" x14ac:dyDescent="0.25">
      <c r="A310" t="s">
        <v>42</v>
      </c>
      <c r="B310" t="s">
        <v>1703</v>
      </c>
      <c r="C310" t="s">
        <v>342</v>
      </c>
      <c r="D310" t="s">
        <v>446</v>
      </c>
      <c r="E310" t="s">
        <v>1009</v>
      </c>
      <c r="F310">
        <v>3766</v>
      </c>
      <c r="G310" t="s">
        <v>1233</v>
      </c>
      <c r="H310" t="s">
        <v>1704</v>
      </c>
      <c r="I310" t="s">
        <v>1699</v>
      </c>
      <c r="J310" t="s">
        <v>1422</v>
      </c>
      <c r="K310" t="s">
        <v>1060</v>
      </c>
      <c r="L310" t="s">
        <v>1061</v>
      </c>
      <c r="M310" t="s">
        <v>1062</v>
      </c>
      <c r="N310" t="s">
        <v>1063</v>
      </c>
      <c r="O310" t="s">
        <v>446</v>
      </c>
      <c r="P310" t="s">
        <v>1064</v>
      </c>
      <c r="Q310" t="b">
        <v>1</v>
      </c>
      <c r="R310" t="b">
        <v>0</v>
      </c>
      <c r="S310" t="s">
        <v>1038</v>
      </c>
      <c r="T310" t="s">
        <v>446</v>
      </c>
      <c r="U310" t="s">
        <v>1039</v>
      </c>
      <c r="V310" t="s">
        <v>1002</v>
      </c>
      <c r="W310" t="s">
        <v>1040</v>
      </c>
      <c r="X310" t="s">
        <v>1700</v>
      </c>
    </row>
    <row r="311" spans="1:24" x14ac:dyDescent="0.25">
      <c r="A311" t="s">
        <v>42</v>
      </c>
      <c r="B311" t="s">
        <v>1705</v>
      </c>
      <c r="C311" t="s">
        <v>342</v>
      </c>
      <c r="D311" t="s">
        <v>446</v>
      </c>
      <c r="E311" t="s">
        <v>1011</v>
      </c>
      <c r="F311">
        <v>4502</v>
      </c>
      <c r="G311" t="s">
        <v>1233</v>
      </c>
      <c r="H311" t="s">
        <v>1706</v>
      </c>
      <c r="I311" t="s">
        <v>1699</v>
      </c>
      <c r="J311" t="s">
        <v>1422</v>
      </c>
      <c r="K311" t="s">
        <v>1070</v>
      </c>
      <c r="L311" t="s">
        <v>1071</v>
      </c>
      <c r="M311" t="s">
        <v>1034</v>
      </c>
      <c r="N311" t="s">
        <v>1072</v>
      </c>
      <c r="O311" t="s">
        <v>446</v>
      </c>
      <c r="P311" t="s">
        <v>1074</v>
      </c>
      <c r="Q311" t="b">
        <v>1</v>
      </c>
      <c r="R311" t="b">
        <v>0</v>
      </c>
      <c r="S311" t="s">
        <v>1038</v>
      </c>
      <c r="T311" t="s">
        <v>446</v>
      </c>
      <c r="U311" t="s">
        <v>1039</v>
      </c>
      <c r="V311" t="s">
        <v>1002</v>
      </c>
      <c r="W311" t="s">
        <v>1040</v>
      </c>
      <c r="X311" t="s">
        <v>1700</v>
      </c>
    </row>
    <row r="312" spans="1:24" x14ac:dyDescent="0.25">
      <c r="A312" t="s">
        <v>42</v>
      </c>
      <c r="B312" t="s">
        <v>1707</v>
      </c>
      <c r="C312" t="s">
        <v>342</v>
      </c>
      <c r="E312" t="s">
        <v>1013</v>
      </c>
      <c r="F312">
        <v>6735</v>
      </c>
      <c r="G312" t="s">
        <v>1057</v>
      </c>
      <c r="H312" t="s">
        <v>1708</v>
      </c>
      <c r="I312" t="s">
        <v>1699</v>
      </c>
      <c r="J312" t="s">
        <v>1422</v>
      </c>
      <c r="K312" t="s">
        <v>1077</v>
      </c>
      <c r="L312" t="s">
        <v>1078</v>
      </c>
      <c r="M312" t="s">
        <v>1034</v>
      </c>
      <c r="N312" t="s">
        <v>1079</v>
      </c>
      <c r="O312" t="s">
        <v>446</v>
      </c>
      <c r="P312" t="s">
        <v>1081</v>
      </c>
      <c r="Q312" t="b">
        <v>1</v>
      </c>
      <c r="R312" t="b">
        <v>0</v>
      </c>
      <c r="S312" t="s">
        <v>1102</v>
      </c>
      <c r="T312" t="s">
        <v>446</v>
      </c>
      <c r="U312" t="s">
        <v>1066</v>
      </c>
      <c r="V312" t="s">
        <v>1002</v>
      </c>
      <c r="W312" t="s">
        <v>1040</v>
      </c>
      <c r="X312" t="s">
        <v>1700</v>
      </c>
    </row>
    <row r="313" spans="1:24" x14ac:dyDescent="0.25">
      <c r="A313" t="s">
        <v>42</v>
      </c>
      <c r="B313" t="s">
        <v>1709</v>
      </c>
      <c r="C313" t="s">
        <v>342</v>
      </c>
      <c r="D313" t="s">
        <v>446</v>
      </c>
      <c r="E313" t="s">
        <v>1015</v>
      </c>
      <c r="F313">
        <v>4959</v>
      </c>
      <c r="G313" t="s">
        <v>1233</v>
      </c>
      <c r="H313" t="s">
        <v>1710</v>
      </c>
      <c r="I313" t="s">
        <v>1699</v>
      </c>
      <c r="J313" t="s">
        <v>1422</v>
      </c>
      <c r="K313" t="s">
        <v>1084</v>
      </c>
      <c r="L313" t="s">
        <v>1085</v>
      </c>
      <c r="M313" t="s">
        <v>1034</v>
      </c>
      <c r="N313" t="s">
        <v>1086</v>
      </c>
      <c r="O313" t="s">
        <v>446</v>
      </c>
      <c r="P313" t="s">
        <v>1088</v>
      </c>
      <c r="Q313" t="b">
        <v>1</v>
      </c>
      <c r="R313" t="b">
        <v>0</v>
      </c>
      <c r="S313" t="s">
        <v>1038</v>
      </c>
      <c r="T313" t="s">
        <v>446</v>
      </c>
      <c r="U313" t="s">
        <v>1039</v>
      </c>
      <c r="V313" t="s">
        <v>1002</v>
      </c>
      <c r="W313" t="s">
        <v>1040</v>
      </c>
      <c r="X313" t="s">
        <v>1700</v>
      </c>
    </row>
    <row r="314" spans="1:24" x14ac:dyDescent="0.25">
      <c r="A314" t="s">
        <v>42</v>
      </c>
      <c r="B314" t="s">
        <v>1711</v>
      </c>
      <c r="C314" t="s">
        <v>342</v>
      </c>
      <c r="D314" t="s">
        <v>446</v>
      </c>
      <c r="E314" t="s">
        <v>1017</v>
      </c>
      <c r="F314">
        <v>5918</v>
      </c>
      <c r="G314" t="s">
        <v>1233</v>
      </c>
      <c r="H314" t="s">
        <v>1712</v>
      </c>
      <c r="I314" t="s">
        <v>1699</v>
      </c>
      <c r="J314" t="s">
        <v>1422</v>
      </c>
      <c r="K314" t="s">
        <v>1091</v>
      </c>
      <c r="L314" t="s">
        <v>1092</v>
      </c>
      <c r="M314" t="s">
        <v>1062</v>
      </c>
      <c r="N314" t="s">
        <v>1093</v>
      </c>
      <c r="O314" t="s">
        <v>446</v>
      </c>
      <c r="P314" t="s">
        <v>1094</v>
      </c>
      <c r="Q314" t="b">
        <v>1</v>
      </c>
      <c r="R314" t="b">
        <v>0</v>
      </c>
      <c r="S314" t="s">
        <v>1038</v>
      </c>
      <c r="T314" t="s">
        <v>446</v>
      </c>
      <c r="U314" t="s">
        <v>1039</v>
      </c>
      <c r="V314" t="s">
        <v>1002</v>
      </c>
      <c r="W314" t="s">
        <v>1040</v>
      </c>
      <c r="X314" t="s">
        <v>1700</v>
      </c>
    </row>
    <row r="315" spans="1:24" x14ac:dyDescent="0.25">
      <c r="A315" t="s">
        <v>42</v>
      </c>
      <c r="B315" t="s">
        <v>1713</v>
      </c>
      <c r="C315" t="s">
        <v>342</v>
      </c>
      <c r="D315" t="s">
        <v>446</v>
      </c>
      <c r="E315" t="s">
        <v>1019</v>
      </c>
      <c r="F315">
        <v>10413</v>
      </c>
      <c r="G315" t="s">
        <v>1233</v>
      </c>
      <c r="H315" t="s">
        <v>1714</v>
      </c>
      <c r="I315" t="s">
        <v>1699</v>
      </c>
      <c r="J315" t="s">
        <v>1422</v>
      </c>
      <c r="K315" t="s">
        <v>1097</v>
      </c>
      <c r="L315" t="s">
        <v>1098</v>
      </c>
      <c r="M315" t="s">
        <v>1034</v>
      </c>
      <c r="N315" t="s">
        <v>1099</v>
      </c>
      <c r="O315" t="s">
        <v>446</v>
      </c>
      <c r="P315" t="s">
        <v>1101</v>
      </c>
      <c r="Q315" t="b">
        <v>1</v>
      </c>
      <c r="R315" t="b">
        <v>0</v>
      </c>
      <c r="S315" t="s">
        <v>1038</v>
      </c>
      <c r="T315" t="s">
        <v>446</v>
      </c>
      <c r="U315" t="s">
        <v>1039</v>
      </c>
      <c r="V315" t="s">
        <v>1002</v>
      </c>
      <c r="W315" t="s">
        <v>1040</v>
      </c>
      <c r="X315" t="s">
        <v>1700</v>
      </c>
    </row>
    <row r="316" spans="1:24" x14ac:dyDescent="0.25">
      <c r="A316" t="s">
        <v>42</v>
      </c>
      <c r="B316" t="s">
        <v>1715</v>
      </c>
      <c r="C316" t="s">
        <v>342</v>
      </c>
      <c r="D316" t="s">
        <v>446</v>
      </c>
      <c r="E316" t="s">
        <v>1021</v>
      </c>
      <c r="F316">
        <v>9341</v>
      </c>
      <c r="G316" t="s">
        <v>1233</v>
      </c>
      <c r="H316" t="s">
        <v>1716</v>
      </c>
      <c r="I316" t="s">
        <v>1699</v>
      </c>
      <c r="J316" t="s">
        <v>1422</v>
      </c>
      <c r="K316" t="s">
        <v>1105</v>
      </c>
      <c r="L316" t="s">
        <v>1106</v>
      </c>
      <c r="M316" t="s">
        <v>1034</v>
      </c>
      <c r="N316" t="s">
        <v>1107</v>
      </c>
      <c r="O316" t="s">
        <v>446</v>
      </c>
      <c r="P316" t="s">
        <v>1109</v>
      </c>
      <c r="Q316" t="b">
        <v>1</v>
      </c>
      <c r="R316" t="b">
        <v>0</v>
      </c>
      <c r="S316" t="s">
        <v>1038</v>
      </c>
      <c r="T316" t="s">
        <v>446</v>
      </c>
      <c r="U316" t="s">
        <v>1039</v>
      </c>
      <c r="V316" t="s">
        <v>1002</v>
      </c>
      <c r="W316" t="s">
        <v>1040</v>
      </c>
      <c r="X316" t="s">
        <v>1696</v>
      </c>
    </row>
    <row r="317" spans="1:24" x14ac:dyDescent="0.25">
      <c r="A317" t="s">
        <v>42</v>
      </c>
      <c r="B317" t="s">
        <v>1717</v>
      </c>
      <c r="C317" t="s">
        <v>342</v>
      </c>
      <c r="D317" t="s">
        <v>446</v>
      </c>
      <c r="E317" t="s">
        <v>1023</v>
      </c>
      <c r="F317">
        <v>10374</v>
      </c>
      <c r="G317" t="s">
        <v>1233</v>
      </c>
      <c r="H317" t="s">
        <v>1718</v>
      </c>
      <c r="I317" t="s">
        <v>1699</v>
      </c>
      <c r="J317" t="s">
        <v>1422</v>
      </c>
      <c r="K317" t="s">
        <v>1112</v>
      </c>
      <c r="L317" t="s">
        <v>1113</v>
      </c>
      <c r="M317" t="s">
        <v>1034</v>
      </c>
      <c r="N317" t="s">
        <v>1114</v>
      </c>
      <c r="O317" t="s">
        <v>446</v>
      </c>
      <c r="P317" t="s">
        <v>1116</v>
      </c>
      <c r="Q317" t="b">
        <v>1</v>
      </c>
      <c r="R317" t="b">
        <v>0</v>
      </c>
      <c r="S317" t="s">
        <v>1038</v>
      </c>
      <c r="T317" t="s">
        <v>446</v>
      </c>
      <c r="U317" t="s">
        <v>1039</v>
      </c>
      <c r="V317" t="s">
        <v>1002</v>
      </c>
      <c r="W317" t="s">
        <v>1040</v>
      </c>
      <c r="X317" t="s">
        <v>1696</v>
      </c>
    </row>
    <row r="318" spans="1:24" x14ac:dyDescent="0.25">
      <c r="A318" t="s">
        <v>42</v>
      </c>
      <c r="B318" t="s">
        <v>1719</v>
      </c>
      <c r="C318" t="s">
        <v>342</v>
      </c>
      <c r="D318" t="s">
        <v>446</v>
      </c>
      <c r="E318" t="s">
        <v>1025</v>
      </c>
      <c r="F318">
        <v>10900</v>
      </c>
      <c r="G318" t="s">
        <v>1233</v>
      </c>
      <c r="H318" t="s">
        <v>1720</v>
      </c>
      <c r="I318" t="s">
        <v>1699</v>
      </c>
      <c r="J318" t="s">
        <v>1422</v>
      </c>
      <c r="K318" t="s">
        <v>1119</v>
      </c>
      <c r="L318" t="s">
        <v>1120</v>
      </c>
      <c r="M318" t="s">
        <v>1062</v>
      </c>
      <c r="N318" t="s">
        <v>1121</v>
      </c>
      <c r="O318" t="s">
        <v>446</v>
      </c>
      <c r="P318" t="s">
        <v>1122</v>
      </c>
      <c r="Q318" t="b">
        <v>1</v>
      </c>
      <c r="R318" t="b">
        <v>0</v>
      </c>
      <c r="S318" t="s">
        <v>1038</v>
      </c>
      <c r="T318" t="s">
        <v>446</v>
      </c>
      <c r="U318" t="s">
        <v>1039</v>
      </c>
      <c r="V318" t="s">
        <v>1002</v>
      </c>
      <c r="W318" t="s">
        <v>1040</v>
      </c>
      <c r="X318" t="s">
        <v>1696</v>
      </c>
    </row>
    <row r="319" spans="1:24" x14ac:dyDescent="0.25">
      <c r="A319" t="s">
        <v>42</v>
      </c>
      <c r="B319" t="s">
        <v>1721</v>
      </c>
      <c r="C319" t="s">
        <v>342</v>
      </c>
      <c r="D319" t="s">
        <v>446</v>
      </c>
      <c r="E319" t="s">
        <v>1027</v>
      </c>
      <c r="F319">
        <v>18137</v>
      </c>
      <c r="G319" t="s">
        <v>1233</v>
      </c>
      <c r="H319" t="s">
        <v>1722</v>
      </c>
      <c r="I319" t="s">
        <v>1695</v>
      </c>
      <c r="J319" t="s">
        <v>1422</v>
      </c>
      <c r="K319" t="s">
        <v>1125</v>
      </c>
      <c r="L319" t="s">
        <v>1126</v>
      </c>
      <c r="M319" t="s">
        <v>1034</v>
      </c>
      <c r="N319" t="s">
        <v>1127</v>
      </c>
      <c r="O319" t="s">
        <v>446</v>
      </c>
      <c r="P319" t="s">
        <v>1129</v>
      </c>
      <c r="Q319" t="b">
        <v>1</v>
      </c>
      <c r="R319" t="b">
        <v>0</v>
      </c>
      <c r="S319" t="s">
        <v>1038</v>
      </c>
      <c r="T319" t="s">
        <v>446</v>
      </c>
      <c r="U319" t="s">
        <v>1039</v>
      </c>
      <c r="V319" t="s">
        <v>1002</v>
      </c>
      <c r="W319" t="s">
        <v>1040</v>
      </c>
      <c r="X319" t="s">
        <v>1696</v>
      </c>
    </row>
    <row r="320" spans="1:24" x14ac:dyDescent="0.25">
      <c r="A320" t="s">
        <v>42</v>
      </c>
      <c r="B320" t="s">
        <v>1723</v>
      </c>
      <c r="C320" t="s">
        <v>342</v>
      </c>
      <c r="D320" t="s">
        <v>446</v>
      </c>
      <c r="E320" t="s">
        <v>1131</v>
      </c>
      <c r="F320">
        <v>14213</v>
      </c>
      <c r="G320" t="s">
        <v>1233</v>
      </c>
      <c r="H320" t="s">
        <v>1724</v>
      </c>
      <c r="I320" t="s">
        <v>1695</v>
      </c>
      <c r="J320" t="s">
        <v>1422</v>
      </c>
      <c r="K320" t="s">
        <v>1133</v>
      </c>
      <c r="L320" t="s">
        <v>1134</v>
      </c>
      <c r="M320" t="s">
        <v>1034</v>
      </c>
      <c r="N320" t="s">
        <v>1135</v>
      </c>
      <c r="O320" t="s">
        <v>446</v>
      </c>
      <c r="P320" t="s">
        <v>1137</v>
      </c>
      <c r="Q320" t="b">
        <v>1</v>
      </c>
      <c r="R320" t="b">
        <v>0</v>
      </c>
      <c r="S320" t="s">
        <v>1038</v>
      </c>
      <c r="T320" t="s">
        <v>446</v>
      </c>
      <c r="U320" t="s">
        <v>1039</v>
      </c>
      <c r="V320" t="s">
        <v>1002</v>
      </c>
      <c r="W320" t="s">
        <v>1040</v>
      </c>
      <c r="X320" t="s">
        <v>1696</v>
      </c>
    </row>
    <row r="321" spans="1:24" x14ac:dyDescent="0.25">
      <c r="A321" t="s">
        <v>42</v>
      </c>
      <c r="B321" t="s">
        <v>1725</v>
      </c>
      <c r="C321" t="s">
        <v>343</v>
      </c>
      <c r="E321" t="s">
        <v>998</v>
      </c>
      <c r="F321">
        <v>334</v>
      </c>
      <c r="G321" t="s">
        <v>1057</v>
      </c>
      <c r="H321" t="s">
        <v>1726</v>
      </c>
      <c r="I321" t="s">
        <v>1727</v>
      </c>
      <c r="J321" t="s">
        <v>1422</v>
      </c>
      <c r="K321" t="s">
        <v>1032</v>
      </c>
      <c r="L321" t="s">
        <v>1033</v>
      </c>
      <c r="M321" t="s">
        <v>1034</v>
      </c>
      <c r="N321" t="s">
        <v>1035</v>
      </c>
      <c r="O321" t="s">
        <v>446</v>
      </c>
      <c r="P321" t="s">
        <v>1037</v>
      </c>
      <c r="Q321" t="b">
        <v>1</v>
      </c>
      <c r="R321" t="b">
        <v>0</v>
      </c>
      <c r="S321" t="s">
        <v>1102</v>
      </c>
      <c r="T321" t="s">
        <v>446</v>
      </c>
      <c r="U321" t="s">
        <v>1066</v>
      </c>
      <c r="V321" t="s">
        <v>1002</v>
      </c>
      <c r="W321" t="s">
        <v>1040</v>
      </c>
      <c r="X321" t="s">
        <v>1728</v>
      </c>
    </row>
    <row r="322" spans="1:24" x14ac:dyDescent="0.25">
      <c r="A322" t="s">
        <v>42</v>
      </c>
      <c r="B322" t="s">
        <v>1729</v>
      </c>
      <c r="C322" t="s">
        <v>343</v>
      </c>
      <c r="E322" t="s">
        <v>1005</v>
      </c>
      <c r="F322">
        <v>359</v>
      </c>
      <c r="G322" t="s">
        <v>1057</v>
      </c>
      <c r="H322" t="s">
        <v>1730</v>
      </c>
      <c r="I322" t="s">
        <v>1727</v>
      </c>
      <c r="J322" t="s">
        <v>1422</v>
      </c>
      <c r="K322" t="s">
        <v>1044</v>
      </c>
      <c r="L322" t="s">
        <v>1045</v>
      </c>
      <c r="M322" t="s">
        <v>1034</v>
      </c>
      <c r="N322" t="s">
        <v>1046</v>
      </c>
      <c r="O322" t="s">
        <v>446</v>
      </c>
      <c r="P322" t="s">
        <v>1048</v>
      </c>
      <c r="Q322" t="b">
        <v>1</v>
      </c>
      <c r="R322" t="b">
        <v>0</v>
      </c>
      <c r="S322" t="s">
        <v>1102</v>
      </c>
      <c r="T322" t="s">
        <v>446</v>
      </c>
      <c r="U322" t="s">
        <v>1066</v>
      </c>
      <c r="V322" t="s">
        <v>1002</v>
      </c>
      <c r="W322" t="s">
        <v>1040</v>
      </c>
      <c r="X322" t="s">
        <v>1728</v>
      </c>
    </row>
    <row r="323" spans="1:24" x14ac:dyDescent="0.25">
      <c r="A323" t="s">
        <v>42</v>
      </c>
      <c r="B323" t="s">
        <v>1731</v>
      </c>
      <c r="C323" t="s">
        <v>343</v>
      </c>
      <c r="E323" t="s">
        <v>1007</v>
      </c>
      <c r="F323">
        <v>338</v>
      </c>
      <c r="G323" t="s">
        <v>1057</v>
      </c>
      <c r="H323" t="s">
        <v>1732</v>
      </c>
      <c r="I323" t="s">
        <v>1727</v>
      </c>
      <c r="J323" t="s">
        <v>1422</v>
      </c>
      <c r="K323" t="s">
        <v>1051</v>
      </c>
      <c r="L323" t="s">
        <v>1052</v>
      </c>
      <c r="M323" t="s">
        <v>1034</v>
      </c>
      <c r="N323" t="s">
        <v>1053</v>
      </c>
      <c r="O323" t="s">
        <v>446</v>
      </c>
      <c r="P323" t="s">
        <v>1055</v>
      </c>
      <c r="Q323" t="b">
        <v>1</v>
      </c>
      <c r="R323" t="b">
        <v>0</v>
      </c>
      <c r="S323" t="s">
        <v>1102</v>
      </c>
      <c r="T323" t="s">
        <v>446</v>
      </c>
      <c r="U323" t="s">
        <v>1066</v>
      </c>
      <c r="V323" t="s">
        <v>1002</v>
      </c>
      <c r="W323" t="s">
        <v>1040</v>
      </c>
      <c r="X323" t="s">
        <v>1728</v>
      </c>
    </row>
    <row r="324" spans="1:24" x14ac:dyDescent="0.25">
      <c r="A324" t="s">
        <v>42</v>
      </c>
      <c r="B324" t="s">
        <v>1733</v>
      </c>
      <c r="C324" t="s">
        <v>343</v>
      </c>
      <c r="E324" t="s">
        <v>1009</v>
      </c>
      <c r="F324">
        <v>354</v>
      </c>
      <c r="G324" t="s">
        <v>1057</v>
      </c>
      <c r="H324" t="s">
        <v>1734</v>
      </c>
      <c r="I324" t="s">
        <v>1727</v>
      </c>
      <c r="J324" t="s">
        <v>1422</v>
      </c>
      <c r="K324" t="s">
        <v>1060</v>
      </c>
      <c r="L324" t="s">
        <v>1061</v>
      </c>
      <c r="M324" t="s">
        <v>1062</v>
      </c>
      <c r="N324" t="s">
        <v>1063</v>
      </c>
      <c r="O324" t="s">
        <v>446</v>
      </c>
      <c r="P324" t="s">
        <v>1064</v>
      </c>
      <c r="Q324" t="b">
        <v>1</v>
      </c>
      <c r="R324" t="b">
        <v>0</v>
      </c>
      <c r="S324" t="s">
        <v>1102</v>
      </c>
      <c r="T324" t="s">
        <v>446</v>
      </c>
      <c r="U324" t="s">
        <v>1066</v>
      </c>
      <c r="V324" t="s">
        <v>1002</v>
      </c>
      <c r="W324" t="s">
        <v>1040</v>
      </c>
      <c r="X324" t="s">
        <v>1728</v>
      </c>
    </row>
    <row r="325" spans="1:24" x14ac:dyDescent="0.25">
      <c r="A325" t="s">
        <v>42</v>
      </c>
      <c r="B325" t="s">
        <v>1735</v>
      </c>
      <c r="C325" t="s">
        <v>343</v>
      </c>
      <c r="E325" t="s">
        <v>1011</v>
      </c>
      <c r="F325">
        <v>367</v>
      </c>
      <c r="G325" t="s">
        <v>1057</v>
      </c>
      <c r="H325" t="s">
        <v>1736</v>
      </c>
      <c r="I325" t="s">
        <v>1727</v>
      </c>
      <c r="J325" t="s">
        <v>1422</v>
      </c>
      <c r="K325" t="s">
        <v>1070</v>
      </c>
      <c r="L325" t="s">
        <v>1071</v>
      </c>
      <c r="M325" t="s">
        <v>1034</v>
      </c>
      <c r="N325" t="s">
        <v>1072</v>
      </c>
      <c r="O325" t="s">
        <v>446</v>
      </c>
      <c r="P325" t="s">
        <v>1074</v>
      </c>
      <c r="Q325" t="b">
        <v>1</v>
      </c>
      <c r="R325" t="b">
        <v>0</v>
      </c>
      <c r="S325" t="s">
        <v>1102</v>
      </c>
      <c r="T325" t="s">
        <v>446</v>
      </c>
      <c r="U325" t="s">
        <v>1066</v>
      </c>
      <c r="V325" t="s">
        <v>1002</v>
      </c>
      <c r="W325" t="s">
        <v>1040</v>
      </c>
      <c r="X325" t="s">
        <v>1728</v>
      </c>
    </row>
    <row r="326" spans="1:24" x14ac:dyDescent="0.25">
      <c r="A326" t="s">
        <v>42</v>
      </c>
      <c r="B326" t="s">
        <v>1737</v>
      </c>
      <c r="C326" t="s">
        <v>343</v>
      </c>
      <c r="E326" t="s">
        <v>1013</v>
      </c>
      <c r="F326">
        <v>421</v>
      </c>
      <c r="G326" t="s">
        <v>1057</v>
      </c>
      <c r="H326" t="s">
        <v>1738</v>
      </c>
      <c r="I326" t="s">
        <v>1727</v>
      </c>
      <c r="J326" t="s">
        <v>1422</v>
      </c>
      <c r="K326" t="s">
        <v>1077</v>
      </c>
      <c r="L326" t="s">
        <v>1078</v>
      </c>
      <c r="M326" t="s">
        <v>1034</v>
      </c>
      <c r="N326" t="s">
        <v>1079</v>
      </c>
      <c r="O326" t="s">
        <v>446</v>
      </c>
      <c r="P326" t="s">
        <v>1081</v>
      </c>
      <c r="Q326" t="b">
        <v>1</v>
      </c>
      <c r="R326" t="b">
        <v>0</v>
      </c>
      <c r="S326" t="s">
        <v>1102</v>
      </c>
      <c r="T326" t="s">
        <v>446</v>
      </c>
      <c r="U326" t="s">
        <v>1066</v>
      </c>
      <c r="V326" t="s">
        <v>1002</v>
      </c>
      <c r="W326" t="s">
        <v>1040</v>
      </c>
      <c r="X326" t="s">
        <v>1728</v>
      </c>
    </row>
    <row r="327" spans="1:24" x14ac:dyDescent="0.25">
      <c r="A327" t="s">
        <v>42</v>
      </c>
      <c r="B327" t="s">
        <v>1739</v>
      </c>
      <c r="C327" t="s">
        <v>343</v>
      </c>
      <c r="E327" t="s">
        <v>1015</v>
      </c>
      <c r="F327">
        <v>513</v>
      </c>
      <c r="G327" t="s">
        <v>1057</v>
      </c>
      <c r="H327" t="s">
        <v>1740</v>
      </c>
      <c r="I327" t="s">
        <v>1727</v>
      </c>
      <c r="J327" t="s">
        <v>1422</v>
      </c>
      <c r="K327" t="s">
        <v>1084</v>
      </c>
      <c r="L327" t="s">
        <v>1085</v>
      </c>
      <c r="M327" t="s">
        <v>1034</v>
      </c>
      <c r="N327" t="s">
        <v>1086</v>
      </c>
      <c r="O327" t="s">
        <v>446</v>
      </c>
      <c r="P327" t="s">
        <v>1088</v>
      </c>
      <c r="Q327" t="b">
        <v>1</v>
      </c>
      <c r="R327" t="b">
        <v>0</v>
      </c>
      <c r="S327" t="s">
        <v>1102</v>
      </c>
      <c r="T327" t="s">
        <v>446</v>
      </c>
      <c r="U327" t="s">
        <v>1066</v>
      </c>
      <c r="V327" t="s">
        <v>1002</v>
      </c>
      <c r="W327" t="s">
        <v>1040</v>
      </c>
      <c r="X327" t="s">
        <v>1728</v>
      </c>
    </row>
    <row r="328" spans="1:24" x14ac:dyDescent="0.25">
      <c r="A328" t="s">
        <v>42</v>
      </c>
      <c r="B328" t="s">
        <v>1741</v>
      </c>
      <c r="C328" t="s">
        <v>343</v>
      </c>
      <c r="E328" t="s">
        <v>1017</v>
      </c>
      <c r="F328">
        <v>764</v>
      </c>
      <c r="G328" t="s">
        <v>1057</v>
      </c>
      <c r="H328" t="s">
        <v>1742</v>
      </c>
      <c r="I328" t="s">
        <v>1727</v>
      </c>
      <c r="J328" t="s">
        <v>1422</v>
      </c>
      <c r="K328" t="s">
        <v>1091</v>
      </c>
      <c r="L328" t="s">
        <v>1092</v>
      </c>
      <c r="M328" t="s">
        <v>1062</v>
      </c>
      <c r="N328" t="s">
        <v>1093</v>
      </c>
      <c r="O328" t="s">
        <v>446</v>
      </c>
      <c r="P328" t="s">
        <v>1094</v>
      </c>
      <c r="Q328" t="b">
        <v>1</v>
      </c>
      <c r="R328" t="b">
        <v>0</v>
      </c>
      <c r="S328" t="s">
        <v>1102</v>
      </c>
      <c r="T328" t="s">
        <v>446</v>
      </c>
      <c r="U328" t="s">
        <v>1066</v>
      </c>
      <c r="V328" t="s">
        <v>1002</v>
      </c>
      <c r="W328" t="s">
        <v>1040</v>
      </c>
      <c r="X328" t="s">
        <v>1728</v>
      </c>
    </row>
    <row r="329" spans="1:24" x14ac:dyDescent="0.25">
      <c r="A329" t="s">
        <v>42</v>
      </c>
      <c r="B329" t="s">
        <v>1743</v>
      </c>
      <c r="C329" t="s">
        <v>343</v>
      </c>
      <c r="D329" t="s">
        <v>446</v>
      </c>
      <c r="E329" t="s">
        <v>1019</v>
      </c>
      <c r="F329">
        <v>845</v>
      </c>
      <c r="G329" t="s">
        <v>1233</v>
      </c>
      <c r="H329" t="s">
        <v>1744</v>
      </c>
      <c r="I329" t="s">
        <v>1727</v>
      </c>
      <c r="J329" t="s">
        <v>1422</v>
      </c>
      <c r="K329" t="s">
        <v>1097</v>
      </c>
      <c r="L329" t="s">
        <v>1098</v>
      </c>
      <c r="M329" t="s">
        <v>1034</v>
      </c>
      <c r="N329" t="s">
        <v>1099</v>
      </c>
      <c r="O329" t="s">
        <v>446</v>
      </c>
      <c r="P329" t="s">
        <v>1101</v>
      </c>
      <c r="Q329" t="b">
        <v>1</v>
      </c>
      <c r="R329" t="b">
        <v>0</v>
      </c>
      <c r="S329" t="s">
        <v>1038</v>
      </c>
      <c r="T329" t="s">
        <v>446</v>
      </c>
      <c r="U329" t="s">
        <v>1039</v>
      </c>
      <c r="V329" t="s">
        <v>1002</v>
      </c>
      <c r="W329" t="s">
        <v>1040</v>
      </c>
      <c r="X329" t="s">
        <v>1728</v>
      </c>
    </row>
    <row r="330" spans="1:24" x14ac:dyDescent="0.25">
      <c r="A330" t="s">
        <v>42</v>
      </c>
      <c r="B330" t="s">
        <v>1745</v>
      </c>
      <c r="C330" t="s">
        <v>343</v>
      </c>
      <c r="D330" t="s">
        <v>446</v>
      </c>
      <c r="E330" t="s">
        <v>1021</v>
      </c>
      <c r="F330">
        <v>948</v>
      </c>
      <c r="G330" t="s">
        <v>1233</v>
      </c>
      <c r="H330" t="s">
        <v>1746</v>
      </c>
      <c r="I330" t="s">
        <v>1727</v>
      </c>
      <c r="J330" t="s">
        <v>1422</v>
      </c>
      <c r="K330" t="s">
        <v>1105</v>
      </c>
      <c r="L330" t="s">
        <v>1106</v>
      </c>
      <c r="M330" t="s">
        <v>1034</v>
      </c>
      <c r="N330" t="s">
        <v>1107</v>
      </c>
      <c r="O330" t="s">
        <v>446</v>
      </c>
      <c r="P330" t="s">
        <v>1109</v>
      </c>
      <c r="Q330" t="b">
        <v>1</v>
      </c>
      <c r="R330" t="b">
        <v>0</v>
      </c>
      <c r="S330" t="s">
        <v>1038</v>
      </c>
      <c r="T330" t="s">
        <v>446</v>
      </c>
      <c r="U330" t="s">
        <v>1039</v>
      </c>
      <c r="V330" t="s">
        <v>1002</v>
      </c>
      <c r="W330" t="s">
        <v>1040</v>
      </c>
      <c r="X330" t="s">
        <v>1728</v>
      </c>
    </row>
    <row r="331" spans="1:24" x14ac:dyDescent="0.25">
      <c r="A331" t="s">
        <v>42</v>
      </c>
      <c r="B331" t="s">
        <v>1747</v>
      </c>
      <c r="C331" t="s">
        <v>343</v>
      </c>
      <c r="D331" t="s">
        <v>446</v>
      </c>
      <c r="E331" t="s">
        <v>1023</v>
      </c>
      <c r="F331">
        <v>752</v>
      </c>
      <c r="G331" t="s">
        <v>1233</v>
      </c>
      <c r="H331" t="s">
        <v>1748</v>
      </c>
      <c r="I331" t="s">
        <v>1727</v>
      </c>
      <c r="J331" t="s">
        <v>1422</v>
      </c>
      <c r="K331" t="s">
        <v>1112</v>
      </c>
      <c r="L331" t="s">
        <v>1113</v>
      </c>
      <c r="M331" t="s">
        <v>1034</v>
      </c>
      <c r="N331" t="s">
        <v>1114</v>
      </c>
      <c r="O331" t="s">
        <v>446</v>
      </c>
      <c r="P331" t="s">
        <v>1116</v>
      </c>
      <c r="Q331" t="b">
        <v>1</v>
      </c>
      <c r="R331" t="b">
        <v>0</v>
      </c>
      <c r="S331" t="s">
        <v>1038</v>
      </c>
      <c r="T331" t="s">
        <v>446</v>
      </c>
      <c r="U331" t="s">
        <v>1039</v>
      </c>
      <c r="V331" t="s">
        <v>1002</v>
      </c>
      <c r="W331" t="s">
        <v>1040</v>
      </c>
      <c r="X331" t="s">
        <v>1728</v>
      </c>
    </row>
    <row r="332" spans="1:24" x14ac:dyDescent="0.25">
      <c r="A332" t="s">
        <v>42</v>
      </c>
      <c r="B332" t="s">
        <v>1749</v>
      </c>
      <c r="C332" t="s">
        <v>343</v>
      </c>
      <c r="D332" t="s">
        <v>446</v>
      </c>
      <c r="E332" t="s">
        <v>1025</v>
      </c>
      <c r="F332">
        <v>837</v>
      </c>
      <c r="G332" t="s">
        <v>1233</v>
      </c>
      <c r="H332" t="s">
        <v>1750</v>
      </c>
      <c r="I332" t="s">
        <v>1727</v>
      </c>
      <c r="J332" t="s">
        <v>1422</v>
      </c>
      <c r="K332" t="s">
        <v>1119</v>
      </c>
      <c r="L332" t="s">
        <v>1120</v>
      </c>
      <c r="M332" t="s">
        <v>1062</v>
      </c>
      <c r="N332" t="s">
        <v>1121</v>
      </c>
      <c r="O332" t="s">
        <v>446</v>
      </c>
      <c r="P332" t="s">
        <v>1122</v>
      </c>
      <c r="Q332" t="b">
        <v>1</v>
      </c>
      <c r="R332" t="b">
        <v>0</v>
      </c>
      <c r="S332" t="s">
        <v>1038</v>
      </c>
      <c r="T332" t="s">
        <v>446</v>
      </c>
      <c r="U332" t="s">
        <v>1039</v>
      </c>
      <c r="V332" t="s">
        <v>1002</v>
      </c>
      <c r="W332" t="s">
        <v>1040</v>
      </c>
      <c r="X332" t="s">
        <v>1728</v>
      </c>
    </row>
    <row r="333" spans="1:24" x14ac:dyDescent="0.25">
      <c r="A333" t="s">
        <v>42</v>
      </c>
      <c r="B333" t="s">
        <v>1751</v>
      </c>
      <c r="C333" t="s">
        <v>343</v>
      </c>
      <c r="E333" t="s">
        <v>1027</v>
      </c>
      <c r="F333">
        <v>1074</v>
      </c>
      <c r="G333" t="s">
        <v>1057</v>
      </c>
      <c r="H333" t="s">
        <v>1752</v>
      </c>
      <c r="I333" t="s">
        <v>1727</v>
      </c>
      <c r="J333" t="s">
        <v>1422</v>
      </c>
      <c r="K333" t="s">
        <v>1125</v>
      </c>
      <c r="L333" t="s">
        <v>1126</v>
      </c>
      <c r="M333" t="s">
        <v>1034</v>
      </c>
      <c r="N333" t="s">
        <v>1127</v>
      </c>
      <c r="O333" t="s">
        <v>446</v>
      </c>
      <c r="P333" t="s">
        <v>1129</v>
      </c>
      <c r="Q333" t="b">
        <v>1</v>
      </c>
      <c r="R333" t="b">
        <v>0</v>
      </c>
      <c r="S333" t="s">
        <v>1102</v>
      </c>
      <c r="T333" t="s">
        <v>446</v>
      </c>
      <c r="U333" t="s">
        <v>1066</v>
      </c>
      <c r="V333" t="s">
        <v>1002</v>
      </c>
      <c r="W333" t="s">
        <v>1040</v>
      </c>
      <c r="X333" t="s">
        <v>1728</v>
      </c>
    </row>
    <row r="334" spans="1:24" x14ac:dyDescent="0.25">
      <c r="A334" t="s">
        <v>42</v>
      </c>
      <c r="B334" t="s">
        <v>1753</v>
      </c>
      <c r="C334" t="s">
        <v>343</v>
      </c>
      <c r="E334" t="s">
        <v>1131</v>
      </c>
      <c r="F334">
        <v>980</v>
      </c>
      <c r="G334" t="s">
        <v>1057</v>
      </c>
      <c r="H334" t="s">
        <v>1754</v>
      </c>
      <c r="I334" t="s">
        <v>1727</v>
      </c>
      <c r="J334" t="s">
        <v>1422</v>
      </c>
      <c r="K334" t="s">
        <v>1133</v>
      </c>
      <c r="L334" t="s">
        <v>1134</v>
      </c>
      <c r="M334" t="s">
        <v>1034</v>
      </c>
      <c r="N334" t="s">
        <v>1135</v>
      </c>
      <c r="O334" t="s">
        <v>446</v>
      </c>
      <c r="P334" t="s">
        <v>1137</v>
      </c>
      <c r="Q334" t="b">
        <v>1</v>
      </c>
      <c r="R334" t="b">
        <v>0</v>
      </c>
      <c r="S334" t="s">
        <v>1102</v>
      </c>
      <c r="T334" t="s">
        <v>446</v>
      </c>
      <c r="U334" t="s">
        <v>1066</v>
      </c>
      <c r="V334" t="s">
        <v>1002</v>
      </c>
      <c r="W334" t="s">
        <v>1040</v>
      </c>
      <c r="X334" t="s">
        <v>1728</v>
      </c>
    </row>
    <row r="335" spans="1:24" x14ac:dyDescent="0.25">
      <c r="A335" t="s">
        <v>42</v>
      </c>
      <c r="B335" t="s">
        <v>1755</v>
      </c>
      <c r="C335" t="s">
        <v>346</v>
      </c>
      <c r="E335" t="s">
        <v>998</v>
      </c>
      <c r="F335">
        <v>10947</v>
      </c>
      <c r="G335" t="s">
        <v>1057</v>
      </c>
      <c r="H335" t="s">
        <v>1756</v>
      </c>
      <c r="I335" t="s">
        <v>1757</v>
      </c>
      <c r="J335" t="s">
        <v>1422</v>
      </c>
      <c r="K335" t="s">
        <v>1032</v>
      </c>
      <c r="L335" t="s">
        <v>1033</v>
      </c>
      <c r="M335" t="s">
        <v>1034</v>
      </c>
      <c r="N335" t="s">
        <v>1035</v>
      </c>
      <c r="O335" t="s">
        <v>446</v>
      </c>
      <c r="P335" t="s">
        <v>1037</v>
      </c>
      <c r="Q335" t="b">
        <v>1</v>
      </c>
      <c r="R335" t="b">
        <v>0</v>
      </c>
      <c r="S335" t="s">
        <v>1102</v>
      </c>
      <c r="T335" t="s">
        <v>446</v>
      </c>
      <c r="U335" t="s">
        <v>1066</v>
      </c>
      <c r="V335" t="s">
        <v>1002</v>
      </c>
      <c r="W335" t="s">
        <v>1040</v>
      </c>
      <c r="X335" t="s">
        <v>1758</v>
      </c>
    </row>
    <row r="336" spans="1:24" x14ac:dyDescent="0.25">
      <c r="A336" t="s">
        <v>42</v>
      </c>
      <c r="B336" t="s">
        <v>1759</v>
      </c>
      <c r="C336" t="s">
        <v>346</v>
      </c>
      <c r="E336" t="s">
        <v>1005</v>
      </c>
      <c r="F336">
        <v>10949</v>
      </c>
      <c r="G336" t="s">
        <v>1057</v>
      </c>
      <c r="H336" t="s">
        <v>1760</v>
      </c>
      <c r="I336" t="s">
        <v>1761</v>
      </c>
      <c r="J336" t="s">
        <v>1422</v>
      </c>
      <c r="K336" t="s">
        <v>1044</v>
      </c>
      <c r="L336" t="s">
        <v>1045</v>
      </c>
      <c r="M336" t="s">
        <v>1034</v>
      </c>
      <c r="N336" t="s">
        <v>1046</v>
      </c>
      <c r="O336" t="s">
        <v>446</v>
      </c>
      <c r="P336" t="s">
        <v>1048</v>
      </c>
      <c r="Q336" t="b">
        <v>1</v>
      </c>
      <c r="R336" t="b">
        <v>0</v>
      </c>
      <c r="S336" t="s">
        <v>1102</v>
      </c>
      <c r="T336" t="s">
        <v>446</v>
      </c>
      <c r="U336" t="s">
        <v>1066</v>
      </c>
      <c r="V336" t="s">
        <v>1002</v>
      </c>
      <c r="W336" t="s">
        <v>1040</v>
      </c>
      <c r="X336" t="s">
        <v>1762</v>
      </c>
    </row>
    <row r="337" spans="1:24" x14ac:dyDescent="0.25">
      <c r="A337" t="s">
        <v>42</v>
      </c>
      <c r="B337" t="s">
        <v>1763</v>
      </c>
      <c r="C337" t="s">
        <v>346</v>
      </c>
      <c r="E337" t="s">
        <v>1007</v>
      </c>
      <c r="F337">
        <v>10950</v>
      </c>
      <c r="G337" t="s">
        <v>1057</v>
      </c>
      <c r="H337" t="s">
        <v>1764</v>
      </c>
      <c r="I337" t="s">
        <v>1761</v>
      </c>
      <c r="J337" t="s">
        <v>1422</v>
      </c>
      <c r="K337" t="s">
        <v>1051</v>
      </c>
      <c r="L337" t="s">
        <v>1052</v>
      </c>
      <c r="M337" t="s">
        <v>1034</v>
      </c>
      <c r="N337" t="s">
        <v>1053</v>
      </c>
      <c r="O337" t="s">
        <v>446</v>
      </c>
      <c r="P337" t="s">
        <v>1055</v>
      </c>
      <c r="Q337" t="b">
        <v>1</v>
      </c>
      <c r="R337" t="b">
        <v>0</v>
      </c>
      <c r="S337" t="s">
        <v>1102</v>
      </c>
      <c r="T337" t="s">
        <v>446</v>
      </c>
      <c r="U337" t="s">
        <v>1066</v>
      </c>
      <c r="V337" t="s">
        <v>1002</v>
      </c>
      <c r="W337" t="s">
        <v>1040</v>
      </c>
      <c r="X337" t="s">
        <v>1762</v>
      </c>
    </row>
    <row r="338" spans="1:24" x14ac:dyDescent="0.25">
      <c r="A338" t="s">
        <v>42</v>
      </c>
      <c r="B338" t="s">
        <v>1765</v>
      </c>
      <c r="C338" t="s">
        <v>346</v>
      </c>
      <c r="E338" t="s">
        <v>1009</v>
      </c>
      <c r="F338">
        <v>10953</v>
      </c>
      <c r="G338" t="s">
        <v>1057</v>
      </c>
      <c r="H338" t="s">
        <v>1766</v>
      </c>
      <c r="I338" t="s">
        <v>1761</v>
      </c>
      <c r="J338" t="s">
        <v>1422</v>
      </c>
      <c r="K338" t="s">
        <v>1060</v>
      </c>
      <c r="L338" t="s">
        <v>1061</v>
      </c>
      <c r="M338" t="s">
        <v>1062</v>
      </c>
      <c r="N338" t="s">
        <v>1063</v>
      </c>
      <c r="O338" t="s">
        <v>446</v>
      </c>
      <c r="P338" t="s">
        <v>1064</v>
      </c>
      <c r="Q338" t="b">
        <v>1</v>
      </c>
      <c r="R338" t="b">
        <v>0</v>
      </c>
      <c r="S338" t="s">
        <v>1102</v>
      </c>
      <c r="T338" t="s">
        <v>446</v>
      </c>
      <c r="U338" t="s">
        <v>1066</v>
      </c>
      <c r="V338" t="s">
        <v>1002</v>
      </c>
      <c r="W338" t="s">
        <v>1040</v>
      </c>
      <c r="X338" t="s">
        <v>1762</v>
      </c>
    </row>
    <row r="339" spans="1:24" x14ac:dyDescent="0.25">
      <c r="A339" t="s">
        <v>42</v>
      </c>
      <c r="B339" t="s">
        <v>1767</v>
      </c>
      <c r="C339" t="s">
        <v>346</v>
      </c>
      <c r="E339" t="s">
        <v>1011</v>
      </c>
      <c r="F339">
        <v>10954</v>
      </c>
      <c r="G339" t="s">
        <v>1057</v>
      </c>
      <c r="H339" t="s">
        <v>1768</v>
      </c>
      <c r="I339" t="s">
        <v>1761</v>
      </c>
      <c r="J339" t="s">
        <v>1422</v>
      </c>
      <c r="K339" t="s">
        <v>1070</v>
      </c>
      <c r="L339" t="s">
        <v>1071</v>
      </c>
      <c r="M339" t="s">
        <v>1034</v>
      </c>
      <c r="N339" t="s">
        <v>1072</v>
      </c>
      <c r="O339" t="s">
        <v>446</v>
      </c>
      <c r="P339" t="s">
        <v>1074</v>
      </c>
      <c r="Q339" t="b">
        <v>1</v>
      </c>
      <c r="R339" t="b">
        <v>0</v>
      </c>
      <c r="S339" t="s">
        <v>1102</v>
      </c>
      <c r="T339" t="s">
        <v>446</v>
      </c>
      <c r="U339" t="s">
        <v>1066</v>
      </c>
      <c r="V339" t="s">
        <v>1002</v>
      </c>
      <c r="W339" t="s">
        <v>1040</v>
      </c>
      <c r="X339" t="s">
        <v>1762</v>
      </c>
    </row>
    <row r="340" spans="1:24" x14ac:dyDescent="0.25">
      <c r="A340" t="s">
        <v>42</v>
      </c>
      <c r="B340" t="s">
        <v>1769</v>
      </c>
      <c r="C340" t="s">
        <v>346</v>
      </c>
      <c r="E340" t="s">
        <v>1013</v>
      </c>
      <c r="F340">
        <v>9705</v>
      </c>
      <c r="G340" t="s">
        <v>1057</v>
      </c>
      <c r="H340" t="s">
        <v>1770</v>
      </c>
      <c r="I340" t="s">
        <v>1761</v>
      </c>
      <c r="J340" t="s">
        <v>1422</v>
      </c>
      <c r="K340" t="s">
        <v>1077</v>
      </c>
      <c r="L340" t="s">
        <v>1078</v>
      </c>
      <c r="M340" t="s">
        <v>1034</v>
      </c>
      <c r="N340" t="s">
        <v>1079</v>
      </c>
      <c r="O340" t="s">
        <v>446</v>
      </c>
      <c r="P340" t="s">
        <v>1081</v>
      </c>
      <c r="Q340" t="b">
        <v>1</v>
      </c>
      <c r="R340" t="b">
        <v>0</v>
      </c>
      <c r="S340" t="s">
        <v>1102</v>
      </c>
      <c r="T340" t="s">
        <v>446</v>
      </c>
      <c r="U340" t="s">
        <v>1066</v>
      </c>
      <c r="V340" t="s">
        <v>1002</v>
      </c>
      <c r="W340" t="s">
        <v>1040</v>
      </c>
      <c r="X340" t="s">
        <v>1762</v>
      </c>
    </row>
    <row r="341" spans="1:24" x14ac:dyDescent="0.25">
      <c r="A341" t="s">
        <v>42</v>
      </c>
      <c r="B341" t="s">
        <v>1771</v>
      </c>
      <c r="C341" t="s">
        <v>346</v>
      </c>
      <c r="E341" t="s">
        <v>1015</v>
      </c>
      <c r="F341">
        <v>9706</v>
      </c>
      <c r="G341" t="s">
        <v>1057</v>
      </c>
      <c r="H341" t="s">
        <v>1772</v>
      </c>
      <c r="I341" t="s">
        <v>1761</v>
      </c>
      <c r="J341" t="s">
        <v>1422</v>
      </c>
      <c r="K341" t="s">
        <v>1084</v>
      </c>
      <c r="L341" t="s">
        <v>1085</v>
      </c>
      <c r="M341" t="s">
        <v>1034</v>
      </c>
      <c r="N341" t="s">
        <v>1086</v>
      </c>
      <c r="O341" t="s">
        <v>446</v>
      </c>
      <c r="P341" t="s">
        <v>1088</v>
      </c>
      <c r="Q341" t="b">
        <v>1</v>
      </c>
      <c r="R341" t="b">
        <v>0</v>
      </c>
      <c r="S341" t="s">
        <v>1102</v>
      </c>
      <c r="T341" t="s">
        <v>446</v>
      </c>
      <c r="U341" t="s">
        <v>1066</v>
      </c>
      <c r="V341" t="s">
        <v>1002</v>
      </c>
      <c r="W341" t="s">
        <v>1040</v>
      </c>
      <c r="X341" t="s">
        <v>1762</v>
      </c>
    </row>
    <row r="342" spans="1:24" x14ac:dyDescent="0.25">
      <c r="A342" t="s">
        <v>42</v>
      </c>
      <c r="B342" t="s">
        <v>1773</v>
      </c>
      <c r="C342" t="s">
        <v>346</v>
      </c>
      <c r="E342" t="s">
        <v>1017</v>
      </c>
      <c r="F342">
        <v>9709</v>
      </c>
      <c r="G342" t="s">
        <v>1057</v>
      </c>
      <c r="H342" t="s">
        <v>1774</v>
      </c>
      <c r="I342" t="s">
        <v>1761</v>
      </c>
      <c r="J342" t="s">
        <v>1422</v>
      </c>
      <c r="K342" t="s">
        <v>1091</v>
      </c>
      <c r="L342" t="s">
        <v>1092</v>
      </c>
      <c r="M342" t="s">
        <v>1062</v>
      </c>
      <c r="N342" t="s">
        <v>1093</v>
      </c>
      <c r="O342" t="s">
        <v>446</v>
      </c>
      <c r="P342" t="s">
        <v>1094</v>
      </c>
      <c r="Q342" t="b">
        <v>1</v>
      </c>
      <c r="R342" t="b">
        <v>0</v>
      </c>
      <c r="S342" t="s">
        <v>1102</v>
      </c>
      <c r="T342" t="s">
        <v>446</v>
      </c>
      <c r="U342" t="s">
        <v>1066</v>
      </c>
      <c r="V342" t="s">
        <v>1002</v>
      </c>
      <c r="W342" t="s">
        <v>1040</v>
      </c>
      <c r="X342" t="s">
        <v>1762</v>
      </c>
    </row>
    <row r="343" spans="1:24" x14ac:dyDescent="0.25">
      <c r="A343" t="s">
        <v>42</v>
      </c>
      <c r="B343" t="s">
        <v>1775</v>
      </c>
      <c r="C343" t="s">
        <v>346</v>
      </c>
      <c r="D343" t="s">
        <v>446</v>
      </c>
      <c r="E343" t="s">
        <v>1019</v>
      </c>
      <c r="F343">
        <v>9710</v>
      </c>
      <c r="G343" t="s">
        <v>1233</v>
      </c>
      <c r="H343" t="s">
        <v>1776</v>
      </c>
      <c r="I343" t="s">
        <v>1761</v>
      </c>
      <c r="J343" t="s">
        <v>1422</v>
      </c>
      <c r="K343" t="s">
        <v>1097</v>
      </c>
      <c r="L343" t="s">
        <v>1098</v>
      </c>
      <c r="M343" t="s">
        <v>1034</v>
      </c>
      <c r="N343" t="s">
        <v>1099</v>
      </c>
      <c r="O343" t="s">
        <v>446</v>
      </c>
      <c r="P343" t="s">
        <v>1101</v>
      </c>
      <c r="Q343" t="b">
        <v>1</v>
      </c>
      <c r="R343" t="b">
        <v>0</v>
      </c>
      <c r="S343" t="s">
        <v>1038</v>
      </c>
      <c r="T343" t="s">
        <v>446</v>
      </c>
      <c r="U343" t="s">
        <v>1039</v>
      </c>
      <c r="V343" t="s">
        <v>1002</v>
      </c>
      <c r="W343" t="s">
        <v>1040</v>
      </c>
      <c r="X343" t="s">
        <v>1762</v>
      </c>
    </row>
    <row r="344" spans="1:24" x14ac:dyDescent="0.25">
      <c r="A344" t="s">
        <v>42</v>
      </c>
      <c r="B344" t="s">
        <v>1777</v>
      </c>
      <c r="C344" t="s">
        <v>346</v>
      </c>
      <c r="D344" t="s">
        <v>446</v>
      </c>
      <c r="E344" t="s">
        <v>1021</v>
      </c>
      <c r="F344">
        <v>8461</v>
      </c>
      <c r="G344" t="s">
        <v>1233</v>
      </c>
      <c r="H344" t="s">
        <v>1778</v>
      </c>
      <c r="I344" t="s">
        <v>1761</v>
      </c>
      <c r="J344" t="s">
        <v>1422</v>
      </c>
      <c r="K344" t="s">
        <v>1105</v>
      </c>
      <c r="L344" t="s">
        <v>1106</v>
      </c>
      <c r="M344" t="s">
        <v>1034</v>
      </c>
      <c r="N344" t="s">
        <v>1107</v>
      </c>
      <c r="O344" t="s">
        <v>446</v>
      </c>
      <c r="P344" t="s">
        <v>1109</v>
      </c>
      <c r="Q344" t="b">
        <v>1</v>
      </c>
      <c r="R344" t="b">
        <v>0</v>
      </c>
      <c r="S344" t="s">
        <v>1038</v>
      </c>
      <c r="T344" t="s">
        <v>446</v>
      </c>
      <c r="U344" t="s">
        <v>1039</v>
      </c>
      <c r="V344" t="s">
        <v>1002</v>
      </c>
      <c r="W344" t="s">
        <v>1040</v>
      </c>
      <c r="X344" t="s">
        <v>1758</v>
      </c>
    </row>
    <row r="345" spans="1:24" x14ac:dyDescent="0.25">
      <c r="A345" t="s">
        <v>42</v>
      </c>
      <c r="B345" t="s">
        <v>1779</v>
      </c>
      <c r="C345" t="s">
        <v>346</v>
      </c>
      <c r="D345" t="s">
        <v>446</v>
      </c>
      <c r="E345" t="s">
        <v>1023</v>
      </c>
      <c r="F345">
        <v>8462</v>
      </c>
      <c r="G345" t="s">
        <v>1233</v>
      </c>
      <c r="H345" t="s">
        <v>1780</v>
      </c>
      <c r="I345" t="s">
        <v>1761</v>
      </c>
      <c r="J345" t="s">
        <v>1422</v>
      </c>
      <c r="K345" t="s">
        <v>1112</v>
      </c>
      <c r="L345" t="s">
        <v>1113</v>
      </c>
      <c r="M345" t="s">
        <v>1034</v>
      </c>
      <c r="N345" t="s">
        <v>1114</v>
      </c>
      <c r="O345" t="s">
        <v>446</v>
      </c>
      <c r="P345" t="s">
        <v>1116</v>
      </c>
      <c r="Q345" t="b">
        <v>1</v>
      </c>
      <c r="R345" t="b">
        <v>0</v>
      </c>
      <c r="S345" t="s">
        <v>1038</v>
      </c>
      <c r="T345" t="s">
        <v>446</v>
      </c>
      <c r="U345" t="s">
        <v>1039</v>
      </c>
      <c r="V345" t="s">
        <v>1002</v>
      </c>
      <c r="W345" t="s">
        <v>1040</v>
      </c>
      <c r="X345" t="s">
        <v>1758</v>
      </c>
    </row>
    <row r="346" spans="1:24" x14ac:dyDescent="0.25">
      <c r="A346" t="s">
        <v>42</v>
      </c>
      <c r="B346" t="s">
        <v>1781</v>
      </c>
      <c r="C346" t="s">
        <v>346</v>
      </c>
      <c r="D346" t="s">
        <v>446</v>
      </c>
      <c r="E346" t="s">
        <v>1025</v>
      </c>
      <c r="F346">
        <v>8463</v>
      </c>
      <c r="G346" t="s">
        <v>1233</v>
      </c>
      <c r="H346" t="s">
        <v>1782</v>
      </c>
      <c r="I346" t="s">
        <v>1761</v>
      </c>
      <c r="J346" t="s">
        <v>1422</v>
      </c>
      <c r="K346" t="s">
        <v>1119</v>
      </c>
      <c r="L346" t="s">
        <v>1120</v>
      </c>
      <c r="M346" t="s">
        <v>1062</v>
      </c>
      <c r="N346" t="s">
        <v>1121</v>
      </c>
      <c r="O346" t="s">
        <v>446</v>
      </c>
      <c r="P346" t="s">
        <v>1122</v>
      </c>
      <c r="Q346" t="b">
        <v>1</v>
      </c>
      <c r="R346" t="b">
        <v>0</v>
      </c>
      <c r="S346" t="s">
        <v>1038</v>
      </c>
      <c r="T346" t="s">
        <v>446</v>
      </c>
      <c r="U346" t="s">
        <v>1039</v>
      </c>
      <c r="V346" t="s">
        <v>1002</v>
      </c>
      <c r="W346" t="s">
        <v>1040</v>
      </c>
      <c r="X346" t="s">
        <v>1758</v>
      </c>
    </row>
    <row r="347" spans="1:24" x14ac:dyDescent="0.25">
      <c r="A347" t="s">
        <v>42</v>
      </c>
      <c r="B347" t="s">
        <v>1783</v>
      </c>
      <c r="C347" t="s">
        <v>346</v>
      </c>
      <c r="E347" t="s">
        <v>1027</v>
      </c>
      <c r="F347">
        <v>8464</v>
      </c>
      <c r="G347" t="s">
        <v>1057</v>
      </c>
      <c r="H347" t="s">
        <v>1784</v>
      </c>
      <c r="I347" t="s">
        <v>1757</v>
      </c>
      <c r="J347" t="s">
        <v>1422</v>
      </c>
      <c r="K347" t="s">
        <v>1125</v>
      </c>
      <c r="L347" t="s">
        <v>1126</v>
      </c>
      <c r="M347" t="s">
        <v>1034</v>
      </c>
      <c r="N347" t="s">
        <v>1127</v>
      </c>
      <c r="O347" t="s">
        <v>446</v>
      </c>
      <c r="P347" t="s">
        <v>1129</v>
      </c>
      <c r="Q347" t="b">
        <v>1</v>
      </c>
      <c r="R347" t="b">
        <v>0</v>
      </c>
      <c r="S347" t="s">
        <v>1102</v>
      </c>
      <c r="T347" t="s">
        <v>446</v>
      </c>
      <c r="U347" t="s">
        <v>1066</v>
      </c>
      <c r="V347" t="s">
        <v>1002</v>
      </c>
      <c r="W347" t="s">
        <v>1040</v>
      </c>
      <c r="X347" t="s">
        <v>1758</v>
      </c>
    </row>
    <row r="348" spans="1:24" x14ac:dyDescent="0.25">
      <c r="A348" t="s">
        <v>42</v>
      </c>
      <c r="B348" t="s">
        <v>1785</v>
      </c>
      <c r="C348" t="s">
        <v>346</v>
      </c>
      <c r="E348" t="s">
        <v>1131</v>
      </c>
      <c r="F348">
        <v>8466</v>
      </c>
      <c r="G348" t="s">
        <v>1057</v>
      </c>
      <c r="H348" t="s">
        <v>1786</v>
      </c>
      <c r="I348" t="s">
        <v>1757</v>
      </c>
      <c r="J348" t="s">
        <v>1422</v>
      </c>
      <c r="K348" t="s">
        <v>1133</v>
      </c>
      <c r="L348" t="s">
        <v>1134</v>
      </c>
      <c r="M348" t="s">
        <v>1034</v>
      </c>
      <c r="N348" t="s">
        <v>1135</v>
      </c>
      <c r="O348" t="s">
        <v>446</v>
      </c>
      <c r="P348" t="s">
        <v>1137</v>
      </c>
      <c r="Q348" t="b">
        <v>1</v>
      </c>
      <c r="R348" t="b">
        <v>0</v>
      </c>
      <c r="S348" t="s">
        <v>1102</v>
      </c>
      <c r="T348" t="s">
        <v>446</v>
      </c>
      <c r="U348" t="s">
        <v>1066</v>
      </c>
      <c r="V348" t="s">
        <v>1002</v>
      </c>
      <c r="W348" t="s">
        <v>1040</v>
      </c>
      <c r="X348" t="s">
        <v>1758</v>
      </c>
    </row>
    <row r="349" spans="1:24" x14ac:dyDescent="0.25">
      <c r="A349" t="s">
        <v>42</v>
      </c>
      <c r="B349" t="s">
        <v>1787</v>
      </c>
      <c r="C349" t="s">
        <v>347</v>
      </c>
      <c r="D349" t="s">
        <v>446</v>
      </c>
      <c r="E349" t="s">
        <v>998</v>
      </c>
      <c r="F349">
        <v>257</v>
      </c>
      <c r="G349" t="s">
        <v>1233</v>
      </c>
      <c r="H349" t="s">
        <v>1788</v>
      </c>
      <c r="I349" t="s">
        <v>1789</v>
      </c>
      <c r="J349" t="s">
        <v>1422</v>
      </c>
      <c r="K349" t="s">
        <v>1032</v>
      </c>
      <c r="L349" t="s">
        <v>1033</v>
      </c>
      <c r="M349" t="s">
        <v>1034</v>
      </c>
      <c r="N349" t="s">
        <v>1035</v>
      </c>
      <c r="O349" t="s">
        <v>446</v>
      </c>
      <c r="P349" t="s">
        <v>1037</v>
      </c>
      <c r="Q349" t="b">
        <v>1</v>
      </c>
      <c r="R349" t="b">
        <v>0</v>
      </c>
      <c r="S349" t="s">
        <v>1038</v>
      </c>
      <c r="T349" t="s">
        <v>446</v>
      </c>
      <c r="U349" t="s">
        <v>1039</v>
      </c>
      <c r="V349" t="s">
        <v>1002</v>
      </c>
      <c r="W349" t="s">
        <v>1040</v>
      </c>
      <c r="X349" t="s">
        <v>1790</v>
      </c>
    </row>
    <row r="350" spans="1:24" x14ac:dyDescent="0.25">
      <c r="A350" t="s">
        <v>42</v>
      </c>
      <c r="B350" t="s">
        <v>1791</v>
      </c>
      <c r="C350" t="s">
        <v>347</v>
      </c>
      <c r="D350" t="s">
        <v>446</v>
      </c>
      <c r="E350" t="s">
        <v>1005</v>
      </c>
      <c r="F350">
        <v>252</v>
      </c>
      <c r="G350" t="s">
        <v>1233</v>
      </c>
      <c r="H350" t="s">
        <v>1792</v>
      </c>
      <c r="I350" t="s">
        <v>1789</v>
      </c>
      <c r="J350" t="s">
        <v>1422</v>
      </c>
      <c r="K350" t="s">
        <v>1044</v>
      </c>
      <c r="L350" t="s">
        <v>1045</v>
      </c>
      <c r="M350" t="s">
        <v>1034</v>
      </c>
      <c r="N350" t="s">
        <v>1046</v>
      </c>
      <c r="O350" t="s">
        <v>446</v>
      </c>
      <c r="P350" t="s">
        <v>1048</v>
      </c>
      <c r="Q350" t="b">
        <v>1</v>
      </c>
      <c r="R350" t="b">
        <v>0</v>
      </c>
      <c r="S350" t="s">
        <v>1038</v>
      </c>
      <c r="T350" t="s">
        <v>446</v>
      </c>
      <c r="U350" t="s">
        <v>1039</v>
      </c>
      <c r="V350" t="s">
        <v>1002</v>
      </c>
      <c r="W350" t="s">
        <v>1040</v>
      </c>
      <c r="X350" t="s">
        <v>1790</v>
      </c>
    </row>
    <row r="351" spans="1:24" x14ac:dyDescent="0.25">
      <c r="A351" t="s">
        <v>42</v>
      </c>
      <c r="B351" t="s">
        <v>1793</v>
      </c>
      <c r="C351" t="s">
        <v>347</v>
      </c>
      <c r="D351" t="s">
        <v>446</v>
      </c>
      <c r="E351" t="s">
        <v>1007</v>
      </c>
      <c r="F351">
        <v>246</v>
      </c>
      <c r="G351" t="s">
        <v>1233</v>
      </c>
      <c r="H351" t="s">
        <v>1794</v>
      </c>
      <c r="I351" t="s">
        <v>1789</v>
      </c>
      <c r="J351" t="s">
        <v>1422</v>
      </c>
      <c r="K351" t="s">
        <v>1051</v>
      </c>
      <c r="L351" t="s">
        <v>1052</v>
      </c>
      <c r="M351" t="s">
        <v>1034</v>
      </c>
      <c r="N351" t="s">
        <v>1053</v>
      </c>
      <c r="O351" t="s">
        <v>446</v>
      </c>
      <c r="P351" t="s">
        <v>1055</v>
      </c>
      <c r="Q351" t="b">
        <v>1</v>
      </c>
      <c r="R351" t="b">
        <v>0</v>
      </c>
      <c r="S351" t="s">
        <v>1038</v>
      </c>
      <c r="T351" t="s">
        <v>446</v>
      </c>
      <c r="U351" t="s">
        <v>1039</v>
      </c>
      <c r="V351" t="s">
        <v>1002</v>
      </c>
      <c r="W351" t="s">
        <v>1040</v>
      </c>
      <c r="X351" t="s">
        <v>1790</v>
      </c>
    </row>
    <row r="352" spans="1:24" x14ac:dyDescent="0.25">
      <c r="A352" t="s">
        <v>42</v>
      </c>
      <c r="B352" t="s">
        <v>1795</v>
      </c>
      <c r="C352" t="s">
        <v>347</v>
      </c>
      <c r="D352" t="s">
        <v>446</v>
      </c>
      <c r="E352" t="s">
        <v>1009</v>
      </c>
      <c r="F352">
        <v>247</v>
      </c>
      <c r="G352" t="s">
        <v>1233</v>
      </c>
      <c r="H352" t="s">
        <v>1796</v>
      </c>
      <c r="I352" t="s">
        <v>1789</v>
      </c>
      <c r="J352" t="s">
        <v>1422</v>
      </c>
      <c r="K352" t="s">
        <v>1060</v>
      </c>
      <c r="L352" t="s">
        <v>1061</v>
      </c>
      <c r="M352" t="s">
        <v>1062</v>
      </c>
      <c r="N352" t="s">
        <v>1063</v>
      </c>
      <c r="O352" t="s">
        <v>446</v>
      </c>
      <c r="P352" t="s">
        <v>1064</v>
      </c>
      <c r="Q352" t="b">
        <v>1</v>
      </c>
      <c r="R352" t="b">
        <v>0</v>
      </c>
      <c r="S352" t="s">
        <v>1038</v>
      </c>
      <c r="T352" t="s">
        <v>446</v>
      </c>
      <c r="U352" t="s">
        <v>1039</v>
      </c>
      <c r="V352" t="s">
        <v>1002</v>
      </c>
      <c r="W352" t="s">
        <v>1040</v>
      </c>
      <c r="X352" t="s">
        <v>1790</v>
      </c>
    </row>
    <row r="353" spans="1:24" x14ac:dyDescent="0.25">
      <c r="A353" t="s">
        <v>42</v>
      </c>
      <c r="B353" t="s">
        <v>1797</v>
      </c>
      <c r="C353" t="s">
        <v>347</v>
      </c>
      <c r="D353" t="s">
        <v>446</v>
      </c>
      <c r="E353" t="s">
        <v>1011</v>
      </c>
      <c r="F353">
        <v>290</v>
      </c>
      <c r="G353" t="s">
        <v>1233</v>
      </c>
      <c r="H353" t="s">
        <v>1798</v>
      </c>
      <c r="I353" t="s">
        <v>1789</v>
      </c>
      <c r="J353" t="s">
        <v>1422</v>
      </c>
      <c r="K353" t="s">
        <v>1070</v>
      </c>
      <c r="L353" t="s">
        <v>1071</v>
      </c>
      <c r="M353" t="s">
        <v>1034</v>
      </c>
      <c r="N353" t="s">
        <v>1072</v>
      </c>
      <c r="O353" t="s">
        <v>446</v>
      </c>
      <c r="P353" t="s">
        <v>1074</v>
      </c>
      <c r="Q353" t="b">
        <v>1</v>
      </c>
      <c r="R353" t="b">
        <v>0</v>
      </c>
      <c r="S353" t="s">
        <v>1038</v>
      </c>
      <c r="T353" t="s">
        <v>446</v>
      </c>
      <c r="U353" t="s">
        <v>1039</v>
      </c>
      <c r="V353" t="s">
        <v>1002</v>
      </c>
      <c r="W353" t="s">
        <v>1040</v>
      </c>
      <c r="X353" t="s">
        <v>1790</v>
      </c>
    </row>
    <row r="354" spans="1:24" x14ac:dyDescent="0.25">
      <c r="A354" t="s">
        <v>42</v>
      </c>
      <c r="B354" t="s">
        <v>1799</v>
      </c>
      <c r="C354" t="s">
        <v>347</v>
      </c>
      <c r="D354" t="s">
        <v>446</v>
      </c>
      <c r="E354" t="s">
        <v>1013</v>
      </c>
      <c r="F354">
        <v>373</v>
      </c>
      <c r="G354" t="s">
        <v>1233</v>
      </c>
      <c r="H354" t="s">
        <v>1800</v>
      </c>
      <c r="I354" t="s">
        <v>1789</v>
      </c>
      <c r="J354" t="s">
        <v>1422</v>
      </c>
      <c r="K354" t="s">
        <v>1077</v>
      </c>
      <c r="L354" t="s">
        <v>1078</v>
      </c>
      <c r="M354" t="s">
        <v>1034</v>
      </c>
      <c r="N354" t="s">
        <v>1079</v>
      </c>
      <c r="O354" t="s">
        <v>446</v>
      </c>
      <c r="P354" t="s">
        <v>1081</v>
      </c>
      <c r="Q354" t="b">
        <v>1</v>
      </c>
      <c r="R354" t="b">
        <v>0</v>
      </c>
      <c r="S354" t="s">
        <v>1038</v>
      </c>
      <c r="T354" t="s">
        <v>446</v>
      </c>
      <c r="U354" t="s">
        <v>1039</v>
      </c>
      <c r="V354" t="s">
        <v>1002</v>
      </c>
      <c r="W354" t="s">
        <v>1040</v>
      </c>
      <c r="X354" t="s">
        <v>1790</v>
      </c>
    </row>
    <row r="355" spans="1:24" x14ac:dyDescent="0.25">
      <c r="A355" t="s">
        <v>42</v>
      </c>
      <c r="B355" t="s">
        <v>1801</v>
      </c>
      <c r="C355" t="s">
        <v>347</v>
      </c>
      <c r="D355" t="s">
        <v>446</v>
      </c>
      <c r="E355" t="s">
        <v>1015</v>
      </c>
      <c r="F355">
        <v>424</v>
      </c>
      <c r="G355" t="s">
        <v>1233</v>
      </c>
      <c r="H355" t="s">
        <v>1802</v>
      </c>
      <c r="I355" t="s">
        <v>1789</v>
      </c>
      <c r="J355" t="s">
        <v>1422</v>
      </c>
      <c r="K355" t="s">
        <v>1084</v>
      </c>
      <c r="L355" t="s">
        <v>1085</v>
      </c>
      <c r="M355" t="s">
        <v>1034</v>
      </c>
      <c r="N355" t="s">
        <v>1086</v>
      </c>
      <c r="O355" t="s">
        <v>446</v>
      </c>
      <c r="P355" t="s">
        <v>1088</v>
      </c>
      <c r="Q355" t="b">
        <v>1</v>
      </c>
      <c r="R355" t="b">
        <v>0</v>
      </c>
      <c r="S355" t="s">
        <v>1038</v>
      </c>
      <c r="T355" t="s">
        <v>446</v>
      </c>
      <c r="U355" t="s">
        <v>1039</v>
      </c>
      <c r="V355" t="s">
        <v>1002</v>
      </c>
      <c r="W355" t="s">
        <v>1040</v>
      </c>
      <c r="X355" t="s">
        <v>1790</v>
      </c>
    </row>
    <row r="356" spans="1:24" x14ac:dyDescent="0.25">
      <c r="A356" t="s">
        <v>42</v>
      </c>
      <c r="B356" t="s">
        <v>1803</v>
      </c>
      <c r="C356" t="s">
        <v>347</v>
      </c>
      <c r="D356" t="s">
        <v>446</v>
      </c>
      <c r="E356" t="s">
        <v>1017</v>
      </c>
      <c r="F356">
        <v>462</v>
      </c>
      <c r="G356" t="s">
        <v>1233</v>
      </c>
      <c r="H356" t="s">
        <v>1804</v>
      </c>
      <c r="I356" t="s">
        <v>1789</v>
      </c>
      <c r="J356" t="s">
        <v>1422</v>
      </c>
      <c r="K356" t="s">
        <v>1091</v>
      </c>
      <c r="L356" t="s">
        <v>1092</v>
      </c>
      <c r="M356" t="s">
        <v>1062</v>
      </c>
      <c r="N356" t="s">
        <v>1093</v>
      </c>
      <c r="O356" t="s">
        <v>446</v>
      </c>
      <c r="P356" t="s">
        <v>1094</v>
      </c>
      <c r="Q356" t="b">
        <v>1</v>
      </c>
      <c r="R356" t="b">
        <v>0</v>
      </c>
      <c r="S356" t="s">
        <v>1038</v>
      </c>
      <c r="T356" t="s">
        <v>446</v>
      </c>
      <c r="U356" t="s">
        <v>1039</v>
      </c>
      <c r="V356" t="s">
        <v>1002</v>
      </c>
      <c r="W356" t="s">
        <v>1040</v>
      </c>
      <c r="X356" t="s">
        <v>1790</v>
      </c>
    </row>
    <row r="357" spans="1:24" x14ac:dyDescent="0.25">
      <c r="A357" t="s">
        <v>42</v>
      </c>
      <c r="B357" t="s">
        <v>1805</v>
      </c>
      <c r="C357" t="s">
        <v>347</v>
      </c>
      <c r="D357" t="s">
        <v>446</v>
      </c>
      <c r="E357" t="s">
        <v>1019</v>
      </c>
      <c r="F357">
        <v>583</v>
      </c>
      <c r="G357" t="s">
        <v>1233</v>
      </c>
      <c r="H357" t="s">
        <v>1806</v>
      </c>
      <c r="I357" t="s">
        <v>1789</v>
      </c>
      <c r="J357" t="s">
        <v>1422</v>
      </c>
      <c r="K357" t="s">
        <v>1097</v>
      </c>
      <c r="L357" t="s">
        <v>1098</v>
      </c>
      <c r="M357" t="s">
        <v>1034</v>
      </c>
      <c r="N357" t="s">
        <v>1099</v>
      </c>
      <c r="O357" t="s">
        <v>446</v>
      </c>
      <c r="P357" t="s">
        <v>1101</v>
      </c>
      <c r="Q357" t="b">
        <v>1</v>
      </c>
      <c r="R357" t="b">
        <v>0</v>
      </c>
      <c r="S357" t="s">
        <v>1038</v>
      </c>
      <c r="T357" t="s">
        <v>446</v>
      </c>
      <c r="U357" t="s">
        <v>1039</v>
      </c>
      <c r="V357" t="s">
        <v>1002</v>
      </c>
      <c r="W357" t="s">
        <v>1040</v>
      </c>
      <c r="X357" t="s">
        <v>1790</v>
      </c>
    </row>
    <row r="358" spans="1:24" x14ac:dyDescent="0.25">
      <c r="A358" t="s">
        <v>42</v>
      </c>
      <c r="B358" t="s">
        <v>1807</v>
      </c>
      <c r="C358" t="s">
        <v>347</v>
      </c>
      <c r="D358" t="s">
        <v>446</v>
      </c>
      <c r="E358" t="s">
        <v>1021</v>
      </c>
      <c r="F358">
        <v>697</v>
      </c>
      <c r="G358" t="s">
        <v>1233</v>
      </c>
      <c r="H358" t="s">
        <v>1808</v>
      </c>
      <c r="I358" t="s">
        <v>1789</v>
      </c>
      <c r="J358" t="s">
        <v>1422</v>
      </c>
      <c r="K358" t="s">
        <v>1105</v>
      </c>
      <c r="L358" t="s">
        <v>1106</v>
      </c>
      <c r="M358" t="s">
        <v>1034</v>
      </c>
      <c r="N358" t="s">
        <v>1107</v>
      </c>
      <c r="O358" t="s">
        <v>446</v>
      </c>
      <c r="P358" t="s">
        <v>1109</v>
      </c>
      <c r="Q358" t="b">
        <v>1</v>
      </c>
      <c r="R358" t="b">
        <v>0</v>
      </c>
      <c r="S358" t="s">
        <v>1038</v>
      </c>
      <c r="T358" t="s">
        <v>446</v>
      </c>
      <c r="U358" t="s">
        <v>1039</v>
      </c>
      <c r="V358" t="s">
        <v>1002</v>
      </c>
      <c r="W358" t="s">
        <v>1040</v>
      </c>
      <c r="X358" t="s">
        <v>1790</v>
      </c>
    </row>
    <row r="359" spans="1:24" x14ac:dyDescent="0.25">
      <c r="A359" t="s">
        <v>42</v>
      </c>
      <c r="B359" t="s">
        <v>1809</v>
      </c>
      <c r="C359" t="s">
        <v>347</v>
      </c>
      <c r="D359" t="s">
        <v>446</v>
      </c>
      <c r="E359" t="s">
        <v>1023</v>
      </c>
      <c r="F359">
        <v>790</v>
      </c>
      <c r="G359" t="s">
        <v>1233</v>
      </c>
      <c r="H359" t="s">
        <v>1810</v>
      </c>
      <c r="I359" t="s">
        <v>1789</v>
      </c>
      <c r="J359" t="s">
        <v>1422</v>
      </c>
      <c r="K359" t="s">
        <v>1112</v>
      </c>
      <c r="L359" t="s">
        <v>1113</v>
      </c>
      <c r="M359" t="s">
        <v>1034</v>
      </c>
      <c r="N359" t="s">
        <v>1114</v>
      </c>
      <c r="O359" t="s">
        <v>446</v>
      </c>
      <c r="P359" t="s">
        <v>1116</v>
      </c>
      <c r="Q359" t="b">
        <v>1</v>
      </c>
      <c r="R359" t="b">
        <v>0</v>
      </c>
      <c r="S359" t="s">
        <v>1038</v>
      </c>
      <c r="T359" t="s">
        <v>446</v>
      </c>
      <c r="U359" t="s">
        <v>1039</v>
      </c>
      <c r="V359" t="s">
        <v>1002</v>
      </c>
      <c r="W359" t="s">
        <v>1040</v>
      </c>
      <c r="X359" t="s">
        <v>1790</v>
      </c>
    </row>
    <row r="360" spans="1:24" x14ac:dyDescent="0.25">
      <c r="A360" t="s">
        <v>42</v>
      </c>
      <c r="B360" t="s">
        <v>1811</v>
      </c>
      <c r="C360" t="s">
        <v>347</v>
      </c>
      <c r="D360" t="s">
        <v>446</v>
      </c>
      <c r="E360" t="s">
        <v>1025</v>
      </c>
      <c r="F360">
        <v>886</v>
      </c>
      <c r="G360" t="s">
        <v>1233</v>
      </c>
      <c r="H360" t="s">
        <v>1812</v>
      </c>
      <c r="I360" t="s">
        <v>1789</v>
      </c>
      <c r="J360" t="s">
        <v>1422</v>
      </c>
      <c r="K360" t="s">
        <v>1119</v>
      </c>
      <c r="L360" t="s">
        <v>1120</v>
      </c>
      <c r="M360" t="s">
        <v>1062</v>
      </c>
      <c r="N360" t="s">
        <v>1121</v>
      </c>
      <c r="O360" t="s">
        <v>446</v>
      </c>
      <c r="P360" t="s">
        <v>1122</v>
      </c>
      <c r="Q360" t="b">
        <v>1</v>
      </c>
      <c r="R360" t="b">
        <v>0</v>
      </c>
      <c r="S360" t="s">
        <v>1038</v>
      </c>
      <c r="T360" t="s">
        <v>446</v>
      </c>
      <c r="U360" t="s">
        <v>1039</v>
      </c>
      <c r="V360" t="s">
        <v>1002</v>
      </c>
      <c r="W360" t="s">
        <v>1040</v>
      </c>
      <c r="X360" t="s">
        <v>1790</v>
      </c>
    </row>
    <row r="361" spans="1:24" x14ac:dyDescent="0.25">
      <c r="A361" t="s">
        <v>42</v>
      </c>
      <c r="B361" t="s">
        <v>1813</v>
      </c>
      <c r="C361" t="s">
        <v>347</v>
      </c>
      <c r="D361" t="s">
        <v>446</v>
      </c>
      <c r="E361" t="s">
        <v>1027</v>
      </c>
      <c r="F361">
        <v>1082</v>
      </c>
      <c r="G361" t="s">
        <v>1233</v>
      </c>
      <c r="H361" t="s">
        <v>1814</v>
      </c>
      <c r="I361" t="s">
        <v>1789</v>
      </c>
      <c r="J361" t="s">
        <v>1422</v>
      </c>
      <c r="K361" t="s">
        <v>1125</v>
      </c>
      <c r="L361" t="s">
        <v>1126</v>
      </c>
      <c r="M361" t="s">
        <v>1034</v>
      </c>
      <c r="N361" t="s">
        <v>1127</v>
      </c>
      <c r="O361" t="s">
        <v>446</v>
      </c>
      <c r="P361" t="s">
        <v>1129</v>
      </c>
      <c r="Q361" t="b">
        <v>1</v>
      </c>
      <c r="R361" t="b">
        <v>0</v>
      </c>
      <c r="S361" t="s">
        <v>1038</v>
      </c>
      <c r="T361" t="s">
        <v>446</v>
      </c>
      <c r="U361" t="s">
        <v>1039</v>
      </c>
      <c r="V361" t="s">
        <v>1002</v>
      </c>
      <c r="W361" t="s">
        <v>1040</v>
      </c>
      <c r="X361" t="s">
        <v>1790</v>
      </c>
    </row>
    <row r="362" spans="1:24" x14ac:dyDescent="0.25">
      <c r="A362" t="s">
        <v>42</v>
      </c>
      <c r="B362" t="s">
        <v>1815</v>
      </c>
      <c r="C362" t="s">
        <v>347</v>
      </c>
      <c r="D362" t="s">
        <v>446</v>
      </c>
      <c r="E362" t="s">
        <v>1131</v>
      </c>
      <c r="F362">
        <v>1351</v>
      </c>
      <c r="G362" t="s">
        <v>1233</v>
      </c>
      <c r="H362" t="s">
        <v>1816</v>
      </c>
      <c r="I362" t="s">
        <v>1789</v>
      </c>
      <c r="J362" t="s">
        <v>1422</v>
      </c>
      <c r="K362" t="s">
        <v>1133</v>
      </c>
      <c r="L362" t="s">
        <v>1134</v>
      </c>
      <c r="M362" t="s">
        <v>1034</v>
      </c>
      <c r="N362" t="s">
        <v>1135</v>
      </c>
      <c r="O362" t="s">
        <v>446</v>
      </c>
      <c r="P362" t="s">
        <v>1137</v>
      </c>
      <c r="Q362" t="b">
        <v>1</v>
      </c>
      <c r="R362" t="b">
        <v>0</v>
      </c>
      <c r="S362" t="s">
        <v>1038</v>
      </c>
      <c r="T362" t="s">
        <v>446</v>
      </c>
      <c r="U362" t="s">
        <v>1039</v>
      </c>
      <c r="V362" t="s">
        <v>1002</v>
      </c>
      <c r="W362" t="s">
        <v>1040</v>
      </c>
      <c r="X362" t="s">
        <v>1790</v>
      </c>
    </row>
    <row r="363" spans="1:24" x14ac:dyDescent="0.25">
      <c r="A363" t="s">
        <v>42</v>
      </c>
      <c r="B363" t="s">
        <v>1817</v>
      </c>
      <c r="C363" t="s">
        <v>348</v>
      </c>
      <c r="D363" t="s">
        <v>446</v>
      </c>
      <c r="E363" t="s">
        <v>998</v>
      </c>
      <c r="F363">
        <v>2126</v>
      </c>
      <c r="G363" t="s">
        <v>1451</v>
      </c>
      <c r="H363" t="s">
        <v>1818</v>
      </c>
      <c r="I363" t="s">
        <v>1819</v>
      </c>
      <c r="J363" t="s">
        <v>1422</v>
      </c>
      <c r="K363" t="s">
        <v>1032</v>
      </c>
      <c r="L363" t="s">
        <v>1033</v>
      </c>
      <c r="M363" t="s">
        <v>1034</v>
      </c>
      <c r="N363" t="s">
        <v>1035</v>
      </c>
      <c r="O363" t="s">
        <v>446</v>
      </c>
      <c r="P363" t="s">
        <v>1037</v>
      </c>
      <c r="Q363" t="b">
        <v>0</v>
      </c>
      <c r="R363" t="b">
        <v>1</v>
      </c>
      <c r="S363" t="s">
        <v>1633</v>
      </c>
      <c r="T363" t="s">
        <v>1820</v>
      </c>
      <c r="U363" t="s">
        <v>1455</v>
      </c>
      <c r="V363" t="s">
        <v>1456</v>
      </c>
      <c r="W363" t="s">
        <v>1821</v>
      </c>
      <c r="X363" t="s">
        <v>1822</v>
      </c>
    </row>
    <row r="364" spans="1:24" x14ac:dyDescent="0.25">
      <c r="A364" t="s">
        <v>42</v>
      </c>
      <c r="B364" t="s">
        <v>1823</v>
      </c>
      <c r="C364" t="s">
        <v>348</v>
      </c>
      <c r="D364" t="s">
        <v>446</v>
      </c>
      <c r="E364" t="s">
        <v>1005</v>
      </c>
      <c r="F364">
        <v>2100</v>
      </c>
      <c r="G364" t="s">
        <v>1451</v>
      </c>
      <c r="H364" t="s">
        <v>1824</v>
      </c>
      <c r="I364" t="s">
        <v>1825</v>
      </c>
      <c r="J364" t="s">
        <v>1422</v>
      </c>
      <c r="K364" t="s">
        <v>1044</v>
      </c>
      <c r="L364" t="s">
        <v>1045</v>
      </c>
      <c r="M364" t="s">
        <v>1034</v>
      </c>
      <c r="N364" t="s">
        <v>1046</v>
      </c>
      <c r="O364" t="s">
        <v>446</v>
      </c>
      <c r="P364" t="s">
        <v>1048</v>
      </c>
      <c r="Q364" t="b">
        <v>0</v>
      </c>
      <c r="R364" t="b">
        <v>1</v>
      </c>
      <c r="S364" t="s">
        <v>1633</v>
      </c>
      <c r="T364" t="s">
        <v>1826</v>
      </c>
      <c r="U364" t="s">
        <v>1455</v>
      </c>
      <c r="V364" t="s">
        <v>1456</v>
      </c>
      <c r="W364" t="s">
        <v>1827</v>
      </c>
      <c r="X364" t="s">
        <v>1828</v>
      </c>
    </row>
    <row r="365" spans="1:24" x14ac:dyDescent="0.25">
      <c r="A365" t="s">
        <v>42</v>
      </c>
      <c r="B365" t="s">
        <v>1829</v>
      </c>
      <c r="C365" t="s">
        <v>348</v>
      </c>
      <c r="D365" t="s">
        <v>446</v>
      </c>
      <c r="E365" t="s">
        <v>1007</v>
      </c>
      <c r="F365">
        <v>2337</v>
      </c>
      <c r="G365" t="s">
        <v>1451</v>
      </c>
      <c r="H365" t="s">
        <v>1830</v>
      </c>
      <c r="I365" t="s">
        <v>1825</v>
      </c>
      <c r="J365" t="s">
        <v>1422</v>
      </c>
      <c r="K365" t="s">
        <v>1051</v>
      </c>
      <c r="L365" t="s">
        <v>1052</v>
      </c>
      <c r="M365" t="s">
        <v>1034</v>
      </c>
      <c r="N365" t="s">
        <v>1053</v>
      </c>
      <c r="O365" t="s">
        <v>446</v>
      </c>
      <c r="P365" t="s">
        <v>1055</v>
      </c>
      <c r="Q365" t="b">
        <v>0</v>
      </c>
      <c r="R365" t="b">
        <v>1</v>
      </c>
      <c r="S365" t="s">
        <v>1633</v>
      </c>
      <c r="T365" t="s">
        <v>1826</v>
      </c>
      <c r="U365" t="s">
        <v>1455</v>
      </c>
      <c r="V365" t="s">
        <v>1456</v>
      </c>
      <c r="W365" t="s">
        <v>1827</v>
      </c>
      <c r="X365" t="s">
        <v>1828</v>
      </c>
    </row>
    <row r="366" spans="1:24" x14ac:dyDescent="0.25">
      <c r="A366" t="s">
        <v>42</v>
      </c>
      <c r="B366" t="s">
        <v>1831</v>
      </c>
      <c r="C366" t="s">
        <v>348</v>
      </c>
      <c r="D366" t="s">
        <v>446</v>
      </c>
      <c r="E366" t="s">
        <v>1009</v>
      </c>
      <c r="F366">
        <v>2568</v>
      </c>
      <c r="G366" t="s">
        <v>1451</v>
      </c>
      <c r="H366" t="s">
        <v>1832</v>
      </c>
      <c r="I366" t="s">
        <v>1825</v>
      </c>
      <c r="J366" t="s">
        <v>1422</v>
      </c>
      <c r="K366" t="s">
        <v>1060</v>
      </c>
      <c r="L366" t="s">
        <v>1061</v>
      </c>
      <c r="M366" t="s">
        <v>1062</v>
      </c>
      <c r="N366" t="s">
        <v>1063</v>
      </c>
      <c r="O366" t="s">
        <v>446</v>
      </c>
      <c r="P366" t="s">
        <v>1064</v>
      </c>
      <c r="Q366" t="b">
        <v>0</v>
      </c>
      <c r="R366" t="b">
        <v>1</v>
      </c>
      <c r="S366" t="s">
        <v>1633</v>
      </c>
      <c r="T366" t="s">
        <v>1826</v>
      </c>
      <c r="U366" t="s">
        <v>1455</v>
      </c>
      <c r="V366" t="s">
        <v>1456</v>
      </c>
      <c r="W366" t="s">
        <v>1827</v>
      </c>
      <c r="X366" t="s">
        <v>1828</v>
      </c>
    </row>
    <row r="367" spans="1:24" x14ac:dyDescent="0.25">
      <c r="A367" t="s">
        <v>42</v>
      </c>
      <c r="B367" t="s">
        <v>1833</v>
      </c>
      <c r="C367" t="s">
        <v>348</v>
      </c>
      <c r="D367" t="s">
        <v>446</v>
      </c>
      <c r="E367" t="s">
        <v>1011</v>
      </c>
      <c r="F367">
        <v>2686</v>
      </c>
      <c r="G367" t="s">
        <v>1451</v>
      </c>
      <c r="H367" t="s">
        <v>1834</v>
      </c>
      <c r="I367" t="s">
        <v>1825</v>
      </c>
      <c r="J367" t="s">
        <v>1422</v>
      </c>
      <c r="K367" t="s">
        <v>1070</v>
      </c>
      <c r="L367" t="s">
        <v>1071</v>
      </c>
      <c r="M367" t="s">
        <v>1034</v>
      </c>
      <c r="N367" t="s">
        <v>1072</v>
      </c>
      <c r="O367" t="s">
        <v>446</v>
      </c>
      <c r="P367" t="s">
        <v>1074</v>
      </c>
      <c r="Q367" t="b">
        <v>0</v>
      </c>
      <c r="R367" t="b">
        <v>1</v>
      </c>
      <c r="S367" t="s">
        <v>1633</v>
      </c>
      <c r="T367" t="s">
        <v>1826</v>
      </c>
      <c r="U367" t="s">
        <v>1455</v>
      </c>
      <c r="V367" t="s">
        <v>1456</v>
      </c>
      <c r="W367" t="s">
        <v>1827</v>
      </c>
      <c r="X367" t="s">
        <v>1828</v>
      </c>
    </row>
    <row r="368" spans="1:24" x14ac:dyDescent="0.25">
      <c r="A368" t="s">
        <v>42</v>
      </c>
      <c r="B368" t="s">
        <v>1835</v>
      </c>
      <c r="C368" t="s">
        <v>348</v>
      </c>
      <c r="D368" t="s">
        <v>446</v>
      </c>
      <c r="E368" t="s">
        <v>1013</v>
      </c>
      <c r="F368">
        <v>2891</v>
      </c>
      <c r="G368" t="s">
        <v>1451</v>
      </c>
      <c r="H368" t="s">
        <v>1836</v>
      </c>
      <c r="I368" t="s">
        <v>1825</v>
      </c>
      <c r="J368" t="s">
        <v>1422</v>
      </c>
      <c r="K368" t="s">
        <v>1077</v>
      </c>
      <c r="L368" t="s">
        <v>1078</v>
      </c>
      <c r="M368" t="s">
        <v>1034</v>
      </c>
      <c r="N368" t="s">
        <v>1079</v>
      </c>
      <c r="O368" t="s">
        <v>446</v>
      </c>
      <c r="P368" t="s">
        <v>1081</v>
      </c>
      <c r="Q368" t="b">
        <v>0</v>
      </c>
      <c r="R368" t="b">
        <v>1</v>
      </c>
      <c r="S368" t="s">
        <v>1633</v>
      </c>
      <c r="T368" t="s">
        <v>1826</v>
      </c>
      <c r="U368" t="s">
        <v>1455</v>
      </c>
      <c r="V368" t="s">
        <v>1456</v>
      </c>
      <c r="W368" t="s">
        <v>1827</v>
      </c>
      <c r="X368" t="s">
        <v>1828</v>
      </c>
    </row>
    <row r="369" spans="1:24" x14ac:dyDescent="0.25">
      <c r="A369" t="s">
        <v>42</v>
      </c>
      <c r="B369" t="s">
        <v>1837</v>
      </c>
      <c r="C369" t="s">
        <v>348</v>
      </c>
      <c r="D369" t="s">
        <v>446</v>
      </c>
      <c r="E369" t="s">
        <v>1015</v>
      </c>
      <c r="F369">
        <v>2901</v>
      </c>
      <c r="G369" t="s">
        <v>1451</v>
      </c>
      <c r="H369" t="s">
        <v>1838</v>
      </c>
      <c r="I369" t="s">
        <v>1825</v>
      </c>
      <c r="J369" t="s">
        <v>1422</v>
      </c>
      <c r="K369" t="s">
        <v>1084</v>
      </c>
      <c r="L369" t="s">
        <v>1085</v>
      </c>
      <c r="M369" t="s">
        <v>1034</v>
      </c>
      <c r="N369" t="s">
        <v>1086</v>
      </c>
      <c r="O369" t="s">
        <v>446</v>
      </c>
      <c r="P369" t="s">
        <v>1088</v>
      </c>
      <c r="Q369" t="b">
        <v>0</v>
      </c>
      <c r="R369" t="b">
        <v>1</v>
      </c>
      <c r="S369" t="s">
        <v>1633</v>
      </c>
      <c r="T369" t="s">
        <v>1826</v>
      </c>
      <c r="U369" t="s">
        <v>1455</v>
      </c>
      <c r="V369" t="s">
        <v>1456</v>
      </c>
      <c r="W369" t="s">
        <v>1827</v>
      </c>
      <c r="X369" t="s">
        <v>1828</v>
      </c>
    </row>
    <row r="370" spans="1:24" x14ac:dyDescent="0.25">
      <c r="A370" t="s">
        <v>42</v>
      </c>
      <c r="B370" t="s">
        <v>1839</v>
      </c>
      <c r="C370" t="s">
        <v>348</v>
      </c>
      <c r="D370" t="s">
        <v>446</v>
      </c>
      <c r="E370" t="s">
        <v>1017</v>
      </c>
      <c r="F370">
        <v>3198</v>
      </c>
      <c r="G370" t="s">
        <v>1451</v>
      </c>
      <c r="H370" t="s">
        <v>1840</v>
      </c>
      <c r="I370" t="s">
        <v>1825</v>
      </c>
      <c r="J370" t="s">
        <v>1422</v>
      </c>
      <c r="K370" t="s">
        <v>1091</v>
      </c>
      <c r="L370" t="s">
        <v>1092</v>
      </c>
      <c r="M370" t="s">
        <v>1062</v>
      </c>
      <c r="N370" t="s">
        <v>1093</v>
      </c>
      <c r="O370" t="s">
        <v>446</v>
      </c>
      <c r="P370" t="s">
        <v>1094</v>
      </c>
      <c r="Q370" t="b">
        <v>0</v>
      </c>
      <c r="R370" t="b">
        <v>1</v>
      </c>
      <c r="S370" t="s">
        <v>1633</v>
      </c>
      <c r="T370" t="s">
        <v>1826</v>
      </c>
      <c r="U370" t="s">
        <v>1455</v>
      </c>
      <c r="V370" t="s">
        <v>1456</v>
      </c>
      <c r="W370" t="s">
        <v>1827</v>
      </c>
      <c r="X370" t="s">
        <v>1828</v>
      </c>
    </row>
    <row r="371" spans="1:24" x14ac:dyDescent="0.25">
      <c r="A371" t="s">
        <v>42</v>
      </c>
      <c r="B371" t="s">
        <v>1841</v>
      </c>
      <c r="C371" t="s">
        <v>348</v>
      </c>
      <c r="D371" t="s">
        <v>446</v>
      </c>
      <c r="E371" t="s">
        <v>1019</v>
      </c>
      <c r="F371">
        <v>3664</v>
      </c>
      <c r="G371" t="s">
        <v>1451</v>
      </c>
      <c r="H371" t="s">
        <v>1842</v>
      </c>
      <c r="I371" t="s">
        <v>1825</v>
      </c>
      <c r="J371" t="s">
        <v>1422</v>
      </c>
      <c r="K371" t="s">
        <v>1097</v>
      </c>
      <c r="L371" t="s">
        <v>1098</v>
      </c>
      <c r="M371" t="s">
        <v>1034</v>
      </c>
      <c r="N371" t="s">
        <v>1099</v>
      </c>
      <c r="O371" t="s">
        <v>446</v>
      </c>
      <c r="P371" t="s">
        <v>1101</v>
      </c>
      <c r="Q371" t="b">
        <v>1</v>
      </c>
      <c r="R371" t="b">
        <v>0</v>
      </c>
      <c r="S371" t="s">
        <v>1001</v>
      </c>
      <c r="T371" t="s">
        <v>1826</v>
      </c>
      <c r="U371" t="s">
        <v>1455</v>
      </c>
      <c r="V371" t="s">
        <v>1456</v>
      </c>
      <c r="W371" t="s">
        <v>1827</v>
      </c>
      <c r="X371" t="s">
        <v>1828</v>
      </c>
    </row>
    <row r="372" spans="1:24" x14ac:dyDescent="0.25">
      <c r="A372" t="s">
        <v>42</v>
      </c>
      <c r="B372" t="s">
        <v>1843</v>
      </c>
      <c r="C372" t="s">
        <v>348</v>
      </c>
      <c r="D372" t="s">
        <v>446</v>
      </c>
      <c r="E372" t="s">
        <v>1021</v>
      </c>
      <c r="F372">
        <v>3943</v>
      </c>
      <c r="G372" t="s">
        <v>1451</v>
      </c>
      <c r="H372" t="s">
        <v>1844</v>
      </c>
      <c r="I372" t="s">
        <v>1825</v>
      </c>
      <c r="J372" t="s">
        <v>1422</v>
      </c>
      <c r="K372" t="s">
        <v>1105</v>
      </c>
      <c r="L372" t="s">
        <v>1106</v>
      </c>
      <c r="M372" t="s">
        <v>1034</v>
      </c>
      <c r="N372" t="s">
        <v>1107</v>
      </c>
      <c r="O372" t="s">
        <v>446</v>
      </c>
      <c r="P372" t="s">
        <v>1109</v>
      </c>
      <c r="Q372" t="b">
        <v>1</v>
      </c>
      <c r="R372" t="b">
        <v>0</v>
      </c>
      <c r="S372" t="s">
        <v>1001</v>
      </c>
      <c r="T372" t="s">
        <v>1826</v>
      </c>
      <c r="U372" t="s">
        <v>1455</v>
      </c>
      <c r="V372" t="s">
        <v>1456</v>
      </c>
      <c r="W372" t="s">
        <v>1827</v>
      </c>
      <c r="X372" t="s">
        <v>1822</v>
      </c>
    </row>
    <row r="373" spans="1:24" x14ac:dyDescent="0.25">
      <c r="A373" t="s">
        <v>42</v>
      </c>
      <c r="B373" t="s">
        <v>1845</v>
      </c>
      <c r="C373" t="s">
        <v>348</v>
      </c>
      <c r="D373" t="s">
        <v>446</v>
      </c>
      <c r="E373" t="s">
        <v>1023</v>
      </c>
      <c r="F373">
        <v>4383</v>
      </c>
      <c r="G373" t="s">
        <v>1451</v>
      </c>
      <c r="H373" t="s">
        <v>1846</v>
      </c>
      <c r="I373" t="s">
        <v>1825</v>
      </c>
      <c r="J373" t="s">
        <v>1422</v>
      </c>
      <c r="K373" t="s">
        <v>1112</v>
      </c>
      <c r="L373" t="s">
        <v>1113</v>
      </c>
      <c r="M373" t="s">
        <v>1034</v>
      </c>
      <c r="N373" t="s">
        <v>1114</v>
      </c>
      <c r="O373" t="s">
        <v>446</v>
      </c>
      <c r="P373" t="s">
        <v>1116</v>
      </c>
      <c r="Q373" t="b">
        <v>1</v>
      </c>
      <c r="R373" t="b">
        <v>0</v>
      </c>
      <c r="S373" t="s">
        <v>1001</v>
      </c>
      <c r="T373" t="s">
        <v>1826</v>
      </c>
      <c r="U373" t="s">
        <v>1455</v>
      </c>
      <c r="V373" t="s">
        <v>1456</v>
      </c>
      <c r="W373" t="s">
        <v>1827</v>
      </c>
      <c r="X373" t="s">
        <v>1822</v>
      </c>
    </row>
    <row r="374" spans="1:24" x14ac:dyDescent="0.25">
      <c r="A374" t="s">
        <v>42</v>
      </c>
      <c r="B374" t="s">
        <v>1847</v>
      </c>
      <c r="C374" t="s">
        <v>348</v>
      </c>
      <c r="D374" t="s">
        <v>446</v>
      </c>
      <c r="E374" t="s">
        <v>1025</v>
      </c>
      <c r="F374">
        <v>4878</v>
      </c>
      <c r="G374" t="s">
        <v>1451</v>
      </c>
      <c r="H374" t="s">
        <v>1848</v>
      </c>
      <c r="I374" t="s">
        <v>1825</v>
      </c>
      <c r="J374" t="s">
        <v>1422</v>
      </c>
      <c r="K374" t="s">
        <v>1119</v>
      </c>
      <c r="L374" t="s">
        <v>1120</v>
      </c>
      <c r="M374" t="s">
        <v>1062</v>
      </c>
      <c r="N374" t="s">
        <v>1121</v>
      </c>
      <c r="O374" t="s">
        <v>446</v>
      </c>
      <c r="P374" t="s">
        <v>1122</v>
      </c>
      <c r="Q374" t="b">
        <v>1</v>
      </c>
      <c r="R374" t="b">
        <v>0</v>
      </c>
      <c r="S374" t="s">
        <v>1001</v>
      </c>
      <c r="T374" t="s">
        <v>1826</v>
      </c>
      <c r="U374" t="s">
        <v>1455</v>
      </c>
      <c r="V374" t="s">
        <v>1456</v>
      </c>
      <c r="W374" t="s">
        <v>1827</v>
      </c>
      <c r="X374" t="s">
        <v>1822</v>
      </c>
    </row>
    <row r="375" spans="1:24" x14ac:dyDescent="0.25">
      <c r="A375" t="s">
        <v>42</v>
      </c>
      <c r="B375" t="s">
        <v>1849</v>
      </c>
      <c r="C375" t="s">
        <v>348</v>
      </c>
      <c r="D375" t="s">
        <v>446</v>
      </c>
      <c r="E375" t="s">
        <v>1027</v>
      </c>
      <c r="F375">
        <v>5323</v>
      </c>
      <c r="G375" t="s">
        <v>1451</v>
      </c>
      <c r="H375" t="s">
        <v>1850</v>
      </c>
      <c r="I375" t="s">
        <v>1819</v>
      </c>
      <c r="J375" t="s">
        <v>1422</v>
      </c>
      <c r="K375" t="s">
        <v>1125</v>
      </c>
      <c r="L375" t="s">
        <v>1126</v>
      </c>
      <c r="M375" t="s">
        <v>1034</v>
      </c>
      <c r="N375" t="s">
        <v>1127</v>
      </c>
      <c r="O375" t="s">
        <v>446</v>
      </c>
      <c r="P375" t="s">
        <v>1129</v>
      </c>
      <c r="Q375" t="b">
        <v>0</v>
      </c>
      <c r="R375" t="b">
        <v>1</v>
      </c>
      <c r="S375" t="s">
        <v>1633</v>
      </c>
      <c r="T375" t="s">
        <v>1820</v>
      </c>
      <c r="U375" t="s">
        <v>1455</v>
      </c>
      <c r="V375" t="s">
        <v>1456</v>
      </c>
      <c r="W375" t="s">
        <v>1821</v>
      </c>
      <c r="X375" t="s">
        <v>1822</v>
      </c>
    </row>
    <row r="376" spans="1:24" x14ac:dyDescent="0.25">
      <c r="A376" t="s">
        <v>42</v>
      </c>
      <c r="B376" t="s">
        <v>1851</v>
      </c>
      <c r="C376" t="s">
        <v>348</v>
      </c>
      <c r="D376" t="s">
        <v>446</v>
      </c>
      <c r="E376" t="s">
        <v>1131</v>
      </c>
      <c r="F376">
        <v>6535</v>
      </c>
      <c r="G376" t="s">
        <v>1451</v>
      </c>
      <c r="H376" t="s">
        <v>1852</v>
      </c>
      <c r="I376" t="s">
        <v>1819</v>
      </c>
      <c r="J376" t="s">
        <v>1422</v>
      </c>
      <c r="K376" t="s">
        <v>1133</v>
      </c>
      <c r="L376" t="s">
        <v>1134</v>
      </c>
      <c r="M376" t="s">
        <v>1034</v>
      </c>
      <c r="N376" t="s">
        <v>1135</v>
      </c>
      <c r="O376" t="s">
        <v>446</v>
      </c>
      <c r="P376" t="s">
        <v>1137</v>
      </c>
      <c r="Q376" t="b">
        <v>0</v>
      </c>
      <c r="R376" t="b">
        <v>1</v>
      </c>
      <c r="S376" t="s">
        <v>1633</v>
      </c>
      <c r="T376" t="s">
        <v>1820</v>
      </c>
      <c r="U376" t="s">
        <v>1455</v>
      </c>
      <c r="V376" t="s">
        <v>1456</v>
      </c>
      <c r="W376" t="s">
        <v>1821</v>
      </c>
      <c r="X376" t="s">
        <v>1822</v>
      </c>
    </row>
    <row r="377" spans="1:24" x14ac:dyDescent="0.25">
      <c r="A377" t="s">
        <v>42</v>
      </c>
      <c r="B377" t="s">
        <v>1853</v>
      </c>
      <c r="C377" t="s">
        <v>351</v>
      </c>
      <c r="D377" t="s">
        <v>446</v>
      </c>
      <c r="E377" t="s">
        <v>998</v>
      </c>
      <c r="F377">
        <v>10626</v>
      </c>
      <c r="G377" t="s">
        <v>1233</v>
      </c>
      <c r="H377" t="s">
        <v>1854</v>
      </c>
      <c r="I377" t="s">
        <v>1855</v>
      </c>
      <c r="J377" t="s">
        <v>1422</v>
      </c>
      <c r="K377" t="s">
        <v>1856</v>
      </c>
      <c r="L377" t="s">
        <v>1857</v>
      </c>
      <c r="M377" t="s">
        <v>1858</v>
      </c>
      <c r="N377" t="s">
        <v>1859</v>
      </c>
      <c r="O377" t="s">
        <v>446</v>
      </c>
      <c r="P377" t="s">
        <v>1860</v>
      </c>
      <c r="Q377" t="b">
        <v>1</v>
      </c>
      <c r="R377" t="b">
        <v>0</v>
      </c>
      <c r="S377" t="s">
        <v>1038</v>
      </c>
      <c r="T377" t="s">
        <v>446</v>
      </c>
      <c r="U377" t="s">
        <v>1039</v>
      </c>
      <c r="V377" t="s">
        <v>1067</v>
      </c>
      <c r="W377" t="s">
        <v>1861</v>
      </c>
      <c r="X377" t="s">
        <v>1862</v>
      </c>
    </row>
    <row r="378" spans="1:24" x14ac:dyDescent="0.25">
      <c r="A378" t="s">
        <v>42</v>
      </c>
      <c r="B378" t="s">
        <v>1863</v>
      </c>
      <c r="C378" t="s">
        <v>351</v>
      </c>
      <c r="D378" t="s">
        <v>446</v>
      </c>
      <c r="E378" t="s">
        <v>1005</v>
      </c>
      <c r="F378">
        <v>10970</v>
      </c>
      <c r="G378" t="s">
        <v>1233</v>
      </c>
      <c r="H378" t="s">
        <v>1864</v>
      </c>
      <c r="I378" t="s">
        <v>1855</v>
      </c>
      <c r="J378" t="s">
        <v>1422</v>
      </c>
      <c r="K378" t="s">
        <v>1865</v>
      </c>
      <c r="L378" t="s">
        <v>1866</v>
      </c>
      <c r="M378" t="s">
        <v>1858</v>
      </c>
      <c r="N378" t="s">
        <v>1867</v>
      </c>
      <c r="O378" t="s">
        <v>446</v>
      </c>
      <c r="P378" t="s">
        <v>1868</v>
      </c>
      <c r="Q378" t="b">
        <v>1</v>
      </c>
      <c r="R378" t="b">
        <v>0</v>
      </c>
      <c r="S378" t="s">
        <v>1038</v>
      </c>
      <c r="T378" t="s">
        <v>446</v>
      </c>
      <c r="U378" t="s">
        <v>1039</v>
      </c>
      <c r="V378" t="s">
        <v>1067</v>
      </c>
      <c r="W378" t="s">
        <v>1869</v>
      </c>
      <c r="X378" t="s">
        <v>1862</v>
      </c>
    </row>
    <row r="379" spans="1:24" x14ac:dyDescent="0.25">
      <c r="A379" t="s">
        <v>42</v>
      </c>
      <c r="B379" t="s">
        <v>1870</v>
      </c>
      <c r="C379" t="s">
        <v>351</v>
      </c>
      <c r="D379" t="s">
        <v>446</v>
      </c>
      <c r="E379" t="s">
        <v>1007</v>
      </c>
      <c r="F379">
        <v>11567</v>
      </c>
      <c r="G379" t="s">
        <v>1233</v>
      </c>
      <c r="H379" t="s">
        <v>1871</v>
      </c>
      <c r="I379" t="s">
        <v>1855</v>
      </c>
      <c r="J379" t="s">
        <v>1422</v>
      </c>
      <c r="K379" t="s">
        <v>1872</v>
      </c>
      <c r="L379" t="s">
        <v>1873</v>
      </c>
      <c r="M379" t="s">
        <v>1858</v>
      </c>
      <c r="N379" t="s">
        <v>1874</v>
      </c>
      <c r="O379" t="s">
        <v>446</v>
      </c>
      <c r="P379" t="s">
        <v>1875</v>
      </c>
      <c r="Q379" t="b">
        <v>1</v>
      </c>
      <c r="R379" t="b">
        <v>0</v>
      </c>
      <c r="S379" t="s">
        <v>1038</v>
      </c>
      <c r="T379" t="s">
        <v>446</v>
      </c>
      <c r="U379" t="s">
        <v>1039</v>
      </c>
      <c r="V379" t="s">
        <v>1067</v>
      </c>
      <c r="W379" t="s">
        <v>1876</v>
      </c>
      <c r="X379" t="s">
        <v>1862</v>
      </c>
    </row>
    <row r="380" spans="1:24" x14ac:dyDescent="0.25">
      <c r="A380" t="s">
        <v>42</v>
      </c>
      <c r="B380" t="s">
        <v>1877</v>
      </c>
      <c r="C380" t="s">
        <v>351</v>
      </c>
      <c r="D380" t="s">
        <v>446</v>
      </c>
      <c r="E380" t="s">
        <v>1009</v>
      </c>
      <c r="F380">
        <v>11973</v>
      </c>
      <c r="G380" t="s">
        <v>1233</v>
      </c>
      <c r="H380" t="s">
        <v>1878</v>
      </c>
      <c r="I380" t="s">
        <v>1855</v>
      </c>
      <c r="J380" t="s">
        <v>1422</v>
      </c>
      <c r="K380" t="s">
        <v>1879</v>
      </c>
      <c r="L380" t="s">
        <v>1880</v>
      </c>
      <c r="M380" t="s">
        <v>1062</v>
      </c>
      <c r="N380" t="s">
        <v>1881</v>
      </c>
      <c r="O380" t="s">
        <v>446</v>
      </c>
      <c r="P380" t="s">
        <v>1882</v>
      </c>
      <c r="Q380" t="b">
        <v>1</v>
      </c>
      <c r="R380" t="b">
        <v>0</v>
      </c>
      <c r="S380" t="s">
        <v>1038</v>
      </c>
      <c r="T380" t="s">
        <v>446</v>
      </c>
      <c r="U380" t="s">
        <v>1039</v>
      </c>
      <c r="V380" t="s">
        <v>1067</v>
      </c>
      <c r="W380" t="s">
        <v>1883</v>
      </c>
      <c r="X380" t="s">
        <v>1862</v>
      </c>
    </row>
    <row r="381" spans="1:24" x14ac:dyDescent="0.25">
      <c r="A381" t="s">
        <v>42</v>
      </c>
      <c r="B381" t="s">
        <v>1884</v>
      </c>
      <c r="C381" t="s">
        <v>351</v>
      </c>
      <c r="D381" t="s">
        <v>446</v>
      </c>
      <c r="E381" t="s">
        <v>1011</v>
      </c>
      <c r="F381">
        <v>12455</v>
      </c>
      <c r="G381" t="s">
        <v>1233</v>
      </c>
      <c r="H381" t="s">
        <v>1885</v>
      </c>
      <c r="I381" t="s">
        <v>1855</v>
      </c>
      <c r="J381" t="s">
        <v>1422</v>
      </c>
      <c r="K381" t="s">
        <v>1886</v>
      </c>
      <c r="L381" t="s">
        <v>1887</v>
      </c>
      <c r="M381" t="s">
        <v>1858</v>
      </c>
      <c r="N381" t="s">
        <v>1888</v>
      </c>
      <c r="O381" t="s">
        <v>446</v>
      </c>
      <c r="P381" t="s">
        <v>1889</v>
      </c>
      <c r="Q381" t="b">
        <v>1</v>
      </c>
      <c r="R381" t="b">
        <v>0</v>
      </c>
      <c r="S381" t="s">
        <v>1038</v>
      </c>
      <c r="T381" t="s">
        <v>446</v>
      </c>
      <c r="U381" t="s">
        <v>1039</v>
      </c>
      <c r="V381" t="s">
        <v>1067</v>
      </c>
      <c r="W381" t="s">
        <v>1890</v>
      </c>
      <c r="X381" t="s">
        <v>1862</v>
      </c>
    </row>
    <row r="382" spans="1:24" x14ac:dyDescent="0.25">
      <c r="A382" t="s">
        <v>42</v>
      </c>
      <c r="B382" t="s">
        <v>1891</v>
      </c>
      <c r="C382" t="s">
        <v>351</v>
      </c>
      <c r="D382" t="s">
        <v>446</v>
      </c>
      <c r="E382" t="s">
        <v>1013</v>
      </c>
      <c r="F382">
        <v>12631</v>
      </c>
      <c r="G382" t="s">
        <v>1233</v>
      </c>
      <c r="H382" t="s">
        <v>1892</v>
      </c>
      <c r="I382" t="s">
        <v>1855</v>
      </c>
      <c r="J382" t="s">
        <v>1422</v>
      </c>
      <c r="K382" t="s">
        <v>1893</v>
      </c>
      <c r="L382" t="s">
        <v>1894</v>
      </c>
      <c r="M382" t="s">
        <v>1858</v>
      </c>
      <c r="N382" t="s">
        <v>1895</v>
      </c>
      <c r="O382" t="s">
        <v>446</v>
      </c>
      <c r="P382" t="s">
        <v>1896</v>
      </c>
      <c r="Q382" t="b">
        <v>1</v>
      </c>
      <c r="R382" t="b">
        <v>0</v>
      </c>
      <c r="S382" t="s">
        <v>1038</v>
      </c>
      <c r="T382" t="s">
        <v>446</v>
      </c>
      <c r="U382" t="s">
        <v>1039</v>
      </c>
      <c r="V382" t="s">
        <v>1067</v>
      </c>
      <c r="W382" t="s">
        <v>1897</v>
      </c>
      <c r="X382" t="s">
        <v>1862</v>
      </c>
    </row>
    <row r="383" spans="1:24" x14ac:dyDescent="0.25">
      <c r="A383" t="s">
        <v>42</v>
      </c>
      <c r="B383" t="s">
        <v>1898</v>
      </c>
      <c r="C383" t="s">
        <v>351</v>
      </c>
      <c r="D383" t="s">
        <v>446</v>
      </c>
      <c r="E383" t="s">
        <v>1015</v>
      </c>
      <c r="F383">
        <v>12993</v>
      </c>
      <c r="G383" t="s">
        <v>1233</v>
      </c>
      <c r="H383" t="s">
        <v>1899</v>
      </c>
      <c r="I383" t="s">
        <v>1855</v>
      </c>
      <c r="J383" t="s">
        <v>1422</v>
      </c>
      <c r="K383" t="s">
        <v>1900</v>
      </c>
      <c r="L383" t="s">
        <v>1901</v>
      </c>
      <c r="M383" t="s">
        <v>1858</v>
      </c>
      <c r="N383" t="s">
        <v>1902</v>
      </c>
      <c r="O383" t="s">
        <v>446</v>
      </c>
      <c r="P383" t="s">
        <v>1903</v>
      </c>
      <c r="Q383" t="b">
        <v>1</v>
      </c>
      <c r="R383" t="b">
        <v>0</v>
      </c>
      <c r="S383" t="s">
        <v>1038</v>
      </c>
      <c r="T383" t="s">
        <v>446</v>
      </c>
      <c r="U383" t="s">
        <v>1039</v>
      </c>
      <c r="V383" t="s">
        <v>1067</v>
      </c>
      <c r="W383" t="s">
        <v>1904</v>
      </c>
      <c r="X383" t="s">
        <v>1862</v>
      </c>
    </row>
    <row r="384" spans="1:24" x14ac:dyDescent="0.25">
      <c r="A384" t="s">
        <v>42</v>
      </c>
      <c r="B384" t="s">
        <v>1905</v>
      </c>
      <c r="C384" t="s">
        <v>351</v>
      </c>
      <c r="D384" t="s">
        <v>446</v>
      </c>
      <c r="E384" t="s">
        <v>1017</v>
      </c>
      <c r="F384">
        <v>13134</v>
      </c>
      <c r="G384" t="s">
        <v>1233</v>
      </c>
      <c r="H384" t="s">
        <v>1906</v>
      </c>
      <c r="I384" t="s">
        <v>1855</v>
      </c>
      <c r="J384" t="s">
        <v>1422</v>
      </c>
      <c r="K384" t="s">
        <v>1907</v>
      </c>
      <c r="L384" t="s">
        <v>1908</v>
      </c>
      <c r="M384" t="s">
        <v>1062</v>
      </c>
      <c r="N384" t="s">
        <v>1909</v>
      </c>
      <c r="O384" t="s">
        <v>446</v>
      </c>
      <c r="P384" t="s">
        <v>1910</v>
      </c>
      <c r="Q384" t="b">
        <v>1</v>
      </c>
      <c r="R384" t="b">
        <v>0</v>
      </c>
      <c r="S384" t="s">
        <v>1038</v>
      </c>
      <c r="T384" t="s">
        <v>446</v>
      </c>
      <c r="U384" t="s">
        <v>1039</v>
      </c>
      <c r="V384" t="s">
        <v>1067</v>
      </c>
      <c r="W384" t="s">
        <v>1911</v>
      </c>
      <c r="X384" t="s">
        <v>1862</v>
      </c>
    </row>
    <row r="385" spans="1:24" x14ac:dyDescent="0.25">
      <c r="A385" t="s">
        <v>42</v>
      </c>
      <c r="B385" t="s">
        <v>1912</v>
      </c>
      <c r="C385" t="s">
        <v>351</v>
      </c>
      <c r="D385" t="s">
        <v>446</v>
      </c>
      <c r="E385" t="s">
        <v>1019</v>
      </c>
      <c r="F385">
        <v>12653</v>
      </c>
      <c r="G385" t="s">
        <v>1233</v>
      </c>
      <c r="H385" t="s">
        <v>1913</v>
      </c>
      <c r="I385" t="s">
        <v>1855</v>
      </c>
      <c r="J385" t="s">
        <v>1422</v>
      </c>
      <c r="K385" t="s">
        <v>1914</v>
      </c>
      <c r="L385" t="s">
        <v>1915</v>
      </c>
      <c r="M385" t="s">
        <v>1858</v>
      </c>
      <c r="N385" t="s">
        <v>1916</v>
      </c>
      <c r="O385" t="s">
        <v>446</v>
      </c>
      <c r="P385" t="s">
        <v>1917</v>
      </c>
      <c r="Q385" t="b">
        <v>1</v>
      </c>
      <c r="R385" t="b">
        <v>0</v>
      </c>
      <c r="S385" t="s">
        <v>1038</v>
      </c>
      <c r="T385" t="s">
        <v>446</v>
      </c>
      <c r="U385" t="s">
        <v>1039</v>
      </c>
      <c r="V385" t="s">
        <v>1067</v>
      </c>
      <c r="W385" t="s">
        <v>1918</v>
      </c>
      <c r="X385" t="s">
        <v>1862</v>
      </c>
    </row>
    <row r="386" spans="1:24" x14ac:dyDescent="0.25">
      <c r="A386" t="s">
        <v>42</v>
      </c>
      <c r="B386" t="s">
        <v>1919</v>
      </c>
      <c r="C386" t="s">
        <v>351</v>
      </c>
      <c r="D386" t="s">
        <v>446</v>
      </c>
      <c r="E386" t="s">
        <v>1021</v>
      </c>
      <c r="F386">
        <v>12140</v>
      </c>
      <c r="G386" t="s">
        <v>1233</v>
      </c>
      <c r="H386" t="s">
        <v>1920</v>
      </c>
      <c r="I386" t="s">
        <v>1855</v>
      </c>
      <c r="J386" t="s">
        <v>1422</v>
      </c>
      <c r="K386" t="s">
        <v>1921</v>
      </c>
      <c r="L386" t="s">
        <v>1922</v>
      </c>
      <c r="M386" t="s">
        <v>1858</v>
      </c>
      <c r="N386" t="s">
        <v>1923</v>
      </c>
      <c r="O386" t="s">
        <v>446</v>
      </c>
      <c r="P386" t="s">
        <v>1924</v>
      </c>
      <c r="Q386" t="b">
        <v>1</v>
      </c>
      <c r="R386" t="b">
        <v>0</v>
      </c>
      <c r="S386" t="s">
        <v>1038</v>
      </c>
      <c r="T386" t="s">
        <v>446</v>
      </c>
      <c r="U386" t="s">
        <v>1039</v>
      </c>
      <c r="V386" t="s">
        <v>1067</v>
      </c>
      <c r="W386" t="s">
        <v>1925</v>
      </c>
      <c r="X386" t="s">
        <v>1862</v>
      </c>
    </row>
    <row r="387" spans="1:24" x14ac:dyDescent="0.25">
      <c r="A387" t="s">
        <v>42</v>
      </c>
      <c r="B387" t="s">
        <v>1926</v>
      </c>
      <c r="C387" t="s">
        <v>351</v>
      </c>
      <c r="D387" t="s">
        <v>446</v>
      </c>
      <c r="E387" t="s">
        <v>1023</v>
      </c>
      <c r="F387">
        <v>11846</v>
      </c>
      <c r="G387" t="s">
        <v>1233</v>
      </c>
      <c r="H387" t="s">
        <v>1927</v>
      </c>
      <c r="I387" t="s">
        <v>1855</v>
      </c>
      <c r="J387" t="s">
        <v>1422</v>
      </c>
      <c r="K387" t="s">
        <v>1928</v>
      </c>
      <c r="L387" t="s">
        <v>1929</v>
      </c>
      <c r="M387" t="s">
        <v>1858</v>
      </c>
      <c r="N387" t="s">
        <v>1930</v>
      </c>
      <c r="O387" t="s">
        <v>446</v>
      </c>
      <c r="P387" t="s">
        <v>1931</v>
      </c>
      <c r="Q387" t="b">
        <v>1</v>
      </c>
      <c r="R387" t="b">
        <v>0</v>
      </c>
      <c r="S387" t="s">
        <v>1038</v>
      </c>
      <c r="T387" t="s">
        <v>446</v>
      </c>
      <c r="U387" t="s">
        <v>1039</v>
      </c>
      <c r="V387" t="s">
        <v>1067</v>
      </c>
      <c r="W387" t="s">
        <v>1932</v>
      </c>
      <c r="X387" t="s">
        <v>1862</v>
      </c>
    </row>
    <row r="388" spans="1:24" x14ac:dyDescent="0.25">
      <c r="A388" t="s">
        <v>42</v>
      </c>
      <c r="B388" t="s">
        <v>1933</v>
      </c>
      <c r="C388" t="s">
        <v>351</v>
      </c>
      <c r="D388" t="s">
        <v>446</v>
      </c>
      <c r="E388" t="s">
        <v>1025</v>
      </c>
      <c r="F388">
        <v>11261</v>
      </c>
      <c r="G388" t="s">
        <v>1233</v>
      </c>
      <c r="H388" t="s">
        <v>1934</v>
      </c>
      <c r="I388" t="s">
        <v>1855</v>
      </c>
      <c r="J388" t="s">
        <v>1422</v>
      </c>
      <c r="K388" t="s">
        <v>1935</v>
      </c>
      <c r="L388" t="s">
        <v>1936</v>
      </c>
      <c r="M388" t="s">
        <v>1062</v>
      </c>
      <c r="N388" t="s">
        <v>1937</v>
      </c>
      <c r="O388" t="s">
        <v>446</v>
      </c>
      <c r="P388" t="s">
        <v>1938</v>
      </c>
      <c r="Q388" t="b">
        <v>1</v>
      </c>
      <c r="R388" t="b">
        <v>0</v>
      </c>
      <c r="S388" t="s">
        <v>1038</v>
      </c>
      <c r="T388" t="s">
        <v>446</v>
      </c>
      <c r="U388" t="s">
        <v>1039</v>
      </c>
      <c r="V388" t="s">
        <v>1067</v>
      </c>
      <c r="W388" t="s">
        <v>1939</v>
      </c>
      <c r="X388" t="s">
        <v>1862</v>
      </c>
    </row>
    <row r="389" spans="1:24" x14ac:dyDescent="0.25">
      <c r="A389" t="s">
        <v>42</v>
      </c>
      <c r="B389" t="s">
        <v>1940</v>
      </c>
      <c r="C389" t="s">
        <v>351</v>
      </c>
      <c r="D389" t="s">
        <v>446</v>
      </c>
      <c r="E389" t="s">
        <v>1027</v>
      </c>
      <c r="F389">
        <v>11499</v>
      </c>
      <c r="G389" t="s">
        <v>1233</v>
      </c>
      <c r="H389" t="s">
        <v>1941</v>
      </c>
      <c r="I389" t="s">
        <v>1855</v>
      </c>
      <c r="J389" t="s">
        <v>1422</v>
      </c>
      <c r="K389" t="s">
        <v>1942</v>
      </c>
      <c r="L389" t="s">
        <v>1943</v>
      </c>
      <c r="M389" t="s">
        <v>1858</v>
      </c>
      <c r="N389" t="s">
        <v>1944</v>
      </c>
      <c r="O389" t="s">
        <v>446</v>
      </c>
      <c r="P389" t="s">
        <v>1945</v>
      </c>
      <c r="Q389" t="b">
        <v>1</v>
      </c>
      <c r="R389" t="b">
        <v>0</v>
      </c>
      <c r="S389" t="s">
        <v>1038</v>
      </c>
      <c r="T389" t="s">
        <v>446</v>
      </c>
      <c r="U389" t="s">
        <v>1039</v>
      </c>
      <c r="V389" t="s">
        <v>1067</v>
      </c>
      <c r="W389" t="s">
        <v>1946</v>
      </c>
      <c r="X389" t="s">
        <v>1862</v>
      </c>
    </row>
    <row r="390" spans="1:24" x14ac:dyDescent="0.25">
      <c r="A390" t="s">
        <v>42</v>
      </c>
      <c r="B390" t="s">
        <v>1947</v>
      </c>
      <c r="C390" t="s">
        <v>351</v>
      </c>
      <c r="D390" t="s">
        <v>446</v>
      </c>
      <c r="E390" t="s">
        <v>1131</v>
      </c>
      <c r="F390">
        <v>11224</v>
      </c>
      <c r="G390" t="s">
        <v>1233</v>
      </c>
      <c r="H390" t="s">
        <v>1948</v>
      </c>
      <c r="I390" t="s">
        <v>1855</v>
      </c>
      <c r="J390" t="s">
        <v>1422</v>
      </c>
      <c r="K390" t="s">
        <v>1949</v>
      </c>
      <c r="L390" t="s">
        <v>1950</v>
      </c>
      <c r="M390" t="s">
        <v>1858</v>
      </c>
      <c r="N390" t="s">
        <v>1951</v>
      </c>
      <c r="O390" t="s">
        <v>446</v>
      </c>
      <c r="P390" t="s">
        <v>1952</v>
      </c>
      <c r="Q390" t="b">
        <v>1</v>
      </c>
      <c r="R390" t="b">
        <v>0</v>
      </c>
      <c r="S390" t="s">
        <v>1038</v>
      </c>
      <c r="T390" t="s">
        <v>446</v>
      </c>
      <c r="U390" t="s">
        <v>1039</v>
      </c>
      <c r="V390" t="s">
        <v>1067</v>
      </c>
      <c r="W390" t="s">
        <v>1953</v>
      </c>
      <c r="X390" t="s">
        <v>1862</v>
      </c>
    </row>
    <row r="391" spans="1:24" x14ac:dyDescent="0.25">
      <c r="A391" t="s">
        <v>42</v>
      </c>
      <c r="B391" t="s">
        <v>1954</v>
      </c>
      <c r="C391" t="s">
        <v>352</v>
      </c>
      <c r="D391" t="s">
        <v>446</v>
      </c>
      <c r="E391" t="s">
        <v>998</v>
      </c>
      <c r="F391">
        <v>15758</v>
      </c>
      <c r="G391" t="s">
        <v>1029</v>
      </c>
      <c r="H391" t="s">
        <v>1955</v>
      </c>
      <c r="I391" t="s">
        <v>1956</v>
      </c>
      <c r="J391" t="s">
        <v>1422</v>
      </c>
      <c r="K391" t="s">
        <v>1032</v>
      </c>
      <c r="L391" t="s">
        <v>1033</v>
      </c>
      <c r="M391" t="s">
        <v>1034</v>
      </c>
      <c r="N391" t="s">
        <v>1035</v>
      </c>
      <c r="O391" t="s">
        <v>446</v>
      </c>
      <c r="P391" t="s">
        <v>1037</v>
      </c>
      <c r="Q391" t="b">
        <v>1</v>
      </c>
      <c r="R391" t="b">
        <v>0</v>
      </c>
      <c r="S391" t="s">
        <v>1038</v>
      </c>
      <c r="T391" t="s">
        <v>446</v>
      </c>
      <c r="U391" t="s">
        <v>1039</v>
      </c>
      <c r="V391" t="s">
        <v>1002</v>
      </c>
      <c r="W391" t="s">
        <v>1040</v>
      </c>
      <c r="X391" t="s">
        <v>1957</v>
      </c>
    </row>
    <row r="392" spans="1:24" x14ac:dyDescent="0.25">
      <c r="A392" t="s">
        <v>42</v>
      </c>
      <c r="B392" t="s">
        <v>1958</v>
      </c>
      <c r="C392" t="s">
        <v>352</v>
      </c>
      <c r="D392" t="s">
        <v>446</v>
      </c>
      <c r="E392" t="s">
        <v>1005</v>
      </c>
      <c r="F392">
        <v>12971</v>
      </c>
      <c r="G392" t="s">
        <v>1029</v>
      </c>
      <c r="H392" t="s">
        <v>1959</v>
      </c>
      <c r="I392" t="s">
        <v>1956</v>
      </c>
      <c r="J392" t="s">
        <v>1422</v>
      </c>
      <c r="K392" t="s">
        <v>1044</v>
      </c>
      <c r="L392" t="s">
        <v>1045</v>
      </c>
      <c r="M392" t="s">
        <v>1034</v>
      </c>
      <c r="N392" t="s">
        <v>1046</v>
      </c>
      <c r="O392" t="s">
        <v>446</v>
      </c>
      <c r="P392" t="s">
        <v>1048</v>
      </c>
      <c r="Q392" t="b">
        <v>1</v>
      </c>
      <c r="R392" t="b">
        <v>0</v>
      </c>
      <c r="S392" t="s">
        <v>1038</v>
      </c>
      <c r="T392" t="s">
        <v>446</v>
      </c>
      <c r="U392" t="s">
        <v>1039</v>
      </c>
      <c r="V392" t="s">
        <v>1002</v>
      </c>
      <c r="W392" t="s">
        <v>1040</v>
      </c>
      <c r="X392" t="s">
        <v>1957</v>
      </c>
    </row>
    <row r="393" spans="1:24" x14ac:dyDescent="0.25">
      <c r="A393" t="s">
        <v>42</v>
      </c>
      <c r="B393" t="s">
        <v>1960</v>
      </c>
      <c r="C393" t="s">
        <v>352</v>
      </c>
      <c r="D393" t="s">
        <v>446</v>
      </c>
      <c r="E393" t="s">
        <v>1007</v>
      </c>
      <c r="F393">
        <v>9905</v>
      </c>
      <c r="G393" t="s">
        <v>1029</v>
      </c>
      <c r="H393" t="s">
        <v>1961</v>
      </c>
      <c r="I393" t="s">
        <v>1956</v>
      </c>
      <c r="J393" t="s">
        <v>1422</v>
      </c>
      <c r="K393" t="s">
        <v>1051</v>
      </c>
      <c r="L393" t="s">
        <v>1052</v>
      </c>
      <c r="M393" t="s">
        <v>1034</v>
      </c>
      <c r="N393" t="s">
        <v>1053</v>
      </c>
      <c r="O393" t="s">
        <v>446</v>
      </c>
      <c r="P393" t="s">
        <v>1055</v>
      </c>
      <c r="Q393" t="b">
        <v>1</v>
      </c>
      <c r="R393" t="b">
        <v>0</v>
      </c>
      <c r="S393" t="s">
        <v>1038</v>
      </c>
      <c r="T393" t="s">
        <v>446</v>
      </c>
      <c r="U393" t="s">
        <v>1039</v>
      </c>
      <c r="V393" t="s">
        <v>1002</v>
      </c>
      <c r="W393" t="s">
        <v>1040</v>
      </c>
      <c r="X393" t="s">
        <v>1957</v>
      </c>
    </row>
    <row r="394" spans="1:24" x14ac:dyDescent="0.25">
      <c r="A394" t="s">
        <v>42</v>
      </c>
      <c r="B394" t="s">
        <v>1962</v>
      </c>
      <c r="C394" t="s">
        <v>352</v>
      </c>
      <c r="D394" t="s">
        <v>446</v>
      </c>
      <c r="E394" t="s">
        <v>1009</v>
      </c>
      <c r="F394">
        <v>10171</v>
      </c>
      <c r="G394" t="s">
        <v>1029</v>
      </c>
      <c r="H394" t="s">
        <v>1963</v>
      </c>
      <c r="I394" t="s">
        <v>1956</v>
      </c>
      <c r="J394" t="s">
        <v>1422</v>
      </c>
      <c r="K394" t="s">
        <v>1060</v>
      </c>
      <c r="L394" t="s">
        <v>1061</v>
      </c>
      <c r="M394" t="s">
        <v>1062</v>
      </c>
      <c r="N394" t="s">
        <v>1063</v>
      </c>
      <c r="O394" t="s">
        <v>446</v>
      </c>
      <c r="P394" t="s">
        <v>1064</v>
      </c>
      <c r="Q394" t="b">
        <v>1</v>
      </c>
      <c r="R394" t="b">
        <v>0</v>
      </c>
      <c r="S394" t="s">
        <v>1038</v>
      </c>
      <c r="T394" t="s">
        <v>446</v>
      </c>
      <c r="U394" t="s">
        <v>1039</v>
      </c>
      <c r="V394" t="s">
        <v>1002</v>
      </c>
      <c r="W394" t="s">
        <v>1040</v>
      </c>
      <c r="X394" t="s">
        <v>1957</v>
      </c>
    </row>
    <row r="395" spans="1:24" x14ac:dyDescent="0.25">
      <c r="A395" t="s">
        <v>42</v>
      </c>
      <c r="B395" t="s">
        <v>1964</v>
      </c>
      <c r="C395" t="s">
        <v>352</v>
      </c>
      <c r="D395" t="s">
        <v>446</v>
      </c>
      <c r="E395" t="s">
        <v>1011</v>
      </c>
      <c r="F395">
        <v>12115</v>
      </c>
      <c r="G395" t="s">
        <v>1029</v>
      </c>
      <c r="H395" t="s">
        <v>1965</v>
      </c>
      <c r="I395" t="s">
        <v>1956</v>
      </c>
      <c r="J395" t="s">
        <v>1422</v>
      </c>
      <c r="K395" t="s">
        <v>1070</v>
      </c>
      <c r="L395" t="s">
        <v>1071</v>
      </c>
      <c r="M395" t="s">
        <v>1034</v>
      </c>
      <c r="N395" t="s">
        <v>1072</v>
      </c>
      <c r="O395" t="s">
        <v>446</v>
      </c>
      <c r="P395" t="s">
        <v>1074</v>
      </c>
      <c r="Q395" t="b">
        <v>1</v>
      </c>
      <c r="R395" t="b">
        <v>0</v>
      </c>
      <c r="S395" t="s">
        <v>1038</v>
      </c>
      <c r="T395" t="s">
        <v>446</v>
      </c>
      <c r="U395" t="s">
        <v>1039</v>
      </c>
      <c r="V395" t="s">
        <v>1002</v>
      </c>
      <c r="W395" t="s">
        <v>1040</v>
      </c>
      <c r="X395" t="s">
        <v>1957</v>
      </c>
    </row>
    <row r="396" spans="1:24" x14ac:dyDescent="0.25">
      <c r="A396" t="s">
        <v>42</v>
      </c>
      <c r="B396" t="s">
        <v>1966</v>
      </c>
      <c r="C396" t="s">
        <v>352</v>
      </c>
      <c r="D396" t="s">
        <v>446</v>
      </c>
      <c r="E396" t="s">
        <v>1013</v>
      </c>
      <c r="F396">
        <v>14921</v>
      </c>
      <c r="G396" t="s">
        <v>1029</v>
      </c>
      <c r="H396" t="s">
        <v>1967</v>
      </c>
      <c r="I396" t="s">
        <v>1956</v>
      </c>
      <c r="J396" t="s">
        <v>1422</v>
      </c>
      <c r="K396" t="s">
        <v>1077</v>
      </c>
      <c r="L396" t="s">
        <v>1078</v>
      </c>
      <c r="M396" t="s">
        <v>1034</v>
      </c>
      <c r="N396" t="s">
        <v>1079</v>
      </c>
      <c r="O396" t="s">
        <v>446</v>
      </c>
      <c r="P396" t="s">
        <v>1081</v>
      </c>
      <c r="Q396" t="b">
        <v>1</v>
      </c>
      <c r="R396" t="b">
        <v>0</v>
      </c>
      <c r="S396" t="s">
        <v>1038</v>
      </c>
      <c r="T396" t="s">
        <v>446</v>
      </c>
      <c r="U396" t="s">
        <v>1039</v>
      </c>
      <c r="V396" t="s">
        <v>1002</v>
      </c>
      <c r="W396" t="s">
        <v>1040</v>
      </c>
      <c r="X396" t="s">
        <v>1957</v>
      </c>
    </row>
    <row r="397" spans="1:24" x14ac:dyDescent="0.25">
      <c r="A397" t="s">
        <v>42</v>
      </c>
      <c r="B397" t="s">
        <v>1968</v>
      </c>
      <c r="C397" t="s">
        <v>352</v>
      </c>
      <c r="D397" t="s">
        <v>446</v>
      </c>
      <c r="E397" t="s">
        <v>1015</v>
      </c>
      <c r="F397">
        <v>20360</v>
      </c>
      <c r="G397" t="s">
        <v>1029</v>
      </c>
      <c r="H397" t="s">
        <v>1969</v>
      </c>
      <c r="I397" t="s">
        <v>1956</v>
      </c>
      <c r="J397" t="s">
        <v>1422</v>
      </c>
      <c r="K397" t="s">
        <v>1084</v>
      </c>
      <c r="L397" t="s">
        <v>1085</v>
      </c>
      <c r="M397" t="s">
        <v>1034</v>
      </c>
      <c r="N397" t="s">
        <v>1086</v>
      </c>
      <c r="O397" t="s">
        <v>446</v>
      </c>
      <c r="P397" t="s">
        <v>1088</v>
      </c>
      <c r="Q397" t="b">
        <v>1</v>
      </c>
      <c r="R397" t="b">
        <v>0</v>
      </c>
      <c r="S397" t="s">
        <v>1038</v>
      </c>
      <c r="T397" t="s">
        <v>446</v>
      </c>
      <c r="U397" t="s">
        <v>1039</v>
      </c>
      <c r="V397" t="s">
        <v>1002</v>
      </c>
      <c r="W397" t="s">
        <v>1040</v>
      </c>
      <c r="X397" t="s">
        <v>1957</v>
      </c>
    </row>
    <row r="398" spans="1:24" x14ac:dyDescent="0.25">
      <c r="A398" t="s">
        <v>42</v>
      </c>
      <c r="B398" t="s">
        <v>1970</v>
      </c>
      <c r="C398" t="s">
        <v>352</v>
      </c>
      <c r="D398" t="s">
        <v>446</v>
      </c>
      <c r="E398" t="s">
        <v>1017</v>
      </c>
      <c r="F398">
        <v>29817</v>
      </c>
      <c r="G398" t="s">
        <v>1029</v>
      </c>
      <c r="H398" t="s">
        <v>1971</v>
      </c>
      <c r="I398" t="s">
        <v>1956</v>
      </c>
      <c r="J398" t="s">
        <v>1422</v>
      </c>
      <c r="K398" t="s">
        <v>1091</v>
      </c>
      <c r="L398" t="s">
        <v>1092</v>
      </c>
      <c r="M398" t="s">
        <v>1062</v>
      </c>
      <c r="N398" t="s">
        <v>1093</v>
      </c>
      <c r="O398" t="s">
        <v>446</v>
      </c>
      <c r="P398" t="s">
        <v>1094</v>
      </c>
      <c r="Q398" t="b">
        <v>1</v>
      </c>
      <c r="R398" t="b">
        <v>0</v>
      </c>
      <c r="S398" t="s">
        <v>1038</v>
      </c>
      <c r="T398" t="s">
        <v>446</v>
      </c>
      <c r="U398" t="s">
        <v>1039</v>
      </c>
      <c r="V398" t="s">
        <v>1002</v>
      </c>
      <c r="W398" t="s">
        <v>1040</v>
      </c>
      <c r="X398" t="s">
        <v>1957</v>
      </c>
    </row>
    <row r="399" spans="1:24" x14ac:dyDescent="0.25">
      <c r="A399" t="s">
        <v>42</v>
      </c>
      <c r="B399" t="s">
        <v>1972</v>
      </c>
      <c r="C399" t="s">
        <v>352</v>
      </c>
      <c r="D399" t="s">
        <v>446</v>
      </c>
      <c r="E399" t="s">
        <v>1019</v>
      </c>
      <c r="F399">
        <v>36598</v>
      </c>
      <c r="G399" t="s">
        <v>1029</v>
      </c>
      <c r="H399" t="s">
        <v>1973</v>
      </c>
      <c r="I399" t="s">
        <v>1956</v>
      </c>
      <c r="J399" t="s">
        <v>1422</v>
      </c>
      <c r="K399" t="s">
        <v>1097</v>
      </c>
      <c r="L399" t="s">
        <v>1098</v>
      </c>
      <c r="M399" t="s">
        <v>1034</v>
      </c>
      <c r="N399" t="s">
        <v>1099</v>
      </c>
      <c r="O399" t="s">
        <v>446</v>
      </c>
      <c r="P399" t="s">
        <v>1101</v>
      </c>
      <c r="Q399" t="b">
        <v>1</v>
      </c>
      <c r="R399" t="b">
        <v>0</v>
      </c>
      <c r="S399" t="s">
        <v>1038</v>
      </c>
      <c r="T399" t="s">
        <v>446</v>
      </c>
      <c r="U399" t="s">
        <v>1039</v>
      </c>
      <c r="V399" t="s">
        <v>1002</v>
      </c>
      <c r="W399" t="s">
        <v>1040</v>
      </c>
      <c r="X399" t="s">
        <v>1957</v>
      </c>
    </row>
    <row r="400" spans="1:24" x14ac:dyDescent="0.25">
      <c r="A400" t="s">
        <v>42</v>
      </c>
      <c r="B400" t="s">
        <v>1974</v>
      </c>
      <c r="C400" t="s">
        <v>352</v>
      </c>
      <c r="D400" t="s">
        <v>446</v>
      </c>
      <c r="E400" t="s">
        <v>1021</v>
      </c>
      <c r="F400">
        <v>45961</v>
      </c>
      <c r="G400" t="s">
        <v>1029</v>
      </c>
      <c r="H400" t="s">
        <v>1975</v>
      </c>
      <c r="I400" t="s">
        <v>1956</v>
      </c>
      <c r="J400" t="s">
        <v>1422</v>
      </c>
      <c r="K400" t="s">
        <v>1105</v>
      </c>
      <c r="L400" t="s">
        <v>1106</v>
      </c>
      <c r="M400" t="s">
        <v>1034</v>
      </c>
      <c r="N400" t="s">
        <v>1107</v>
      </c>
      <c r="O400" t="s">
        <v>446</v>
      </c>
      <c r="P400" t="s">
        <v>1109</v>
      </c>
      <c r="Q400" t="b">
        <v>1</v>
      </c>
      <c r="R400" t="b">
        <v>0</v>
      </c>
      <c r="S400" t="s">
        <v>1038</v>
      </c>
      <c r="T400" t="s">
        <v>446</v>
      </c>
      <c r="U400" t="s">
        <v>1039</v>
      </c>
      <c r="V400" t="s">
        <v>1002</v>
      </c>
      <c r="W400" t="s">
        <v>1040</v>
      </c>
      <c r="X400" t="s">
        <v>1957</v>
      </c>
    </row>
    <row r="401" spans="1:24" x14ac:dyDescent="0.25">
      <c r="A401" t="s">
        <v>42</v>
      </c>
      <c r="B401" t="s">
        <v>1976</v>
      </c>
      <c r="C401" t="s">
        <v>352</v>
      </c>
      <c r="D401" t="s">
        <v>446</v>
      </c>
      <c r="E401" t="s">
        <v>1023</v>
      </c>
      <c r="F401">
        <v>53950</v>
      </c>
      <c r="G401" t="s">
        <v>1029</v>
      </c>
      <c r="H401" t="s">
        <v>1977</v>
      </c>
      <c r="I401" t="s">
        <v>1956</v>
      </c>
      <c r="J401" t="s">
        <v>1422</v>
      </c>
      <c r="K401" t="s">
        <v>1112</v>
      </c>
      <c r="L401" t="s">
        <v>1113</v>
      </c>
      <c r="M401" t="s">
        <v>1034</v>
      </c>
      <c r="N401" t="s">
        <v>1114</v>
      </c>
      <c r="O401" t="s">
        <v>446</v>
      </c>
      <c r="P401" t="s">
        <v>1116</v>
      </c>
      <c r="Q401" t="b">
        <v>1</v>
      </c>
      <c r="R401" t="b">
        <v>0</v>
      </c>
      <c r="S401" t="s">
        <v>1038</v>
      </c>
      <c r="T401" t="s">
        <v>446</v>
      </c>
      <c r="U401" t="s">
        <v>1039</v>
      </c>
      <c r="V401" t="s">
        <v>1002</v>
      </c>
      <c r="W401" t="s">
        <v>1040</v>
      </c>
      <c r="X401" t="s">
        <v>1957</v>
      </c>
    </row>
    <row r="402" spans="1:24" x14ac:dyDescent="0.25">
      <c r="A402" t="s">
        <v>42</v>
      </c>
      <c r="B402" t="s">
        <v>1978</v>
      </c>
      <c r="C402" t="s">
        <v>352</v>
      </c>
      <c r="D402" t="s">
        <v>446</v>
      </c>
      <c r="E402" t="s">
        <v>1025</v>
      </c>
      <c r="F402">
        <v>68038</v>
      </c>
      <c r="G402" t="s">
        <v>1029</v>
      </c>
      <c r="H402" t="s">
        <v>1979</v>
      </c>
      <c r="I402" t="s">
        <v>1956</v>
      </c>
      <c r="J402" t="s">
        <v>1422</v>
      </c>
      <c r="K402" t="s">
        <v>1119</v>
      </c>
      <c r="L402" t="s">
        <v>1120</v>
      </c>
      <c r="M402" t="s">
        <v>1062</v>
      </c>
      <c r="N402" t="s">
        <v>1121</v>
      </c>
      <c r="O402" t="s">
        <v>446</v>
      </c>
      <c r="P402" t="s">
        <v>1122</v>
      </c>
      <c r="Q402" t="b">
        <v>1</v>
      </c>
      <c r="R402" t="b">
        <v>0</v>
      </c>
      <c r="S402" t="s">
        <v>1038</v>
      </c>
      <c r="T402" t="s">
        <v>446</v>
      </c>
      <c r="U402" t="s">
        <v>1039</v>
      </c>
      <c r="V402" t="s">
        <v>1002</v>
      </c>
      <c r="W402" t="s">
        <v>1040</v>
      </c>
      <c r="X402" t="s">
        <v>1957</v>
      </c>
    </row>
    <row r="403" spans="1:24" x14ac:dyDescent="0.25">
      <c r="A403" t="s">
        <v>42</v>
      </c>
      <c r="B403" t="s">
        <v>1980</v>
      </c>
      <c r="C403" t="s">
        <v>352</v>
      </c>
      <c r="D403" t="s">
        <v>446</v>
      </c>
      <c r="E403" t="s">
        <v>1027</v>
      </c>
      <c r="F403">
        <v>72158</v>
      </c>
      <c r="G403" t="s">
        <v>1029</v>
      </c>
      <c r="H403" t="s">
        <v>1981</v>
      </c>
      <c r="I403" t="s">
        <v>1956</v>
      </c>
      <c r="J403" t="s">
        <v>1422</v>
      </c>
      <c r="K403" t="s">
        <v>1125</v>
      </c>
      <c r="L403" t="s">
        <v>1126</v>
      </c>
      <c r="M403" t="s">
        <v>1034</v>
      </c>
      <c r="N403" t="s">
        <v>1127</v>
      </c>
      <c r="O403" t="s">
        <v>446</v>
      </c>
      <c r="P403" t="s">
        <v>1129</v>
      </c>
      <c r="Q403" t="b">
        <v>1</v>
      </c>
      <c r="R403" t="b">
        <v>0</v>
      </c>
      <c r="S403" t="s">
        <v>1038</v>
      </c>
      <c r="T403" t="s">
        <v>446</v>
      </c>
      <c r="U403" t="s">
        <v>1039</v>
      </c>
      <c r="V403" t="s">
        <v>1002</v>
      </c>
      <c r="W403" t="s">
        <v>1040</v>
      </c>
      <c r="X403" t="s">
        <v>1957</v>
      </c>
    </row>
    <row r="404" spans="1:24" x14ac:dyDescent="0.25">
      <c r="A404" t="s">
        <v>42</v>
      </c>
      <c r="B404" t="s">
        <v>1982</v>
      </c>
      <c r="C404" t="s">
        <v>352</v>
      </c>
      <c r="E404" t="s">
        <v>1131</v>
      </c>
      <c r="F404">
        <v>88737</v>
      </c>
      <c r="G404" t="s">
        <v>1057</v>
      </c>
      <c r="H404" t="s">
        <v>1983</v>
      </c>
      <c r="I404" t="s">
        <v>1956</v>
      </c>
      <c r="J404" t="s">
        <v>1422</v>
      </c>
      <c r="K404" t="s">
        <v>1133</v>
      </c>
      <c r="L404" t="s">
        <v>1134</v>
      </c>
      <c r="M404" t="s">
        <v>1034</v>
      </c>
      <c r="N404" t="s">
        <v>1135</v>
      </c>
      <c r="O404" t="s">
        <v>446</v>
      </c>
      <c r="P404" t="s">
        <v>1137</v>
      </c>
      <c r="Q404" t="b">
        <v>1</v>
      </c>
      <c r="R404" t="b">
        <v>0</v>
      </c>
      <c r="S404" t="s">
        <v>1102</v>
      </c>
      <c r="T404" t="s">
        <v>446</v>
      </c>
      <c r="U404" t="s">
        <v>1066</v>
      </c>
      <c r="V404" t="s">
        <v>1002</v>
      </c>
      <c r="W404" t="s">
        <v>1040</v>
      </c>
      <c r="X404" t="s">
        <v>1957</v>
      </c>
    </row>
    <row r="405" spans="1:24" x14ac:dyDescent="0.25">
      <c r="A405" t="s">
        <v>42</v>
      </c>
      <c r="B405" t="s">
        <v>1984</v>
      </c>
      <c r="C405" t="s">
        <v>353</v>
      </c>
      <c r="D405" t="s">
        <v>446</v>
      </c>
      <c r="E405" t="s">
        <v>998</v>
      </c>
      <c r="F405">
        <v>0</v>
      </c>
      <c r="G405" t="s">
        <v>1233</v>
      </c>
      <c r="H405" t="s">
        <v>1985</v>
      </c>
      <c r="I405" t="s">
        <v>1986</v>
      </c>
      <c r="J405" t="s">
        <v>1422</v>
      </c>
      <c r="K405" t="s">
        <v>1987</v>
      </c>
      <c r="L405" t="s">
        <v>1988</v>
      </c>
      <c r="M405" t="s">
        <v>1062</v>
      </c>
      <c r="N405" t="s">
        <v>1989</v>
      </c>
      <c r="O405" t="s">
        <v>446</v>
      </c>
      <c r="P405" t="s">
        <v>1990</v>
      </c>
      <c r="Q405" t="b">
        <v>1</v>
      </c>
      <c r="R405" t="b">
        <v>0</v>
      </c>
      <c r="S405" t="s">
        <v>1038</v>
      </c>
      <c r="T405" t="s">
        <v>446</v>
      </c>
      <c r="U405" t="s">
        <v>1039</v>
      </c>
      <c r="V405" t="s">
        <v>1067</v>
      </c>
      <c r="W405" t="s">
        <v>1991</v>
      </c>
      <c r="X405" t="s">
        <v>446</v>
      </c>
    </row>
    <row r="406" spans="1:24" x14ac:dyDescent="0.25">
      <c r="A406" t="s">
        <v>42</v>
      </c>
      <c r="B406" t="s">
        <v>1992</v>
      </c>
      <c r="C406" t="s">
        <v>353</v>
      </c>
      <c r="D406" t="s">
        <v>446</v>
      </c>
      <c r="E406" t="s">
        <v>1005</v>
      </c>
      <c r="F406">
        <v>0</v>
      </c>
      <c r="G406" t="s">
        <v>1233</v>
      </c>
      <c r="H406" t="s">
        <v>1985</v>
      </c>
      <c r="I406" t="s">
        <v>1986</v>
      </c>
      <c r="J406" t="s">
        <v>1422</v>
      </c>
      <c r="K406" t="s">
        <v>1987</v>
      </c>
      <c r="L406" t="s">
        <v>1988</v>
      </c>
      <c r="M406" t="s">
        <v>1062</v>
      </c>
      <c r="N406" t="s">
        <v>1989</v>
      </c>
      <c r="O406" t="s">
        <v>446</v>
      </c>
      <c r="P406" t="s">
        <v>1990</v>
      </c>
      <c r="Q406" t="b">
        <v>1</v>
      </c>
      <c r="R406" t="b">
        <v>0</v>
      </c>
      <c r="S406" t="s">
        <v>1038</v>
      </c>
      <c r="T406" t="s">
        <v>446</v>
      </c>
      <c r="U406" t="s">
        <v>1039</v>
      </c>
      <c r="V406" t="s">
        <v>1067</v>
      </c>
      <c r="W406" t="s">
        <v>1993</v>
      </c>
      <c r="X406" t="s">
        <v>446</v>
      </c>
    </row>
    <row r="407" spans="1:24" x14ac:dyDescent="0.25">
      <c r="A407" t="s">
        <v>42</v>
      </c>
      <c r="B407" t="s">
        <v>1994</v>
      </c>
      <c r="C407" t="s">
        <v>353</v>
      </c>
      <c r="D407" t="s">
        <v>446</v>
      </c>
      <c r="E407" t="s">
        <v>1007</v>
      </c>
      <c r="F407">
        <v>0</v>
      </c>
      <c r="G407" t="s">
        <v>1233</v>
      </c>
      <c r="H407" t="s">
        <v>1985</v>
      </c>
      <c r="I407" t="s">
        <v>1986</v>
      </c>
      <c r="J407" t="s">
        <v>1422</v>
      </c>
      <c r="K407" t="s">
        <v>1987</v>
      </c>
      <c r="L407" t="s">
        <v>1988</v>
      </c>
      <c r="M407" t="s">
        <v>1062</v>
      </c>
      <c r="N407" t="s">
        <v>1989</v>
      </c>
      <c r="O407" t="s">
        <v>446</v>
      </c>
      <c r="P407" t="s">
        <v>1990</v>
      </c>
      <c r="Q407" t="b">
        <v>1</v>
      </c>
      <c r="R407" t="b">
        <v>0</v>
      </c>
      <c r="S407" t="s">
        <v>1038</v>
      </c>
      <c r="T407" t="s">
        <v>446</v>
      </c>
      <c r="U407" t="s">
        <v>1039</v>
      </c>
      <c r="V407" t="s">
        <v>1067</v>
      </c>
      <c r="W407" t="s">
        <v>1995</v>
      </c>
      <c r="X407" t="s">
        <v>446</v>
      </c>
    </row>
    <row r="408" spans="1:24" x14ac:dyDescent="0.25">
      <c r="A408" t="s">
        <v>42</v>
      </c>
      <c r="B408" t="s">
        <v>1996</v>
      </c>
      <c r="C408" t="s">
        <v>353</v>
      </c>
      <c r="D408" t="s">
        <v>446</v>
      </c>
      <c r="E408" t="s">
        <v>1009</v>
      </c>
      <c r="F408">
        <v>0</v>
      </c>
      <c r="G408" t="s">
        <v>1233</v>
      </c>
      <c r="H408" t="s">
        <v>1985</v>
      </c>
      <c r="I408" t="s">
        <v>1986</v>
      </c>
      <c r="J408" t="s">
        <v>1422</v>
      </c>
      <c r="K408" t="s">
        <v>1987</v>
      </c>
      <c r="L408" t="s">
        <v>1988</v>
      </c>
      <c r="M408" t="s">
        <v>1062</v>
      </c>
      <c r="N408" t="s">
        <v>1989</v>
      </c>
      <c r="O408" t="s">
        <v>446</v>
      </c>
      <c r="P408" t="s">
        <v>1990</v>
      </c>
      <c r="Q408" t="b">
        <v>1</v>
      </c>
      <c r="R408" t="b">
        <v>0</v>
      </c>
      <c r="S408" t="s">
        <v>1038</v>
      </c>
      <c r="T408" t="s">
        <v>446</v>
      </c>
      <c r="U408" t="s">
        <v>1039</v>
      </c>
      <c r="V408" t="s">
        <v>1067</v>
      </c>
      <c r="W408" t="s">
        <v>1997</v>
      </c>
      <c r="X408" t="s">
        <v>446</v>
      </c>
    </row>
    <row r="409" spans="1:24" x14ac:dyDescent="0.25">
      <c r="A409" t="s">
        <v>42</v>
      </c>
      <c r="B409" t="s">
        <v>1998</v>
      </c>
      <c r="C409" t="s">
        <v>353</v>
      </c>
      <c r="D409" t="s">
        <v>446</v>
      </c>
      <c r="E409" t="s">
        <v>1011</v>
      </c>
      <c r="F409">
        <v>0</v>
      </c>
      <c r="G409" t="s">
        <v>1233</v>
      </c>
      <c r="H409" t="s">
        <v>1985</v>
      </c>
      <c r="I409" t="s">
        <v>1986</v>
      </c>
      <c r="J409" t="s">
        <v>1422</v>
      </c>
      <c r="K409" t="s">
        <v>1987</v>
      </c>
      <c r="L409" t="s">
        <v>1988</v>
      </c>
      <c r="M409" t="s">
        <v>1062</v>
      </c>
      <c r="N409" t="s">
        <v>1989</v>
      </c>
      <c r="O409" t="s">
        <v>446</v>
      </c>
      <c r="P409" t="s">
        <v>1990</v>
      </c>
      <c r="Q409" t="b">
        <v>1</v>
      </c>
      <c r="R409" t="b">
        <v>0</v>
      </c>
      <c r="S409" t="s">
        <v>1038</v>
      </c>
      <c r="T409" t="s">
        <v>446</v>
      </c>
      <c r="U409" t="s">
        <v>1039</v>
      </c>
      <c r="V409" t="s">
        <v>1067</v>
      </c>
      <c r="W409" t="s">
        <v>1999</v>
      </c>
      <c r="X409" t="s">
        <v>446</v>
      </c>
    </row>
    <row r="410" spans="1:24" x14ac:dyDescent="0.25">
      <c r="A410" t="s">
        <v>42</v>
      </c>
      <c r="B410" t="s">
        <v>2000</v>
      </c>
      <c r="C410" t="s">
        <v>353</v>
      </c>
      <c r="D410" t="s">
        <v>446</v>
      </c>
      <c r="E410" t="s">
        <v>1013</v>
      </c>
      <c r="F410">
        <v>0</v>
      </c>
      <c r="G410" t="s">
        <v>1233</v>
      </c>
      <c r="H410" t="s">
        <v>1985</v>
      </c>
      <c r="I410" t="s">
        <v>1986</v>
      </c>
      <c r="J410" t="s">
        <v>1422</v>
      </c>
      <c r="K410" t="s">
        <v>1987</v>
      </c>
      <c r="L410" t="s">
        <v>1988</v>
      </c>
      <c r="M410" t="s">
        <v>1062</v>
      </c>
      <c r="N410" t="s">
        <v>1989</v>
      </c>
      <c r="O410" t="s">
        <v>446</v>
      </c>
      <c r="P410" t="s">
        <v>1990</v>
      </c>
      <c r="Q410" t="b">
        <v>1</v>
      </c>
      <c r="R410" t="b">
        <v>0</v>
      </c>
      <c r="S410" t="s">
        <v>1038</v>
      </c>
      <c r="T410" t="s">
        <v>446</v>
      </c>
      <c r="U410" t="s">
        <v>1039</v>
      </c>
      <c r="V410" t="s">
        <v>1067</v>
      </c>
      <c r="W410" t="s">
        <v>2001</v>
      </c>
      <c r="X410" t="s">
        <v>446</v>
      </c>
    </row>
    <row r="411" spans="1:24" x14ac:dyDescent="0.25">
      <c r="A411" t="s">
        <v>42</v>
      </c>
      <c r="B411" t="s">
        <v>2002</v>
      </c>
      <c r="C411" t="s">
        <v>353</v>
      </c>
      <c r="D411" t="s">
        <v>446</v>
      </c>
      <c r="E411" t="s">
        <v>1015</v>
      </c>
      <c r="F411">
        <v>0</v>
      </c>
      <c r="G411" t="s">
        <v>1233</v>
      </c>
      <c r="H411" t="s">
        <v>1985</v>
      </c>
      <c r="I411" t="s">
        <v>1986</v>
      </c>
      <c r="J411" t="s">
        <v>1422</v>
      </c>
      <c r="K411" t="s">
        <v>1987</v>
      </c>
      <c r="L411" t="s">
        <v>1988</v>
      </c>
      <c r="M411" t="s">
        <v>1062</v>
      </c>
      <c r="N411" t="s">
        <v>1989</v>
      </c>
      <c r="O411" t="s">
        <v>446</v>
      </c>
      <c r="P411" t="s">
        <v>1990</v>
      </c>
      <c r="Q411" t="b">
        <v>1</v>
      </c>
      <c r="R411" t="b">
        <v>0</v>
      </c>
      <c r="S411" t="s">
        <v>1038</v>
      </c>
      <c r="T411" t="s">
        <v>446</v>
      </c>
      <c r="U411" t="s">
        <v>1039</v>
      </c>
      <c r="V411" t="s">
        <v>1067</v>
      </c>
      <c r="W411" t="s">
        <v>2003</v>
      </c>
      <c r="X411" t="s">
        <v>446</v>
      </c>
    </row>
    <row r="412" spans="1:24" x14ac:dyDescent="0.25">
      <c r="A412" t="s">
        <v>42</v>
      </c>
      <c r="B412" t="s">
        <v>2004</v>
      </c>
      <c r="C412" t="s">
        <v>353</v>
      </c>
      <c r="D412" t="s">
        <v>446</v>
      </c>
      <c r="E412" t="s">
        <v>1017</v>
      </c>
      <c r="F412">
        <v>0</v>
      </c>
      <c r="G412" t="s">
        <v>1233</v>
      </c>
      <c r="H412" t="s">
        <v>1985</v>
      </c>
      <c r="I412" t="s">
        <v>1986</v>
      </c>
      <c r="J412" t="s">
        <v>1422</v>
      </c>
      <c r="K412" t="s">
        <v>1987</v>
      </c>
      <c r="L412" t="s">
        <v>1988</v>
      </c>
      <c r="M412" t="s">
        <v>1062</v>
      </c>
      <c r="N412" t="s">
        <v>1989</v>
      </c>
      <c r="O412" t="s">
        <v>446</v>
      </c>
      <c r="P412" t="s">
        <v>1990</v>
      </c>
      <c r="Q412" t="b">
        <v>1</v>
      </c>
      <c r="R412" t="b">
        <v>0</v>
      </c>
      <c r="S412" t="s">
        <v>1038</v>
      </c>
      <c r="T412" t="s">
        <v>446</v>
      </c>
      <c r="U412" t="s">
        <v>1039</v>
      </c>
      <c r="V412" t="s">
        <v>1067</v>
      </c>
      <c r="W412" t="s">
        <v>2005</v>
      </c>
      <c r="X412" t="s">
        <v>446</v>
      </c>
    </row>
    <row r="413" spans="1:24" x14ac:dyDescent="0.25">
      <c r="A413" t="s">
        <v>42</v>
      </c>
      <c r="B413" t="s">
        <v>2006</v>
      </c>
      <c r="C413" t="s">
        <v>353</v>
      </c>
      <c r="D413" t="s">
        <v>446</v>
      </c>
      <c r="E413" t="s">
        <v>1019</v>
      </c>
      <c r="F413">
        <v>0</v>
      </c>
      <c r="G413" t="s">
        <v>1233</v>
      </c>
      <c r="H413" t="s">
        <v>1985</v>
      </c>
      <c r="I413" t="s">
        <v>1986</v>
      </c>
      <c r="J413" t="s">
        <v>1422</v>
      </c>
      <c r="K413" t="s">
        <v>1987</v>
      </c>
      <c r="L413" t="s">
        <v>1988</v>
      </c>
      <c r="M413" t="s">
        <v>1062</v>
      </c>
      <c r="N413" t="s">
        <v>1989</v>
      </c>
      <c r="O413" t="s">
        <v>446</v>
      </c>
      <c r="P413" t="s">
        <v>1990</v>
      </c>
      <c r="Q413" t="b">
        <v>1</v>
      </c>
      <c r="R413" t="b">
        <v>0</v>
      </c>
      <c r="S413" t="s">
        <v>1038</v>
      </c>
      <c r="T413" t="s">
        <v>446</v>
      </c>
      <c r="U413" t="s">
        <v>1039</v>
      </c>
      <c r="V413" t="s">
        <v>1067</v>
      </c>
      <c r="W413" t="s">
        <v>2007</v>
      </c>
      <c r="X413" t="s">
        <v>446</v>
      </c>
    </row>
    <row r="414" spans="1:24" x14ac:dyDescent="0.25">
      <c r="A414" t="s">
        <v>42</v>
      </c>
      <c r="B414" t="s">
        <v>2008</v>
      </c>
      <c r="C414" t="s">
        <v>353</v>
      </c>
      <c r="D414" t="s">
        <v>446</v>
      </c>
      <c r="E414" t="s">
        <v>1021</v>
      </c>
      <c r="F414">
        <v>0</v>
      </c>
      <c r="G414" t="s">
        <v>1233</v>
      </c>
      <c r="H414" t="s">
        <v>1985</v>
      </c>
      <c r="I414" t="s">
        <v>1986</v>
      </c>
      <c r="J414" t="s">
        <v>1422</v>
      </c>
      <c r="K414" t="s">
        <v>1987</v>
      </c>
      <c r="L414" t="s">
        <v>1988</v>
      </c>
      <c r="M414" t="s">
        <v>1062</v>
      </c>
      <c r="N414" t="s">
        <v>1989</v>
      </c>
      <c r="O414" t="s">
        <v>446</v>
      </c>
      <c r="P414" t="s">
        <v>1990</v>
      </c>
      <c r="Q414" t="b">
        <v>1</v>
      </c>
      <c r="R414" t="b">
        <v>0</v>
      </c>
      <c r="S414" t="s">
        <v>1038</v>
      </c>
      <c r="T414" t="s">
        <v>446</v>
      </c>
      <c r="U414" t="s">
        <v>1039</v>
      </c>
      <c r="V414" t="s">
        <v>1067</v>
      </c>
      <c r="W414" t="s">
        <v>2009</v>
      </c>
      <c r="X414" t="s">
        <v>446</v>
      </c>
    </row>
    <row r="415" spans="1:24" x14ac:dyDescent="0.25">
      <c r="A415" t="s">
        <v>42</v>
      </c>
      <c r="B415" t="s">
        <v>2010</v>
      </c>
      <c r="C415" t="s">
        <v>353</v>
      </c>
      <c r="D415" t="s">
        <v>446</v>
      </c>
      <c r="E415" t="s">
        <v>1023</v>
      </c>
      <c r="F415">
        <v>0</v>
      </c>
      <c r="G415" t="s">
        <v>1233</v>
      </c>
      <c r="H415" t="s">
        <v>1985</v>
      </c>
      <c r="I415" t="s">
        <v>1986</v>
      </c>
      <c r="J415" t="s">
        <v>1422</v>
      </c>
      <c r="K415" t="s">
        <v>1987</v>
      </c>
      <c r="L415" t="s">
        <v>1988</v>
      </c>
      <c r="M415" t="s">
        <v>1062</v>
      </c>
      <c r="N415" t="s">
        <v>1989</v>
      </c>
      <c r="O415" t="s">
        <v>446</v>
      </c>
      <c r="P415" t="s">
        <v>1990</v>
      </c>
      <c r="Q415" t="b">
        <v>1</v>
      </c>
      <c r="R415" t="b">
        <v>0</v>
      </c>
      <c r="S415" t="s">
        <v>1038</v>
      </c>
      <c r="T415" t="s">
        <v>446</v>
      </c>
      <c r="U415" t="s">
        <v>1039</v>
      </c>
      <c r="V415" t="s">
        <v>1067</v>
      </c>
      <c r="W415" t="s">
        <v>2011</v>
      </c>
      <c r="X415" t="s">
        <v>446</v>
      </c>
    </row>
    <row r="416" spans="1:24" x14ac:dyDescent="0.25">
      <c r="A416" t="s">
        <v>42</v>
      </c>
      <c r="B416" t="s">
        <v>2012</v>
      </c>
      <c r="C416" t="s">
        <v>353</v>
      </c>
      <c r="D416" t="s">
        <v>446</v>
      </c>
      <c r="E416" t="s">
        <v>1025</v>
      </c>
      <c r="F416">
        <v>0</v>
      </c>
      <c r="G416" t="s">
        <v>1233</v>
      </c>
      <c r="H416" t="s">
        <v>1985</v>
      </c>
      <c r="I416" t="s">
        <v>1986</v>
      </c>
      <c r="J416" t="s">
        <v>1422</v>
      </c>
      <c r="K416" t="s">
        <v>1987</v>
      </c>
      <c r="L416" t="s">
        <v>1988</v>
      </c>
      <c r="M416" t="s">
        <v>1062</v>
      </c>
      <c r="N416" t="s">
        <v>1989</v>
      </c>
      <c r="O416" t="s">
        <v>446</v>
      </c>
      <c r="P416" t="s">
        <v>1990</v>
      </c>
      <c r="Q416" t="b">
        <v>1</v>
      </c>
      <c r="R416" t="b">
        <v>0</v>
      </c>
      <c r="S416" t="s">
        <v>1038</v>
      </c>
      <c r="T416" t="s">
        <v>446</v>
      </c>
      <c r="U416" t="s">
        <v>1039</v>
      </c>
      <c r="V416" t="s">
        <v>1067</v>
      </c>
      <c r="W416" t="s">
        <v>2013</v>
      </c>
      <c r="X416" t="s">
        <v>446</v>
      </c>
    </row>
    <row r="417" spans="1:24" x14ac:dyDescent="0.25">
      <c r="A417" t="s">
        <v>42</v>
      </c>
      <c r="B417" t="s">
        <v>2014</v>
      </c>
      <c r="C417" t="s">
        <v>353</v>
      </c>
      <c r="D417" t="s">
        <v>446</v>
      </c>
      <c r="E417" t="s">
        <v>1027</v>
      </c>
      <c r="F417">
        <v>0</v>
      </c>
      <c r="G417" t="s">
        <v>1233</v>
      </c>
      <c r="H417" t="s">
        <v>1985</v>
      </c>
      <c r="I417" t="s">
        <v>1986</v>
      </c>
      <c r="J417" t="s">
        <v>1422</v>
      </c>
      <c r="K417" t="s">
        <v>1987</v>
      </c>
      <c r="L417" t="s">
        <v>1988</v>
      </c>
      <c r="M417" t="s">
        <v>1062</v>
      </c>
      <c r="N417" t="s">
        <v>1989</v>
      </c>
      <c r="O417" t="s">
        <v>446</v>
      </c>
      <c r="P417" t="s">
        <v>1990</v>
      </c>
      <c r="Q417" t="b">
        <v>1</v>
      </c>
      <c r="R417" t="b">
        <v>0</v>
      </c>
      <c r="S417" t="s">
        <v>1038</v>
      </c>
      <c r="T417" t="s">
        <v>446</v>
      </c>
      <c r="U417" t="s">
        <v>1039</v>
      </c>
      <c r="V417" t="s">
        <v>1067</v>
      </c>
      <c r="W417" t="s">
        <v>2015</v>
      </c>
      <c r="X417" t="s">
        <v>446</v>
      </c>
    </row>
    <row r="418" spans="1:24" x14ac:dyDescent="0.25">
      <c r="A418" t="s">
        <v>42</v>
      </c>
      <c r="B418" t="s">
        <v>2016</v>
      </c>
      <c r="C418" t="s">
        <v>353</v>
      </c>
      <c r="D418" t="s">
        <v>446</v>
      </c>
      <c r="E418" t="s">
        <v>1131</v>
      </c>
      <c r="F418">
        <v>0</v>
      </c>
      <c r="G418" t="s">
        <v>1233</v>
      </c>
      <c r="H418" t="s">
        <v>1985</v>
      </c>
      <c r="I418" t="s">
        <v>1986</v>
      </c>
      <c r="J418" t="s">
        <v>1422</v>
      </c>
      <c r="K418" t="s">
        <v>1987</v>
      </c>
      <c r="L418" t="s">
        <v>1988</v>
      </c>
      <c r="M418" t="s">
        <v>1062</v>
      </c>
      <c r="N418" t="s">
        <v>1989</v>
      </c>
      <c r="O418" t="s">
        <v>446</v>
      </c>
      <c r="P418" t="s">
        <v>1990</v>
      </c>
      <c r="Q418" t="b">
        <v>1</v>
      </c>
      <c r="R418" t="b">
        <v>0</v>
      </c>
      <c r="S418" t="s">
        <v>1038</v>
      </c>
      <c r="T418" t="s">
        <v>446</v>
      </c>
      <c r="U418" t="s">
        <v>1039</v>
      </c>
      <c r="V418" t="s">
        <v>1067</v>
      </c>
      <c r="W418" t="s">
        <v>2017</v>
      </c>
      <c r="X418" t="s">
        <v>446</v>
      </c>
    </row>
    <row r="419" spans="1:24" x14ac:dyDescent="0.25">
      <c r="A419" t="s">
        <v>42</v>
      </c>
      <c r="B419" t="s">
        <v>2018</v>
      </c>
      <c r="C419" t="s">
        <v>354</v>
      </c>
      <c r="D419" t="s">
        <v>446</v>
      </c>
      <c r="E419" t="s">
        <v>998</v>
      </c>
      <c r="F419">
        <v>-64</v>
      </c>
      <c r="G419" t="s">
        <v>1029</v>
      </c>
      <c r="H419" t="s">
        <v>2019</v>
      </c>
      <c r="I419" t="s">
        <v>2020</v>
      </c>
      <c r="J419" t="s">
        <v>1422</v>
      </c>
      <c r="K419" t="s">
        <v>1032</v>
      </c>
      <c r="L419" t="s">
        <v>1033</v>
      </c>
      <c r="M419" t="s">
        <v>1034</v>
      </c>
      <c r="N419" t="s">
        <v>1035</v>
      </c>
      <c r="O419" t="s">
        <v>446</v>
      </c>
      <c r="P419" t="s">
        <v>1037</v>
      </c>
      <c r="Q419" t="b">
        <v>1</v>
      </c>
      <c r="R419" t="b">
        <v>0</v>
      </c>
      <c r="S419" t="s">
        <v>1038</v>
      </c>
      <c r="T419" t="s">
        <v>446</v>
      </c>
      <c r="U419" t="s">
        <v>1039</v>
      </c>
      <c r="V419" t="s">
        <v>1002</v>
      </c>
      <c r="W419" t="s">
        <v>1040</v>
      </c>
      <c r="X419" t="s">
        <v>2021</v>
      </c>
    </row>
    <row r="420" spans="1:24" x14ac:dyDescent="0.25">
      <c r="A420" t="s">
        <v>42</v>
      </c>
      <c r="B420" t="s">
        <v>2022</v>
      </c>
      <c r="C420" t="s">
        <v>354</v>
      </c>
      <c r="D420" t="s">
        <v>446</v>
      </c>
      <c r="E420" t="s">
        <v>1005</v>
      </c>
      <c r="F420">
        <v>-90</v>
      </c>
      <c r="G420" t="s">
        <v>1029</v>
      </c>
      <c r="H420" t="s">
        <v>2023</v>
      </c>
      <c r="I420" t="s">
        <v>2020</v>
      </c>
      <c r="J420" t="s">
        <v>1422</v>
      </c>
      <c r="K420" t="s">
        <v>1044</v>
      </c>
      <c r="L420" t="s">
        <v>1045</v>
      </c>
      <c r="M420" t="s">
        <v>1034</v>
      </c>
      <c r="N420" t="s">
        <v>1046</v>
      </c>
      <c r="O420" t="s">
        <v>446</v>
      </c>
      <c r="P420" t="s">
        <v>1048</v>
      </c>
      <c r="Q420" t="b">
        <v>1</v>
      </c>
      <c r="R420" t="b">
        <v>0</v>
      </c>
      <c r="S420" t="s">
        <v>1038</v>
      </c>
      <c r="T420" t="s">
        <v>446</v>
      </c>
      <c r="U420" t="s">
        <v>1039</v>
      </c>
      <c r="V420" t="s">
        <v>1002</v>
      </c>
      <c r="W420" t="s">
        <v>1040</v>
      </c>
      <c r="X420" t="s">
        <v>2021</v>
      </c>
    </row>
    <row r="421" spans="1:24" x14ac:dyDescent="0.25">
      <c r="A421" t="s">
        <v>42</v>
      </c>
      <c r="B421" t="s">
        <v>2024</v>
      </c>
      <c r="C421" t="s">
        <v>354</v>
      </c>
      <c r="D421" t="s">
        <v>446</v>
      </c>
      <c r="E421" t="s">
        <v>1007</v>
      </c>
      <c r="F421">
        <v>-123</v>
      </c>
      <c r="G421" t="s">
        <v>1029</v>
      </c>
      <c r="H421" t="s">
        <v>2025</v>
      </c>
      <c r="I421" t="s">
        <v>2020</v>
      </c>
      <c r="J421" t="s">
        <v>1422</v>
      </c>
      <c r="K421" t="s">
        <v>1051</v>
      </c>
      <c r="L421" t="s">
        <v>1052</v>
      </c>
      <c r="M421" t="s">
        <v>1034</v>
      </c>
      <c r="N421" t="s">
        <v>1053</v>
      </c>
      <c r="O421" t="s">
        <v>446</v>
      </c>
      <c r="P421" t="s">
        <v>1055</v>
      </c>
      <c r="Q421" t="b">
        <v>1</v>
      </c>
      <c r="R421" t="b">
        <v>0</v>
      </c>
      <c r="S421" t="s">
        <v>1038</v>
      </c>
      <c r="T421" t="s">
        <v>446</v>
      </c>
      <c r="U421" t="s">
        <v>1039</v>
      </c>
      <c r="V421" t="s">
        <v>1002</v>
      </c>
      <c r="W421" t="s">
        <v>1040</v>
      </c>
      <c r="X421" t="s">
        <v>2021</v>
      </c>
    </row>
    <row r="422" spans="1:24" x14ac:dyDescent="0.25">
      <c r="A422" t="s">
        <v>42</v>
      </c>
      <c r="B422" t="s">
        <v>2026</v>
      </c>
      <c r="C422" t="s">
        <v>354</v>
      </c>
      <c r="D422" t="s">
        <v>446</v>
      </c>
      <c r="E422" t="s">
        <v>1009</v>
      </c>
      <c r="F422">
        <v>-43</v>
      </c>
      <c r="G422" t="s">
        <v>1029</v>
      </c>
      <c r="H422" t="s">
        <v>2027</v>
      </c>
      <c r="I422" t="s">
        <v>2020</v>
      </c>
      <c r="J422" t="s">
        <v>1422</v>
      </c>
      <c r="K422" t="s">
        <v>1060</v>
      </c>
      <c r="L422" t="s">
        <v>1061</v>
      </c>
      <c r="M422" t="s">
        <v>1062</v>
      </c>
      <c r="N422" t="s">
        <v>1063</v>
      </c>
      <c r="O422" t="s">
        <v>446</v>
      </c>
      <c r="P422" t="s">
        <v>1064</v>
      </c>
      <c r="Q422" t="b">
        <v>1</v>
      </c>
      <c r="R422" t="b">
        <v>0</v>
      </c>
      <c r="S422" t="s">
        <v>1038</v>
      </c>
      <c r="T422" t="s">
        <v>446</v>
      </c>
      <c r="U422" t="s">
        <v>1039</v>
      </c>
      <c r="V422" t="s">
        <v>1002</v>
      </c>
      <c r="W422" t="s">
        <v>1040</v>
      </c>
      <c r="X422" t="s">
        <v>2021</v>
      </c>
    </row>
    <row r="423" spans="1:24" x14ac:dyDescent="0.25">
      <c r="A423" t="s">
        <v>42</v>
      </c>
      <c r="B423" t="s">
        <v>2028</v>
      </c>
      <c r="C423" t="s">
        <v>354</v>
      </c>
      <c r="D423" t="s">
        <v>446</v>
      </c>
      <c r="E423" t="s">
        <v>1011</v>
      </c>
      <c r="F423">
        <v>-50</v>
      </c>
      <c r="G423" t="s">
        <v>1029</v>
      </c>
      <c r="H423" t="s">
        <v>2029</v>
      </c>
      <c r="I423" t="s">
        <v>2020</v>
      </c>
      <c r="J423" t="s">
        <v>1422</v>
      </c>
      <c r="K423" t="s">
        <v>1070</v>
      </c>
      <c r="L423" t="s">
        <v>1071</v>
      </c>
      <c r="M423" t="s">
        <v>1034</v>
      </c>
      <c r="N423" t="s">
        <v>1072</v>
      </c>
      <c r="O423" t="s">
        <v>446</v>
      </c>
      <c r="P423" t="s">
        <v>1074</v>
      </c>
      <c r="Q423" t="b">
        <v>1</v>
      </c>
      <c r="R423" t="b">
        <v>0</v>
      </c>
      <c r="S423" t="s">
        <v>1038</v>
      </c>
      <c r="T423" t="s">
        <v>446</v>
      </c>
      <c r="U423" t="s">
        <v>1039</v>
      </c>
      <c r="V423" t="s">
        <v>1002</v>
      </c>
      <c r="W423" t="s">
        <v>1040</v>
      </c>
      <c r="X423" t="s">
        <v>2021</v>
      </c>
    </row>
    <row r="424" spans="1:24" x14ac:dyDescent="0.25">
      <c r="A424" t="s">
        <v>42</v>
      </c>
      <c r="B424" t="s">
        <v>2030</v>
      </c>
      <c r="C424" t="s">
        <v>354</v>
      </c>
      <c r="D424" t="s">
        <v>446</v>
      </c>
      <c r="E424" t="s">
        <v>1013</v>
      </c>
      <c r="F424">
        <v>-51</v>
      </c>
      <c r="G424" t="s">
        <v>1029</v>
      </c>
      <c r="H424" t="s">
        <v>2031</v>
      </c>
      <c r="I424" t="s">
        <v>2020</v>
      </c>
      <c r="J424" t="s">
        <v>1422</v>
      </c>
      <c r="K424" t="s">
        <v>1077</v>
      </c>
      <c r="L424" t="s">
        <v>1078</v>
      </c>
      <c r="M424" t="s">
        <v>1034</v>
      </c>
      <c r="N424" t="s">
        <v>1079</v>
      </c>
      <c r="O424" t="s">
        <v>446</v>
      </c>
      <c r="P424" t="s">
        <v>1081</v>
      </c>
      <c r="Q424" t="b">
        <v>1</v>
      </c>
      <c r="R424" t="b">
        <v>0</v>
      </c>
      <c r="S424" t="s">
        <v>1038</v>
      </c>
      <c r="T424" t="s">
        <v>446</v>
      </c>
      <c r="U424" t="s">
        <v>1039</v>
      </c>
      <c r="V424" t="s">
        <v>1002</v>
      </c>
      <c r="W424" t="s">
        <v>1040</v>
      </c>
      <c r="X424" t="s">
        <v>2021</v>
      </c>
    </row>
    <row r="425" spans="1:24" x14ac:dyDescent="0.25">
      <c r="A425" t="s">
        <v>42</v>
      </c>
      <c r="B425" t="s">
        <v>2032</v>
      </c>
      <c r="C425" t="s">
        <v>354</v>
      </c>
      <c r="D425" t="s">
        <v>446</v>
      </c>
      <c r="E425" t="s">
        <v>1015</v>
      </c>
      <c r="F425">
        <v>-88</v>
      </c>
      <c r="G425" t="s">
        <v>1029</v>
      </c>
      <c r="H425" t="s">
        <v>2033</v>
      </c>
      <c r="I425" t="s">
        <v>2020</v>
      </c>
      <c r="J425" t="s">
        <v>1422</v>
      </c>
      <c r="K425" t="s">
        <v>1084</v>
      </c>
      <c r="L425" t="s">
        <v>1085</v>
      </c>
      <c r="M425" t="s">
        <v>1034</v>
      </c>
      <c r="N425" t="s">
        <v>1086</v>
      </c>
      <c r="O425" t="s">
        <v>446</v>
      </c>
      <c r="P425" t="s">
        <v>1088</v>
      </c>
      <c r="Q425" t="b">
        <v>1</v>
      </c>
      <c r="R425" t="b">
        <v>0</v>
      </c>
      <c r="S425" t="s">
        <v>1038</v>
      </c>
      <c r="T425" t="s">
        <v>446</v>
      </c>
      <c r="U425" t="s">
        <v>1039</v>
      </c>
      <c r="V425" t="s">
        <v>1002</v>
      </c>
      <c r="W425" t="s">
        <v>1040</v>
      </c>
      <c r="X425" t="s">
        <v>2021</v>
      </c>
    </row>
    <row r="426" spans="1:24" x14ac:dyDescent="0.25">
      <c r="A426" t="s">
        <v>42</v>
      </c>
      <c r="B426" t="s">
        <v>2034</v>
      </c>
      <c r="C426" t="s">
        <v>354</v>
      </c>
      <c r="D426" t="s">
        <v>446</v>
      </c>
      <c r="E426" t="s">
        <v>1017</v>
      </c>
      <c r="F426">
        <v>27</v>
      </c>
      <c r="G426" t="s">
        <v>1029</v>
      </c>
      <c r="H426" t="s">
        <v>2035</v>
      </c>
      <c r="I426" t="s">
        <v>2020</v>
      </c>
      <c r="J426" t="s">
        <v>1422</v>
      </c>
      <c r="K426" t="s">
        <v>1091</v>
      </c>
      <c r="L426" t="s">
        <v>1092</v>
      </c>
      <c r="M426" t="s">
        <v>1062</v>
      </c>
      <c r="N426" t="s">
        <v>1093</v>
      </c>
      <c r="O426" t="s">
        <v>446</v>
      </c>
      <c r="P426" t="s">
        <v>1094</v>
      </c>
      <c r="Q426" t="b">
        <v>1</v>
      </c>
      <c r="R426" t="b">
        <v>0</v>
      </c>
      <c r="S426" t="s">
        <v>1038</v>
      </c>
      <c r="T426" t="s">
        <v>446</v>
      </c>
      <c r="U426" t="s">
        <v>1039</v>
      </c>
      <c r="V426" t="s">
        <v>1002</v>
      </c>
      <c r="W426" t="s">
        <v>1040</v>
      </c>
      <c r="X426" t="s">
        <v>2021</v>
      </c>
    </row>
    <row r="427" spans="1:24" x14ac:dyDescent="0.25">
      <c r="A427" t="s">
        <v>42</v>
      </c>
      <c r="B427" t="s">
        <v>2036</v>
      </c>
      <c r="C427" t="s">
        <v>354</v>
      </c>
      <c r="D427" t="s">
        <v>446</v>
      </c>
      <c r="E427" t="s">
        <v>1019</v>
      </c>
      <c r="F427">
        <v>-109</v>
      </c>
      <c r="G427" t="s">
        <v>1029</v>
      </c>
      <c r="H427" t="s">
        <v>2037</v>
      </c>
      <c r="I427" t="s">
        <v>2020</v>
      </c>
      <c r="J427" t="s">
        <v>1422</v>
      </c>
      <c r="K427" t="s">
        <v>1097</v>
      </c>
      <c r="L427" t="s">
        <v>1098</v>
      </c>
      <c r="M427" t="s">
        <v>1034</v>
      </c>
      <c r="N427" t="s">
        <v>1099</v>
      </c>
      <c r="O427" t="s">
        <v>446</v>
      </c>
      <c r="P427" t="s">
        <v>1101</v>
      </c>
      <c r="Q427" t="b">
        <v>1</v>
      </c>
      <c r="R427" t="b">
        <v>0</v>
      </c>
      <c r="S427" t="s">
        <v>1038</v>
      </c>
      <c r="T427" t="s">
        <v>446</v>
      </c>
      <c r="U427" t="s">
        <v>1039</v>
      </c>
      <c r="V427" t="s">
        <v>1002</v>
      </c>
      <c r="W427" t="s">
        <v>1040</v>
      </c>
      <c r="X427" t="s">
        <v>2021</v>
      </c>
    </row>
    <row r="428" spans="1:24" x14ac:dyDescent="0.25">
      <c r="A428" t="s">
        <v>42</v>
      </c>
      <c r="B428" t="s">
        <v>2038</v>
      </c>
      <c r="C428" t="s">
        <v>354</v>
      </c>
      <c r="D428" t="s">
        <v>446</v>
      </c>
      <c r="E428" t="s">
        <v>1021</v>
      </c>
      <c r="F428">
        <v>56</v>
      </c>
      <c r="G428" t="s">
        <v>1029</v>
      </c>
      <c r="H428" t="s">
        <v>2039</v>
      </c>
      <c r="I428" t="s">
        <v>2020</v>
      </c>
      <c r="J428" t="s">
        <v>1422</v>
      </c>
      <c r="K428" t="s">
        <v>1105</v>
      </c>
      <c r="L428" t="s">
        <v>1106</v>
      </c>
      <c r="M428" t="s">
        <v>1034</v>
      </c>
      <c r="N428" t="s">
        <v>1107</v>
      </c>
      <c r="O428" t="s">
        <v>446</v>
      </c>
      <c r="P428" t="s">
        <v>1109</v>
      </c>
      <c r="Q428" t="b">
        <v>1</v>
      </c>
      <c r="R428" t="b">
        <v>0</v>
      </c>
      <c r="S428" t="s">
        <v>1038</v>
      </c>
      <c r="T428" t="s">
        <v>446</v>
      </c>
      <c r="U428" t="s">
        <v>1039</v>
      </c>
      <c r="V428" t="s">
        <v>1002</v>
      </c>
      <c r="W428" t="s">
        <v>1040</v>
      </c>
      <c r="X428" t="s">
        <v>2021</v>
      </c>
    </row>
    <row r="429" spans="1:24" x14ac:dyDescent="0.25">
      <c r="A429" t="s">
        <v>42</v>
      </c>
      <c r="B429" t="s">
        <v>2040</v>
      </c>
      <c r="C429" t="s">
        <v>354</v>
      </c>
      <c r="D429" t="s">
        <v>446</v>
      </c>
      <c r="E429" t="s">
        <v>1023</v>
      </c>
      <c r="F429">
        <v>103</v>
      </c>
      <c r="G429" t="s">
        <v>1029</v>
      </c>
      <c r="H429" t="s">
        <v>2041</v>
      </c>
      <c r="I429" t="s">
        <v>2020</v>
      </c>
      <c r="J429" t="s">
        <v>1422</v>
      </c>
      <c r="K429" t="s">
        <v>1112</v>
      </c>
      <c r="L429" t="s">
        <v>1113</v>
      </c>
      <c r="M429" t="s">
        <v>1034</v>
      </c>
      <c r="N429" t="s">
        <v>1114</v>
      </c>
      <c r="O429" t="s">
        <v>446</v>
      </c>
      <c r="P429" t="s">
        <v>1116</v>
      </c>
      <c r="Q429" t="b">
        <v>1</v>
      </c>
      <c r="R429" t="b">
        <v>0</v>
      </c>
      <c r="S429" t="s">
        <v>1038</v>
      </c>
      <c r="T429" t="s">
        <v>446</v>
      </c>
      <c r="U429" t="s">
        <v>1039</v>
      </c>
      <c r="V429" t="s">
        <v>1002</v>
      </c>
      <c r="W429" t="s">
        <v>1040</v>
      </c>
      <c r="X429" t="s">
        <v>2021</v>
      </c>
    </row>
    <row r="430" spans="1:24" x14ac:dyDescent="0.25">
      <c r="A430" t="s">
        <v>42</v>
      </c>
      <c r="B430" t="s">
        <v>2042</v>
      </c>
      <c r="C430" t="s">
        <v>354</v>
      </c>
      <c r="D430" t="s">
        <v>446</v>
      </c>
      <c r="E430" t="s">
        <v>1025</v>
      </c>
      <c r="F430">
        <v>28</v>
      </c>
      <c r="G430" t="s">
        <v>1029</v>
      </c>
      <c r="H430" t="s">
        <v>2043</v>
      </c>
      <c r="I430" t="s">
        <v>2020</v>
      </c>
      <c r="J430" t="s">
        <v>1422</v>
      </c>
      <c r="K430" t="s">
        <v>1119</v>
      </c>
      <c r="L430" t="s">
        <v>1120</v>
      </c>
      <c r="M430" t="s">
        <v>1062</v>
      </c>
      <c r="N430" t="s">
        <v>1121</v>
      </c>
      <c r="O430" t="s">
        <v>446</v>
      </c>
      <c r="P430" t="s">
        <v>1122</v>
      </c>
      <c r="Q430" t="b">
        <v>1</v>
      </c>
      <c r="R430" t="b">
        <v>0</v>
      </c>
      <c r="S430" t="s">
        <v>1038</v>
      </c>
      <c r="T430" t="s">
        <v>446</v>
      </c>
      <c r="U430" t="s">
        <v>1039</v>
      </c>
      <c r="V430" t="s">
        <v>1002</v>
      </c>
      <c r="W430" t="s">
        <v>1040</v>
      </c>
      <c r="X430" t="s">
        <v>2021</v>
      </c>
    </row>
    <row r="431" spans="1:24" x14ac:dyDescent="0.25">
      <c r="A431" t="s">
        <v>42</v>
      </c>
      <c r="B431" t="s">
        <v>2044</v>
      </c>
      <c r="C431" t="s">
        <v>354</v>
      </c>
      <c r="E431" t="s">
        <v>1027</v>
      </c>
      <c r="F431">
        <v>186</v>
      </c>
      <c r="G431" t="s">
        <v>1057</v>
      </c>
      <c r="H431" t="s">
        <v>2045</v>
      </c>
      <c r="I431" t="s">
        <v>2020</v>
      </c>
      <c r="J431" t="s">
        <v>1422</v>
      </c>
      <c r="K431" t="s">
        <v>1125</v>
      </c>
      <c r="L431" t="s">
        <v>1126</v>
      </c>
      <c r="M431" t="s">
        <v>1034</v>
      </c>
      <c r="N431" t="s">
        <v>1127</v>
      </c>
      <c r="O431" t="s">
        <v>446</v>
      </c>
      <c r="P431" t="s">
        <v>1129</v>
      </c>
      <c r="Q431" t="b">
        <v>1</v>
      </c>
      <c r="R431" t="b">
        <v>0</v>
      </c>
      <c r="S431" t="s">
        <v>1102</v>
      </c>
      <c r="T431" t="s">
        <v>446</v>
      </c>
      <c r="U431" t="s">
        <v>1066</v>
      </c>
      <c r="V431" t="s">
        <v>1002</v>
      </c>
      <c r="W431" t="s">
        <v>1040</v>
      </c>
      <c r="X431" t="s">
        <v>2021</v>
      </c>
    </row>
    <row r="432" spans="1:24" x14ac:dyDescent="0.25">
      <c r="A432" t="s">
        <v>42</v>
      </c>
      <c r="B432" t="s">
        <v>2046</v>
      </c>
      <c r="C432" t="s">
        <v>354</v>
      </c>
      <c r="E432" t="s">
        <v>1131</v>
      </c>
      <c r="F432">
        <v>170</v>
      </c>
      <c r="G432" t="s">
        <v>1057</v>
      </c>
      <c r="H432" t="s">
        <v>2047</v>
      </c>
      <c r="I432" t="s">
        <v>2020</v>
      </c>
      <c r="J432" t="s">
        <v>1422</v>
      </c>
      <c r="K432" t="s">
        <v>1133</v>
      </c>
      <c r="L432" t="s">
        <v>1134</v>
      </c>
      <c r="M432" t="s">
        <v>1034</v>
      </c>
      <c r="N432" t="s">
        <v>1135</v>
      </c>
      <c r="O432" t="s">
        <v>446</v>
      </c>
      <c r="P432" t="s">
        <v>1137</v>
      </c>
      <c r="Q432" t="b">
        <v>1</v>
      </c>
      <c r="R432" t="b">
        <v>0</v>
      </c>
      <c r="S432" t="s">
        <v>1102</v>
      </c>
      <c r="T432" t="s">
        <v>446</v>
      </c>
      <c r="U432" t="s">
        <v>1066</v>
      </c>
      <c r="V432" t="s">
        <v>1002</v>
      </c>
      <c r="W432" t="s">
        <v>1040</v>
      </c>
      <c r="X432" t="s">
        <v>2021</v>
      </c>
    </row>
    <row r="433" spans="1:24" x14ac:dyDescent="0.25">
      <c r="A433" t="s">
        <v>42</v>
      </c>
      <c r="B433" t="s">
        <v>2048</v>
      </c>
      <c r="C433" t="s">
        <v>405</v>
      </c>
      <c r="D433" t="s">
        <v>403</v>
      </c>
      <c r="E433" t="s">
        <v>998</v>
      </c>
      <c r="F433">
        <v>578</v>
      </c>
      <c r="G433" t="s">
        <v>1451</v>
      </c>
      <c r="H433" t="s">
        <v>2049</v>
      </c>
      <c r="I433" t="s">
        <v>2050</v>
      </c>
      <c r="J433" t="s">
        <v>2051</v>
      </c>
      <c r="K433" t="s">
        <v>1032</v>
      </c>
      <c r="L433" t="s">
        <v>1033</v>
      </c>
      <c r="M433" t="s">
        <v>1034</v>
      </c>
      <c r="N433" t="s">
        <v>1035</v>
      </c>
      <c r="O433" t="s">
        <v>1036</v>
      </c>
      <c r="P433" t="s">
        <v>1037</v>
      </c>
      <c r="Q433" t="b">
        <v>1</v>
      </c>
      <c r="R433" t="b">
        <v>0</v>
      </c>
      <c r="S433" t="s">
        <v>1001</v>
      </c>
      <c r="T433" t="s">
        <v>2052</v>
      </c>
      <c r="U433" t="s">
        <v>1455</v>
      </c>
      <c r="V433" t="s">
        <v>1456</v>
      </c>
      <c r="W433" t="s">
        <v>2053</v>
      </c>
      <c r="X433" t="s">
        <v>2054</v>
      </c>
    </row>
    <row r="434" spans="1:24" x14ac:dyDescent="0.25">
      <c r="A434" t="s">
        <v>42</v>
      </c>
      <c r="B434" t="s">
        <v>2055</v>
      </c>
      <c r="C434" t="s">
        <v>405</v>
      </c>
      <c r="D434" t="s">
        <v>403</v>
      </c>
      <c r="E434" t="s">
        <v>1005</v>
      </c>
      <c r="F434">
        <v>648</v>
      </c>
      <c r="G434" t="s">
        <v>1451</v>
      </c>
      <c r="H434" t="s">
        <v>2056</v>
      </c>
      <c r="I434" t="s">
        <v>2057</v>
      </c>
      <c r="J434" t="s">
        <v>2051</v>
      </c>
      <c r="K434" t="s">
        <v>1044</v>
      </c>
      <c r="L434" t="s">
        <v>1045</v>
      </c>
      <c r="M434" t="s">
        <v>1034</v>
      </c>
      <c r="N434" t="s">
        <v>1046</v>
      </c>
      <c r="O434" t="s">
        <v>1036</v>
      </c>
      <c r="P434" t="s">
        <v>1048</v>
      </c>
      <c r="Q434" t="b">
        <v>0</v>
      </c>
      <c r="R434" t="b">
        <v>1</v>
      </c>
      <c r="S434" t="s">
        <v>1633</v>
      </c>
      <c r="T434" t="s">
        <v>2052</v>
      </c>
      <c r="U434" t="s">
        <v>1455</v>
      </c>
      <c r="V434" t="s">
        <v>1456</v>
      </c>
      <c r="W434" t="s">
        <v>2053</v>
      </c>
      <c r="X434" t="s">
        <v>446</v>
      </c>
    </row>
    <row r="435" spans="1:24" x14ac:dyDescent="0.25">
      <c r="A435" t="s">
        <v>42</v>
      </c>
      <c r="B435" t="s">
        <v>2058</v>
      </c>
      <c r="C435" t="s">
        <v>405</v>
      </c>
      <c r="D435" t="s">
        <v>403</v>
      </c>
      <c r="E435" t="s">
        <v>1007</v>
      </c>
      <c r="F435">
        <v>745</v>
      </c>
      <c r="G435" t="s">
        <v>1451</v>
      </c>
      <c r="H435" t="s">
        <v>2059</v>
      </c>
      <c r="I435" t="s">
        <v>2060</v>
      </c>
      <c r="J435" t="s">
        <v>2051</v>
      </c>
      <c r="K435" t="s">
        <v>1051</v>
      </c>
      <c r="L435" t="s">
        <v>1052</v>
      </c>
      <c r="M435" t="s">
        <v>1034</v>
      </c>
      <c r="N435" t="s">
        <v>1053</v>
      </c>
      <c r="O435" t="s">
        <v>1036</v>
      </c>
      <c r="P435" t="s">
        <v>1055</v>
      </c>
      <c r="Q435" t="b">
        <v>0</v>
      </c>
      <c r="R435" t="b">
        <v>1</v>
      </c>
      <c r="S435" t="s">
        <v>1633</v>
      </c>
      <c r="T435" t="s">
        <v>2052</v>
      </c>
      <c r="U435" t="s">
        <v>1455</v>
      </c>
      <c r="V435" t="s">
        <v>1456</v>
      </c>
      <c r="W435" t="s">
        <v>2053</v>
      </c>
      <c r="X435" t="s">
        <v>446</v>
      </c>
    </row>
    <row r="436" spans="1:24" x14ac:dyDescent="0.25">
      <c r="A436" t="s">
        <v>42</v>
      </c>
      <c r="B436" t="s">
        <v>2061</v>
      </c>
      <c r="C436" t="s">
        <v>405</v>
      </c>
      <c r="D436" t="s">
        <v>403</v>
      </c>
      <c r="E436" t="s">
        <v>1009</v>
      </c>
      <c r="F436">
        <v>738</v>
      </c>
      <c r="G436" t="s">
        <v>1451</v>
      </c>
      <c r="H436" t="s">
        <v>2062</v>
      </c>
      <c r="I436" t="s">
        <v>2063</v>
      </c>
      <c r="J436" t="s">
        <v>2051</v>
      </c>
      <c r="K436" t="s">
        <v>1060</v>
      </c>
      <c r="L436" t="s">
        <v>1061</v>
      </c>
      <c r="M436" t="s">
        <v>1062</v>
      </c>
      <c r="N436" t="s">
        <v>1063</v>
      </c>
      <c r="O436" t="s">
        <v>1036</v>
      </c>
      <c r="P436" t="s">
        <v>1064</v>
      </c>
      <c r="Q436" t="b">
        <v>1</v>
      </c>
      <c r="R436" t="b">
        <v>0</v>
      </c>
      <c r="S436" t="s">
        <v>1001</v>
      </c>
      <c r="T436" t="s">
        <v>2052</v>
      </c>
      <c r="U436" t="s">
        <v>1455</v>
      </c>
      <c r="V436" t="s">
        <v>1456</v>
      </c>
      <c r="W436" t="s">
        <v>2053</v>
      </c>
      <c r="X436" t="s">
        <v>446</v>
      </c>
    </row>
    <row r="437" spans="1:24" x14ac:dyDescent="0.25">
      <c r="A437" t="s">
        <v>42</v>
      </c>
      <c r="B437" t="s">
        <v>2064</v>
      </c>
      <c r="C437" t="s">
        <v>405</v>
      </c>
      <c r="D437" t="s">
        <v>403</v>
      </c>
      <c r="E437" t="s">
        <v>1011</v>
      </c>
      <c r="F437">
        <v>735</v>
      </c>
      <c r="G437" t="s">
        <v>1451</v>
      </c>
      <c r="H437" t="s">
        <v>2065</v>
      </c>
      <c r="I437" t="s">
        <v>2050</v>
      </c>
      <c r="J437" t="s">
        <v>2051</v>
      </c>
      <c r="K437" t="s">
        <v>1097</v>
      </c>
      <c r="L437" t="s">
        <v>1098</v>
      </c>
      <c r="M437" t="s">
        <v>1034</v>
      </c>
      <c r="N437" t="s">
        <v>1099</v>
      </c>
      <c r="O437" t="s">
        <v>1073</v>
      </c>
      <c r="P437" t="s">
        <v>1074</v>
      </c>
      <c r="Q437" t="b">
        <v>1</v>
      </c>
      <c r="R437" t="b">
        <v>0</v>
      </c>
      <c r="S437" t="s">
        <v>1001</v>
      </c>
      <c r="T437" t="s">
        <v>2052</v>
      </c>
      <c r="U437" t="s">
        <v>1455</v>
      </c>
      <c r="V437" t="s">
        <v>1456</v>
      </c>
      <c r="W437" t="s">
        <v>2053</v>
      </c>
      <c r="X437" t="s">
        <v>2054</v>
      </c>
    </row>
    <row r="438" spans="1:24" x14ac:dyDescent="0.25">
      <c r="A438" t="s">
        <v>42</v>
      </c>
      <c r="B438" t="s">
        <v>2066</v>
      </c>
      <c r="C438" t="s">
        <v>405</v>
      </c>
      <c r="D438" t="s">
        <v>403</v>
      </c>
      <c r="E438" t="s">
        <v>1013</v>
      </c>
      <c r="F438">
        <v>841</v>
      </c>
      <c r="G438" t="s">
        <v>1451</v>
      </c>
      <c r="H438" t="s">
        <v>2067</v>
      </c>
      <c r="I438" t="s">
        <v>2057</v>
      </c>
      <c r="J438" t="s">
        <v>2051</v>
      </c>
      <c r="K438" t="s">
        <v>1077</v>
      </c>
      <c r="L438" t="s">
        <v>1078</v>
      </c>
      <c r="M438" t="s">
        <v>1034</v>
      </c>
      <c r="N438" t="s">
        <v>1079</v>
      </c>
      <c r="O438" t="s">
        <v>1073</v>
      </c>
      <c r="P438" t="s">
        <v>1081</v>
      </c>
      <c r="Q438" t="b">
        <v>0</v>
      </c>
      <c r="R438" t="b">
        <v>1</v>
      </c>
      <c r="S438" t="s">
        <v>1633</v>
      </c>
      <c r="T438" t="s">
        <v>2052</v>
      </c>
      <c r="U438" t="s">
        <v>1455</v>
      </c>
      <c r="V438" t="s">
        <v>1456</v>
      </c>
      <c r="W438" t="s">
        <v>2053</v>
      </c>
      <c r="X438" t="s">
        <v>446</v>
      </c>
    </row>
    <row r="439" spans="1:24" x14ac:dyDescent="0.25">
      <c r="A439" t="s">
        <v>42</v>
      </c>
      <c r="B439" t="s">
        <v>2068</v>
      </c>
      <c r="C439" t="s">
        <v>405</v>
      </c>
      <c r="D439" t="s">
        <v>403</v>
      </c>
      <c r="E439" t="s">
        <v>1015</v>
      </c>
      <c r="F439">
        <v>979</v>
      </c>
      <c r="G439" t="s">
        <v>1451</v>
      </c>
      <c r="H439" t="s">
        <v>2069</v>
      </c>
      <c r="I439" t="s">
        <v>2060</v>
      </c>
      <c r="J439" t="s">
        <v>2051</v>
      </c>
      <c r="K439" t="s">
        <v>1084</v>
      </c>
      <c r="L439" t="s">
        <v>1085</v>
      </c>
      <c r="M439" t="s">
        <v>1034</v>
      </c>
      <c r="N439" t="s">
        <v>1086</v>
      </c>
      <c r="O439" t="s">
        <v>1073</v>
      </c>
      <c r="P439" t="s">
        <v>1088</v>
      </c>
      <c r="Q439" t="b">
        <v>1</v>
      </c>
      <c r="R439" t="b">
        <v>0</v>
      </c>
      <c r="S439" t="s">
        <v>1001</v>
      </c>
      <c r="T439" t="s">
        <v>2052</v>
      </c>
      <c r="U439" t="s">
        <v>1455</v>
      </c>
      <c r="V439" t="s">
        <v>1456</v>
      </c>
      <c r="W439" t="s">
        <v>2053</v>
      </c>
      <c r="X439" t="s">
        <v>446</v>
      </c>
    </row>
    <row r="440" spans="1:24" x14ac:dyDescent="0.25">
      <c r="A440" t="s">
        <v>42</v>
      </c>
      <c r="B440" t="s">
        <v>2070</v>
      </c>
      <c r="C440" t="s">
        <v>405</v>
      </c>
      <c r="D440" t="s">
        <v>403</v>
      </c>
      <c r="E440" t="s">
        <v>1017</v>
      </c>
      <c r="F440">
        <v>994</v>
      </c>
      <c r="G440" t="s">
        <v>1451</v>
      </c>
      <c r="H440" t="s">
        <v>2071</v>
      </c>
      <c r="I440" t="s">
        <v>2063</v>
      </c>
      <c r="J440" t="s">
        <v>2051</v>
      </c>
      <c r="K440" t="s">
        <v>1091</v>
      </c>
      <c r="L440" t="s">
        <v>1092</v>
      </c>
      <c r="M440" t="s">
        <v>1062</v>
      </c>
      <c r="N440" t="s">
        <v>1093</v>
      </c>
      <c r="O440" t="s">
        <v>1073</v>
      </c>
      <c r="P440" t="s">
        <v>1094</v>
      </c>
      <c r="Q440" t="b">
        <v>0</v>
      </c>
      <c r="R440" t="b">
        <v>1</v>
      </c>
      <c r="S440" t="s">
        <v>1633</v>
      </c>
      <c r="T440" t="s">
        <v>2052</v>
      </c>
      <c r="U440" t="s">
        <v>1455</v>
      </c>
      <c r="V440" t="s">
        <v>1456</v>
      </c>
      <c r="W440" t="s">
        <v>2053</v>
      </c>
      <c r="X440" t="s">
        <v>446</v>
      </c>
    </row>
    <row r="441" spans="1:24" x14ac:dyDescent="0.25">
      <c r="A441" t="s">
        <v>42</v>
      </c>
      <c r="B441" t="s">
        <v>2072</v>
      </c>
      <c r="C441" t="s">
        <v>405</v>
      </c>
      <c r="D441" t="s">
        <v>403</v>
      </c>
      <c r="E441" t="s">
        <v>1019</v>
      </c>
      <c r="F441">
        <v>1011</v>
      </c>
      <c r="G441" t="s">
        <v>1451</v>
      </c>
      <c r="H441" t="s">
        <v>2073</v>
      </c>
      <c r="I441" t="s">
        <v>2050</v>
      </c>
      <c r="J441" t="s">
        <v>2051</v>
      </c>
      <c r="K441" t="s">
        <v>1097</v>
      </c>
      <c r="L441" t="s">
        <v>1098</v>
      </c>
      <c r="M441" t="s">
        <v>1034</v>
      </c>
      <c r="N441" t="s">
        <v>1099</v>
      </c>
      <c r="O441" t="s">
        <v>1100</v>
      </c>
      <c r="P441" t="s">
        <v>1101</v>
      </c>
      <c r="Q441" t="b">
        <v>1</v>
      </c>
      <c r="R441" t="b">
        <v>0</v>
      </c>
      <c r="S441" t="s">
        <v>1001</v>
      </c>
      <c r="T441" t="s">
        <v>2052</v>
      </c>
      <c r="U441" t="s">
        <v>1455</v>
      </c>
      <c r="V441" t="s">
        <v>1456</v>
      </c>
      <c r="W441" t="s">
        <v>2053</v>
      </c>
      <c r="X441" t="s">
        <v>2054</v>
      </c>
    </row>
    <row r="442" spans="1:24" x14ac:dyDescent="0.25">
      <c r="A442" t="s">
        <v>42</v>
      </c>
      <c r="B442" t="s">
        <v>2074</v>
      </c>
      <c r="C442" t="s">
        <v>405</v>
      </c>
      <c r="D442" t="s">
        <v>403</v>
      </c>
      <c r="E442" t="s">
        <v>1021</v>
      </c>
      <c r="F442">
        <v>1153</v>
      </c>
      <c r="G442" t="s">
        <v>1451</v>
      </c>
      <c r="H442" t="s">
        <v>2075</v>
      </c>
      <c r="I442" t="s">
        <v>2057</v>
      </c>
      <c r="J442" t="s">
        <v>2051</v>
      </c>
      <c r="K442" t="s">
        <v>1105</v>
      </c>
      <c r="L442" t="s">
        <v>1106</v>
      </c>
      <c r="M442" t="s">
        <v>1034</v>
      </c>
      <c r="N442" t="s">
        <v>1107</v>
      </c>
      <c r="O442" t="s">
        <v>1100</v>
      </c>
      <c r="P442" t="s">
        <v>1109</v>
      </c>
      <c r="Q442" t="b">
        <v>1</v>
      </c>
      <c r="R442" t="b">
        <v>0</v>
      </c>
      <c r="S442" t="s">
        <v>1001</v>
      </c>
      <c r="T442" t="s">
        <v>2052</v>
      </c>
      <c r="U442" t="s">
        <v>1455</v>
      </c>
      <c r="V442" t="s">
        <v>1456</v>
      </c>
      <c r="W442" t="s">
        <v>2053</v>
      </c>
      <c r="X442" t="s">
        <v>446</v>
      </c>
    </row>
    <row r="443" spans="1:24" x14ac:dyDescent="0.25">
      <c r="A443" t="s">
        <v>42</v>
      </c>
      <c r="B443" t="s">
        <v>2076</v>
      </c>
      <c r="C443" t="s">
        <v>405</v>
      </c>
      <c r="D443" t="s">
        <v>403</v>
      </c>
      <c r="E443" t="s">
        <v>1023</v>
      </c>
      <c r="F443">
        <v>1252</v>
      </c>
      <c r="G443" t="s">
        <v>1451</v>
      </c>
      <c r="H443" t="s">
        <v>2077</v>
      </c>
      <c r="I443" t="s">
        <v>2060</v>
      </c>
      <c r="J443" t="s">
        <v>2051</v>
      </c>
      <c r="K443" t="s">
        <v>1112</v>
      </c>
      <c r="L443" t="s">
        <v>1113</v>
      </c>
      <c r="M443" t="s">
        <v>1034</v>
      </c>
      <c r="N443" t="s">
        <v>1114</v>
      </c>
      <c r="O443" t="s">
        <v>1100</v>
      </c>
      <c r="P443" t="s">
        <v>1116</v>
      </c>
      <c r="Q443" t="b">
        <v>1</v>
      </c>
      <c r="R443" t="b">
        <v>0</v>
      </c>
      <c r="S443" t="s">
        <v>1001</v>
      </c>
      <c r="T443" t="s">
        <v>2052</v>
      </c>
      <c r="U443" t="s">
        <v>1455</v>
      </c>
      <c r="V443" t="s">
        <v>1456</v>
      </c>
      <c r="W443" t="s">
        <v>2053</v>
      </c>
      <c r="X443" t="s">
        <v>446</v>
      </c>
    </row>
    <row r="444" spans="1:24" x14ac:dyDescent="0.25">
      <c r="A444" t="s">
        <v>42</v>
      </c>
      <c r="B444" t="s">
        <v>2078</v>
      </c>
      <c r="C444" t="s">
        <v>405</v>
      </c>
      <c r="D444" t="s">
        <v>403</v>
      </c>
      <c r="E444" t="s">
        <v>1025</v>
      </c>
      <c r="F444">
        <v>1321</v>
      </c>
      <c r="G444" t="s">
        <v>1451</v>
      </c>
      <c r="H444" t="s">
        <v>2079</v>
      </c>
      <c r="I444" t="s">
        <v>2063</v>
      </c>
      <c r="J444" t="s">
        <v>2051</v>
      </c>
      <c r="K444" t="s">
        <v>1119</v>
      </c>
      <c r="L444" t="s">
        <v>1120</v>
      </c>
      <c r="M444" t="s">
        <v>1062</v>
      </c>
      <c r="N444" t="s">
        <v>1121</v>
      </c>
      <c r="O444" t="s">
        <v>1100</v>
      </c>
      <c r="P444" t="s">
        <v>1122</v>
      </c>
      <c r="Q444" t="b">
        <v>0</v>
      </c>
      <c r="R444" t="b">
        <v>1</v>
      </c>
      <c r="S444" t="s">
        <v>1633</v>
      </c>
      <c r="T444" t="s">
        <v>2052</v>
      </c>
      <c r="U444" t="s">
        <v>1455</v>
      </c>
      <c r="V444" t="s">
        <v>1456</v>
      </c>
      <c r="W444" t="s">
        <v>2053</v>
      </c>
      <c r="X444" t="s">
        <v>446</v>
      </c>
    </row>
    <row r="445" spans="1:24" x14ac:dyDescent="0.25">
      <c r="A445" t="s">
        <v>42</v>
      </c>
      <c r="B445" t="s">
        <v>2080</v>
      </c>
      <c r="C445" t="s">
        <v>405</v>
      </c>
      <c r="D445" t="s">
        <v>403</v>
      </c>
      <c r="E445" t="s">
        <v>1027</v>
      </c>
      <c r="F445">
        <v>1474</v>
      </c>
      <c r="G445" t="s">
        <v>1451</v>
      </c>
      <c r="H445" t="s">
        <v>2081</v>
      </c>
      <c r="I445" t="s">
        <v>2050</v>
      </c>
      <c r="J445" t="s">
        <v>2051</v>
      </c>
      <c r="K445" t="s">
        <v>1125</v>
      </c>
      <c r="L445" t="s">
        <v>1126</v>
      </c>
      <c r="M445" t="s">
        <v>1034</v>
      </c>
      <c r="N445" t="s">
        <v>1127</v>
      </c>
      <c r="O445" t="s">
        <v>1128</v>
      </c>
      <c r="P445" t="s">
        <v>1129</v>
      </c>
      <c r="Q445" t="b">
        <v>1</v>
      </c>
      <c r="R445" t="b">
        <v>0</v>
      </c>
      <c r="S445" t="s">
        <v>1001</v>
      </c>
      <c r="T445" t="s">
        <v>2052</v>
      </c>
      <c r="U445" t="s">
        <v>1455</v>
      </c>
      <c r="V445" t="s">
        <v>1456</v>
      </c>
      <c r="W445" t="s">
        <v>2053</v>
      </c>
      <c r="X445" t="s">
        <v>2054</v>
      </c>
    </row>
    <row r="446" spans="1:24" x14ac:dyDescent="0.25">
      <c r="A446" t="s">
        <v>42</v>
      </c>
      <c r="B446" t="s">
        <v>2082</v>
      </c>
      <c r="C446" t="s">
        <v>405</v>
      </c>
      <c r="D446" t="s">
        <v>403</v>
      </c>
      <c r="E446" t="s">
        <v>1131</v>
      </c>
      <c r="F446">
        <v>1625</v>
      </c>
      <c r="G446" t="s">
        <v>1451</v>
      </c>
      <c r="H446" t="s">
        <v>2083</v>
      </c>
      <c r="I446" t="s">
        <v>2057</v>
      </c>
      <c r="J446" t="s">
        <v>2051</v>
      </c>
      <c r="K446" t="s">
        <v>1133</v>
      </c>
      <c r="L446" t="s">
        <v>1134</v>
      </c>
      <c r="M446" t="s">
        <v>1034</v>
      </c>
      <c r="N446" t="s">
        <v>1135</v>
      </c>
      <c r="O446" t="s">
        <v>1128</v>
      </c>
      <c r="P446" t="s">
        <v>1137</v>
      </c>
      <c r="Q446" t="b">
        <v>0</v>
      </c>
      <c r="R446" t="b">
        <v>1</v>
      </c>
      <c r="S446" t="s">
        <v>1633</v>
      </c>
      <c r="T446" t="s">
        <v>2052</v>
      </c>
      <c r="U446" t="s">
        <v>1455</v>
      </c>
      <c r="V446" t="s">
        <v>1456</v>
      </c>
      <c r="W446" t="s">
        <v>2053</v>
      </c>
      <c r="X446" t="s">
        <v>446</v>
      </c>
    </row>
    <row r="447" spans="1:24" x14ac:dyDescent="0.25">
      <c r="A447" t="s">
        <v>42</v>
      </c>
      <c r="B447" t="s">
        <v>2084</v>
      </c>
      <c r="C447" t="s">
        <v>403</v>
      </c>
      <c r="D447" t="s">
        <v>352</v>
      </c>
      <c r="E447" t="s">
        <v>998</v>
      </c>
      <c r="F447">
        <v>0</v>
      </c>
      <c r="G447" t="s">
        <v>990</v>
      </c>
      <c r="H447" t="s">
        <v>446</v>
      </c>
      <c r="I447" t="s">
        <v>446</v>
      </c>
      <c r="J447" t="s">
        <v>2051</v>
      </c>
      <c r="K447" t="s">
        <v>446</v>
      </c>
      <c r="L447" t="s">
        <v>446</v>
      </c>
      <c r="M447" t="s">
        <v>446</v>
      </c>
      <c r="N447" t="s">
        <v>446</v>
      </c>
      <c r="O447" t="s">
        <v>446</v>
      </c>
      <c r="P447" t="s">
        <v>446</v>
      </c>
      <c r="Q447" t="b">
        <v>0</v>
      </c>
      <c r="R447" t="b">
        <v>1</v>
      </c>
      <c r="S447" t="s">
        <v>1633</v>
      </c>
      <c r="T447" t="s">
        <v>2085</v>
      </c>
      <c r="U447" t="s">
        <v>1001</v>
      </c>
      <c r="V447" t="s">
        <v>1456</v>
      </c>
      <c r="W447" t="s">
        <v>2086</v>
      </c>
      <c r="X447" t="s">
        <v>446</v>
      </c>
    </row>
    <row r="448" spans="1:24" x14ac:dyDescent="0.25">
      <c r="A448" t="s">
        <v>42</v>
      </c>
      <c r="B448" t="s">
        <v>2087</v>
      </c>
      <c r="C448" t="s">
        <v>403</v>
      </c>
      <c r="D448" t="s">
        <v>352</v>
      </c>
      <c r="E448" t="s">
        <v>1005</v>
      </c>
      <c r="F448">
        <v>5405</v>
      </c>
      <c r="G448" t="s">
        <v>990</v>
      </c>
      <c r="H448" t="s">
        <v>446</v>
      </c>
      <c r="I448" t="s">
        <v>446</v>
      </c>
      <c r="J448" t="s">
        <v>2051</v>
      </c>
      <c r="K448" t="s">
        <v>446</v>
      </c>
      <c r="L448" t="s">
        <v>446</v>
      </c>
      <c r="M448" t="s">
        <v>446</v>
      </c>
      <c r="N448" t="s">
        <v>446</v>
      </c>
      <c r="O448" t="s">
        <v>446</v>
      </c>
      <c r="P448" t="s">
        <v>446</v>
      </c>
      <c r="Q448" t="b">
        <v>0</v>
      </c>
      <c r="R448" t="b">
        <v>1</v>
      </c>
      <c r="S448" t="s">
        <v>1633</v>
      </c>
      <c r="T448" t="s">
        <v>2085</v>
      </c>
      <c r="U448" t="s">
        <v>1001</v>
      </c>
      <c r="V448" t="s">
        <v>1456</v>
      </c>
      <c r="W448" t="s">
        <v>2086</v>
      </c>
      <c r="X448" t="s">
        <v>446</v>
      </c>
    </row>
    <row r="449" spans="1:24" x14ac:dyDescent="0.25">
      <c r="A449" t="s">
        <v>42</v>
      </c>
      <c r="B449" t="s">
        <v>2088</v>
      </c>
      <c r="C449" t="s">
        <v>403</v>
      </c>
      <c r="D449" t="s">
        <v>352</v>
      </c>
      <c r="E449" t="s">
        <v>1007</v>
      </c>
      <c r="F449">
        <v>5517</v>
      </c>
      <c r="G449" t="s">
        <v>990</v>
      </c>
      <c r="H449" t="s">
        <v>446</v>
      </c>
      <c r="I449" t="s">
        <v>446</v>
      </c>
      <c r="J449" t="s">
        <v>2051</v>
      </c>
      <c r="K449" t="s">
        <v>446</v>
      </c>
      <c r="L449" t="s">
        <v>446</v>
      </c>
      <c r="M449" t="s">
        <v>446</v>
      </c>
      <c r="N449" t="s">
        <v>446</v>
      </c>
      <c r="O449" t="s">
        <v>446</v>
      </c>
      <c r="P449" t="s">
        <v>446</v>
      </c>
      <c r="Q449" t="b">
        <v>0</v>
      </c>
      <c r="R449" t="b">
        <v>1</v>
      </c>
      <c r="S449" t="s">
        <v>1633</v>
      </c>
      <c r="T449" t="s">
        <v>2085</v>
      </c>
      <c r="U449" t="s">
        <v>1001</v>
      </c>
      <c r="V449" t="s">
        <v>1456</v>
      </c>
      <c r="W449" t="s">
        <v>2086</v>
      </c>
      <c r="X449" t="s">
        <v>446</v>
      </c>
    </row>
    <row r="450" spans="1:24" x14ac:dyDescent="0.25">
      <c r="A450" t="s">
        <v>42</v>
      </c>
      <c r="B450" t="s">
        <v>2089</v>
      </c>
      <c r="C450" t="s">
        <v>403</v>
      </c>
      <c r="D450" t="s">
        <v>352</v>
      </c>
      <c r="E450" t="s">
        <v>1009</v>
      </c>
      <c r="F450">
        <v>5156</v>
      </c>
      <c r="G450" t="s">
        <v>990</v>
      </c>
      <c r="H450" t="s">
        <v>446</v>
      </c>
      <c r="I450" t="s">
        <v>446</v>
      </c>
      <c r="J450" t="s">
        <v>2051</v>
      </c>
      <c r="K450" t="s">
        <v>446</v>
      </c>
      <c r="L450" t="s">
        <v>446</v>
      </c>
      <c r="M450" t="s">
        <v>446</v>
      </c>
      <c r="N450" t="s">
        <v>446</v>
      </c>
      <c r="O450" t="s">
        <v>446</v>
      </c>
      <c r="P450" t="s">
        <v>446</v>
      </c>
      <c r="Q450" t="b">
        <v>0</v>
      </c>
      <c r="R450" t="b">
        <v>1</v>
      </c>
      <c r="S450" t="s">
        <v>1633</v>
      </c>
      <c r="T450" t="s">
        <v>2085</v>
      </c>
      <c r="U450" t="s">
        <v>1001</v>
      </c>
      <c r="V450" t="s">
        <v>1456</v>
      </c>
      <c r="W450" t="s">
        <v>2086</v>
      </c>
      <c r="X450" t="s">
        <v>446</v>
      </c>
    </row>
    <row r="451" spans="1:24" x14ac:dyDescent="0.25">
      <c r="A451" t="s">
        <v>42</v>
      </c>
      <c r="B451" t="s">
        <v>2090</v>
      </c>
      <c r="C451" t="s">
        <v>403</v>
      </c>
      <c r="D451" t="s">
        <v>352</v>
      </c>
      <c r="E451" t="s">
        <v>1011</v>
      </c>
      <c r="F451">
        <v>3452</v>
      </c>
      <c r="G451" t="s">
        <v>990</v>
      </c>
      <c r="H451" t="s">
        <v>446</v>
      </c>
      <c r="I451" t="s">
        <v>446</v>
      </c>
      <c r="J451" t="s">
        <v>2051</v>
      </c>
      <c r="K451" t="s">
        <v>446</v>
      </c>
      <c r="L451" t="s">
        <v>446</v>
      </c>
      <c r="M451" t="s">
        <v>446</v>
      </c>
      <c r="N451" t="s">
        <v>446</v>
      </c>
      <c r="O451" t="s">
        <v>446</v>
      </c>
      <c r="P451" t="s">
        <v>446</v>
      </c>
      <c r="Q451" t="b">
        <v>0</v>
      </c>
      <c r="R451" t="b">
        <v>1</v>
      </c>
      <c r="S451" t="s">
        <v>1633</v>
      </c>
      <c r="T451" t="s">
        <v>2085</v>
      </c>
      <c r="U451" t="s">
        <v>1001</v>
      </c>
      <c r="V451" t="s">
        <v>1456</v>
      </c>
      <c r="W451" t="s">
        <v>2086</v>
      </c>
      <c r="X451" t="s">
        <v>446</v>
      </c>
    </row>
    <row r="452" spans="1:24" x14ac:dyDescent="0.25">
      <c r="A452" t="s">
        <v>42</v>
      </c>
      <c r="B452" t="s">
        <v>2091</v>
      </c>
      <c r="C452" t="s">
        <v>403</v>
      </c>
      <c r="D452" t="s">
        <v>352</v>
      </c>
      <c r="E452" t="s">
        <v>1013</v>
      </c>
      <c r="F452">
        <v>3095</v>
      </c>
      <c r="G452" t="s">
        <v>990</v>
      </c>
      <c r="H452" t="s">
        <v>446</v>
      </c>
      <c r="I452" t="s">
        <v>446</v>
      </c>
      <c r="J452" t="s">
        <v>2051</v>
      </c>
      <c r="K452" t="s">
        <v>446</v>
      </c>
      <c r="L452" t="s">
        <v>446</v>
      </c>
      <c r="M452" t="s">
        <v>446</v>
      </c>
      <c r="N452" t="s">
        <v>446</v>
      </c>
      <c r="O452" t="s">
        <v>446</v>
      </c>
      <c r="P452" t="s">
        <v>446</v>
      </c>
      <c r="Q452" t="b">
        <v>0</v>
      </c>
      <c r="R452" t="b">
        <v>1</v>
      </c>
      <c r="S452" t="s">
        <v>1633</v>
      </c>
      <c r="T452" t="s">
        <v>2085</v>
      </c>
      <c r="U452" t="s">
        <v>1001</v>
      </c>
      <c r="V452" t="s">
        <v>1456</v>
      </c>
      <c r="W452" t="s">
        <v>2086</v>
      </c>
      <c r="X452" t="s">
        <v>446</v>
      </c>
    </row>
    <row r="453" spans="1:24" x14ac:dyDescent="0.25">
      <c r="A453" t="s">
        <v>42</v>
      </c>
      <c r="B453" t="s">
        <v>2092</v>
      </c>
      <c r="C453" t="s">
        <v>403</v>
      </c>
      <c r="D453" t="s">
        <v>352</v>
      </c>
      <c r="E453" t="s">
        <v>1015</v>
      </c>
      <c r="F453">
        <v>2439</v>
      </c>
      <c r="G453" t="s">
        <v>990</v>
      </c>
      <c r="H453" t="s">
        <v>446</v>
      </c>
      <c r="I453" t="s">
        <v>446</v>
      </c>
      <c r="J453" t="s">
        <v>2051</v>
      </c>
      <c r="K453" t="s">
        <v>446</v>
      </c>
      <c r="L453" t="s">
        <v>446</v>
      </c>
      <c r="M453" t="s">
        <v>446</v>
      </c>
      <c r="N453" t="s">
        <v>446</v>
      </c>
      <c r="O453" t="s">
        <v>446</v>
      </c>
      <c r="P453" t="s">
        <v>446</v>
      </c>
      <c r="Q453" t="b">
        <v>0</v>
      </c>
      <c r="R453" t="b">
        <v>1</v>
      </c>
      <c r="S453" t="s">
        <v>1633</v>
      </c>
      <c r="T453" t="s">
        <v>2085</v>
      </c>
      <c r="U453" t="s">
        <v>1001</v>
      </c>
      <c r="V453" t="s">
        <v>1456</v>
      </c>
      <c r="W453" t="s">
        <v>2086</v>
      </c>
      <c r="X453" t="s">
        <v>446</v>
      </c>
    </row>
    <row r="454" spans="1:24" x14ac:dyDescent="0.25">
      <c r="A454" t="s">
        <v>42</v>
      </c>
      <c r="B454" t="s">
        <v>2093</v>
      </c>
      <c r="C454" t="s">
        <v>403</v>
      </c>
      <c r="D454" t="s">
        <v>352</v>
      </c>
      <c r="E454" t="s">
        <v>1017</v>
      </c>
      <c r="F454">
        <v>2238</v>
      </c>
      <c r="G454" t="s">
        <v>990</v>
      </c>
      <c r="H454" t="s">
        <v>446</v>
      </c>
      <c r="I454" t="s">
        <v>446</v>
      </c>
      <c r="J454" t="s">
        <v>2051</v>
      </c>
      <c r="K454" t="s">
        <v>446</v>
      </c>
      <c r="L454" t="s">
        <v>446</v>
      </c>
      <c r="M454" t="s">
        <v>446</v>
      </c>
      <c r="N454" t="s">
        <v>446</v>
      </c>
      <c r="O454" t="s">
        <v>446</v>
      </c>
      <c r="P454" t="s">
        <v>446</v>
      </c>
      <c r="Q454" t="b">
        <v>0</v>
      </c>
      <c r="R454" t="b">
        <v>1</v>
      </c>
      <c r="S454" t="s">
        <v>1633</v>
      </c>
      <c r="T454" t="s">
        <v>2085</v>
      </c>
      <c r="U454" t="s">
        <v>1001</v>
      </c>
      <c r="V454" t="s">
        <v>1456</v>
      </c>
      <c r="W454" t="s">
        <v>2086</v>
      </c>
      <c r="X454" t="s">
        <v>446</v>
      </c>
    </row>
    <row r="455" spans="1:24" x14ac:dyDescent="0.25">
      <c r="A455" t="s">
        <v>42</v>
      </c>
      <c r="B455" t="s">
        <v>2094</v>
      </c>
      <c r="C455" t="s">
        <v>403</v>
      </c>
      <c r="D455" t="s">
        <v>352</v>
      </c>
      <c r="E455" t="s">
        <v>1019</v>
      </c>
      <c r="F455">
        <v>1727</v>
      </c>
      <c r="G455" t="s">
        <v>990</v>
      </c>
      <c r="H455" t="s">
        <v>446</v>
      </c>
      <c r="I455" t="s">
        <v>446</v>
      </c>
      <c r="J455" t="s">
        <v>2051</v>
      </c>
      <c r="K455" t="s">
        <v>446</v>
      </c>
      <c r="L455" t="s">
        <v>446</v>
      </c>
      <c r="M455" t="s">
        <v>446</v>
      </c>
      <c r="N455" t="s">
        <v>446</v>
      </c>
      <c r="O455" t="s">
        <v>446</v>
      </c>
      <c r="P455" t="s">
        <v>446</v>
      </c>
      <c r="Q455" t="b">
        <v>0</v>
      </c>
      <c r="R455" t="b">
        <v>1</v>
      </c>
      <c r="S455" t="s">
        <v>1633</v>
      </c>
      <c r="T455" t="s">
        <v>2085</v>
      </c>
      <c r="U455" t="s">
        <v>1001</v>
      </c>
      <c r="V455" t="s">
        <v>1456</v>
      </c>
      <c r="W455" t="s">
        <v>2086</v>
      </c>
      <c r="X455" t="s">
        <v>446</v>
      </c>
    </row>
    <row r="456" spans="1:24" x14ac:dyDescent="0.25">
      <c r="A456" t="s">
        <v>42</v>
      </c>
      <c r="B456" t="s">
        <v>2095</v>
      </c>
      <c r="C456" t="s">
        <v>403</v>
      </c>
      <c r="D456" t="s">
        <v>352</v>
      </c>
      <c r="E456" t="s">
        <v>1021</v>
      </c>
      <c r="F456">
        <v>1722</v>
      </c>
      <c r="G456" t="s">
        <v>990</v>
      </c>
      <c r="H456" t="s">
        <v>446</v>
      </c>
      <c r="I456" t="s">
        <v>446</v>
      </c>
      <c r="J456" t="s">
        <v>2051</v>
      </c>
      <c r="K456" t="s">
        <v>446</v>
      </c>
      <c r="L456" t="s">
        <v>446</v>
      </c>
      <c r="M456" t="s">
        <v>446</v>
      </c>
      <c r="N456" t="s">
        <v>446</v>
      </c>
      <c r="O456" t="s">
        <v>446</v>
      </c>
      <c r="P456" t="s">
        <v>446</v>
      </c>
      <c r="Q456" t="b">
        <v>0</v>
      </c>
      <c r="R456" t="b">
        <v>1</v>
      </c>
      <c r="S456" t="s">
        <v>1633</v>
      </c>
      <c r="T456" t="s">
        <v>2085</v>
      </c>
      <c r="U456" t="s">
        <v>1001</v>
      </c>
      <c r="V456" t="s">
        <v>1456</v>
      </c>
      <c r="W456" t="s">
        <v>2086</v>
      </c>
      <c r="X456" t="s">
        <v>446</v>
      </c>
    </row>
    <row r="457" spans="1:24" x14ac:dyDescent="0.25">
      <c r="A457" t="s">
        <v>42</v>
      </c>
      <c r="B457" t="s">
        <v>2096</v>
      </c>
      <c r="C457" t="s">
        <v>403</v>
      </c>
      <c r="D457" t="s">
        <v>352</v>
      </c>
      <c r="E457" t="s">
        <v>1023</v>
      </c>
      <c r="F457">
        <v>4134</v>
      </c>
      <c r="G457" t="s">
        <v>990</v>
      </c>
      <c r="H457" t="s">
        <v>446</v>
      </c>
      <c r="I457" t="s">
        <v>446</v>
      </c>
      <c r="J457" t="s">
        <v>2051</v>
      </c>
      <c r="K457" t="s">
        <v>446</v>
      </c>
      <c r="L457" t="s">
        <v>446</v>
      </c>
      <c r="M457" t="s">
        <v>446</v>
      </c>
      <c r="N457" t="s">
        <v>446</v>
      </c>
      <c r="O457" t="s">
        <v>446</v>
      </c>
      <c r="P457" t="s">
        <v>446</v>
      </c>
      <c r="Q457" t="b">
        <v>0</v>
      </c>
      <c r="R457" t="b">
        <v>1</v>
      </c>
      <c r="S457" t="s">
        <v>1633</v>
      </c>
      <c r="T457" t="s">
        <v>2085</v>
      </c>
      <c r="U457" t="s">
        <v>1001</v>
      </c>
      <c r="V457" t="s">
        <v>1456</v>
      </c>
      <c r="W457" t="s">
        <v>2086</v>
      </c>
      <c r="X457" t="s">
        <v>446</v>
      </c>
    </row>
    <row r="458" spans="1:24" x14ac:dyDescent="0.25">
      <c r="A458" t="s">
        <v>42</v>
      </c>
      <c r="B458" t="s">
        <v>2097</v>
      </c>
      <c r="C458" t="s">
        <v>403</v>
      </c>
      <c r="D458" t="s">
        <v>352</v>
      </c>
      <c r="E458" t="s">
        <v>1025</v>
      </c>
      <c r="F458">
        <v>3942</v>
      </c>
      <c r="G458" t="s">
        <v>990</v>
      </c>
      <c r="H458" t="s">
        <v>446</v>
      </c>
      <c r="I458" t="s">
        <v>446</v>
      </c>
      <c r="J458" t="s">
        <v>2051</v>
      </c>
      <c r="K458" t="s">
        <v>446</v>
      </c>
      <c r="L458" t="s">
        <v>446</v>
      </c>
      <c r="M458" t="s">
        <v>446</v>
      </c>
      <c r="N458" t="s">
        <v>446</v>
      </c>
      <c r="O458" t="s">
        <v>446</v>
      </c>
      <c r="P458" t="s">
        <v>446</v>
      </c>
      <c r="Q458" t="b">
        <v>0</v>
      </c>
      <c r="R458" t="b">
        <v>1</v>
      </c>
      <c r="S458" t="s">
        <v>1633</v>
      </c>
      <c r="T458" t="s">
        <v>2085</v>
      </c>
      <c r="U458" t="s">
        <v>1001</v>
      </c>
      <c r="V458" t="s">
        <v>1456</v>
      </c>
      <c r="W458" t="s">
        <v>2086</v>
      </c>
      <c r="X458" t="s">
        <v>446</v>
      </c>
    </row>
    <row r="459" spans="1:24" x14ac:dyDescent="0.25">
      <c r="A459" t="s">
        <v>42</v>
      </c>
      <c r="B459" t="s">
        <v>2098</v>
      </c>
      <c r="C459" t="s">
        <v>403</v>
      </c>
      <c r="D459" t="s">
        <v>352</v>
      </c>
      <c r="E459" t="s">
        <v>1027</v>
      </c>
      <c r="F459">
        <v>1117</v>
      </c>
      <c r="G459" t="s">
        <v>990</v>
      </c>
      <c r="H459" t="s">
        <v>446</v>
      </c>
      <c r="I459" t="s">
        <v>446</v>
      </c>
      <c r="J459" t="s">
        <v>2051</v>
      </c>
      <c r="K459" t="s">
        <v>446</v>
      </c>
      <c r="L459" t="s">
        <v>446</v>
      </c>
      <c r="M459" t="s">
        <v>446</v>
      </c>
      <c r="N459" t="s">
        <v>446</v>
      </c>
      <c r="O459" t="s">
        <v>446</v>
      </c>
      <c r="P459" t="s">
        <v>446</v>
      </c>
      <c r="Q459" t="b">
        <v>0</v>
      </c>
      <c r="R459" t="b">
        <v>1</v>
      </c>
      <c r="S459" t="s">
        <v>1633</v>
      </c>
      <c r="T459" t="s">
        <v>2085</v>
      </c>
      <c r="U459" t="s">
        <v>1001</v>
      </c>
      <c r="V459" t="s">
        <v>1456</v>
      </c>
      <c r="W459" t="s">
        <v>2086</v>
      </c>
      <c r="X459" t="s">
        <v>446</v>
      </c>
    </row>
    <row r="460" spans="1:24" x14ac:dyDescent="0.25">
      <c r="A460" t="s">
        <v>42</v>
      </c>
      <c r="B460" t="s">
        <v>2099</v>
      </c>
      <c r="C460" t="s">
        <v>403</v>
      </c>
      <c r="D460" t="s">
        <v>352</v>
      </c>
      <c r="E460" t="s">
        <v>1131</v>
      </c>
      <c r="F460">
        <v>98</v>
      </c>
      <c r="G460" t="s">
        <v>990</v>
      </c>
      <c r="H460" t="s">
        <v>446</v>
      </c>
      <c r="I460" t="s">
        <v>446</v>
      </c>
      <c r="J460" t="s">
        <v>2051</v>
      </c>
      <c r="K460" t="s">
        <v>446</v>
      </c>
      <c r="L460" t="s">
        <v>446</v>
      </c>
      <c r="M460" t="s">
        <v>446</v>
      </c>
      <c r="N460" t="s">
        <v>446</v>
      </c>
      <c r="O460" t="s">
        <v>446</v>
      </c>
      <c r="P460" t="s">
        <v>446</v>
      </c>
      <c r="Q460" t="b">
        <v>0</v>
      </c>
      <c r="R460" t="b">
        <v>1</v>
      </c>
      <c r="S460" t="s">
        <v>1633</v>
      </c>
      <c r="T460" t="s">
        <v>2085</v>
      </c>
      <c r="U460" t="s">
        <v>1001</v>
      </c>
      <c r="V460" t="s">
        <v>1456</v>
      </c>
      <c r="W460" t="s">
        <v>2086</v>
      </c>
      <c r="X460" t="s">
        <v>446</v>
      </c>
    </row>
    <row r="461" spans="1:24" x14ac:dyDescent="0.25">
      <c r="A461" t="s">
        <v>42</v>
      </c>
      <c r="B461" t="s">
        <v>2100</v>
      </c>
      <c r="C461" t="s">
        <v>408</v>
      </c>
      <c r="D461" t="s">
        <v>352</v>
      </c>
      <c r="E461" t="s">
        <v>998</v>
      </c>
      <c r="F461">
        <v>-100</v>
      </c>
      <c r="G461" t="s">
        <v>1029</v>
      </c>
      <c r="H461" t="s">
        <v>2101</v>
      </c>
      <c r="I461" t="s">
        <v>2102</v>
      </c>
      <c r="J461" t="s">
        <v>2051</v>
      </c>
      <c r="K461" t="s">
        <v>1032</v>
      </c>
      <c r="L461" t="s">
        <v>1033</v>
      </c>
      <c r="M461" t="s">
        <v>1034</v>
      </c>
      <c r="N461" t="s">
        <v>1035</v>
      </c>
      <c r="O461" t="s">
        <v>1036</v>
      </c>
      <c r="P461" t="s">
        <v>1037</v>
      </c>
      <c r="Q461" t="b">
        <v>1</v>
      </c>
      <c r="R461" t="b">
        <v>0</v>
      </c>
      <c r="S461" t="s">
        <v>1038</v>
      </c>
      <c r="T461" t="s">
        <v>446</v>
      </c>
      <c r="U461" t="s">
        <v>2103</v>
      </c>
      <c r="V461" t="s">
        <v>1002</v>
      </c>
      <c r="W461" t="s">
        <v>1040</v>
      </c>
      <c r="X461" t="s">
        <v>2104</v>
      </c>
    </row>
    <row r="462" spans="1:24" x14ac:dyDescent="0.25">
      <c r="A462" t="s">
        <v>42</v>
      </c>
      <c r="B462" t="s">
        <v>2105</v>
      </c>
      <c r="C462" t="s">
        <v>408</v>
      </c>
      <c r="D462" t="s">
        <v>352</v>
      </c>
      <c r="E462" t="s">
        <v>1005</v>
      </c>
      <c r="F462">
        <v>-100</v>
      </c>
      <c r="G462" t="s">
        <v>1029</v>
      </c>
      <c r="H462" t="s">
        <v>2101</v>
      </c>
      <c r="I462" t="s">
        <v>2102</v>
      </c>
      <c r="J462" t="s">
        <v>2051</v>
      </c>
      <c r="K462" t="s">
        <v>1044</v>
      </c>
      <c r="L462" t="s">
        <v>1045</v>
      </c>
      <c r="M462" t="s">
        <v>1034</v>
      </c>
      <c r="N462" t="s">
        <v>1046</v>
      </c>
      <c r="O462" t="s">
        <v>1047</v>
      </c>
      <c r="P462" t="s">
        <v>1048</v>
      </c>
      <c r="Q462" t="b">
        <v>1</v>
      </c>
      <c r="R462" t="b">
        <v>0</v>
      </c>
      <c r="S462" t="s">
        <v>1038</v>
      </c>
      <c r="T462" t="s">
        <v>446</v>
      </c>
      <c r="U462" t="s">
        <v>2103</v>
      </c>
      <c r="V462" t="s">
        <v>1002</v>
      </c>
      <c r="W462" t="s">
        <v>1040</v>
      </c>
      <c r="X462" t="s">
        <v>2104</v>
      </c>
    </row>
    <row r="463" spans="1:24" x14ac:dyDescent="0.25">
      <c r="A463" t="s">
        <v>42</v>
      </c>
      <c r="B463" t="s">
        <v>2106</v>
      </c>
      <c r="C463" t="s">
        <v>408</v>
      </c>
      <c r="D463" t="s">
        <v>352</v>
      </c>
      <c r="E463" t="s">
        <v>1007</v>
      </c>
      <c r="F463">
        <v>-100</v>
      </c>
      <c r="G463" t="s">
        <v>1029</v>
      </c>
      <c r="H463" t="s">
        <v>2101</v>
      </c>
      <c r="I463" t="s">
        <v>2102</v>
      </c>
      <c r="J463" t="s">
        <v>2051</v>
      </c>
      <c r="K463" t="s">
        <v>1051</v>
      </c>
      <c r="L463" t="s">
        <v>1052</v>
      </c>
      <c r="M463" t="s">
        <v>1034</v>
      </c>
      <c r="N463" t="s">
        <v>1053</v>
      </c>
      <c r="O463" t="s">
        <v>1054</v>
      </c>
      <c r="P463" t="s">
        <v>1055</v>
      </c>
      <c r="Q463" t="b">
        <v>1</v>
      </c>
      <c r="R463" t="b">
        <v>0</v>
      </c>
      <c r="S463" t="s">
        <v>1038</v>
      </c>
      <c r="T463" t="s">
        <v>446</v>
      </c>
      <c r="U463" t="s">
        <v>2103</v>
      </c>
      <c r="V463" t="s">
        <v>1002</v>
      </c>
      <c r="W463" t="s">
        <v>1040</v>
      </c>
      <c r="X463" t="s">
        <v>2104</v>
      </c>
    </row>
    <row r="464" spans="1:24" x14ac:dyDescent="0.25">
      <c r="A464" t="s">
        <v>42</v>
      </c>
      <c r="B464" t="s">
        <v>2107</v>
      </c>
      <c r="C464" t="s">
        <v>408</v>
      </c>
      <c r="D464" t="s">
        <v>352</v>
      </c>
      <c r="E464" t="s">
        <v>1009</v>
      </c>
      <c r="F464">
        <v>-98</v>
      </c>
      <c r="G464" t="s">
        <v>1233</v>
      </c>
      <c r="H464" t="s">
        <v>2108</v>
      </c>
      <c r="I464" t="s">
        <v>2109</v>
      </c>
      <c r="J464" t="s">
        <v>2051</v>
      </c>
      <c r="K464" t="s">
        <v>1060</v>
      </c>
      <c r="L464" t="s">
        <v>1061</v>
      </c>
      <c r="M464" t="s">
        <v>1062</v>
      </c>
      <c r="N464" t="s">
        <v>1063</v>
      </c>
      <c r="O464" t="s">
        <v>1036</v>
      </c>
      <c r="P464" t="s">
        <v>1064</v>
      </c>
      <c r="Q464" t="b">
        <v>1</v>
      </c>
      <c r="R464" t="b">
        <v>0</v>
      </c>
      <c r="S464" t="s">
        <v>1038</v>
      </c>
      <c r="T464" t="s">
        <v>446</v>
      </c>
      <c r="U464" t="s">
        <v>2103</v>
      </c>
      <c r="V464" t="s">
        <v>1067</v>
      </c>
      <c r="W464" t="s">
        <v>1040</v>
      </c>
      <c r="X464" t="s">
        <v>446</v>
      </c>
    </row>
    <row r="465" spans="1:24" x14ac:dyDescent="0.25">
      <c r="A465" t="s">
        <v>42</v>
      </c>
      <c r="B465" t="s">
        <v>2110</v>
      </c>
      <c r="C465" t="s">
        <v>408</v>
      </c>
      <c r="D465" t="s">
        <v>352</v>
      </c>
      <c r="E465" t="s">
        <v>1011</v>
      </c>
      <c r="F465">
        <v>-99</v>
      </c>
      <c r="G465" t="s">
        <v>1029</v>
      </c>
      <c r="H465" t="s">
        <v>2111</v>
      </c>
      <c r="I465" t="s">
        <v>2102</v>
      </c>
      <c r="J465" t="s">
        <v>2051</v>
      </c>
      <c r="K465" t="s">
        <v>1070</v>
      </c>
      <c r="L465" t="s">
        <v>1071</v>
      </c>
      <c r="M465" t="s">
        <v>1034</v>
      </c>
      <c r="N465" t="s">
        <v>1072</v>
      </c>
      <c r="O465" t="s">
        <v>1073</v>
      </c>
      <c r="P465" t="s">
        <v>1074</v>
      </c>
      <c r="Q465" t="b">
        <v>1</v>
      </c>
      <c r="R465" t="b">
        <v>0</v>
      </c>
      <c r="S465" t="s">
        <v>1038</v>
      </c>
      <c r="T465" t="s">
        <v>446</v>
      </c>
      <c r="U465" t="s">
        <v>2103</v>
      </c>
      <c r="V465" t="s">
        <v>1002</v>
      </c>
      <c r="W465" t="s">
        <v>1040</v>
      </c>
      <c r="X465" t="s">
        <v>2104</v>
      </c>
    </row>
    <row r="466" spans="1:24" x14ac:dyDescent="0.25">
      <c r="A466" t="s">
        <v>42</v>
      </c>
      <c r="B466" t="s">
        <v>2112</v>
      </c>
      <c r="C466" t="s">
        <v>408</v>
      </c>
      <c r="D466" t="s">
        <v>352</v>
      </c>
      <c r="E466" t="s">
        <v>1013</v>
      </c>
      <c r="F466">
        <v>-99</v>
      </c>
      <c r="G466" t="s">
        <v>1029</v>
      </c>
      <c r="H466" t="s">
        <v>2111</v>
      </c>
      <c r="I466" t="s">
        <v>2102</v>
      </c>
      <c r="J466" t="s">
        <v>2051</v>
      </c>
      <c r="K466" t="s">
        <v>1077</v>
      </c>
      <c r="L466" t="s">
        <v>1078</v>
      </c>
      <c r="M466" t="s">
        <v>1034</v>
      </c>
      <c r="N466" t="s">
        <v>1079</v>
      </c>
      <c r="O466" t="s">
        <v>1080</v>
      </c>
      <c r="P466" t="s">
        <v>1081</v>
      </c>
      <c r="Q466" t="b">
        <v>1</v>
      </c>
      <c r="R466" t="b">
        <v>0</v>
      </c>
      <c r="S466" t="s">
        <v>1038</v>
      </c>
      <c r="T466" t="s">
        <v>446</v>
      </c>
      <c r="U466" t="s">
        <v>2103</v>
      </c>
      <c r="V466" t="s">
        <v>1002</v>
      </c>
      <c r="W466" t="s">
        <v>1040</v>
      </c>
      <c r="X466" t="s">
        <v>2104</v>
      </c>
    </row>
    <row r="467" spans="1:24" x14ac:dyDescent="0.25">
      <c r="A467" t="s">
        <v>42</v>
      </c>
      <c r="B467" t="s">
        <v>2113</v>
      </c>
      <c r="C467" t="s">
        <v>408</v>
      </c>
      <c r="D467" t="s">
        <v>352</v>
      </c>
      <c r="E467" t="s">
        <v>1015</v>
      </c>
      <c r="F467">
        <v>-99</v>
      </c>
      <c r="G467" t="s">
        <v>1029</v>
      </c>
      <c r="H467" t="s">
        <v>2111</v>
      </c>
      <c r="I467" t="s">
        <v>2102</v>
      </c>
      <c r="J467" t="s">
        <v>2051</v>
      </c>
      <c r="K467" t="s">
        <v>1084</v>
      </c>
      <c r="L467" t="s">
        <v>1085</v>
      </c>
      <c r="M467" t="s">
        <v>1034</v>
      </c>
      <c r="N467" t="s">
        <v>1086</v>
      </c>
      <c r="O467" t="s">
        <v>1087</v>
      </c>
      <c r="P467" t="s">
        <v>1088</v>
      </c>
      <c r="Q467" t="b">
        <v>1</v>
      </c>
      <c r="R467" t="b">
        <v>0</v>
      </c>
      <c r="S467" t="s">
        <v>1038</v>
      </c>
      <c r="T467" t="s">
        <v>446</v>
      </c>
      <c r="U467" t="s">
        <v>2103</v>
      </c>
      <c r="V467" t="s">
        <v>1002</v>
      </c>
      <c r="W467" t="s">
        <v>1040</v>
      </c>
      <c r="X467" t="s">
        <v>2104</v>
      </c>
    </row>
    <row r="468" spans="1:24" x14ac:dyDescent="0.25">
      <c r="A468" t="s">
        <v>42</v>
      </c>
      <c r="B468" t="s">
        <v>2114</v>
      </c>
      <c r="C468" t="s">
        <v>408</v>
      </c>
      <c r="D468" t="s">
        <v>352</v>
      </c>
      <c r="E468" t="s">
        <v>1017</v>
      </c>
      <c r="F468">
        <v>-99</v>
      </c>
      <c r="G468" t="s">
        <v>1233</v>
      </c>
      <c r="H468" t="s">
        <v>2111</v>
      </c>
      <c r="I468" t="s">
        <v>2109</v>
      </c>
      <c r="J468" t="s">
        <v>2051</v>
      </c>
      <c r="K468" t="s">
        <v>1091</v>
      </c>
      <c r="L468" t="s">
        <v>1092</v>
      </c>
      <c r="M468" t="s">
        <v>1062</v>
      </c>
      <c r="N468" t="s">
        <v>1093</v>
      </c>
      <c r="O468" t="s">
        <v>1073</v>
      </c>
      <c r="P468" t="s">
        <v>1094</v>
      </c>
      <c r="Q468" t="b">
        <v>1</v>
      </c>
      <c r="R468" t="b">
        <v>0</v>
      </c>
      <c r="S468" t="s">
        <v>1038</v>
      </c>
      <c r="T468" t="s">
        <v>446</v>
      </c>
      <c r="U468" t="s">
        <v>2103</v>
      </c>
      <c r="V468" t="s">
        <v>1067</v>
      </c>
      <c r="W468" t="s">
        <v>1040</v>
      </c>
      <c r="X468" t="s">
        <v>446</v>
      </c>
    </row>
    <row r="469" spans="1:24" x14ac:dyDescent="0.25">
      <c r="A469" t="s">
        <v>42</v>
      </c>
      <c r="B469" t="s">
        <v>2115</v>
      </c>
      <c r="C469" t="s">
        <v>408</v>
      </c>
      <c r="D469" t="s">
        <v>352</v>
      </c>
      <c r="E469" t="s">
        <v>1019</v>
      </c>
      <c r="F469">
        <v>-98</v>
      </c>
      <c r="G469" t="s">
        <v>1029</v>
      </c>
      <c r="H469" t="s">
        <v>2108</v>
      </c>
      <c r="I469" t="s">
        <v>2102</v>
      </c>
      <c r="J469" t="s">
        <v>2051</v>
      </c>
      <c r="K469" t="s">
        <v>1097</v>
      </c>
      <c r="L469" t="s">
        <v>1098</v>
      </c>
      <c r="M469" t="s">
        <v>1034</v>
      </c>
      <c r="N469" t="s">
        <v>1099</v>
      </c>
      <c r="O469" t="s">
        <v>1100</v>
      </c>
      <c r="P469" t="s">
        <v>1101</v>
      </c>
      <c r="Q469" t="b">
        <v>1</v>
      </c>
      <c r="R469" t="b">
        <v>0</v>
      </c>
      <c r="S469" t="s">
        <v>1038</v>
      </c>
      <c r="T469" t="s">
        <v>446</v>
      </c>
      <c r="U469" t="s">
        <v>2103</v>
      </c>
      <c r="V469" t="s">
        <v>1002</v>
      </c>
      <c r="W469" t="s">
        <v>1040</v>
      </c>
      <c r="X469" t="s">
        <v>2104</v>
      </c>
    </row>
    <row r="470" spans="1:24" x14ac:dyDescent="0.25">
      <c r="A470" t="s">
        <v>42</v>
      </c>
      <c r="B470" t="s">
        <v>2116</v>
      </c>
      <c r="C470" t="s">
        <v>408</v>
      </c>
      <c r="D470" t="s">
        <v>352</v>
      </c>
      <c r="E470" t="s">
        <v>1021</v>
      </c>
      <c r="F470">
        <v>-246</v>
      </c>
      <c r="G470" t="s">
        <v>1029</v>
      </c>
      <c r="H470" t="s">
        <v>2117</v>
      </c>
      <c r="I470" t="s">
        <v>2102</v>
      </c>
      <c r="J470" t="s">
        <v>2051</v>
      </c>
      <c r="K470" t="s">
        <v>1105</v>
      </c>
      <c r="L470" t="s">
        <v>1106</v>
      </c>
      <c r="M470" t="s">
        <v>1034</v>
      </c>
      <c r="N470" t="s">
        <v>1107</v>
      </c>
      <c r="O470" t="s">
        <v>1108</v>
      </c>
      <c r="P470" t="s">
        <v>1109</v>
      </c>
      <c r="Q470" t="b">
        <v>1</v>
      </c>
      <c r="R470" t="b">
        <v>0</v>
      </c>
      <c r="S470" t="s">
        <v>1038</v>
      </c>
      <c r="T470" t="s">
        <v>446</v>
      </c>
      <c r="U470" t="s">
        <v>2103</v>
      </c>
      <c r="V470" t="s">
        <v>1002</v>
      </c>
      <c r="W470" t="s">
        <v>1040</v>
      </c>
      <c r="X470" t="s">
        <v>2104</v>
      </c>
    </row>
    <row r="471" spans="1:24" x14ac:dyDescent="0.25">
      <c r="A471" t="s">
        <v>42</v>
      </c>
      <c r="B471" t="s">
        <v>2118</v>
      </c>
      <c r="C471" t="s">
        <v>408</v>
      </c>
      <c r="D471" t="s">
        <v>352</v>
      </c>
      <c r="E471" t="s">
        <v>1023</v>
      </c>
      <c r="F471">
        <v>-245</v>
      </c>
      <c r="G471" t="s">
        <v>1029</v>
      </c>
      <c r="H471" t="s">
        <v>2119</v>
      </c>
      <c r="I471" t="s">
        <v>2102</v>
      </c>
      <c r="J471" t="s">
        <v>2051</v>
      </c>
      <c r="K471" t="s">
        <v>1112</v>
      </c>
      <c r="L471" t="s">
        <v>1113</v>
      </c>
      <c r="M471" t="s">
        <v>1034</v>
      </c>
      <c r="N471" t="s">
        <v>1114</v>
      </c>
      <c r="O471" t="s">
        <v>1115</v>
      </c>
      <c r="P471" t="s">
        <v>1116</v>
      </c>
      <c r="Q471" t="b">
        <v>1</v>
      </c>
      <c r="R471" t="b">
        <v>0</v>
      </c>
      <c r="S471" t="s">
        <v>1038</v>
      </c>
      <c r="T471" t="s">
        <v>446</v>
      </c>
      <c r="U471" t="s">
        <v>2103</v>
      </c>
      <c r="V471" t="s">
        <v>1002</v>
      </c>
      <c r="W471" t="s">
        <v>1040</v>
      </c>
      <c r="X471" t="s">
        <v>2104</v>
      </c>
    </row>
    <row r="472" spans="1:24" x14ac:dyDescent="0.25">
      <c r="A472" t="s">
        <v>42</v>
      </c>
      <c r="B472" t="s">
        <v>2120</v>
      </c>
      <c r="C472" t="s">
        <v>408</v>
      </c>
      <c r="D472" t="s">
        <v>352</v>
      </c>
      <c r="E472" t="s">
        <v>1025</v>
      </c>
      <c r="F472">
        <v>-245</v>
      </c>
      <c r="G472" t="s">
        <v>1233</v>
      </c>
      <c r="H472" t="s">
        <v>2119</v>
      </c>
      <c r="I472" t="s">
        <v>2109</v>
      </c>
      <c r="J472" t="s">
        <v>2051</v>
      </c>
      <c r="K472" t="s">
        <v>1119</v>
      </c>
      <c r="L472" t="s">
        <v>1120</v>
      </c>
      <c r="M472" t="s">
        <v>1062</v>
      </c>
      <c r="N472" t="s">
        <v>1121</v>
      </c>
      <c r="O472" t="s">
        <v>1100</v>
      </c>
      <c r="P472" t="s">
        <v>1122</v>
      </c>
      <c r="Q472" t="b">
        <v>1</v>
      </c>
      <c r="R472" t="b">
        <v>0</v>
      </c>
      <c r="S472" t="s">
        <v>1038</v>
      </c>
      <c r="T472" t="s">
        <v>446</v>
      </c>
      <c r="U472" t="s">
        <v>2103</v>
      </c>
      <c r="V472" t="s">
        <v>1067</v>
      </c>
      <c r="W472" t="s">
        <v>1040</v>
      </c>
      <c r="X472" t="s">
        <v>446</v>
      </c>
    </row>
    <row r="473" spans="1:24" x14ac:dyDescent="0.25">
      <c r="A473" t="s">
        <v>42</v>
      </c>
      <c r="B473" t="s">
        <v>2121</v>
      </c>
      <c r="C473" t="s">
        <v>408</v>
      </c>
      <c r="D473" t="s">
        <v>352</v>
      </c>
      <c r="E473" t="s">
        <v>1027</v>
      </c>
      <c r="F473">
        <v>-244</v>
      </c>
      <c r="G473" t="s">
        <v>1029</v>
      </c>
      <c r="H473" t="s">
        <v>2122</v>
      </c>
      <c r="I473" t="s">
        <v>2102</v>
      </c>
      <c r="J473" t="s">
        <v>2051</v>
      </c>
      <c r="K473" t="s">
        <v>1125</v>
      </c>
      <c r="L473" t="s">
        <v>1126</v>
      </c>
      <c r="M473" t="s">
        <v>1034</v>
      </c>
      <c r="N473" t="s">
        <v>1127</v>
      </c>
      <c r="O473" t="s">
        <v>1128</v>
      </c>
      <c r="P473" t="s">
        <v>1129</v>
      </c>
      <c r="Q473" t="b">
        <v>1</v>
      </c>
      <c r="R473" t="b">
        <v>0</v>
      </c>
      <c r="S473" t="s">
        <v>1038</v>
      </c>
      <c r="T473" t="s">
        <v>446</v>
      </c>
      <c r="U473" t="s">
        <v>2103</v>
      </c>
      <c r="V473" t="s">
        <v>1002</v>
      </c>
      <c r="W473" t="s">
        <v>1040</v>
      </c>
      <c r="X473" t="s">
        <v>2104</v>
      </c>
    </row>
    <row r="474" spans="1:24" x14ac:dyDescent="0.25">
      <c r="A474" t="s">
        <v>42</v>
      </c>
      <c r="B474" t="s">
        <v>2123</v>
      </c>
      <c r="C474" t="s">
        <v>408</v>
      </c>
      <c r="D474" t="s">
        <v>352</v>
      </c>
      <c r="E474" t="s">
        <v>1131</v>
      </c>
      <c r="F474">
        <v>-244</v>
      </c>
      <c r="G474" t="s">
        <v>1057</v>
      </c>
      <c r="H474" t="s">
        <v>2122</v>
      </c>
      <c r="I474" t="s">
        <v>2102</v>
      </c>
      <c r="J474" t="s">
        <v>2051</v>
      </c>
      <c r="K474" t="s">
        <v>1133</v>
      </c>
      <c r="L474" t="s">
        <v>1134</v>
      </c>
      <c r="M474" t="s">
        <v>1034</v>
      </c>
      <c r="N474" t="s">
        <v>1135</v>
      </c>
      <c r="O474" t="s">
        <v>1136</v>
      </c>
      <c r="P474" t="s">
        <v>1137</v>
      </c>
      <c r="Q474" t="b">
        <v>1</v>
      </c>
      <c r="R474" t="b">
        <v>1</v>
      </c>
      <c r="S474" t="s">
        <v>2124</v>
      </c>
      <c r="T474" t="s">
        <v>446</v>
      </c>
      <c r="U474" t="s">
        <v>1066</v>
      </c>
      <c r="V474" t="s">
        <v>1002</v>
      </c>
      <c r="W474" t="s">
        <v>1040</v>
      </c>
      <c r="X474" t="s">
        <v>2104</v>
      </c>
    </row>
    <row r="475" spans="1:24" x14ac:dyDescent="0.25">
      <c r="A475" t="s">
        <v>42</v>
      </c>
      <c r="B475" t="s">
        <v>2125</v>
      </c>
      <c r="C475" t="s">
        <v>403</v>
      </c>
      <c r="D475" t="s">
        <v>410</v>
      </c>
      <c r="E475" t="s">
        <v>998</v>
      </c>
      <c r="F475">
        <v>0</v>
      </c>
      <c r="G475" t="s">
        <v>990</v>
      </c>
      <c r="H475" t="s">
        <v>446</v>
      </c>
      <c r="I475" t="s">
        <v>446</v>
      </c>
      <c r="J475" t="s">
        <v>2051</v>
      </c>
      <c r="K475" t="s">
        <v>446</v>
      </c>
      <c r="L475" t="s">
        <v>446</v>
      </c>
      <c r="M475" t="s">
        <v>446</v>
      </c>
      <c r="N475" t="s">
        <v>446</v>
      </c>
      <c r="O475" t="s">
        <v>446</v>
      </c>
      <c r="P475" t="s">
        <v>446</v>
      </c>
      <c r="Q475" t="b">
        <v>0</v>
      </c>
      <c r="R475" t="b">
        <v>1</v>
      </c>
      <c r="S475" t="s">
        <v>1633</v>
      </c>
      <c r="T475" t="s">
        <v>2085</v>
      </c>
      <c r="U475" t="s">
        <v>1001</v>
      </c>
      <c r="V475" t="s">
        <v>1456</v>
      </c>
      <c r="W475" t="s">
        <v>2086</v>
      </c>
      <c r="X475" t="s">
        <v>446</v>
      </c>
    </row>
    <row r="476" spans="1:24" x14ac:dyDescent="0.25">
      <c r="A476" t="s">
        <v>42</v>
      </c>
      <c r="B476" t="s">
        <v>2126</v>
      </c>
      <c r="C476" t="s">
        <v>403</v>
      </c>
      <c r="D476" t="s">
        <v>410</v>
      </c>
      <c r="E476" t="s">
        <v>1005</v>
      </c>
      <c r="F476">
        <v>-71</v>
      </c>
      <c r="G476" t="s">
        <v>990</v>
      </c>
      <c r="H476" t="s">
        <v>446</v>
      </c>
      <c r="I476" t="s">
        <v>446</v>
      </c>
      <c r="J476" t="s">
        <v>2051</v>
      </c>
      <c r="K476" t="s">
        <v>446</v>
      </c>
      <c r="L476" t="s">
        <v>446</v>
      </c>
      <c r="M476" t="s">
        <v>446</v>
      </c>
      <c r="N476" t="s">
        <v>446</v>
      </c>
      <c r="O476" t="s">
        <v>446</v>
      </c>
      <c r="P476" t="s">
        <v>446</v>
      </c>
      <c r="Q476" t="b">
        <v>0</v>
      </c>
      <c r="R476" t="b">
        <v>1</v>
      </c>
      <c r="S476" t="s">
        <v>1633</v>
      </c>
      <c r="T476" t="s">
        <v>2085</v>
      </c>
      <c r="U476" t="s">
        <v>1001</v>
      </c>
      <c r="V476" t="s">
        <v>1456</v>
      </c>
      <c r="W476" t="s">
        <v>2086</v>
      </c>
      <c r="X476" t="s">
        <v>446</v>
      </c>
    </row>
    <row r="477" spans="1:24" x14ac:dyDescent="0.25">
      <c r="A477" t="s">
        <v>42</v>
      </c>
      <c r="B477" t="s">
        <v>2127</v>
      </c>
      <c r="C477" t="s">
        <v>403</v>
      </c>
      <c r="D477" t="s">
        <v>410</v>
      </c>
      <c r="E477" t="s">
        <v>1007</v>
      </c>
      <c r="F477">
        <v>-142</v>
      </c>
      <c r="G477" t="s">
        <v>990</v>
      </c>
      <c r="H477" t="s">
        <v>446</v>
      </c>
      <c r="I477" t="s">
        <v>446</v>
      </c>
      <c r="J477" t="s">
        <v>2051</v>
      </c>
      <c r="K477" t="s">
        <v>446</v>
      </c>
      <c r="L477" t="s">
        <v>446</v>
      </c>
      <c r="M477" t="s">
        <v>446</v>
      </c>
      <c r="N477" t="s">
        <v>446</v>
      </c>
      <c r="O477" t="s">
        <v>446</v>
      </c>
      <c r="P477" t="s">
        <v>446</v>
      </c>
      <c r="Q477" t="b">
        <v>0</v>
      </c>
      <c r="R477" t="b">
        <v>1</v>
      </c>
      <c r="S477" t="s">
        <v>1633</v>
      </c>
      <c r="T477" t="s">
        <v>2085</v>
      </c>
      <c r="U477" t="s">
        <v>1001</v>
      </c>
      <c r="V477" t="s">
        <v>1456</v>
      </c>
      <c r="W477" t="s">
        <v>2086</v>
      </c>
      <c r="X477" t="s">
        <v>446</v>
      </c>
    </row>
    <row r="478" spans="1:24" x14ac:dyDescent="0.25">
      <c r="A478" t="s">
        <v>42</v>
      </c>
      <c r="B478" t="s">
        <v>2128</v>
      </c>
      <c r="C478" t="s">
        <v>403</v>
      </c>
      <c r="D478" t="s">
        <v>410</v>
      </c>
      <c r="E478" t="s">
        <v>1009</v>
      </c>
      <c r="F478">
        <v>-165</v>
      </c>
      <c r="G478" t="s">
        <v>990</v>
      </c>
      <c r="H478" t="s">
        <v>446</v>
      </c>
      <c r="I478" t="s">
        <v>446</v>
      </c>
      <c r="J478" t="s">
        <v>2051</v>
      </c>
      <c r="K478" t="s">
        <v>446</v>
      </c>
      <c r="L478" t="s">
        <v>446</v>
      </c>
      <c r="M478" t="s">
        <v>446</v>
      </c>
      <c r="N478" t="s">
        <v>446</v>
      </c>
      <c r="O478" t="s">
        <v>446</v>
      </c>
      <c r="P478" t="s">
        <v>446</v>
      </c>
      <c r="Q478" t="b">
        <v>0</v>
      </c>
      <c r="R478" t="b">
        <v>1</v>
      </c>
      <c r="S478" t="s">
        <v>1633</v>
      </c>
      <c r="T478" t="s">
        <v>2085</v>
      </c>
      <c r="U478" t="s">
        <v>1001</v>
      </c>
      <c r="V478" t="s">
        <v>1456</v>
      </c>
      <c r="W478" t="s">
        <v>2086</v>
      </c>
      <c r="X478" t="s">
        <v>446</v>
      </c>
    </row>
    <row r="479" spans="1:24" x14ac:dyDescent="0.25">
      <c r="A479" t="s">
        <v>42</v>
      </c>
      <c r="B479" t="s">
        <v>2129</v>
      </c>
      <c r="C479" t="s">
        <v>403</v>
      </c>
      <c r="D479" t="s">
        <v>410</v>
      </c>
      <c r="E479" t="s">
        <v>1011</v>
      </c>
      <c r="F479">
        <v>-209</v>
      </c>
      <c r="G479" t="s">
        <v>990</v>
      </c>
      <c r="H479" t="s">
        <v>446</v>
      </c>
      <c r="I479" t="s">
        <v>446</v>
      </c>
      <c r="J479" t="s">
        <v>2051</v>
      </c>
      <c r="K479" t="s">
        <v>446</v>
      </c>
      <c r="L479" t="s">
        <v>446</v>
      </c>
      <c r="M479" t="s">
        <v>446</v>
      </c>
      <c r="N479" t="s">
        <v>446</v>
      </c>
      <c r="O479" t="s">
        <v>446</v>
      </c>
      <c r="P479" t="s">
        <v>446</v>
      </c>
      <c r="Q479" t="b">
        <v>0</v>
      </c>
      <c r="R479" t="b">
        <v>1</v>
      </c>
      <c r="S479" t="s">
        <v>1633</v>
      </c>
      <c r="T479" t="s">
        <v>2085</v>
      </c>
      <c r="U479" t="s">
        <v>1001</v>
      </c>
      <c r="V479" t="s">
        <v>1456</v>
      </c>
      <c r="W479" t="s">
        <v>2086</v>
      </c>
      <c r="X479" t="s">
        <v>446</v>
      </c>
    </row>
    <row r="480" spans="1:24" x14ac:dyDescent="0.25">
      <c r="A480" t="s">
        <v>42</v>
      </c>
      <c r="B480" t="s">
        <v>2130</v>
      </c>
      <c r="C480" t="s">
        <v>403</v>
      </c>
      <c r="D480" t="s">
        <v>410</v>
      </c>
      <c r="E480" t="s">
        <v>1013</v>
      </c>
      <c r="F480">
        <v>-256</v>
      </c>
      <c r="G480" t="s">
        <v>990</v>
      </c>
      <c r="H480" t="s">
        <v>446</v>
      </c>
      <c r="I480" t="s">
        <v>446</v>
      </c>
      <c r="J480" t="s">
        <v>2051</v>
      </c>
      <c r="K480" t="s">
        <v>446</v>
      </c>
      <c r="L480" t="s">
        <v>446</v>
      </c>
      <c r="M480" t="s">
        <v>446</v>
      </c>
      <c r="N480" t="s">
        <v>446</v>
      </c>
      <c r="O480" t="s">
        <v>446</v>
      </c>
      <c r="P480" t="s">
        <v>446</v>
      </c>
      <c r="Q480" t="b">
        <v>0</v>
      </c>
      <c r="R480" t="b">
        <v>1</v>
      </c>
      <c r="S480" t="s">
        <v>1633</v>
      </c>
      <c r="T480" t="s">
        <v>2085</v>
      </c>
      <c r="U480" t="s">
        <v>1001</v>
      </c>
      <c r="V480" t="s">
        <v>1456</v>
      </c>
      <c r="W480" t="s">
        <v>2086</v>
      </c>
      <c r="X480" t="s">
        <v>446</v>
      </c>
    </row>
    <row r="481" spans="1:24" x14ac:dyDescent="0.25">
      <c r="A481" t="s">
        <v>42</v>
      </c>
      <c r="B481" t="s">
        <v>2131</v>
      </c>
      <c r="C481" t="s">
        <v>403</v>
      </c>
      <c r="D481" t="s">
        <v>410</v>
      </c>
      <c r="E481" t="s">
        <v>1015</v>
      </c>
      <c r="F481">
        <v>-187</v>
      </c>
      <c r="G481" t="s">
        <v>990</v>
      </c>
      <c r="H481" t="s">
        <v>446</v>
      </c>
      <c r="I481" t="s">
        <v>446</v>
      </c>
      <c r="J481" t="s">
        <v>2051</v>
      </c>
      <c r="K481" t="s">
        <v>446</v>
      </c>
      <c r="L481" t="s">
        <v>446</v>
      </c>
      <c r="M481" t="s">
        <v>446</v>
      </c>
      <c r="N481" t="s">
        <v>446</v>
      </c>
      <c r="O481" t="s">
        <v>446</v>
      </c>
      <c r="P481" t="s">
        <v>446</v>
      </c>
      <c r="Q481" t="b">
        <v>0</v>
      </c>
      <c r="R481" t="b">
        <v>1</v>
      </c>
      <c r="S481" t="s">
        <v>1633</v>
      </c>
      <c r="T481" t="s">
        <v>2085</v>
      </c>
      <c r="U481" t="s">
        <v>1001</v>
      </c>
      <c r="V481" t="s">
        <v>1456</v>
      </c>
      <c r="W481" t="s">
        <v>2086</v>
      </c>
      <c r="X481" t="s">
        <v>446</v>
      </c>
    </row>
    <row r="482" spans="1:24" x14ac:dyDescent="0.25">
      <c r="A482" t="s">
        <v>42</v>
      </c>
      <c r="B482" t="s">
        <v>2132</v>
      </c>
      <c r="C482" t="s">
        <v>403</v>
      </c>
      <c r="D482" t="s">
        <v>410</v>
      </c>
      <c r="E482" t="s">
        <v>1017</v>
      </c>
      <c r="F482">
        <v>-164</v>
      </c>
      <c r="G482" t="s">
        <v>990</v>
      </c>
      <c r="H482" t="s">
        <v>446</v>
      </c>
      <c r="I482" t="s">
        <v>446</v>
      </c>
      <c r="J482" t="s">
        <v>2051</v>
      </c>
      <c r="K482" t="s">
        <v>446</v>
      </c>
      <c r="L482" t="s">
        <v>446</v>
      </c>
      <c r="M482" t="s">
        <v>446</v>
      </c>
      <c r="N482" t="s">
        <v>446</v>
      </c>
      <c r="O482" t="s">
        <v>446</v>
      </c>
      <c r="P482" t="s">
        <v>446</v>
      </c>
      <c r="Q482" t="b">
        <v>0</v>
      </c>
      <c r="R482" t="b">
        <v>1</v>
      </c>
      <c r="S482" t="s">
        <v>1633</v>
      </c>
      <c r="T482" t="s">
        <v>2085</v>
      </c>
      <c r="U482" t="s">
        <v>1001</v>
      </c>
      <c r="V482" t="s">
        <v>1456</v>
      </c>
      <c r="W482" t="s">
        <v>2086</v>
      </c>
      <c r="X482" t="s">
        <v>446</v>
      </c>
    </row>
    <row r="483" spans="1:24" x14ac:dyDescent="0.25">
      <c r="A483" t="s">
        <v>42</v>
      </c>
      <c r="B483" t="s">
        <v>2133</v>
      </c>
      <c r="C483" t="s">
        <v>403</v>
      </c>
      <c r="D483" t="s">
        <v>410</v>
      </c>
      <c r="E483" t="s">
        <v>1019</v>
      </c>
      <c r="F483">
        <v>-136</v>
      </c>
      <c r="G483" t="s">
        <v>990</v>
      </c>
      <c r="H483" t="s">
        <v>446</v>
      </c>
      <c r="I483" t="s">
        <v>446</v>
      </c>
      <c r="J483" t="s">
        <v>2051</v>
      </c>
      <c r="K483" t="s">
        <v>446</v>
      </c>
      <c r="L483" t="s">
        <v>446</v>
      </c>
      <c r="M483" t="s">
        <v>446</v>
      </c>
      <c r="N483" t="s">
        <v>446</v>
      </c>
      <c r="O483" t="s">
        <v>446</v>
      </c>
      <c r="P483" t="s">
        <v>446</v>
      </c>
      <c r="Q483" t="b">
        <v>0</v>
      </c>
      <c r="R483" t="b">
        <v>1</v>
      </c>
      <c r="S483" t="s">
        <v>1633</v>
      </c>
      <c r="T483" t="s">
        <v>2085</v>
      </c>
      <c r="U483" t="s">
        <v>1001</v>
      </c>
      <c r="V483" t="s">
        <v>1456</v>
      </c>
      <c r="W483" t="s">
        <v>2086</v>
      </c>
      <c r="X483" t="s">
        <v>446</v>
      </c>
    </row>
    <row r="484" spans="1:24" x14ac:dyDescent="0.25">
      <c r="A484" t="s">
        <v>42</v>
      </c>
      <c r="B484" t="s">
        <v>2134</v>
      </c>
      <c r="C484" t="s">
        <v>403</v>
      </c>
      <c r="D484" t="s">
        <v>410</v>
      </c>
      <c r="E484" t="s">
        <v>1021</v>
      </c>
      <c r="F484">
        <v>-393</v>
      </c>
      <c r="G484" t="s">
        <v>990</v>
      </c>
      <c r="H484" t="s">
        <v>446</v>
      </c>
      <c r="I484" t="s">
        <v>446</v>
      </c>
      <c r="J484" t="s">
        <v>2051</v>
      </c>
      <c r="K484" t="s">
        <v>446</v>
      </c>
      <c r="L484" t="s">
        <v>446</v>
      </c>
      <c r="M484" t="s">
        <v>446</v>
      </c>
      <c r="N484" t="s">
        <v>446</v>
      </c>
      <c r="O484" t="s">
        <v>446</v>
      </c>
      <c r="P484" t="s">
        <v>446</v>
      </c>
      <c r="Q484" t="b">
        <v>0</v>
      </c>
      <c r="R484" t="b">
        <v>1</v>
      </c>
      <c r="S484" t="s">
        <v>1633</v>
      </c>
      <c r="T484" t="s">
        <v>2085</v>
      </c>
      <c r="U484" t="s">
        <v>1001</v>
      </c>
      <c r="V484" t="s">
        <v>1456</v>
      </c>
      <c r="W484" t="s">
        <v>2086</v>
      </c>
      <c r="X484" t="s">
        <v>446</v>
      </c>
    </row>
    <row r="485" spans="1:24" x14ac:dyDescent="0.25">
      <c r="A485" t="s">
        <v>42</v>
      </c>
      <c r="B485" t="s">
        <v>2135</v>
      </c>
      <c r="C485" t="s">
        <v>403</v>
      </c>
      <c r="D485" t="s">
        <v>410</v>
      </c>
      <c r="E485" t="s">
        <v>1023</v>
      </c>
      <c r="F485">
        <v>-285</v>
      </c>
      <c r="G485" t="s">
        <v>990</v>
      </c>
      <c r="H485" t="s">
        <v>446</v>
      </c>
      <c r="I485" t="s">
        <v>446</v>
      </c>
      <c r="J485" t="s">
        <v>2051</v>
      </c>
      <c r="K485" t="s">
        <v>446</v>
      </c>
      <c r="L485" t="s">
        <v>446</v>
      </c>
      <c r="M485" t="s">
        <v>446</v>
      </c>
      <c r="N485" t="s">
        <v>446</v>
      </c>
      <c r="O485" t="s">
        <v>446</v>
      </c>
      <c r="P485" t="s">
        <v>446</v>
      </c>
      <c r="Q485" t="b">
        <v>0</v>
      </c>
      <c r="R485" t="b">
        <v>1</v>
      </c>
      <c r="S485" t="s">
        <v>1633</v>
      </c>
      <c r="T485" t="s">
        <v>2085</v>
      </c>
      <c r="U485" t="s">
        <v>1001</v>
      </c>
      <c r="V485" t="s">
        <v>1456</v>
      </c>
      <c r="W485" t="s">
        <v>2086</v>
      </c>
      <c r="X485" t="s">
        <v>446</v>
      </c>
    </row>
    <row r="486" spans="1:24" x14ac:dyDescent="0.25">
      <c r="A486" t="s">
        <v>42</v>
      </c>
      <c r="B486" t="s">
        <v>2136</v>
      </c>
      <c r="C486" t="s">
        <v>403</v>
      </c>
      <c r="D486" t="s">
        <v>410</v>
      </c>
      <c r="E486" t="s">
        <v>1025</v>
      </c>
      <c r="F486">
        <v>-245</v>
      </c>
      <c r="G486" t="s">
        <v>990</v>
      </c>
      <c r="H486" t="s">
        <v>446</v>
      </c>
      <c r="I486" t="s">
        <v>446</v>
      </c>
      <c r="J486" t="s">
        <v>2051</v>
      </c>
      <c r="K486" t="s">
        <v>446</v>
      </c>
      <c r="L486" t="s">
        <v>446</v>
      </c>
      <c r="M486" t="s">
        <v>446</v>
      </c>
      <c r="N486" t="s">
        <v>446</v>
      </c>
      <c r="O486" t="s">
        <v>446</v>
      </c>
      <c r="P486" t="s">
        <v>446</v>
      </c>
      <c r="Q486" t="b">
        <v>0</v>
      </c>
      <c r="R486" t="b">
        <v>1</v>
      </c>
      <c r="S486" t="s">
        <v>1633</v>
      </c>
      <c r="T486" t="s">
        <v>2085</v>
      </c>
      <c r="U486" t="s">
        <v>1001</v>
      </c>
      <c r="V486" t="s">
        <v>1456</v>
      </c>
      <c r="W486" t="s">
        <v>2086</v>
      </c>
      <c r="X486" t="s">
        <v>446</v>
      </c>
    </row>
    <row r="487" spans="1:24" x14ac:dyDescent="0.25">
      <c r="A487" t="s">
        <v>42</v>
      </c>
      <c r="B487" t="s">
        <v>2137</v>
      </c>
      <c r="C487" t="s">
        <v>403</v>
      </c>
      <c r="D487" t="s">
        <v>410</v>
      </c>
      <c r="E487" t="s">
        <v>1027</v>
      </c>
      <c r="F487">
        <v>-136</v>
      </c>
      <c r="G487" t="s">
        <v>990</v>
      </c>
      <c r="H487" t="s">
        <v>446</v>
      </c>
      <c r="I487" t="s">
        <v>446</v>
      </c>
      <c r="J487" t="s">
        <v>2051</v>
      </c>
      <c r="K487" t="s">
        <v>446</v>
      </c>
      <c r="L487" t="s">
        <v>446</v>
      </c>
      <c r="M487" t="s">
        <v>446</v>
      </c>
      <c r="N487" t="s">
        <v>446</v>
      </c>
      <c r="O487" t="s">
        <v>446</v>
      </c>
      <c r="P487" t="s">
        <v>446</v>
      </c>
      <c r="Q487" t="b">
        <v>0</v>
      </c>
      <c r="R487" t="b">
        <v>1</v>
      </c>
      <c r="S487" t="s">
        <v>1633</v>
      </c>
      <c r="T487" t="s">
        <v>2085</v>
      </c>
      <c r="U487" t="s">
        <v>1001</v>
      </c>
      <c r="V487" t="s">
        <v>1456</v>
      </c>
      <c r="W487" t="s">
        <v>2086</v>
      </c>
      <c r="X487" t="s">
        <v>446</v>
      </c>
    </row>
    <row r="488" spans="1:24" x14ac:dyDescent="0.25">
      <c r="A488" t="s">
        <v>42</v>
      </c>
      <c r="B488" t="s">
        <v>2138</v>
      </c>
      <c r="C488" t="s">
        <v>403</v>
      </c>
      <c r="D488" t="s">
        <v>410</v>
      </c>
      <c r="E488" t="s">
        <v>1131</v>
      </c>
      <c r="F488">
        <v>-11</v>
      </c>
      <c r="G488" t="s">
        <v>990</v>
      </c>
      <c r="H488" t="s">
        <v>446</v>
      </c>
      <c r="I488" t="s">
        <v>446</v>
      </c>
      <c r="J488" t="s">
        <v>2051</v>
      </c>
      <c r="K488" t="s">
        <v>446</v>
      </c>
      <c r="L488" t="s">
        <v>446</v>
      </c>
      <c r="M488" t="s">
        <v>446</v>
      </c>
      <c r="N488" t="s">
        <v>446</v>
      </c>
      <c r="O488" t="s">
        <v>446</v>
      </c>
      <c r="P488" t="s">
        <v>446</v>
      </c>
      <c r="Q488" t="b">
        <v>0</v>
      </c>
      <c r="R488" t="b">
        <v>1</v>
      </c>
      <c r="S488" t="s">
        <v>1633</v>
      </c>
      <c r="T488" t="s">
        <v>2085</v>
      </c>
      <c r="U488" t="s">
        <v>1001</v>
      </c>
      <c r="V488" t="s">
        <v>1456</v>
      </c>
      <c r="W488" t="s">
        <v>2086</v>
      </c>
      <c r="X488" t="s">
        <v>446</v>
      </c>
    </row>
    <row r="489" spans="1:24" x14ac:dyDescent="0.25">
      <c r="A489" t="s">
        <v>42</v>
      </c>
      <c r="B489" t="s">
        <v>2139</v>
      </c>
      <c r="C489" t="s">
        <v>403</v>
      </c>
      <c r="D489" t="s">
        <v>434</v>
      </c>
      <c r="E489" t="s">
        <v>998</v>
      </c>
      <c r="F489">
        <v>0</v>
      </c>
      <c r="G489" t="s">
        <v>990</v>
      </c>
      <c r="H489" t="s">
        <v>446</v>
      </c>
      <c r="I489" t="s">
        <v>446</v>
      </c>
      <c r="J489" t="s">
        <v>2051</v>
      </c>
      <c r="K489" t="s">
        <v>446</v>
      </c>
      <c r="L489" t="s">
        <v>446</v>
      </c>
      <c r="M489" t="s">
        <v>446</v>
      </c>
      <c r="N489" t="s">
        <v>446</v>
      </c>
      <c r="O489" t="s">
        <v>446</v>
      </c>
      <c r="P489" t="s">
        <v>446</v>
      </c>
      <c r="Q489" t="b">
        <v>0</v>
      </c>
      <c r="R489" t="b">
        <v>1</v>
      </c>
      <c r="S489" t="s">
        <v>1633</v>
      </c>
      <c r="T489" t="s">
        <v>2085</v>
      </c>
      <c r="U489" t="s">
        <v>1001</v>
      </c>
      <c r="V489" t="s">
        <v>1456</v>
      </c>
      <c r="W489" t="s">
        <v>2086</v>
      </c>
      <c r="X489" t="s">
        <v>446</v>
      </c>
    </row>
    <row r="490" spans="1:24" x14ac:dyDescent="0.25">
      <c r="A490" t="s">
        <v>42</v>
      </c>
      <c r="B490" t="s">
        <v>2140</v>
      </c>
      <c r="C490" t="s">
        <v>403</v>
      </c>
      <c r="D490" t="s">
        <v>434</v>
      </c>
      <c r="E490" t="s">
        <v>1005</v>
      </c>
      <c r="F490">
        <v>0</v>
      </c>
      <c r="G490" t="s">
        <v>990</v>
      </c>
      <c r="H490" t="s">
        <v>446</v>
      </c>
      <c r="I490" t="s">
        <v>446</v>
      </c>
      <c r="J490" t="s">
        <v>2051</v>
      </c>
      <c r="K490" t="s">
        <v>446</v>
      </c>
      <c r="L490" t="s">
        <v>446</v>
      </c>
      <c r="M490" t="s">
        <v>446</v>
      </c>
      <c r="N490" t="s">
        <v>446</v>
      </c>
      <c r="O490" t="s">
        <v>446</v>
      </c>
      <c r="P490" t="s">
        <v>446</v>
      </c>
      <c r="Q490" t="b">
        <v>0</v>
      </c>
      <c r="R490" t="b">
        <v>1</v>
      </c>
      <c r="S490" t="s">
        <v>1633</v>
      </c>
      <c r="T490" t="s">
        <v>2085</v>
      </c>
      <c r="U490" t="s">
        <v>1001</v>
      </c>
      <c r="V490" t="s">
        <v>1456</v>
      </c>
      <c r="W490" t="s">
        <v>2086</v>
      </c>
      <c r="X490" t="s">
        <v>446</v>
      </c>
    </row>
    <row r="491" spans="1:24" x14ac:dyDescent="0.25">
      <c r="A491" t="s">
        <v>42</v>
      </c>
      <c r="B491" t="s">
        <v>2141</v>
      </c>
      <c r="C491" t="s">
        <v>403</v>
      </c>
      <c r="D491" t="s">
        <v>434</v>
      </c>
      <c r="E491" t="s">
        <v>1007</v>
      </c>
      <c r="F491">
        <v>0</v>
      </c>
      <c r="G491" t="s">
        <v>990</v>
      </c>
      <c r="H491" t="s">
        <v>446</v>
      </c>
      <c r="I491" t="s">
        <v>446</v>
      </c>
      <c r="J491" t="s">
        <v>2051</v>
      </c>
      <c r="K491" t="s">
        <v>446</v>
      </c>
      <c r="L491" t="s">
        <v>446</v>
      </c>
      <c r="M491" t="s">
        <v>446</v>
      </c>
      <c r="N491" t="s">
        <v>446</v>
      </c>
      <c r="O491" t="s">
        <v>446</v>
      </c>
      <c r="P491" t="s">
        <v>446</v>
      </c>
      <c r="Q491" t="b">
        <v>0</v>
      </c>
      <c r="R491" t="b">
        <v>1</v>
      </c>
      <c r="S491" t="s">
        <v>1633</v>
      </c>
      <c r="T491" t="s">
        <v>2085</v>
      </c>
      <c r="U491" t="s">
        <v>1001</v>
      </c>
      <c r="V491" t="s">
        <v>1456</v>
      </c>
      <c r="W491" t="s">
        <v>2086</v>
      </c>
      <c r="X491" t="s">
        <v>446</v>
      </c>
    </row>
    <row r="492" spans="1:24" x14ac:dyDescent="0.25">
      <c r="A492" t="s">
        <v>42</v>
      </c>
      <c r="B492" t="s">
        <v>2142</v>
      </c>
      <c r="C492" t="s">
        <v>403</v>
      </c>
      <c r="D492" t="s">
        <v>434</v>
      </c>
      <c r="E492" t="s">
        <v>1009</v>
      </c>
      <c r="F492">
        <v>0</v>
      </c>
      <c r="G492" t="s">
        <v>990</v>
      </c>
      <c r="H492" t="s">
        <v>446</v>
      </c>
      <c r="I492" t="s">
        <v>446</v>
      </c>
      <c r="J492" t="s">
        <v>2051</v>
      </c>
      <c r="K492" t="s">
        <v>446</v>
      </c>
      <c r="L492" t="s">
        <v>446</v>
      </c>
      <c r="M492" t="s">
        <v>446</v>
      </c>
      <c r="N492" t="s">
        <v>446</v>
      </c>
      <c r="O492" t="s">
        <v>446</v>
      </c>
      <c r="P492" t="s">
        <v>446</v>
      </c>
      <c r="Q492" t="b">
        <v>0</v>
      </c>
      <c r="R492" t="b">
        <v>1</v>
      </c>
      <c r="S492" t="s">
        <v>1633</v>
      </c>
      <c r="T492" t="s">
        <v>2085</v>
      </c>
      <c r="U492" t="s">
        <v>1001</v>
      </c>
      <c r="V492" t="s">
        <v>1456</v>
      </c>
      <c r="W492" t="s">
        <v>2086</v>
      </c>
      <c r="X492" t="s">
        <v>446</v>
      </c>
    </row>
    <row r="493" spans="1:24" x14ac:dyDescent="0.25">
      <c r="A493" t="s">
        <v>42</v>
      </c>
      <c r="B493" t="s">
        <v>2143</v>
      </c>
      <c r="C493" t="s">
        <v>403</v>
      </c>
      <c r="D493" t="s">
        <v>434</v>
      </c>
      <c r="E493" t="s">
        <v>1011</v>
      </c>
      <c r="F493">
        <v>0</v>
      </c>
      <c r="G493" t="s">
        <v>990</v>
      </c>
      <c r="H493" t="s">
        <v>446</v>
      </c>
      <c r="I493" t="s">
        <v>446</v>
      </c>
      <c r="J493" t="s">
        <v>2051</v>
      </c>
      <c r="K493" t="s">
        <v>446</v>
      </c>
      <c r="L493" t="s">
        <v>446</v>
      </c>
      <c r="M493" t="s">
        <v>446</v>
      </c>
      <c r="N493" t="s">
        <v>446</v>
      </c>
      <c r="O493" t="s">
        <v>446</v>
      </c>
      <c r="P493" t="s">
        <v>446</v>
      </c>
      <c r="Q493" t="b">
        <v>0</v>
      </c>
      <c r="R493" t="b">
        <v>1</v>
      </c>
      <c r="S493" t="s">
        <v>1633</v>
      </c>
      <c r="T493" t="s">
        <v>2085</v>
      </c>
      <c r="U493" t="s">
        <v>1001</v>
      </c>
      <c r="V493" t="s">
        <v>1456</v>
      </c>
      <c r="W493" t="s">
        <v>2086</v>
      </c>
      <c r="X493" t="s">
        <v>446</v>
      </c>
    </row>
    <row r="494" spans="1:24" x14ac:dyDescent="0.25">
      <c r="A494" t="s">
        <v>42</v>
      </c>
      <c r="B494" t="s">
        <v>2144</v>
      </c>
      <c r="C494" t="s">
        <v>403</v>
      </c>
      <c r="D494" t="s">
        <v>434</v>
      </c>
      <c r="E494" t="s">
        <v>1013</v>
      </c>
      <c r="F494">
        <v>0</v>
      </c>
      <c r="G494" t="s">
        <v>990</v>
      </c>
      <c r="H494" t="s">
        <v>446</v>
      </c>
      <c r="I494" t="s">
        <v>446</v>
      </c>
      <c r="J494" t="s">
        <v>2051</v>
      </c>
      <c r="K494" t="s">
        <v>446</v>
      </c>
      <c r="L494" t="s">
        <v>446</v>
      </c>
      <c r="M494" t="s">
        <v>446</v>
      </c>
      <c r="N494" t="s">
        <v>446</v>
      </c>
      <c r="O494" t="s">
        <v>446</v>
      </c>
      <c r="P494" t="s">
        <v>446</v>
      </c>
      <c r="Q494" t="b">
        <v>0</v>
      </c>
      <c r="R494" t="b">
        <v>1</v>
      </c>
      <c r="S494" t="s">
        <v>1633</v>
      </c>
      <c r="T494" t="s">
        <v>2085</v>
      </c>
      <c r="U494" t="s">
        <v>1001</v>
      </c>
      <c r="V494" t="s">
        <v>1456</v>
      </c>
      <c r="W494" t="s">
        <v>2086</v>
      </c>
      <c r="X494" t="s">
        <v>446</v>
      </c>
    </row>
    <row r="495" spans="1:24" x14ac:dyDescent="0.25">
      <c r="A495" t="s">
        <v>42</v>
      </c>
      <c r="B495" t="s">
        <v>2145</v>
      </c>
      <c r="C495" t="s">
        <v>403</v>
      </c>
      <c r="D495" t="s">
        <v>434</v>
      </c>
      <c r="E495" t="s">
        <v>1015</v>
      </c>
      <c r="F495">
        <v>0</v>
      </c>
      <c r="G495" t="s">
        <v>990</v>
      </c>
      <c r="H495" t="s">
        <v>446</v>
      </c>
      <c r="I495" t="s">
        <v>446</v>
      </c>
      <c r="J495" t="s">
        <v>2051</v>
      </c>
      <c r="K495" t="s">
        <v>446</v>
      </c>
      <c r="L495" t="s">
        <v>446</v>
      </c>
      <c r="M495" t="s">
        <v>446</v>
      </c>
      <c r="N495" t="s">
        <v>446</v>
      </c>
      <c r="O495" t="s">
        <v>446</v>
      </c>
      <c r="P495" t="s">
        <v>446</v>
      </c>
      <c r="Q495" t="b">
        <v>0</v>
      </c>
      <c r="R495" t="b">
        <v>1</v>
      </c>
      <c r="S495" t="s">
        <v>1633</v>
      </c>
      <c r="T495" t="s">
        <v>2085</v>
      </c>
      <c r="U495" t="s">
        <v>1001</v>
      </c>
      <c r="V495" t="s">
        <v>1456</v>
      </c>
      <c r="W495" t="s">
        <v>2086</v>
      </c>
      <c r="X495" t="s">
        <v>446</v>
      </c>
    </row>
    <row r="496" spans="1:24" x14ac:dyDescent="0.25">
      <c r="A496" t="s">
        <v>42</v>
      </c>
      <c r="B496" t="s">
        <v>2146</v>
      </c>
      <c r="C496" t="s">
        <v>403</v>
      </c>
      <c r="D496" t="s">
        <v>434</v>
      </c>
      <c r="E496" t="s">
        <v>1017</v>
      </c>
      <c r="F496">
        <v>0</v>
      </c>
      <c r="G496" t="s">
        <v>990</v>
      </c>
      <c r="H496" t="s">
        <v>446</v>
      </c>
      <c r="I496" t="s">
        <v>446</v>
      </c>
      <c r="J496" t="s">
        <v>2051</v>
      </c>
      <c r="K496" t="s">
        <v>446</v>
      </c>
      <c r="L496" t="s">
        <v>446</v>
      </c>
      <c r="M496" t="s">
        <v>446</v>
      </c>
      <c r="N496" t="s">
        <v>446</v>
      </c>
      <c r="O496" t="s">
        <v>446</v>
      </c>
      <c r="P496" t="s">
        <v>446</v>
      </c>
      <c r="Q496" t="b">
        <v>0</v>
      </c>
      <c r="R496" t="b">
        <v>1</v>
      </c>
      <c r="S496" t="s">
        <v>1633</v>
      </c>
      <c r="T496" t="s">
        <v>2085</v>
      </c>
      <c r="U496" t="s">
        <v>1001</v>
      </c>
      <c r="V496" t="s">
        <v>1456</v>
      </c>
      <c r="W496" t="s">
        <v>2086</v>
      </c>
      <c r="X496" t="s">
        <v>446</v>
      </c>
    </row>
    <row r="497" spans="1:24" x14ac:dyDescent="0.25">
      <c r="A497" t="s">
        <v>42</v>
      </c>
      <c r="B497" t="s">
        <v>2147</v>
      </c>
      <c r="C497" t="s">
        <v>403</v>
      </c>
      <c r="D497" t="s">
        <v>434</v>
      </c>
      <c r="E497" t="s">
        <v>1019</v>
      </c>
      <c r="F497">
        <v>0</v>
      </c>
      <c r="G497" t="s">
        <v>990</v>
      </c>
      <c r="H497" t="s">
        <v>446</v>
      </c>
      <c r="I497" t="s">
        <v>446</v>
      </c>
      <c r="J497" t="s">
        <v>2051</v>
      </c>
      <c r="K497" t="s">
        <v>446</v>
      </c>
      <c r="L497" t="s">
        <v>446</v>
      </c>
      <c r="M497" t="s">
        <v>446</v>
      </c>
      <c r="N497" t="s">
        <v>446</v>
      </c>
      <c r="O497" t="s">
        <v>446</v>
      </c>
      <c r="P497" t="s">
        <v>446</v>
      </c>
      <c r="Q497" t="b">
        <v>0</v>
      </c>
      <c r="R497" t="b">
        <v>1</v>
      </c>
      <c r="S497" t="s">
        <v>1633</v>
      </c>
      <c r="T497" t="s">
        <v>2085</v>
      </c>
      <c r="U497" t="s">
        <v>1001</v>
      </c>
      <c r="V497" t="s">
        <v>1456</v>
      </c>
      <c r="W497" t="s">
        <v>2086</v>
      </c>
      <c r="X497" t="s">
        <v>446</v>
      </c>
    </row>
    <row r="498" spans="1:24" x14ac:dyDescent="0.25">
      <c r="A498" t="s">
        <v>42</v>
      </c>
      <c r="B498" t="s">
        <v>2148</v>
      </c>
      <c r="C498" t="s">
        <v>403</v>
      </c>
      <c r="D498" t="s">
        <v>434</v>
      </c>
      <c r="E498" t="s">
        <v>1021</v>
      </c>
      <c r="F498">
        <v>0</v>
      </c>
      <c r="G498" t="s">
        <v>990</v>
      </c>
      <c r="H498" t="s">
        <v>446</v>
      </c>
      <c r="I498" t="s">
        <v>446</v>
      </c>
      <c r="J498" t="s">
        <v>2051</v>
      </c>
      <c r="K498" t="s">
        <v>446</v>
      </c>
      <c r="L498" t="s">
        <v>446</v>
      </c>
      <c r="M498" t="s">
        <v>446</v>
      </c>
      <c r="N498" t="s">
        <v>446</v>
      </c>
      <c r="O498" t="s">
        <v>446</v>
      </c>
      <c r="P498" t="s">
        <v>446</v>
      </c>
      <c r="Q498" t="b">
        <v>0</v>
      </c>
      <c r="R498" t="b">
        <v>1</v>
      </c>
      <c r="S498" t="s">
        <v>1633</v>
      </c>
      <c r="T498" t="s">
        <v>2085</v>
      </c>
      <c r="U498" t="s">
        <v>1001</v>
      </c>
      <c r="V498" t="s">
        <v>1456</v>
      </c>
      <c r="W498" t="s">
        <v>2086</v>
      </c>
      <c r="X498" t="s">
        <v>446</v>
      </c>
    </row>
    <row r="499" spans="1:24" x14ac:dyDescent="0.25">
      <c r="A499" t="s">
        <v>42</v>
      </c>
      <c r="B499" t="s">
        <v>2149</v>
      </c>
      <c r="C499" t="s">
        <v>403</v>
      </c>
      <c r="D499" t="s">
        <v>434</v>
      </c>
      <c r="E499" t="s">
        <v>1023</v>
      </c>
      <c r="F499">
        <v>0</v>
      </c>
      <c r="G499" t="s">
        <v>990</v>
      </c>
      <c r="H499" t="s">
        <v>446</v>
      </c>
      <c r="I499" t="s">
        <v>446</v>
      </c>
      <c r="J499" t="s">
        <v>2051</v>
      </c>
      <c r="K499" t="s">
        <v>446</v>
      </c>
      <c r="L499" t="s">
        <v>446</v>
      </c>
      <c r="M499" t="s">
        <v>446</v>
      </c>
      <c r="N499" t="s">
        <v>446</v>
      </c>
      <c r="O499" t="s">
        <v>446</v>
      </c>
      <c r="P499" t="s">
        <v>446</v>
      </c>
      <c r="Q499" t="b">
        <v>0</v>
      </c>
      <c r="R499" t="b">
        <v>1</v>
      </c>
      <c r="S499" t="s">
        <v>1633</v>
      </c>
      <c r="T499" t="s">
        <v>2085</v>
      </c>
      <c r="U499" t="s">
        <v>1001</v>
      </c>
      <c r="V499" t="s">
        <v>1456</v>
      </c>
      <c r="W499" t="s">
        <v>2086</v>
      </c>
      <c r="X499" t="s">
        <v>446</v>
      </c>
    </row>
    <row r="500" spans="1:24" x14ac:dyDescent="0.25">
      <c r="A500" t="s">
        <v>42</v>
      </c>
      <c r="B500" t="s">
        <v>2150</v>
      </c>
      <c r="C500" t="s">
        <v>403</v>
      </c>
      <c r="D500" t="s">
        <v>434</v>
      </c>
      <c r="E500" t="s">
        <v>1025</v>
      </c>
      <c r="F500">
        <v>0</v>
      </c>
      <c r="G500" t="s">
        <v>990</v>
      </c>
      <c r="H500" t="s">
        <v>446</v>
      </c>
      <c r="I500" t="s">
        <v>446</v>
      </c>
      <c r="J500" t="s">
        <v>2051</v>
      </c>
      <c r="K500" t="s">
        <v>446</v>
      </c>
      <c r="L500" t="s">
        <v>446</v>
      </c>
      <c r="M500" t="s">
        <v>446</v>
      </c>
      <c r="N500" t="s">
        <v>446</v>
      </c>
      <c r="O500" t="s">
        <v>446</v>
      </c>
      <c r="P500" t="s">
        <v>446</v>
      </c>
      <c r="Q500" t="b">
        <v>0</v>
      </c>
      <c r="R500" t="b">
        <v>1</v>
      </c>
      <c r="S500" t="s">
        <v>1633</v>
      </c>
      <c r="T500" t="s">
        <v>2085</v>
      </c>
      <c r="U500" t="s">
        <v>1001</v>
      </c>
      <c r="V500" t="s">
        <v>1456</v>
      </c>
      <c r="W500" t="s">
        <v>2086</v>
      </c>
      <c r="X500" t="s">
        <v>446</v>
      </c>
    </row>
    <row r="501" spans="1:24" x14ac:dyDescent="0.25">
      <c r="A501" t="s">
        <v>42</v>
      </c>
      <c r="B501" t="s">
        <v>2151</v>
      </c>
      <c r="C501" t="s">
        <v>403</v>
      </c>
      <c r="D501" t="s">
        <v>434</v>
      </c>
      <c r="E501" t="s">
        <v>1027</v>
      </c>
      <c r="F501">
        <v>0</v>
      </c>
      <c r="G501" t="s">
        <v>990</v>
      </c>
      <c r="H501" t="s">
        <v>446</v>
      </c>
      <c r="I501" t="s">
        <v>446</v>
      </c>
      <c r="J501" t="s">
        <v>2051</v>
      </c>
      <c r="K501" t="s">
        <v>446</v>
      </c>
      <c r="L501" t="s">
        <v>446</v>
      </c>
      <c r="M501" t="s">
        <v>446</v>
      </c>
      <c r="N501" t="s">
        <v>446</v>
      </c>
      <c r="O501" t="s">
        <v>446</v>
      </c>
      <c r="P501" t="s">
        <v>446</v>
      </c>
      <c r="Q501" t="b">
        <v>0</v>
      </c>
      <c r="R501" t="b">
        <v>1</v>
      </c>
      <c r="S501" t="s">
        <v>1633</v>
      </c>
      <c r="T501" t="s">
        <v>2085</v>
      </c>
      <c r="U501" t="s">
        <v>1001</v>
      </c>
      <c r="V501" t="s">
        <v>1456</v>
      </c>
      <c r="W501" t="s">
        <v>2086</v>
      </c>
      <c r="X501" t="s">
        <v>446</v>
      </c>
    </row>
    <row r="502" spans="1:24" x14ac:dyDescent="0.25">
      <c r="A502" t="s">
        <v>42</v>
      </c>
      <c r="B502" t="s">
        <v>2152</v>
      </c>
      <c r="C502" t="s">
        <v>403</v>
      </c>
      <c r="D502" t="s">
        <v>434</v>
      </c>
      <c r="E502" t="s">
        <v>1131</v>
      </c>
      <c r="F502">
        <v>0</v>
      </c>
      <c r="G502" t="s">
        <v>990</v>
      </c>
      <c r="H502" t="s">
        <v>446</v>
      </c>
      <c r="I502" t="s">
        <v>446</v>
      </c>
      <c r="J502" t="s">
        <v>2051</v>
      </c>
      <c r="K502" t="s">
        <v>446</v>
      </c>
      <c r="L502" t="s">
        <v>446</v>
      </c>
      <c r="M502" t="s">
        <v>446</v>
      </c>
      <c r="N502" t="s">
        <v>446</v>
      </c>
      <c r="O502" t="s">
        <v>446</v>
      </c>
      <c r="P502" t="s">
        <v>446</v>
      </c>
      <c r="Q502" t="b">
        <v>0</v>
      </c>
      <c r="R502" t="b">
        <v>1</v>
      </c>
      <c r="S502" t="s">
        <v>1633</v>
      </c>
      <c r="T502" t="s">
        <v>2085</v>
      </c>
      <c r="U502" t="s">
        <v>1001</v>
      </c>
      <c r="V502" t="s">
        <v>1456</v>
      </c>
      <c r="W502" t="s">
        <v>2086</v>
      </c>
      <c r="X502" t="s">
        <v>446</v>
      </c>
    </row>
    <row r="503" spans="1:24" x14ac:dyDescent="0.25">
      <c r="A503" t="s">
        <v>42</v>
      </c>
      <c r="B503" t="s">
        <v>2153</v>
      </c>
      <c r="C503" t="s">
        <v>403</v>
      </c>
      <c r="D503" t="s">
        <v>436</v>
      </c>
      <c r="E503" t="s">
        <v>998</v>
      </c>
      <c r="F503">
        <v>0</v>
      </c>
      <c r="G503" t="s">
        <v>990</v>
      </c>
      <c r="H503" t="s">
        <v>446</v>
      </c>
      <c r="I503" t="s">
        <v>446</v>
      </c>
      <c r="J503" t="s">
        <v>2051</v>
      </c>
      <c r="K503" t="s">
        <v>446</v>
      </c>
      <c r="L503" t="s">
        <v>446</v>
      </c>
      <c r="M503" t="s">
        <v>446</v>
      </c>
      <c r="N503" t="s">
        <v>446</v>
      </c>
      <c r="O503" t="s">
        <v>446</v>
      </c>
      <c r="P503" t="s">
        <v>446</v>
      </c>
      <c r="Q503" t="b">
        <v>0</v>
      </c>
      <c r="R503" t="b">
        <v>1</v>
      </c>
      <c r="S503" t="s">
        <v>1633</v>
      </c>
      <c r="T503" t="s">
        <v>2085</v>
      </c>
      <c r="U503" t="s">
        <v>1001</v>
      </c>
      <c r="V503" t="s">
        <v>1456</v>
      </c>
      <c r="W503" t="s">
        <v>2086</v>
      </c>
      <c r="X503" t="s">
        <v>446</v>
      </c>
    </row>
    <row r="504" spans="1:24" x14ac:dyDescent="0.25">
      <c r="A504" t="s">
        <v>42</v>
      </c>
      <c r="B504" t="s">
        <v>2154</v>
      </c>
      <c r="C504" t="s">
        <v>403</v>
      </c>
      <c r="D504" t="s">
        <v>436</v>
      </c>
      <c r="E504" t="s">
        <v>1005</v>
      </c>
      <c r="F504">
        <v>15844</v>
      </c>
      <c r="G504" t="s">
        <v>990</v>
      </c>
      <c r="H504" t="s">
        <v>446</v>
      </c>
      <c r="I504" t="s">
        <v>446</v>
      </c>
      <c r="J504" t="s">
        <v>2051</v>
      </c>
      <c r="K504" t="s">
        <v>446</v>
      </c>
      <c r="L504" t="s">
        <v>446</v>
      </c>
      <c r="M504" t="s">
        <v>446</v>
      </c>
      <c r="N504" t="s">
        <v>446</v>
      </c>
      <c r="O504" t="s">
        <v>446</v>
      </c>
      <c r="P504" t="s">
        <v>446</v>
      </c>
      <c r="Q504" t="b">
        <v>0</v>
      </c>
      <c r="R504" t="b">
        <v>1</v>
      </c>
      <c r="S504" t="s">
        <v>1633</v>
      </c>
      <c r="T504" t="s">
        <v>2085</v>
      </c>
      <c r="U504" t="s">
        <v>1001</v>
      </c>
      <c r="V504" t="s">
        <v>1456</v>
      </c>
      <c r="W504" t="s">
        <v>2086</v>
      </c>
      <c r="X504" t="s">
        <v>446</v>
      </c>
    </row>
    <row r="505" spans="1:24" x14ac:dyDescent="0.25">
      <c r="A505" t="s">
        <v>42</v>
      </c>
      <c r="B505" t="s">
        <v>2155</v>
      </c>
      <c r="C505" t="s">
        <v>403</v>
      </c>
      <c r="D505" t="s">
        <v>436</v>
      </c>
      <c r="E505" t="s">
        <v>1007</v>
      </c>
      <c r="F505">
        <v>15831</v>
      </c>
      <c r="G505" t="s">
        <v>990</v>
      </c>
      <c r="H505" t="s">
        <v>446</v>
      </c>
      <c r="I505" t="s">
        <v>446</v>
      </c>
      <c r="J505" t="s">
        <v>2051</v>
      </c>
      <c r="K505" t="s">
        <v>446</v>
      </c>
      <c r="L505" t="s">
        <v>446</v>
      </c>
      <c r="M505" t="s">
        <v>446</v>
      </c>
      <c r="N505" t="s">
        <v>446</v>
      </c>
      <c r="O505" t="s">
        <v>446</v>
      </c>
      <c r="P505" t="s">
        <v>446</v>
      </c>
      <c r="Q505" t="b">
        <v>0</v>
      </c>
      <c r="R505" t="b">
        <v>1</v>
      </c>
      <c r="S505" t="s">
        <v>1633</v>
      </c>
      <c r="T505" t="s">
        <v>2085</v>
      </c>
      <c r="U505" t="s">
        <v>1001</v>
      </c>
      <c r="V505" t="s">
        <v>1456</v>
      </c>
      <c r="W505" t="s">
        <v>2086</v>
      </c>
      <c r="X505" t="s">
        <v>446</v>
      </c>
    </row>
    <row r="506" spans="1:24" x14ac:dyDescent="0.25">
      <c r="A506" t="s">
        <v>42</v>
      </c>
      <c r="B506" t="s">
        <v>2156</v>
      </c>
      <c r="C506" t="s">
        <v>403</v>
      </c>
      <c r="D506" t="s">
        <v>436</v>
      </c>
      <c r="E506" t="s">
        <v>1009</v>
      </c>
      <c r="F506">
        <v>15577</v>
      </c>
      <c r="G506" t="s">
        <v>990</v>
      </c>
      <c r="H506" t="s">
        <v>446</v>
      </c>
      <c r="I506" t="s">
        <v>446</v>
      </c>
      <c r="J506" t="s">
        <v>2051</v>
      </c>
      <c r="K506" t="s">
        <v>446</v>
      </c>
      <c r="L506" t="s">
        <v>446</v>
      </c>
      <c r="M506" t="s">
        <v>446</v>
      </c>
      <c r="N506" t="s">
        <v>446</v>
      </c>
      <c r="O506" t="s">
        <v>446</v>
      </c>
      <c r="P506" t="s">
        <v>446</v>
      </c>
      <c r="Q506" t="b">
        <v>0</v>
      </c>
      <c r="R506" t="b">
        <v>1</v>
      </c>
      <c r="S506" t="s">
        <v>1633</v>
      </c>
      <c r="T506" t="s">
        <v>2085</v>
      </c>
      <c r="U506" t="s">
        <v>1001</v>
      </c>
      <c r="V506" t="s">
        <v>1456</v>
      </c>
      <c r="W506" t="s">
        <v>2086</v>
      </c>
      <c r="X506" t="s">
        <v>446</v>
      </c>
    </row>
    <row r="507" spans="1:24" x14ac:dyDescent="0.25">
      <c r="A507" t="s">
        <v>42</v>
      </c>
      <c r="B507" t="s">
        <v>2157</v>
      </c>
      <c r="C507" t="s">
        <v>403</v>
      </c>
      <c r="D507" t="s">
        <v>436</v>
      </c>
      <c r="E507" t="s">
        <v>1011</v>
      </c>
      <c r="F507">
        <v>15501</v>
      </c>
      <c r="G507" t="s">
        <v>990</v>
      </c>
      <c r="H507" t="s">
        <v>446</v>
      </c>
      <c r="I507" t="s">
        <v>446</v>
      </c>
      <c r="J507" t="s">
        <v>2051</v>
      </c>
      <c r="K507" t="s">
        <v>446</v>
      </c>
      <c r="L507" t="s">
        <v>446</v>
      </c>
      <c r="M507" t="s">
        <v>446</v>
      </c>
      <c r="N507" t="s">
        <v>446</v>
      </c>
      <c r="O507" t="s">
        <v>446</v>
      </c>
      <c r="P507" t="s">
        <v>446</v>
      </c>
      <c r="Q507" t="b">
        <v>0</v>
      </c>
      <c r="R507" t="b">
        <v>1</v>
      </c>
      <c r="S507" t="s">
        <v>1633</v>
      </c>
      <c r="T507" t="s">
        <v>2085</v>
      </c>
      <c r="U507" t="s">
        <v>1001</v>
      </c>
      <c r="V507" t="s">
        <v>1456</v>
      </c>
      <c r="W507" t="s">
        <v>2086</v>
      </c>
      <c r="X507" t="s">
        <v>446</v>
      </c>
    </row>
    <row r="508" spans="1:24" x14ac:dyDescent="0.25">
      <c r="A508" t="s">
        <v>42</v>
      </c>
      <c r="B508" t="s">
        <v>2158</v>
      </c>
      <c r="C508" t="s">
        <v>403</v>
      </c>
      <c r="D508" t="s">
        <v>436</v>
      </c>
      <c r="E508" t="s">
        <v>1013</v>
      </c>
      <c r="F508">
        <v>17550</v>
      </c>
      <c r="G508" t="s">
        <v>990</v>
      </c>
      <c r="H508" t="s">
        <v>446</v>
      </c>
      <c r="I508" t="s">
        <v>446</v>
      </c>
      <c r="J508" t="s">
        <v>2051</v>
      </c>
      <c r="K508" t="s">
        <v>446</v>
      </c>
      <c r="L508" t="s">
        <v>446</v>
      </c>
      <c r="M508" t="s">
        <v>446</v>
      </c>
      <c r="N508" t="s">
        <v>446</v>
      </c>
      <c r="O508" t="s">
        <v>446</v>
      </c>
      <c r="P508" t="s">
        <v>446</v>
      </c>
      <c r="Q508" t="b">
        <v>0</v>
      </c>
      <c r="R508" t="b">
        <v>1</v>
      </c>
      <c r="S508" t="s">
        <v>1633</v>
      </c>
      <c r="T508" t="s">
        <v>2085</v>
      </c>
      <c r="U508" t="s">
        <v>1001</v>
      </c>
      <c r="V508" t="s">
        <v>1456</v>
      </c>
      <c r="W508" t="s">
        <v>2086</v>
      </c>
      <c r="X508" t="s">
        <v>446</v>
      </c>
    </row>
    <row r="509" spans="1:24" x14ac:dyDescent="0.25">
      <c r="A509" t="s">
        <v>42</v>
      </c>
      <c r="B509" t="s">
        <v>2159</v>
      </c>
      <c r="C509" t="s">
        <v>403</v>
      </c>
      <c r="D509" t="s">
        <v>436</v>
      </c>
      <c r="E509" t="s">
        <v>1015</v>
      </c>
      <c r="F509">
        <v>17547</v>
      </c>
      <c r="G509" t="s">
        <v>990</v>
      </c>
      <c r="H509" t="s">
        <v>446</v>
      </c>
      <c r="I509" t="s">
        <v>446</v>
      </c>
      <c r="J509" t="s">
        <v>2051</v>
      </c>
      <c r="K509" t="s">
        <v>446</v>
      </c>
      <c r="L509" t="s">
        <v>446</v>
      </c>
      <c r="M509" t="s">
        <v>446</v>
      </c>
      <c r="N509" t="s">
        <v>446</v>
      </c>
      <c r="O509" t="s">
        <v>446</v>
      </c>
      <c r="P509" t="s">
        <v>446</v>
      </c>
      <c r="Q509" t="b">
        <v>0</v>
      </c>
      <c r="R509" t="b">
        <v>1</v>
      </c>
      <c r="S509" t="s">
        <v>1633</v>
      </c>
      <c r="T509" t="s">
        <v>2085</v>
      </c>
      <c r="U509" t="s">
        <v>1001</v>
      </c>
      <c r="V509" t="s">
        <v>1456</v>
      </c>
      <c r="W509" t="s">
        <v>2086</v>
      </c>
      <c r="X509" t="s">
        <v>446</v>
      </c>
    </row>
    <row r="510" spans="1:24" x14ac:dyDescent="0.25">
      <c r="A510" t="s">
        <v>42</v>
      </c>
      <c r="B510" t="s">
        <v>2160</v>
      </c>
      <c r="C510" t="s">
        <v>403</v>
      </c>
      <c r="D510" t="s">
        <v>436</v>
      </c>
      <c r="E510" t="s">
        <v>1017</v>
      </c>
      <c r="F510">
        <v>17209</v>
      </c>
      <c r="G510" t="s">
        <v>990</v>
      </c>
      <c r="H510" t="s">
        <v>446</v>
      </c>
      <c r="I510" t="s">
        <v>446</v>
      </c>
      <c r="J510" t="s">
        <v>2051</v>
      </c>
      <c r="K510" t="s">
        <v>446</v>
      </c>
      <c r="L510" t="s">
        <v>446</v>
      </c>
      <c r="M510" t="s">
        <v>446</v>
      </c>
      <c r="N510" t="s">
        <v>446</v>
      </c>
      <c r="O510" t="s">
        <v>446</v>
      </c>
      <c r="P510" t="s">
        <v>446</v>
      </c>
      <c r="Q510" t="b">
        <v>0</v>
      </c>
      <c r="R510" t="b">
        <v>1</v>
      </c>
      <c r="S510" t="s">
        <v>1633</v>
      </c>
      <c r="T510" t="s">
        <v>2085</v>
      </c>
      <c r="U510" t="s">
        <v>1001</v>
      </c>
      <c r="V510" t="s">
        <v>1456</v>
      </c>
      <c r="W510" t="s">
        <v>2086</v>
      </c>
      <c r="X510" t="s">
        <v>446</v>
      </c>
    </row>
    <row r="511" spans="1:24" x14ac:dyDescent="0.25">
      <c r="A511" t="s">
        <v>42</v>
      </c>
      <c r="B511" t="s">
        <v>2161</v>
      </c>
      <c r="C511" t="s">
        <v>403</v>
      </c>
      <c r="D511" t="s">
        <v>436</v>
      </c>
      <c r="E511" t="s">
        <v>1019</v>
      </c>
      <c r="F511">
        <v>17365</v>
      </c>
      <c r="G511" t="s">
        <v>990</v>
      </c>
      <c r="H511" t="s">
        <v>446</v>
      </c>
      <c r="I511" t="s">
        <v>446</v>
      </c>
      <c r="J511" t="s">
        <v>2051</v>
      </c>
      <c r="K511" t="s">
        <v>446</v>
      </c>
      <c r="L511" t="s">
        <v>446</v>
      </c>
      <c r="M511" t="s">
        <v>446</v>
      </c>
      <c r="N511" t="s">
        <v>446</v>
      </c>
      <c r="O511" t="s">
        <v>446</v>
      </c>
      <c r="P511" t="s">
        <v>446</v>
      </c>
      <c r="Q511" t="b">
        <v>0</v>
      </c>
      <c r="R511" t="b">
        <v>1</v>
      </c>
      <c r="S511" t="s">
        <v>1633</v>
      </c>
      <c r="T511" t="s">
        <v>2085</v>
      </c>
      <c r="U511" t="s">
        <v>1001</v>
      </c>
      <c r="V511" t="s">
        <v>1456</v>
      </c>
      <c r="W511" t="s">
        <v>2086</v>
      </c>
      <c r="X511" t="s">
        <v>446</v>
      </c>
    </row>
    <row r="512" spans="1:24" x14ac:dyDescent="0.25">
      <c r="A512" t="s">
        <v>42</v>
      </c>
      <c r="B512" t="s">
        <v>2162</v>
      </c>
      <c r="C512" t="s">
        <v>403</v>
      </c>
      <c r="D512" t="s">
        <v>436</v>
      </c>
      <c r="E512" t="s">
        <v>1021</v>
      </c>
      <c r="F512">
        <v>20804</v>
      </c>
      <c r="G512" t="s">
        <v>990</v>
      </c>
      <c r="H512" t="s">
        <v>446</v>
      </c>
      <c r="I512" t="s">
        <v>446</v>
      </c>
      <c r="J512" t="s">
        <v>2051</v>
      </c>
      <c r="K512" t="s">
        <v>446</v>
      </c>
      <c r="L512" t="s">
        <v>446</v>
      </c>
      <c r="M512" t="s">
        <v>446</v>
      </c>
      <c r="N512" t="s">
        <v>446</v>
      </c>
      <c r="O512" t="s">
        <v>446</v>
      </c>
      <c r="P512" t="s">
        <v>446</v>
      </c>
      <c r="Q512" t="b">
        <v>0</v>
      </c>
      <c r="R512" t="b">
        <v>1</v>
      </c>
      <c r="S512" t="s">
        <v>1633</v>
      </c>
      <c r="T512" t="s">
        <v>2085</v>
      </c>
      <c r="U512" t="s">
        <v>1001</v>
      </c>
      <c r="V512" t="s">
        <v>1456</v>
      </c>
      <c r="W512" t="s">
        <v>2086</v>
      </c>
      <c r="X512" t="s">
        <v>446</v>
      </c>
    </row>
    <row r="513" spans="1:24" x14ac:dyDescent="0.25">
      <c r="A513" t="s">
        <v>42</v>
      </c>
      <c r="B513" t="s">
        <v>2163</v>
      </c>
      <c r="C513" t="s">
        <v>403</v>
      </c>
      <c r="D513" t="s">
        <v>436</v>
      </c>
      <c r="E513" t="s">
        <v>1023</v>
      </c>
      <c r="F513">
        <v>20806</v>
      </c>
      <c r="G513" t="s">
        <v>990</v>
      </c>
      <c r="H513" t="s">
        <v>446</v>
      </c>
      <c r="I513" t="s">
        <v>446</v>
      </c>
      <c r="J513" t="s">
        <v>2051</v>
      </c>
      <c r="K513" t="s">
        <v>446</v>
      </c>
      <c r="L513" t="s">
        <v>446</v>
      </c>
      <c r="M513" t="s">
        <v>446</v>
      </c>
      <c r="N513" t="s">
        <v>446</v>
      </c>
      <c r="O513" t="s">
        <v>446</v>
      </c>
      <c r="P513" t="s">
        <v>446</v>
      </c>
      <c r="Q513" t="b">
        <v>0</v>
      </c>
      <c r="R513" t="b">
        <v>1</v>
      </c>
      <c r="S513" t="s">
        <v>1633</v>
      </c>
      <c r="T513" t="s">
        <v>2085</v>
      </c>
      <c r="U513" t="s">
        <v>1001</v>
      </c>
      <c r="V513" t="s">
        <v>1456</v>
      </c>
      <c r="W513" t="s">
        <v>2086</v>
      </c>
      <c r="X513" t="s">
        <v>446</v>
      </c>
    </row>
    <row r="514" spans="1:24" x14ac:dyDescent="0.25">
      <c r="A514" t="s">
        <v>42</v>
      </c>
      <c r="B514" t="s">
        <v>2164</v>
      </c>
      <c r="C514" t="s">
        <v>403</v>
      </c>
      <c r="D514" t="s">
        <v>436</v>
      </c>
      <c r="E514" t="s">
        <v>1025</v>
      </c>
      <c r="F514">
        <v>21794</v>
      </c>
      <c r="G514" t="s">
        <v>990</v>
      </c>
      <c r="H514" t="s">
        <v>446</v>
      </c>
      <c r="I514" t="s">
        <v>446</v>
      </c>
      <c r="J514" t="s">
        <v>2051</v>
      </c>
      <c r="K514" t="s">
        <v>446</v>
      </c>
      <c r="L514" t="s">
        <v>446</v>
      </c>
      <c r="M514" t="s">
        <v>446</v>
      </c>
      <c r="N514" t="s">
        <v>446</v>
      </c>
      <c r="O514" t="s">
        <v>446</v>
      </c>
      <c r="P514" t="s">
        <v>446</v>
      </c>
      <c r="Q514" t="b">
        <v>0</v>
      </c>
      <c r="R514" t="b">
        <v>1</v>
      </c>
      <c r="S514" t="s">
        <v>1633</v>
      </c>
      <c r="T514" t="s">
        <v>2085</v>
      </c>
      <c r="U514" t="s">
        <v>1001</v>
      </c>
      <c r="V514" t="s">
        <v>1456</v>
      </c>
      <c r="W514" t="s">
        <v>2086</v>
      </c>
      <c r="X514" t="s">
        <v>446</v>
      </c>
    </row>
    <row r="515" spans="1:24" x14ac:dyDescent="0.25">
      <c r="A515" t="s">
        <v>42</v>
      </c>
      <c r="B515" t="s">
        <v>2165</v>
      </c>
      <c r="C515" t="s">
        <v>403</v>
      </c>
      <c r="D515" t="s">
        <v>436</v>
      </c>
      <c r="E515" t="s">
        <v>1027</v>
      </c>
      <c r="F515">
        <v>26211</v>
      </c>
      <c r="G515" t="s">
        <v>990</v>
      </c>
      <c r="H515" t="s">
        <v>446</v>
      </c>
      <c r="I515" t="s">
        <v>446</v>
      </c>
      <c r="J515" t="s">
        <v>2051</v>
      </c>
      <c r="K515" t="s">
        <v>446</v>
      </c>
      <c r="L515" t="s">
        <v>446</v>
      </c>
      <c r="M515" t="s">
        <v>446</v>
      </c>
      <c r="N515" t="s">
        <v>446</v>
      </c>
      <c r="O515" t="s">
        <v>446</v>
      </c>
      <c r="P515" t="s">
        <v>446</v>
      </c>
      <c r="Q515" t="b">
        <v>0</v>
      </c>
      <c r="R515" t="b">
        <v>1</v>
      </c>
      <c r="S515" t="s">
        <v>1633</v>
      </c>
      <c r="T515" t="s">
        <v>2085</v>
      </c>
      <c r="U515" t="s">
        <v>1001</v>
      </c>
      <c r="V515" t="s">
        <v>1456</v>
      </c>
      <c r="W515" t="s">
        <v>2086</v>
      </c>
      <c r="X515" t="s">
        <v>446</v>
      </c>
    </row>
    <row r="516" spans="1:24" x14ac:dyDescent="0.25">
      <c r="A516" t="s">
        <v>42</v>
      </c>
      <c r="B516" t="s">
        <v>2166</v>
      </c>
      <c r="C516" t="s">
        <v>403</v>
      </c>
      <c r="D516" t="s">
        <v>436</v>
      </c>
      <c r="E516" t="s">
        <v>1131</v>
      </c>
      <c r="F516">
        <v>23244</v>
      </c>
      <c r="G516" t="s">
        <v>990</v>
      </c>
      <c r="H516" t="s">
        <v>446</v>
      </c>
      <c r="I516" t="s">
        <v>446</v>
      </c>
      <c r="J516" t="s">
        <v>2051</v>
      </c>
      <c r="K516" t="s">
        <v>446</v>
      </c>
      <c r="L516" t="s">
        <v>446</v>
      </c>
      <c r="M516" t="s">
        <v>446</v>
      </c>
      <c r="N516" t="s">
        <v>446</v>
      </c>
      <c r="O516" t="s">
        <v>446</v>
      </c>
      <c r="P516" t="s">
        <v>446</v>
      </c>
      <c r="Q516" t="b">
        <v>0</v>
      </c>
      <c r="R516" t="b">
        <v>1</v>
      </c>
      <c r="S516" t="s">
        <v>1633</v>
      </c>
      <c r="T516" t="s">
        <v>2085</v>
      </c>
      <c r="U516" t="s">
        <v>1001</v>
      </c>
      <c r="V516" t="s">
        <v>1456</v>
      </c>
      <c r="W516" t="s">
        <v>2086</v>
      </c>
      <c r="X516" t="s">
        <v>446</v>
      </c>
    </row>
    <row r="517" spans="1:24" x14ac:dyDescent="0.25">
      <c r="A517" t="s">
        <v>44</v>
      </c>
      <c r="B517" t="s">
        <v>2167</v>
      </c>
      <c r="C517" t="s">
        <v>448</v>
      </c>
      <c r="D517" t="s">
        <v>44</v>
      </c>
      <c r="E517" t="s">
        <v>998</v>
      </c>
      <c r="F517">
        <v>8288</v>
      </c>
      <c r="G517" t="s">
        <v>2168</v>
      </c>
      <c r="H517" t="s">
        <v>2169</v>
      </c>
      <c r="I517" t="s">
        <v>445</v>
      </c>
      <c r="J517" t="s">
        <v>2168</v>
      </c>
      <c r="K517" t="s">
        <v>446</v>
      </c>
      <c r="L517" t="s">
        <v>446</v>
      </c>
      <c r="M517" t="s">
        <v>446</v>
      </c>
      <c r="N517" t="s">
        <v>446</v>
      </c>
      <c r="O517" t="s">
        <v>446</v>
      </c>
      <c r="P517" t="s">
        <v>446</v>
      </c>
      <c r="Q517" t="b">
        <v>1</v>
      </c>
      <c r="R517" t="b">
        <v>0</v>
      </c>
      <c r="S517" t="s">
        <v>1038</v>
      </c>
      <c r="T517" t="s">
        <v>446</v>
      </c>
      <c r="U517" t="s">
        <v>1039</v>
      </c>
      <c r="V517" t="s">
        <v>1002</v>
      </c>
      <c r="W517" t="s">
        <v>2170</v>
      </c>
      <c r="X517" t="s">
        <v>2171</v>
      </c>
    </row>
    <row r="518" spans="1:24" x14ac:dyDescent="0.25">
      <c r="A518" t="s">
        <v>44</v>
      </c>
      <c r="B518" t="s">
        <v>2172</v>
      </c>
      <c r="C518" t="s">
        <v>448</v>
      </c>
      <c r="D518" t="s">
        <v>44</v>
      </c>
      <c r="E518" t="s">
        <v>1005</v>
      </c>
      <c r="F518">
        <v>6704</v>
      </c>
      <c r="G518" t="s">
        <v>2168</v>
      </c>
      <c r="H518" t="s">
        <v>2173</v>
      </c>
      <c r="I518" t="s">
        <v>445</v>
      </c>
      <c r="J518" t="s">
        <v>2168</v>
      </c>
      <c r="K518" t="s">
        <v>446</v>
      </c>
      <c r="L518" t="s">
        <v>446</v>
      </c>
      <c r="M518" t="s">
        <v>446</v>
      </c>
      <c r="N518" t="s">
        <v>446</v>
      </c>
      <c r="O518" t="s">
        <v>446</v>
      </c>
      <c r="P518" t="s">
        <v>446</v>
      </c>
      <c r="Q518" t="b">
        <v>1</v>
      </c>
      <c r="R518" t="b">
        <v>0</v>
      </c>
      <c r="S518" t="s">
        <v>1038</v>
      </c>
      <c r="T518" t="s">
        <v>446</v>
      </c>
      <c r="U518" t="s">
        <v>1039</v>
      </c>
      <c r="V518" t="s">
        <v>1002</v>
      </c>
      <c r="W518" t="s">
        <v>2170</v>
      </c>
      <c r="X518" t="s">
        <v>2171</v>
      </c>
    </row>
    <row r="519" spans="1:24" x14ac:dyDescent="0.25">
      <c r="A519" t="s">
        <v>44</v>
      </c>
      <c r="B519" t="s">
        <v>2174</v>
      </c>
      <c r="C519" t="s">
        <v>448</v>
      </c>
      <c r="D519" t="s">
        <v>44</v>
      </c>
      <c r="E519" t="s">
        <v>1007</v>
      </c>
      <c r="F519">
        <v>5931</v>
      </c>
      <c r="G519" t="s">
        <v>2168</v>
      </c>
      <c r="H519" t="s">
        <v>2175</v>
      </c>
      <c r="I519" t="s">
        <v>445</v>
      </c>
      <c r="J519" t="s">
        <v>2168</v>
      </c>
      <c r="K519" t="s">
        <v>446</v>
      </c>
      <c r="L519" t="s">
        <v>446</v>
      </c>
      <c r="M519" t="s">
        <v>446</v>
      </c>
      <c r="N519" t="s">
        <v>446</v>
      </c>
      <c r="O519" t="s">
        <v>446</v>
      </c>
      <c r="P519" t="s">
        <v>446</v>
      </c>
      <c r="Q519" t="b">
        <v>1</v>
      </c>
      <c r="R519" t="b">
        <v>0</v>
      </c>
      <c r="S519" t="s">
        <v>1038</v>
      </c>
      <c r="T519" t="s">
        <v>446</v>
      </c>
      <c r="U519" t="s">
        <v>1039</v>
      </c>
      <c r="V519" t="s">
        <v>1002</v>
      </c>
      <c r="W519" t="s">
        <v>2170</v>
      </c>
      <c r="X519" t="s">
        <v>2171</v>
      </c>
    </row>
    <row r="520" spans="1:24" x14ac:dyDescent="0.25">
      <c r="A520" t="s">
        <v>44</v>
      </c>
      <c r="B520" t="s">
        <v>2176</v>
      </c>
      <c r="C520" t="s">
        <v>448</v>
      </c>
      <c r="D520" t="s">
        <v>44</v>
      </c>
      <c r="E520" t="s">
        <v>1009</v>
      </c>
      <c r="F520">
        <v>6051</v>
      </c>
      <c r="G520" t="s">
        <v>2168</v>
      </c>
      <c r="H520" t="s">
        <v>2177</v>
      </c>
      <c r="I520" t="s">
        <v>445</v>
      </c>
      <c r="J520" t="s">
        <v>2168</v>
      </c>
      <c r="K520" t="s">
        <v>446</v>
      </c>
      <c r="L520" t="s">
        <v>446</v>
      </c>
      <c r="M520" t="s">
        <v>446</v>
      </c>
      <c r="N520" t="s">
        <v>446</v>
      </c>
      <c r="O520" t="s">
        <v>446</v>
      </c>
      <c r="P520" t="s">
        <v>446</v>
      </c>
      <c r="Q520" t="b">
        <v>1</v>
      </c>
      <c r="R520" t="b">
        <v>0</v>
      </c>
      <c r="S520" t="s">
        <v>1038</v>
      </c>
      <c r="T520" t="s">
        <v>446</v>
      </c>
      <c r="U520" t="s">
        <v>1039</v>
      </c>
      <c r="V520" t="s">
        <v>1002</v>
      </c>
      <c r="W520" t="s">
        <v>2170</v>
      </c>
      <c r="X520" t="s">
        <v>2171</v>
      </c>
    </row>
    <row r="521" spans="1:24" x14ac:dyDescent="0.25">
      <c r="A521" t="s">
        <v>44</v>
      </c>
      <c r="B521" t="s">
        <v>2178</v>
      </c>
      <c r="C521" t="s">
        <v>448</v>
      </c>
      <c r="D521" t="s">
        <v>44</v>
      </c>
      <c r="E521" t="s">
        <v>1011</v>
      </c>
      <c r="F521">
        <v>7192</v>
      </c>
      <c r="G521" t="s">
        <v>2168</v>
      </c>
      <c r="H521" t="s">
        <v>2179</v>
      </c>
      <c r="I521" t="s">
        <v>445</v>
      </c>
      <c r="J521" t="s">
        <v>2168</v>
      </c>
      <c r="K521" t="s">
        <v>446</v>
      </c>
      <c r="L521" t="s">
        <v>446</v>
      </c>
      <c r="M521" t="s">
        <v>446</v>
      </c>
      <c r="N521" t="s">
        <v>446</v>
      </c>
      <c r="O521" t="s">
        <v>446</v>
      </c>
      <c r="P521" t="s">
        <v>446</v>
      </c>
      <c r="Q521" t="b">
        <v>1</v>
      </c>
      <c r="R521" t="b">
        <v>0</v>
      </c>
      <c r="S521" t="s">
        <v>1038</v>
      </c>
      <c r="T521" t="s">
        <v>446</v>
      </c>
      <c r="U521" t="s">
        <v>1039</v>
      </c>
      <c r="V521" t="s">
        <v>1002</v>
      </c>
      <c r="W521" t="s">
        <v>2170</v>
      </c>
      <c r="X521" t="s">
        <v>2171</v>
      </c>
    </row>
    <row r="522" spans="1:24" x14ac:dyDescent="0.25">
      <c r="A522" t="s">
        <v>44</v>
      </c>
      <c r="B522" t="s">
        <v>2180</v>
      </c>
      <c r="C522" t="s">
        <v>448</v>
      </c>
      <c r="D522" t="s">
        <v>44</v>
      </c>
      <c r="E522" t="s">
        <v>1013</v>
      </c>
      <c r="F522">
        <v>13507</v>
      </c>
      <c r="G522" t="s">
        <v>2168</v>
      </c>
      <c r="H522" t="s">
        <v>2181</v>
      </c>
      <c r="I522" t="s">
        <v>445</v>
      </c>
      <c r="J522" t="s">
        <v>2168</v>
      </c>
      <c r="K522" t="s">
        <v>446</v>
      </c>
      <c r="L522" t="s">
        <v>446</v>
      </c>
      <c r="M522" t="s">
        <v>446</v>
      </c>
      <c r="N522" t="s">
        <v>446</v>
      </c>
      <c r="O522" t="s">
        <v>446</v>
      </c>
      <c r="P522" t="s">
        <v>446</v>
      </c>
      <c r="Q522" t="b">
        <v>1</v>
      </c>
      <c r="R522" t="b">
        <v>0</v>
      </c>
      <c r="S522" t="s">
        <v>1038</v>
      </c>
      <c r="T522" t="s">
        <v>446</v>
      </c>
      <c r="U522" t="s">
        <v>1039</v>
      </c>
      <c r="V522" t="s">
        <v>1002</v>
      </c>
      <c r="W522" t="s">
        <v>2170</v>
      </c>
      <c r="X522" t="s">
        <v>2171</v>
      </c>
    </row>
    <row r="523" spans="1:24" x14ac:dyDescent="0.25">
      <c r="A523" t="s">
        <v>44</v>
      </c>
      <c r="B523" t="s">
        <v>2182</v>
      </c>
      <c r="C523" t="s">
        <v>448</v>
      </c>
      <c r="D523" t="s">
        <v>44</v>
      </c>
      <c r="E523" t="s">
        <v>1015</v>
      </c>
      <c r="F523">
        <v>18120</v>
      </c>
      <c r="G523" t="s">
        <v>2168</v>
      </c>
      <c r="H523" t="s">
        <v>2183</v>
      </c>
      <c r="I523" t="s">
        <v>445</v>
      </c>
      <c r="J523" t="s">
        <v>2168</v>
      </c>
      <c r="K523" t="s">
        <v>446</v>
      </c>
      <c r="L523" t="s">
        <v>446</v>
      </c>
      <c r="M523" t="s">
        <v>446</v>
      </c>
      <c r="N523" t="s">
        <v>446</v>
      </c>
      <c r="O523" t="s">
        <v>446</v>
      </c>
      <c r="P523" t="s">
        <v>446</v>
      </c>
      <c r="Q523" t="b">
        <v>1</v>
      </c>
      <c r="R523" t="b">
        <v>0</v>
      </c>
      <c r="S523" t="s">
        <v>1038</v>
      </c>
      <c r="T523" t="s">
        <v>446</v>
      </c>
      <c r="U523" t="s">
        <v>1039</v>
      </c>
      <c r="V523" t="s">
        <v>1002</v>
      </c>
      <c r="W523" t="s">
        <v>2170</v>
      </c>
      <c r="X523" t="s">
        <v>2171</v>
      </c>
    </row>
    <row r="524" spans="1:24" x14ac:dyDescent="0.25">
      <c r="A524" t="s">
        <v>44</v>
      </c>
      <c r="B524" t="s">
        <v>2184</v>
      </c>
      <c r="C524" t="s">
        <v>448</v>
      </c>
      <c r="D524" t="s">
        <v>44</v>
      </c>
      <c r="E524" t="s">
        <v>1017</v>
      </c>
      <c r="F524">
        <v>22103</v>
      </c>
      <c r="G524" t="s">
        <v>2168</v>
      </c>
      <c r="H524" t="s">
        <v>2185</v>
      </c>
      <c r="I524" t="s">
        <v>445</v>
      </c>
      <c r="J524" t="s">
        <v>2168</v>
      </c>
      <c r="K524" t="s">
        <v>446</v>
      </c>
      <c r="L524" t="s">
        <v>446</v>
      </c>
      <c r="M524" t="s">
        <v>446</v>
      </c>
      <c r="N524" t="s">
        <v>446</v>
      </c>
      <c r="O524" t="s">
        <v>446</v>
      </c>
      <c r="P524" t="s">
        <v>446</v>
      </c>
      <c r="Q524" t="b">
        <v>1</v>
      </c>
      <c r="R524" t="b">
        <v>0</v>
      </c>
      <c r="S524" t="s">
        <v>1038</v>
      </c>
      <c r="T524" t="s">
        <v>446</v>
      </c>
      <c r="U524" t="s">
        <v>1039</v>
      </c>
      <c r="V524" t="s">
        <v>1002</v>
      </c>
      <c r="W524" t="s">
        <v>2170</v>
      </c>
      <c r="X524" t="s">
        <v>2171</v>
      </c>
    </row>
    <row r="525" spans="1:24" x14ac:dyDescent="0.25">
      <c r="A525" t="s">
        <v>44</v>
      </c>
      <c r="B525" t="s">
        <v>2186</v>
      </c>
      <c r="C525" t="s">
        <v>448</v>
      </c>
      <c r="D525" t="s">
        <v>44</v>
      </c>
      <c r="E525" t="s">
        <v>1019</v>
      </c>
      <c r="F525">
        <v>26044</v>
      </c>
      <c r="G525" t="s">
        <v>2168</v>
      </c>
      <c r="H525" t="s">
        <v>2187</v>
      </c>
      <c r="I525" t="s">
        <v>445</v>
      </c>
      <c r="J525" t="s">
        <v>2168</v>
      </c>
      <c r="K525" t="s">
        <v>446</v>
      </c>
      <c r="L525" t="s">
        <v>446</v>
      </c>
      <c r="M525" t="s">
        <v>446</v>
      </c>
      <c r="N525" t="s">
        <v>446</v>
      </c>
      <c r="O525" t="s">
        <v>446</v>
      </c>
      <c r="P525" t="s">
        <v>446</v>
      </c>
      <c r="Q525" t="b">
        <v>1</v>
      </c>
      <c r="R525" t="b">
        <v>0</v>
      </c>
      <c r="S525" t="s">
        <v>1038</v>
      </c>
      <c r="T525" t="s">
        <v>446</v>
      </c>
      <c r="U525" t="s">
        <v>1039</v>
      </c>
      <c r="V525" t="s">
        <v>1002</v>
      </c>
      <c r="W525" t="s">
        <v>2170</v>
      </c>
      <c r="X525" t="s">
        <v>2171</v>
      </c>
    </row>
    <row r="526" spans="1:24" x14ac:dyDescent="0.25">
      <c r="A526" t="s">
        <v>44</v>
      </c>
      <c r="B526" t="s">
        <v>2188</v>
      </c>
      <c r="C526" t="s">
        <v>448</v>
      </c>
      <c r="D526" t="s">
        <v>44</v>
      </c>
      <c r="E526" t="s">
        <v>1021</v>
      </c>
      <c r="F526">
        <v>30040</v>
      </c>
      <c r="G526" t="s">
        <v>2168</v>
      </c>
      <c r="H526" t="s">
        <v>2189</v>
      </c>
      <c r="I526" t="s">
        <v>445</v>
      </c>
      <c r="J526" t="s">
        <v>2168</v>
      </c>
      <c r="K526" t="s">
        <v>446</v>
      </c>
      <c r="L526" t="s">
        <v>446</v>
      </c>
      <c r="M526" t="s">
        <v>446</v>
      </c>
      <c r="N526" t="s">
        <v>446</v>
      </c>
      <c r="O526" t="s">
        <v>446</v>
      </c>
      <c r="P526" t="s">
        <v>446</v>
      </c>
      <c r="Q526" t="b">
        <v>1</v>
      </c>
      <c r="R526" t="b">
        <v>0</v>
      </c>
      <c r="S526" t="s">
        <v>1038</v>
      </c>
      <c r="T526" t="s">
        <v>446</v>
      </c>
      <c r="U526" t="s">
        <v>1039</v>
      </c>
      <c r="V526" t="s">
        <v>1002</v>
      </c>
      <c r="W526" t="s">
        <v>2170</v>
      </c>
      <c r="X526" t="s">
        <v>2171</v>
      </c>
    </row>
    <row r="527" spans="1:24" x14ac:dyDescent="0.25">
      <c r="A527" t="s">
        <v>44</v>
      </c>
      <c r="B527" t="s">
        <v>2190</v>
      </c>
      <c r="C527" t="s">
        <v>448</v>
      </c>
      <c r="D527" t="s">
        <v>44</v>
      </c>
      <c r="E527" t="s">
        <v>1023</v>
      </c>
      <c r="F527">
        <v>35082</v>
      </c>
      <c r="G527" t="s">
        <v>2168</v>
      </c>
      <c r="H527" t="s">
        <v>2191</v>
      </c>
      <c r="I527" t="s">
        <v>445</v>
      </c>
      <c r="J527" t="s">
        <v>2168</v>
      </c>
      <c r="K527" t="s">
        <v>446</v>
      </c>
      <c r="L527" t="s">
        <v>446</v>
      </c>
      <c r="M527" t="s">
        <v>446</v>
      </c>
      <c r="N527" t="s">
        <v>446</v>
      </c>
      <c r="O527" t="s">
        <v>446</v>
      </c>
      <c r="P527" t="s">
        <v>446</v>
      </c>
      <c r="Q527" t="b">
        <v>1</v>
      </c>
      <c r="R527" t="b">
        <v>0</v>
      </c>
      <c r="S527" t="s">
        <v>1038</v>
      </c>
      <c r="T527" t="s">
        <v>446</v>
      </c>
      <c r="U527" t="s">
        <v>1039</v>
      </c>
      <c r="V527" t="s">
        <v>1002</v>
      </c>
      <c r="W527" t="s">
        <v>2170</v>
      </c>
      <c r="X527" t="s">
        <v>2171</v>
      </c>
    </row>
    <row r="528" spans="1:24" x14ac:dyDescent="0.25">
      <c r="A528" t="s">
        <v>44</v>
      </c>
      <c r="B528" t="s">
        <v>2192</v>
      </c>
      <c r="C528" t="s">
        <v>448</v>
      </c>
      <c r="D528" t="s">
        <v>44</v>
      </c>
      <c r="E528" t="s">
        <v>1025</v>
      </c>
      <c r="F528">
        <v>39331</v>
      </c>
      <c r="G528" t="s">
        <v>2168</v>
      </c>
      <c r="H528" t="s">
        <v>2193</v>
      </c>
      <c r="I528" t="s">
        <v>445</v>
      </c>
      <c r="J528" t="s">
        <v>2168</v>
      </c>
      <c r="K528" t="s">
        <v>446</v>
      </c>
      <c r="L528" t="s">
        <v>446</v>
      </c>
      <c r="M528" t="s">
        <v>446</v>
      </c>
      <c r="N528" t="s">
        <v>446</v>
      </c>
      <c r="O528" t="s">
        <v>446</v>
      </c>
      <c r="P528" t="s">
        <v>446</v>
      </c>
      <c r="Q528" t="b">
        <v>1</v>
      </c>
      <c r="R528" t="b">
        <v>0</v>
      </c>
      <c r="S528" t="s">
        <v>1038</v>
      </c>
      <c r="T528" t="s">
        <v>446</v>
      </c>
      <c r="U528" t="s">
        <v>1039</v>
      </c>
      <c r="V528" t="s">
        <v>1002</v>
      </c>
      <c r="W528" t="s">
        <v>2170</v>
      </c>
      <c r="X528" t="s">
        <v>2171</v>
      </c>
    </row>
    <row r="529" spans="1:24" x14ac:dyDescent="0.25">
      <c r="A529" t="s">
        <v>44</v>
      </c>
      <c r="B529" t="s">
        <v>2194</v>
      </c>
      <c r="C529" t="s">
        <v>448</v>
      </c>
      <c r="D529" t="s">
        <v>44</v>
      </c>
      <c r="E529" t="s">
        <v>1027</v>
      </c>
      <c r="F529">
        <v>44062</v>
      </c>
      <c r="G529" t="s">
        <v>2168</v>
      </c>
      <c r="H529" t="s">
        <v>2195</v>
      </c>
      <c r="I529" t="s">
        <v>445</v>
      </c>
      <c r="J529" t="s">
        <v>2168</v>
      </c>
      <c r="K529" t="s">
        <v>446</v>
      </c>
      <c r="L529" t="s">
        <v>446</v>
      </c>
      <c r="M529" t="s">
        <v>446</v>
      </c>
      <c r="N529" t="s">
        <v>446</v>
      </c>
      <c r="O529" t="s">
        <v>446</v>
      </c>
      <c r="P529" t="s">
        <v>446</v>
      </c>
      <c r="Q529" t="b">
        <v>1</v>
      </c>
      <c r="R529" t="b">
        <v>0</v>
      </c>
      <c r="S529" t="s">
        <v>1038</v>
      </c>
      <c r="T529" t="s">
        <v>446</v>
      </c>
      <c r="U529" t="s">
        <v>1039</v>
      </c>
      <c r="V529" t="s">
        <v>1002</v>
      </c>
      <c r="W529" t="s">
        <v>2170</v>
      </c>
      <c r="X529" t="s">
        <v>2171</v>
      </c>
    </row>
    <row r="530" spans="1:24" x14ac:dyDescent="0.25">
      <c r="A530" t="s">
        <v>44</v>
      </c>
      <c r="B530" t="s">
        <v>2196</v>
      </c>
      <c r="C530" t="s">
        <v>448</v>
      </c>
      <c r="D530" t="s">
        <v>44</v>
      </c>
      <c r="E530" t="s">
        <v>1131</v>
      </c>
      <c r="F530">
        <v>46743</v>
      </c>
      <c r="G530" t="s">
        <v>2168</v>
      </c>
      <c r="H530" t="s">
        <v>2197</v>
      </c>
      <c r="I530" t="s">
        <v>445</v>
      </c>
      <c r="J530" t="s">
        <v>2168</v>
      </c>
      <c r="K530" t="s">
        <v>446</v>
      </c>
      <c r="L530" t="s">
        <v>446</v>
      </c>
      <c r="M530" t="s">
        <v>446</v>
      </c>
      <c r="N530" t="s">
        <v>446</v>
      </c>
      <c r="O530" t="s">
        <v>446</v>
      </c>
      <c r="P530" t="s">
        <v>446</v>
      </c>
      <c r="Q530" t="b">
        <v>1</v>
      </c>
      <c r="R530" t="b">
        <v>0</v>
      </c>
      <c r="S530" t="s">
        <v>1038</v>
      </c>
      <c r="T530" t="s">
        <v>446</v>
      </c>
      <c r="U530" t="s">
        <v>1039</v>
      </c>
      <c r="V530" t="s">
        <v>1002</v>
      </c>
      <c r="W530" t="s">
        <v>2170</v>
      </c>
      <c r="X530" t="s">
        <v>2171</v>
      </c>
    </row>
    <row r="531" spans="1:24" x14ac:dyDescent="0.25">
      <c r="A531" t="s">
        <v>44</v>
      </c>
      <c r="B531" t="s">
        <v>1199</v>
      </c>
      <c r="C531" t="s">
        <v>2198</v>
      </c>
      <c r="D531" t="s">
        <v>44</v>
      </c>
      <c r="E531" t="s">
        <v>998</v>
      </c>
      <c r="F531">
        <v>0</v>
      </c>
      <c r="G531" t="s">
        <v>2168</v>
      </c>
      <c r="H531" t="s">
        <v>2199</v>
      </c>
      <c r="I531" t="s">
        <v>2198</v>
      </c>
      <c r="J531" t="s">
        <v>2168</v>
      </c>
      <c r="K531" t="s">
        <v>446</v>
      </c>
      <c r="L531" t="s">
        <v>446</v>
      </c>
      <c r="M531" t="s">
        <v>446</v>
      </c>
      <c r="N531" t="s">
        <v>446</v>
      </c>
      <c r="O531" t="s">
        <v>446</v>
      </c>
      <c r="P531" t="s">
        <v>446</v>
      </c>
      <c r="Q531" t="b">
        <v>1</v>
      </c>
      <c r="R531" t="b">
        <v>0</v>
      </c>
      <c r="S531" t="s">
        <v>1038</v>
      </c>
      <c r="T531" t="s">
        <v>446</v>
      </c>
      <c r="U531" t="s">
        <v>1039</v>
      </c>
      <c r="V531" t="s">
        <v>1002</v>
      </c>
      <c r="W531" t="s">
        <v>2170</v>
      </c>
      <c r="X531" t="s">
        <v>2200</v>
      </c>
    </row>
    <row r="532" spans="1:24" x14ac:dyDescent="0.25">
      <c r="A532" t="s">
        <v>44</v>
      </c>
      <c r="B532" t="s">
        <v>1203</v>
      </c>
      <c r="C532" t="s">
        <v>2198</v>
      </c>
      <c r="D532" t="s">
        <v>44</v>
      </c>
      <c r="E532" t="s">
        <v>1005</v>
      </c>
      <c r="F532">
        <v>0</v>
      </c>
      <c r="G532" t="s">
        <v>2168</v>
      </c>
      <c r="H532" t="s">
        <v>2199</v>
      </c>
      <c r="I532" t="s">
        <v>2198</v>
      </c>
      <c r="J532" t="s">
        <v>2168</v>
      </c>
      <c r="K532" t="s">
        <v>446</v>
      </c>
      <c r="L532" t="s">
        <v>446</v>
      </c>
      <c r="M532" t="s">
        <v>446</v>
      </c>
      <c r="N532" t="s">
        <v>446</v>
      </c>
      <c r="O532" t="s">
        <v>446</v>
      </c>
      <c r="P532" t="s">
        <v>446</v>
      </c>
      <c r="Q532" t="b">
        <v>1</v>
      </c>
      <c r="R532" t="b">
        <v>0</v>
      </c>
      <c r="S532" t="s">
        <v>1038</v>
      </c>
      <c r="T532" t="s">
        <v>446</v>
      </c>
      <c r="U532" t="s">
        <v>1039</v>
      </c>
      <c r="V532" t="s">
        <v>1002</v>
      </c>
      <c r="W532" t="s">
        <v>2170</v>
      </c>
      <c r="X532" t="s">
        <v>2200</v>
      </c>
    </row>
    <row r="533" spans="1:24" x14ac:dyDescent="0.25">
      <c r="A533" t="s">
        <v>44</v>
      </c>
      <c r="B533" t="s">
        <v>1206</v>
      </c>
      <c r="C533" t="s">
        <v>2198</v>
      </c>
      <c r="D533" t="s">
        <v>44</v>
      </c>
      <c r="E533" t="s">
        <v>1007</v>
      </c>
      <c r="F533">
        <v>0</v>
      </c>
      <c r="G533" t="s">
        <v>2168</v>
      </c>
      <c r="H533" t="s">
        <v>2199</v>
      </c>
      <c r="I533" t="s">
        <v>2198</v>
      </c>
      <c r="J533" t="s">
        <v>2168</v>
      </c>
      <c r="K533" t="s">
        <v>446</v>
      </c>
      <c r="L533" t="s">
        <v>446</v>
      </c>
      <c r="M533" t="s">
        <v>446</v>
      </c>
      <c r="N533" t="s">
        <v>446</v>
      </c>
      <c r="O533" t="s">
        <v>446</v>
      </c>
      <c r="P533" t="s">
        <v>446</v>
      </c>
      <c r="Q533" t="b">
        <v>1</v>
      </c>
      <c r="R533" t="b">
        <v>0</v>
      </c>
      <c r="S533" t="s">
        <v>1038</v>
      </c>
      <c r="T533" t="s">
        <v>446</v>
      </c>
      <c r="U533" t="s">
        <v>1039</v>
      </c>
      <c r="V533" t="s">
        <v>1002</v>
      </c>
      <c r="W533" t="s">
        <v>2170</v>
      </c>
      <c r="X533" t="s">
        <v>2200</v>
      </c>
    </row>
    <row r="534" spans="1:24" x14ac:dyDescent="0.25">
      <c r="A534" t="s">
        <v>44</v>
      </c>
      <c r="B534" t="s">
        <v>1209</v>
      </c>
      <c r="C534" t="s">
        <v>2198</v>
      </c>
      <c r="D534" t="s">
        <v>44</v>
      </c>
      <c r="E534" t="s">
        <v>1009</v>
      </c>
      <c r="F534">
        <v>0</v>
      </c>
      <c r="G534" t="s">
        <v>2168</v>
      </c>
      <c r="H534" t="s">
        <v>2199</v>
      </c>
      <c r="I534" t="s">
        <v>2198</v>
      </c>
      <c r="J534" t="s">
        <v>2168</v>
      </c>
      <c r="K534" t="s">
        <v>446</v>
      </c>
      <c r="L534" t="s">
        <v>446</v>
      </c>
      <c r="M534" t="s">
        <v>446</v>
      </c>
      <c r="N534" t="s">
        <v>446</v>
      </c>
      <c r="O534" t="s">
        <v>446</v>
      </c>
      <c r="P534" t="s">
        <v>446</v>
      </c>
      <c r="Q534" t="b">
        <v>1</v>
      </c>
      <c r="R534" t="b">
        <v>0</v>
      </c>
      <c r="S534" t="s">
        <v>1038</v>
      </c>
      <c r="T534" t="s">
        <v>446</v>
      </c>
      <c r="U534" t="s">
        <v>1039</v>
      </c>
      <c r="V534" t="s">
        <v>1002</v>
      </c>
      <c r="W534" t="s">
        <v>2170</v>
      </c>
      <c r="X534" t="s">
        <v>2200</v>
      </c>
    </row>
    <row r="535" spans="1:24" x14ac:dyDescent="0.25">
      <c r="A535" t="s">
        <v>44</v>
      </c>
      <c r="B535" t="s">
        <v>1212</v>
      </c>
      <c r="C535" t="s">
        <v>2198</v>
      </c>
      <c r="D535" t="s">
        <v>44</v>
      </c>
      <c r="E535" t="s">
        <v>1011</v>
      </c>
      <c r="F535">
        <v>0</v>
      </c>
      <c r="G535" t="s">
        <v>2168</v>
      </c>
      <c r="H535" t="s">
        <v>2199</v>
      </c>
      <c r="I535" t="s">
        <v>2198</v>
      </c>
      <c r="J535" t="s">
        <v>2168</v>
      </c>
      <c r="K535" t="s">
        <v>446</v>
      </c>
      <c r="L535" t="s">
        <v>446</v>
      </c>
      <c r="M535" t="s">
        <v>446</v>
      </c>
      <c r="N535" t="s">
        <v>446</v>
      </c>
      <c r="O535" t="s">
        <v>446</v>
      </c>
      <c r="P535" t="s">
        <v>446</v>
      </c>
      <c r="Q535" t="b">
        <v>1</v>
      </c>
      <c r="R535" t="b">
        <v>0</v>
      </c>
      <c r="S535" t="s">
        <v>1038</v>
      </c>
      <c r="T535" t="s">
        <v>446</v>
      </c>
      <c r="U535" t="s">
        <v>1039</v>
      </c>
      <c r="V535" t="s">
        <v>1002</v>
      </c>
      <c r="W535" t="s">
        <v>2170</v>
      </c>
      <c r="X535" t="s">
        <v>2200</v>
      </c>
    </row>
    <row r="536" spans="1:24" x14ac:dyDescent="0.25">
      <c r="A536" t="s">
        <v>44</v>
      </c>
      <c r="B536" t="s">
        <v>1214</v>
      </c>
      <c r="C536" t="s">
        <v>2198</v>
      </c>
      <c r="D536" t="s">
        <v>44</v>
      </c>
      <c r="E536" t="s">
        <v>1013</v>
      </c>
      <c r="F536">
        <v>0</v>
      </c>
      <c r="G536" t="s">
        <v>2168</v>
      </c>
      <c r="H536" t="s">
        <v>2199</v>
      </c>
      <c r="I536" t="s">
        <v>2198</v>
      </c>
      <c r="J536" t="s">
        <v>2168</v>
      </c>
      <c r="K536" t="s">
        <v>446</v>
      </c>
      <c r="L536" t="s">
        <v>446</v>
      </c>
      <c r="M536" t="s">
        <v>446</v>
      </c>
      <c r="N536" t="s">
        <v>446</v>
      </c>
      <c r="O536" t="s">
        <v>446</v>
      </c>
      <c r="P536" t="s">
        <v>446</v>
      </c>
      <c r="Q536" t="b">
        <v>1</v>
      </c>
      <c r="R536" t="b">
        <v>0</v>
      </c>
      <c r="S536" t="s">
        <v>1038</v>
      </c>
      <c r="T536" t="s">
        <v>446</v>
      </c>
      <c r="U536" t="s">
        <v>1039</v>
      </c>
      <c r="V536" t="s">
        <v>1002</v>
      </c>
      <c r="W536" t="s">
        <v>2170</v>
      </c>
      <c r="X536" t="s">
        <v>2200</v>
      </c>
    </row>
    <row r="537" spans="1:24" x14ac:dyDescent="0.25">
      <c r="A537" t="s">
        <v>44</v>
      </c>
      <c r="B537" t="s">
        <v>1216</v>
      </c>
      <c r="C537" t="s">
        <v>2198</v>
      </c>
      <c r="D537" t="s">
        <v>44</v>
      </c>
      <c r="E537" t="s">
        <v>1015</v>
      </c>
      <c r="F537">
        <v>0</v>
      </c>
      <c r="G537" t="s">
        <v>2168</v>
      </c>
      <c r="H537" t="s">
        <v>2199</v>
      </c>
      <c r="I537" t="s">
        <v>2198</v>
      </c>
      <c r="J537" t="s">
        <v>2168</v>
      </c>
      <c r="K537" t="s">
        <v>446</v>
      </c>
      <c r="L537" t="s">
        <v>446</v>
      </c>
      <c r="M537" t="s">
        <v>446</v>
      </c>
      <c r="N537" t="s">
        <v>446</v>
      </c>
      <c r="O537" t="s">
        <v>446</v>
      </c>
      <c r="P537" t="s">
        <v>446</v>
      </c>
      <c r="Q537" t="b">
        <v>1</v>
      </c>
      <c r="R537" t="b">
        <v>0</v>
      </c>
      <c r="S537" t="s">
        <v>1038</v>
      </c>
      <c r="T537" t="s">
        <v>446</v>
      </c>
      <c r="U537" t="s">
        <v>1039</v>
      </c>
      <c r="V537" t="s">
        <v>1002</v>
      </c>
      <c r="W537" t="s">
        <v>2170</v>
      </c>
      <c r="X537" t="s">
        <v>2200</v>
      </c>
    </row>
    <row r="538" spans="1:24" x14ac:dyDescent="0.25">
      <c r="A538" t="s">
        <v>44</v>
      </c>
      <c r="B538" t="s">
        <v>1218</v>
      </c>
      <c r="C538" t="s">
        <v>2198</v>
      </c>
      <c r="D538" t="s">
        <v>44</v>
      </c>
      <c r="E538" t="s">
        <v>1017</v>
      </c>
      <c r="F538">
        <v>0</v>
      </c>
      <c r="G538" t="s">
        <v>2168</v>
      </c>
      <c r="H538" t="s">
        <v>2199</v>
      </c>
      <c r="I538" t="s">
        <v>2198</v>
      </c>
      <c r="J538" t="s">
        <v>2168</v>
      </c>
      <c r="K538" t="s">
        <v>446</v>
      </c>
      <c r="L538" t="s">
        <v>446</v>
      </c>
      <c r="M538" t="s">
        <v>446</v>
      </c>
      <c r="N538" t="s">
        <v>446</v>
      </c>
      <c r="O538" t="s">
        <v>446</v>
      </c>
      <c r="P538" t="s">
        <v>446</v>
      </c>
      <c r="Q538" t="b">
        <v>1</v>
      </c>
      <c r="R538" t="b">
        <v>0</v>
      </c>
      <c r="S538" t="s">
        <v>1038</v>
      </c>
      <c r="T538" t="s">
        <v>446</v>
      </c>
      <c r="U538" t="s">
        <v>1039</v>
      </c>
      <c r="V538" t="s">
        <v>1002</v>
      </c>
      <c r="W538" t="s">
        <v>2170</v>
      </c>
      <c r="X538" t="s">
        <v>2200</v>
      </c>
    </row>
    <row r="539" spans="1:24" x14ac:dyDescent="0.25">
      <c r="A539" t="s">
        <v>44</v>
      </c>
      <c r="B539" t="s">
        <v>1220</v>
      </c>
      <c r="C539" t="s">
        <v>2198</v>
      </c>
      <c r="D539" t="s">
        <v>44</v>
      </c>
      <c r="E539" t="s">
        <v>1019</v>
      </c>
      <c r="F539">
        <v>17047</v>
      </c>
      <c r="G539" t="s">
        <v>2168</v>
      </c>
      <c r="H539" t="s">
        <v>2201</v>
      </c>
      <c r="I539" t="s">
        <v>2198</v>
      </c>
      <c r="J539" t="s">
        <v>2168</v>
      </c>
      <c r="K539" t="s">
        <v>446</v>
      </c>
      <c r="L539" t="s">
        <v>446</v>
      </c>
      <c r="M539" t="s">
        <v>446</v>
      </c>
      <c r="N539" t="s">
        <v>446</v>
      </c>
      <c r="O539" t="s">
        <v>446</v>
      </c>
      <c r="P539" t="s">
        <v>446</v>
      </c>
      <c r="Q539" t="b">
        <v>1</v>
      </c>
      <c r="R539" t="b">
        <v>0</v>
      </c>
      <c r="S539" t="s">
        <v>1038</v>
      </c>
      <c r="T539" t="s">
        <v>446</v>
      </c>
      <c r="U539" t="s">
        <v>1039</v>
      </c>
      <c r="V539" t="s">
        <v>1002</v>
      </c>
      <c r="W539" t="s">
        <v>2170</v>
      </c>
      <c r="X539" t="s">
        <v>2200</v>
      </c>
    </row>
    <row r="540" spans="1:24" x14ac:dyDescent="0.25">
      <c r="A540" t="s">
        <v>44</v>
      </c>
      <c r="B540" t="s">
        <v>1222</v>
      </c>
      <c r="C540" t="s">
        <v>2198</v>
      </c>
      <c r="D540" t="s">
        <v>44</v>
      </c>
      <c r="E540" t="s">
        <v>1021</v>
      </c>
      <c r="F540">
        <v>18848</v>
      </c>
      <c r="G540" t="s">
        <v>2168</v>
      </c>
      <c r="H540" t="s">
        <v>2202</v>
      </c>
      <c r="I540" t="s">
        <v>2198</v>
      </c>
      <c r="J540" t="s">
        <v>2168</v>
      </c>
      <c r="K540" t="s">
        <v>446</v>
      </c>
      <c r="L540" t="s">
        <v>446</v>
      </c>
      <c r="M540" t="s">
        <v>446</v>
      </c>
      <c r="N540" t="s">
        <v>446</v>
      </c>
      <c r="O540" t="s">
        <v>446</v>
      </c>
      <c r="P540" t="s">
        <v>446</v>
      </c>
      <c r="Q540" t="b">
        <v>1</v>
      </c>
      <c r="R540" t="b">
        <v>0</v>
      </c>
      <c r="S540" t="s">
        <v>1038</v>
      </c>
      <c r="T540" t="s">
        <v>446</v>
      </c>
      <c r="U540" t="s">
        <v>1039</v>
      </c>
      <c r="V540" t="s">
        <v>1002</v>
      </c>
      <c r="W540" t="s">
        <v>2170</v>
      </c>
      <c r="X540" t="s">
        <v>2200</v>
      </c>
    </row>
    <row r="541" spans="1:24" x14ac:dyDescent="0.25">
      <c r="A541" t="s">
        <v>44</v>
      </c>
      <c r="B541" t="s">
        <v>1224</v>
      </c>
      <c r="C541" t="s">
        <v>2198</v>
      </c>
      <c r="D541" t="s">
        <v>44</v>
      </c>
      <c r="E541" t="s">
        <v>1023</v>
      </c>
      <c r="F541">
        <v>22081</v>
      </c>
      <c r="G541" t="s">
        <v>2168</v>
      </c>
      <c r="H541" t="s">
        <v>2203</v>
      </c>
      <c r="I541" t="s">
        <v>2198</v>
      </c>
      <c r="J541" t="s">
        <v>2168</v>
      </c>
      <c r="K541" t="s">
        <v>446</v>
      </c>
      <c r="L541" t="s">
        <v>446</v>
      </c>
      <c r="M541" t="s">
        <v>446</v>
      </c>
      <c r="N541" t="s">
        <v>446</v>
      </c>
      <c r="O541" t="s">
        <v>446</v>
      </c>
      <c r="P541" t="s">
        <v>446</v>
      </c>
      <c r="Q541" t="b">
        <v>1</v>
      </c>
      <c r="R541" t="b">
        <v>0</v>
      </c>
      <c r="S541" t="s">
        <v>1038</v>
      </c>
      <c r="T541" t="s">
        <v>446</v>
      </c>
      <c r="U541" t="s">
        <v>1039</v>
      </c>
      <c r="V541" t="s">
        <v>1002</v>
      </c>
      <c r="W541" t="s">
        <v>2170</v>
      </c>
      <c r="X541" t="s">
        <v>2200</v>
      </c>
    </row>
    <row r="542" spans="1:24" x14ac:dyDescent="0.25">
      <c r="A542" t="s">
        <v>44</v>
      </c>
      <c r="B542" t="s">
        <v>1226</v>
      </c>
      <c r="C542" t="s">
        <v>2198</v>
      </c>
      <c r="D542" t="s">
        <v>44</v>
      </c>
      <c r="E542" t="s">
        <v>1025</v>
      </c>
      <c r="F542">
        <v>24899</v>
      </c>
      <c r="G542" t="s">
        <v>2168</v>
      </c>
      <c r="H542" t="s">
        <v>2204</v>
      </c>
      <c r="I542" t="s">
        <v>2198</v>
      </c>
      <c r="J542" t="s">
        <v>2168</v>
      </c>
      <c r="K542" t="s">
        <v>446</v>
      </c>
      <c r="L542" t="s">
        <v>446</v>
      </c>
      <c r="M542" t="s">
        <v>446</v>
      </c>
      <c r="N542" t="s">
        <v>446</v>
      </c>
      <c r="O542" t="s">
        <v>446</v>
      </c>
      <c r="P542" t="s">
        <v>446</v>
      </c>
      <c r="Q542" t="b">
        <v>1</v>
      </c>
      <c r="R542" t="b">
        <v>0</v>
      </c>
      <c r="S542" t="s">
        <v>1038</v>
      </c>
      <c r="T542" t="s">
        <v>446</v>
      </c>
      <c r="U542" t="s">
        <v>1039</v>
      </c>
      <c r="V542" t="s">
        <v>1002</v>
      </c>
      <c r="W542" t="s">
        <v>2170</v>
      </c>
      <c r="X542" t="s">
        <v>2200</v>
      </c>
    </row>
    <row r="543" spans="1:24" x14ac:dyDescent="0.25">
      <c r="A543" t="s">
        <v>44</v>
      </c>
      <c r="B543" t="s">
        <v>1228</v>
      </c>
      <c r="C543" t="s">
        <v>2198</v>
      </c>
      <c r="D543" t="s">
        <v>44</v>
      </c>
      <c r="E543" t="s">
        <v>1027</v>
      </c>
      <c r="F543">
        <v>22054</v>
      </c>
      <c r="G543" t="s">
        <v>2168</v>
      </c>
      <c r="H543" t="s">
        <v>2205</v>
      </c>
      <c r="I543" t="s">
        <v>2198</v>
      </c>
      <c r="J543" t="s">
        <v>2168</v>
      </c>
      <c r="K543" t="s">
        <v>446</v>
      </c>
      <c r="L543" t="s">
        <v>446</v>
      </c>
      <c r="M543" t="s">
        <v>446</v>
      </c>
      <c r="N543" t="s">
        <v>446</v>
      </c>
      <c r="O543" t="s">
        <v>446</v>
      </c>
      <c r="P543" t="s">
        <v>446</v>
      </c>
      <c r="Q543" t="b">
        <v>1</v>
      </c>
      <c r="R543" t="b">
        <v>0</v>
      </c>
      <c r="S543" t="s">
        <v>1038</v>
      </c>
      <c r="T543" t="s">
        <v>446</v>
      </c>
      <c r="U543" t="s">
        <v>1039</v>
      </c>
      <c r="V543" t="s">
        <v>1002</v>
      </c>
      <c r="W543" t="s">
        <v>2170</v>
      </c>
      <c r="X543" t="s">
        <v>2200</v>
      </c>
    </row>
    <row r="544" spans="1:24" x14ac:dyDescent="0.25">
      <c r="A544" t="s">
        <v>44</v>
      </c>
      <c r="B544" t="s">
        <v>1230</v>
      </c>
      <c r="C544" t="s">
        <v>2198</v>
      </c>
      <c r="D544" t="s">
        <v>44</v>
      </c>
      <c r="E544" t="s">
        <v>1131</v>
      </c>
      <c r="F544">
        <v>28363</v>
      </c>
      <c r="G544" t="s">
        <v>2168</v>
      </c>
      <c r="H544" t="s">
        <v>2206</v>
      </c>
      <c r="I544" t="s">
        <v>2198</v>
      </c>
      <c r="J544" t="s">
        <v>2168</v>
      </c>
      <c r="K544" t="s">
        <v>446</v>
      </c>
      <c r="L544" t="s">
        <v>446</v>
      </c>
      <c r="M544" t="s">
        <v>446</v>
      </c>
      <c r="N544" t="s">
        <v>446</v>
      </c>
      <c r="O544" t="s">
        <v>446</v>
      </c>
      <c r="P544" t="s">
        <v>446</v>
      </c>
      <c r="Q544" t="b">
        <v>1</v>
      </c>
      <c r="R544" t="b">
        <v>0</v>
      </c>
      <c r="S544" t="s">
        <v>1038</v>
      </c>
      <c r="T544" t="s">
        <v>446</v>
      </c>
      <c r="U544" t="s">
        <v>1039</v>
      </c>
      <c r="V544" t="s">
        <v>1002</v>
      </c>
      <c r="W544" t="s">
        <v>2170</v>
      </c>
      <c r="X544" t="s">
        <v>2200</v>
      </c>
    </row>
    <row r="545" spans="1:24" x14ac:dyDescent="0.25">
      <c r="A545" t="s">
        <v>44</v>
      </c>
      <c r="B545" t="s">
        <v>1232</v>
      </c>
      <c r="C545" t="s">
        <v>2207</v>
      </c>
      <c r="D545" t="s">
        <v>44</v>
      </c>
      <c r="E545" t="s">
        <v>998</v>
      </c>
      <c r="F545">
        <v>0</v>
      </c>
      <c r="G545" t="s">
        <v>2168</v>
      </c>
      <c r="H545" t="s">
        <v>2208</v>
      </c>
      <c r="I545" t="s">
        <v>2207</v>
      </c>
      <c r="J545" t="s">
        <v>2168</v>
      </c>
      <c r="K545" t="s">
        <v>446</v>
      </c>
      <c r="L545" t="s">
        <v>446</v>
      </c>
      <c r="M545" t="s">
        <v>446</v>
      </c>
      <c r="N545" t="s">
        <v>446</v>
      </c>
      <c r="O545" t="s">
        <v>446</v>
      </c>
      <c r="P545" t="s">
        <v>446</v>
      </c>
      <c r="Q545" t="b">
        <v>1</v>
      </c>
      <c r="R545" t="b">
        <v>0</v>
      </c>
      <c r="S545" t="s">
        <v>1038</v>
      </c>
      <c r="T545" t="s">
        <v>446</v>
      </c>
      <c r="U545" t="s">
        <v>1039</v>
      </c>
      <c r="V545" t="s">
        <v>1002</v>
      </c>
      <c r="W545" t="s">
        <v>2170</v>
      </c>
      <c r="X545" t="s">
        <v>2209</v>
      </c>
    </row>
    <row r="546" spans="1:24" x14ac:dyDescent="0.25">
      <c r="A546" t="s">
        <v>44</v>
      </c>
      <c r="B546" t="s">
        <v>1237</v>
      </c>
      <c r="C546" t="s">
        <v>2207</v>
      </c>
      <c r="D546" t="s">
        <v>44</v>
      </c>
      <c r="E546" t="s">
        <v>1005</v>
      </c>
      <c r="F546">
        <v>0</v>
      </c>
      <c r="G546" t="s">
        <v>2168</v>
      </c>
      <c r="H546" t="s">
        <v>2208</v>
      </c>
      <c r="I546" t="s">
        <v>2207</v>
      </c>
      <c r="J546" t="s">
        <v>2168</v>
      </c>
      <c r="K546" t="s">
        <v>446</v>
      </c>
      <c r="L546" t="s">
        <v>446</v>
      </c>
      <c r="M546" t="s">
        <v>446</v>
      </c>
      <c r="N546" t="s">
        <v>446</v>
      </c>
      <c r="O546" t="s">
        <v>446</v>
      </c>
      <c r="P546" t="s">
        <v>446</v>
      </c>
      <c r="Q546" t="b">
        <v>1</v>
      </c>
      <c r="R546" t="b">
        <v>0</v>
      </c>
      <c r="S546" t="s">
        <v>1038</v>
      </c>
      <c r="T546" t="s">
        <v>446</v>
      </c>
      <c r="U546" t="s">
        <v>1039</v>
      </c>
      <c r="V546" t="s">
        <v>1002</v>
      </c>
      <c r="W546" t="s">
        <v>2170</v>
      </c>
      <c r="X546" t="s">
        <v>2209</v>
      </c>
    </row>
    <row r="547" spans="1:24" x14ac:dyDescent="0.25">
      <c r="A547" t="s">
        <v>44</v>
      </c>
      <c r="B547" t="s">
        <v>1238</v>
      </c>
      <c r="C547" t="s">
        <v>2207</v>
      </c>
      <c r="D547" t="s">
        <v>44</v>
      </c>
      <c r="E547" t="s">
        <v>1007</v>
      </c>
      <c r="F547">
        <v>0</v>
      </c>
      <c r="G547" t="s">
        <v>2168</v>
      </c>
      <c r="H547" t="s">
        <v>2208</v>
      </c>
      <c r="I547" t="s">
        <v>2207</v>
      </c>
      <c r="J547" t="s">
        <v>2168</v>
      </c>
      <c r="K547" t="s">
        <v>446</v>
      </c>
      <c r="L547" t="s">
        <v>446</v>
      </c>
      <c r="M547" t="s">
        <v>446</v>
      </c>
      <c r="N547" t="s">
        <v>446</v>
      </c>
      <c r="O547" t="s">
        <v>446</v>
      </c>
      <c r="P547" t="s">
        <v>446</v>
      </c>
      <c r="Q547" t="b">
        <v>1</v>
      </c>
      <c r="R547" t="b">
        <v>0</v>
      </c>
      <c r="S547" t="s">
        <v>1038</v>
      </c>
      <c r="T547" t="s">
        <v>446</v>
      </c>
      <c r="U547" t="s">
        <v>1039</v>
      </c>
      <c r="V547" t="s">
        <v>1002</v>
      </c>
      <c r="W547" t="s">
        <v>2170</v>
      </c>
      <c r="X547" t="s">
        <v>2209</v>
      </c>
    </row>
    <row r="548" spans="1:24" x14ac:dyDescent="0.25">
      <c r="A548" t="s">
        <v>44</v>
      </c>
      <c r="B548" t="s">
        <v>1239</v>
      </c>
      <c r="C548" t="s">
        <v>2207</v>
      </c>
      <c r="D548" t="s">
        <v>44</v>
      </c>
      <c r="E548" t="s">
        <v>1009</v>
      </c>
      <c r="F548">
        <v>0</v>
      </c>
      <c r="G548" t="s">
        <v>2168</v>
      </c>
      <c r="H548" t="s">
        <v>2208</v>
      </c>
      <c r="I548" t="s">
        <v>2207</v>
      </c>
      <c r="J548" t="s">
        <v>2168</v>
      </c>
      <c r="K548" t="s">
        <v>446</v>
      </c>
      <c r="L548" t="s">
        <v>446</v>
      </c>
      <c r="M548" t="s">
        <v>446</v>
      </c>
      <c r="N548" t="s">
        <v>446</v>
      </c>
      <c r="O548" t="s">
        <v>446</v>
      </c>
      <c r="P548" t="s">
        <v>446</v>
      </c>
      <c r="Q548" t="b">
        <v>1</v>
      </c>
      <c r="R548" t="b">
        <v>0</v>
      </c>
      <c r="S548" t="s">
        <v>1038</v>
      </c>
      <c r="T548" t="s">
        <v>446</v>
      </c>
      <c r="U548" t="s">
        <v>1039</v>
      </c>
      <c r="V548" t="s">
        <v>1002</v>
      </c>
      <c r="W548" t="s">
        <v>2170</v>
      </c>
      <c r="X548" t="s">
        <v>2209</v>
      </c>
    </row>
    <row r="549" spans="1:24" x14ac:dyDescent="0.25">
      <c r="A549" t="s">
        <v>44</v>
      </c>
      <c r="B549" t="s">
        <v>1240</v>
      </c>
      <c r="C549" t="s">
        <v>2207</v>
      </c>
      <c r="D549" t="s">
        <v>44</v>
      </c>
      <c r="E549" t="s">
        <v>1011</v>
      </c>
      <c r="F549">
        <v>0</v>
      </c>
      <c r="G549" t="s">
        <v>2168</v>
      </c>
      <c r="H549" t="s">
        <v>2208</v>
      </c>
      <c r="I549" t="s">
        <v>2207</v>
      </c>
      <c r="J549" t="s">
        <v>2168</v>
      </c>
      <c r="K549" t="s">
        <v>446</v>
      </c>
      <c r="L549" t="s">
        <v>446</v>
      </c>
      <c r="M549" t="s">
        <v>446</v>
      </c>
      <c r="N549" t="s">
        <v>446</v>
      </c>
      <c r="O549" t="s">
        <v>446</v>
      </c>
      <c r="P549" t="s">
        <v>446</v>
      </c>
      <c r="Q549" t="b">
        <v>1</v>
      </c>
      <c r="R549" t="b">
        <v>0</v>
      </c>
      <c r="S549" t="s">
        <v>1038</v>
      </c>
      <c r="T549" t="s">
        <v>446</v>
      </c>
      <c r="U549" t="s">
        <v>1039</v>
      </c>
      <c r="V549" t="s">
        <v>1002</v>
      </c>
      <c r="W549" t="s">
        <v>2170</v>
      </c>
      <c r="X549" t="s">
        <v>2209</v>
      </c>
    </row>
    <row r="550" spans="1:24" x14ac:dyDescent="0.25">
      <c r="A550" t="s">
        <v>44</v>
      </c>
      <c r="B550" t="s">
        <v>1241</v>
      </c>
      <c r="C550" t="s">
        <v>2207</v>
      </c>
      <c r="D550" t="s">
        <v>44</v>
      </c>
      <c r="E550" t="s">
        <v>1013</v>
      </c>
      <c r="F550">
        <v>0</v>
      </c>
      <c r="G550" t="s">
        <v>2168</v>
      </c>
      <c r="H550" t="s">
        <v>2208</v>
      </c>
      <c r="I550" t="s">
        <v>2207</v>
      </c>
      <c r="J550" t="s">
        <v>2168</v>
      </c>
      <c r="K550" t="s">
        <v>446</v>
      </c>
      <c r="L550" t="s">
        <v>446</v>
      </c>
      <c r="M550" t="s">
        <v>446</v>
      </c>
      <c r="N550" t="s">
        <v>446</v>
      </c>
      <c r="O550" t="s">
        <v>446</v>
      </c>
      <c r="P550" t="s">
        <v>446</v>
      </c>
      <c r="Q550" t="b">
        <v>1</v>
      </c>
      <c r="R550" t="b">
        <v>0</v>
      </c>
      <c r="S550" t="s">
        <v>1038</v>
      </c>
      <c r="T550" t="s">
        <v>446</v>
      </c>
      <c r="U550" t="s">
        <v>1039</v>
      </c>
      <c r="V550" t="s">
        <v>1002</v>
      </c>
      <c r="W550" t="s">
        <v>2170</v>
      </c>
      <c r="X550" t="s">
        <v>2209</v>
      </c>
    </row>
    <row r="551" spans="1:24" x14ac:dyDescent="0.25">
      <c r="A551" t="s">
        <v>44</v>
      </c>
      <c r="B551" t="s">
        <v>1242</v>
      </c>
      <c r="C551" t="s">
        <v>2207</v>
      </c>
      <c r="D551" t="s">
        <v>44</v>
      </c>
      <c r="E551" t="s">
        <v>1015</v>
      </c>
      <c r="F551">
        <v>0</v>
      </c>
      <c r="G551" t="s">
        <v>2168</v>
      </c>
      <c r="H551" t="s">
        <v>2208</v>
      </c>
      <c r="I551" t="s">
        <v>2207</v>
      </c>
      <c r="J551" t="s">
        <v>2168</v>
      </c>
      <c r="K551" t="s">
        <v>446</v>
      </c>
      <c r="L551" t="s">
        <v>446</v>
      </c>
      <c r="M551" t="s">
        <v>446</v>
      </c>
      <c r="N551" t="s">
        <v>446</v>
      </c>
      <c r="O551" t="s">
        <v>446</v>
      </c>
      <c r="P551" t="s">
        <v>446</v>
      </c>
      <c r="Q551" t="b">
        <v>1</v>
      </c>
      <c r="R551" t="b">
        <v>0</v>
      </c>
      <c r="S551" t="s">
        <v>1038</v>
      </c>
      <c r="T551" t="s">
        <v>446</v>
      </c>
      <c r="U551" t="s">
        <v>1039</v>
      </c>
      <c r="V551" t="s">
        <v>1002</v>
      </c>
      <c r="W551" t="s">
        <v>2170</v>
      </c>
      <c r="X551" t="s">
        <v>2209</v>
      </c>
    </row>
    <row r="552" spans="1:24" x14ac:dyDescent="0.25">
      <c r="A552" t="s">
        <v>44</v>
      </c>
      <c r="B552" t="s">
        <v>1243</v>
      </c>
      <c r="C552" t="s">
        <v>2207</v>
      </c>
      <c r="D552" t="s">
        <v>44</v>
      </c>
      <c r="E552" t="s">
        <v>1017</v>
      </c>
      <c r="F552">
        <v>0</v>
      </c>
      <c r="G552" t="s">
        <v>2168</v>
      </c>
      <c r="H552" t="s">
        <v>2208</v>
      </c>
      <c r="I552" t="s">
        <v>2207</v>
      </c>
      <c r="J552" t="s">
        <v>2168</v>
      </c>
      <c r="K552" t="s">
        <v>446</v>
      </c>
      <c r="L552" t="s">
        <v>446</v>
      </c>
      <c r="M552" t="s">
        <v>446</v>
      </c>
      <c r="N552" t="s">
        <v>446</v>
      </c>
      <c r="O552" t="s">
        <v>446</v>
      </c>
      <c r="P552" t="s">
        <v>446</v>
      </c>
      <c r="Q552" t="b">
        <v>1</v>
      </c>
      <c r="R552" t="b">
        <v>0</v>
      </c>
      <c r="S552" t="s">
        <v>1038</v>
      </c>
      <c r="T552" t="s">
        <v>446</v>
      </c>
      <c r="U552" t="s">
        <v>1039</v>
      </c>
      <c r="V552" t="s">
        <v>1002</v>
      </c>
      <c r="W552" t="s">
        <v>2170</v>
      </c>
      <c r="X552" t="s">
        <v>2209</v>
      </c>
    </row>
    <row r="553" spans="1:24" x14ac:dyDescent="0.25">
      <c r="A553" t="s">
        <v>44</v>
      </c>
      <c r="B553" t="s">
        <v>1244</v>
      </c>
      <c r="C553" t="s">
        <v>2207</v>
      </c>
      <c r="D553" t="s">
        <v>44</v>
      </c>
      <c r="E553" t="s">
        <v>1019</v>
      </c>
      <c r="F553">
        <v>1241</v>
      </c>
      <c r="G553" t="s">
        <v>2168</v>
      </c>
      <c r="H553" t="s">
        <v>2210</v>
      </c>
      <c r="I553" t="s">
        <v>2207</v>
      </c>
      <c r="J553" t="s">
        <v>2168</v>
      </c>
      <c r="K553" t="s">
        <v>446</v>
      </c>
      <c r="L553" t="s">
        <v>446</v>
      </c>
      <c r="M553" t="s">
        <v>446</v>
      </c>
      <c r="N553" t="s">
        <v>446</v>
      </c>
      <c r="O553" t="s">
        <v>446</v>
      </c>
      <c r="P553" t="s">
        <v>446</v>
      </c>
      <c r="Q553" t="b">
        <v>1</v>
      </c>
      <c r="R553" t="b">
        <v>0</v>
      </c>
      <c r="S553" t="s">
        <v>1038</v>
      </c>
      <c r="T553" t="s">
        <v>446</v>
      </c>
      <c r="U553" t="s">
        <v>1039</v>
      </c>
      <c r="V553" t="s">
        <v>1002</v>
      </c>
      <c r="W553" t="s">
        <v>2170</v>
      </c>
      <c r="X553" t="s">
        <v>2209</v>
      </c>
    </row>
    <row r="554" spans="1:24" x14ac:dyDescent="0.25">
      <c r="A554" t="s">
        <v>44</v>
      </c>
      <c r="B554" t="s">
        <v>1245</v>
      </c>
      <c r="C554" t="s">
        <v>2207</v>
      </c>
      <c r="D554" t="s">
        <v>44</v>
      </c>
      <c r="E554" t="s">
        <v>1021</v>
      </c>
      <c r="F554">
        <v>1369</v>
      </c>
      <c r="G554" t="s">
        <v>2168</v>
      </c>
      <c r="H554" t="s">
        <v>2211</v>
      </c>
      <c r="I554" t="s">
        <v>2207</v>
      </c>
      <c r="J554" t="s">
        <v>2168</v>
      </c>
      <c r="K554" t="s">
        <v>446</v>
      </c>
      <c r="L554" t="s">
        <v>446</v>
      </c>
      <c r="M554" t="s">
        <v>446</v>
      </c>
      <c r="N554" t="s">
        <v>446</v>
      </c>
      <c r="O554" t="s">
        <v>446</v>
      </c>
      <c r="P554" t="s">
        <v>446</v>
      </c>
      <c r="Q554" t="b">
        <v>1</v>
      </c>
      <c r="R554" t="b">
        <v>0</v>
      </c>
      <c r="S554" t="s">
        <v>1038</v>
      </c>
      <c r="T554" t="s">
        <v>446</v>
      </c>
      <c r="U554" t="s">
        <v>1039</v>
      </c>
      <c r="V554" t="s">
        <v>1002</v>
      </c>
      <c r="W554" t="s">
        <v>2170</v>
      </c>
      <c r="X554" t="s">
        <v>2209</v>
      </c>
    </row>
    <row r="555" spans="1:24" x14ac:dyDescent="0.25">
      <c r="A555" t="s">
        <v>44</v>
      </c>
      <c r="B555" t="s">
        <v>1246</v>
      </c>
      <c r="C555" t="s">
        <v>2207</v>
      </c>
      <c r="D555" t="s">
        <v>44</v>
      </c>
      <c r="E555" t="s">
        <v>1023</v>
      </c>
      <c r="F555">
        <v>1502</v>
      </c>
      <c r="G555" t="s">
        <v>2168</v>
      </c>
      <c r="H555" t="s">
        <v>2212</v>
      </c>
      <c r="I555" t="s">
        <v>2207</v>
      </c>
      <c r="J555" t="s">
        <v>2168</v>
      </c>
      <c r="K555" t="s">
        <v>446</v>
      </c>
      <c r="L555" t="s">
        <v>446</v>
      </c>
      <c r="M555" t="s">
        <v>446</v>
      </c>
      <c r="N555" t="s">
        <v>446</v>
      </c>
      <c r="O555" t="s">
        <v>446</v>
      </c>
      <c r="P555" t="s">
        <v>446</v>
      </c>
      <c r="Q555" t="b">
        <v>1</v>
      </c>
      <c r="R555" t="b">
        <v>0</v>
      </c>
      <c r="S555" t="s">
        <v>1038</v>
      </c>
      <c r="T555" t="s">
        <v>446</v>
      </c>
      <c r="U555" t="s">
        <v>1039</v>
      </c>
      <c r="V555" t="s">
        <v>1002</v>
      </c>
      <c r="W555" t="s">
        <v>2170</v>
      </c>
      <c r="X555" t="s">
        <v>2209</v>
      </c>
    </row>
    <row r="556" spans="1:24" x14ac:dyDescent="0.25">
      <c r="A556" t="s">
        <v>44</v>
      </c>
      <c r="B556" t="s">
        <v>1247</v>
      </c>
      <c r="C556" t="s">
        <v>2207</v>
      </c>
      <c r="D556" t="s">
        <v>44</v>
      </c>
      <c r="E556" t="s">
        <v>1025</v>
      </c>
      <c r="F556">
        <v>973</v>
      </c>
      <c r="G556" t="s">
        <v>2168</v>
      </c>
      <c r="H556" t="s">
        <v>2213</v>
      </c>
      <c r="I556" t="s">
        <v>2207</v>
      </c>
      <c r="J556" t="s">
        <v>2168</v>
      </c>
      <c r="K556" t="s">
        <v>446</v>
      </c>
      <c r="L556" t="s">
        <v>446</v>
      </c>
      <c r="M556" t="s">
        <v>446</v>
      </c>
      <c r="N556" t="s">
        <v>446</v>
      </c>
      <c r="O556" t="s">
        <v>446</v>
      </c>
      <c r="P556" t="s">
        <v>446</v>
      </c>
      <c r="Q556" t="b">
        <v>1</v>
      </c>
      <c r="R556" t="b">
        <v>0</v>
      </c>
      <c r="S556" t="s">
        <v>1038</v>
      </c>
      <c r="T556" t="s">
        <v>446</v>
      </c>
      <c r="U556" t="s">
        <v>1039</v>
      </c>
      <c r="V556" t="s">
        <v>1002</v>
      </c>
      <c r="W556" t="s">
        <v>2170</v>
      </c>
      <c r="X556" t="s">
        <v>2209</v>
      </c>
    </row>
    <row r="557" spans="1:24" x14ac:dyDescent="0.25">
      <c r="A557" t="s">
        <v>44</v>
      </c>
      <c r="B557" t="s">
        <v>1248</v>
      </c>
      <c r="C557" t="s">
        <v>2207</v>
      </c>
      <c r="D557" t="s">
        <v>44</v>
      </c>
      <c r="E557" t="s">
        <v>1027</v>
      </c>
      <c r="F557">
        <v>1640</v>
      </c>
      <c r="G557" t="s">
        <v>2168</v>
      </c>
      <c r="H557" t="s">
        <v>2214</v>
      </c>
      <c r="I557" t="s">
        <v>2207</v>
      </c>
      <c r="J557" t="s">
        <v>2168</v>
      </c>
      <c r="K557" t="s">
        <v>446</v>
      </c>
      <c r="L557" t="s">
        <v>446</v>
      </c>
      <c r="M557" t="s">
        <v>446</v>
      </c>
      <c r="N557" t="s">
        <v>446</v>
      </c>
      <c r="O557" t="s">
        <v>446</v>
      </c>
      <c r="P557" t="s">
        <v>446</v>
      </c>
      <c r="Q557" t="b">
        <v>1</v>
      </c>
      <c r="R557" t="b">
        <v>0</v>
      </c>
      <c r="S557" t="s">
        <v>1038</v>
      </c>
      <c r="T557" t="s">
        <v>446</v>
      </c>
      <c r="U557" t="s">
        <v>1039</v>
      </c>
      <c r="V557" t="s">
        <v>1002</v>
      </c>
      <c r="W557" t="s">
        <v>2170</v>
      </c>
      <c r="X557" t="s">
        <v>2209</v>
      </c>
    </row>
    <row r="558" spans="1:24" x14ac:dyDescent="0.25">
      <c r="A558" t="s">
        <v>44</v>
      </c>
      <c r="B558" t="s">
        <v>1249</v>
      </c>
      <c r="C558" t="s">
        <v>2207</v>
      </c>
      <c r="D558" t="s">
        <v>44</v>
      </c>
      <c r="E558" t="s">
        <v>1131</v>
      </c>
      <c r="F558">
        <v>2242</v>
      </c>
      <c r="G558" t="s">
        <v>2168</v>
      </c>
      <c r="H558" t="s">
        <v>2215</v>
      </c>
      <c r="I558" t="s">
        <v>2207</v>
      </c>
      <c r="J558" t="s">
        <v>2168</v>
      </c>
      <c r="K558" t="s">
        <v>446</v>
      </c>
      <c r="L558" t="s">
        <v>446</v>
      </c>
      <c r="M558" t="s">
        <v>446</v>
      </c>
      <c r="N558" t="s">
        <v>446</v>
      </c>
      <c r="O558" t="s">
        <v>446</v>
      </c>
      <c r="P558" t="s">
        <v>446</v>
      </c>
      <c r="Q558" t="b">
        <v>1</v>
      </c>
      <c r="R558" t="b">
        <v>0</v>
      </c>
      <c r="S558" t="s">
        <v>1038</v>
      </c>
      <c r="T558" t="s">
        <v>446</v>
      </c>
      <c r="U558" t="s">
        <v>1039</v>
      </c>
      <c r="V558" t="s">
        <v>1002</v>
      </c>
      <c r="W558" t="s">
        <v>2170</v>
      </c>
      <c r="X558" t="s">
        <v>2209</v>
      </c>
    </row>
    <row r="559" spans="1:24" x14ac:dyDescent="0.25">
      <c r="A559" t="s">
        <v>44</v>
      </c>
      <c r="B559" t="s">
        <v>2216</v>
      </c>
      <c r="C559" t="s">
        <v>2217</v>
      </c>
      <c r="D559" t="s">
        <v>44</v>
      </c>
      <c r="E559" t="s">
        <v>998</v>
      </c>
      <c r="F559">
        <v>1606</v>
      </c>
      <c r="G559" t="s">
        <v>2168</v>
      </c>
      <c r="H559" t="s">
        <v>2218</v>
      </c>
      <c r="I559" t="s">
        <v>2217</v>
      </c>
      <c r="J559" t="s">
        <v>2168</v>
      </c>
      <c r="K559" t="s">
        <v>446</v>
      </c>
      <c r="L559" t="s">
        <v>446</v>
      </c>
      <c r="M559" t="s">
        <v>446</v>
      </c>
      <c r="N559" t="s">
        <v>446</v>
      </c>
      <c r="O559" t="s">
        <v>446</v>
      </c>
      <c r="P559" t="s">
        <v>446</v>
      </c>
      <c r="Q559" t="b">
        <v>1</v>
      </c>
      <c r="R559" t="b">
        <v>0</v>
      </c>
      <c r="S559" t="s">
        <v>1038</v>
      </c>
      <c r="T559" t="s">
        <v>446</v>
      </c>
      <c r="U559" t="s">
        <v>1039</v>
      </c>
      <c r="V559" t="s">
        <v>1002</v>
      </c>
      <c r="W559" t="s">
        <v>2170</v>
      </c>
      <c r="X559" t="s">
        <v>2219</v>
      </c>
    </row>
    <row r="560" spans="1:24" x14ac:dyDescent="0.25">
      <c r="A560" t="s">
        <v>44</v>
      </c>
      <c r="B560" t="s">
        <v>2220</v>
      </c>
      <c r="C560" t="s">
        <v>2217</v>
      </c>
      <c r="D560" t="s">
        <v>44</v>
      </c>
      <c r="E560" t="s">
        <v>1005</v>
      </c>
      <c r="F560">
        <v>816</v>
      </c>
      <c r="G560" t="s">
        <v>2168</v>
      </c>
      <c r="H560" t="s">
        <v>2221</v>
      </c>
      <c r="I560" t="s">
        <v>2217</v>
      </c>
      <c r="J560" t="s">
        <v>2168</v>
      </c>
      <c r="K560" t="s">
        <v>446</v>
      </c>
      <c r="L560" t="s">
        <v>446</v>
      </c>
      <c r="M560" t="s">
        <v>446</v>
      </c>
      <c r="N560" t="s">
        <v>446</v>
      </c>
      <c r="O560" t="s">
        <v>446</v>
      </c>
      <c r="P560" t="s">
        <v>446</v>
      </c>
      <c r="Q560" t="b">
        <v>1</v>
      </c>
      <c r="R560" t="b">
        <v>0</v>
      </c>
      <c r="S560" t="s">
        <v>1038</v>
      </c>
      <c r="T560" t="s">
        <v>446</v>
      </c>
      <c r="U560" t="s">
        <v>1039</v>
      </c>
      <c r="V560" t="s">
        <v>1002</v>
      </c>
      <c r="W560" t="s">
        <v>2170</v>
      </c>
      <c r="X560" t="s">
        <v>2219</v>
      </c>
    </row>
    <row r="561" spans="1:24" x14ac:dyDescent="0.25">
      <c r="A561" t="s">
        <v>44</v>
      </c>
      <c r="B561" t="s">
        <v>2222</v>
      </c>
      <c r="C561" t="s">
        <v>2217</v>
      </c>
      <c r="D561" t="s">
        <v>44</v>
      </c>
      <c r="E561" t="s">
        <v>1007</v>
      </c>
      <c r="F561">
        <v>1086</v>
      </c>
      <c r="G561" t="s">
        <v>2168</v>
      </c>
      <c r="H561" t="s">
        <v>2223</v>
      </c>
      <c r="I561" t="s">
        <v>2217</v>
      </c>
      <c r="J561" t="s">
        <v>2168</v>
      </c>
      <c r="K561" t="s">
        <v>446</v>
      </c>
      <c r="L561" t="s">
        <v>446</v>
      </c>
      <c r="M561" t="s">
        <v>446</v>
      </c>
      <c r="N561" t="s">
        <v>446</v>
      </c>
      <c r="O561" t="s">
        <v>446</v>
      </c>
      <c r="P561" t="s">
        <v>446</v>
      </c>
      <c r="Q561" t="b">
        <v>1</v>
      </c>
      <c r="R561" t="b">
        <v>0</v>
      </c>
      <c r="S561" t="s">
        <v>1038</v>
      </c>
      <c r="T561" t="s">
        <v>446</v>
      </c>
      <c r="U561" t="s">
        <v>1039</v>
      </c>
      <c r="V561" t="s">
        <v>1002</v>
      </c>
      <c r="W561" t="s">
        <v>2170</v>
      </c>
      <c r="X561" t="s">
        <v>2219</v>
      </c>
    </row>
    <row r="562" spans="1:24" x14ac:dyDescent="0.25">
      <c r="A562" t="s">
        <v>44</v>
      </c>
      <c r="B562" t="s">
        <v>2224</v>
      </c>
      <c r="C562" t="s">
        <v>2217</v>
      </c>
      <c r="D562" t="s">
        <v>44</v>
      </c>
      <c r="E562" t="s">
        <v>1009</v>
      </c>
      <c r="F562">
        <v>1575</v>
      </c>
      <c r="G562" t="s">
        <v>2168</v>
      </c>
      <c r="H562" t="s">
        <v>2225</v>
      </c>
      <c r="I562" t="s">
        <v>2217</v>
      </c>
      <c r="J562" t="s">
        <v>2168</v>
      </c>
      <c r="K562" t="s">
        <v>446</v>
      </c>
      <c r="L562" t="s">
        <v>446</v>
      </c>
      <c r="M562" t="s">
        <v>446</v>
      </c>
      <c r="N562" t="s">
        <v>446</v>
      </c>
      <c r="O562" t="s">
        <v>446</v>
      </c>
      <c r="P562" t="s">
        <v>446</v>
      </c>
      <c r="Q562" t="b">
        <v>1</v>
      </c>
      <c r="R562" t="b">
        <v>0</v>
      </c>
      <c r="S562" t="s">
        <v>1038</v>
      </c>
      <c r="T562" t="s">
        <v>446</v>
      </c>
      <c r="U562" t="s">
        <v>1039</v>
      </c>
      <c r="V562" t="s">
        <v>1002</v>
      </c>
      <c r="W562" t="s">
        <v>2170</v>
      </c>
      <c r="X562" t="s">
        <v>2219</v>
      </c>
    </row>
    <row r="563" spans="1:24" x14ac:dyDescent="0.25">
      <c r="A563" t="s">
        <v>44</v>
      </c>
      <c r="B563" t="s">
        <v>2226</v>
      </c>
      <c r="C563" t="s">
        <v>2217</v>
      </c>
      <c r="D563" t="s">
        <v>44</v>
      </c>
      <c r="E563" t="s">
        <v>1011</v>
      </c>
      <c r="F563">
        <v>2160</v>
      </c>
      <c r="G563" t="s">
        <v>2168</v>
      </c>
      <c r="H563" t="s">
        <v>2227</v>
      </c>
      <c r="I563" t="s">
        <v>2217</v>
      </c>
      <c r="J563" t="s">
        <v>2168</v>
      </c>
      <c r="K563" t="s">
        <v>446</v>
      </c>
      <c r="L563" t="s">
        <v>446</v>
      </c>
      <c r="M563" t="s">
        <v>446</v>
      </c>
      <c r="N563" t="s">
        <v>446</v>
      </c>
      <c r="O563" t="s">
        <v>446</v>
      </c>
      <c r="P563" t="s">
        <v>446</v>
      </c>
      <c r="Q563" t="b">
        <v>1</v>
      </c>
      <c r="R563" t="b">
        <v>0</v>
      </c>
      <c r="S563" t="s">
        <v>1038</v>
      </c>
      <c r="T563" t="s">
        <v>446</v>
      </c>
      <c r="U563" t="s">
        <v>1039</v>
      </c>
      <c r="V563" t="s">
        <v>1002</v>
      </c>
      <c r="W563" t="s">
        <v>2170</v>
      </c>
      <c r="X563" t="s">
        <v>2219</v>
      </c>
    </row>
    <row r="564" spans="1:24" x14ac:dyDescent="0.25">
      <c r="A564" t="s">
        <v>44</v>
      </c>
      <c r="B564" t="s">
        <v>2228</v>
      </c>
      <c r="C564" t="s">
        <v>2217</v>
      </c>
      <c r="D564" t="s">
        <v>44</v>
      </c>
      <c r="E564" t="s">
        <v>1013</v>
      </c>
      <c r="F564">
        <v>6728</v>
      </c>
      <c r="G564" t="s">
        <v>2168</v>
      </c>
      <c r="H564" t="s">
        <v>2229</v>
      </c>
      <c r="I564" t="s">
        <v>2217</v>
      </c>
      <c r="J564" t="s">
        <v>2168</v>
      </c>
      <c r="K564" t="s">
        <v>446</v>
      </c>
      <c r="L564" t="s">
        <v>446</v>
      </c>
      <c r="M564" t="s">
        <v>446</v>
      </c>
      <c r="N564" t="s">
        <v>446</v>
      </c>
      <c r="O564" t="s">
        <v>446</v>
      </c>
      <c r="P564" t="s">
        <v>446</v>
      </c>
      <c r="Q564" t="b">
        <v>1</v>
      </c>
      <c r="R564" t="b">
        <v>0</v>
      </c>
      <c r="S564" t="s">
        <v>1038</v>
      </c>
      <c r="T564" t="s">
        <v>446</v>
      </c>
      <c r="U564" t="s">
        <v>1039</v>
      </c>
      <c r="V564" t="s">
        <v>1002</v>
      </c>
      <c r="W564" t="s">
        <v>2170</v>
      </c>
      <c r="X564" t="s">
        <v>2219</v>
      </c>
    </row>
    <row r="565" spans="1:24" x14ac:dyDescent="0.25">
      <c r="A565" t="s">
        <v>44</v>
      </c>
      <c r="B565" t="s">
        <v>2230</v>
      </c>
      <c r="C565" t="s">
        <v>2217</v>
      </c>
      <c r="D565" t="s">
        <v>44</v>
      </c>
      <c r="E565" t="s">
        <v>1015</v>
      </c>
      <c r="F565">
        <v>10262</v>
      </c>
      <c r="G565" t="s">
        <v>2168</v>
      </c>
      <c r="H565" t="s">
        <v>2231</v>
      </c>
      <c r="I565" t="s">
        <v>2217</v>
      </c>
      <c r="J565" t="s">
        <v>2168</v>
      </c>
      <c r="K565" t="s">
        <v>446</v>
      </c>
      <c r="L565" t="s">
        <v>446</v>
      </c>
      <c r="M565" t="s">
        <v>446</v>
      </c>
      <c r="N565" t="s">
        <v>446</v>
      </c>
      <c r="O565" t="s">
        <v>446</v>
      </c>
      <c r="P565" t="s">
        <v>446</v>
      </c>
      <c r="Q565" t="b">
        <v>1</v>
      </c>
      <c r="R565" t="b">
        <v>0</v>
      </c>
      <c r="S565" t="s">
        <v>1038</v>
      </c>
      <c r="T565" t="s">
        <v>446</v>
      </c>
      <c r="U565" t="s">
        <v>1039</v>
      </c>
      <c r="V565" t="s">
        <v>1002</v>
      </c>
      <c r="W565" t="s">
        <v>2170</v>
      </c>
      <c r="X565" t="s">
        <v>2219</v>
      </c>
    </row>
    <row r="566" spans="1:24" x14ac:dyDescent="0.25">
      <c r="A566" t="s">
        <v>44</v>
      </c>
      <c r="B566" t="s">
        <v>2232</v>
      </c>
      <c r="C566" t="s">
        <v>2217</v>
      </c>
      <c r="D566" t="s">
        <v>44</v>
      </c>
      <c r="E566" t="s">
        <v>1017</v>
      </c>
      <c r="F566">
        <v>12866</v>
      </c>
      <c r="G566" t="s">
        <v>2168</v>
      </c>
      <c r="H566" t="s">
        <v>2233</v>
      </c>
      <c r="I566" t="s">
        <v>2217</v>
      </c>
      <c r="J566" t="s">
        <v>2168</v>
      </c>
      <c r="K566" t="s">
        <v>446</v>
      </c>
      <c r="L566" t="s">
        <v>446</v>
      </c>
      <c r="M566" t="s">
        <v>446</v>
      </c>
      <c r="N566" t="s">
        <v>446</v>
      </c>
      <c r="O566" t="s">
        <v>446</v>
      </c>
      <c r="P566" t="s">
        <v>446</v>
      </c>
      <c r="Q566" t="b">
        <v>1</v>
      </c>
      <c r="R566" t="b">
        <v>0</v>
      </c>
      <c r="S566" t="s">
        <v>1038</v>
      </c>
      <c r="T566" t="s">
        <v>446</v>
      </c>
      <c r="U566" t="s">
        <v>1039</v>
      </c>
      <c r="V566" t="s">
        <v>1002</v>
      </c>
      <c r="W566" t="s">
        <v>2170</v>
      </c>
      <c r="X566" t="s">
        <v>2219</v>
      </c>
    </row>
    <row r="567" spans="1:24" x14ac:dyDescent="0.25">
      <c r="A567" t="s">
        <v>44</v>
      </c>
      <c r="B567" t="s">
        <v>2234</v>
      </c>
      <c r="C567" t="s">
        <v>2217</v>
      </c>
      <c r="D567" t="s">
        <v>44</v>
      </c>
      <c r="E567" t="s">
        <v>1019</v>
      </c>
      <c r="F567">
        <v>17047</v>
      </c>
      <c r="G567" t="s">
        <v>2168</v>
      </c>
      <c r="H567" t="s">
        <v>2235</v>
      </c>
      <c r="I567" t="s">
        <v>2217</v>
      </c>
      <c r="J567" t="s">
        <v>2168</v>
      </c>
      <c r="K567" t="s">
        <v>446</v>
      </c>
      <c r="L567" t="s">
        <v>446</v>
      </c>
      <c r="M567" t="s">
        <v>446</v>
      </c>
      <c r="N567" t="s">
        <v>446</v>
      </c>
      <c r="O567" t="s">
        <v>446</v>
      </c>
      <c r="P567" t="s">
        <v>446</v>
      </c>
      <c r="Q567" t="b">
        <v>1</v>
      </c>
      <c r="R567" t="b">
        <v>0</v>
      </c>
      <c r="S567" t="s">
        <v>1038</v>
      </c>
      <c r="T567" t="s">
        <v>446</v>
      </c>
      <c r="U567" t="s">
        <v>1039</v>
      </c>
      <c r="V567" t="s">
        <v>1002</v>
      </c>
      <c r="W567" t="s">
        <v>2170</v>
      </c>
      <c r="X567" t="s">
        <v>2219</v>
      </c>
    </row>
    <row r="568" spans="1:24" x14ac:dyDescent="0.25">
      <c r="A568" t="s">
        <v>44</v>
      </c>
      <c r="B568" t="s">
        <v>2236</v>
      </c>
      <c r="C568" t="s">
        <v>2217</v>
      </c>
      <c r="D568" t="s">
        <v>44</v>
      </c>
      <c r="E568" t="s">
        <v>1021</v>
      </c>
      <c r="F568">
        <v>18848</v>
      </c>
      <c r="G568" t="s">
        <v>2168</v>
      </c>
      <c r="H568" t="s">
        <v>2237</v>
      </c>
      <c r="I568" t="s">
        <v>2217</v>
      </c>
      <c r="J568" t="s">
        <v>2168</v>
      </c>
      <c r="K568" t="s">
        <v>446</v>
      </c>
      <c r="L568" t="s">
        <v>446</v>
      </c>
      <c r="M568" t="s">
        <v>446</v>
      </c>
      <c r="N568" t="s">
        <v>446</v>
      </c>
      <c r="O568" t="s">
        <v>446</v>
      </c>
      <c r="P568" t="s">
        <v>446</v>
      </c>
      <c r="Q568" t="b">
        <v>1</v>
      </c>
      <c r="R568" t="b">
        <v>0</v>
      </c>
      <c r="S568" t="s">
        <v>1038</v>
      </c>
      <c r="T568" t="s">
        <v>446</v>
      </c>
      <c r="U568" t="s">
        <v>1039</v>
      </c>
      <c r="V568" t="s">
        <v>1002</v>
      </c>
      <c r="W568" t="s">
        <v>2170</v>
      </c>
      <c r="X568" t="s">
        <v>2219</v>
      </c>
    </row>
    <row r="569" spans="1:24" x14ac:dyDescent="0.25">
      <c r="A569" t="s">
        <v>44</v>
      </c>
      <c r="B569" t="s">
        <v>2238</v>
      </c>
      <c r="C569" t="s">
        <v>2217</v>
      </c>
      <c r="D569" t="s">
        <v>44</v>
      </c>
      <c r="E569" t="s">
        <v>1023</v>
      </c>
      <c r="F569">
        <v>22081</v>
      </c>
      <c r="G569" t="s">
        <v>2168</v>
      </c>
      <c r="H569" t="s">
        <v>2239</v>
      </c>
      <c r="I569" t="s">
        <v>2217</v>
      </c>
      <c r="J569" t="s">
        <v>2168</v>
      </c>
      <c r="K569" t="s">
        <v>446</v>
      </c>
      <c r="L569" t="s">
        <v>446</v>
      </c>
      <c r="M569" t="s">
        <v>446</v>
      </c>
      <c r="N569" t="s">
        <v>446</v>
      </c>
      <c r="O569" t="s">
        <v>446</v>
      </c>
      <c r="P569" t="s">
        <v>446</v>
      </c>
      <c r="Q569" t="b">
        <v>1</v>
      </c>
      <c r="R569" t="b">
        <v>0</v>
      </c>
      <c r="S569" t="s">
        <v>1038</v>
      </c>
      <c r="T569" t="s">
        <v>446</v>
      </c>
      <c r="U569" t="s">
        <v>1039</v>
      </c>
      <c r="V569" t="s">
        <v>1002</v>
      </c>
      <c r="W569" t="s">
        <v>2170</v>
      </c>
      <c r="X569" t="s">
        <v>2219</v>
      </c>
    </row>
    <row r="570" spans="1:24" x14ac:dyDescent="0.25">
      <c r="A570" t="s">
        <v>44</v>
      </c>
      <c r="B570" t="s">
        <v>2240</v>
      </c>
      <c r="C570" t="s">
        <v>2217</v>
      </c>
      <c r="D570" t="s">
        <v>44</v>
      </c>
      <c r="E570" t="s">
        <v>1025</v>
      </c>
      <c r="F570">
        <v>0</v>
      </c>
      <c r="G570" t="s">
        <v>2168</v>
      </c>
      <c r="H570" t="s">
        <v>2241</v>
      </c>
      <c r="I570" t="s">
        <v>2217</v>
      </c>
      <c r="J570" t="s">
        <v>2168</v>
      </c>
      <c r="K570" t="s">
        <v>446</v>
      </c>
      <c r="L570" t="s">
        <v>446</v>
      </c>
      <c r="M570" t="s">
        <v>446</v>
      </c>
      <c r="N570" t="s">
        <v>446</v>
      </c>
      <c r="O570" t="s">
        <v>446</v>
      </c>
      <c r="P570" t="s">
        <v>446</v>
      </c>
      <c r="Q570" t="b">
        <v>1</v>
      </c>
      <c r="R570" t="b">
        <v>0</v>
      </c>
      <c r="S570" t="s">
        <v>1038</v>
      </c>
      <c r="T570" t="s">
        <v>446</v>
      </c>
      <c r="U570" t="s">
        <v>1039</v>
      </c>
      <c r="V570" t="s">
        <v>1002</v>
      </c>
      <c r="W570" t="s">
        <v>2170</v>
      </c>
      <c r="X570" t="s">
        <v>2219</v>
      </c>
    </row>
    <row r="571" spans="1:24" x14ac:dyDescent="0.25">
      <c r="A571" t="s">
        <v>44</v>
      </c>
      <c r="B571" t="s">
        <v>2242</v>
      </c>
      <c r="C571" t="s">
        <v>2217</v>
      </c>
      <c r="D571" t="s">
        <v>44</v>
      </c>
      <c r="E571" t="s">
        <v>1027</v>
      </c>
      <c r="F571">
        <v>0</v>
      </c>
      <c r="G571" t="s">
        <v>2168</v>
      </c>
      <c r="H571" t="s">
        <v>2241</v>
      </c>
      <c r="I571" t="s">
        <v>2217</v>
      </c>
      <c r="J571" t="s">
        <v>2168</v>
      </c>
      <c r="K571" t="s">
        <v>446</v>
      </c>
      <c r="L571" t="s">
        <v>446</v>
      </c>
      <c r="M571" t="s">
        <v>446</v>
      </c>
      <c r="N571" t="s">
        <v>446</v>
      </c>
      <c r="O571" t="s">
        <v>446</v>
      </c>
      <c r="P571" t="s">
        <v>446</v>
      </c>
      <c r="Q571" t="b">
        <v>1</v>
      </c>
      <c r="R571" t="b">
        <v>0</v>
      </c>
      <c r="S571" t="s">
        <v>1038</v>
      </c>
      <c r="T571" t="s">
        <v>446</v>
      </c>
      <c r="U571" t="s">
        <v>1039</v>
      </c>
      <c r="V571" t="s">
        <v>1002</v>
      </c>
      <c r="W571" t="s">
        <v>2170</v>
      </c>
      <c r="X571" t="s">
        <v>2219</v>
      </c>
    </row>
    <row r="572" spans="1:24" x14ac:dyDescent="0.25">
      <c r="A572" t="s">
        <v>44</v>
      </c>
      <c r="B572" t="s">
        <v>2243</v>
      </c>
      <c r="C572" t="s">
        <v>2217</v>
      </c>
      <c r="D572" t="s">
        <v>44</v>
      </c>
      <c r="E572" t="s">
        <v>1131</v>
      </c>
      <c r="F572">
        <v>0</v>
      </c>
      <c r="G572" t="s">
        <v>2168</v>
      </c>
      <c r="H572" t="s">
        <v>2241</v>
      </c>
      <c r="I572" t="s">
        <v>2217</v>
      </c>
      <c r="J572" t="s">
        <v>2168</v>
      </c>
      <c r="K572" t="s">
        <v>446</v>
      </c>
      <c r="L572" t="s">
        <v>446</v>
      </c>
      <c r="M572" t="s">
        <v>446</v>
      </c>
      <c r="N572" t="s">
        <v>446</v>
      </c>
      <c r="O572" t="s">
        <v>446</v>
      </c>
      <c r="P572" t="s">
        <v>446</v>
      </c>
      <c r="Q572" t="b">
        <v>1</v>
      </c>
      <c r="R572" t="b">
        <v>0</v>
      </c>
      <c r="S572" t="s">
        <v>1038</v>
      </c>
      <c r="T572" t="s">
        <v>446</v>
      </c>
      <c r="U572" t="s">
        <v>1039</v>
      </c>
      <c r="V572" t="s">
        <v>1002</v>
      </c>
      <c r="W572" t="s">
        <v>2170</v>
      </c>
      <c r="X572" t="s">
        <v>2219</v>
      </c>
    </row>
    <row r="573" spans="1:24" x14ac:dyDescent="0.25">
      <c r="A573" t="s">
        <v>44</v>
      </c>
      <c r="B573" t="s">
        <v>2244</v>
      </c>
      <c r="C573" t="s">
        <v>2245</v>
      </c>
      <c r="D573" t="s">
        <v>44</v>
      </c>
      <c r="E573" t="s">
        <v>998</v>
      </c>
      <c r="F573">
        <v>2476</v>
      </c>
      <c r="G573" t="s">
        <v>2168</v>
      </c>
      <c r="H573" t="s">
        <v>2246</v>
      </c>
      <c r="I573" t="s">
        <v>2245</v>
      </c>
      <c r="J573" t="s">
        <v>2168</v>
      </c>
      <c r="K573" t="s">
        <v>446</v>
      </c>
      <c r="L573" t="s">
        <v>446</v>
      </c>
      <c r="M573" t="s">
        <v>446</v>
      </c>
      <c r="N573" t="s">
        <v>446</v>
      </c>
      <c r="O573" t="s">
        <v>446</v>
      </c>
      <c r="P573" t="s">
        <v>446</v>
      </c>
      <c r="Q573" t="b">
        <v>1</v>
      </c>
      <c r="R573" t="b">
        <v>0</v>
      </c>
      <c r="S573" t="s">
        <v>1038</v>
      </c>
      <c r="T573" t="s">
        <v>446</v>
      </c>
      <c r="U573" t="s">
        <v>1039</v>
      </c>
      <c r="V573" t="s">
        <v>1002</v>
      </c>
      <c r="W573" t="s">
        <v>2170</v>
      </c>
      <c r="X573" t="s">
        <v>2247</v>
      </c>
    </row>
    <row r="574" spans="1:24" x14ac:dyDescent="0.25">
      <c r="A574" t="s">
        <v>44</v>
      </c>
      <c r="B574" t="s">
        <v>2248</v>
      </c>
      <c r="C574" t="s">
        <v>2245</v>
      </c>
      <c r="D574" t="s">
        <v>44</v>
      </c>
      <c r="E574" t="s">
        <v>1005</v>
      </c>
      <c r="F574">
        <v>657</v>
      </c>
      <c r="G574" t="s">
        <v>2168</v>
      </c>
      <c r="H574" t="s">
        <v>2249</v>
      </c>
      <c r="I574" t="s">
        <v>2245</v>
      </c>
      <c r="J574" t="s">
        <v>2168</v>
      </c>
      <c r="K574" t="s">
        <v>446</v>
      </c>
      <c r="L574" t="s">
        <v>446</v>
      </c>
      <c r="M574" t="s">
        <v>446</v>
      </c>
      <c r="N574" t="s">
        <v>446</v>
      </c>
      <c r="O574" t="s">
        <v>446</v>
      </c>
      <c r="P574" t="s">
        <v>446</v>
      </c>
      <c r="Q574" t="b">
        <v>1</v>
      </c>
      <c r="R574" t="b">
        <v>0</v>
      </c>
      <c r="S574" t="s">
        <v>1038</v>
      </c>
      <c r="T574" t="s">
        <v>446</v>
      </c>
      <c r="U574" t="s">
        <v>1039</v>
      </c>
      <c r="V574" t="s">
        <v>1002</v>
      </c>
      <c r="W574" t="s">
        <v>2170</v>
      </c>
      <c r="X574" t="s">
        <v>2247</v>
      </c>
    </row>
    <row r="575" spans="1:24" x14ac:dyDescent="0.25">
      <c r="A575" t="s">
        <v>44</v>
      </c>
      <c r="B575" t="s">
        <v>2250</v>
      </c>
      <c r="C575" t="s">
        <v>2245</v>
      </c>
      <c r="D575" t="s">
        <v>44</v>
      </c>
      <c r="E575" t="s">
        <v>1007</v>
      </c>
      <c r="F575">
        <v>606</v>
      </c>
      <c r="G575" t="s">
        <v>2168</v>
      </c>
      <c r="H575" t="s">
        <v>2251</v>
      </c>
      <c r="I575" t="s">
        <v>2245</v>
      </c>
      <c r="J575" t="s">
        <v>2168</v>
      </c>
      <c r="K575" t="s">
        <v>446</v>
      </c>
      <c r="L575" t="s">
        <v>446</v>
      </c>
      <c r="M575" t="s">
        <v>446</v>
      </c>
      <c r="N575" t="s">
        <v>446</v>
      </c>
      <c r="O575" t="s">
        <v>446</v>
      </c>
      <c r="P575" t="s">
        <v>446</v>
      </c>
      <c r="Q575" t="b">
        <v>1</v>
      </c>
      <c r="R575" t="b">
        <v>0</v>
      </c>
      <c r="S575" t="s">
        <v>1038</v>
      </c>
      <c r="T575" t="s">
        <v>446</v>
      </c>
      <c r="U575" t="s">
        <v>1039</v>
      </c>
      <c r="V575" t="s">
        <v>1002</v>
      </c>
      <c r="W575" t="s">
        <v>2170</v>
      </c>
      <c r="X575" t="s">
        <v>2247</v>
      </c>
    </row>
    <row r="576" spans="1:24" x14ac:dyDescent="0.25">
      <c r="A576" t="s">
        <v>44</v>
      </c>
      <c r="B576" t="s">
        <v>2252</v>
      </c>
      <c r="C576" t="s">
        <v>2245</v>
      </c>
      <c r="D576" t="s">
        <v>44</v>
      </c>
      <c r="E576" t="s">
        <v>1009</v>
      </c>
      <c r="F576">
        <v>813</v>
      </c>
      <c r="G576" t="s">
        <v>2168</v>
      </c>
      <c r="H576" t="s">
        <v>2253</v>
      </c>
      <c r="I576" t="s">
        <v>2245</v>
      </c>
      <c r="J576" t="s">
        <v>2168</v>
      </c>
      <c r="K576" t="s">
        <v>446</v>
      </c>
      <c r="L576" t="s">
        <v>446</v>
      </c>
      <c r="M576" t="s">
        <v>446</v>
      </c>
      <c r="N576" t="s">
        <v>446</v>
      </c>
      <c r="O576" t="s">
        <v>446</v>
      </c>
      <c r="P576" t="s">
        <v>446</v>
      </c>
      <c r="Q576" t="b">
        <v>1</v>
      </c>
      <c r="R576" t="b">
        <v>0</v>
      </c>
      <c r="S576" t="s">
        <v>1038</v>
      </c>
      <c r="T576" t="s">
        <v>446</v>
      </c>
      <c r="U576" t="s">
        <v>1039</v>
      </c>
      <c r="V576" t="s">
        <v>1002</v>
      </c>
      <c r="W576" t="s">
        <v>2170</v>
      </c>
      <c r="X576" t="s">
        <v>2247</v>
      </c>
    </row>
    <row r="577" spans="1:24" x14ac:dyDescent="0.25">
      <c r="A577" t="s">
        <v>44</v>
      </c>
      <c r="B577" t="s">
        <v>2254</v>
      </c>
      <c r="C577" t="s">
        <v>2245</v>
      </c>
      <c r="D577" t="s">
        <v>44</v>
      </c>
      <c r="E577" t="s">
        <v>1011</v>
      </c>
      <c r="F577">
        <v>1046</v>
      </c>
      <c r="G577" t="s">
        <v>2168</v>
      </c>
      <c r="H577" t="s">
        <v>2255</v>
      </c>
      <c r="I577" t="s">
        <v>2245</v>
      </c>
      <c r="J577" t="s">
        <v>2168</v>
      </c>
      <c r="K577" t="s">
        <v>446</v>
      </c>
      <c r="L577" t="s">
        <v>446</v>
      </c>
      <c r="M577" t="s">
        <v>446</v>
      </c>
      <c r="N577" t="s">
        <v>446</v>
      </c>
      <c r="O577" t="s">
        <v>446</v>
      </c>
      <c r="P577" t="s">
        <v>446</v>
      </c>
      <c r="Q577" t="b">
        <v>1</v>
      </c>
      <c r="R577" t="b">
        <v>0</v>
      </c>
      <c r="S577" t="s">
        <v>1038</v>
      </c>
      <c r="T577" t="s">
        <v>446</v>
      </c>
      <c r="U577" t="s">
        <v>1039</v>
      </c>
      <c r="V577" t="s">
        <v>1002</v>
      </c>
      <c r="W577" t="s">
        <v>2170</v>
      </c>
      <c r="X577" t="s">
        <v>2247</v>
      </c>
    </row>
    <row r="578" spans="1:24" x14ac:dyDescent="0.25">
      <c r="A578" t="s">
        <v>44</v>
      </c>
      <c r="B578" t="s">
        <v>2256</v>
      </c>
      <c r="C578" t="s">
        <v>2245</v>
      </c>
      <c r="D578" t="s">
        <v>44</v>
      </c>
      <c r="E578" t="s">
        <v>1013</v>
      </c>
      <c r="F578">
        <v>1211</v>
      </c>
      <c r="G578" t="s">
        <v>2168</v>
      </c>
      <c r="H578" t="s">
        <v>2257</v>
      </c>
      <c r="I578" t="s">
        <v>2245</v>
      </c>
      <c r="J578" t="s">
        <v>2168</v>
      </c>
      <c r="K578" t="s">
        <v>446</v>
      </c>
      <c r="L578" t="s">
        <v>446</v>
      </c>
      <c r="M578" t="s">
        <v>446</v>
      </c>
      <c r="N578" t="s">
        <v>446</v>
      </c>
      <c r="O578" t="s">
        <v>446</v>
      </c>
      <c r="P578" t="s">
        <v>446</v>
      </c>
      <c r="Q578" t="b">
        <v>1</v>
      </c>
      <c r="R578" t="b">
        <v>0</v>
      </c>
      <c r="S578" t="s">
        <v>1038</v>
      </c>
      <c r="T578" t="s">
        <v>446</v>
      </c>
      <c r="U578" t="s">
        <v>1039</v>
      </c>
      <c r="V578" t="s">
        <v>1002</v>
      </c>
      <c r="W578" t="s">
        <v>2170</v>
      </c>
      <c r="X578" t="s">
        <v>2247</v>
      </c>
    </row>
    <row r="579" spans="1:24" x14ac:dyDescent="0.25">
      <c r="A579" t="s">
        <v>44</v>
      </c>
      <c r="B579" t="s">
        <v>2258</v>
      </c>
      <c r="C579" t="s">
        <v>2245</v>
      </c>
      <c r="D579" t="s">
        <v>44</v>
      </c>
      <c r="E579" t="s">
        <v>1015</v>
      </c>
      <c r="F579">
        <v>1493</v>
      </c>
      <c r="G579" t="s">
        <v>2168</v>
      </c>
      <c r="H579" t="s">
        <v>2259</v>
      </c>
      <c r="I579" t="s">
        <v>2245</v>
      </c>
      <c r="J579" t="s">
        <v>2168</v>
      </c>
      <c r="K579" t="s">
        <v>446</v>
      </c>
      <c r="L579" t="s">
        <v>446</v>
      </c>
      <c r="M579" t="s">
        <v>446</v>
      </c>
      <c r="N579" t="s">
        <v>446</v>
      </c>
      <c r="O579" t="s">
        <v>446</v>
      </c>
      <c r="P579" t="s">
        <v>446</v>
      </c>
      <c r="Q579" t="b">
        <v>1</v>
      </c>
      <c r="R579" t="b">
        <v>0</v>
      </c>
      <c r="S579" t="s">
        <v>1038</v>
      </c>
      <c r="T579" t="s">
        <v>446</v>
      </c>
      <c r="U579" t="s">
        <v>1039</v>
      </c>
      <c r="V579" t="s">
        <v>1002</v>
      </c>
      <c r="W579" t="s">
        <v>2170</v>
      </c>
      <c r="X579" t="s">
        <v>2247</v>
      </c>
    </row>
    <row r="580" spans="1:24" x14ac:dyDescent="0.25">
      <c r="A580" t="s">
        <v>44</v>
      </c>
      <c r="B580" t="s">
        <v>2260</v>
      </c>
      <c r="C580" t="s">
        <v>2245</v>
      </c>
      <c r="D580" t="s">
        <v>44</v>
      </c>
      <c r="E580" t="s">
        <v>1017</v>
      </c>
      <c r="F580">
        <v>2096</v>
      </c>
      <c r="G580" t="s">
        <v>2168</v>
      </c>
      <c r="H580" t="s">
        <v>2261</v>
      </c>
      <c r="I580" t="s">
        <v>2245</v>
      </c>
      <c r="J580" t="s">
        <v>2168</v>
      </c>
      <c r="K580" t="s">
        <v>446</v>
      </c>
      <c r="L580" t="s">
        <v>446</v>
      </c>
      <c r="M580" t="s">
        <v>446</v>
      </c>
      <c r="N580" t="s">
        <v>446</v>
      </c>
      <c r="O580" t="s">
        <v>446</v>
      </c>
      <c r="P580" t="s">
        <v>446</v>
      </c>
      <c r="Q580" t="b">
        <v>1</v>
      </c>
      <c r="R580" t="b">
        <v>0</v>
      </c>
      <c r="S580" t="s">
        <v>1038</v>
      </c>
      <c r="T580" t="s">
        <v>446</v>
      </c>
      <c r="U580" t="s">
        <v>1039</v>
      </c>
      <c r="V580" t="s">
        <v>1002</v>
      </c>
      <c r="W580" t="s">
        <v>2170</v>
      </c>
      <c r="X580" t="s">
        <v>2247</v>
      </c>
    </row>
    <row r="581" spans="1:24" x14ac:dyDescent="0.25">
      <c r="A581" t="s">
        <v>44</v>
      </c>
      <c r="B581" t="s">
        <v>2262</v>
      </c>
      <c r="C581" t="s">
        <v>2245</v>
      </c>
      <c r="D581" t="s">
        <v>44</v>
      </c>
      <c r="E581" t="s">
        <v>1019</v>
      </c>
      <c r="F581">
        <v>1241</v>
      </c>
      <c r="G581" t="s">
        <v>2168</v>
      </c>
      <c r="H581" t="s">
        <v>2263</v>
      </c>
      <c r="I581" t="s">
        <v>2245</v>
      </c>
      <c r="J581" t="s">
        <v>2168</v>
      </c>
      <c r="K581" t="s">
        <v>446</v>
      </c>
      <c r="L581" t="s">
        <v>446</v>
      </c>
      <c r="M581" t="s">
        <v>446</v>
      </c>
      <c r="N581" t="s">
        <v>446</v>
      </c>
      <c r="O581" t="s">
        <v>446</v>
      </c>
      <c r="P581" t="s">
        <v>446</v>
      </c>
      <c r="Q581" t="b">
        <v>1</v>
      </c>
      <c r="R581" t="b">
        <v>0</v>
      </c>
      <c r="S581" t="s">
        <v>1038</v>
      </c>
      <c r="T581" t="s">
        <v>446</v>
      </c>
      <c r="U581" t="s">
        <v>1039</v>
      </c>
      <c r="V581" t="s">
        <v>1002</v>
      </c>
      <c r="W581" t="s">
        <v>2170</v>
      </c>
      <c r="X581" t="s">
        <v>2247</v>
      </c>
    </row>
    <row r="582" spans="1:24" x14ac:dyDescent="0.25">
      <c r="A582" t="s">
        <v>44</v>
      </c>
      <c r="B582" t="s">
        <v>2264</v>
      </c>
      <c r="C582" t="s">
        <v>2245</v>
      </c>
      <c r="D582" t="s">
        <v>44</v>
      </c>
      <c r="E582" t="s">
        <v>1021</v>
      </c>
      <c r="F582">
        <v>1369</v>
      </c>
      <c r="G582" t="s">
        <v>2168</v>
      </c>
      <c r="H582" t="s">
        <v>2265</v>
      </c>
      <c r="I582" t="s">
        <v>2245</v>
      </c>
      <c r="J582" t="s">
        <v>2168</v>
      </c>
      <c r="K582" t="s">
        <v>446</v>
      </c>
      <c r="L582" t="s">
        <v>446</v>
      </c>
      <c r="M582" t="s">
        <v>446</v>
      </c>
      <c r="N582" t="s">
        <v>446</v>
      </c>
      <c r="O582" t="s">
        <v>446</v>
      </c>
      <c r="P582" t="s">
        <v>446</v>
      </c>
      <c r="Q582" t="b">
        <v>1</v>
      </c>
      <c r="R582" t="b">
        <v>0</v>
      </c>
      <c r="S582" t="s">
        <v>1038</v>
      </c>
      <c r="T582" t="s">
        <v>446</v>
      </c>
      <c r="U582" t="s">
        <v>1039</v>
      </c>
      <c r="V582" t="s">
        <v>1002</v>
      </c>
      <c r="W582" t="s">
        <v>2170</v>
      </c>
      <c r="X582" t="s">
        <v>2247</v>
      </c>
    </row>
    <row r="583" spans="1:24" x14ac:dyDescent="0.25">
      <c r="A583" t="s">
        <v>44</v>
      </c>
      <c r="B583" t="s">
        <v>2266</v>
      </c>
      <c r="C583" t="s">
        <v>2245</v>
      </c>
      <c r="D583" t="s">
        <v>44</v>
      </c>
      <c r="E583" t="s">
        <v>1023</v>
      </c>
      <c r="F583">
        <v>1502</v>
      </c>
      <c r="G583" t="s">
        <v>2168</v>
      </c>
      <c r="H583" t="s">
        <v>2267</v>
      </c>
      <c r="I583" t="s">
        <v>2245</v>
      </c>
      <c r="J583" t="s">
        <v>2168</v>
      </c>
      <c r="K583" t="s">
        <v>446</v>
      </c>
      <c r="L583" t="s">
        <v>446</v>
      </c>
      <c r="M583" t="s">
        <v>446</v>
      </c>
      <c r="N583" t="s">
        <v>446</v>
      </c>
      <c r="O583" t="s">
        <v>446</v>
      </c>
      <c r="P583" t="s">
        <v>446</v>
      </c>
      <c r="Q583" t="b">
        <v>1</v>
      </c>
      <c r="R583" t="b">
        <v>0</v>
      </c>
      <c r="S583" t="s">
        <v>1038</v>
      </c>
      <c r="T583" t="s">
        <v>446</v>
      </c>
      <c r="U583" t="s">
        <v>1039</v>
      </c>
      <c r="V583" t="s">
        <v>1002</v>
      </c>
      <c r="W583" t="s">
        <v>2170</v>
      </c>
      <c r="X583" t="s">
        <v>2247</v>
      </c>
    </row>
    <row r="584" spans="1:24" x14ac:dyDescent="0.25">
      <c r="A584" t="s">
        <v>44</v>
      </c>
      <c r="B584" t="s">
        <v>2268</v>
      </c>
      <c r="C584" t="s">
        <v>2245</v>
      </c>
      <c r="D584" t="s">
        <v>44</v>
      </c>
      <c r="E584" t="s">
        <v>1025</v>
      </c>
      <c r="F584">
        <v>0</v>
      </c>
      <c r="G584" t="s">
        <v>2168</v>
      </c>
      <c r="H584" t="s">
        <v>2269</v>
      </c>
      <c r="I584" t="s">
        <v>2245</v>
      </c>
      <c r="J584" t="s">
        <v>2168</v>
      </c>
      <c r="K584" t="s">
        <v>446</v>
      </c>
      <c r="L584" t="s">
        <v>446</v>
      </c>
      <c r="M584" t="s">
        <v>446</v>
      </c>
      <c r="N584" t="s">
        <v>446</v>
      </c>
      <c r="O584" t="s">
        <v>446</v>
      </c>
      <c r="P584" t="s">
        <v>446</v>
      </c>
      <c r="Q584" t="b">
        <v>1</v>
      </c>
      <c r="R584" t="b">
        <v>0</v>
      </c>
      <c r="S584" t="s">
        <v>1038</v>
      </c>
      <c r="T584" t="s">
        <v>446</v>
      </c>
      <c r="U584" t="s">
        <v>1039</v>
      </c>
      <c r="V584" t="s">
        <v>1002</v>
      </c>
      <c r="W584" t="s">
        <v>2170</v>
      </c>
      <c r="X584" t="s">
        <v>2247</v>
      </c>
    </row>
    <row r="585" spans="1:24" x14ac:dyDescent="0.25">
      <c r="A585" t="s">
        <v>44</v>
      </c>
      <c r="B585" t="s">
        <v>2270</v>
      </c>
      <c r="C585" t="s">
        <v>2245</v>
      </c>
      <c r="D585" t="s">
        <v>44</v>
      </c>
      <c r="E585" t="s">
        <v>1027</v>
      </c>
      <c r="F585">
        <v>0</v>
      </c>
      <c r="G585" t="s">
        <v>2168</v>
      </c>
      <c r="H585" t="s">
        <v>2269</v>
      </c>
      <c r="I585" t="s">
        <v>2245</v>
      </c>
      <c r="J585" t="s">
        <v>2168</v>
      </c>
      <c r="K585" t="s">
        <v>446</v>
      </c>
      <c r="L585" t="s">
        <v>446</v>
      </c>
      <c r="M585" t="s">
        <v>446</v>
      </c>
      <c r="N585" t="s">
        <v>446</v>
      </c>
      <c r="O585" t="s">
        <v>446</v>
      </c>
      <c r="P585" t="s">
        <v>446</v>
      </c>
      <c r="Q585" t="b">
        <v>1</v>
      </c>
      <c r="R585" t="b">
        <v>0</v>
      </c>
      <c r="S585" t="s">
        <v>1038</v>
      </c>
      <c r="T585" t="s">
        <v>446</v>
      </c>
      <c r="U585" t="s">
        <v>1039</v>
      </c>
      <c r="V585" t="s">
        <v>1002</v>
      </c>
      <c r="W585" t="s">
        <v>2170</v>
      </c>
      <c r="X585" t="s">
        <v>2247</v>
      </c>
    </row>
    <row r="586" spans="1:24" x14ac:dyDescent="0.25">
      <c r="A586" t="s">
        <v>44</v>
      </c>
      <c r="B586" t="s">
        <v>2271</v>
      </c>
      <c r="C586" t="s">
        <v>2245</v>
      </c>
      <c r="D586" t="s">
        <v>44</v>
      </c>
      <c r="E586" t="s">
        <v>1131</v>
      </c>
      <c r="F586">
        <v>0</v>
      </c>
      <c r="G586" t="s">
        <v>2168</v>
      </c>
      <c r="H586" t="s">
        <v>2269</v>
      </c>
      <c r="I586" t="s">
        <v>2245</v>
      </c>
      <c r="J586" t="s">
        <v>2168</v>
      </c>
      <c r="K586" t="s">
        <v>446</v>
      </c>
      <c r="L586" t="s">
        <v>446</v>
      </c>
      <c r="M586" t="s">
        <v>446</v>
      </c>
      <c r="N586" t="s">
        <v>446</v>
      </c>
      <c r="O586" t="s">
        <v>446</v>
      </c>
      <c r="P586" t="s">
        <v>446</v>
      </c>
      <c r="Q586" t="b">
        <v>1</v>
      </c>
      <c r="R586" t="b">
        <v>0</v>
      </c>
      <c r="S586" t="s">
        <v>1038</v>
      </c>
      <c r="T586" t="s">
        <v>446</v>
      </c>
      <c r="U586" t="s">
        <v>1039</v>
      </c>
      <c r="V586" t="s">
        <v>1002</v>
      </c>
      <c r="W586" t="s">
        <v>2170</v>
      </c>
      <c r="X586" t="s">
        <v>2247</v>
      </c>
    </row>
    <row r="587" spans="1:24" x14ac:dyDescent="0.25">
      <c r="A587" t="s">
        <v>44</v>
      </c>
      <c r="B587" t="s">
        <v>2272</v>
      </c>
      <c r="C587" t="s">
        <v>2273</v>
      </c>
      <c r="E587" t="s">
        <v>998</v>
      </c>
      <c r="F587">
        <v>0</v>
      </c>
      <c r="G587" t="s">
        <v>999</v>
      </c>
      <c r="H587" t="s">
        <v>446</v>
      </c>
      <c r="J587" t="s">
        <v>2168</v>
      </c>
      <c r="K587" t="s">
        <v>446</v>
      </c>
      <c r="L587" t="s">
        <v>446</v>
      </c>
      <c r="Q587" t="b">
        <v>1</v>
      </c>
      <c r="R587" t="b">
        <v>0</v>
      </c>
      <c r="T587" t="s">
        <v>446</v>
      </c>
      <c r="U587" t="s">
        <v>1001</v>
      </c>
      <c r="V587" t="s">
        <v>1456</v>
      </c>
      <c r="W587" t="s">
        <v>2274</v>
      </c>
      <c r="X587" t="s">
        <v>2275</v>
      </c>
    </row>
    <row r="588" spans="1:24" x14ac:dyDescent="0.25">
      <c r="A588" t="s">
        <v>44</v>
      </c>
      <c r="B588" t="s">
        <v>2276</v>
      </c>
      <c r="C588" t="s">
        <v>2273</v>
      </c>
      <c r="E588" t="s">
        <v>1005</v>
      </c>
      <c r="F588">
        <v>0</v>
      </c>
      <c r="G588" t="s">
        <v>999</v>
      </c>
      <c r="H588" t="s">
        <v>446</v>
      </c>
      <c r="J588" t="s">
        <v>2168</v>
      </c>
      <c r="K588" t="s">
        <v>446</v>
      </c>
      <c r="L588" t="s">
        <v>446</v>
      </c>
      <c r="Q588" t="b">
        <v>1</v>
      </c>
      <c r="R588" t="b">
        <v>0</v>
      </c>
      <c r="T588" t="s">
        <v>446</v>
      </c>
      <c r="U588" t="s">
        <v>1001</v>
      </c>
      <c r="V588" t="s">
        <v>1456</v>
      </c>
      <c r="W588" t="s">
        <v>2274</v>
      </c>
      <c r="X588" t="s">
        <v>2275</v>
      </c>
    </row>
    <row r="589" spans="1:24" x14ac:dyDescent="0.25">
      <c r="A589" t="s">
        <v>44</v>
      </c>
      <c r="B589" t="s">
        <v>2277</v>
      </c>
      <c r="C589" t="s">
        <v>2273</v>
      </c>
      <c r="E589" t="s">
        <v>1007</v>
      </c>
      <c r="F589">
        <v>0</v>
      </c>
      <c r="G589" t="s">
        <v>999</v>
      </c>
      <c r="H589" t="s">
        <v>446</v>
      </c>
      <c r="J589" t="s">
        <v>2168</v>
      </c>
      <c r="K589" t="s">
        <v>446</v>
      </c>
      <c r="L589" t="s">
        <v>446</v>
      </c>
      <c r="Q589" t="b">
        <v>1</v>
      </c>
      <c r="R589" t="b">
        <v>0</v>
      </c>
      <c r="T589" t="s">
        <v>446</v>
      </c>
      <c r="U589" t="s">
        <v>1001</v>
      </c>
      <c r="V589" t="s">
        <v>1456</v>
      </c>
      <c r="W589" t="s">
        <v>2274</v>
      </c>
      <c r="X589" t="s">
        <v>2275</v>
      </c>
    </row>
    <row r="590" spans="1:24" x14ac:dyDescent="0.25">
      <c r="A590" t="s">
        <v>44</v>
      </c>
      <c r="B590" t="s">
        <v>2278</v>
      </c>
      <c r="C590" t="s">
        <v>2273</v>
      </c>
      <c r="E590" t="s">
        <v>1009</v>
      </c>
      <c r="F590">
        <v>0</v>
      </c>
      <c r="G590" t="s">
        <v>999</v>
      </c>
      <c r="H590" t="s">
        <v>446</v>
      </c>
      <c r="J590" t="s">
        <v>2168</v>
      </c>
      <c r="K590" t="s">
        <v>446</v>
      </c>
      <c r="L590" t="s">
        <v>446</v>
      </c>
      <c r="Q590" t="b">
        <v>1</v>
      </c>
      <c r="R590" t="b">
        <v>0</v>
      </c>
      <c r="T590" t="s">
        <v>446</v>
      </c>
      <c r="U590" t="s">
        <v>1001</v>
      </c>
      <c r="V590" t="s">
        <v>1456</v>
      </c>
      <c r="W590" t="s">
        <v>2274</v>
      </c>
      <c r="X590" t="s">
        <v>2275</v>
      </c>
    </row>
    <row r="591" spans="1:24" x14ac:dyDescent="0.25">
      <c r="A591" t="s">
        <v>44</v>
      </c>
      <c r="B591" t="s">
        <v>2279</v>
      </c>
      <c r="C591" t="s">
        <v>2273</v>
      </c>
      <c r="E591" t="s">
        <v>1011</v>
      </c>
      <c r="F591">
        <v>0</v>
      </c>
      <c r="G591" t="s">
        <v>999</v>
      </c>
      <c r="H591" t="s">
        <v>446</v>
      </c>
      <c r="J591" t="s">
        <v>2168</v>
      </c>
      <c r="K591" t="s">
        <v>446</v>
      </c>
      <c r="L591" t="s">
        <v>446</v>
      </c>
      <c r="Q591" t="b">
        <v>1</v>
      </c>
      <c r="R591" t="b">
        <v>0</v>
      </c>
      <c r="T591" t="s">
        <v>446</v>
      </c>
      <c r="U591" t="s">
        <v>1001</v>
      </c>
      <c r="V591" t="s">
        <v>1456</v>
      </c>
      <c r="W591" t="s">
        <v>2274</v>
      </c>
      <c r="X591" t="s">
        <v>2275</v>
      </c>
    </row>
    <row r="592" spans="1:24" x14ac:dyDescent="0.25">
      <c r="A592" t="s">
        <v>44</v>
      </c>
      <c r="B592" t="s">
        <v>2280</v>
      </c>
      <c r="C592" t="s">
        <v>2273</v>
      </c>
      <c r="E592" t="s">
        <v>1013</v>
      </c>
      <c r="F592">
        <v>0</v>
      </c>
      <c r="G592" t="s">
        <v>999</v>
      </c>
      <c r="H592" t="s">
        <v>446</v>
      </c>
      <c r="J592" t="s">
        <v>2168</v>
      </c>
      <c r="K592" t="s">
        <v>446</v>
      </c>
      <c r="L592" t="s">
        <v>446</v>
      </c>
      <c r="Q592" t="b">
        <v>1</v>
      </c>
      <c r="R592" t="b">
        <v>0</v>
      </c>
      <c r="T592" t="s">
        <v>446</v>
      </c>
      <c r="U592" t="s">
        <v>1001</v>
      </c>
      <c r="V592" t="s">
        <v>1456</v>
      </c>
      <c r="W592" t="s">
        <v>2274</v>
      </c>
      <c r="X592" t="s">
        <v>2275</v>
      </c>
    </row>
    <row r="593" spans="1:24" x14ac:dyDescent="0.25">
      <c r="A593" t="s">
        <v>44</v>
      </c>
      <c r="B593" t="s">
        <v>2281</v>
      </c>
      <c r="C593" t="s">
        <v>2273</v>
      </c>
      <c r="E593" t="s">
        <v>1015</v>
      </c>
      <c r="F593">
        <v>0</v>
      </c>
      <c r="G593" t="s">
        <v>999</v>
      </c>
      <c r="H593" t="s">
        <v>446</v>
      </c>
      <c r="J593" t="s">
        <v>2168</v>
      </c>
      <c r="K593" t="s">
        <v>446</v>
      </c>
      <c r="L593" t="s">
        <v>446</v>
      </c>
      <c r="Q593" t="b">
        <v>1</v>
      </c>
      <c r="R593" t="b">
        <v>0</v>
      </c>
      <c r="T593" t="s">
        <v>446</v>
      </c>
      <c r="U593" t="s">
        <v>1001</v>
      </c>
      <c r="V593" t="s">
        <v>1456</v>
      </c>
      <c r="W593" t="s">
        <v>2274</v>
      </c>
      <c r="X593" t="s">
        <v>2275</v>
      </c>
    </row>
    <row r="594" spans="1:24" x14ac:dyDescent="0.25">
      <c r="A594" t="s">
        <v>44</v>
      </c>
      <c r="B594" t="s">
        <v>2282</v>
      </c>
      <c r="C594" t="s">
        <v>2273</v>
      </c>
      <c r="E594" t="s">
        <v>1017</v>
      </c>
      <c r="F594">
        <v>0</v>
      </c>
      <c r="G594" t="s">
        <v>999</v>
      </c>
      <c r="H594" t="s">
        <v>446</v>
      </c>
      <c r="J594" t="s">
        <v>2168</v>
      </c>
      <c r="K594" t="s">
        <v>446</v>
      </c>
      <c r="L594" t="s">
        <v>446</v>
      </c>
      <c r="Q594" t="b">
        <v>1</v>
      </c>
      <c r="R594" t="b">
        <v>0</v>
      </c>
      <c r="T594" t="s">
        <v>446</v>
      </c>
      <c r="U594" t="s">
        <v>1001</v>
      </c>
      <c r="V594" t="s">
        <v>1456</v>
      </c>
      <c r="W594" t="s">
        <v>2274</v>
      </c>
      <c r="X594" t="s">
        <v>2275</v>
      </c>
    </row>
    <row r="595" spans="1:24" x14ac:dyDescent="0.25">
      <c r="A595" t="s">
        <v>44</v>
      </c>
      <c r="B595" t="s">
        <v>2283</v>
      </c>
      <c r="C595" t="s">
        <v>2273</v>
      </c>
      <c r="E595" t="s">
        <v>1019</v>
      </c>
      <c r="F595">
        <v>0</v>
      </c>
      <c r="G595" t="s">
        <v>999</v>
      </c>
      <c r="H595" t="s">
        <v>446</v>
      </c>
      <c r="J595" t="s">
        <v>2168</v>
      </c>
      <c r="K595" t="s">
        <v>446</v>
      </c>
      <c r="L595" t="s">
        <v>446</v>
      </c>
      <c r="Q595" t="b">
        <v>1</v>
      </c>
      <c r="R595" t="b">
        <v>0</v>
      </c>
      <c r="T595" t="s">
        <v>446</v>
      </c>
      <c r="U595" t="s">
        <v>1001</v>
      </c>
      <c r="V595" t="s">
        <v>1456</v>
      </c>
      <c r="W595" t="s">
        <v>2274</v>
      </c>
      <c r="X595" t="s">
        <v>2275</v>
      </c>
    </row>
    <row r="596" spans="1:24" x14ac:dyDescent="0.25">
      <c r="A596" t="s">
        <v>44</v>
      </c>
      <c r="B596" t="s">
        <v>2284</v>
      </c>
      <c r="C596" t="s">
        <v>2273</v>
      </c>
      <c r="E596" t="s">
        <v>1021</v>
      </c>
      <c r="F596">
        <v>0</v>
      </c>
      <c r="G596" t="s">
        <v>999</v>
      </c>
      <c r="H596" t="s">
        <v>446</v>
      </c>
      <c r="J596" t="s">
        <v>2168</v>
      </c>
      <c r="K596" t="s">
        <v>446</v>
      </c>
      <c r="L596" t="s">
        <v>446</v>
      </c>
      <c r="Q596" t="b">
        <v>1</v>
      </c>
      <c r="R596" t="b">
        <v>0</v>
      </c>
      <c r="T596" t="s">
        <v>446</v>
      </c>
      <c r="U596" t="s">
        <v>1001</v>
      </c>
      <c r="V596" t="s">
        <v>1456</v>
      </c>
      <c r="W596" t="s">
        <v>2274</v>
      </c>
      <c r="X596" t="s">
        <v>2275</v>
      </c>
    </row>
    <row r="597" spans="1:24" x14ac:dyDescent="0.25">
      <c r="A597" t="s">
        <v>44</v>
      </c>
      <c r="B597" t="s">
        <v>2285</v>
      </c>
      <c r="C597" t="s">
        <v>2273</v>
      </c>
      <c r="E597" t="s">
        <v>1023</v>
      </c>
      <c r="F597">
        <v>0</v>
      </c>
      <c r="G597" t="s">
        <v>999</v>
      </c>
      <c r="H597" t="s">
        <v>446</v>
      </c>
      <c r="J597" t="s">
        <v>2168</v>
      </c>
      <c r="K597" t="s">
        <v>446</v>
      </c>
      <c r="L597" t="s">
        <v>446</v>
      </c>
      <c r="Q597" t="b">
        <v>1</v>
      </c>
      <c r="R597" t="b">
        <v>0</v>
      </c>
      <c r="T597" t="s">
        <v>446</v>
      </c>
      <c r="U597" t="s">
        <v>1001</v>
      </c>
      <c r="V597" t="s">
        <v>1456</v>
      </c>
      <c r="W597" t="s">
        <v>2274</v>
      </c>
      <c r="X597" t="s">
        <v>2275</v>
      </c>
    </row>
    <row r="598" spans="1:24" x14ac:dyDescent="0.25">
      <c r="A598" t="s">
        <v>44</v>
      </c>
      <c r="B598" t="s">
        <v>2286</v>
      </c>
      <c r="C598" t="s">
        <v>2273</v>
      </c>
      <c r="E598" t="s">
        <v>1025</v>
      </c>
      <c r="F598">
        <v>0</v>
      </c>
      <c r="G598" t="s">
        <v>999</v>
      </c>
      <c r="H598" t="s">
        <v>446</v>
      </c>
      <c r="J598" t="s">
        <v>2168</v>
      </c>
      <c r="K598" t="s">
        <v>446</v>
      </c>
      <c r="L598" t="s">
        <v>446</v>
      </c>
      <c r="Q598" t="b">
        <v>1</v>
      </c>
      <c r="R598" t="b">
        <v>0</v>
      </c>
      <c r="T598" t="s">
        <v>446</v>
      </c>
      <c r="U598" t="s">
        <v>1001</v>
      </c>
      <c r="V598" t="s">
        <v>1456</v>
      </c>
      <c r="W598" t="s">
        <v>2274</v>
      </c>
      <c r="X598" t="s">
        <v>2275</v>
      </c>
    </row>
    <row r="599" spans="1:24" x14ac:dyDescent="0.25">
      <c r="A599" t="s">
        <v>44</v>
      </c>
      <c r="B599" t="s">
        <v>2287</v>
      </c>
      <c r="C599" t="s">
        <v>2273</v>
      </c>
      <c r="E599" t="s">
        <v>1027</v>
      </c>
      <c r="F599">
        <v>0</v>
      </c>
      <c r="G599" t="s">
        <v>999</v>
      </c>
      <c r="H599" t="s">
        <v>446</v>
      </c>
      <c r="J599" t="s">
        <v>2168</v>
      </c>
      <c r="K599" t="s">
        <v>446</v>
      </c>
      <c r="L599" t="s">
        <v>446</v>
      </c>
      <c r="Q599" t="b">
        <v>1</v>
      </c>
      <c r="R599" t="b">
        <v>0</v>
      </c>
      <c r="T599" t="s">
        <v>446</v>
      </c>
      <c r="U599" t="s">
        <v>1001</v>
      </c>
      <c r="V599" t="s">
        <v>1456</v>
      </c>
      <c r="W599" t="s">
        <v>2274</v>
      </c>
      <c r="X599" t="s">
        <v>2275</v>
      </c>
    </row>
    <row r="600" spans="1:24" x14ac:dyDescent="0.25">
      <c r="A600" t="s">
        <v>44</v>
      </c>
      <c r="B600" t="s">
        <v>2288</v>
      </c>
      <c r="C600" t="s">
        <v>2273</v>
      </c>
      <c r="E600" t="s">
        <v>1131</v>
      </c>
      <c r="F600">
        <v>0</v>
      </c>
      <c r="G600" t="s">
        <v>999</v>
      </c>
      <c r="H600" t="s">
        <v>446</v>
      </c>
      <c r="J600" t="s">
        <v>2168</v>
      </c>
      <c r="K600" t="s">
        <v>446</v>
      </c>
      <c r="L600" t="s">
        <v>446</v>
      </c>
      <c r="Q600" t="b">
        <v>1</v>
      </c>
      <c r="R600" t="b">
        <v>0</v>
      </c>
      <c r="T600" t="s">
        <v>446</v>
      </c>
      <c r="U600" t="s">
        <v>1001</v>
      </c>
      <c r="V600" t="s">
        <v>1456</v>
      </c>
      <c r="W600" t="s">
        <v>2274</v>
      </c>
      <c r="X600" t="s">
        <v>2275</v>
      </c>
    </row>
    <row r="601" spans="1:24" x14ac:dyDescent="0.25">
      <c r="A601" t="s">
        <v>44</v>
      </c>
      <c r="B601" t="s">
        <v>1199</v>
      </c>
      <c r="C601" t="s">
        <v>2289</v>
      </c>
      <c r="E601" t="s">
        <v>998</v>
      </c>
      <c r="F601">
        <v>-2214</v>
      </c>
      <c r="G601" t="s">
        <v>1451</v>
      </c>
      <c r="H601" t="s">
        <v>2290</v>
      </c>
      <c r="J601" t="s">
        <v>2168</v>
      </c>
      <c r="K601" t="s">
        <v>1032</v>
      </c>
      <c r="L601" t="s">
        <v>446</v>
      </c>
      <c r="Q601" t="b">
        <v>0</v>
      </c>
      <c r="R601" t="b">
        <v>0</v>
      </c>
      <c r="T601" t="s">
        <v>2291</v>
      </c>
      <c r="U601" t="s">
        <v>1001</v>
      </c>
      <c r="V601" t="s">
        <v>1456</v>
      </c>
      <c r="W601" t="s">
        <v>2274</v>
      </c>
      <c r="X601" t="s">
        <v>2292</v>
      </c>
    </row>
    <row r="602" spans="1:24" x14ac:dyDescent="0.25">
      <c r="A602" t="s">
        <v>44</v>
      </c>
      <c r="B602" t="s">
        <v>1203</v>
      </c>
      <c r="C602" t="s">
        <v>2289</v>
      </c>
      <c r="E602" t="s">
        <v>1005</v>
      </c>
      <c r="F602">
        <v>-974</v>
      </c>
      <c r="G602" t="s">
        <v>1451</v>
      </c>
      <c r="H602" t="s">
        <v>2290</v>
      </c>
      <c r="J602" t="s">
        <v>2168</v>
      </c>
      <c r="K602" t="s">
        <v>1044</v>
      </c>
      <c r="L602" t="s">
        <v>446</v>
      </c>
      <c r="Q602" t="b">
        <v>0</v>
      </c>
      <c r="R602" t="b">
        <v>0</v>
      </c>
      <c r="T602" t="s">
        <v>2291</v>
      </c>
      <c r="U602" t="s">
        <v>1001</v>
      </c>
      <c r="V602" t="s">
        <v>1456</v>
      </c>
      <c r="W602" t="s">
        <v>2274</v>
      </c>
      <c r="X602" t="s">
        <v>2292</v>
      </c>
    </row>
    <row r="603" spans="1:24" x14ac:dyDescent="0.25">
      <c r="A603" t="s">
        <v>44</v>
      </c>
      <c r="B603" t="s">
        <v>1206</v>
      </c>
      <c r="C603" t="s">
        <v>2289</v>
      </c>
      <c r="E603" t="s">
        <v>1007</v>
      </c>
      <c r="F603">
        <v>-1091</v>
      </c>
      <c r="G603" t="s">
        <v>1451</v>
      </c>
      <c r="H603" t="s">
        <v>2290</v>
      </c>
      <c r="J603" t="s">
        <v>2168</v>
      </c>
      <c r="K603" t="s">
        <v>1051</v>
      </c>
      <c r="L603" t="s">
        <v>446</v>
      </c>
      <c r="Q603" t="b">
        <v>0</v>
      </c>
      <c r="R603" t="b">
        <v>0</v>
      </c>
      <c r="T603" t="s">
        <v>2291</v>
      </c>
      <c r="U603" t="s">
        <v>1001</v>
      </c>
      <c r="V603" t="s">
        <v>1456</v>
      </c>
      <c r="W603" t="s">
        <v>2274</v>
      </c>
      <c r="X603" t="s">
        <v>2292</v>
      </c>
    </row>
    <row r="604" spans="1:24" x14ac:dyDescent="0.25">
      <c r="A604" t="s">
        <v>44</v>
      </c>
      <c r="B604" t="s">
        <v>1209</v>
      </c>
      <c r="C604" t="s">
        <v>2289</v>
      </c>
      <c r="E604" t="s">
        <v>1009</v>
      </c>
      <c r="F604">
        <v>-1132</v>
      </c>
      <c r="G604" t="s">
        <v>1451</v>
      </c>
      <c r="H604" t="s">
        <v>2290</v>
      </c>
      <c r="J604" t="s">
        <v>2168</v>
      </c>
      <c r="K604" t="s">
        <v>1060</v>
      </c>
      <c r="L604" t="s">
        <v>446</v>
      </c>
      <c r="Q604" t="b">
        <v>0</v>
      </c>
      <c r="R604" t="b">
        <v>0</v>
      </c>
      <c r="T604" t="s">
        <v>2291</v>
      </c>
      <c r="U604" t="s">
        <v>1001</v>
      </c>
      <c r="V604" t="s">
        <v>1456</v>
      </c>
      <c r="W604" t="s">
        <v>2274</v>
      </c>
      <c r="X604" t="s">
        <v>446</v>
      </c>
    </row>
    <row r="605" spans="1:24" x14ac:dyDescent="0.25">
      <c r="A605" t="s">
        <v>44</v>
      </c>
      <c r="B605" t="s">
        <v>1212</v>
      </c>
      <c r="C605" t="s">
        <v>2289</v>
      </c>
      <c r="E605" t="s">
        <v>1011</v>
      </c>
      <c r="F605">
        <v>-1066</v>
      </c>
      <c r="G605" t="s">
        <v>1451</v>
      </c>
      <c r="H605" t="s">
        <v>2290</v>
      </c>
      <c r="J605" t="s">
        <v>2168</v>
      </c>
      <c r="K605" t="s">
        <v>1070</v>
      </c>
      <c r="L605" t="s">
        <v>446</v>
      </c>
      <c r="Q605" t="b">
        <v>0</v>
      </c>
      <c r="R605" t="b">
        <v>0</v>
      </c>
      <c r="T605" t="s">
        <v>2291</v>
      </c>
      <c r="U605" t="s">
        <v>1001</v>
      </c>
      <c r="V605" t="s">
        <v>1456</v>
      </c>
      <c r="W605" t="s">
        <v>2274</v>
      </c>
      <c r="X605" t="s">
        <v>2292</v>
      </c>
    </row>
    <row r="606" spans="1:24" x14ac:dyDescent="0.25">
      <c r="A606" t="s">
        <v>44</v>
      </c>
      <c r="B606" t="s">
        <v>1214</v>
      </c>
      <c r="C606" t="s">
        <v>2289</v>
      </c>
      <c r="E606" t="s">
        <v>1013</v>
      </c>
      <c r="F606">
        <v>-1139</v>
      </c>
      <c r="G606" t="s">
        <v>1451</v>
      </c>
      <c r="H606" t="s">
        <v>2290</v>
      </c>
      <c r="J606" t="s">
        <v>2168</v>
      </c>
      <c r="K606" t="s">
        <v>1077</v>
      </c>
      <c r="L606" t="s">
        <v>446</v>
      </c>
      <c r="Q606" t="b">
        <v>0</v>
      </c>
      <c r="R606" t="b">
        <v>0</v>
      </c>
      <c r="T606" t="s">
        <v>2291</v>
      </c>
      <c r="U606" t="s">
        <v>1001</v>
      </c>
      <c r="V606" t="s">
        <v>1456</v>
      </c>
      <c r="W606" t="s">
        <v>2274</v>
      </c>
      <c r="X606" t="s">
        <v>2292</v>
      </c>
    </row>
    <row r="607" spans="1:24" x14ac:dyDescent="0.25">
      <c r="A607" t="s">
        <v>44</v>
      </c>
      <c r="B607" t="s">
        <v>1216</v>
      </c>
      <c r="C607" t="s">
        <v>2289</v>
      </c>
      <c r="E607" t="s">
        <v>1015</v>
      </c>
      <c r="F607">
        <v>-1338</v>
      </c>
      <c r="G607" t="s">
        <v>1451</v>
      </c>
      <c r="H607" t="s">
        <v>2290</v>
      </c>
      <c r="J607" t="s">
        <v>2168</v>
      </c>
      <c r="K607" t="s">
        <v>1084</v>
      </c>
      <c r="L607" t="s">
        <v>446</v>
      </c>
      <c r="Q607" t="b">
        <v>0</v>
      </c>
      <c r="R607" t="b">
        <v>0</v>
      </c>
      <c r="T607" t="s">
        <v>2291</v>
      </c>
      <c r="U607" t="s">
        <v>1001</v>
      </c>
      <c r="V607" t="s">
        <v>1456</v>
      </c>
      <c r="W607" t="s">
        <v>2274</v>
      </c>
      <c r="X607" t="s">
        <v>2292</v>
      </c>
    </row>
    <row r="608" spans="1:24" x14ac:dyDescent="0.25">
      <c r="A608" t="s">
        <v>44</v>
      </c>
      <c r="B608" t="s">
        <v>1218</v>
      </c>
      <c r="C608" t="s">
        <v>2289</v>
      </c>
      <c r="E608" t="s">
        <v>1017</v>
      </c>
      <c r="F608">
        <v>-1348</v>
      </c>
      <c r="G608" t="s">
        <v>1451</v>
      </c>
      <c r="H608" t="s">
        <v>2290</v>
      </c>
      <c r="J608" t="s">
        <v>2168</v>
      </c>
      <c r="K608" t="s">
        <v>1091</v>
      </c>
      <c r="L608" t="s">
        <v>446</v>
      </c>
      <c r="Q608" t="b">
        <v>0</v>
      </c>
      <c r="R608" t="b">
        <v>0</v>
      </c>
      <c r="T608" t="s">
        <v>2291</v>
      </c>
      <c r="U608" t="s">
        <v>1001</v>
      </c>
      <c r="V608" t="s">
        <v>1456</v>
      </c>
      <c r="W608" t="s">
        <v>2274</v>
      </c>
      <c r="X608" t="s">
        <v>446</v>
      </c>
    </row>
    <row r="609" spans="1:24" x14ac:dyDescent="0.25">
      <c r="A609" t="s">
        <v>44</v>
      </c>
      <c r="B609" t="s">
        <v>1220</v>
      </c>
      <c r="C609" t="s">
        <v>2289</v>
      </c>
      <c r="E609" t="s">
        <v>1019</v>
      </c>
      <c r="F609">
        <v>-19667</v>
      </c>
      <c r="G609" t="s">
        <v>1451</v>
      </c>
      <c r="H609" t="s">
        <v>2290</v>
      </c>
      <c r="J609" t="s">
        <v>2168</v>
      </c>
      <c r="K609" t="s">
        <v>1097</v>
      </c>
      <c r="L609" t="s">
        <v>446</v>
      </c>
      <c r="Q609" t="b">
        <v>0</v>
      </c>
      <c r="R609" t="b">
        <v>0</v>
      </c>
      <c r="T609" t="s">
        <v>2291</v>
      </c>
      <c r="U609" t="s">
        <v>1001</v>
      </c>
      <c r="V609" t="s">
        <v>1456</v>
      </c>
      <c r="W609" t="s">
        <v>2274</v>
      </c>
      <c r="X609" t="s">
        <v>2292</v>
      </c>
    </row>
    <row r="610" spans="1:24" x14ac:dyDescent="0.25">
      <c r="A610" t="s">
        <v>44</v>
      </c>
      <c r="B610" t="s">
        <v>1222</v>
      </c>
      <c r="C610" t="s">
        <v>2289</v>
      </c>
      <c r="E610" t="s">
        <v>1021</v>
      </c>
      <c r="F610">
        <v>-21792</v>
      </c>
      <c r="G610" t="s">
        <v>1451</v>
      </c>
      <c r="H610" t="s">
        <v>2290</v>
      </c>
      <c r="J610" t="s">
        <v>2168</v>
      </c>
      <c r="K610" t="s">
        <v>1105</v>
      </c>
      <c r="L610" t="s">
        <v>446</v>
      </c>
      <c r="Q610" t="b">
        <v>0</v>
      </c>
      <c r="R610" t="b">
        <v>0</v>
      </c>
      <c r="T610" t="s">
        <v>2291</v>
      </c>
      <c r="U610" t="s">
        <v>1001</v>
      </c>
      <c r="V610" t="s">
        <v>1456</v>
      </c>
      <c r="W610" t="s">
        <v>2274</v>
      </c>
      <c r="X610" t="s">
        <v>2292</v>
      </c>
    </row>
    <row r="611" spans="1:24" x14ac:dyDescent="0.25">
      <c r="A611" t="s">
        <v>44</v>
      </c>
      <c r="B611" t="s">
        <v>1224</v>
      </c>
      <c r="C611" t="s">
        <v>2289</v>
      </c>
      <c r="E611" t="s">
        <v>1023</v>
      </c>
      <c r="F611">
        <v>-25297</v>
      </c>
      <c r="G611" t="s">
        <v>1451</v>
      </c>
      <c r="H611" t="s">
        <v>2290</v>
      </c>
      <c r="J611" t="s">
        <v>2168</v>
      </c>
      <c r="K611" t="s">
        <v>1112</v>
      </c>
      <c r="L611" t="s">
        <v>446</v>
      </c>
      <c r="Q611" t="b">
        <v>0</v>
      </c>
      <c r="R611" t="b">
        <v>0</v>
      </c>
      <c r="T611" t="s">
        <v>2291</v>
      </c>
      <c r="U611" t="s">
        <v>1001</v>
      </c>
      <c r="V611" t="s">
        <v>1456</v>
      </c>
      <c r="W611" t="s">
        <v>2274</v>
      </c>
      <c r="X611" t="s">
        <v>2292</v>
      </c>
    </row>
    <row r="612" spans="1:24" x14ac:dyDescent="0.25">
      <c r="A612" t="s">
        <v>44</v>
      </c>
      <c r="B612" t="s">
        <v>1226</v>
      </c>
      <c r="C612" t="s">
        <v>2289</v>
      </c>
      <c r="E612" t="s">
        <v>1025</v>
      </c>
      <c r="F612">
        <v>-1838</v>
      </c>
      <c r="G612" t="s">
        <v>1451</v>
      </c>
      <c r="H612" t="s">
        <v>2290</v>
      </c>
      <c r="J612" t="s">
        <v>2168</v>
      </c>
      <c r="K612" t="s">
        <v>1119</v>
      </c>
      <c r="L612" t="s">
        <v>446</v>
      </c>
      <c r="Q612" t="b">
        <v>0</v>
      </c>
      <c r="R612" t="b">
        <v>0</v>
      </c>
      <c r="T612" t="s">
        <v>2291</v>
      </c>
      <c r="U612" t="s">
        <v>1001</v>
      </c>
      <c r="V612" t="s">
        <v>1456</v>
      </c>
      <c r="W612" t="s">
        <v>2274</v>
      </c>
      <c r="X612" t="s">
        <v>446</v>
      </c>
    </row>
    <row r="613" spans="1:24" x14ac:dyDescent="0.25">
      <c r="A613" t="s">
        <v>44</v>
      </c>
      <c r="B613" t="s">
        <v>1228</v>
      </c>
      <c r="C613" t="s">
        <v>2289</v>
      </c>
      <c r="E613" t="s">
        <v>1027</v>
      </c>
      <c r="F613">
        <v>-2056</v>
      </c>
      <c r="G613" t="s">
        <v>1451</v>
      </c>
      <c r="H613" t="s">
        <v>2290</v>
      </c>
      <c r="J613" t="s">
        <v>2168</v>
      </c>
      <c r="K613" t="s">
        <v>1125</v>
      </c>
      <c r="L613" t="s">
        <v>446</v>
      </c>
      <c r="Q613" t="b">
        <v>0</v>
      </c>
      <c r="R613" t="b">
        <v>0</v>
      </c>
      <c r="T613" t="s">
        <v>2291</v>
      </c>
      <c r="U613" t="s">
        <v>1001</v>
      </c>
      <c r="V613" t="s">
        <v>1456</v>
      </c>
      <c r="W613" t="s">
        <v>2274</v>
      </c>
      <c r="X613" t="s">
        <v>2292</v>
      </c>
    </row>
    <row r="614" spans="1:24" x14ac:dyDescent="0.25">
      <c r="A614" t="s">
        <v>44</v>
      </c>
      <c r="B614" t="s">
        <v>1230</v>
      </c>
      <c r="C614" t="s">
        <v>2289</v>
      </c>
      <c r="E614" t="s">
        <v>1131</v>
      </c>
      <c r="F614">
        <v>-2165</v>
      </c>
      <c r="G614" t="s">
        <v>1451</v>
      </c>
      <c r="H614" t="s">
        <v>2290</v>
      </c>
      <c r="J614" t="s">
        <v>2168</v>
      </c>
      <c r="K614" t="s">
        <v>1133</v>
      </c>
      <c r="L614" t="s">
        <v>446</v>
      </c>
      <c r="Q614" t="b">
        <v>0</v>
      </c>
      <c r="R614" t="b">
        <v>0</v>
      </c>
      <c r="T614" t="s">
        <v>2291</v>
      </c>
      <c r="U614" t="s">
        <v>1001</v>
      </c>
      <c r="V614" t="s">
        <v>1456</v>
      </c>
      <c r="W614" t="s">
        <v>2274</v>
      </c>
      <c r="X614" t="s">
        <v>2292</v>
      </c>
    </row>
    <row r="615" spans="1:24" x14ac:dyDescent="0.25">
      <c r="A615" t="s">
        <v>44</v>
      </c>
      <c r="B615" t="s">
        <v>2293</v>
      </c>
      <c r="C615" t="s">
        <v>247</v>
      </c>
      <c r="E615" t="s">
        <v>998</v>
      </c>
      <c r="F615">
        <v>8288</v>
      </c>
      <c r="G615" t="s">
        <v>2294</v>
      </c>
      <c r="H615" t="s">
        <v>2295</v>
      </c>
      <c r="J615" t="s">
        <v>2168</v>
      </c>
      <c r="K615" t="s">
        <v>446</v>
      </c>
      <c r="L615" t="s">
        <v>446</v>
      </c>
      <c r="Q615" t="b">
        <v>1</v>
      </c>
      <c r="R615" t="b">
        <v>0</v>
      </c>
      <c r="T615" t="s">
        <v>446</v>
      </c>
      <c r="U615" t="s">
        <v>2294</v>
      </c>
      <c r="V615" t="s">
        <v>1002</v>
      </c>
      <c r="W615" t="s">
        <v>1040</v>
      </c>
      <c r="X615" t="s">
        <v>446</v>
      </c>
    </row>
    <row r="616" spans="1:24" x14ac:dyDescent="0.25">
      <c r="A616" t="s">
        <v>44</v>
      </c>
      <c r="B616" t="s">
        <v>2296</v>
      </c>
      <c r="C616" t="s">
        <v>247</v>
      </c>
      <c r="E616" t="s">
        <v>1005</v>
      </c>
      <c r="F616">
        <v>6704</v>
      </c>
      <c r="G616" t="s">
        <v>2294</v>
      </c>
      <c r="H616" t="s">
        <v>2295</v>
      </c>
      <c r="J616" t="s">
        <v>2168</v>
      </c>
      <c r="K616" t="s">
        <v>446</v>
      </c>
      <c r="L616" t="s">
        <v>446</v>
      </c>
      <c r="Q616" t="b">
        <v>1</v>
      </c>
      <c r="R616" t="b">
        <v>0</v>
      </c>
      <c r="T616" t="s">
        <v>446</v>
      </c>
      <c r="U616" t="s">
        <v>2294</v>
      </c>
      <c r="V616" t="s">
        <v>1002</v>
      </c>
      <c r="W616" t="s">
        <v>1040</v>
      </c>
      <c r="X616" t="s">
        <v>446</v>
      </c>
    </row>
    <row r="617" spans="1:24" x14ac:dyDescent="0.25">
      <c r="A617" t="s">
        <v>44</v>
      </c>
      <c r="B617" t="s">
        <v>2297</v>
      </c>
      <c r="C617" t="s">
        <v>247</v>
      </c>
      <c r="E617" t="s">
        <v>1007</v>
      </c>
      <c r="F617">
        <v>5931</v>
      </c>
      <c r="G617" t="s">
        <v>2294</v>
      </c>
      <c r="H617" t="s">
        <v>2295</v>
      </c>
      <c r="J617" t="s">
        <v>2168</v>
      </c>
      <c r="K617" t="s">
        <v>446</v>
      </c>
      <c r="L617" t="s">
        <v>446</v>
      </c>
      <c r="Q617" t="b">
        <v>1</v>
      </c>
      <c r="R617" t="b">
        <v>0</v>
      </c>
      <c r="T617" t="s">
        <v>446</v>
      </c>
      <c r="U617" t="s">
        <v>2294</v>
      </c>
      <c r="V617" t="s">
        <v>1002</v>
      </c>
      <c r="W617" t="s">
        <v>1040</v>
      </c>
      <c r="X617" t="s">
        <v>446</v>
      </c>
    </row>
    <row r="618" spans="1:24" x14ac:dyDescent="0.25">
      <c r="A618" t="s">
        <v>44</v>
      </c>
      <c r="B618" t="s">
        <v>2298</v>
      </c>
      <c r="C618" t="s">
        <v>247</v>
      </c>
      <c r="E618" t="s">
        <v>1009</v>
      </c>
      <c r="F618">
        <v>6051</v>
      </c>
      <c r="G618" t="s">
        <v>2294</v>
      </c>
      <c r="H618" t="s">
        <v>2295</v>
      </c>
      <c r="J618" t="s">
        <v>2168</v>
      </c>
      <c r="K618" t="s">
        <v>446</v>
      </c>
      <c r="L618" t="s">
        <v>446</v>
      </c>
      <c r="Q618" t="b">
        <v>1</v>
      </c>
      <c r="R618" t="b">
        <v>0</v>
      </c>
      <c r="T618" t="s">
        <v>446</v>
      </c>
      <c r="U618" t="s">
        <v>2294</v>
      </c>
      <c r="V618" t="s">
        <v>1002</v>
      </c>
      <c r="W618" t="s">
        <v>1040</v>
      </c>
      <c r="X618" t="s">
        <v>446</v>
      </c>
    </row>
    <row r="619" spans="1:24" x14ac:dyDescent="0.25">
      <c r="A619" t="s">
        <v>44</v>
      </c>
      <c r="B619" t="s">
        <v>2299</v>
      </c>
      <c r="C619" t="s">
        <v>247</v>
      </c>
      <c r="E619" t="s">
        <v>1011</v>
      </c>
      <c r="F619">
        <v>7192</v>
      </c>
      <c r="G619" t="s">
        <v>2294</v>
      </c>
      <c r="H619" t="s">
        <v>2295</v>
      </c>
      <c r="J619" t="s">
        <v>2168</v>
      </c>
      <c r="K619" t="s">
        <v>446</v>
      </c>
      <c r="L619" t="s">
        <v>446</v>
      </c>
      <c r="Q619" t="b">
        <v>1</v>
      </c>
      <c r="R619" t="b">
        <v>0</v>
      </c>
      <c r="T619" t="s">
        <v>446</v>
      </c>
      <c r="U619" t="s">
        <v>2294</v>
      </c>
      <c r="V619" t="s">
        <v>1002</v>
      </c>
      <c r="W619" t="s">
        <v>1040</v>
      </c>
      <c r="X619" t="s">
        <v>446</v>
      </c>
    </row>
    <row r="620" spans="1:24" x14ac:dyDescent="0.25">
      <c r="A620" t="s">
        <v>44</v>
      </c>
      <c r="B620" t="s">
        <v>2300</v>
      </c>
      <c r="C620" t="s">
        <v>247</v>
      </c>
      <c r="E620" t="s">
        <v>1013</v>
      </c>
      <c r="F620">
        <v>13507</v>
      </c>
      <c r="G620" t="s">
        <v>2294</v>
      </c>
      <c r="H620" t="s">
        <v>2295</v>
      </c>
      <c r="J620" t="s">
        <v>2168</v>
      </c>
      <c r="K620" t="s">
        <v>446</v>
      </c>
      <c r="L620" t="s">
        <v>446</v>
      </c>
      <c r="Q620" t="b">
        <v>1</v>
      </c>
      <c r="R620" t="b">
        <v>0</v>
      </c>
      <c r="T620" t="s">
        <v>446</v>
      </c>
      <c r="U620" t="s">
        <v>2294</v>
      </c>
      <c r="V620" t="s">
        <v>1002</v>
      </c>
      <c r="W620" t="s">
        <v>1040</v>
      </c>
      <c r="X620" t="s">
        <v>446</v>
      </c>
    </row>
    <row r="621" spans="1:24" x14ac:dyDescent="0.25">
      <c r="A621" t="s">
        <v>44</v>
      </c>
      <c r="B621" t="s">
        <v>2301</v>
      </c>
      <c r="C621" t="s">
        <v>247</v>
      </c>
      <c r="E621" t="s">
        <v>1015</v>
      </c>
      <c r="F621">
        <v>18120</v>
      </c>
      <c r="G621" t="s">
        <v>2294</v>
      </c>
      <c r="H621" t="s">
        <v>2295</v>
      </c>
      <c r="J621" t="s">
        <v>2168</v>
      </c>
      <c r="K621" t="s">
        <v>446</v>
      </c>
      <c r="L621" t="s">
        <v>446</v>
      </c>
      <c r="Q621" t="b">
        <v>1</v>
      </c>
      <c r="R621" t="b">
        <v>0</v>
      </c>
      <c r="T621" t="s">
        <v>446</v>
      </c>
      <c r="U621" t="s">
        <v>2294</v>
      </c>
      <c r="V621" t="s">
        <v>1002</v>
      </c>
      <c r="W621" t="s">
        <v>1040</v>
      </c>
      <c r="X621" t="s">
        <v>446</v>
      </c>
    </row>
    <row r="622" spans="1:24" x14ac:dyDescent="0.25">
      <c r="A622" t="s">
        <v>44</v>
      </c>
      <c r="B622" t="s">
        <v>2302</v>
      </c>
      <c r="C622" t="s">
        <v>247</v>
      </c>
      <c r="E622" t="s">
        <v>1017</v>
      </c>
      <c r="F622">
        <v>22103</v>
      </c>
      <c r="G622" t="s">
        <v>2294</v>
      </c>
      <c r="H622" t="s">
        <v>2295</v>
      </c>
      <c r="J622" t="s">
        <v>2168</v>
      </c>
      <c r="K622" t="s">
        <v>446</v>
      </c>
      <c r="L622" t="s">
        <v>446</v>
      </c>
      <c r="Q622" t="b">
        <v>1</v>
      </c>
      <c r="R622" t="b">
        <v>0</v>
      </c>
      <c r="T622" t="s">
        <v>446</v>
      </c>
      <c r="U622" t="s">
        <v>2294</v>
      </c>
      <c r="V622" t="s">
        <v>1002</v>
      </c>
      <c r="W622" t="s">
        <v>1040</v>
      </c>
      <c r="X622" t="s">
        <v>446</v>
      </c>
    </row>
    <row r="623" spans="1:24" x14ac:dyDescent="0.25">
      <c r="A623" t="s">
        <v>44</v>
      </c>
      <c r="B623" t="s">
        <v>2303</v>
      </c>
      <c r="C623" t="s">
        <v>247</v>
      </c>
      <c r="E623" t="s">
        <v>1019</v>
      </c>
      <c r="F623">
        <v>26044</v>
      </c>
      <c r="G623" t="s">
        <v>2294</v>
      </c>
      <c r="H623" t="s">
        <v>2295</v>
      </c>
      <c r="J623" t="s">
        <v>2168</v>
      </c>
      <c r="K623" t="s">
        <v>446</v>
      </c>
      <c r="L623" t="s">
        <v>446</v>
      </c>
      <c r="Q623" t="b">
        <v>1</v>
      </c>
      <c r="R623" t="b">
        <v>0</v>
      </c>
      <c r="T623" t="s">
        <v>446</v>
      </c>
      <c r="U623" t="s">
        <v>2294</v>
      </c>
      <c r="V623" t="s">
        <v>1002</v>
      </c>
      <c r="W623" t="s">
        <v>1040</v>
      </c>
      <c r="X623" t="s">
        <v>446</v>
      </c>
    </row>
    <row r="624" spans="1:24" x14ac:dyDescent="0.25">
      <c r="A624" t="s">
        <v>44</v>
      </c>
      <c r="B624" t="s">
        <v>2304</v>
      </c>
      <c r="C624" t="s">
        <v>247</v>
      </c>
      <c r="E624" t="s">
        <v>1021</v>
      </c>
      <c r="F624">
        <v>30040</v>
      </c>
      <c r="G624" t="s">
        <v>2294</v>
      </c>
      <c r="H624" t="s">
        <v>2295</v>
      </c>
      <c r="J624" t="s">
        <v>2168</v>
      </c>
      <c r="K624" t="s">
        <v>446</v>
      </c>
      <c r="L624" t="s">
        <v>446</v>
      </c>
      <c r="Q624" t="b">
        <v>1</v>
      </c>
      <c r="R624" t="b">
        <v>0</v>
      </c>
      <c r="T624" t="s">
        <v>446</v>
      </c>
      <c r="U624" t="s">
        <v>2294</v>
      </c>
      <c r="V624" t="s">
        <v>1002</v>
      </c>
      <c r="W624" t="s">
        <v>1040</v>
      </c>
      <c r="X624" t="s">
        <v>446</v>
      </c>
    </row>
    <row r="625" spans="1:24" x14ac:dyDescent="0.25">
      <c r="A625" t="s">
        <v>44</v>
      </c>
      <c r="B625" t="s">
        <v>2305</v>
      </c>
      <c r="C625" t="s">
        <v>247</v>
      </c>
      <c r="E625" t="s">
        <v>1023</v>
      </c>
      <c r="F625">
        <v>35082</v>
      </c>
      <c r="G625" t="s">
        <v>2294</v>
      </c>
      <c r="H625" t="s">
        <v>2295</v>
      </c>
      <c r="J625" t="s">
        <v>2168</v>
      </c>
      <c r="K625" t="s">
        <v>446</v>
      </c>
      <c r="L625" t="s">
        <v>446</v>
      </c>
      <c r="Q625" t="b">
        <v>1</v>
      </c>
      <c r="R625" t="b">
        <v>0</v>
      </c>
      <c r="T625" t="s">
        <v>446</v>
      </c>
      <c r="U625" t="s">
        <v>2294</v>
      </c>
      <c r="V625" t="s">
        <v>1002</v>
      </c>
      <c r="W625" t="s">
        <v>1040</v>
      </c>
      <c r="X625" t="s">
        <v>446</v>
      </c>
    </row>
    <row r="626" spans="1:24" x14ac:dyDescent="0.25">
      <c r="A626" t="s">
        <v>44</v>
      </c>
      <c r="B626" t="s">
        <v>2306</v>
      </c>
      <c r="C626" t="s">
        <v>247</v>
      </c>
      <c r="E626" t="s">
        <v>1025</v>
      </c>
      <c r="F626">
        <v>39331</v>
      </c>
      <c r="G626" t="s">
        <v>2294</v>
      </c>
      <c r="H626" t="s">
        <v>2295</v>
      </c>
      <c r="J626" t="s">
        <v>2168</v>
      </c>
      <c r="K626" t="s">
        <v>446</v>
      </c>
      <c r="L626" t="s">
        <v>446</v>
      </c>
      <c r="Q626" t="b">
        <v>1</v>
      </c>
      <c r="R626" t="b">
        <v>0</v>
      </c>
      <c r="T626" t="s">
        <v>446</v>
      </c>
      <c r="U626" t="s">
        <v>2294</v>
      </c>
      <c r="V626" t="s">
        <v>1002</v>
      </c>
      <c r="W626" t="s">
        <v>1040</v>
      </c>
      <c r="X626" t="s">
        <v>446</v>
      </c>
    </row>
    <row r="627" spans="1:24" x14ac:dyDescent="0.25">
      <c r="A627" t="s">
        <v>44</v>
      </c>
      <c r="B627" t="s">
        <v>2307</v>
      </c>
      <c r="C627" t="s">
        <v>247</v>
      </c>
      <c r="E627" t="s">
        <v>1027</v>
      </c>
      <c r="F627">
        <v>44062</v>
      </c>
      <c r="G627" t="s">
        <v>2294</v>
      </c>
      <c r="H627" t="s">
        <v>2295</v>
      </c>
      <c r="J627" t="s">
        <v>2168</v>
      </c>
      <c r="K627" t="s">
        <v>446</v>
      </c>
      <c r="L627" t="s">
        <v>446</v>
      </c>
      <c r="Q627" t="b">
        <v>1</v>
      </c>
      <c r="R627" t="b">
        <v>0</v>
      </c>
      <c r="T627" t="s">
        <v>446</v>
      </c>
      <c r="U627" t="s">
        <v>2294</v>
      </c>
      <c r="V627" t="s">
        <v>1002</v>
      </c>
      <c r="W627" t="s">
        <v>1040</v>
      </c>
      <c r="X627" t="s">
        <v>446</v>
      </c>
    </row>
    <row r="628" spans="1:24" x14ac:dyDescent="0.25">
      <c r="A628" t="s">
        <v>44</v>
      </c>
      <c r="B628" t="s">
        <v>2308</v>
      </c>
      <c r="C628" t="s">
        <v>247</v>
      </c>
      <c r="E628" t="s">
        <v>1131</v>
      </c>
      <c r="F628">
        <v>46743</v>
      </c>
      <c r="G628" t="s">
        <v>2294</v>
      </c>
      <c r="H628" t="s">
        <v>2295</v>
      </c>
      <c r="J628" t="s">
        <v>2168</v>
      </c>
      <c r="K628" t="s">
        <v>446</v>
      </c>
      <c r="L628" t="s">
        <v>446</v>
      </c>
      <c r="Q628" t="b">
        <v>1</v>
      </c>
      <c r="R628" t="b">
        <v>0</v>
      </c>
      <c r="T628" t="s">
        <v>446</v>
      </c>
      <c r="U628" t="s">
        <v>2294</v>
      </c>
      <c r="V628" t="s">
        <v>1002</v>
      </c>
      <c r="W628" t="s">
        <v>1040</v>
      </c>
      <c r="X628" t="s">
        <v>446</v>
      </c>
    </row>
    <row r="629" spans="1:24" x14ac:dyDescent="0.25">
      <c r="A629" t="s">
        <v>44</v>
      </c>
      <c r="B629" t="s">
        <v>2309</v>
      </c>
      <c r="C629" t="s">
        <v>465</v>
      </c>
      <c r="E629" t="s">
        <v>998</v>
      </c>
      <c r="F629">
        <v>0</v>
      </c>
      <c r="G629" t="s">
        <v>2294</v>
      </c>
      <c r="H629" t="s">
        <v>2310</v>
      </c>
      <c r="J629" t="s">
        <v>2168</v>
      </c>
      <c r="K629" t="s">
        <v>446</v>
      </c>
      <c r="L629" t="s">
        <v>446</v>
      </c>
      <c r="Q629" t="b">
        <v>1</v>
      </c>
      <c r="R629" t="b">
        <v>0</v>
      </c>
      <c r="T629" t="s">
        <v>446</v>
      </c>
      <c r="U629" t="s">
        <v>2294</v>
      </c>
      <c r="V629" t="s">
        <v>1002</v>
      </c>
      <c r="W629" t="s">
        <v>1040</v>
      </c>
      <c r="X629" t="s">
        <v>446</v>
      </c>
    </row>
    <row r="630" spans="1:24" x14ac:dyDescent="0.25">
      <c r="A630" t="s">
        <v>44</v>
      </c>
      <c r="B630" t="s">
        <v>2311</v>
      </c>
      <c r="C630" t="s">
        <v>465</v>
      </c>
      <c r="E630" t="s">
        <v>1005</v>
      </c>
      <c r="F630">
        <v>0</v>
      </c>
      <c r="G630" t="s">
        <v>2294</v>
      </c>
      <c r="H630" t="s">
        <v>2310</v>
      </c>
      <c r="J630" t="s">
        <v>2168</v>
      </c>
      <c r="K630" t="s">
        <v>446</v>
      </c>
      <c r="L630" t="s">
        <v>446</v>
      </c>
      <c r="Q630" t="b">
        <v>1</v>
      </c>
      <c r="R630" t="b">
        <v>0</v>
      </c>
      <c r="T630" t="s">
        <v>446</v>
      </c>
      <c r="U630" t="s">
        <v>2294</v>
      </c>
      <c r="V630" t="s">
        <v>1002</v>
      </c>
      <c r="W630" t="s">
        <v>1040</v>
      </c>
      <c r="X630" t="s">
        <v>446</v>
      </c>
    </row>
    <row r="631" spans="1:24" x14ac:dyDescent="0.25">
      <c r="A631" t="s">
        <v>44</v>
      </c>
      <c r="B631" t="s">
        <v>2312</v>
      </c>
      <c r="C631" t="s">
        <v>465</v>
      </c>
      <c r="E631" t="s">
        <v>1007</v>
      </c>
      <c r="F631">
        <v>0</v>
      </c>
      <c r="G631" t="s">
        <v>2294</v>
      </c>
      <c r="H631" t="s">
        <v>2310</v>
      </c>
      <c r="J631" t="s">
        <v>2168</v>
      </c>
      <c r="K631" t="s">
        <v>446</v>
      </c>
      <c r="L631" t="s">
        <v>446</v>
      </c>
      <c r="Q631" t="b">
        <v>1</v>
      </c>
      <c r="R631" t="b">
        <v>0</v>
      </c>
      <c r="T631" t="s">
        <v>446</v>
      </c>
      <c r="U631" t="s">
        <v>2294</v>
      </c>
      <c r="V631" t="s">
        <v>1002</v>
      </c>
      <c r="W631" t="s">
        <v>1040</v>
      </c>
      <c r="X631" t="s">
        <v>446</v>
      </c>
    </row>
    <row r="632" spans="1:24" x14ac:dyDescent="0.25">
      <c r="A632" t="s">
        <v>44</v>
      </c>
      <c r="B632" t="s">
        <v>2313</v>
      </c>
      <c r="C632" t="s">
        <v>465</v>
      </c>
      <c r="E632" t="s">
        <v>1009</v>
      </c>
      <c r="F632">
        <v>0</v>
      </c>
      <c r="G632" t="s">
        <v>2294</v>
      </c>
      <c r="H632" t="s">
        <v>2310</v>
      </c>
      <c r="J632" t="s">
        <v>2168</v>
      </c>
      <c r="K632" t="s">
        <v>446</v>
      </c>
      <c r="L632" t="s">
        <v>446</v>
      </c>
      <c r="Q632" t="b">
        <v>1</v>
      </c>
      <c r="R632" t="b">
        <v>0</v>
      </c>
      <c r="T632" t="s">
        <v>446</v>
      </c>
      <c r="U632" t="s">
        <v>2294</v>
      </c>
      <c r="V632" t="s">
        <v>1002</v>
      </c>
      <c r="W632" t="s">
        <v>1040</v>
      </c>
      <c r="X632" t="s">
        <v>446</v>
      </c>
    </row>
    <row r="633" spans="1:24" x14ac:dyDescent="0.25">
      <c r="A633" t="s">
        <v>44</v>
      </c>
      <c r="B633" t="s">
        <v>2314</v>
      </c>
      <c r="C633" t="s">
        <v>465</v>
      </c>
      <c r="E633" t="s">
        <v>1011</v>
      </c>
      <c r="F633">
        <v>0</v>
      </c>
      <c r="G633" t="s">
        <v>2294</v>
      </c>
      <c r="H633" t="s">
        <v>2310</v>
      </c>
      <c r="J633" t="s">
        <v>2168</v>
      </c>
      <c r="K633" t="s">
        <v>446</v>
      </c>
      <c r="L633" t="s">
        <v>446</v>
      </c>
      <c r="Q633" t="b">
        <v>1</v>
      </c>
      <c r="R633" t="b">
        <v>0</v>
      </c>
      <c r="T633" t="s">
        <v>446</v>
      </c>
      <c r="U633" t="s">
        <v>2294</v>
      </c>
      <c r="V633" t="s">
        <v>1002</v>
      </c>
      <c r="W633" t="s">
        <v>1040</v>
      </c>
      <c r="X633" t="s">
        <v>446</v>
      </c>
    </row>
    <row r="634" spans="1:24" x14ac:dyDescent="0.25">
      <c r="A634" t="s">
        <v>44</v>
      </c>
      <c r="B634" t="s">
        <v>2315</v>
      </c>
      <c r="C634" t="s">
        <v>465</v>
      </c>
      <c r="E634" t="s">
        <v>1013</v>
      </c>
      <c r="F634">
        <v>0</v>
      </c>
      <c r="G634" t="s">
        <v>2294</v>
      </c>
      <c r="H634" t="s">
        <v>2310</v>
      </c>
      <c r="J634" t="s">
        <v>2168</v>
      </c>
      <c r="K634" t="s">
        <v>446</v>
      </c>
      <c r="L634" t="s">
        <v>446</v>
      </c>
      <c r="Q634" t="b">
        <v>1</v>
      </c>
      <c r="R634" t="b">
        <v>0</v>
      </c>
      <c r="T634" t="s">
        <v>446</v>
      </c>
      <c r="U634" t="s">
        <v>2294</v>
      </c>
      <c r="V634" t="s">
        <v>1002</v>
      </c>
      <c r="W634" t="s">
        <v>1040</v>
      </c>
      <c r="X634" t="s">
        <v>446</v>
      </c>
    </row>
    <row r="635" spans="1:24" x14ac:dyDescent="0.25">
      <c r="A635" t="s">
        <v>44</v>
      </c>
      <c r="B635" t="s">
        <v>2316</v>
      </c>
      <c r="C635" t="s">
        <v>465</v>
      </c>
      <c r="E635" t="s">
        <v>1015</v>
      </c>
      <c r="F635">
        <v>0</v>
      </c>
      <c r="G635" t="s">
        <v>2294</v>
      </c>
      <c r="H635" t="s">
        <v>2310</v>
      </c>
      <c r="J635" t="s">
        <v>2168</v>
      </c>
      <c r="K635" t="s">
        <v>446</v>
      </c>
      <c r="L635" t="s">
        <v>446</v>
      </c>
      <c r="Q635" t="b">
        <v>1</v>
      </c>
      <c r="R635" t="b">
        <v>0</v>
      </c>
      <c r="T635" t="s">
        <v>446</v>
      </c>
      <c r="U635" t="s">
        <v>2294</v>
      </c>
      <c r="V635" t="s">
        <v>1002</v>
      </c>
      <c r="W635" t="s">
        <v>1040</v>
      </c>
      <c r="X635" t="s">
        <v>446</v>
      </c>
    </row>
    <row r="636" spans="1:24" x14ac:dyDescent="0.25">
      <c r="A636" t="s">
        <v>44</v>
      </c>
      <c r="B636" t="s">
        <v>2317</v>
      </c>
      <c r="C636" t="s">
        <v>465</v>
      </c>
      <c r="E636" t="s">
        <v>1017</v>
      </c>
      <c r="F636">
        <v>0</v>
      </c>
      <c r="G636" t="s">
        <v>2294</v>
      </c>
      <c r="H636" t="s">
        <v>2310</v>
      </c>
      <c r="J636" t="s">
        <v>2168</v>
      </c>
      <c r="K636" t="s">
        <v>446</v>
      </c>
      <c r="L636" t="s">
        <v>446</v>
      </c>
      <c r="Q636" t="b">
        <v>1</v>
      </c>
      <c r="R636" t="b">
        <v>0</v>
      </c>
      <c r="T636" t="s">
        <v>446</v>
      </c>
      <c r="U636" t="s">
        <v>2294</v>
      </c>
      <c r="V636" t="s">
        <v>1002</v>
      </c>
      <c r="W636" t="s">
        <v>1040</v>
      </c>
      <c r="X636" t="s">
        <v>446</v>
      </c>
    </row>
    <row r="637" spans="1:24" x14ac:dyDescent="0.25">
      <c r="A637" t="s">
        <v>44</v>
      </c>
      <c r="B637" t="s">
        <v>2318</v>
      </c>
      <c r="C637" t="s">
        <v>465</v>
      </c>
      <c r="E637" t="s">
        <v>1019</v>
      </c>
      <c r="F637">
        <v>0</v>
      </c>
      <c r="G637" t="s">
        <v>2294</v>
      </c>
      <c r="H637" t="s">
        <v>2310</v>
      </c>
      <c r="J637" t="s">
        <v>2168</v>
      </c>
      <c r="K637" t="s">
        <v>446</v>
      </c>
      <c r="L637" t="s">
        <v>446</v>
      </c>
      <c r="Q637" t="b">
        <v>1</v>
      </c>
      <c r="R637" t="b">
        <v>0</v>
      </c>
      <c r="T637" t="s">
        <v>446</v>
      </c>
      <c r="U637" t="s">
        <v>2294</v>
      </c>
      <c r="V637" t="s">
        <v>1002</v>
      </c>
      <c r="W637" t="s">
        <v>1040</v>
      </c>
      <c r="X637" t="s">
        <v>446</v>
      </c>
    </row>
    <row r="638" spans="1:24" x14ac:dyDescent="0.25">
      <c r="A638" t="s">
        <v>44</v>
      </c>
      <c r="B638" t="s">
        <v>2319</v>
      </c>
      <c r="C638" t="s">
        <v>465</v>
      </c>
      <c r="E638" t="s">
        <v>1021</v>
      </c>
      <c r="F638">
        <v>0</v>
      </c>
      <c r="G638" t="s">
        <v>2294</v>
      </c>
      <c r="H638" t="s">
        <v>2310</v>
      </c>
      <c r="J638" t="s">
        <v>2168</v>
      </c>
      <c r="K638" t="s">
        <v>446</v>
      </c>
      <c r="L638" t="s">
        <v>446</v>
      </c>
      <c r="Q638" t="b">
        <v>1</v>
      </c>
      <c r="R638" t="b">
        <v>0</v>
      </c>
      <c r="T638" t="s">
        <v>446</v>
      </c>
      <c r="U638" t="s">
        <v>2294</v>
      </c>
      <c r="V638" t="s">
        <v>1002</v>
      </c>
      <c r="W638" t="s">
        <v>1040</v>
      </c>
      <c r="X638" t="s">
        <v>446</v>
      </c>
    </row>
    <row r="639" spans="1:24" x14ac:dyDescent="0.25">
      <c r="A639" t="s">
        <v>44</v>
      </c>
      <c r="B639" t="s">
        <v>2320</v>
      </c>
      <c r="C639" t="s">
        <v>465</v>
      </c>
      <c r="E639" t="s">
        <v>1023</v>
      </c>
      <c r="F639">
        <v>0</v>
      </c>
      <c r="G639" t="s">
        <v>2294</v>
      </c>
      <c r="H639" t="s">
        <v>2310</v>
      </c>
      <c r="J639" t="s">
        <v>2168</v>
      </c>
      <c r="K639" t="s">
        <v>446</v>
      </c>
      <c r="L639" t="s">
        <v>446</v>
      </c>
      <c r="Q639" t="b">
        <v>1</v>
      </c>
      <c r="R639" t="b">
        <v>0</v>
      </c>
      <c r="T639" t="s">
        <v>446</v>
      </c>
      <c r="U639" t="s">
        <v>2294</v>
      </c>
      <c r="V639" t="s">
        <v>1002</v>
      </c>
      <c r="W639" t="s">
        <v>1040</v>
      </c>
      <c r="X639" t="s">
        <v>446</v>
      </c>
    </row>
    <row r="640" spans="1:24" x14ac:dyDescent="0.25">
      <c r="A640" t="s">
        <v>44</v>
      </c>
      <c r="B640" t="s">
        <v>2321</v>
      </c>
      <c r="C640" t="s">
        <v>465</v>
      </c>
      <c r="E640" t="s">
        <v>1025</v>
      </c>
      <c r="F640">
        <v>0</v>
      </c>
      <c r="G640" t="s">
        <v>2294</v>
      </c>
      <c r="H640" t="s">
        <v>2310</v>
      </c>
      <c r="J640" t="s">
        <v>2168</v>
      </c>
      <c r="K640" t="s">
        <v>446</v>
      </c>
      <c r="L640" t="s">
        <v>446</v>
      </c>
      <c r="Q640" t="b">
        <v>1</v>
      </c>
      <c r="R640" t="b">
        <v>0</v>
      </c>
      <c r="T640" t="s">
        <v>446</v>
      </c>
      <c r="U640" t="s">
        <v>2294</v>
      </c>
      <c r="V640" t="s">
        <v>1002</v>
      </c>
      <c r="W640" t="s">
        <v>1040</v>
      </c>
      <c r="X640" t="s">
        <v>446</v>
      </c>
    </row>
    <row r="641" spans="1:24" x14ac:dyDescent="0.25">
      <c r="A641" t="s">
        <v>44</v>
      </c>
      <c r="B641" t="s">
        <v>2322</v>
      </c>
      <c r="C641" t="s">
        <v>465</v>
      </c>
      <c r="E641" t="s">
        <v>1027</v>
      </c>
      <c r="F641">
        <v>0</v>
      </c>
      <c r="G641" t="s">
        <v>2294</v>
      </c>
      <c r="H641" t="s">
        <v>2310</v>
      </c>
      <c r="J641" t="s">
        <v>2168</v>
      </c>
      <c r="K641" t="s">
        <v>446</v>
      </c>
      <c r="L641" t="s">
        <v>446</v>
      </c>
      <c r="Q641" t="b">
        <v>1</v>
      </c>
      <c r="R641" t="b">
        <v>0</v>
      </c>
      <c r="T641" t="s">
        <v>446</v>
      </c>
      <c r="U641" t="s">
        <v>2294</v>
      </c>
      <c r="V641" t="s">
        <v>1002</v>
      </c>
      <c r="W641" t="s">
        <v>1040</v>
      </c>
      <c r="X641" t="s">
        <v>446</v>
      </c>
    </row>
    <row r="642" spans="1:24" x14ac:dyDescent="0.25">
      <c r="A642" t="s">
        <v>44</v>
      </c>
      <c r="B642" t="s">
        <v>2323</v>
      </c>
      <c r="C642" t="s">
        <v>465</v>
      </c>
      <c r="E642" t="s">
        <v>1131</v>
      </c>
      <c r="F642">
        <v>0</v>
      </c>
      <c r="G642" t="s">
        <v>2294</v>
      </c>
      <c r="H642" t="s">
        <v>2310</v>
      </c>
      <c r="J642" t="s">
        <v>2168</v>
      </c>
      <c r="K642" t="s">
        <v>446</v>
      </c>
      <c r="L642" t="s">
        <v>446</v>
      </c>
      <c r="Q642" t="b">
        <v>1</v>
      </c>
      <c r="R642" t="b">
        <v>0</v>
      </c>
      <c r="T642" t="s">
        <v>446</v>
      </c>
      <c r="U642" t="s">
        <v>2294</v>
      </c>
      <c r="V642" t="s">
        <v>1002</v>
      </c>
      <c r="W642" t="s">
        <v>1040</v>
      </c>
      <c r="X642" t="s">
        <v>446</v>
      </c>
    </row>
    <row r="643" spans="1:24" x14ac:dyDescent="0.25">
      <c r="A643" t="s">
        <v>44</v>
      </c>
      <c r="B643" t="s">
        <v>1168</v>
      </c>
      <c r="C643" t="s">
        <v>458</v>
      </c>
      <c r="E643" t="s">
        <v>998</v>
      </c>
      <c r="F643">
        <v>1868</v>
      </c>
      <c r="G643" t="s">
        <v>2294</v>
      </c>
      <c r="H643" t="s">
        <v>2324</v>
      </c>
      <c r="J643" t="s">
        <v>1000</v>
      </c>
      <c r="K643" t="s">
        <v>1032</v>
      </c>
      <c r="L643" t="s">
        <v>446</v>
      </c>
      <c r="Q643" t="b">
        <v>1</v>
      </c>
      <c r="R643" t="b">
        <v>0</v>
      </c>
      <c r="T643" t="s">
        <v>446</v>
      </c>
      <c r="U643" t="s">
        <v>1039</v>
      </c>
      <c r="V643" t="s">
        <v>1002</v>
      </c>
      <c r="W643" t="s">
        <v>1040</v>
      </c>
      <c r="X643" t="s">
        <v>2325</v>
      </c>
    </row>
    <row r="644" spans="1:24" x14ac:dyDescent="0.25">
      <c r="A644" t="s">
        <v>44</v>
      </c>
      <c r="B644" t="s">
        <v>1172</v>
      </c>
      <c r="C644" t="s">
        <v>458</v>
      </c>
      <c r="E644" t="s">
        <v>1005</v>
      </c>
      <c r="F644">
        <v>499</v>
      </c>
      <c r="G644" t="s">
        <v>2294</v>
      </c>
      <c r="H644" t="s">
        <v>2324</v>
      </c>
      <c r="J644" t="s">
        <v>1000</v>
      </c>
      <c r="K644" t="s">
        <v>1044</v>
      </c>
      <c r="L644" t="s">
        <v>446</v>
      </c>
      <c r="Q644" t="b">
        <v>1</v>
      </c>
      <c r="R644" t="b">
        <v>0</v>
      </c>
      <c r="T644" t="s">
        <v>446</v>
      </c>
      <c r="U644" t="s">
        <v>1039</v>
      </c>
      <c r="V644" t="s">
        <v>1002</v>
      </c>
      <c r="W644" t="s">
        <v>1040</v>
      </c>
      <c r="X644" t="s">
        <v>2325</v>
      </c>
    </row>
    <row r="645" spans="1:24" x14ac:dyDescent="0.25">
      <c r="A645" t="s">
        <v>44</v>
      </c>
      <c r="B645" t="s">
        <v>1174</v>
      </c>
      <c r="C645" t="s">
        <v>458</v>
      </c>
      <c r="E645" t="s">
        <v>1007</v>
      </c>
      <c r="F645">
        <v>601</v>
      </c>
      <c r="G645" t="s">
        <v>2294</v>
      </c>
      <c r="H645" t="s">
        <v>2324</v>
      </c>
      <c r="J645" t="s">
        <v>1000</v>
      </c>
      <c r="K645" t="s">
        <v>1051</v>
      </c>
      <c r="L645" t="s">
        <v>446</v>
      </c>
      <c r="Q645" t="b">
        <v>1</v>
      </c>
      <c r="R645" t="b">
        <v>0</v>
      </c>
      <c r="T645" t="s">
        <v>446</v>
      </c>
      <c r="U645" t="s">
        <v>1039</v>
      </c>
      <c r="V645" t="s">
        <v>1002</v>
      </c>
      <c r="W645" t="s">
        <v>1040</v>
      </c>
      <c r="X645" t="s">
        <v>2325</v>
      </c>
    </row>
    <row r="646" spans="1:24" x14ac:dyDescent="0.25">
      <c r="A646" t="s">
        <v>44</v>
      </c>
      <c r="B646" t="s">
        <v>1176</v>
      </c>
      <c r="C646" t="s">
        <v>458</v>
      </c>
      <c r="E646" t="s">
        <v>1009</v>
      </c>
      <c r="F646">
        <v>1256</v>
      </c>
      <c r="G646" t="s">
        <v>2294</v>
      </c>
      <c r="H646" t="s">
        <v>2324</v>
      </c>
      <c r="J646" t="s">
        <v>1000</v>
      </c>
      <c r="K646" t="s">
        <v>1060</v>
      </c>
      <c r="L646" t="s">
        <v>446</v>
      </c>
      <c r="Q646" t="b">
        <v>1</v>
      </c>
      <c r="R646" t="b">
        <v>0</v>
      </c>
      <c r="T646" t="s">
        <v>446</v>
      </c>
      <c r="U646" t="s">
        <v>1039</v>
      </c>
      <c r="V646" t="s">
        <v>1002</v>
      </c>
      <c r="W646" t="s">
        <v>1040</v>
      </c>
      <c r="X646" t="s">
        <v>446</v>
      </c>
    </row>
    <row r="647" spans="1:24" x14ac:dyDescent="0.25">
      <c r="A647" t="s">
        <v>44</v>
      </c>
      <c r="B647" t="s">
        <v>1179</v>
      </c>
      <c r="C647" t="s">
        <v>458</v>
      </c>
      <c r="E647" t="s">
        <v>1011</v>
      </c>
      <c r="F647">
        <v>2140</v>
      </c>
      <c r="G647" t="s">
        <v>2294</v>
      </c>
      <c r="H647" t="s">
        <v>2324</v>
      </c>
      <c r="J647" t="s">
        <v>1000</v>
      </c>
      <c r="K647" t="s">
        <v>1070</v>
      </c>
      <c r="L647" t="s">
        <v>446</v>
      </c>
      <c r="Q647" t="b">
        <v>1</v>
      </c>
      <c r="R647" t="b">
        <v>0</v>
      </c>
      <c r="T647" t="s">
        <v>446</v>
      </c>
      <c r="U647" t="s">
        <v>1039</v>
      </c>
      <c r="V647" t="s">
        <v>1002</v>
      </c>
      <c r="W647" t="s">
        <v>1040</v>
      </c>
      <c r="X647" t="s">
        <v>2325</v>
      </c>
    </row>
    <row r="648" spans="1:24" x14ac:dyDescent="0.25">
      <c r="A648" t="s">
        <v>44</v>
      </c>
      <c r="B648" t="s">
        <v>1181</v>
      </c>
      <c r="C648" t="s">
        <v>458</v>
      </c>
      <c r="E648" t="s">
        <v>1013</v>
      </c>
      <c r="F648">
        <v>6800</v>
      </c>
      <c r="G648" t="s">
        <v>2294</v>
      </c>
      <c r="H648" t="s">
        <v>2324</v>
      </c>
      <c r="J648" t="s">
        <v>1000</v>
      </c>
      <c r="K648" t="s">
        <v>1077</v>
      </c>
      <c r="L648" t="s">
        <v>446</v>
      </c>
      <c r="Q648" t="b">
        <v>1</v>
      </c>
      <c r="R648" t="b">
        <v>0</v>
      </c>
      <c r="T648" t="s">
        <v>446</v>
      </c>
      <c r="U648" t="s">
        <v>1039</v>
      </c>
      <c r="V648" t="s">
        <v>1002</v>
      </c>
      <c r="W648" t="s">
        <v>1040</v>
      </c>
      <c r="X648" t="s">
        <v>2325</v>
      </c>
    </row>
    <row r="649" spans="1:24" x14ac:dyDescent="0.25">
      <c r="A649" t="s">
        <v>44</v>
      </c>
      <c r="B649" t="s">
        <v>1183</v>
      </c>
      <c r="C649" t="s">
        <v>458</v>
      </c>
      <c r="E649" t="s">
        <v>1015</v>
      </c>
      <c r="F649">
        <v>10417</v>
      </c>
      <c r="G649" t="s">
        <v>2294</v>
      </c>
      <c r="H649" t="s">
        <v>2324</v>
      </c>
      <c r="J649" t="s">
        <v>1000</v>
      </c>
      <c r="K649" t="s">
        <v>1084</v>
      </c>
      <c r="L649" t="s">
        <v>446</v>
      </c>
      <c r="Q649" t="b">
        <v>1</v>
      </c>
      <c r="R649" t="b">
        <v>0</v>
      </c>
      <c r="T649" t="s">
        <v>446</v>
      </c>
      <c r="U649" t="s">
        <v>1039</v>
      </c>
      <c r="V649" t="s">
        <v>1002</v>
      </c>
      <c r="W649" t="s">
        <v>1040</v>
      </c>
      <c r="X649" t="s">
        <v>2325</v>
      </c>
    </row>
    <row r="650" spans="1:24" x14ac:dyDescent="0.25">
      <c r="A650" t="s">
        <v>44</v>
      </c>
      <c r="B650" t="s">
        <v>1185</v>
      </c>
      <c r="C650" t="s">
        <v>458</v>
      </c>
      <c r="E650" t="s">
        <v>1017</v>
      </c>
      <c r="F650">
        <v>13614</v>
      </c>
      <c r="G650" t="s">
        <v>2294</v>
      </c>
      <c r="H650" t="s">
        <v>2324</v>
      </c>
      <c r="J650" t="s">
        <v>1000</v>
      </c>
      <c r="K650" t="s">
        <v>1091</v>
      </c>
      <c r="L650" t="s">
        <v>446</v>
      </c>
      <c r="Q650" t="b">
        <v>1</v>
      </c>
      <c r="R650" t="b">
        <v>0</v>
      </c>
      <c r="T650" t="s">
        <v>446</v>
      </c>
      <c r="U650" t="s">
        <v>1039</v>
      </c>
      <c r="V650" t="s">
        <v>1002</v>
      </c>
      <c r="W650" t="s">
        <v>1040</v>
      </c>
      <c r="X650" t="s">
        <v>446</v>
      </c>
    </row>
    <row r="651" spans="1:24" x14ac:dyDescent="0.25">
      <c r="A651" t="s">
        <v>44</v>
      </c>
      <c r="B651" t="s">
        <v>1187</v>
      </c>
      <c r="C651" t="s">
        <v>458</v>
      </c>
      <c r="E651" t="s">
        <v>1019</v>
      </c>
      <c r="F651">
        <v>16909</v>
      </c>
      <c r="G651" t="s">
        <v>2294</v>
      </c>
      <c r="H651" t="s">
        <v>2324</v>
      </c>
      <c r="J651" t="s">
        <v>1000</v>
      </c>
      <c r="K651" t="s">
        <v>1097</v>
      </c>
      <c r="L651" t="s">
        <v>446</v>
      </c>
      <c r="Q651" t="b">
        <v>1</v>
      </c>
      <c r="R651" t="b">
        <v>0</v>
      </c>
      <c r="T651" t="s">
        <v>446</v>
      </c>
      <c r="U651" t="s">
        <v>1039</v>
      </c>
      <c r="V651" t="s">
        <v>1002</v>
      </c>
      <c r="W651" t="s">
        <v>1040</v>
      </c>
      <c r="X651" t="s">
        <v>2325</v>
      </c>
    </row>
    <row r="652" spans="1:24" x14ac:dyDescent="0.25">
      <c r="A652" t="s">
        <v>44</v>
      </c>
      <c r="B652" t="s">
        <v>1189</v>
      </c>
      <c r="C652" t="s">
        <v>458</v>
      </c>
      <c r="E652" t="s">
        <v>1021</v>
      </c>
      <c r="F652">
        <v>18642</v>
      </c>
      <c r="G652" t="s">
        <v>2294</v>
      </c>
      <c r="H652" t="s">
        <v>2324</v>
      </c>
      <c r="J652" t="s">
        <v>1000</v>
      </c>
      <c r="K652" t="s">
        <v>1105</v>
      </c>
      <c r="L652" t="s">
        <v>446</v>
      </c>
      <c r="Q652" t="b">
        <v>1</v>
      </c>
      <c r="R652" t="b">
        <v>0</v>
      </c>
      <c r="T652" t="s">
        <v>446</v>
      </c>
      <c r="U652" t="s">
        <v>1039</v>
      </c>
      <c r="V652" t="s">
        <v>1002</v>
      </c>
      <c r="W652" t="s">
        <v>1040</v>
      </c>
      <c r="X652" t="s">
        <v>2325</v>
      </c>
    </row>
    <row r="653" spans="1:24" x14ac:dyDescent="0.25">
      <c r="A653" t="s">
        <v>44</v>
      </c>
      <c r="B653" t="s">
        <v>1191</v>
      </c>
      <c r="C653" t="s">
        <v>458</v>
      </c>
      <c r="E653" t="s">
        <v>1023</v>
      </c>
      <c r="F653">
        <v>21869</v>
      </c>
      <c r="G653" t="s">
        <v>2294</v>
      </c>
      <c r="H653" t="s">
        <v>2324</v>
      </c>
      <c r="J653" t="s">
        <v>1000</v>
      </c>
      <c r="K653" t="s">
        <v>1112</v>
      </c>
      <c r="L653" t="s">
        <v>446</v>
      </c>
      <c r="Q653" t="b">
        <v>1</v>
      </c>
      <c r="R653" t="b">
        <v>0</v>
      </c>
      <c r="T653" t="s">
        <v>446</v>
      </c>
      <c r="U653" t="s">
        <v>1039</v>
      </c>
      <c r="V653" t="s">
        <v>1002</v>
      </c>
      <c r="W653" t="s">
        <v>1040</v>
      </c>
      <c r="X653" t="s">
        <v>2325</v>
      </c>
    </row>
    <row r="654" spans="1:24" x14ac:dyDescent="0.25">
      <c r="A654" t="s">
        <v>44</v>
      </c>
      <c r="B654" t="s">
        <v>1193</v>
      </c>
      <c r="C654" t="s">
        <v>458</v>
      </c>
      <c r="E654" t="s">
        <v>1025</v>
      </c>
      <c r="F654">
        <v>24034</v>
      </c>
      <c r="G654" t="s">
        <v>2294</v>
      </c>
      <c r="H654" t="s">
        <v>2324</v>
      </c>
      <c r="J654" t="s">
        <v>1000</v>
      </c>
      <c r="K654" t="s">
        <v>1119</v>
      </c>
      <c r="L654" t="s">
        <v>446</v>
      </c>
      <c r="Q654" t="b">
        <v>1</v>
      </c>
      <c r="R654" t="b">
        <v>0</v>
      </c>
      <c r="T654" t="s">
        <v>446</v>
      </c>
      <c r="U654" t="s">
        <v>1039</v>
      </c>
      <c r="V654" t="s">
        <v>1002</v>
      </c>
      <c r="W654" t="s">
        <v>1040</v>
      </c>
      <c r="X654" t="s">
        <v>446</v>
      </c>
    </row>
    <row r="655" spans="1:24" x14ac:dyDescent="0.25">
      <c r="A655" t="s">
        <v>44</v>
      </c>
      <c r="B655" t="s">
        <v>1195</v>
      </c>
      <c r="C655" t="s">
        <v>458</v>
      </c>
      <c r="E655" t="s">
        <v>1027</v>
      </c>
      <c r="F655">
        <v>21638</v>
      </c>
      <c r="G655" t="s">
        <v>2294</v>
      </c>
      <c r="H655" t="s">
        <v>2324</v>
      </c>
      <c r="J655" t="s">
        <v>1000</v>
      </c>
      <c r="K655" t="s">
        <v>1125</v>
      </c>
      <c r="L655" t="s">
        <v>446</v>
      </c>
      <c r="Q655" t="b">
        <v>1</v>
      </c>
      <c r="R655" t="b">
        <v>0</v>
      </c>
      <c r="T655" t="s">
        <v>446</v>
      </c>
      <c r="U655" t="s">
        <v>1039</v>
      </c>
      <c r="V655" t="s">
        <v>1002</v>
      </c>
      <c r="W655" t="s">
        <v>1040</v>
      </c>
      <c r="X655" t="s">
        <v>2325</v>
      </c>
    </row>
    <row r="656" spans="1:24" x14ac:dyDescent="0.25">
      <c r="A656" t="s">
        <v>44</v>
      </c>
      <c r="B656" t="s">
        <v>1197</v>
      </c>
      <c r="C656" t="s">
        <v>458</v>
      </c>
      <c r="E656" t="s">
        <v>1131</v>
      </c>
      <c r="F656">
        <v>28440</v>
      </c>
      <c r="G656" t="s">
        <v>2294</v>
      </c>
      <c r="H656" t="s">
        <v>2324</v>
      </c>
      <c r="J656" t="s">
        <v>1000</v>
      </c>
      <c r="K656" t="s">
        <v>1133</v>
      </c>
      <c r="L656" t="s">
        <v>446</v>
      </c>
      <c r="Q656" t="b">
        <v>1</v>
      </c>
      <c r="R656" t="b">
        <v>0</v>
      </c>
      <c r="T656" t="s">
        <v>446</v>
      </c>
      <c r="U656" t="s">
        <v>1039</v>
      </c>
      <c r="V656" t="s">
        <v>1002</v>
      </c>
      <c r="W656" t="s">
        <v>1040</v>
      </c>
      <c r="X656" t="s">
        <v>2325</v>
      </c>
    </row>
    <row r="657" spans="1:24" x14ac:dyDescent="0.25">
      <c r="A657" t="s">
        <v>42</v>
      </c>
      <c r="B657" t="s">
        <v>2326</v>
      </c>
      <c r="C657" t="s">
        <v>268</v>
      </c>
      <c r="E657" t="s">
        <v>998</v>
      </c>
      <c r="F657">
        <v>8288</v>
      </c>
      <c r="G657" t="s">
        <v>2294</v>
      </c>
      <c r="H657" t="s">
        <v>2327</v>
      </c>
      <c r="J657" t="s">
        <v>1000</v>
      </c>
      <c r="K657" t="s">
        <v>1032</v>
      </c>
      <c r="L657" t="s">
        <v>446</v>
      </c>
      <c r="Q657" t="b">
        <v>1</v>
      </c>
      <c r="R657" t="b">
        <v>0</v>
      </c>
      <c r="T657" t="s">
        <v>446</v>
      </c>
      <c r="U657" t="s">
        <v>1066</v>
      </c>
      <c r="V657" t="s">
        <v>1002</v>
      </c>
      <c r="W657" t="s">
        <v>1040</v>
      </c>
      <c r="X657" t="s">
        <v>446</v>
      </c>
    </row>
    <row r="658" spans="1:24" x14ac:dyDescent="0.25">
      <c r="A658" t="s">
        <v>42</v>
      </c>
      <c r="B658" t="s">
        <v>2328</v>
      </c>
      <c r="C658" t="s">
        <v>268</v>
      </c>
      <c r="E658" t="s">
        <v>1005</v>
      </c>
      <c r="F658">
        <v>6704</v>
      </c>
      <c r="G658" t="s">
        <v>2294</v>
      </c>
      <c r="H658" t="s">
        <v>2327</v>
      </c>
      <c r="J658" t="s">
        <v>1000</v>
      </c>
      <c r="K658" t="s">
        <v>1044</v>
      </c>
      <c r="L658" t="s">
        <v>446</v>
      </c>
      <c r="Q658" t="b">
        <v>1</v>
      </c>
      <c r="R658" t="b">
        <v>0</v>
      </c>
      <c r="T658" t="s">
        <v>446</v>
      </c>
      <c r="U658" t="s">
        <v>1066</v>
      </c>
      <c r="V658" t="s">
        <v>1002</v>
      </c>
      <c r="W658" t="s">
        <v>1040</v>
      </c>
      <c r="X658" t="s">
        <v>446</v>
      </c>
    </row>
    <row r="659" spans="1:24" x14ac:dyDescent="0.25">
      <c r="A659" t="s">
        <v>42</v>
      </c>
      <c r="B659" t="s">
        <v>2329</v>
      </c>
      <c r="C659" t="s">
        <v>268</v>
      </c>
      <c r="E659" t="s">
        <v>1007</v>
      </c>
      <c r="F659">
        <v>5931</v>
      </c>
      <c r="G659" t="s">
        <v>2294</v>
      </c>
      <c r="H659" t="s">
        <v>2327</v>
      </c>
      <c r="J659" t="s">
        <v>1000</v>
      </c>
      <c r="K659" t="s">
        <v>1051</v>
      </c>
      <c r="L659" t="s">
        <v>446</v>
      </c>
      <c r="Q659" t="b">
        <v>1</v>
      </c>
      <c r="R659" t="b">
        <v>0</v>
      </c>
      <c r="T659" t="s">
        <v>446</v>
      </c>
      <c r="U659" t="s">
        <v>1066</v>
      </c>
      <c r="V659" t="s">
        <v>1002</v>
      </c>
      <c r="W659" t="s">
        <v>1040</v>
      </c>
      <c r="X659" t="s">
        <v>446</v>
      </c>
    </row>
    <row r="660" spans="1:24" x14ac:dyDescent="0.25">
      <c r="A660" t="s">
        <v>42</v>
      </c>
      <c r="B660" t="s">
        <v>2330</v>
      </c>
      <c r="C660" t="s">
        <v>268</v>
      </c>
      <c r="E660" t="s">
        <v>1009</v>
      </c>
      <c r="F660">
        <v>6051</v>
      </c>
      <c r="G660" t="s">
        <v>2294</v>
      </c>
      <c r="H660" t="s">
        <v>2327</v>
      </c>
      <c r="J660" t="s">
        <v>1000</v>
      </c>
      <c r="K660" t="s">
        <v>1060</v>
      </c>
      <c r="L660" t="s">
        <v>446</v>
      </c>
      <c r="Q660" t="b">
        <v>1</v>
      </c>
      <c r="R660" t="b">
        <v>0</v>
      </c>
      <c r="T660" t="s">
        <v>446</v>
      </c>
      <c r="U660" t="s">
        <v>1066</v>
      </c>
      <c r="V660" t="s">
        <v>1002</v>
      </c>
      <c r="W660" t="s">
        <v>1040</v>
      </c>
      <c r="X660" t="s">
        <v>446</v>
      </c>
    </row>
    <row r="661" spans="1:24" x14ac:dyDescent="0.25">
      <c r="A661" t="s">
        <v>42</v>
      </c>
      <c r="B661" t="s">
        <v>2331</v>
      </c>
      <c r="C661" t="s">
        <v>268</v>
      </c>
      <c r="E661" t="s">
        <v>2332</v>
      </c>
      <c r="F661">
        <v>26974</v>
      </c>
      <c r="G661" t="s">
        <v>2294</v>
      </c>
      <c r="H661" t="s">
        <v>2327</v>
      </c>
      <c r="J661" t="s">
        <v>1000</v>
      </c>
      <c r="K661" t="s">
        <v>1060</v>
      </c>
      <c r="L661" t="s">
        <v>446</v>
      </c>
      <c r="Q661" t="b">
        <v>1</v>
      </c>
      <c r="R661" t="b">
        <v>0</v>
      </c>
      <c r="T661" t="s">
        <v>446</v>
      </c>
      <c r="U661" t="s">
        <v>1066</v>
      </c>
      <c r="V661" t="s">
        <v>1002</v>
      </c>
      <c r="W661" t="s">
        <v>1040</v>
      </c>
      <c r="X661" t="s">
        <v>446</v>
      </c>
    </row>
    <row r="662" spans="1:24" x14ac:dyDescent="0.25">
      <c r="A662" t="s">
        <v>42</v>
      </c>
      <c r="B662" t="s">
        <v>2333</v>
      </c>
      <c r="C662" t="s">
        <v>268</v>
      </c>
      <c r="E662" t="s">
        <v>1011</v>
      </c>
      <c r="F662">
        <v>7192</v>
      </c>
      <c r="G662" t="s">
        <v>2294</v>
      </c>
      <c r="H662" t="s">
        <v>2327</v>
      </c>
      <c r="J662" t="s">
        <v>1000</v>
      </c>
      <c r="K662" t="s">
        <v>1070</v>
      </c>
      <c r="L662" t="s">
        <v>446</v>
      </c>
      <c r="Q662" t="b">
        <v>1</v>
      </c>
      <c r="R662" t="b">
        <v>0</v>
      </c>
      <c r="T662" t="s">
        <v>446</v>
      </c>
      <c r="U662" t="s">
        <v>1066</v>
      </c>
      <c r="V662" t="s">
        <v>1002</v>
      </c>
      <c r="W662" t="s">
        <v>1040</v>
      </c>
      <c r="X662" t="s">
        <v>446</v>
      </c>
    </row>
    <row r="663" spans="1:24" x14ac:dyDescent="0.25">
      <c r="A663" t="s">
        <v>42</v>
      </c>
      <c r="B663" t="s">
        <v>2334</v>
      </c>
      <c r="C663" t="s">
        <v>268</v>
      </c>
      <c r="E663" t="s">
        <v>1013</v>
      </c>
      <c r="F663">
        <v>13507</v>
      </c>
      <c r="G663" t="s">
        <v>2294</v>
      </c>
      <c r="H663" t="s">
        <v>2327</v>
      </c>
      <c r="J663" t="s">
        <v>1000</v>
      </c>
      <c r="K663" t="s">
        <v>1077</v>
      </c>
      <c r="L663" t="s">
        <v>446</v>
      </c>
      <c r="Q663" t="b">
        <v>1</v>
      </c>
      <c r="R663" t="b">
        <v>0</v>
      </c>
      <c r="T663" t="s">
        <v>446</v>
      </c>
      <c r="U663" t="s">
        <v>1066</v>
      </c>
      <c r="V663" t="s">
        <v>1002</v>
      </c>
      <c r="W663" t="s">
        <v>1040</v>
      </c>
      <c r="X663" t="s">
        <v>446</v>
      </c>
    </row>
    <row r="664" spans="1:24" x14ac:dyDescent="0.25">
      <c r="A664" t="s">
        <v>42</v>
      </c>
      <c r="B664" t="s">
        <v>2335</v>
      </c>
      <c r="C664" t="s">
        <v>268</v>
      </c>
      <c r="E664" t="s">
        <v>1015</v>
      </c>
      <c r="F664">
        <v>18120</v>
      </c>
      <c r="G664" t="s">
        <v>2294</v>
      </c>
      <c r="H664" t="s">
        <v>2327</v>
      </c>
      <c r="J664" t="s">
        <v>1000</v>
      </c>
      <c r="K664" t="s">
        <v>1084</v>
      </c>
      <c r="L664" t="s">
        <v>446</v>
      </c>
      <c r="Q664" t="b">
        <v>1</v>
      </c>
      <c r="R664" t="b">
        <v>0</v>
      </c>
      <c r="T664" t="s">
        <v>446</v>
      </c>
      <c r="U664" t="s">
        <v>1066</v>
      </c>
      <c r="V664" t="s">
        <v>1002</v>
      </c>
      <c r="W664" t="s">
        <v>1040</v>
      </c>
      <c r="X664" t="s">
        <v>446</v>
      </c>
    </row>
    <row r="665" spans="1:24" x14ac:dyDescent="0.25">
      <c r="A665" t="s">
        <v>42</v>
      </c>
      <c r="B665" t="s">
        <v>2336</v>
      </c>
      <c r="C665" t="s">
        <v>268</v>
      </c>
      <c r="E665" t="s">
        <v>1017</v>
      </c>
      <c r="F665">
        <v>22103</v>
      </c>
      <c r="G665" t="s">
        <v>2294</v>
      </c>
      <c r="H665" t="s">
        <v>2327</v>
      </c>
      <c r="J665" t="s">
        <v>1000</v>
      </c>
      <c r="K665" t="s">
        <v>1091</v>
      </c>
      <c r="L665" t="s">
        <v>446</v>
      </c>
      <c r="Q665" t="b">
        <v>1</v>
      </c>
      <c r="R665" t="b">
        <v>0</v>
      </c>
      <c r="T665" t="s">
        <v>446</v>
      </c>
      <c r="U665" t="s">
        <v>1066</v>
      </c>
      <c r="V665" t="s">
        <v>1002</v>
      </c>
      <c r="W665" t="s">
        <v>1040</v>
      </c>
      <c r="X665" t="s">
        <v>446</v>
      </c>
    </row>
    <row r="666" spans="1:24" x14ac:dyDescent="0.25">
      <c r="A666" t="s">
        <v>42</v>
      </c>
      <c r="B666" t="s">
        <v>2337</v>
      </c>
      <c r="C666" t="s">
        <v>268</v>
      </c>
      <c r="E666" t="s">
        <v>2338</v>
      </c>
      <c r="F666">
        <v>60922</v>
      </c>
      <c r="G666" t="s">
        <v>2294</v>
      </c>
      <c r="H666" t="s">
        <v>2327</v>
      </c>
      <c r="J666" t="s">
        <v>1000</v>
      </c>
      <c r="K666" t="s">
        <v>1091</v>
      </c>
      <c r="L666" t="s">
        <v>446</v>
      </c>
      <c r="Q666" t="b">
        <v>1</v>
      </c>
      <c r="R666" t="b">
        <v>0</v>
      </c>
      <c r="T666" t="s">
        <v>446</v>
      </c>
      <c r="U666" t="s">
        <v>1066</v>
      </c>
      <c r="V666" t="s">
        <v>1002</v>
      </c>
      <c r="W666" t="s">
        <v>1040</v>
      </c>
      <c r="X666" t="s">
        <v>446</v>
      </c>
    </row>
    <row r="667" spans="1:24" x14ac:dyDescent="0.25">
      <c r="A667" t="s">
        <v>42</v>
      </c>
      <c r="B667" t="s">
        <v>2339</v>
      </c>
      <c r="C667" t="s">
        <v>268</v>
      </c>
      <c r="E667" t="s">
        <v>1019</v>
      </c>
      <c r="F667">
        <v>26044</v>
      </c>
      <c r="G667" t="s">
        <v>2294</v>
      </c>
      <c r="H667" t="s">
        <v>2327</v>
      </c>
      <c r="J667" t="s">
        <v>1000</v>
      </c>
      <c r="K667" t="s">
        <v>1097</v>
      </c>
      <c r="L667" t="s">
        <v>446</v>
      </c>
      <c r="Q667" t="b">
        <v>1</v>
      </c>
      <c r="R667" t="b">
        <v>0</v>
      </c>
      <c r="T667" t="s">
        <v>446</v>
      </c>
      <c r="U667" t="s">
        <v>1066</v>
      </c>
      <c r="V667" t="s">
        <v>1002</v>
      </c>
      <c r="W667" t="s">
        <v>1040</v>
      </c>
      <c r="X667" t="s">
        <v>446</v>
      </c>
    </row>
    <row r="668" spans="1:24" x14ac:dyDescent="0.25">
      <c r="A668" t="s">
        <v>42</v>
      </c>
      <c r="B668" t="s">
        <v>2340</v>
      </c>
      <c r="C668" t="s">
        <v>268</v>
      </c>
      <c r="E668" t="s">
        <v>1021</v>
      </c>
      <c r="F668">
        <v>30040</v>
      </c>
      <c r="G668" t="s">
        <v>2294</v>
      </c>
      <c r="H668" t="s">
        <v>2327</v>
      </c>
      <c r="J668" t="s">
        <v>1000</v>
      </c>
      <c r="K668" t="s">
        <v>1105</v>
      </c>
      <c r="L668" t="s">
        <v>446</v>
      </c>
      <c r="Q668" t="b">
        <v>1</v>
      </c>
      <c r="R668" t="b">
        <v>0</v>
      </c>
      <c r="T668" t="s">
        <v>446</v>
      </c>
      <c r="U668" t="s">
        <v>1066</v>
      </c>
      <c r="V668" t="s">
        <v>1002</v>
      </c>
      <c r="W668" t="s">
        <v>1040</v>
      </c>
      <c r="X668" t="s">
        <v>446</v>
      </c>
    </row>
    <row r="669" spans="1:24" x14ac:dyDescent="0.25">
      <c r="A669" t="s">
        <v>42</v>
      </c>
      <c r="B669" t="s">
        <v>2341</v>
      </c>
      <c r="C669" t="s">
        <v>268</v>
      </c>
      <c r="E669" t="s">
        <v>1023</v>
      </c>
      <c r="F669">
        <v>35082</v>
      </c>
      <c r="G669" t="s">
        <v>2294</v>
      </c>
      <c r="H669" t="s">
        <v>2327</v>
      </c>
      <c r="J669" t="s">
        <v>1000</v>
      </c>
      <c r="K669" t="s">
        <v>1112</v>
      </c>
      <c r="L669" t="s">
        <v>446</v>
      </c>
      <c r="Q669" t="b">
        <v>1</v>
      </c>
      <c r="R669" t="b">
        <v>0</v>
      </c>
      <c r="T669" t="s">
        <v>446</v>
      </c>
      <c r="U669" t="s">
        <v>1066</v>
      </c>
      <c r="V669" t="s">
        <v>1002</v>
      </c>
      <c r="W669" t="s">
        <v>1040</v>
      </c>
      <c r="X669" t="s">
        <v>446</v>
      </c>
    </row>
    <row r="670" spans="1:24" x14ac:dyDescent="0.25">
      <c r="A670" t="s">
        <v>42</v>
      </c>
      <c r="B670" t="s">
        <v>2342</v>
      </c>
      <c r="C670" t="s">
        <v>268</v>
      </c>
      <c r="E670" t="s">
        <v>1025</v>
      </c>
      <c r="F670">
        <v>39331</v>
      </c>
      <c r="G670" t="s">
        <v>2294</v>
      </c>
      <c r="H670" t="s">
        <v>2327</v>
      </c>
      <c r="J670" t="s">
        <v>1000</v>
      </c>
      <c r="K670" t="s">
        <v>1119</v>
      </c>
      <c r="L670" t="s">
        <v>446</v>
      </c>
      <c r="Q670" t="b">
        <v>1</v>
      </c>
      <c r="R670" t="b">
        <v>0</v>
      </c>
      <c r="T670" t="s">
        <v>446</v>
      </c>
      <c r="U670" t="s">
        <v>1066</v>
      </c>
      <c r="V670" t="s">
        <v>1002</v>
      </c>
      <c r="W670" t="s">
        <v>1040</v>
      </c>
      <c r="X670" t="s">
        <v>446</v>
      </c>
    </row>
    <row r="671" spans="1:24" x14ac:dyDescent="0.25">
      <c r="A671" t="s">
        <v>42</v>
      </c>
      <c r="B671" t="s">
        <v>2343</v>
      </c>
      <c r="C671" t="s">
        <v>268</v>
      </c>
      <c r="E671" t="s">
        <v>2344</v>
      </c>
      <c r="F671">
        <v>130497</v>
      </c>
      <c r="G671" t="s">
        <v>2294</v>
      </c>
      <c r="H671" t="s">
        <v>2327</v>
      </c>
      <c r="J671" t="s">
        <v>1000</v>
      </c>
      <c r="K671" t="s">
        <v>1119</v>
      </c>
      <c r="L671" t="s">
        <v>446</v>
      </c>
      <c r="Q671" t="b">
        <v>1</v>
      </c>
      <c r="R671" t="b">
        <v>0</v>
      </c>
      <c r="T671" t="s">
        <v>446</v>
      </c>
      <c r="U671" t="s">
        <v>1066</v>
      </c>
      <c r="V671" t="s">
        <v>1002</v>
      </c>
      <c r="W671" t="s">
        <v>1040</v>
      </c>
      <c r="X671" t="s">
        <v>446</v>
      </c>
    </row>
    <row r="672" spans="1:24" x14ac:dyDescent="0.25">
      <c r="A672" t="s">
        <v>42</v>
      </c>
      <c r="B672" t="s">
        <v>2345</v>
      </c>
      <c r="C672" t="s">
        <v>268</v>
      </c>
      <c r="E672" t="s">
        <v>1027</v>
      </c>
      <c r="F672">
        <v>44062</v>
      </c>
      <c r="G672" t="s">
        <v>2294</v>
      </c>
      <c r="H672" t="s">
        <v>2327</v>
      </c>
      <c r="J672" t="s">
        <v>1000</v>
      </c>
      <c r="K672" t="s">
        <v>1125</v>
      </c>
      <c r="L672" t="s">
        <v>446</v>
      </c>
      <c r="Q672" t="b">
        <v>1</v>
      </c>
      <c r="R672" t="b">
        <v>0</v>
      </c>
      <c r="T672" t="s">
        <v>446</v>
      </c>
      <c r="U672" t="s">
        <v>1066</v>
      </c>
      <c r="V672" t="s">
        <v>1002</v>
      </c>
      <c r="W672" t="s">
        <v>1040</v>
      </c>
      <c r="X672" t="s">
        <v>446</v>
      </c>
    </row>
    <row r="673" spans="1:24" x14ac:dyDescent="0.25">
      <c r="A673" t="s">
        <v>42</v>
      </c>
      <c r="B673" t="s">
        <v>2346</v>
      </c>
      <c r="C673" t="s">
        <v>268</v>
      </c>
      <c r="E673" t="s">
        <v>1131</v>
      </c>
      <c r="F673">
        <v>46743</v>
      </c>
      <c r="G673" t="s">
        <v>2294</v>
      </c>
      <c r="H673" t="s">
        <v>2327</v>
      </c>
      <c r="J673" t="s">
        <v>1000</v>
      </c>
      <c r="K673" t="s">
        <v>1133</v>
      </c>
      <c r="L673" t="s">
        <v>446</v>
      </c>
      <c r="Q673" t="b">
        <v>1</v>
      </c>
      <c r="R673" t="b">
        <v>0</v>
      </c>
      <c r="T673" t="s">
        <v>446</v>
      </c>
      <c r="U673" t="s">
        <v>1066</v>
      </c>
      <c r="V673" t="s">
        <v>1002</v>
      </c>
      <c r="W673" t="s">
        <v>1040</v>
      </c>
      <c r="X673" t="s">
        <v>446</v>
      </c>
    </row>
    <row r="674" spans="1:24" x14ac:dyDescent="0.25">
      <c r="A674" t="s">
        <v>42</v>
      </c>
      <c r="B674" t="s">
        <v>1725</v>
      </c>
      <c r="C674" t="s">
        <v>343</v>
      </c>
      <c r="E674" t="s">
        <v>998</v>
      </c>
      <c r="F674">
        <v>690</v>
      </c>
      <c r="G674" t="s">
        <v>2294</v>
      </c>
      <c r="H674" t="s">
        <v>492</v>
      </c>
      <c r="J674" t="s">
        <v>1422</v>
      </c>
      <c r="K674" t="s">
        <v>1032</v>
      </c>
      <c r="L674" t="s">
        <v>446</v>
      </c>
      <c r="Q674" t="b">
        <v>1</v>
      </c>
      <c r="R674" t="b">
        <v>0</v>
      </c>
      <c r="T674" t="s">
        <v>446</v>
      </c>
      <c r="U674" t="s">
        <v>2347</v>
      </c>
      <c r="V674" t="s">
        <v>1067</v>
      </c>
      <c r="W674" t="s">
        <v>1040</v>
      </c>
      <c r="X674" t="s">
        <v>446</v>
      </c>
    </row>
    <row r="675" spans="1:24" x14ac:dyDescent="0.25">
      <c r="A675" t="s">
        <v>42</v>
      </c>
      <c r="B675" t="s">
        <v>1729</v>
      </c>
      <c r="C675" t="s">
        <v>343</v>
      </c>
      <c r="E675" t="s">
        <v>1005</v>
      </c>
      <c r="F675">
        <v>653</v>
      </c>
      <c r="G675" t="s">
        <v>2294</v>
      </c>
      <c r="H675" t="s">
        <v>492</v>
      </c>
      <c r="J675" t="s">
        <v>1422</v>
      </c>
      <c r="K675" t="s">
        <v>1044</v>
      </c>
      <c r="L675" t="s">
        <v>446</v>
      </c>
      <c r="Q675" t="b">
        <v>1</v>
      </c>
      <c r="R675" t="b">
        <v>0</v>
      </c>
      <c r="T675" t="s">
        <v>446</v>
      </c>
      <c r="U675" t="s">
        <v>2347</v>
      </c>
      <c r="V675" t="s">
        <v>1067</v>
      </c>
      <c r="W675" t="s">
        <v>1040</v>
      </c>
      <c r="X675" t="s">
        <v>446</v>
      </c>
    </row>
    <row r="676" spans="1:24" x14ac:dyDescent="0.25">
      <c r="A676" t="s">
        <v>42</v>
      </c>
      <c r="B676" t="s">
        <v>1731</v>
      </c>
      <c r="C676" t="s">
        <v>343</v>
      </c>
      <c r="E676" t="s">
        <v>1007</v>
      </c>
      <c r="F676">
        <v>885</v>
      </c>
      <c r="G676" t="s">
        <v>2294</v>
      </c>
      <c r="H676" t="s">
        <v>492</v>
      </c>
      <c r="J676" t="s">
        <v>1422</v>
      </c>
      <c r="K676" t="s">
        <v>1051</v>
      </c>
      <c r="L676" t="s">
        <v>446</v>
      </c>
      <c r="Q676" t="b">
        <v>1</v>
      </c>
      <c r="R676" t="b">
        <v>0</v>
      </c>
      <c r="T676" t="s">
        <v>446</v>
      </c>
      <c r="U676" t="s">
        <v>2347</v>
      </c>
      <c r="V676" t="s">
        <v>1067</v>
      </c>
      <c r="W676" t="s">
        <v>1040</v>
      </c>
      <c r="X676" t="s">
        <v>446</v>
      </c>
    </row>
    <row r="677" spans="1:24" x14ac:dyDescent="0.25">
      <c r="A677" t="s">
        <v>42</v>
      </c>
      <c r="B677" t="s">
        <v>1733</v>
      </c>
      <c r="C677" t="s">
        <v>343</v>
      </c>
      <c r="E677" t="s">
        <v>1009</v>
      </c>
      <c r="F677">
        <v>946</v>
      </c>
      <c r="G677" t="s">
        <v>2294</v>
      </c>
      <c r="H677" t="s">
        <v>492</v>
      </c>
      <c r="J677" t="s">
        <v>1422</v>
      </c>
      <c r="K677" t="s">
        <v>1060</v>
      </c>
      <c r="L677" t="s">
        <v>446</v>
      </c>
      <c r="Q677" t="b">
        <v>1</v>
      </c>
      <c r="R677" t="b">
        <v>0</v>
      </c>
      <c r="T677" t="s">
        <v>446</v>
      </c>
      <c r="U677" t="s">
        <v>2347</v>
      </c>
      <c r="V677" t="s">
        <v>1067</v>
      </c>
      <c r="W677" t="s">
        <v>1040</v>
      </c>
      <c r="X677" t="s">
        <v>446</v>
      </c>
    </row>
    <row r="678" spans="1:24" x14ac:dyDescent="0.25">
      <c r="A678" t="s">
        <v>42</v>
      </c>
      <c r="B678" t="s">
        <v>1735</v>
      </c>
      <c r="C678" t="s">
        <v>343</v>
      </c>
      <c r="E678" t="s">
        <v>1011</v>
      </c>
      <c r="F678">
        <v>-2607</v>
      </c>
      <c r="G678" t="s">
        <v>2294</v>
      </c>
      <c r="H678" t="s">
        <v>492</v>
      </c>
      <c r="J678" t="s">
        <v>1422</v>
      </c>
      <c r="K678" t="s">
        <v>1070</v>
      </c>
      <c r="L678" t="s">
        <v>446</v>
      </c>
      <c r="Q678" t="b">
        <v>1</v>
      </c>
      <c r="R678" t="b">
        <v>0</v>
      </c>
      <c r="T678" t="s">
        <v>446</v>
      </c>
      <c r="U678" t="s">
        <v>2347</v>
      </c>
      <c r="V678" t="s">
        <v>1067</v>
      </c>
      <c r="W678" t="s">
        <v>1040</v>
      </c>
      <c r="X678" t="s">
        <v>446</v>
      </c>
    </row>
    <row r="679" spans="1:24" x14ac:dyDescent="0.25">
      <c r="A679" t="s">
        <v>42</v>
      </c>
      <c r="B679" t="s">
        <v>1737</v>
      </c>
      <c r="C679" t="s">
        <v>343</v>
      </c>
      <c r="E679" t="s">
        <v>1013</v>
      </c>
      <c r="F679">
        <v>-2370</v>
      </c>
      <c r="G679" t="s">
        <v>2294</v>
      </c>
      <c r="H679" t="s">
        <v>492</v>
      </c>
      <c r="J679" t="s">
        <v>1422</v>
      </c>
      <c r="K679" t="s">
        <v>1077</v>
      </c>
      <c r="L679" t="s">
        <v>446</v>
      </c>
      <c r="Q679" t="b">
        <v>1</v>
      </c>
      <c r="R679" t="b">
        <v>0</v>
      </c>
      <c r="T679" t="s">
        <v>446</v>
      </c>
      <c r="U679" t="s">
        <v>2347</v>
      </c>
      <c r="V679" t="s">
        <v>1067</v>
      </c>
      <c r="W679" t="s">
        <v>1040</v>
      </c>
      <c r="X679" t="s">
        <v>446</v>
      </c>
    </row>
    <row r="680" spans="1:24" x14ac:dyDescent="0.25">
      <c r="A680" t="s">
        <v>42</v>
      </c>
      <c r="B680" t="s">
        <v>1739</v>
      </c>
      <c r="C680" t="s">
        <v>343</v>
      </c>
      <c r="E680" t="s">
        <v>1015</v>
      </c>
      <c r="F680">
        <v>-2194</v>
      </c>
      <c r="G680" t="s">
        <v>2294</v>
      </c>
      <c r="H680" t="s">
        <v>492</v>
      </c>
      <c r="J680" t="s">
        <v>1422</v>
      </c>
      <c r="K680" t="s">
        <v>1084</v>
      </c>
      <c r="L680" t="s">
        <v>446</v>
      </c>
      <c r="Q680" t="b">
        <v>1</v>
      </c>
      <c r="R680" t="b">
        <v>0</v>
      </c>
      <c r="T680" t="s">
        <v>446</v>
      </c>
      <c r="U680" t="s">
        <v>2347</v>
      </c>
      <c r="V680" t="s">
        <v>1067</v>
      </c>
      <c r="W680" t="s">
        <v>1040</v>
      </c>
      <c r="X680" t="s">
        <v>446</v>
      </c>
    </row>
    <row r="681" spans="1:24" x14ac:dyDescent="0.25">
      <c r="A681" t="s">
        <v>42</v>
      </c>
      <c r="B681" t="s">
        <v>1741</v>
      </c>
      <c r="C681" t="s">
        <v>343</v>
      </c>
      <c r="E681" t="s">
        <v>1017</v>
      </c>
      <c r="F681">
        <v>-1587</v>
      </c>
      <c r="G681" t="s">
        <v>2294</v>
      </c>
      <c r="H681" t="s">
        <v>492</v>
      </c>
      <c r="J681" t="s">
        <v>1422</v>
      </c>
      <c r="K681" t="s">
        <v>1091</v>
      </c>
      <c r="L681" t="s">
        <v>446</v>
      </c>
      <c r="Q681" t="b">
        <v>1</v>
      </c>
      <c r="R681" t="b">
        <v>0</v>
      </c>
      <c r="T681" t="s">
        <v>446</v>
      </c>
      <c r="U681" t="s">
        <v>2347</v>
      </c>
      <c r="V681" t="s">
        <v>1067</v>
      </c>
      <c r="W681" t="s">
        <v>1040</v>
      </c>
      <c r="X681" t="s">
        <v>446</v>
      </c>
    </row>
    <row r="682" spans="1:24" x14ac:dyDescent="0.25">
      <c r="A682" t="s">
        <v>42</v>
      </c>
      <c r="B682" t="s">
        <v>1841</v>
      </c>
      <c r="C682" t="s">
        <v>348</v>
      </c>
      <c r="E682" t="s">
        <v>1019</v>
      </c>
      <c r="F682">
        <v>3664</v>
      </c>
      <c r="G682" t="s">
        <v>2294</v>
      </c>
      <c r="H682" t="s">
        <v>492</v>
      </c>
      <c r="J682" t="s">
        <v>1422</v>
      </c>
      <c r="K682" t="s">
        <v>1097</v>
      </c>
      <c r="L682" t="s">
        <v>446</v>
      </c>
      <c r="Q682" t="b">
        <v>1</v>
      </c>
      <c r="R682" t="b">
        <v>0</v>
      </c>
      <c r="T682" t="s">
        <v>446</v>
      </c>
      <c r="U682" t="s">
        <v>2347</v>
      </c>
      <c r="V682" t="s">
        <v>1067</v>
      </c>
      <c r="W682" t="s">
        <v>1040</v>
      </c>
      <c r="X682" t="s">
        <v>446</v>
      </c>
    </row>
    <row r="683" spans="1:24" x14ac:dyDescent="0.25">
      <c r="A683" t="s">
        <v>42</v>
      </c>
      <c r="B683" t="s">
        <v>1843</v>
      </c>
      <c r="C683" t="s">
        <v>348</v>
      </c>
      <c r="E683" t="s">
        <v>1021</v>
      </c>
      <c r="F683">
        <v>3943</v>
      </c>
      <c r="G683" t="s">
        <v>2294</v>
      </c>
      <c r="H683" t="s">
        <v>492</v>
      </c>
      <c r="J683" t="s">
        <v>1422</v>
      </c>
      <c r="K683" t="s">
        <v>1105</v>
      </c>
      <c r="L683" t="s">
        <v>446</v>
      </c>
      <c r="Q683" t="b">
        <v>1</v>
      </c>
      <c r="R683" t="b">
        <v>0</v>
      </c>
      <c r="T683" t="s">
        <v>446</v>
      </c>
      <c r="U683" t="s">
        <v>2347</v>
      </c>
      <c r="V683" t="s">
        <v>1067</v>
      </c>
      <c r="W683" t="s">
        <v>1040</v>
      </c>
      <c r="X683" t="s">
        <v>446</v>
      </c>
    </row>
    <row r="684" spans="1:24" x14ac:dyDescent="0.25">
      <c r="A684" t="s">
        <v>42</v>
      </c>
      <c r="B684" t="s">
        <v>1845</v>
      </c>
      <c r="C684" t="s">
        <v>348</v>
      </c>
      <c r="E684" t="s">
        <v>1023</v>
      </c>
      <c r="F684">
        <v>4383</v>
      </c>
      <c r="G684" t="s">
        <v>2294</v>
      </c>
      <c r="H684" t="s">
        <v>492</v>
      </c>
      <c r="J684" t="s">
        <v>1422</v>
      </c>
      <c r="K684" t="s">
        <v>1112</v>
      </c>
      <c r="L684" t="s">
        <v>446</v>
      </c>
      <c r="Q684" t="b">
        <v>1</v>
      </c>
      <c r="R684" t="b">
        <v>0</v>
      </c>
      <c r="T684" t="s">
        <v>446</v>
      </c>
      <c r="U684" t="s">
        <v>2347</v>
      </c>
      <c r="V684" t="s">
        <v>1067</v>
      </c>
      <c r="W684" t="s">
        <v>1040</v>
      </c>
      <c r="X684" t="s">
        <v>446</v>
      </c>
    </row>
    <row r="685" spans="1:24" x14ac:dyDescent="0.25">
      <c r="A685" t="s">
        <v>42</v>
      </c>
      <c r="B685" t="s">
        <v>1847</v>
      </c>
      <c r="C685" t="s">
        <v>348</v>
      </c>
      <c r="E685" t="s">
        <v>1025</v>
      </c>
      <c r="F685">
        <v>4878</v>
      </c>
      <c r="G685" t="s">
        <v>2294</v>
      </c>
      <c r="H685" t="s">
        <v>492</v>
      </c>
      <c r="J685" t="s">
        <v>1422</v>
      </c>
      <c r="K685" t="s">
        <v>1119</v>
      </c>
      <c r="L685" t="s">
        <v>446</v>
      </c>
      <c r="Q685" t="b">
        <v>1</v>
      </c>
      <c r="R685" t="b">
        <v>0</v>
      </c>
      <c r="T685" t="s">
        <v>446</v>
      </c>
      <c r="U685" t="s">
        <v>2347</v>
      </c>
      <c r="V685" t="s">
        <v>1067</v>
      </c>
      <c r="W685" t="s">
        <v>1040</v>
      </c>
      <c r="X685" t="s">
        <v>446</v>
      </c>
    </row>
    <row r="686" spans="1:24" x14ac:dyDescent="0.25">
      <c r="A686" t="s">
        <v>42</v>
      </c>
      <c r="B686" t="s">
        <v>1751</v>
      </c>
      <c r="C686" t="s">
        <v>343</v>
      </c>
      <c r="E686" t="s">
        <v>1027</v>
      </c>
      <c r="F686">
        <v>440</v>
      </c>
      <c r="G686" t="s">
        <v>2294</v>
      </c>
      <c r="H686" t="s">
        <v>492</v>
      </c>
      <c r="J686" t="s">
        <v>1422</v>
      </c>
      <c r="K686" t="s">
        <v>1125</v>
      </c>
      <c r="L686" t="s">
        <v>446</v>
      </c>
      <c r="Q686" t="b">
        <v>1</v>
      </c>
      <c r="R686" t="b">
        <v>0</v>
      </c>
      <c r="T686" t="s">
        <v>446</v>
      </c>
      <c r="U686" t="s">
        <v>2347</v>
      </c>
      <c r="V686" t="s">
        <v>1067</v>
      </c>
      <c r="W686" t="s">
        <v>1040</v>
      </c>
      <c r="X686" t="s">
        <v>446</v>
      </c>
    </row>
    <row r="687" spans="1:24" x14ac:dyDescent="0.25">
      <c r="A687" t="s">
        <v>42</v>
      </c>
      <c r="B687" t="s">
        <v>1753</v>
      </c>
      <c r="C687" t="s">
        <v>343</v>
      </c>
      <c r="E687" t="s">
        <v>1131</v>
      </c>
      <c r="F687">
        <v>1567</v>
      </c>
      <c r="G687" t="s">
        <v>2294</v>
      </c>
      <c r="H687" t="s">
        <v>492</v>
      </c>
      <c r="J687" t="s">
        <v>1422</v>
      </c>
      <c r="K687" t="s">
        <v>1133</v>
      </c>
      <c r="L687" t="s">
        <v>446</v>
      </c>
      <c r="Q687" t="b">
        <v>1</v>
      </c>
      <c r="R687" t="b">
        <v>0</v>
      </c>
      <c r="T687" t="s">
        <v>446</v>
      </c>
      <c r="U687" t="s">
        <v>2347</v>
      </c>
      <c r="V687" t="s">
        <v>1067</v>
      </c>
      <c r="W687" t="s">
        <v>1040</v>
      </c>
      <c r="X687" t="s">
        <v>446</v>
      </c>
    </row>
    <row r="688" spans="1:24" x14ac:dyDescent="0.25">
      <c r="A688" t="s">
        <v>42</v>
      </c>
      <c r="B688" t="s">
        <v>2348</v>
      </c>
      <c r="C688" t="s">
        <v>270</v>
      </c>
      <c r="E688" t="s">
        <v>2344</v>
      </c>
      <c r="F688">
        <v>97858</v>
      </c>
      <c r="G688" t="s">
        <v>2294</v>
      </c>
      <c r="H688" t="s">
        <v>2349</v>
      </c>
      <c r="J688" t="s">
        <v>1000</v>
      </c>
      <c r="K688" t="s">
        <v>1119</v>
      </c>
      <c r="L688" t="s">
        <v>446</v>
      </c>
      <c r="Q688" t="b">
        <v>1</v>
      </c>
      <c r="R688" t="b">
        <v>0</v>
      </c>
      <c r="T688" t="s">
        <v>446</v>
      </c>
      <c r="U688" t="s">
        <v>1102</v>
      </c>
      <c r="V688" t="s">
        <v>1002</v>
      </c>
      <c r="W688" t="s">
        <v>1040</v>
      </c>
      <c r="X688" t="s">
        <v>2350</v>
      </c>
    </row>
    <row r="689" spans="1:24" x14ac:dyDescent="0.25">
      <c r="A689" t="s">
        <v>42</v>
      </c>
      <c r="B689" t="s">
        <v>2216</v>
      </c>
      <c r="C689" t="s">
        <v>275</v>
      </c>
      <c r="E689" t="s">
        <v>998</v>
      </c>
      <c r="F689">
        <v>1868</v>
      </c>
      <c r="G689" t="s">
        <v>2294</v>
      </c>
      <c r="H689" t="s">
        <v>2324</v>
      </c>
      <c r="J689" t="s">
        <v>1000</v>
      </c>
      <c r="K689" t="s">
        <v>1032</v>
      </c>
      <c r="L689" t="s">
        <v>446</v>
      </c>
      <c r="Q689" t="b">
        <v>1</v>
      </c>
      <c r="R689" t="b">
        <v>0</v>
      </c>
      <c r="T689" t="s">
        <v>446</v>
      </c>
      <c r="U689" t="s">
        <v>1102</v>
      </c>
      <c r="V689" t="s">
        <v>1002</v>
      </c>
      <c r="W689" t="s">
        <v>1040</v>
      </c>
      <c r="X689" t="s">
        <v>2351</v>
      </c>
    </row>
    <row r="690" spans="1:24" x14ac:dyDescent="0.25">
      <c r="A690" t="s">
        <v>42</v>
      </c>
      <c r="B690" t="s">
        <v>2220</v>
      </c>
      <c r="C690" t="s">
        <v>275</v>
      </c>
      <c r="E690" t="s">
        <v>1005</v>
      </c>
      <c r="F690">
        <v>499</v>
      </c>
      <c r="G690" t="s">
        <v>2294</v>
      </c>
      <c r="H690" t="s">
        <v>2324</v>
      </c>
      <c r="J690" t="s">
        <v>1000</v>
      </c>
      <c r="K690" t="s">
        <v>1044</v>
      </c>
      <c r="L690" t="s">
        <v>446</v>
      </c>
      <c r="Q690" t="b">
        <v>1</v>
      </c>
      <c r="R690" t="b">
        <v>0</v>
      </c>
      <c r="T690" t="s">
        <v>446</v>
      </c>
      <c r="U690" t="s">
        <v>1102</v>
      </c>
      <c r="V690" t="s">
        <v>1002</v>
      </c>
      <c r="W690" t="s">
        <v>1040</v>
      </c>
      <c r="X690" t="s">
        <v>2351</v>
      </c>
    </row>
    <row r="691" spans="1:24" x14ac:dyDescent="0.25">
      <c r="A691" t="s">
        <v>42</v>
      </c>
      <c r="B691" t="s">
        <v>2222</v>
      </c>
      <c r="C691" t="s">
        <v>275</v>
      </c>
      <c r="E691" t="s">
        <v>1007</v>
      </c>
      <c r="F691">
        <v>601</v>
      </c>
      <c r="G691" t="s">
        <v>2294</v>
      </c>
      <c r="H691" t="s">
        <v>2324</v>
      </c>
      <c r="J691" t="s">
        <v>1000</v>
      </c>
      <c r="K691" t="s">
        <v>1051</v>
      </c>
      <c r="L691" t="s">
        <v>446</v>
      </c>
      <c r="Q691" t="b">
        <v>1</v>
      </c>
      <c r="R691" t="b">
        <v>0</v>
      </c>
      <c r="T691" t="s">
        <v>446</v>
      </c>
      <c r="U691" t="s">
        <v>1102</v>
      </c>
      <c r="V691" t="s">
        <v>1002</v>
      </c>
      <c r="W691" t="s">
        <v>1040</v>
      </c>
      <c r="X691" t="s">
        <v>2351</v>
      </c>
    </row>
    <row r="692" spans="1:24" x14ac:dyDescent="0.25">
      <c r="A692" t="s">
        <v>42</v>
      </c>
      <c r="B692" t="s">
        <v>2224</v>
      </c>
      <c r="C692" t="s">
        <v>275</v>
      </c>
      <c r="E692" t="s">
        <v>1009</v>
      </c>
      <c r="F692">
        <v>1256</v>
      </c>
      <c r="G692" t="s">
        <v>2294</v>
      </c>
      <c r="H692" t="s">
        <v>2324</v>
      </c>
      <c r="J692" t="s">
        <v>1000</v>
      </c>
      <c r="K692" t="s">
        <v>1060</v>
      </c>
      <c r="L692" t="s">
        <v>446</v>
      </c>
      <c r="Q692" t="b">
        <v>1</v>
      </c>
      <c r="R692" t="b">
        <v>0</v>
      </c>
      <c r="T692" t="s">
        <v>446</v>
      </c>
      <c r="U692" t="s">
        <v>1102</v>
      </c>
      <c r="V692" t="s">
        <v>1002</v>
      </c>
      <c r="W692" t="s">
        <v>1040</v>
      </c>
      <c r="X692" t="s">
        <v>446</v>
      </c>
    </row>
    <row r="693" spans="1:24" x14ac:dyDescent="0.25">
      <c r="A693" t="s">
        <v>42</v>
      </c>
      <c r="B693" t="s">
        <v>2352</v>
      </c>
      <c r="C693" t="s">
        <v>275</v>
      </c>
      <c r="E693" t="s">
        <v>2332</v>
      </c>
      <c r="F693">
        <v>4224</v>
      </c>
      <c r="G693" t="s">
        <v>2294</v>
      </c>
      <c r="H693" t="s">
        <v>2324</v>
      </c>
      <c r="J693" t="s">
        <v>1000</v>
      </c>
      <c r="K693" t="s">
        <v>1060</v>
      </c>
      <c r="L693" t="s">
        <v>446</v>
      </c>
      <c r="Q693" t="b">
        <v>1</v>
      </c>
      <c r="R693" t="b">
        <v>0</v>
      </c>
      <c r="T693" t="s">
        <v>446</v>
      </c>
      <c r="U693" t="s">
        <v>1102</v>
      </c>
      <c r="V693" t="s">
        <v>1002</v>
      </c>
      <c r="W693" t="s">
        <v>1040</v>
      </c>
      <c r="X693" t="s">
        <v>2351</v>
      </c>
    </row>
    <row r="694" spans="1:24" x14ac:dyDescent="0.25">
      <c r="A694" t="s">
        <v>42</v>
      </c>
      <c r="B694" t="s">
        <v>2226</v>
      </c>
      <c r="C694" t="s">
        <v>275</v>
      </c>
      <c r="E694" t="s">
        <v>1011</v>
      </c>
      <c r="F694">
        <v>2140</v>
      </c>
      <c r="G694" t="s">
        <v>2294</v>
      </c>
      <c r="H694" t="s">
        <v>2324</v>
      </c>
      <c r="J694" t="s">
        <v>1000</v>
      </c>
      <c r="K694" t="s">
        <v>1070</v>
      </c>
      <c r="L694" t="s">
        <v>446</v>
      </c>
      <c r="Q694" t="b">
        <v>1</v>
      </c>
      <c r="R694" t="b">
        <v>0</v>
      </c>
      <c r="T694" t="s">
        <v>446</v>
      </c>
      <c r="U694" t="s">
        <v>1102</v>
      </c>
      <c r="V694" t="s">
        <v>1002</v>
      </c>
      <c r="W694" t="s">
        <v>1040</v>
      </c>
      <c r="X694" t="s">
        <v>2351</v>
      </c>
    </row>
    <row r="695" spans="1:24" x14ac:dyDescent="0.25">
      <c r="A695" t="s">
        <v>42</v>
      </c>
      <c r="B695" t="s">
        <v>2228</v>
      </c>
      <c r="C695" t="s">
        <v>275</v>
      </c>
      <c r="E695" t="s">
        <v>1013</v>
      </c>
      <c r="F695">
        <v>6800</v>
      </c>
      <c r="G695" t="s">
        <v>2294</v>
      </c>
      <c r="H695" t="s">
        <v>2324</v>
      </c>
      <c r="J695" t="s">
        <v>1000</v>
      </c>
      <c r="K695" t="s">
        <v>1077</v>
      </c>
      <c r="L695" t="s">
        <v>446</v>
      </c>
      <c r="Q695" t="b">
        <v>1</v>
      </c>
      <c r="R695" t="b">
        <v>0</v>
      </c>
      <c r="T695" t="s">
        <v>446</v>
      </c>
      <c r="U695" t="s">
        <v>1102</v>
      </c>
      <c r="V695" t="s">
        <v>1002</v>
      </c>
      <c r="W695" t="s">
        <v>1040</v>
      </c>
      <c r="X695" t="s">
        <v>2351</v>
      </c>
    </row>
    <row r="696" spans="1:24" x14ac:dyDescent="0.25">
      <c r="A696" t="s">
        <v>42</v>
      </c>
      <c r="B696" t="s">
        <v>2230</v>
      </c>
      <c r="C696" t="s">
        <v>275</v>
      </c>
      <c r="E696" t="s">
        <v>1015</v>
      </c>
      <c r="F696">
        <v>10417</v>
      </c>
      <c r="G696" t="s">
        <v>2294</v>
      </c>
      <c r="H696" t="s">
        <v>2324</v>
      </c>
      <c r="J696" t="s">
        <v>1000</v>
      </c>
      <c r="K696" t="s">
        <v>1084</v>
      </c>
      <c r="L696" t="s">
        <v>446</v>
      </c>
      <c r="Q696" t="b">
        <v>1</v>
      </c>
      <c r="R696" t="b">
        <v>0</v>
      </c>
      <c r="T696" t="s">
        <v>446</v>
      </c>
      <c r="U696" t="s">
        <v>1102</v>
      </c>
      <c r="V696" t="s">
        <v>1002</v>
      </c>
      <c r="W696" t="s">
        <v>1040</v>
      </c>
      <c r="X696" t="s">
        <v>2351</v>
      </c>
    </row>
    <row r="697" spans="1:24" x14ac:dyDescent="0.25">
      <c r="A697" t="s">
        <v>42</v>
      </c>
      <c r="B697" t="s">
        <v>2232</v>
      </c>
      <c r="C697" t="s">
        <v>275</v>
      </c>
      <c r="E697" t="s">
        <v>1017</v>
      </c>
      <c r="F697">
        <v>13614</v>
      </c>
      <c r="G697" t="s">
        <v>2294</v>
      </c>
      <c r="H697" t="s">
        <v>2324</v>
      </c>
      <c r="J697" t="s">
        <v>1000</v>
      </c>
      <c r="K697" t="s">
        <v>1091</v>
      </c>
      <c r="L697" t="s">
        <v>446</v>
      </c>
      <c r="Q697" t="b">
        <v>1</v>
      </c>
      <c r="R697" t="b">
        <v>0</v>
      </c>
      <c r="T697" t="s">
        <v>446</v>
      </c>
      <c r="U697" t="s">
        <v>1102</v>
      </c>
      <c r="V697" t="s">
        <v>1002</v>
      </c>
      <c r="W697" t="s">
        <v>1040</v>
      </c>
      <c r="X697" t="s">
        <v>446</v>
      </c>
    </row>
    <row r="698" spans="1:24" x14ac:dyDescent="0.25">
      <c r="A698" t="s">
        <v>42</v>
      </c>
      <c r="B698" t="s">
        <v>2353</v>
      </c>
      <c r="C698" t="s">
        <v>275</v>
      </c>
      <c r="E698" t="s">
        <v>2338</v>
      </c>
      <c r="F698">
        <v>32972</v>
      </c>
      <c r="G698" t="s">
        <v>2294</v>
      </c>
      <c r="H698" t="s">
        <v>2324</v>
      </c>
      <c r="J698" t="s">
        <v>1000</v>
      </c>
      <c r="K698" t="s">
        <v>1091</v>
      </c>
      <c r="L698" t="s">
        <v>446</v>
      </c>
      <c r="Q698" t="b">
        <v>1</v>
      </c>
      <c r="R698" t="b">
        <v>0</v>
      </c>
      <c r="T698" t="s">
        <v>446</v>
      </c>
      <c r="U698" t="s">
        <v>1102</v>
      </c>
      <c r="V698" t="s">
        <v>1002</v>
      </c>
      <c r="W698" t="s">
        <v>1040</v>
      </c>
      <c r="X698" t="s">
        <v>2351</v>
      </c>
    </row>
    <row r="699" spans="1:24" x14ac:dyDescent="0.25">
      <c r="A699" t="s">
        <v>42</v>
      </c>
      <c r="B699" t="s">
        <v>2234</v>
      </c>
      <c r="C699" t="s">
        <v>275</v>
      </c>
      <c r="E699" t="s">
        <v>1019</v>
      </c>
      <c r="F699">
        <v>16909</v>
      </c>
      <c r="G699" t="s">
        <v>2294</v>
      </c>
      <c r="H699" t="s">
        <v>2324</v>
      </c>
      <c r="J699" t="s">
        <v>1000</v>
      </c>
      <c r="K699" t="s">
        <v>1097</v>
      </c>
      <c r="L699" t="s">
        <v>446</v>
      </c>
      <c r="Q699" t="b">
        <v>1</v>
      </c>
      <c r="R699" t="b">
        <v>0</v>
      </c>
      <c r="T699" t="s">
        <v>446</v>
      </c>
      <c r="U699" t="s">
        <v>1102</v>
      </c>
      <c r="V699" t="s">
        <v>1002</v>
      </c>
      <c r="W699" t="s">
        <v>1040</v>
      </c>
      <c r="X699" t="s">
        <v>2351</v>
      </c>
    </row>
    <row r="700" spans="1:24" x14ac:dyDescent="0.25">
      <c r="A700" t="s">
        <v>42</v>
      </c>
      <c r="B700" t="s">
        <v>2236</v>
      </c>
      <c r="C700" t="s">
        <v>275</v>
      </c>
      <c r="E700" t="s">
        <v>1021</v>
      </c>
      <c r="F700">
        <v>18642</v>
      </c>
      <c r="G700" t="s">
        <v>2294</v>
      </c>
      <c r="H700" t="s">
        <v>2324</v>
      </c>
      <c r="J700" t="s">
        <v>1000</v>
      </c>
      <c r="K700" t="s">
        <v>1105</v>
      </c>
      <c r="L700" t="s">
        <v>446</v>
      </c>
      <c r="Q700" t="b">
        <v>1</v>
      </c>
      <c r="R700" t="b">
        <v>0</v>
      </c>
      <c r="T700" t="s">
        <v>446</v>
      </c>
      <c r="U700" t="s">
        <v>1102</v>
      </c>
      <c r="V700" t="s">
        <v>1002</v>
      </c>
      <c r="W700" t="s">
        <v>1040</v>
      </c>
      <c r="X700" t="s">
        <v>2351</v>
      </c>
    </row>
    <row r="701" spans="1:24" x14ac:dyDescent="0.25">
      <c r="A701" t="s">
        <v>42</v>
      </c>
      <c r="B701" t="s">
        <v>2238</v>
      </c>
      <c r="C701" t="s">
        <v>275</v>
      </c>
      <c r="E701" t="s">
        <v>1023</v>
      </c>
      <c r="F701">
        <v>21869</v>
      </c>
      <c r="G701" t="s">
        <v>2294</v>
      </c>
      <c r="H701" t="s">
        <v>2324</v>
      </c>
      <c r="J701" t="s">
        <v>1000</v>
      </c>
      <c r="K701" t="s">
        <v>1112</v>
      </c>
      <c r="L701" t="s">
        <v>446</v>
      </c>
      <c r="Q701" t="b">
        <v>1</v>
      </c>
      <c r="R701" t="b">
        <v>0</v>
      </c>
      <c r="T701" t="s">
        <v>446</v>
      </c>
      <c r="U701" t="s">
        <v>1102</v>
      </c>
      <c r="V701" t="s">
        <v>1002</v>
      </c>
      <c r="W701" t="s">
        <v>1040</v>
      </c>
      <c r="X701" t="s">
        <v>2351</v>
      </c>
    </row>
    <row r="702" spans="1:24" x14ac:dyDescent="0.25">
      <c r="A702" t="s">
        <v>42</v>
      </c>
      <c r="B702" t="s">
        <v>2240</v>
      </c>
      <c r="C702" t="s">
        <v>275</v>
      </c>
      <c r="E702" t="s">
        <v>1025</v>
      </c>
      <c r="F702">
        <v>24034</v>
      </c>
      <c r="G702" t="s">
        <v>2294</v>
      </c>
      <c r="H702" t="s">
        <v>2324</v>
      </c>
      <c r="J702" t="s">
        <v>1000</v>
      </c>
      <c r="K702" t="s">
        <v>1119</v>
      </c>
      <c r="L702" t="s">
        <v>446</v>
      </c>
      <c r="Q702" t="b">
        <v>1</v>
      </c>
      <c r="R702" t="b">
        <v>0</v>
      </c>
      <c r="T702" t="s">
        <v>446</v>
      </c>
      <c r="U702" t="s">
        <v>1102</v>
      </c>
      <c r="V702" t="s">
        <v>1002</v>
      </c>
      <c r="W702" t="s">
        <v>1040</v>
      </c>
      <c r="X702" t="s">
        <v>446</v>
      </c>
    </row>
    <row r="703" spans="1:24" x14ac:dyDescent="0.25">
      <c r="A703" t="s">
        <v>42</v>
      </c>
      <c r="B703" t="s">
        <v>2354</v>
      </c>
      <c r="C703" t="s">
        <v>275</v>
      </c>
      <c r="E703" t="s">
        <v>2344</v>
      </c>
      <c r="F703">
        <v>81453</v>
      </c>
      <c r="G703" t="s">
        <v>2294</v>
      </c>
      <c r="H703" t="s">
        <v>2324</v>
      </c>
      <c r="J703" t="s">
        <v>1000</v>
      </c>
      <c r="K703" t="s">
        <v>1119</v>
      </c>
      <c r="L703" t="s">
        <v>446</v>
      </c>
      <c r="Q703" t="b">
        <v>1</v>
      </c>
      <c r="R703" t="b">
        <v>0</v>
      </c>
      <c r="T703" t="s">
        <v>446</v>
      </c>
      <c r="U703" t="s">
        <v>1102</v>
      </c>
      <c r="V703" t="s">
        <v>1002</v>
      </c>
      <c r="W703" t="s">
        <v>1040</v>
      </c>
      <c r="X703" t="s">
        <v>2351</v>
      </c>
    </row>
    <row r="704" spans="1:24" x14ac:dyDescent="0.25">
      <c r="A704" t="s">
        <v>42</v>
      </c>
      <c r="B704" t="s">
        <v>2242</v>
      </c>
      <c r="C704" t="s">
        <v>275</v>
      </c>
      <c r="E704" t="s">
        <v>1027</v>
      </c>
      <c r="F704">
        <v>21638</v>
      </c>
      <c r="G704" t="s">
        <v>2294</v>
      </c>
      <c r="H704" t="s">
        <v>2324</v>
      </c>
      <c r="J704" t="s">
        <v>1000</v>
      </c>
      <c r="K704" t="s">
        <v>1125</v>
      </c>
      <c r="L704" t="s">
        <v>446</v>
      </c>
      <c r="Q704" t="b">
        <v>1</v>
      </c>
      <c r="R704" t="b">
        <v>0</v>
      </c>
      <c r="T704" t="s">
        <v>446</v>
      </c>
      <c r="U704" t="s">
        <v>1102</v>
      </c>
      <c r="V704" t="s">
        <v>1002</v>
      </c>
      <c r="W704" t="s">
        <v>1040</v>
      </c>
      <c r="X704" t="s">
        <v>2351</v>
      </c>
    </row>
    <row r="705" spans="1:24" x14ac:dyDescent="0.25">
      <c r="A705" t="s">
        <v>42</v>
      </c>
      <c r="B705" t="s">
        <v>2243</v>
      </c>
      <c r="C705" t="s">
        <v>275</v>
      </c>
      <c r="E705" t="s">
        <v>1131</v>
      </c>
      <c r="F705">
        <v>28440</v>
      </c>
      <c r="G705" t="s">
        <v>2294</v>
      </c>
      <c r="H705" t="s">
        <v>2324</v>
      </c>
      <c r="J705" t="s">
        <v>1000</v>
      </c>
      <c r="K705" t="s">
        <v>1133</v>
      </c>
      <c r="L705" t="s">
        <v>446</v>
      </c>
      <c r="Q705" t="b">
        <v>1</v>
      </c>
      <c r="R705" t="b">
        <v>0</v>
      </c>
      <c r="T705" t="s">
        <v>446</v>
      </c>
      <c r="U705" t="s">
        <v>1102</v>
      </c>
      <c r="V705" t="s">
        <v>1002</v>
      </c>
      <c r="W705" t="s">
        <v>1040</v>
      </c>
      <c r="X705" t="s">
        <v>2351</v>
      </c>
    </row>
    <row r="706" spans="1:24" x14ac:dyDescent="0.25">
      <c r="A706" t="s">
        <v>42</v>
      </c>
      <c r="B706" t="s">
        <v>2355</v>
      </c>
      <c r="C706" t="s">
        <v>280</v>
      </c>
      <c r="E706" t="s">
        <v>998</v>
      </c>
      <c r="F706">
        <v>1805</v>
      </c>
      <c r="G706" t="s">
        <v>2294</v>
      </c>
      <c r="H706" t="s">
        <v>2356</v>
      </c>
      <c r="J706" t="s">
        <v>1000</v>
      </c>
      <c r="K706" t="s">
        <v>1032</v>
      </c>
      <c r="L706" t="s">
        <v>446</v>
      </c>
      <c r="Q706" t="b">
        <v>1</v>
      </c>
      <c r="R706" t="b">
        <v>0</v>
      </c>
      <c r="T706" t="s">
        <v>446</v>
      </c>
      <c r="U706" t="s">
        <v>1102</v>
      </c>
      <c r="V706" t="s">
        <v>1002</v>
      </c>
      <c r="W706" t="s">
        <v>1040</v>
      </c>
      <c r="X706" t="s">
        <v>2357</v>
      </c>
    </row>
    <row r="707" spans="1:24" x14ac:dyDescent="0.25">
      <c r="A707" t="s">
        <v>42</v>
      </c>
      <c r="B707" t="s">
        <v>2358</v>
      </c>
      <c r="C707" t="s">
        <v>280</v>
      </c>
      <c r="E707" t="s">
        <v>1005</v>
      </c>
      <c r="F707">
        <v>475</v>
      </c>
      <c r="G707" t="s">
        <v>2294</v>
      </c>
      <c r="H707" t="s">
        <v>2356</v>
      </c>
      <c r="J707" t="s">
        <v>1000</v>
      </c>
      <c r="K707" t="s">
        <v>1044</v>
      </c>
      <c r="L707" t="s">
        <v>446</v>
      </c>
      <c r="Q707" t="b">
        <v>1</v>
      </c>
      <c r="R707" t="b">
        <v>0</v>
      </c>
      <c r="T707" t="s">
        <v>446</v>
      </c>
      <c r="U707" t="s">
        <v>1102</v>
      </c>
      <c r="V707" t="s">
        <v>1002</v>
      </c>
      <c r="W707" t="s">
        <v>1040</v>
      </c>
      <c r="X707" t="s">
        <v>2357</v>
      </c>
    </row>
    <row r="708" spans="1:24" x14ac:dyDescent="0.25">
      <c r="A708" t="s">
        <v>42</v>
      </c>
      <c r="B708" t="s">
        <v>2359</v>
      </c>
      <c r="C708" t="s">
        <v>280</v>
      </c>
      <c r="E708" t="s">
        <v>1007</v>
      </c>
      <c r="F708">
        <v>613</v>
      </c>
      <c r="G708" t="s">
        <v>2294</v>
      </c>
      <c r="H708" t="s">
        <v>2356</v>
      </c>
      <c r="J708" t="s">
        <v>1000</v>
      </c>
      <c r="K708" t="s">
        <v>1051</v>
      </c>
      <c r="L708" t="s">
        <v>446</v>
      </c>
      <c r="Q708" t="b">
        <v>1</v>
      </c>
      <c r="R708" t="b">
        <v>0</v>
      </c>
      <c r="T708" t="s">
        <v>446</v>
      </c>
      <c r="U708" t="s">
        <v>1102</v>
      </c>
      <c r="V708" t="s">
        <v>1002</v>
      </c>
      <c r="W708" t="s">
        <v>1040</v>
      </c>
      <c r="X708" t="s">
        <v>2357</v>
      </c>
    </row>
    <row r="709" spans="1:24" x14ac:dyDescent="0.25">
      <c r="A709" t="s">
        <v>42</v>
      </c>
      <c r="B709" t="s">
        <v>2360</v>
      </c>
      <c r="C709" t="s">
        <v>280</v>
      </c>
      <c r="E709" t="s">
        <v>1009</v>
      </c>
      <c r="F709">
        <v>1288</v>
      </c>
      <c r="G709" t="s">
        <v>2294</v>
      </c>
      <c r="H709" t="s">
        <v>2356</v>
      </c>
      <c r="J709" t="s">
        <v>1000</v>
      </c>
      <c r="K709" t="s">
        <v>1060</v>
      </c>
      <c r="L709" t="s">
        <v>446</v>
      </c>
      <c r="Q709" t="b">
        <v>1</v>
      </c>
      <c r="R709" t="b">
        <v>0</v>
      </c>
      <c r="T709" t="s">
        <v>446</v>
      </c>
      <c r="U709" t="s">
        <v>1102</v>
      </c>
      <c r="V709" t="s">
        <v>1002</v>
      </c>
      <c r="W709" t="s">
        <v>1040</v>
      </c>
      <c r="X709" t="s">
        <v>446</v>
      </c>
    </row>
    <row r="710" spans="1:24" x14ac:dyDescent="0.25">
      <c r="A710" t="s">
        <v>42</v>
      </c>
      <c r="B710" t="s">
        <v>2361</v>
      </c>
      <c r="C710" t="s">
        <v>280</v>
      </c>
      <c r="E710" t="s">
        <v>2332</v>
      </c>
      <c r="F710">
        <v>4181</v>
      </c>
      <c r="G710" t="s">
        <v>2294</v>
      </c>
      <c r="H710" t="s">
        <v>2356</v>
      </c>
      <c r="J710" t="s">
        <v>1000</v>
      </c>
      <c r="K710" t="s">
        <v>1060</v>
      </c>
      <c r="L710" t="s">
        <v>446</v>
      </c>
      <c r="Q710" t="b">
        <v>1</v>
      </c>
      <c r="R710" t="b">
        <v>0</v>
      </c>
      <c r="T710" t="s">
        <v>446</v>
      </c>
      <c r="U710" t="s">
        <v>1102</v>
      </c>
      <c r="V710" t="s">
        <v>1002</v>
      </c>
      <c r="W710" t="s">
        <v>1040</v>
      </c>
      <c r="X710" t="s">
        <v>2357</v>
      </c>
    </row>
    <row r="711" spans="1:24" x14ac:dyDescent="0.25">
      <c r="A711" t="s">
        <v>42</v>
      </c>
      <c r="B711" t="s">
        <v>2362</v>
      </c>
      <c r="C711" t="s">
        <v>280</v>
      </c>
      <c r="E711" t="s">
        <v>1011</v>
      </c>
      <c r="F711">
        <v>2209</v>
      </c>
      <c r="G711" t="s">
        <v>2294</v>
      </c>
      <c r="H711" t="s">
        <v>2356</v>
      </c>
      <c r="J711" t="s">
        <v>1000</v>
      </c>
      <c r="K711" t="s">
        <v>1070</v>
      </c>
      <c r="L711" t="s">
        <v>446</v>
      </c>
      <c r="Q711" t="b">
        <v>1</v>
      </c>
      <c r="R711" t="b">
        <v>0</v>
      </c>
      <c r="T711" t="s">
        <v>446</v>
      </c>
      <c r="U711" t="s">
        <v>1102</v>
      </c>
      <c r="V711" t="s">
        <v>1002</v>
      </c>
      <c r="W711" t="s">
        <v>1040</v>
      </c>
      <c r="X711" t="s">
        <v>2357</v>
      </c>
    </row>
    <row r="712" spans="1:24" x14ac:dyDescent="0.25">
      <c r="A712" t="s">
        <v>42</v>
      </c>
      <c r="B712" t="s">
        <v>2363</v>
      </c>
      <c r="C712" t="s">
        <v>280</v>
      </c>
      <c r="E712" t="s">
        <v>1013</v>
      </c>
      <c r="F712">
        <v>6981</v>
      </c>
      <c r="G712" t="s">
        <v>2294</v>
      </c>
      <c r="H712" t="s">
        <v>2356</v>
      </c>
      <c r="J712" t="s">
        <v>1000</v>
      </c>
      <c r="K712" t="s">
        <v>1077</v>
      </c>
      <c r="L712" t="s">
        <v>446</v>
      </c>
      <c r="Q712" t="b">
        <v>1</v>
      </c>
      <c r="R712" t="b">
        <v>0</v>
      </c>
      <c r="T712" t="s">
        <v>446</v>
      </c>
      <c r="U712" t="s">
        <v>1102</v>
      </c>
      <c r="V712" t="s">
        <v>1002</v>
      </c>
      <c r="W712" t="s">
        <v>1040</v>
      </c>
      <c r="X712" t="s">
        <v>2357</v>
      </c>
    </row>
    <row r="713" spans="1:24" x14ac:dyDescent="0.25">
      <c r="A713" t="s">
        <v>42</v>
      </c>
      <c r="B713" t="s">
        <v>2364</v>
      </c>
      <c r="C713" t="s">
        <v>280</v>
      </c>
      <c r="E713" t="s">
        <v>1015</v>
      </c>
      <c r="F713">
        <v>10522</v>
      </c>
      <c r="G713" t="s">
        <v>2294</v>
      </c>
      <c r="H713" t="s">
        <v>2356</v>
      </c>
      <c r="J713" t="s">
        <v>1000</v>
      </c>
      <c r="K713" t="s">
        <v>1084</v>
      </c>
      <c r="L713" t="s">
        <v>446</v>
      </c>
      <c r="Q713" t="b">
        <v>1</v>
      </c>
      <c r="R713" t="b">
        <v>0</v>
      </c>
      <c r="T713" t="s">
        <v>446</v>
      </c>
      <c r="U713" t="s">
        <v>1102</v>
      </c>
      <c r="V713" t="s">
        <v>1002</v>
      </c>
      <c r="W713" t="s">
        <v>1040</v>
      </c>
      <c r="X713" t="s">
        <v>2357</v>
      </c>
    </row>
    <row r="714" spans="1:24" x14ac:dyDescent="0.25">
      <c r="A714" t="s">
        <v>42</v>
      </c>
      <c r="B714" t="s">
        <v>2365</v>
      </c>
      <c r="C714" t="s">
        <v>280</v>
      </c>
      <c r="E714" t="s">
        <v>1017</v>
      </c>
      <c r="F714">
        <v>14106</v>
      </c>
      <c r="G714" t="s">
        <v>2294</v>
      </c>
      <c r="H714" t="s">
        <v>2356</v>
      </c>
      <c r="J714" t="s">
        <v>1000</v>
      </c>
      <c r="K714" t="s">
        <v>1091</v>
      </c>
      <c r="L714" t="s">
        <v>446</v>
      </c>
      <c r="Q714" t="b">
        <v>1</v>
      </c>
      <c r="R714" t="b">
        <v>0</v>
      </c>
      <c r="T714" t="s">
        <v>446</v>
      </c>
      <c r="U714" t="s">
        <v>1102</v>
      </c>
      <c r="V714" t="s">
        <v>1002</v>
      </c>
      <c r="W714" t="s">
        <v>1040</v>
      </c>
      <c r="X714" t="s">
        <v>446</v>
      </c>
    </row>
    <row r="715" spans="1:24" x14ac:dyDescent="0.25">
      <c r="A715" t="s">
        <v>42</v>
      </c>
      <c r="B715" t="s">
        <v>2366</v>
      </c>
      <c r="C715" t="s">
        <v>280</v>
      </c>
      <c r="E715" t="s">
        <v>2338</v>
      </c>
      <c r="F715">
        <v>33818</v>
      </c>
      <c r="G715" t="s">
        <v>2294</v>
      </c>
      <c r="H715" t="s">
        <v>2356</v>
      </c>
      <c r="J715" t="s">
        <v>1000</v>
      </c>
      <c r="K715" t="s">
        <v>1091</v>
      </c>
      <c r="L715" t="s">
        <v>446</v>
      </c>
      <c r="Q715" t="b">
        <v>1</v>
      </c>
      <c r="R715" t="b">
        <v>0</v>
      </c>
      <c r="T715" t="s">
        <v>446</v>
      </c>
      <c r="U715" t="s">
        <v>1102</v>
      </c>
      <c r="V715" t="s">
        <v>1002</v>
      </c>
      <c r="W715" t="s">
        <v>1040</v>
      </c>
      <c r="X715" t="s">
        <v>2357</v>
      </c>
    </row>
    <row r="716" spans="1:24" x14ac:dyDescent="0.25">
      <c r="A716" t="s">
        <v>42</v>
      </c>
      <c r="B716" t="s">
        <v>2367</v>
      </c>
      <c r="C716" t="s">
        <v>280</v>
      </c>
      <c r="E716" t="s">
        <v>1019</v>
      </c>
      <c r="F716">
        <v>17279</v>
      </c>
      <c r="G716" t="s">
        <v>2294</v>
      </c>
      <c r="H716" t="s">
        <v>2356</v>
      </c>
      <c r="J716" t="s">
        <v>1000</v>
      </c>
      <c r="K716" t="s">
        <v>1097</v>
      </c>
      <c r="L716" t="s">
        <v>446</v>
      </c>
      <c r="Q716" t="b">
        <v>1</v>
      </c>
      <c r="R716" t="b">
        <v>0</v>
      </c>
      <c r="T716" t="s">
        <v>446</v>
      </c>
      <c r="U716" t="s">
        <v>1102</v>
      </c>
      <c r="V716" t="s">
        <v>1002</v>
      </c>
      <c r="W716" t="s">
        <v>1040</v>
      </c>
      <c r="X716" t="s">
        <v>2357</v>
      </c>
    </row>
    <row r="717" spans="1:24" x14ac:dyDescent="0.25">
      <c r="A717" t="s">
        <v>42</v>
      </c>
      <c r="B717" t="s">
        <v>2368</v>
      </c>
      <c r="C717" t="s">
        <v>280</v>
      </c>
      <c r="E717" t="s">
        <v>1021</v>
      </c>
      <c r="F717">
        <v>19214</v>
      </c>
      <c r="G717" t="s">
        <v>2294</v>
      </c>
      <c r="H717" t="s">
        <v>2356</v>
      </c>
      <c r="J717" t="s">
        <v>1000</v>
      </c>
      <c r="K717" t="s">
        <v>1105</v>
      </c>
      <c r="L717" t="s">
        <v>446</v>
      </c>
      <c r="Q717" t="b">
        <v>1</v>
      </c>
      <c r="R717" t="b">
        <v>0</v>
      </c>
      <c r="T717" t="s">
        <v>446</v>
      </c>
      <c r="U717" t="s">
        <v>1102</v>
      </c>
      <c r="V717" t="s">
        <v>1002</v>
      </c>
      <c r="W717" t="s">
        <v>1040</v>
      </c>
      <c r="X717" t="s">
        <v>2357</v>
      </c>
    </row>
    <row r="718" spans="1:24" x14ac:dyDescent="0.25">
      <c r="A718" t="s">
        <v>42</v>
      </c>
      <c r="B718" t="s">
        <v>2369</v>
      </c>
      <c r="C718" t="s">
        <v>280</v>
      </c>
      <c r="E718" t="s">
        <v>1023</v>
      </c>
      <c r="F718">
        <v>22316</v>
      </c>
      <c r="G718" t="s">
        <v>2294</v>
      </c>
      <c r="H718" t="s">
        <v>2356</v>
      </c>
      <c r="J718" t="s">
        <v>1000</v>
      </c>
      <c r="K718" t="s">
        <v>1112</v>
      </c>
      <c r="L718" t="s">
        <v>446</v>
      </c>
      <c r="Q718" t="b">
        <v>1</v>
      </c>
      <c r="R718" t="b">
        <v>0</v>
      </c>
      <c r="T718" t="s">
        <v>446</v>
      </c>
      <c r="U718" t="s">
        <v>1102</v>
      </c>
      <c r="V718" t="s">
        <v>1002</v>
      </c>
      <c r="W718" t="s">
        <v>1040</v>
      </c>
      <c r="X718" t="s">
        <v>2357</v>
      </c>
    </row>
    <row r="719" spans="1:24" x14ac:dyDescent="0.25">
      <c r="A719" t="s">
        <v>42</v>
      </c>
      <c r="B719" t="s">
        <v>2370</v>
      </c>
      <c r="C719" t="s">
        <v>280</v>
      </c>
      <c r="E719" t="s">
        <v>1025</v>
      </c>
      <c r="F719">
        <v>25217</v>
      </c>
      <c r="G719" t="s">
        <v>2294</v>
      </c>
      <c r="H719" t="s">
        <v>2356</v>
      </c>
      <c r="J719" t="s">
        <v>1000</v>
      </c>
      <c r="K719" t="s">
        <v>1119</v>
      </c>
      <c r="L719" t="s">
        <v>446</v>
      </c>
      <c r="Q719" t="b">
        <v>1</v>
      </c>
      <c r="R719" t="b">
        <v>0</v>
      </c>
      <c r="T719" t="s">
        <v>446</v>
      </c>
      <c r="U719" t="s">
        <v>1102</v>
      </c>
      <c r="V719" t="s">
        <v>1002</v>
      </c>
      <c r="W719" t="s">
        <v>1040</v>
      </c>
      <c r="X719" t="s">
        <v>446</v>
      </c>
    </row>
    <row r="720" spans="1:24" x14ac:dyDescent="0.25">
      <c r="A720" t="s">
        <v>42</v>
      </c>
      <c r="B720" t="s">
        <v>2371</v>
      </c>
      <c r="C720" t="s">
        <v>280</v>
      </c>
      <c r="E720" t="s">
        <v>2344</v>
      </c>
      <c r="F720">
        <v>84026</v>
      </c>
      <c r="G720" t="s">
        <v>2294</v>
      </c>
      <c r="H720" t="s">
        <v>2356</v>
      </c>
      <c r="J720" t="s">
        <v>1000</v>
      </c>
      <c r="K720" t="s">
        <v>1119</v>
      </c>
      <c r="L720" t="s">
        <v>446</v>
      </c>
      <c r="Q720" t="b">
        <v>1</v>
      </c>
      <c r="R720" t="b">
        <v>0</v>
      </c>
      <c r="T720" t="s">
        <v>446</v>
      </c>
      <c r="U720" t="s">
        <v>1102</v>
      </c>
      <c r="V720" t="s">
        <v>1002</v>
      </c>
      <c r="W720" t="s">
        <v>1040</v>
      </c>
      <c r="X720" t="s">
        <v>2357</v>
      </c>
    </row>
    <row r="721" spans="1:24" x14ac:dyDescent="0.25">
      <c r="A721" t="s">
        <v>42</v>
      </c>
      <c r="B721" t="s">
        <v>2372</v>
      </c>
      <c r="C721" t="s">
        <v>280</v>
      </c>
      <c r="E721" t="s">
        <v>1027</v>
      </c>
      <c r="F721">
        <v>21910</v>
      </c>
      <c r="G721" t="s">
        <v>2294</v>
      </c>
      <c r="H721" t="s">
        <v>2356</v>
      </c>
      <c r="J721" t="s">
        <v>1000</v>
      </c>
      <c r="K721" t="s">
        <v>1125</v>
      </c>
      <c r="L721" t="s">
        <v>446</v>
      </c>
      <c r="Q721" t="b">
        <v>1</v>
      </c>
      <c r="R721" t="b">
        <v>0</v>
      </c>
      <c r="T721" t="s">
        <v>446</v>
      </c>
      <c r="U721" t="s">
        <v>1102</v>
      </c>
      <c r="V721" t="s">
        <v>1002</v>
      </c>
      <c r="W721" t="s">
        <v>1040</v>
      </c>
      <c r="X721" t="s">
        <v>2357</v>
      </c>
    </row>
    <row r="722" spans="1:24" x14ac:dyDescent="0.25">
      <c r="A722" t="s">
        <v>42</v>
      </c>
      <c r="B722" t="s">
        <v>2373</v>
      </c>
      <c r="C722" t="s">
        <v>280</v>
      </c>
      <c r="E722" t="s">
        <v>1131</v>
      </c>
      <c r="F722">
        <v>31206</v>
      </c>
      <c r="G722" t="s">
        <v>2294</v>
      </c>
      <c r="H722" t="s">
        <v>2356</v>
      </c>
      <c r="J722" t="s">
        <v>1000</v>
      </c>
      <c r="K722" t="s">
        <v>1133</v>
      </c>
      <c r="L722" t="s">
        <v>446</v>
      </c>
      <c r="Q722" t="b">
        <v>1</v>
      </c>
      <c r="R722" t="b">
        <v>0</v>
      </c>
      <c r="T722" t="s">
        <v>446</v>
      </c>
      <c r="U722" t="s">
        <v>1102</v>
      </c>
      <c r="V722" t="s">
        <v>1002</v>
      </c>
      <c r="W722" t="s">
        <v>1040</v>
      </c>
      <c r="X722" t="s">
        <v>2357</v>
      </c>
    </row>
    <row r="723" spans="1:24" x14ac:dyDescent="0.25">
      <c r="A723" t="s">
        <v>42</v>
      </c>
      <c r="B723" t="s">
        <v>2374</v>
      </c>
      <c r="C723" t="s">
        <v>281</v>
      </c>
      <c r="E723" t="s">
        <v>2338</v>
      </c>
      <c r="F723">
        <v>-4058</v>
      </c>
      <c r="G723" t="s">
        <v>2294</v>
      </c>
      <c r="H723" t="s">
        <v>2375</v>
      </c>
      <c r="J723" t="s">
        <v>1000</v>
      </c>
      <c r="K723" t="s">
        <v>1091</v>
      </c>
      <c r="L723" t="s">
        <v>446</v>
      </c>
      <c r="Q723" t="b">
        <v>1</v>
      </c>
      <c r="R723" t="b">
        <v>0</v>
      </c>
      <c r="T723" t="s">
        <v>446</v>
      </c>
      <c r="U723" t="s">
        <v>1102</v>
      </c>
      <c r="V723" t="s">
        <v>1002</v>
      </c>
      <c r="W723" t="s">
        <v>1040</v>
      </c>
      <c r="X723" t="s">
        <v>1345</v>
      </c>
    </row>
    <row r="724" spans="1:24" x14ac:dyDescent="0.25">
      <c r="A724" t="s">
        <v>42</v>
      </c>
      <c r="B724" t="s">
        <v>2376</v>
      </c>
      <c r="C724" t="s">
        <v>282</v>
      </c>
      <c r="E724" t="s">
        <v>998</v>
      </c>
      <c r="F724">
        <v>1618</v>
      </c>
      <c r="G724" t="s">
        <v>2294</v>
      </c>
      <c r="H724" t="s">
        <v>2377</v>
      </c>
      <c r="J724" t="s">
        <v>1000</v>
      </c>
      <c r="K724" t="s">
        <v>1032</v>
      </c>
      <c r="L724" t="s">
        <v>446</v>
      </c>
      <c r="Q724" t="b">
        <v>1</v>
      </c>
      <c r="R724" t="b">
        <v>0</v>
      </c>
      <c r="T724" t="s">
        <v>446</v>
      </c>
      <c r="U724" t="s">
        <v>1102</v>
      </c>
      <c r="V724" t="s">
        <v>1002</v>
      </c>
      <c r="W724" t="s">
        <v>1040</v>
      </c>
      <c r="X724" t="s">
        <v>2378</v>
      </c>
    </row>
    <row r="725" spans="1:24" x14ac:dyDescent="0.25">
      <c r="A725" t="s">
        <v>42</v>
      </c>
      <c r="B725" t="s">
        <v>2379</v>
      </c>
      <c r="C725" t="s">
        <v>282</v>
      </c>
      <c r="E725" t="s">
        <v>1005</v>
      </c>
      <c r="F725">
        <v>656</v>
      </c>
      <c r="G725" t="s">
        <v>2294</v>
      </c>
      <c r="H725" t="s">
        <v>2377</v>
      </c>
      <c r="J725" t="s">
        <v>1000</v>
      </c>
      <c r="K725" t="s">
        <v>1044</v>
      </c>
      <c r="L725" t="s">
        <v>446</v>
      </c>
      <c r="Q725" t="b">
        <v>1</v>
      </c>
      <c r="R725" t="b">
        <v>0</v>
      </c>
      <c r="T725" t="s">
        <v>446</v>
      </c>
      <c r="U725" t="s">
        <v>1102</v>
      </c>
      <c r="V725" t="s">
        <v>1002</v>
      </c>
      <c r="W725" t="s">
        <v>1040</v>
      </c>
      <c r="X725" t="s">
        <v>2378</v>
      </c>
    </row>
    <row r="726" spans="1:24" x14ac:dyDescent="0.25">
      <c r="A726" t="s">
        <v>42</v>
      </c>
      <c r="B726" t="s">
        <v>2380</v>
      </c>
      <c r="C726" t="s">
        <v>282</v>
      </c>
      <c r="E726" t="s">
        <v>1007</v>
      </c>
      <c r="F726">
        <v>680</v>
      </c>
      <c r="G726" t="s">
        <v>2294</v>
      </c>
      <c r="H726" t="s">
        <v>2377</v>
      </c>
      <c r="J726" t="s">
        <v>1000</v>
      </c>
      <c r="K726" t="s">
        <v>1051</v>
      </c>
      <c r="L726" t="s">
        <v>446</v>
      </c>
      <c r="Q726" t="b">
        <v>1</v>
      </c>
      <c r="R726" t="b">
        <v>0</v>
      </c>
      <c r="T726" t="s">
        <v>446</v>
      </c>
      <c r="U726" t="s">
        <v>1102</v>
      </c>
      <c r="V726" t="s">
        <v>1002</v>
      </c>
      <c r="W726" t="s">
        <v>1040</v>
      </c>
      <c r="X726" t="s">
        <v>2378</v>
      </c>
    </row>
    <row r="727" spans="1:24" x14ac:dyDescent="0.25">
      <c r="A727" t="s">
        <v>42</v>
      </c>
      <c r="B727" t="s">
        <v>2381</v>
      </c>
      <c r="C727" t="s">
        <v>282</v>
      </c>
      <c r="E727" t="s">
        <v>1009</v>
      </c>
      <c r="F727">
        <v>1414</v>
      </c>
      <c r="G727" t="s">
        <v>2294</v>
      </c>
      <c r="H727" t="s">
        <v>2377</v>
      </c>
      <c r="J727" t="s">
        <v>1000</v>
      </c>
      <c r="K727" t="s">
        <v>1060</v>
      </c>
      <c r="L727" t="s">
        <v>446</v>
      </c>
      <c r="Q727" t="b">
        <v>1</v>
      </c>
      <c r="R727" t="b">
        <v>0</v>
      </c>
      <c r="T727" t="s">
        <v>446</v>
      </c>
      <c r="U727" t="s">
        <v>1102</v>
      </c>
      <c r="V727" t="s">
        <v>1002</v>
      </c>
      <c r="W727" t="s">
        <v>1040</v>
      </c>
      <c r="X727" t="s">
        <v>446</v>
      </c>
    </row>
    <row r="728" spans="1:24" x14ac:dyDescent="0.25">
      <c r="A728" t="s">
        <v>42</v>
      </c>
      <c r="B728" t="s">
        <v>2382</v>
      </c>
      <c r="C728" t="s">
        <v>282</v>
      </c>
      <c r="E728" t="s">
        <v>2332</v>
      </c>
      <c r="F728">
        <v>4368</v>
      </c>
      <c r="G728" t="s">
        <v>2294</v>
      </c>
      <c r="H728" t="s">
        <v>2377</v>
      </c>
      <c r="J728" t="s">
        <v>1000</v>
      </c>
      <c r="K728" t="s">
        <v>1060</v>
      </c>
      <c r="L728" t="s">
        <v>446</v>
      </c>
      <c r="Q728" t="b">
        <v>1</v>
      </c>
      <c r="R728" t="b">
        <v>0</v>
      </c>
      <c r="T728" t="s">
        <v>446</v>
      </c>
      <c r="U728" t="s">
        <v>1102</v>
      </c>
      <c r="V728" t="s">
        <v>1002</v>
      </c>
      <c r="W728" t="s">
        <v>1040</v>
      </c>
      <c r="X728" t="s">
        <v>2378</v>
      </c>
    </row>
    <row r="729" spans="1:24" x14ac:dyDescent="0.25">
      <c r="A729" t="s">
        <v>42</v>
      </c>
      <c r="B729" t="s">
        <v>2383</v>
      </c>
      <c r="C729" t="s">
        <v>282</v>
      </c>
      <c r="E729" t="s">
        <v>1011</v>
      </c>
      <c r="F729">
        <v>2043</v>
      </c>
      <c r="G729" t="s">
        <v>2294</v>
      </c>
      <c r="H729" t="s">
        <v>2377</v>
      </c>
      <c r="J729" t="s">
        <v>1000</v>
      </c>
      <c r="K729" t="s">
        <v>1070</v>
      </c>
      <c r="L729" t="s">
        <v>446</v>
      </c>
      <c r="Q729" t="b">
        <v>1</v>
      </c>
      <c r="R729" t="b">
        <v>0</v>
      </c>
      <c r="T729" t="s">
        <v>446</v>
      </c>
      <c r="U729" t="s">
        <v>1102</v>
      </c>
      <c r="V729" t="s">
        <v>1002</v>
      </c>
      <c r="W729" t="s">
        <v>1040</v>
      </c>
      <c r="X729" t="s">
        <v>2378</v>
      </c>
    </row>
    <row r="730" spans="1:24" x14ac:dyDescent="0.25">
      <c r="A730" t="s">
        <v>42</v>
      </c>
      <c r="B730" t="s">
        <v>2384</v>
      </c>
      <c r="C730" t="s">
        <v>282</v>
      </c>
      <c r="E730" t="s">
        <v>1013</v>
      </c>
      <c r="F730">
        <v>6188</v>
      </c>
      <c r="G730" t="s">
        <v>2294</v>
      </c>
      <c r="H730" t="s">
        <v>2377</v>
      </c>
      <c r="J730" t="s">
        <v>1000</v>
      </c>
      <c r="K730" t="s">
        <v>1077</v>
      </c>
      <c r="L730" t="s">
        <v>446</v>
      </c>
      <c r="Q730" t="b">
        <v>1</v>
      </c>
      <c r="R730" t="b">
        <v>0</v>
      </c>
      <c r="T730" t="s">
        <v>446</v>
      </c>
      <c r="U730" t="s">
        <v>1102</v>
      </c>
      <c r="V730" t="s">
        <v>1002</v>
      </c>
      <c r="W730" t="s">
        <v>1040</v>
      </c>
      <c r="X730" t="s">
        <v>2378</v>
      </c>
    </row>
    <row r="731" spans="1:24" x14ac:dyDescent="0.25">
      <c r="A731" t="s">
        <v>42</v>
      </c>
      <c r="B731" t="s">
        <v>2385</v>
      </c>
      <c r="C731" t="s">
        <v>282</v>
      </c>
      <c r="E731" t="s">
        <v>1015</v>
      </c>
      <c r="F731">
        <v>9243</v>
      </c>
      <c r="G731" t="s">
        <v>2294</v>
      </c>
      <c r="H731" t="s">
        <v>2377</v>
      </c>
      <c r="J731" t="s">
        <v>1000</v>
      </c>
      <c r="K731" t="s">
        <v>1084</v>
      </c>
      <c r="L731" t="s">
        <v>446</v>
      </c>
      <c r="Q731" t="b">
        <v>1</v>
      </c>
      <c r="R731" t="b">
        <v>0</v>
      </c>
      <c r="T731" t="s">
        <v>446</v>
      </c>
      <c r="U731" t="s">
        <v>1102</v>
      </c>
      <c r="V731" t="s">
        <v>1002</v>
      </c>
      <c r="W731" t="s">
        <v>1040</v>
      </c>
      <c r="X731" t="s">
        <v>2378</v>
      </c>
    </row>
    <row r="732" spans="1:24" x14ac:dyDescent="0.25">
      <c r="A732" t="s">
        <v>42</v>
      </c>
      <c r="B732" t="s">
        <v>2386</v>
      </c>
      <c r="C732" t="s">
        <v>282</v>
      </c>
      <c r="E732" t="s">
        <v>1017</v>
      </c>
      <c r="F732">
        <v>12285</v>
      </c>
      <c r="G732" t="s">
        <v>2294</v>
      </c>
      <c r="H732" t="s">
        <v>2377</v>
      </c>
      <c r="J732" t="s">
        <v>1000</v>
      </c>
      <c r="K732" t="s">
        <v>1091</v>
      </c>
      <c r="L732" t="s">
        <v>446</v>
      </c>
      <c r="Q732" t="b">
        <v>1</v>
      </c>
      <c r="R732" t="b">
        <v>0</v>
      </c>
      <c r="T732" t="s">
        <v>446</v>
      </c>
      <c r="U732" t="s">
        <v>1102</v>
      </c>
      <c r="V732" t="s">
        <v>1002</v>
      </c>
      <c r="W732" t="s">
        <v>1040</v>
      </c>
      <c r="X732" t="s">
        <v>446</v>
      </c>
    </row>
    <row r="733" spans="1:24" x14ac:dyDescent="0.25">
      <c r="A733" t="s">
        <v>42</v>
      </c>
      <c r="B733" t="s">
        <v>2387</v>
      </c>
      <c r="C733" t="s">
        <v>282</v>
      </c>
      <c r="E733" t="s">
        <v>2338</v>
      </c>
      <c r="F733">
        <v>29760</v>
      </c>
      <c r="G733" t="s">
        <v>2294</v>
      </c>
      <c r="H733" t="s">
        <v>2377</v>
      </c>
      <c r="J733" t="s">
        <v>1000</v>
      </c>
      <c r="K733" t="s">
        <v>1091</v>
      </c>
      <c r="L733" t="s">
        <v>446</v>
      </c>
      <c r="Q733" t="b">
        <v>1</v>
      </c>
      <c r="R733" t="b">
        <v>0</v>
      </c>
      <c r="T733" t="s">
        <v>446</v>
      </c>
      <c r="U733" t="s">
        <v>1102</v>
      </c>
      <c r="V733" t="s">
        <v>1002</v>
      </c>
      <c r="W733" t="s">
        <v>1040</v>
      </c>
      <c r="X733" t="s">
        <v>2378</v>
      </c>
    </row>
    <row r="734" spans="1:24" x14ac:dyDescent="0.25">
      <c r="A734" t="s">
        <v>42</v>
      </c>
      <c r="B734" t="s">
        <v>2388</v>
      </c>
      <c r="C734" t="s">
        <v>282</v>
      </c>
      <c r="E734" t="s">
        <v>1019</v>
      </c>
      <c r="F734">
        <v>14881</v>
      </c>
      <c r="G734" t="s">
        <v>2294</v>
      </c>
      <c r="H734" t="s">
        <v>2377</v>
      </c>
      <c r="J734" t="s">
        <v>1000</v>
      </c>
      <c r="K734" t="s">
        <v>1097</v>
      </c>
      <c r="L734" t="s">
        <v>446</v>
      </c>
      <c r="Q734" t="b">
        <v>1</v>
      </c>
      <c r="R734" t="b">
        <v>0</v>
      </c>
      <c r="T734" t="s">
        <v>446</v>
      </c>
      <c r="U734" t="s">
        <v>1102</v>
      </c>
      <c r="V734" t="s">
        <v>1002</v>
      </c>
      <c r="W734" t="s">
        <v>1040</v>
      </c>
      <c r="X734" t="s">
        <v>2378</v>
      </c>
    </row>
    <row r="735" spans="1:24" x14ac:dyDescent="0.25">
      <c r="A735" t="s">
        <v>42</v>
      </c>
      <c r="B735" t="s">
        <v>2389</v>
      </c>
      <c r="C735" t="s">
        <v>282</v>
      </c>
      <c r="E735" t="s">
        <v>1021</v>
      </c>
      <c r="F735">
        <v>16599</v>
      </c>
      <c r="G735" t="s">
        <v>2294</v>
      </c>
      <c r="H735" t="s">
        <v>2377</v>
      </c>
      <c r="J735" t="s">
        <v>1000</v>
      </c>
      <c r="K735" t="s">
        <v>1105</v>
      </c>
      <c r="L735" t="s">
        <v>446</v>
      </c>
      <c r="Q735" t="b">
        <v>1</v>
      </c>
      <c r="R735" t="b">
        <v>0</v>
      </c>
      <c r="T735" t="s">
        <v>446</v>
      </c>
      <c r="U735" t="s">
        <v>1102</v>
      </c>
      <c r="V735" t="s">
        <v>1002</v>
      </c>
      <c r="W735" t="s">
        <v>1040</v>
      </c>
      <c r="X735" t="s">
        <v>2378</v>
      </c>
    </row>
    <row r="736" spans="1:24" x14ac:dyDescent="0.25">
      <c r="A736" t="s">
        <v>42</v>
      </c>
      <c r="B736" t="s">
        <v>2390</v>
      </c>
      <c r="C736" t="s">
        <v>282</v>
      </c>
      <c r="E736" t="s">
        <v>1023</v>
      </c>
      <c r="F736">
        <v>19309</v>
      </c>
      <c r="G736" t="s">
        <v>2294</v>
      </c>
      <c r="H736" t="s">
        <v>2377</v>
      </c>
      <c r="J736" t="s">
        <v>1000</v>
      </c>
      <c r="K736" t="s">
        <v>1112</v>
      </c>
      <c r="L736" t="s">
        <v>446</v>
      </c>
      <c r="Q736" t="b">
        <v>1</v>
      </c>
      <c r="R736" t="b">
        <v>0</v>
      </c>
      <c r="T736" t="s">
        <v>446</v>
      </c>
      <c r="U736" t="s">
        <v>1102</v>
      </c>
      <c r="V736" t="s">
        <v>1002</v>
      </c>
      <c r="W736" t="s">
        <v>1040</v>
      </c>
      <c r="X736" t="s">
        <v>2378</v>
      </c>
    </row>
    <row r="737" spans="1:24" x14ac:dyDescent="0.25">
      <c r="A737" t="s">
        <v>42</v>
      </c>
      <c r="B737" t="s">
        <v>2391</v>
      </c>
      <c r="C737" t="s">
        <v>282</v>
      </c>
      <c r="E737" t="s">
        <v>1025</v>
      </c>
      <c r="F737">
        <v>22091</v>
      </c>
      <c r="G737" t="s">
        <v>2294</v>
      </c>
      <c r="H737" t="s">
        <v>2377</v>
      </c>
      <c r="J737" t="s">
        <v>1000</v>
      </c>
      <c r="K737" t="s">
        <v>1119</v>
      </c>
      <c r="L737" t="s">
        <v>446</v>
      </c>
      <c r="Q737" t="b">
        <v>1</v>
      </c>
      <c r="R737" t="b">
        <v>0</v>
      </c>
      <c r="T737" t="s">
        <v>446</v>
      </c>
      <c r="U737" t="s">
        <v>1102</v>
      </c>
      <c r="V737" t="s">
        <v>1002</v>
      </c>
      <c r="W737" t="s">
        <v>1040</v>
      </c>
      <c r="X737" t="s">
        <v>446</v>
      </c>
    </row>
    <row r="738" spans="1:24" x14ac:dyDescent="0.25">
      <c r="A738" t="s">
        <v>42</v>
      </c>
      <c r="B738" t="s">
        <v>2392</v>
      </c>
      <c r="C738" t="s">
        <v>282</v>
      </c>
      <c r="E738" t="s">
        <v>2344</v>
      </c>
      <c r="F738">
        <v>72880</v>
      </c>
      <c r="G738" t="s">
        <v>2294</v>
      </c>
      <c r="H738" t="s">
        <v>2377</v>
      </c>
      <c r="J738" t="s">
        <v>1000</v>
      </c>
      <c r="K738" t="s">
        <v>1119</v>
      </c>
      <c r="L738" t="s">
        <v>446</v>
      </c>
      <c r="Q738" t="b">
        <v>1</v>
      </c>
      <c r="R738" t="b">
        <v>0</v>
      </c>
      <c r="T738" t="s">
        <v>446</v>
      </c>
      <c r="U738" t="s">
        <v>1102</v>
      </c>
      <c r="V738" t="s">
        <v>1002</v>
      </c>
      <c r="W738" t="s">
        <v>1040</v>
      </c>
      <c r="X738" t="s">
        <v>2378</v>
      </c>
    </row>
    <row r="739" spans="1:24" x14ac:dyDescent="0.25">
      <c r="A739" t="s">
        <v>42</v>
      </c>
      <c r="B739" t="s">
        <v>2393</v>
      </c>
      <c r="C739" t="s">
        <v>282</v>
      </c>
      <c r="E739" t="s">
        <v>1027</v>
      </c>
      <c r="F739">
        <v>18775</v>
      </c>
      <c r="G739" t="s">
        <v>2294</v>
      </c>
      <c r="H739" t="s">
        <v>2377</v>
      </c>
      <c r="J739" t="s">
        <v>1000</v>
      </c>
      <c r="K739" t="s">
        <v>1125</v>
      </c>
      <c r="L739" t="s">
        <v>446</v>
      </c>
      <c r="Q739" t="b">
        <v>1</v>
      </c>
      <c r="R739" t="b">
        <v>0</v>
      </c>
      <c r="T739" t="s">
        <v>446</v>
      </c>
      <c r="U739" t="s">
        <v>1102</v>
      </c>
      <c r="V739" t="s">
        <v>1002</v>
      </c>
      <c r="W739" t="s">
        <v>1040</v>
      </c>
      <c r="X739" t="s">
        <v>2378</v>
      </c>
    </row>
    <row r="740" spans="1:24" x14ac:dyDescent="0.25">
      <c r="A740" t="s">
        <v>42</v>
      </c>
      <c r="B740" t="s">
        <v>2394</v>
      </c>
      <c r="C740" t="s">
        <v>282</v>
      </c>
      <c r="E740" t="s">
        <v>1131</v>
      </c>
      <c r="F740">
        <v>26422</v>
      </c>
      <c r="G740" t="s">
        <v>2294</v>
      </c>
      <c r="H740" t="s">
        <v>2377</v>
      </c>
      <c r="J740" t="s">
        <v>1000</v>
      </c>
      <c r="K740" t="s">
        <v>1133</v>
      </c>
      <c r="L740" t="s">
        <v>446</v>
      </c>
      <c r="Q740" t="b">
        <v>1</v>
      </c>
      <c r="R740" t="b">
        <v>0</v>
      </c>
      <c r="T740" t="s">
        <v>446</v>
      </c>
      <c r="U740" t="s">
        <v>1102</v>
      </c>
      <c r="V740" t="s">
        <v>1002</v>
      </c>
      <c r="W740" t="s">
        <v>1040</v>
      </c>
      <c r="X740" t="s">
        <v>2378</v>
      </c>
    </row>
    <row r="741" spans="1:24" x14ac:dyDescent="0.25">
      <c r="A741" t="s">
        <v>42</v>
      </c>
      <c r="B741" t="s">
        <v>2395</v>
      </c>
      <c r="C741" t="s">
        <v>330</v>
      </c>
      <c r="E741" t="s">
        <v>2332</v>
      </c>
      <c r="F741">
        <v>13296</v>
      </c>
      <c r="G741" t="s">
        <v>1057</v>
      </c>
      <c r="H741" t="s">
        <v>1429</v>
      </c>
      <c r="I741" t="s">
        <v>1421</v>
      </c>
      <c r="J741" t="s">
        <v>1422</v>
      </c>
      <c r="K741" t="s">
        <v>1060</v>
      </c>
      <c r="L741" t="s">
        <v>1061</v>
      </c>
      <c r="M741" t="s">
        <v>1062</v>
      </c>
      <c r="N741" t="s">
        <v>1063</v>
      </c>
      <c r="O741" t="s">
        <v>446</v>
      </c>
      <c r="P741" t="s">
        <v>1064</v>
      </c>
      <c r="Q741" t="b">
        <v>1</v>
      </c>
      <c r="R741" t="b">
        <v>0</v>
      </c>
      <c r="S741" t="s">
        <v>2396</v>
      </c>
      <c r="T741" t="s">
        <v>446</v>
      </c>
      <c r="U741" t="s">
        <v>1039</v>
      </c>
      <c r="V741" t="s">
        <v>1002</v>
      </c>
      <c r="W741" t="s">
        <v>1040</v>
      </c>
      <c r="X741" t="s">
        <v>1423</v>
      </c>
    </row>
    <row r="742" spans="1:24" x14ac:dyDescent="0.25">
      <c r="A742" t="s">
        <v>42</v>
      </c>
      <c r="B742" t="s">
        <v>2397</v>
      </c>
      <c r="C742" t="s">
        <v>330</v>
      </c>
      <c r="E742" t="s">
        <v>2338</v>
      </c>
      <c r="F742">
        <v>25984</v>
      </c>
      <c r="G742" t="s">
        <v>1057</v>
      </c>
      <c r="H742" t="s">
        <v>1437</v>
      </c>
      <c r="I742" t="s">
        <v>1421</v>
      </c>
      <c r="J742" t="s">
        <v>1422</v>
      </c>
      <c r="K742" t="s">
        <v>1091</v>
      </c>
      <c r="L742" t="s">
        <v>1092</v>
      </c>
      <c r="M742" t="s">
        <v>1062</v>
      </c>
      <c r="N742" t="s">
        <v>1093</v>
      </c>
      <c r="O742" t="s">
        <v>446</v>
      </c>
      <c r="P742" t="s">
        <v>1094</v>
      </c>
      <c r="Q742" t="b">
        <v>1</v>
      </c>
      <c r="R742" t="b">
        <v>0</v>
      </c>
      <c r="S742" t="s">
        <v>2396</v>
      </c>
      <c r="T742" t="s">
        <v>446</v>
      </c>
      <c r="U742" t="s">
        <v>1039</v>
      </c>
      <c r="V742" t="s">
        <v>1002</v>
      </c>
      <c r="W742" t="s">
        <v>1040</v>
      </c>
      <c r="X742" t="s">
        <v>1423</v>
      </c>
    </row>
    <row r="743" spans="1:24" x14ac:dyDescent="0.25">
      <c r="A743" t="s">
        <v>42</v>
      </c>
      <c r="B743" t="s">
        <v>2398</v>
      </c>
      <c r="C743" t="s">
        <v>330</v>
      </c>
      <c r="E743" t="s">
        <v>2344</v>
      </c>
      <c r="F743">
        <v>43210</v>
      </c>
      <c r="G743" t="s">
        <v>1057</v>
      </c>
      <c r="H743" t="s">
        <v>1445</v>
      </c>
      <c r="I743" t="s">
        <v>1421</v>
      </c>
      <c r="J743" t="s">
        <v>1422</v>
      </c>
      <c r="K743" t="s">
        <v>1119</v>
      </c>
      <c r="L743" t="s">
        <v>1120</v>
      </c>
      <c r="M743" t="s">
        <v>1062</v>
      </c>
      <c r="N743" t="s">
        <v>1121</v>
      </c>
      <c r="O743" t="s">
        <v>446</v>
      </c>
      <c r="P743" t="s">
        <v>1122</v>
      </c>
      <c r="Q743" t="b">
        <v>1</v>
      </c>
      <c r="R743" t="b">
        <v>0</v>
      </c>
      <c r="S743" t="s">
        <v>2396</v>
      </c>
      <c r="T743" t="s">
        <v>446</v>
      </c>
      <c r="U743" t="s">
        <v>1039</v>
      </c>
      <c r="V743" t="s">
        <v>1002</v>
      </c>
      <c r="W743" t="s">
        <v>1040</v>
      </c>
      <c r="X743" t="s">
        <v>1423</v>
      </c>
    </row>
    <row r="744" spans="1:24" x14ac:dyDescent="0.25">
      <c r="A744" t="s">
        <v>42</v>
      </c>
      <c r="B744" t="s">
        <v>1450</v>
      </c>
      <c r="C744" t="s">
        <v>331</v>
      </c>
      <c r="E744" t="s">
        <v>998</v>
      </c>
      <c r="F744">
        <v>5438</v>
      </c>
      <c r="G744" t="s">
        <v>1057</v>
      </c>
      <c r="H744" t="s">
        <v>1452</v>
      </c>
      <c r="I744" t="s">
        <v>1453</v>
      </c>
      <c r="J744" t="s">
        <v>1422</v>
      </c>
      <c r="K744" t="s">
        <v>1032</v>
      </c>
      <c r="L744" t="s">
        <v>1033</v>
      </c>
      <c r="M744" t="s">
        <v>1034</v>
      </c>
      <c r="N744" t="s">
        <v>1035</v>
      </c>
      <c r="O744" t="s">
        <v>446</v>
      </c>
      <c r="P744" t="s">
        <v>1037</v>
      </c>
      <c r="Q744" t="b">
        <v>1</v>
      </c>
      <c r="R744" t="b">
        <v>0</v>
      </c>
      <c r="S744" t="s">
        <v>1038</v>
      </c>
      <c r="T744" t="s">
        <v>446</v>
      </c>
      <c r="U744" t="s">
        <v>1039</v>
      </c>
      <c r="V744" t="s">
        <v>1002</v>
      </c>
      <c r="W744" t="s">
        <v>1040</v>
      </c>
      <c r="X744" t="s">
        <v>1458</v>
      </c>
    </row>
    <row r="745" spans="1:24" x14ac:dyDescent="0.25">
      <c r="A745" t="s">
        <v>42</v>
      </c>
      <c r="B745" t="s">
        <v>1459</v>
      </c>
      <c r="C745" t="s">
        <v>331</v>
      </c>
      <c r="E745" t="s">
        <v>1005</v>
      </c>
      <c r="F745">
        <v>5317</v>
      </c>
      <c r="G745" t="s">
        <v>1057</v>
      </c>
      <c r="H745" t="s">
        <v>1460</v>
      </c>
      <c r="I745" t="s">
        <v>1453</v>
      </c>
      <c r="J745" t="s">
        <v>1422</v>
      </c>
      <c r="K745" t="s">
        <v>1044</v>
      </c>
      <c r="L745" t="s">
        <v>1045</v>
      </c>
      <c r="M745" t="s">
        <v>1034</v>
      </c>
      <c r="N745" t="s">
        <v>1046</v>
      </c>
      <c r="O745" t="s">
        <v>446</v>
      </c>
      <c r="P745" t="s">
        <v>1048</v>
      </c>
      <c r="Q745" t="b">
        <v>1</v>
      </c>
      <c r="R745" t="b">
        <v>0</v>
      </c>
      <c r="S745" t="s">
        <v>1038</v>
      </c>
      <c r="T745" t="s">
        <v>446</v>
      </c>
      <c r="U745" t="s">
        <v>1039</v>
      </c>
      <c r="V745" t="s">
        <v>1002</v>
      </c>
      <c r="W745" t="s">
        <v>1040</v>
      </c>
      <c r="X745" t="s">
        <v>1458</v>
      </c>
    </row>
    <row r="746" spans="1:24" x14ac:dyDescent="0.25">
      <c r="A746" t="s">
        <v>42</v>
      </c>
      <c r="B746" t="s">
        <v>1461</v>
      </c>
      <c r="C746" t="s">
        <v>331</v>
      </c>
      <c r="E746" t="s">
        <v>1007</v>
      </c>
      <c r="F746">
        <v>4908</v>
      </c>
      <c r="G746" t="s">
        <v>1057</v>
      </c>
      <c r="H746" t="s">
        <v>1462</v>
      </c>
      <c r="I746" t="s">
        <v>1453</v>
      </c>
      <c r="J746" t="s">
        <v>1422</v>
      </c>
      <c r="K746" t="s">
        <v>1051</v>
      </c>
      <c r="L746" t="s">
        <v>1052</v>
      </c>
      <c r="M746" t="s">
        <v>1034</v>
      </c>
      <c r="N746" t="s">
        <v>1053</v>
      </c>
      <c r="O746" t="s">
        <v>446</v>
      </c>
      <c r="P746" t="s">
        <v>1055</v>
      </c>
      <c r="Q746" t="b">
        <v>1</v>
      </c>
      <c r="R746" t="b">
        <v>0</v>
      </c>
      <c r="S746" t="s">
        <v>1038</v>
      </c>
      <c r="T746" t="s">
        <v>446</v>
      </c>
      <c r="U746" t="s">
        <v>1039</v>
      </c>
      <c r="V746" t="s">
        <v>1002</v>
      </c>
      <c r="W746" t="s">
        <v>1040</v>
      </c>
      <c r="X746" t="s">
        <v>1458</v>
      </c>
    </row>
    <row r="747" spans="1:24" x14ac:dyDescent="0.25">
      <c r="A747" t="s">
        <v>42</v>
      </c>
      <c r="B747" t="s">
        <v>1463</v>
      </c>
      <c r="C747" t="s">
        <v>331</v>
      </c>
      <c r="E747" t="s">
        <v>1009</v>
      </c>
      <c r="F747">
        <v>3827</v>
      </c>
      <c r="G747" t="s">
        <v>1057</v>
      </c>
      <c r="H747" t="s">
        <v>1464</v>
      </c>
      <c r="I747" t="s">
        <v>1453</v>
      </c>
      <c r="J747" t="s">
        <v>1422</v>
      </c>
      <c r="K747" t="s">
        <v>1060</v>
      </c>
      <c r="L747" t="s">
        <v>1061</v>
      </c>
      <c r="M747" t="s">
        <v>1062</v>
      </c>
      <c r="N747" t="s">
        <v>1063</v>
      </c>
      <c r="O747" t="s">
        <v>446</v>
      </c>
      <c r="P747" t="s">
        <v>1064</v>
      </c>
      <c r="Q747" t="b">
        <v>1</v>
      </c>
      <c r="R747" t="b">
        <v>0</v>
      </c>
      <c r="S747" t="s">
        <v>1038</v>
      </c>
      <c r="T747" t="s">
        <v>446</v>
      </c>
      <c r="U747" t="s">
        <v>1039</v>
      </c>
      <c r="V747" t="s">
        <v>1002</v>
      </c>
      <c r="W747" t="s">
        <v>1040</v>
      </c>
      <c r="X747" t="s">
        <v>1458</v>
      </c>
    </row>
    <row r="748" spans="1:24" x14ac:dyDescent="0.25">
      <c r="A748" t="s">
        <v>42</v>
      </c>
      <c r="B748" t="s">
        <v>2399</v>
      </c>
      <c r="C748" t="s">
        <v>331</v>
      </c>
      <c r="E748" t="s">
        <v>2332</v>
      </c>
      <c r="F748">
        <v>3827</v>
      </c>
      <c r="G748" t="s">
        <v>1057</v>
      </c>
      <c r="H748" t="s">
        <v>1464</v>
      </c>
      <c r="I748" t="s">
        <v>1453</v>
      </c>
      <c r="J748" t="s">
        <v>1422</v>
      </c>
      <c r="K748" t="s">
        <v>1060</v>
      </c>
      <c r="L748" t="s">
        <v>1061</v>
      </c>
      <c r="M748" t="s">
        <v>1062</v>
      </c>
      <c r="N748" t="s">
        <v>1063</v>
      </c>
      <c r="O748" t="s">
        <v>446</v>
      </c>
      <c r="P748" t="s">
        <v>1064</v>
      </c>
      <c r="Q748" t="b">
        <v>1</v>
      </c>
      <c r="R748" t="b">
        <v>0</v>
      </c>
      <c r="S748" t="s">
        <v>2396</v>
      </c>
      <c r="T748" t="s">
        <v>446</v>
      </c>
      <c r="U748" t="s">
        <v>1039</v>
      </c>
      <c r="V748" t="s">
        <v>1002</v>
      </c>
      <c r="W748" t="s">
        <v>1040</v>
      </c>
      <c r="X748" t="s">
        <v>1458</v>
      </c>
    </row>
    <row r="749" spans="1:24" x14ac:dyDescent="0.25">
      <c r="A749" t="s">
        <v>42</v>
      </c>
      <c r="B749" t="s">
        <v>1465</v>
      </c>
      <c r="C749" t="s">
        <v>331</v>
      </c>
      <c r="E749" t="s">
        <v>1011</v>
      </c>
      <c r="F749">
        <v>4080</v>
      </c>
      <c r="G749" t="s">
        <v>1057</v>
      </c>
      <c r="H749" t="s">
        <v>1466</v>
      </c>
      <c r="I749" t="s">
        <v>1453</v>
      </c>
      <c r="J749" t="s">
        <v>1422</v>
      </c>
      <c r="K749" t="s">
        <v>1070</v>
      </c>
      <c r="L749" t="s">
        <v>1071</v>
      </c>
      <c r="M749" t="s">
        <v>1034</v>
      </c>
      <c r="N749" t="s">
        <v>1072</v>
      </c>
      <c r="O749" t="s">
        <v>446</v>
      </c>
      <c r="P749" t="s">
        <v>1074</v>
      </c>
      <c r="Q749" t="b">
        <v>1</v>
      </c>
      <c r="R749" t="b">
        <v>0</v>
      </c>
      <c r="S749" t="s">
        <v>1038</v>
      </c>
      <c r="T749" t="s">
        <v>446</v>
      </c>
      <c r="U749" t="s">
        <v>1039</v>
      </c>
      <c r="V749" t="s">
        <v>1002</v>
      </c>
      <c r="W749" t="s">
        <v>1040</v>
      </c>
      <c r="X749" t="s">
        <v>1458</v>
      </c>
    </row>
    <row r="750" spans="1:24" x14ac:dyDescent="0.25">
      <c r="A750" t="s">
        <v>42</v>
      </c>
      <c r="B750" t="s">
        <v>1467</v>
      </c>
      <c r="C750" t="s">
        <v>331</v>
      </c>
      <c r="E750" t="s">
        <v>1013</v>
      </c>
      <c r="F750">
        <v>7066</v>
      </c>
      <c r="G750" t="s">
        <v>1057</v>
      </c>
      <c r="H750" t="s">
        <v>1468</v>
      </c>
      <c r="I750" t="s">
        <v>1453</v>
      </c>
      <c r="J750" t="s">
        <v>1422</v>
      </c>
      <c r="K750" t="s">
        <v>1077</v>
      </c>
      <c r="L750" t="s">
        <v>1078</v>
      </c>
      <c r="M750" t="s">
        <v>1034</v>
      </c>
      <c r="N750" t="s">
        <v>1079</v>
      </c>
      <c r="O750" t="s">
        <v>446</v>
      </c>
      <c r="P750" t="s">
        <v>1081</v>
      </c>
      <c r="Q750" t="b">
        <v>1</v>
      </c>
      <c r="R750" t="b">
        <v>0</v>
      </c>
      <c r="S750" t="s">
        <v>1038</v>
      </c>
      <c r="T750" t="s">
        <v>446</v>
      </c>
      <c r="U750" t="s">
        <v>1039</v>
      </c>
      <c r="V750" t="s">
        <v>1002</v>
      </c>
      <c r="W750" t="s">
        <v>1040</v>
      </c>
      <c r="X750" t="s">
        <v>1458</v>
      </c>
    </row>
    <row r="751" spans="1:24" x14ac:dyDescent="0.25">
      <c r="A751" t="s">
        <v>42</v>
      </c>
      <c r="B751" t="s">
        <v>1469</v>
      </c>
      <c r="C751" t="s">
        <v>331</v>
      </c>
      <c r="E751" t="s">
        <v>1015</v>
      </c>
      <c r="F751">
        <v>8309</v>
      </c>
      <c r="G751" t="s">
        <v>1057</v>
      </c>
      <c r="H751" t="s">
        <v>1470</v>
      </c>
      <c r="I751" t="s">
        <v>1453</v>
      </c>
      <c r="J751" t="s">
        <v>1422</v>
      </c>
      <c r="K751" t="s">
        <v>1084</v>
      </c>
      <c r="L751" t="s">
        <v>1085</v>
      </c>
      <c r="M751" t="s">
        <v>1034</v>
      </c>
      <c r="N751" t="s">
        <v>1086</v>
      </c>
      <c r="O751" t="s">
        <v>446</v>
      </c>
      <c r="P751" t="s">
        <v>1088</v>
      </c>
      <c r="Q751" t="b">
        <v>1</v>
      </c>
      <c r="R751" t="b">
        <v>0</v>
      </c>
      <c r="S751" t="s">
        <v>1038</v>
      </c>
      <c r="T751" t="s">
        <v>446</v>
      </c>
      <c r="U751" t="s">
        <v>1039</v>
      </c>
      <c r="V751" t="s">
        <v>1002</v>
      </c>
      <c r="W751" t="s">
        <v>1040</v>
      </c>
      <c r="X751" t="s">
        <v>1458</v>
      </c>
    </row>
    <row r="752" spans="1:24" x14ac:dyDescent="0.25">
      <c r="A752" t="s">
        <v>42</v>
      </c>
      <c r="B752" t="s">
        <v>1471</v>
      </c>
      <c r="C752" t="s">
        <v>331</v>
      </c>
      <c r="E752" t="s">
        <v>1017</v>
      </c>
      <c r="F752">
        <v>9999</v>
      </c>
      <c r="G752" t="s">
        <v>1057</v>
      </c>
      <c r="H752" t="s">
        <v>1472</v>
      </c>
      <c r="I752" t="s">
        <v>1453</v>
      </c>
      <c r="J752" t="s">
        <v>1422</v>
      </c>
      <c r="K752" t="s">
        <v>1091</v>
      </c>
      <c r="L752" t="s">
        <v>1092</v>
      </c>
      <c r="M752" t="s">
        <v>1062</v>
      </c>
      <c r="N752" t="s">
        <v>1093</v>
      </c>
      <c r="O752" t="s">
        <v>446</v>
      </c>
      <c r="P752" t="s">
        <v>1094</v>
      </c>
      <c r="Q752" t="b">
        <v>1</v>
      </c>
      <c r="R752" t="b">
        <v>0</v>
      </c>
      <c r="S752" t="s">
        <v>1038</v>
      </c>
      <c r="T752" t="s">
        <v>446</v>
      </c>
      <c r="U752" t="s">
        <v>1039</v>
      </c>
      <c r="V752" t="s">
        <v>1002</v>
      </c>
      <c r="W752" t="s">
        <v>1040</v>
      </c>
      <c r="X752" t="s">
        <v>1458</v>
      </c>
    </row>
    <row r="753" spans="1:24" x14ac:dyDescent="0.25">
      <c r="A753" t="s">
        <v>42</v>
      </c>
      <c r="B753" t="s">
        <v>2400</v>
      </c>
      <c r="C753" t="s">
        <v>331</v>
      </c>
      <c r="E753" t="s">
        <v>2338</v>
      </c>
      <c r="F753">
        <v>9999</v>
      </c>
      <c r="G753" t="s">
        <v>1057</v>
      </c>
      <c r="H753" t="s">
        <v>1472</v>
      </c>
      <c r="I753" t="s">
        <v>1453</v>
      </c>
      <c r="J753" t="s">
        <v>1422</v>
      </c>
      <c r="K753" t="s">
        <v>1091</v>
      </c>
      <c r="L753" t="s">
        <v>1092</v>
      </c>
      <c r="M753" t="s">
        <v>1062</v>
      </c>
      <c r="N753" t="s">
        <v>1093</v>
      </c>
      <c r="O753" t="s">
        <v>446</v>
      </c>
      <c r="P753" t="s">
        <v>1094</v>
      </c>
      <c r="Q753" t="b">
        <v>1</v>
      </c>
      <c r="R753" t="b">
        <v>0</v>
      </c>
      <c r="S753" t="s">
        <v>2396</v>
      </c>
      <c r="T753" t="s">
        <v>446</v>
      </c>
      <c r="U753" t="s">
        <v>1039</v>
      </c>
      <c r="V753" t="s">
        <v>1002</v>
      </c>
      <c r="W753" t="s">
        <v>1040</v>
      </c>
      <c r="X753" t="s">
        <v>1458</v>
      </c>
    </row>
    <row r="754" spans="1:24" x14ac:dyDescent="0.25">
      <c r="A754" t="s">
        <v>42</v>
      </c>
      <c r="B754" t="s">
        <v>1473</v>
      </c>
      <c r="C754" t="s">
        <v>331</v>
      </c>
      <c r="E754" t="s">
        <v>1019</v>
      </c>
      <c r="F754">
        <v>12365</v>
      </c>
      <c r="G754" t="s">
        <v>1057</v>
      </c>
      <c r="H754" t="s">
        <v>1474</v>
      </c>
      <c r="I754" t="s">
        <v>1453</v>
      </c>
      <c r="J754" t="s">
        <v>1422</v>
      </c>
      <c r="K754" t="s">
        <v>1097</v>
      </c>
      <c r="L754" t="s">
        <v>1098</v>
      </c>
      <c r="M754" t="s">
        <v>1034</v>
      </c>
      <c r="N754" t="s">
        <v>1099</v>
      </c>
      <c r="O754" t="s">
        <v>446</v>
      </c>
      <c r="P754" t="s">
        <v>1101</v>
      </c>
      <c r="Q754" t="b">
        <v>1</v>
      </c>
      <c r="R754" t="b">
        <v>0</v>
      </c>
      <c r="S754" t="s">
        <v>1038</v>
      </c>
      <c r="T754" t="s">
        <v>446</v>
      </c>
      <c r="U754" t="s">
        <v>1039</v>
      </c>
      <c r="V754" t="s">
        <v>1002</v>
      </c>
      <c r="W754" t="s">
        <v>1040</v>
      </c>
      <c r="X754" t="s">
        <v>1458</v>
      </c>
    </row>
    <row r="755" spans="1:24" x14ac:dyDescent="0.25">
      <c r="A755" t="s">
        <v>42</v>
      </c>
      <c r="B755" t="s">
        <v>1475</v>
      </c>
      <c r="C755" t="s">
        <v>331</v>
      </c>
      <c r="E755" t="s">
        <v>1021</v>
      </c>
      <c r="F755">
        <v>14132</v>
      </c>
      <c r="G755" t="s">
        <v>1057</v>
      </c>
      <c r="H755" t="s">
        <v>1476</v>
      </c>
      <c r="I755" t="s">
        <v>1453</v>
      </c>
      <c r="J755" t="s">
        <v>1422</v>
      </c>
      <c r="K755" t="s">
        <v>1105</v>
      </c>
      <c r="L755" t="s">
        <v>1106</v>
      </c>
      <c r="M755" t="s">
        <v>1034</v>
      </c>
      <c r="N755" t="s">
        <v>1107</v>
      </c>
      <c r="O755" t="s">
        <v>446</v>
      </c>
      <c r="P755" t="s">
        <v>1109</v>
      </c>
      <c r="Q755" t="b">
        <v>1</v>
      </c>
      <c r="R755" t="b">
        <v>0</v>
      </c>
      <c r="S755" t="s">
        <v>1038</v>
      </c>
      <c r="T755" t="s">
        <v>446</v>
      </c>
      <c r="U755" t="s">
        <v>1039</v>
      </c>
      <c r="V755" t="s">
        <v>1002</v>
      </c>
      <c r="W755" t="s">
        <v>1040</v>
      </c>
      <c r="X755" t="s">
        <v>1458</v>
      </c>
    </row>
    <row r="756" spans="1:24" x14ac:dyDescent="0.25">
      <c r="A756" t="s">
        <v>42</v>
      </c>
      <c r="B756" t="s">
        <v>1477</v>
      </c>
      <c r="C756" t="s">
        <v>331</v>
      </c>
      <c r="E756" t="s">
        <v>1023</v>
      </c>
      <c r="F756">
        <v>17693</v>
      </c>
      <c r="G756" t="s">
        <v>1057</v>
      </c>
      <c r="H756" t="s">
        <v>1478</v>
      </c>
      <c r="I756" t="s">
        <v>1453</v>
      </c>
      <c r="J756" t="s">
        <v>1422</v>
      </c>
      <c r="K756" t="s">
        <v>1112</v>
      </c>
      <c r="L756" t="s">
        <v>1113</v>
      </c>
      <c r="M756" t="s">
        <v>1034</v>
      </c>
      <c r="N756" t="s">
        <v>1114</v>
      </c>
      <c r="O756" t="s">
        <v>446</v>
      </c>
      <c r="P756" t="s">
        <v>1116</v>
      </c>
      <c r="Q756" t="b">
        <v>1</v>
      </c>
      <c r="R756" t="b">
        <v>0</v>
      </c>
      <c r="S756" t="s">
        <v>1038</v>
      </c>
      <c r="T756" t="s">
        <v>446</v>
      </c>
      <c r="U756" t="s">
        <v>1039</v>
      </c>
      <c r="V756" t="s">
        <v>1002</v>
      </c>
      <c r="W756" t="s">
        <v>1040</v>
      </c>
      <c r="X756" t="s">
        <v>1458</v>
      </c>
    </row>
    <row r="757" spans="1:24" x14ac:dyDescent="0.25">
      <c r="A757" t="s">
        <v>42</v>
      </c>
      <c r="B757" t="s">
        <v>1479</v>
      </c>
      <c r="C757" t="s">
        <v>331</v>
      </c>
      <c r="E757" t="s">
        <v>1025</v>
      </c>
      <c r="F757">
        <v>23065</v>
      </c>
      <c r="G757" t="s">
        <v>1057</v>
      </c>
      <c r="H757" t="s">
        <v>1480</v>
      </c>
      <c r="I757" t="s">
        <v>1453</v>
      </c>
      <c r="J757" t="s">
        <v>1422</v>
      </c>
      <c r="K757" t="s">
        <v>1119</v>
      </c>
      <c r="L757" t="s">
        <v>1120</v>
      </c>
      <c r="M757" t="s">
        <v>1062</v>
      </c>
      <c r="N757" t="s">
        <v>1121</v>
      </c>
      <c r="O757" t="s">
        <v>446</v>
      </c>
      <c r="P757" t="s">
        <v>1122</v>
      </c>
      <c r="Q757" t="b">
        <v>1</v>
      </c>
      <c r="R757" t="b">
        <v>0</v>
      </c>
      <c r="S757" t="s">
        <v>1038</v>
      </c>
      <c r="T757" t="s">
        <v>446</v>
      </c>
      <c r="U757" t="s">
        <v>1039</v>
      </c>
      <c r="V757" t="s">
        <v>1002</v>
      </c>
      <c r="W757" t="s">
        <v>1040</v>
      </c>
      <c r="X757" t="s">
        <v>1458</v>
      </c>
    </row>
    <row r="758" spans="1:24" x14ac:dyDescent="0.25">
      <c r="A758" t="s">
        <v>42</v>
      </c>
      <c r="B758" t="s">
        <v>2401</v>
      </c>
      <c r="C758" t="s">
        <v>331</v>
      </c>
      <c r="E758" t="s">
        <v>2344</v>
      </c>
      <c r="F758">
        <v>23065</v>
      </c>
      <c r="G758" t="s">
        <v>1057</v>
      </c>
      <c r="H758" t="s">
        <v>1480</v>
      </c>
      <c r="I758" t="s">
        <v>1453</v>
      </c>
      <c r="J758" t="s">
        <v>1422</v>
      </c>
      <c r="K758" t="s">
        <v>1119</v>
      </c>
      <c r="L758" t="s">
        <v>1120</v>
      </c>
      <c r="M758" t="s">
        <v>1062</v>
      </c>
      <c r="N758" t="s">
        <v>1121</v>
      </c>
      <c r="O758" t="s">
        <v>446</v>
      </c>
      <c r="P758" t="s">
        <v>1122</v>
      </c>
      <c r="Q758" t="b">
        <v>1</v>
      </c>
      <c r="R758" t="b">
        <v>0</v>
      </c>
      <c r="S758" t="s">
        <v>2396</v>
      </c>
      <c r="T758" t="s">
        <v>446</v>
      </c>
      <c r="U758" t="s">
        <v>1039</v>
      </c>
      <c r="V758" t="s">
        <v>1002</v>
      </c>
      <c r="W758" t="s">
        <v>1040</v>
      </c>
      <c r="X758" t="s">
        <v>1458</v>
      </c>
    </row>
    <row r="759" spans="1:24" x14ac:dyDescent="0.25">
      <c r="A759" t="s">
        <v>42</v>
      </c>
      <c r="B759" t="s">
        <v>1481</v>
      </c>
      <c r="C759" t="s">
        <v>331</v>
      </c>
      <c r="E759" t="s">
        <v>1027</v>
      </c>
      <c r="F759">
        <v>22132</v>
      </c>
      <c r="G759" t="s">
        <v>1057</v>
      </c>
      <c r="H759" t="s">
        <v>1482</v>
      </c>
      <c r="I759" t="s">
        <v>1453</v>
      </c>
      <c r="J759" t="s">
        <v>1422</v>
      </c>
      <c r="K759" t="s">
        <v>1125</v>
      </c>
      <c r="L759" t="s">
        <v>1126</v>
      </c>
      <c r="M759" t="s">
        <v>1034</v>
      </c>
      <c r="N759" t="s">
        <v>1127</v>
      </c>
      <c r="O759" t="s">
        <v>446</v>
      </c>
      <c r="P759" t="s">
        <v>1129</v>
      </c>
      <c r="Q759" t="b">
        <v>1</v>
      </c>
      <c r="R759" t="b">
        <v>0</v>
      </c>
      <c r="S759" t="s">
        <v>1038</v>
      </c>
      <c r="T759" t="s">
        <v>446</v>
      </c>
      <c r="U759" t="s">
        <v>1039</v>
      </c>
      <c r="V759" t="s">
        <v>1002</v>
      </c>
      <c r="W759" t="s">
        <v>1040</v>
      </c>
      <c r="X759" t="s">
        <v>1458</v>
      </c>
    </row>
    <row r="760" spans="1:24" x14ac:dyDescent="0.25">
      <c r="A760" t="s">
        <v>42</v>
      </c>
      <c r="B760" t="s">
        <v>1483</v>
      </c>
      <c r="C760" t="s">
        <v>331</v>
      </c>
      <c r="E760" t="s">
        <v>1131</v>
      </c>
      <c r="F760">
        <v>27808</v>
      </c>
      <c r="G760" t="s">
        <v>1057</v>
      </c>
      <c r="H760" t="s">
        <v>1484</v>
      </c>
      <c r="I760" t="s">
        <v>1453</v>
      </c>
      <c r="J760" t="s">
        <v>1422</v>
      </c>
      <c r="K760" t="s">
        <v>1133</v>
      </c>
      <c r="L760" t="s">
        <v>1134</v>
      </c>
      <c r="M760" t="s">
        <v>1034</v>
      </c>
      <c r="N760" t="s">
        <v>1135</v>
      </c>
      <c r="O760" t="s">
        <v>446</v>
      </c>
      <c r="P760" t="s">
        <v>1137</v>
      </c>
      <c r="Q760" t="b">
        <v>1</v>
      </c>
      <c r="R760" t="b">
        <v>0</v>
      </c>
      <c r="S760" t="s">
        <v>1038</v>
      </c>
      <c r="T760" t="s">
        <v>446</v>
      </c>
      <c r="U760" t="s">
        <v>1039</v>
      </c>
      <c r="V760" t="s">
        <v>1002</v>
      </c>
      <c r="W760" t="s">
        <v>1040</v>
      </c>
      <c r="X760" t="s">
        <v>1458</v>
      </c>
    </row>
    <row r="761" spans="1:24" x14ac:dyDescent="0.25">
      <c r="A761" t="s">
        <v>42</v>
      </c>
      <c r="B761" t="s">
        <v>2402</v>
      </c>
      <c r="C761" t="s">
        <v>332</v>
      </c>
      <c r="E761" t="s">
        <v>2332</v>
      </c>
      <c r="F761">
        <v>5159</v>
      </c>
      <c r="G761" t="s">
        <v>1057</v>
      </c>
      <c r="H761" t="s">
        <v>1494</v>
      </c>
      <c r="I761" t="s">
        <v>1487</v>
      </c>
      <c r="J761" t="s">
        <v>1422</v>
      </c>
      <c r="K761" t="s">
        <v>1060</v>
      </c>
      <c r="L761" t="s">
        <v>1061</v>
      </c>
      <c r="M761" t="s">
        <v>1062</v>
      </c>
      <c r="N761" t="s">
        <v>1063</v>
      </c>
      <c r="O761" t="s">
        <v>446</v>
      </c>
      <c r="P761" t="s">
        <v>1064</v>
      </c>
      <c r="Q761" t="b">
        <v>1</v>
      </c>
      <c r="R761" t="b">
        <v>0</v>
      </c>
      <c r="S761" t="s">
        <v>2396</v>
      </c>
      <c r="T761" t="s">
        <v>446</v>
      </c>
      <c r="U761" t="s">
        <v>1039</v>
      </c>
      <c r="V761" t="s">
        <v>1002</v>
      </c>
      <c r="W761" t="s">
        <v>1040</v>
      </c>
      <c r="X761" t="s">
        <v>1488</v>
      </c>
    </row>
    <row r="762" spans="1:24" x14ac:dyDescent="0.25">
      <c r="A762" t="s">
        <v>42</v>
      </c>
      <c r="B762" t="s">
        <v>2403</v>
      </c>
      <c r="C762" t="s">
        <v>332</v>
      </c>
      <c r="E762" t="s">
        <v>2338</v>
      </c>
      <c r="F762">
        <v>5282</v>
      </c>
      <c r="G762" t="s">
        <v>1057</v>
      </c>
      <c r="H762" t="s">
        <v>1502</v>
      </c>
      <c r="I762" t="s">
        <v>1487</v>
      </c>
      <c r="J762" t="s">
        <v>1422</v>
      </c>
      <c r="K762" t="s">
        <v>1091</v>
      </c>
      <c r="L762" t="s">
        <v>1092</v>
      </c>
      <c r="M762" t="s">
        <v>1062</v>
      </c>
      <c r="N762" t="s">
        <v>1093</v>
      </c>
      <c r="O762" t="s">
        <v>446</v>
      </c>
      <c r="P762" t="s">
        <v>1094</v>
      </c>
      <c r="Q762" t="b">
        <v>1</v>
      </c>
      <c r="R762" t="b">
        <v>0</v>
      </c>
      <c r="S762" t="s">
        <v>2396</v>
      </c>
      <c r="T762" t="s">
        <v>446</v>
      </c>
      <c r="U762" t="s">
        <v>1039</v>
      </c>
      <c r="V762" t="s">
        <v>1002</v>
      </c>
      <c r="W762" t="s">
        <v>1040</v>
      </c>
      <c r="X762" t="s">
        <v>1488</v>
      </c>
    </row>
    <row r="763" spans="1:24" x14ac:dyDescent="0.25">
      <c r="A763" t="s">
        <v>42</v>
      </c>
      <c r="B763" t="s">
        <v>2404</v>
      </c>
      <c r="C763" t="s">
        <v>332</v>
      </c>
      <c r="E763" t="s">
        <v>2344</v>
      </c>
      <c r="F763">
        <v>10080</v>
      </c>
      <c r="G763" t="s">
        <v>1057</v>
      </c>
      <c r="H763" t="s">
        <v>1510</v>
      </c>
      <c r="I763" t="s">
        <v>1487</v>
      </c>
      <c r="J763" t="s">
        <v>1422</v>
      </c>
      <c r="K763" t="s">
        <v>1119</v>
      </c>
      <c r="L763" t="s">
        <v>1120</v>
      </c>
      <c r="M763" t="s">
        <v>1062</v>
      </c>
      <c r="N763" t="s">
        <v>1121</v>
      </c>
      <c r="O763" t="s">
        <v>446</v>
      </c>
      <c r="P763" t="s">
        <v>1122</v>
      </c>
      <c r="Q763" t="b">
        <v>1</v>
      </c>
      <c r="R763" t="b">
        <v>0</v>
      </c>
      <c r="S763" t="s">
        <v>2396</v>
      </c>
      <c r="T763" t="s">
        <v>446</v>
      </c>
      <c r="U763" t="s">
        <v>1039</v>
      </c>
      <c r="V763" t="s">
        <v>1002</v>
      </c>
      <c r="W763" t="s">
        <v>1040</v>
      </c>
      <c r="X763" t="s">
        <v>1488</v>
      </c>
    </row>
    <row r="764" spans="1:24" x14ac:dyDescent="0.25">
      <c r="A764" t="s">
        <v>42</v>
      </c>
      <c r="B764" t="s">
        <v>2405</v>
      </c>
      <c r="C764" t="s">
        <v>335</v>
      </c>
      <c r="E764" t="s">
        <v>2332</v>
      </c>
      <c r="F764">
        <v>3807</v>
      </c>
      <c r="G764" t="s">
        <v>1057</v>
      </c>
      <c r="H764" t="s">
        <v>1556</v>
      </c>
      <c r="I764" t="s">
        <v>1549</v>
      </c>
      <c r="J764" t="s">
        <v>1422</v>
      </c>
      <c r="K764" t="s">
        <v>1060</v>
      </c>
      <c r="L764" t="s">
        <v>1061</v>
      </c>
      <c r="M764" t="s">
        <v>1062</v>
      </c>
      <c r="N764" t="s">
        <v>1063</v>
      </c>
      <c r="O764" t="s">
        <v>446</v>
      </c>
      <c r="P764" t="s">
        <v>1064</v>
      </c>
      <c r="Q764" t="b">
        <v>1</v>
      </c>
      <c r="R764" t="b">
        <v>0</v>
      </c>
      <c r="S764" t="s">
        <v>2396</v>
      </c>
      <c r="T764" t="s">
        <v>446</v>
      </c>
      <c r="U764" t="s">
        <v>1039</v>
      </c>
      <c r="V764" t="s">
        <v>1002</v>
      </c>
      <c r="W764" t="s">
        <v>1040</v>
      </c>
      <c r="X764" t="s">
        <v>1550</v>
      </c>
    </row>
    <row r="765" spans="1:24" x14ac:dyDescent="0.25">
      <c r="A765" t="s">
        <v>42</v>
      </c>
      <c r="B765" t="s">
        <v>2406</v>
      </c>
      <c r="C765" t="s">
        <v>335</v>
      </c>
      <c r="E765" t="s">
        <v>2338</v>
      </c>
      <c r="F765">
        <v>3914</v>
      </c>
      <c r="G765" t="s">
        <v>1057</v>
      </c>
      <c r="H765" t="s">
        <v>1564</v>
      </c>
      <c r="I765" t="s">
        <v>1549</v>
      </c>
      <c r="J765" t="s">
        <v>1422</v>
      </c>
      <c r="K765" t="s">
        <v>1091</v>
      </c>
      <c r="L765" t="s">
        <v>1092</v>
      </c>
      <c r="M765" t="s">
        <v>1062</v>
      </c>
      <c r="N765" t="s">
        <v>1093</v>
      </c>
      <c r="O765" t="s">
        <v>446</v>
      </c>
      <c r="P765" t="s">
        <v>1094</v>
      </c>
      <c r="Q765" t="b">
        <v>1</v>
      </c>
      <c r="R765" t="b">
        <v>0</v>
      </c>
      <c r="S765" t="s">
        <v>2396</v>
      </c>
      <c r="T765" t="s">
        <v>446</v>
      </c>
      <c r="U765" t="s">
        <v>1039</v>
      </c>
      <c r="V765" t="s">
        <v>1002</v>
      </c>
      <c r="W765" t="s">
        <v>1040</v>
      </c>
      <c r="X765" t="s">
        <v>1550</v>
      </c>
    </row>
    <row r="766" spans="1:24" x14ac:dyDescent="0.25">
      <c r="A766" t="s">
        <v>42</v>
      </c>
      <c r="B766" t="s">
        <v>2407</v>
      </c>
      <c r="C766" t="s">
        <v>335</v>
      </c>
      <c r="E766" t="s">
        <v>2344</v>
      </c>
      <c r="F766">
        <v>6283</v>
      </c>
      <c r="G766" t="s">
        <v>1057</v>
      </c>
      <c r="H766" t="s">
        <v>1572</v>
      </c>
      <c r="I766" t="s">
        <v>1549</v>
      </c>
      <c r="J766" t="s">
        <v>1422</v>
      </c>
      <c r="K766" t="s">
        <v>1119</v>
      </c>
      <c r="L766" t="s">
        <v>1120</v>
      </c>
      <c r="M766" t="s">
        <v>1062</v>
      </c>
      <c r="N766" t="s">
        <v>1121</v>
      </c>
      <c r="O766" t="s">
        <v>446</v>
      </c>
      <c r="P766" t="s">
        <v>1122</v>
      </c>
      <c r="Q766" t="b">
        <v>1</v>
      </c>
      <c r="R766" t="b">
        <v>0</v>
      </c>
      <c r="S766" t="s">
        <v>2396</v>
      </c>
      <c r="T766" t="s">
        <v>446</v>
      </c>
      <c r="U766" t="s">
        <v>1039</v>
      </c>
      <c r="V766" t="s">
        <v>1002</v>
      </c>
      <c r="W766" t="s">
        <v>1040</v>
      </c>
      <c r="X766" t="s">
        <v>1550</v>
      </c>
    </row>
    <row r="767" spans="1:24" x14ac:dyDescent="0.25">
      <c r="A767" t="s">
        <v>42</v>
      </c>
      <c r="B767" t="s">
        <v>2408</v>
      </c>
      <c r="C767" t="s">
        <v>336</v>
      </c>
      <c r="E767" t="s">
        <v>2332</v>
      </c>
      <c r="F767">
        <v>1676</v>
      </c>
      <c r="G767" t="s">
        <v>1057</v>
      </c>
      <c r="H767" t="s">
        <v>1586</v>
      </c>
      <c r="I767" t="s">
        <v>1579</v>
      </c>
      <c r="J767" t="s">
        <v>1422</v>
      </c>
      <c r="K767" t="s">
        <v>1060</v>
      </c>
      <c r="L767" t="s">
        <v>1061</v>
      </c>
      <c r="M767" t="s">
        <v>1062</v>
      </c>
      <c r="N767" t="s">
        <v>1063</v>
      </c>
      <c r="O767" t="s">
        <v>446</v>
      </c>
      <c r="P767" t="s">
        <v>1064</v>
      </c>
      <c r="Q767" t="b">
        <v>1</v>
      </c>
      <c r="R767" t="b">
        <v>0</v>
      </c>
      <c r="S767" t="s">
        <v>2396</v>
      </c>
      <c r="T767" t="s">
        <v>446</v>
      </c>
      <c r="U767" t="s">
        <v>1039</v>
      </c>
      <c r="V767" t="s">
        <v>1002</v>
      </c>
      <c r="W767" t="s">
        <v>1040</v>
      </c>
      <c r="X767" t="s">
        <v>1580</v>
      </c>
    </row>
    <row r="768" spans="1:24" x14ac:dyDescent="0.25">
      <c r="A768" t="s">
        <v>42</v>
      </c>
      <c r="B768" t="s">
        <v>2409</v>
      </c>
      <c r="C768" t="s">
        <v>336</v>
      </c>
      <c r="E768" t="s">
        <v>2338</v>
      </c>
      <c r="F768">
        <v>1112</v>
      </c>
      <c r="G768" t="s">
        <v>1057</v>
      </c>
      <c r="H768" t="s">
        <v>1594</v>
      </c>
      <c r="I768" t="s">
        <v>1579</v>
      </c>
      <c r="J768" t="s">
        <v>1422</v>
      </c>
      <c r="K768" t="s">
        <v>1091</v>
      </c>
      <c r="L768" t="s">
        <v>1092</v>
      </c>
      <c r="M768" t="s">
        <v>1062</v>
      </c>
      <c r="N768" t="s">
        <v>1093</v>
      </c>
      <c r="O768" t="s">
        <v>446</v>
      </c>
      <c r="P768" t="s">
        <v>1094</v>
      </c>
      <c r="Q768" t="b">
        <v>1</v>
      </c>
      <c r="R768" t="b">
        <v>0</v>
      </c>
      <c r="S768" t="s">
        <v>2396</v>
      </c>
      <c r="T768" t="s">
        <v>446</v>
      </c>
      <c r="U768" t="s">
        <v>1039</v>
      </c>
      <c r="V768" t="s">
        <v>1002</v>
      </c>
      <c r="W768" t="s">
        <v>1040</v>
      </c>
      <c r="X768" t="s">
        <v>1580</v>
      </c>
    </row>
    <row r="769" spans="1:24" x14ac:dyDescent="0.25">
      <c r="A769" t="s">
        <v>42</v>
      </c>
      <c r="B769" t="s">
        <v>2410</v>
      </c>
      <c r="C769" t="s">
        <v>336</v>
      </c>
      <c r="E769" t="s">
        <v>2344</v>
      </c>
      <c r="F769">
        <v>807</v>
      </c>
      <c r="G769" t="s">
        <v>1057</v>
      </c>
      <c r="H769" t="s">
        <v>1602</v>
      </c>
      <c r="I769" t="s">
        <v>1579</v>
      </c>
      <c r="J769" t="s">
        <v>1422</v>
      </c>
      <c r="K769" t="s">
        <v>1119</v>
      </c>
      <c r="L769" t="s">
        <v>1120</v>
      </c>
      <c r="M769" t="s">
        <v>1062</v>
      </c>
      <c r="N769" t="s">
        <v>1121</v>
      </c>
      <c r="O769" t="s">
        <v>446</v>
      </c>
      <c r="P769" t="s">
        <v>1122</v>
      </c>
      <c r="Q769" t="b">
        <v>1</v>
      </c>
      <c r="R769" t="b">
        <v>0</v>
      </c>
      <c r="S769" t="s">
        <v>2396</v>
      </c>
      <c r="T769" t="s">
        <v>446</v>
      </c>
      <c r="U769" t="s">
        <v>1039</v>
      </c>
      <c r="V769" t="s">
        <v>1002</v>
      </c>
      <c r="W769" t="s">
        <v>1040</v>
      </c>
      <c r="X769" t="s">
        <v>1580</v>
      </c>
    </row>
    <row r="770" spans="1:24" x14ac:dyDescent="0.25">
      <c r="A770" t="s">
        <v>42</v>
      </c>
      <c r="B770" t="s">
        <v>2411</v>
      </c>
      <c r="C770" t="s">
        <v>337</v>
      </c>
      <c r="E770" t="s">
        <v>2332</v>
      </c>
      <c r="F770">
        <v>4372</v>
      </c>
      <c r="G770" t="s">
        <v>1057</v>
      </c>
      <c r="H770" t="s">
        <v>1610</v>
      </c>
      <c r="I770" t="s">
        <v>337</v>
      </c>
      <c r="J770" t="s">
        <v>1422</v>
      </c>
      <c r="K770" t="s">
        <v>1060</v>
      </c>
      <c r="L770" t="s">
        <v>1061</v>
      </c>
      <c r="M770" t="s">
        <v>1062</v>
      </c>
      <c r="N770" t="s">
        <v>1063</v>
      </c>
      <c r="O770" t="s">
        <v>446</v>
      </c>
      <c r="P770" t="s">
        <v>1064</v>
      </c>
      <c r="Q770" t="b">
        <v>1</v>
      </c>
      <c r="R770" t="b">
        <v>0</v>
      </c>
      <c r="S770" t="s">
        <v>2396</v>
      </c>
      <c r="T770" t="s">
        <v>446</v>
      </c>
      <c r="U770" t="s">
        <v>1039</v>
      </c>
      <c r="V770" t="s">
        <v>1002</v>
      </c>
      <c r="W770" t="s">
        <v>1040</v>
      </c>
      <c r="X770" t="s">
        <v>446</v>
      </c>
    </row>
    <row r="771" spans="1:24" x14ac:dyDescent="0.25">
      <c r="A771" t="s">
        <v>42</v>
      </c>
      <c r="B771" t="s">
        <v>2412</v>
      </c>
      <c r="C771" t="s">
        <v>337</v>
      </c>
      <c r="E771" t="s">
        <v>2338</v>
      </c>
      <c r="F771">
        <v>4430</v>
      </c>
      <c r="G771" t="s">
        <v>1057</v>
      </c>
      <c r="H771" t="s">
        <v>1614</v>
      </c>
      <c r="I771" t="s">
        <v>337</v>
      </c>
      <c r="J771" t="s">
        <v>1422</v>
      </c>
      <c r="K771" t="s">
        <v>1091</v>
      </c>
      <c r="L771" t="s">
        <v>1092</v>
      </c>
      <c r="M771" t="s">
        <v>1062</v>
      </c>
      <c r="N771" t="s">
        <v>1093</v>
      </c>
      <c r="O771" t="s">
        <v>446</v>
      </c>
      <c r="P771" t="s">
        <v>1094</v>
      </c>
      <c r="Q771" t="b">
        <v>1</v>
      </c>
      <c r="R771" t="b">
        <v>0</v>
      </c>
      <c r="S771" t="s">
        <v>2396</v>
      </c>
      <c r="T771" t="s">
        <v>446</v>
      </c>
      <c r="U771" t="s">
        <v>1039</v>
      </c>
      <c r="V771" t="s">
        <v>1002</v>
      </c>
      <c r="W771" t="s">
        <v>1040</v>
      </c>
      <c r="X771" t="s">
        <v>446</v>
      </c>
    </row>
    <row r="772" spans="1:24" x14ac:dyDescent="0.25">
      <c r="A772" t="s">
        <v>42</v>
      </c>
      <c r="B772" t="s">
        <v>2413</v>
      </c>
      <c r="C772" t="s">
        <v>337</v>
      </c>
      <c r="E772" t="s">
        <v>2344</v>
      </c>
      <c r="F772">
        <v>5188</v>
      </c>
      <c r="G772" t="s">
        <v>1057</v>
      </c>
      <c r="H772" t="s">
        <v>1625</v>
      </c>
      <c r="I772" t="s">
        <v>337</v>
      </c>
      <c r="J772" t="s">
        <v>1422</v>
      </c>
      <c r="K772" t="s">
        <v>1119</v>
      </c>
      <c r="L772" t="s">
        <v>1120</v>
      </c>
      <c r="M772" t="s">
        <v>1062</v>
      </c>
      <c r="N772" t="s">
        <v>1121</v>
      </c>
      <c r="O772" t="s">
        <v>446</v>
      </c>
      <c r="P772" t="s">
        <v>1122</v>
      </c>
      <c r="Q772" t="b">
        <v>1</v>
      </c>
      <c r="R772" t="b">
        <v>0</v>
      </c>
      <c r="S772" t="s">
        <v>2396</v>
      </c>
      <c r="T772" t="s">
        <v>446</v>
      </c>
      <c r="U772" t="s">
        <v>1039</v>
      </c>
      <c r="V772" t="s">
        <v>1002</v>
      </c>
      <c r="W772" t="s">
        <v>1040</v>
      </c>
      <c r="X772" t="s">
        <v>446</v>
      </c>
    </row>
    <row r="773" spans="1:24" x14ac:dyDescent="0.25">
      <c r="A773" t="s">
        <v>42</v>
      </c>
      <c r="B773" t="s">
        <v>2414</v>
      </c>
      <c r="C773" t="s">
        <v>341</v>
      </c>
      <c r="E773" t="s">
        <v>2332</v>
      </c>
      <c r="F773">
        <v>1193</v>
      </c>
      <c r="G773" t="s">
        <v>1057</v>
      </c>
      <c r="H773" t="s">
        <v>1672</v>
      </c>
      <c r="I773" t="s">
        <v>1665</v>
      </c>
      <c r="J773" t="s">
        <v>1422</v>
      </c>
      <c r="K773" t="s">
        <v>1060</v>
      </c>
      <c r="L773" t="s">
        <v>1061</v>
      </c>
      <c r="M773" t="s">
        <v>1062</v>
      </c>
      <c r="N773" t="s">
        <v>1063</v>
      </c>
      <c r="O773" t="s">
        <v>446</v>
      </c>
      <c r="P773" t="s">
        <v>1064</v>
      </c>
      <c r="Q773" t="b">
        <v>1</v>
      </c>
      <c r="R773" t="b">
        <v>0</v>
      </c>
      <c r="S773" t="s">
        <v>2396</v>
      </c>
      <c r="T773" t="s">
        <v>446</v>
      </c>
      <c r="U773" t="s">
        <v>1039</v>
      </c>
      <c r="V773" t="s">
        <v>1002</v>
      </c>
      <c r="W773" t="s">
        <v>1040</v>
      </c>
      <c r="X773" t="s">
        <v>1666</v>
      </c>
    </row>
    <row r="774" spans="1:24" x14ac:dyDescent="0.25">
      <c r="A774" t="s">
        <v>42</v>
      </c>
      <c r="B774" t="s">
        <v>2415</v>
      </c>
      <c r="C774" t="s">
        <v>341</v>
      </c>
      <c r="E774" t="s">
        <v>2338</v>
      </c>
      <c r="F774">
        <v>2699</v>
      </c>
      <c r="G774" t="s">
        <v>1057</v>
      </c>
      <c r="H774" t="s">
        <v>1680</v>
      </c>
      <c r="I774" t="s">
        <v>1665</v>
      </c>
      <c r="J774" t="s">
        <v>1422</v>
      </c>
      <c r="K774" t="s">
        <v>1091</v>
      </c>
      <c r="L774" t="s">
        <v>1092</v>
      </c>
      <c r="M774" t="s">
        <v>1062</v>
      </c>
      <c r="N774" t="s">
        <v>1093</v>
      </c>
      <c r="O774" t="s">
        <v>446</v>
      </c>
      <c r="P774" t="s">
        <v>1094</v>
      </c>
      <c r="Q774" t="b">
        <v>1</v>
      </c>
      <c r="R774" t="b">
        <v>0</v>
      </c>
      <c r="S774" t="s">
        <v>2396</v>
      </c>
      <c r="T774" t="s">
        <v>446</v>
      </c>
      <c r="U774" t="s">
        <v>1039</v>
      </c>
      <c r="V774" t="s">
        <v>1002</v>
      </c>
      <c r="W774" t="s">
        <v>1040</v>
      </c>
      <c r="X774" t="s">
        <v>1666</v>
      </c>
    </row>
    <row r="775" spans="1:24" x14ac:dyDescent="0.25">
      <c r="A775" t="s">
        <v>42</v>
      </c>
      <c r="B775" t="s">
        <v>2416</v>
      </c>
      <c r="C775" t="s">
        <v>341</v>
      </c>
      <c r="E775" t="s">
        <v>2344</v>
      </c>
      <c r="F775">
        <v>6310</v>
      </c>
      <c r="G775" t="s">
        <v>1057</v>
      </c>
      <c r="H775" t="s">
        <v>1688</v>
      </c>
      <c r="I775" t="s">
        <v>1665</v>
      </c>
      <c r="J775" t="s">
        <v>1422</v>
      </c>
      <c r="K775" t="s">
        <v>1119</v>
      </c>
      <c r="L775" t="s">
        <v>1120</v>
      </c>
      <c r="M775" t="s">
        <v>1062</v>
      </c>
      <c r="N775" t="s">
        <v>1121</v>
      </c>
      <c r="O775" t="s">
        <v>446</v>
      </c>
      <c r="P775" t="s">
        <v>1122</v>
      </c>
      <c r="Q775" t="b">
        <v>1</v>
      </c>
      <c r="R775" t="b">
        <v>0</v>
      </c>
      <c r="S775" t="s">
        <v>2396</v>
      </c>
      <c r="T775" t="s">
        <v>446</v>
      </c>
      <c r="U775" t="s">
        <v>1039</v>
      </c>
      <c r="V775" t="s">
        <v>1002</v>
      </c>
      <c r="W775" t="s">
        <v>1040</v>
      </c>
      <c r="X775" t="s">
        <v>1666</v>
      </c>
    </row>
    <row r="776" spans="1:24" x14ac:dyDescent="0.25">
      <c r="A776" t="s">
        <v>42</v>
      </c>
      <c r="B776" t="s">
        <v>1515</v>
      </c>
      <c r="C776" t="s">
        <v>333</v>
      </c>
      <c r="E776" t="s">
        <v>998</v>
      </c>
      <c r="F776">
        <v>636</v>
      </c>
      <c r="G776" t="s">
        <v>1057</v>
      </c>
      <c r="H776" t="s">
        <v>1516</v>
      </c>
      <c r="I776" t="s">
        <v>1517</v>
      </c>
      <c r="J776" t="s">
        <v>1422</v>
      </c>
      <c r="K776" t="s">
        <v>1032</v>
      </c>
      <c r="L776" t="s">
        <v>1033</v>
      </c>
      <c r="M776" t="s">
        <v>1034</v>
      </c>
      <c r="N776" t="s">
        <v>1035</v>
      </c>
      <c r="O776" t="s">
        <v>446</v>
      </c>
      <c r="P776" t="s">
        <v>1037</v>
      </c>
      <c r="Q776" t="b">
        <v>1</v>
      </c>
      <c r="R776" t="b">
        <v>0</v>
      </c>
      <c r="S776" t="s">
        <v>1038</v>
      </c>
      <c r="T776" t="s">
        <v>446</v>
      </c>
      <c r="U776" t="s">
        <v>1039</v>
      </c>
      <c r="V776" t="s">
        <v>1002</v>
      </c>
      <c r="W776" t="s">
        <v>1040</v>
      </c>
      <c r="X776" t="s">
        <v>1520</v>
      </c>
    </row>
    <row r="777" spans="1:24" x14ac:dyDescent="0.25">
      <c r="A777" t="s">
        <v>42</v>
      </c>
      <c r="B777" t="s">
        <v>1521</v>
      </c>
      <c r="C777" t="s">
        <v>333</v>
      </c>
      <c r="E777" t="s">
        <v>1005</v>
      </c>
      <c r="F777">
        <v>1175</v>
      </c>
      <c r="G777" t="s">
        <v>1057</v>
      </c>
      <c r="H777" t="s">
        <v>1522</v>
      </c>
      <c r="I777" t="s">
        <v>1517</v>
      </c>
      <c r="J777" t="s">
        <v>1422</v>
      </c>
      <c r="K777" t="s">
        <v>1044</v>
      </c>
      <c r="L777" t="s">
        <v>1045</v>
      </c>
      <c r="M777" t="s">
        <v>1034</v>
      </c>
      <c r="N777" t="s">
        <v>1046</v>
      </c>
      <c r="O777" t="s">
        <v>446</v>
      </c>
      <c r="P777" t="s">
        <v>1048</v>
      </c>
      <c r="Q777" t="b">
        <v>1</v>
      </c>
      <c r="R777" t="b">
        <v>0</v>
      </c>
      <c r="S777" t="s">
        <v>1038</v>
      </c>
      <c r="T777" t="s">
        <v>446</v>
      </c>
      <c r="U777" t="s">
        <v>1039</v>
      </c>
      <c r="V777" t="s">
        <v>1002</v>
      </c>
      <c r="W777" t="s">
        <v>1040</v>
      </c>
      <c r="X777" t="s">
        <v>1520</v>
      </c>
    </row>
    <row r="778" spans="1:24" x14ac:dyDescent="0.25">
      <c r="A778" t="s">
        <v>42</v>
      </c>
      <c r="B778" t="s">
        <v>1523</v>
      </c>
      <c r="C778" t="s">
        <v>333</v>
      </c>
      <c r="E778" t="s">
        <v>1007</v>
      </c>
      <c r="F778">
        <v>718</v>
      </c>
      <c r="G778" t="s">
        <v>1057</v>
      </c>
      <c r="H778" t="s">
        <v>1524</v>
      </c>
      <c r="I778" t="s">
        <v>1517</v>
      </c>
      <c r="J778" t="s">
        <v>1422</v>
      </c>
      <c r="K778" t="s">
        <v>1051</v>
      </c>
      <c r="L778" t="s">
        <v>1052</v>
      </c>
      <c r="M778" t="s">
        <v>1034</v>
      </c>
      <c r="N778" t="s">
        <v>1053</v>
      </c>
      <c r="O778" t="s">
        <v>446</v>
      </c>
      <c r="P778" t="s">
        <v>1055</v>
      </c>
      <c r="Q778" t="b">
        <v>1</v>
      </c>
      <c r="R778" t="b">
        <v>0</v>
      </c>
      <c r="S778" t="s">
        <v>1038</v>
      </c>
      <c r="T778" t="s">
        <v>446</v>
      </c>
      <c r="U778" t="s">
        <v>1039</v>
      </c>
      <c r="V778" t="s">
        <v>1002</v>
      </c>
      <c r="W778" t="s">
        <v>1040</v>
      </c>
      <c r="X778" t="s">
        <v>1520</v>
      </c>
    </row>
    <row r="779" spans="1:24" x14ac:dyDescent="0.25">
      <c r="A779" t="s">
        <v>42</v>
      </c>
      <c r="B779" t="s">
        <v>1525</v>
      </c>
      <c r="C779" t="s">
        <v>333</v>
      </c>
      <c r="E779" t="s">
        <v>1009</v>
      </c>
      <c r="F779">
        <v>791</v>
      </c>
      <c r="G779" t="s">
        <v>1057</v>
      </c>
      <c r="H779" t="s">
        <v>1526</v>
      </c>
      <c r="I779" t="s">
        <v>1517</v>
      </c>
      <c r="J779" t="s">
        <v>1422</v>
      </c>
      <c r="K779" t="s">
        <v>1060</v>
      </c>
      <c r="L779" t="s">
        <v>1061</v>
      </c>
      <c r="M779" t="s">
        <v>1062</v>
      </c>
      <c r="N779" t="s">
        <v>1063</v>
      </c>
      <c r="O779" t="s">
        <v>446</v>
      </c>
      <c r="P779" t="s">
        <v>1064</v>
      </c>
      <c r="Q779" t="b">
        <v>1</v>
      </c>
      <c r="R779" t="b">
        <v>0</v>
      </c>
      <c r="S779" t="s">
        <v>1038</v>
      </c>
      <c r="T779" t="s">
        <v>446</v>
      </c>
      <c r="U779" t="s">
        <v>1039</v>
      </c>
      <c r="V779" t="s">
        <v>1002</v>
      </c>
      <c r="W779" t="s">
        <v>1040</v>
      </c>
      <c r="X779" t="s">
        <v>1520</v>
      </c>
    </row>
    <row r="780" spans="1:24" x14ac:dyDescent="0.25">
      <c r="A780" t="s">
        <v>42</v>
      </c>
      <c r="B780" t="s">
        <v>2417</v>
      </c>
      <c r="C780" t="s">
        <v>333</v>
      </c>
      <c r="E780" t="s">
        <v>2332</v>
      </c>
      <c r="F780">
        <v>791</v>
      </c>
      <c r="G780" t="s">
        <v>1057</v>
      </c>
      <c r="H780" t="s">
        <v>1526</v>
      </c>
      <c r="I780" t="s">
        <v>1517</v>
      </c>
      <c r="J780" t="s">
        <v>1422</v>
      </c>
      <c r="K780" t="s">
        <v>1060</v>
      </c>
      <c r="L780" t="s">
        <v>1061</v>
      </c>
      <c r="M780" t="s">
        <v>1062</v>
      </c>
      <c r="N780" t="s">
        <v>1063</v>
      </c>
      <c r="O780" t="s">
        <v>446</v>
      </c>
      <c r="P780" t="s">
        <v>1064</v>
      </c>
      <c r="Q780" t="b">
        <v>1</v>
      </c>
      <c r="R780" t="b">
        <v>0</v>
      </c>
      <c r="S780" t="s">
        <v>2396</v>
      </c>
      <c r="T780" t="s">
        <v>446</v>
      </c>
      <c r="U780" t="s">
        <v>1039</v>
      </c>
      <c r="V780" t="s">
        <v>1002</v>
      </c>
      <c r="W780" t="s">
        <v>1040</v>
      </c>
      <c r="X780" t="s">
        <v>1520</v>
      </c>
    </row>
    <row r="781" spans="1:24" x14ac:dyDescent="0.25">
      <c r="A781" t="s">
        <v>42</v>
      </c>
      <c r="B781" t="s">
        <v>1527</v>
      </c>
      <c r="C781" t="s">
        <v>333</v>
      </c>
      <c r="E781" t="s">
        <v>1011</v>
      </c>
      <c r="F781">
        <v>872</v>
      </c>
      <c r="G781" t="s">
        <v>1057</v>
      </c>
      <c r="H781" t="s">
        <v>1528</v>
      </c>
      <c r="I781" t="s">
        <v>1517</v>
      </c>
      <c r="J781" t="s">
        <v>1422</v>
      </c>
      <c r="K781" t="s">
        <v>1070</v>
      </c>
      <c r="L781" t="s">
        <v>1071</v>
      </c>
      <c r="M781" t="s">
        <v>1034</v>
      </c>
      <c r="N781" t="s">
        <v>1072</v>
      </c>
      <c r="O781" t="s">
        <v>446</v>
      </c>
      <c r="P781" t="s">
        <v>1074</v>
      </c>
      <c r="Q781" t="b">
        <v>1</v>
      </c>
      <c r="R781" t="b">
        <v>0</v>
      </c>
      <c r="S781" t="s">
        <v>1038</v>
      </c>
      <c r="T781" t="s">
        <v>446</v>
      </c>
      <c r="U781" t="s">
        <v>1039</v>
      </c>
      <c r="V781" t="s">
        <v>1002</v>
      </c>
      <c r="W781" t="s">
        <v>1040</v>
      </c>
      <c r="X781" t="s">
        <v>1520</v>
      </c>
    </row>
    <row r="782" spans="1:24" x14ac:dyDescent="0.25">
      <c r="A782" t="s">
        <v>42</v>
      </c>
      <c r="B782" t="s">
        <v>1529</v>
      </c>
      <c r="C782" t="s">
        <v>333</v>
      </c>
      <c r="E782" t="s">
        <v>1013</v>
      </c>
      <c r="F782">
        <v>1389</v>
      </c>
      <c r="G782" t="s">
        <v>1057</v>
      </c>
      <c r="H782" t="s">
        <v>1530</v>
      </c>
      <c r="I782" t="s">
        <v>1517</v>
      </c>
      <c r="J782" t="s">
        <v>1422</v>
      </c>
      <c r="K782" t="s">
        <v>1077</v>
      </c>
      <c r="L782" t="s">
        <v>1078</v>
      </c>
      <c r="M782" t="s">
        <v>1034</v>
      </c>
      <c r="N782" t="s">
        <v>1079</v>
      </c>
      <c r="O782" t="s">
        <v>446</v>
      </c>
      <c r="P782" t="s">
        <v>1081</v>
      </c>
      <c r="Q782" t="b">
        <v>1</v>
      </c>
      <c r="R782" t="b">
        <v>0</v>
      </c>
      <c r="S782" t="s">
        <v>1038</v>
      </c>
      <c r="T782" t="s">
        <v>446</v>
      </c>
      <c r="U782" t="s">
        <v>1039</v>
      </c>
      <c r="V782" t="s">
        <v>1002</v>
      </c>
      <c r="W782" t="s">
        <v>1040</v>
      </c>
      <c r="X782" t="s">
        <v>1520</v>
      </c>
    </row>
    <row r="783" spans="1:24" x14ac:dyDescent="0.25">
      <c r="A783" t="s">
        <v>42</v>
      </c>
      <c r="B783" t="s">
        <v>1531</v>
      </c>
      <c r="C783" t="s">
        <v>333</v>
      </c>
      <c r="E783" t="s">
        <v>1015</v>
      </c>
      <c r="F783">
        <v>1289</v>
      </c>
      <c r="G783" t="s">
        <v>1057</v>
      </c>
      <c r="H783" t="s">
        <v>1532</v>
      </c>
      <c r="I783" t="s">
        <v>1517</v>
      </c>
      <c r="J783" t="s">
        <v>1422</v>
      </c>
      <c r="K783" t="s">
        <v>1084</v>
      </c>
      <c r="L783" t="s">
        <v>1085</v>
      </c>
      <c r="M783" t="s">
        <v>1034</v>
      </c>
      <c r="N783" t="s">
        <v>1086</v>
      </c>
      <c r="O783" t="s">
        <v>446</v>
      </c>
      <c r="P783" t="s">
        <v>1088</v>
      </c>
      <c r="Q783" t="b">
        <v>1</v>
      </c>
      <c r="R783" t="b">
        <v>0</v>
      </c>
      <c r="S783" t="s">
        <v>1038</v>
      </c>
      <c r="T783" t="s">
        <v>446</v>
      </c>
      <c r="U783" t="s">
        <v>1039</v>
      </c>
      <c r="V783" t="s">
        <v>1002</v>
      </c>
      <c r="W783" t="s">
        <v>1040</v>
      </c>
      <c r="X783" t="s">
        <v>1520</v>
      </c>
    </row>
    <row r="784" spans="1:24" x14ac:dyDescent="0.25">
      <c r="A784" t="s">
        <v>42</v>
      </c>
      <c r="B784" t="s">
        <v>1533</v>
      </c>
      <c r="C784" t="s">
        <v>333</v>
      </c>
      <c r="E784" t="s">
        <v>1017</v>
      </c>
      <c r="F784">
        <v>3080</v>
      </c>
      <c r="G784" t="s">
        <v>1057</v>
      </c>
      <c r="H784" t="s">
        <v>1534</v>
      </c>
      <c r="I784" t="s">
        <v>1517</v>
      </c>
      <c r="J784" t="s">
        <v>1422</v>
      </c>
      <c r="K784" t="s">
        <v>1091</v>
      </c>
      <c r="L784" t="s">
        <v>1092</v>
      </c>
      <c r="M784" t="s">
        <v>1062</v>
      </c>
      <c r="N784" t="s">
        <v>1093</v>
      </c>
      <c r="O784" t="s">
        <v>446</v>
      </c>
      <c r="P784" t="s">
        <v>1094</v>
      </c>
      <c r="Q784" t="b">
        <v>1</v>
      </c>
      <c r="R784" t="b">
        <v>0</v>
      </c>
      <c r="S784" t="s">
        <v>1038</v>
      </c>
      <c r="T784" t="s">
        <v>446</v>
      </c>
      <c r="U784" t="s">
        <v>1039</v>
      </c>
      <c r="V784" t="s">
        <v>1002</v>
      </c>
      <c r="W784" t="s">
        <v>1040</v>
      </c>
      <c r="X784" t="s">
        <v>1520</v>
      </c>
    </row>
    <row r="785" spans="1:24" x14ac:dyDescent="0.25">
      <c r="A785" t="s">
        <v>42</v>
      </c>
      <c r="B785" t="s">
        <v>2418</v>
      </c>
      <c r="C785" t="s">
        <v>333</v>
      </c>
      <c r="E785" t="s">
        <v>2338</v>
      </c>
      <c r="F785">
        <v>3080</v>
      </c>
      <c r="G785" t="s">
        <v>1057</v>
      </c>
      <c r="H785" t="s">
        <v>1534</v>
      </c>
      <c r="I785" t="s">
        <v>1517</v>
      </c>
      <c r="J785" t="s">
        <v>1422</v>
      </c>
      <c r="K785" t="s">
        <v>1091</v>
      </c>
      <c r="L785" t="s">
        <v>1092</v>
      </c>
      <c r="M785" t="s">
        <v>1062</v>
      </c>
      <c r="N785" t="s">
        <v>1093</v>
      </c>
      <c r="O785" t="s">
        <v>446</v>
      </c>
      <c r="P785" t="s">
        <v>1094</v>
      </c>
      <c r="Q785" t="b">
        <v>1</v>
      </c>
      <c r="R785" t="b">
        <v>0</v>
      </c>
      <c r="S785" t="s">
        <v>2396</v>
      </c>
      <c r="T785" t="s">
        <v>446</v>
      </c>
      <c r="U785" t="s">
        <v>1039</v>
      </c>
      <c r="V785" t="s">
        <v>1002</v>
      </c>
      <c r="W785" t="s">
        <v>1040</v>
      </c>
      <c r="X785" t="s">
        <v>1520</v>
      </c>
    </row>
    <row r="786" spans="1:24" x14ac:dyDescent="0.25">
      <c r="A786" t="s">
        <v>42</v>
      </c>
      <c r="B786" t="s">
        <v>1535</v>
      </c>
      <c r="C786" t="s">
        <v>333</v>
      </c>
      <c r="E786" t="s">
        <v>1019</v>
      </c>
      <c r="F786">
        <v>4062</v>
      </c>
      <c r="G786" t="s">
        <v>1057</v>
      </c>
      <c r="H786" t="s">
        <v>1536</v>
      </c>
      <c r="I786" t="s">
        <v>1517</v>
      </c>
      <c r="J786" t="s">
        <v>1422</v>
      </c>
      <c r="K786" t="s">
        <v>1097</v>
      </c>
      <c r="L786" t="s">
        <v>1098</v>
      </c>
      <c r="M786" t="s">
        <v>1034</v>
      </c>
      <c r="N786" t="s">
        <v>1099</v>
      </c>
      <c r="O786" t="s">
        <v>446</v>
      </c>
      <c r="P786" t="s">
        <v>1101</v>
      </c>
      <c r="Q786" t="b">
        <v>1</v>
      </c>
      <c r="R786" t="b">
        <v>0</v>
      </c>
      <c r="S786" t="s">
        <v>1038</v>
      </c>
      <c r="T786" t="s">
        <v>446</v>
      </c>
      <c r="U786" t="s">
        <v>1039</v>
      </c>
      <c r="V786" t="s">
        <v>1002</v>
      </c>
      <c r="W786" t="s">
        <v>1040</v>
      </c>
      <c r="X786" t="s">
        <v>1520</v>
      </c>
    </row>
    <row r="787" spans="1:24" x14ac:dyDescent="0.25">
      <c r="A787" t="s">
        <v>42</v>
      </c>
      <c r="B787" t="s">
        <v>1537</v>
      </c>
      <c r="C787" t="s">
        <v>333</v>
      </c>
      <c r="E787" t="s">
        <v>1021</v>
      </c>
      <c r="F787">
        <v>4026</v>
      </c>
      <c r="G787" t="s">
        <v>1057</v>
      </c>
      <c r="H787" t="s">
        <v>1538</v>
      </c>
      <c r="I787" t="s">
        <v>1517</v>
      </c>
      <c r="J787" t="s">
        <v>1422</v>
      </c>
      <c r="K787" t="s">
        <v>1105</v>
      </c>
      <c r="L787" t="s">
        <v>1106</v>
      </c>
      <c r="M787" t="s">
        <v>1034</v>
      </c>
      <c r="N787" t="s">
        <v>1107</v>
      </c>
      <c r="O787" t="s">
        <v>446</v>
      </c>
      <c r="P787" t="s">
        <v>1109</v>
      </c>
      <c r="Q787" t="b">
        <v>1</v>
      </c>
      <c r="R787" t="b">
        <v>0</v>
      </c>
      <c r="S787" t="s">
        <v>1038</v>
      </c>
      <c r="T787" t="s">
        <v>446</v>
      </c>
      <c r="U787" t="s">
        <v>1039</v>
      </c>
      <c r="V787" t="s">
        <v>1002</v>
      </c>
      <c r="W787" t="s">
        <v>1040</v>
      </c>
      <c r="X787" t="s">
        <v>1520</v>
      </c>
    </row>
    <row r="788" spans="1:24" x14ac:dyDescent="0.25">
      <c r="A788" t="s">
        <v>42</v>
      </c>
      <c r="B788" t="s">
        <v>1539</v>
      </c>
      <c r="C788" t="s">
        <v>333</v>
      </c>
      <c r="E788" t="s">
        <v>1023</v>
      </c>
      <c r="F788">
        <v>3806</v>
      </c>
      <c r="G788" t="s">
        <v>1057</v>
      </c>
      <c r="H788" t="s">
        <v>1540</v>
      </c>
      <c r="I788" t="s">
        <v>1517</v>
      </c>
      <c r="J788" t="s">
        <v>1422</v>
      </c>
      <c r="K788" t="s">
        <v>1112</v>
      </c>
      <c r="L788" t="s">
        <v>1113</v>
      </c>
      <c r="M788" t="s">
        <v>1034</v>
      </c>
      <c r="N788" t="s">
        <v>1114</v>
      </c>
      <c r="O788" t="s">
        <v>446</v>
      </c>
      <c r="P788" t="s">
        <v>1116</v>
      </c>
      <c r="Q788" t="b">
        <v>1</v>
      </c>
      <c r="R788" t="b">
        <v>0</v>
      </c>
      <c r="S788" t="s">
        <v>1038</v>
      </c>
      <c r="T788" t="s">
        <v>446</v>
      </c>
      <c r="U788" t="s">
        <v>1039</v>
      </c>
      <c r="V788" t="s">
        <v>1002</v>
      </c>
      <c r="W788" t="s">
        <v>1040</v>
      </c>
      <c r="X788" t="s">
        <v>1520</v>
      </c>
    </row>
    <row r="789" spans="1:24" x14ac:dyDescent="0.25">
      <c r="A789" t="s">
        <v>42</v>
      </c>
      <c r="B789" t="s">
        <v>1541</v>
      </c>
      <c r="C789" t="s">
        <v>333</v>
      </c>
      <c r="E789" t="s">
        <v>1025</v>
      </c>
      <c r="F789">
        <v>3771</v>
      </c>
      <c r="G789" t="s">
        <v>1057</v>
      </c>
      <c r="H789" t="s">
        <v>1542</v>
      </c>
      <c r="I789" t="s">
        <v>1517</v>
      </c>
      <c r="J789" t="s">
        <v>1422</v>
      </c>
      <c r="K789" t="s">
        <v>1119</v>
      </c>
      <c r="L789" t="s">
        <v>1120</v>
      </c>
      <c r="M789" t="s">
        <v>1062</v>
      </c>
      <c r="N789" t="s">
        <v>1121</v>
      </c>
      <c r="O789" t="s">
        <v>446</v>
      </c>
      <c r="P789" t="s">
        <v>1122</v>
      </c>
      <c r="Q789" t="b">
        <v>1</v>
      </c>
      <c r="R789" t="b">
        <v>0</v>
      </c>
      <c r="S789" t="s">
        <v>1038</v>
      </c>
      <c r="T789" t="s">
        <v>446</v>
      </c>
      <c r="U789" t="s">
        <v>1039</v>
      </c>
      <c r="V789" t="s">
        <v>1002</v>
      </c>
      <c r="W789" t="s">
        <v>1040</v>
      </c>
      <c r="X789" t="s">
        <v>1520</v>
      </c>
    </row>
    <row r="790" spans="1:24" x14ac:dyDescent="0.25">
      <c r="A790" t="s">
        <v>42</v>
      </c>
      <c r="B790" t="s">
        <v>2419</v>
      </c>
      <c r="C790" t="s">
        <v>333</v>
      </c>
      <c r="E790" t="s">
        <v>2344</v>
      </c>
      <c r="F790">
        <v>3771</v>
      </c>
      <c r="G790" t="s">
        <v>1057</v>
      </c>
      <c r="H790" t="s">
        <v>1542</v>
      </c>
      <c r="I790" t="s">
        <v>1517</v>
      </c>
      <c r="J790" t="s">
        <v>1422</v>
      </c>
      <c r="K790" t="s">
        <v>1119</v>
      </c>
      <c r="L790" t="s">
        <v>1120</v>
      </c>
      <c r="M790" t="s">
        <v>1062</v>
      </c>
      <c r="N790" t="s">
        <v>1121</v>
      </c>
      <c r="O790" t="s">
        <v>446</v>
      </c>
      <c r="P790" t="s">
        <v>1122</v>
      </c>
      <c r="Q790" t="b">
        <v>1</v>
      </c>
      <c r="R790" t="b">
        <v>0</v>
      </c>
      <c r="S790" t="s">
        <v>2396</v>
      </c>
      <c r="T790" t="s">
        <v>446</v>
      </c>
      <c r="U790" t="s">
        <v>1039</v>
      </c>
      <c r="V790" t="s">
        <v>1002</v>
      </c>
      <c r="W790" t="s">
        <v>1040</v>
      </c>
      <c r="X790" t="s">
        <v>1520</v>
      </c>
    </row>
    <row r="791" spans="1:24" x14ac:dyDescent="0.25">
      <c r="A791" t="s">
        <v>42</v>
      </c>
      <c r="B791" t="s">
        <v>1543</v>
      </c>
      <c r="C791" t="s">
        <v>333</v>
      </c>
      <c r="E791" t="s">
        <v>1027</v>
      </c>
      <c r="F791">
        <v>2779</v>
      </c>
      <c r="G791" t="s">
        <v>1057</v>
      </c>
      <c r="H791" t="s">
        <v>1544</v>
      </c>
      <c r="I791" t="s">
        <v>1517</v>
      </c>
      <c r="J791" t="s">
        <v>1422</v>
      </c>
      <c r="K791" t="s">
        <v>1125</v>
      </c>
      <c r="L791" t="s">
        <v>1126</v>
      </c>
      <c r="M791" t="s">
        <v>1034</v>
      </c>
      <c r="N791" t="s">
        <v>1127</v>
      </c>
      <c r="O791" t="s">
        <v>446</v>
      </c>
      <c r="P791" t="s">
        <v>1129</v>
      </c>
      <c r="Q791" t="b">
        <v>1</v>
      </c>
      <c r="R791" t="b">
        <v>0</v>
      </c>
      <c r="S791" t="s">
        <v>1038</v>
      </c>
      <c r="T791" t="s">
        <v>446</v>
      </c>
      <c r="U791" t="s">
        <v>1039</v>
      </c>
      <c r="V791" t="s">
        <v>1002</v>
      </c>
      <c r="W791" t="s">
        <v>1040</v>
      </c>
      <c r="X791" t="s">
        <v>1520</v>
      </c>
    </row>
    <row r="792" spans="1:24" x14ac:dyDescent="0.25">
      <c r="A792" t="s">
        <v>42</v>
      </c>
      <c r="B792" t="s">
        <v>1545</v>
      </c>
      <c r="C792" t="s">
        <v>333</v>
      </c>
      <c r="E792" t="s">
        <v>1131</v>
      </c>
      <c r="F792">
        <v>2658</v>
      </c>
      <c r="G792" t="s">
        <v>1057</v>
      </c>
      <c r="H792" t="s">
        <v>1546</v>
      </c>
      <c r="I792" t="s">
        <v>1517</v>
      </c>
      <c r="J792" t="s">
        <v>1422</v>
      </c>
      <c r="K792" t="s">
        <v>1133</v>
      </c>
      <c r="L792" t="s">
        <v>1134</v>
      </c>
      <c r="M792" t="s">
        <v>1034</v>
      </c>
      <c r="N792" t="s">
        <v>1135</v>
      </c>
      <c r="O792" t="s">
        <v>446</v>
      </c>
      <c r="P792" t="s">
        <v>1137</v>
      </c>
      <c r="Q792" t="b">
        <v>1</v>
      </c>
      <c r="R792" t="b">
        <v>0</v>
      </c>
      <c r="S792" t="s">
        <v>1038</v>
      </c>
      <c r="T792" t="s">
        <v>446</v>
      </c>
      <c r="U792" t="s">
        <v>1039</v>
      </c>
      <c r="V792" t="s">
        <v>1002</v>
      </c>
      <c r="W792" t="s">
        <v>1040</v>
      </c>
      <c r="X792" t="s">
        <v>1520</v>
      </c>
    </row>
    <row r="793" spans="1:24" x14ac:dyDescent="0.25">
      <c r="A793" t="s">
        <v>42</v>
      </c>
      <c r="B793" t="s">
        <v>1630</v>
      </c>
      <c r="C793" t="s">
        <v>338</v>
      </c>
      <c r="E793" t="s">
        <v>998</v>
      </c>
      <c r="F793">
        <v>6145</v>
      </c>
      <c r="G793" t="s">
        <v>1057</v>
      </c>
      <c r="H793" t="s">
        <v>1631</v>
      </c>
      <c r="I793" t="s">
        <v>1632</v>
      </c>
      <c r="J793" t="s">
        <v>1422</v>
      </c>
      <c r="K793" t="s">
        <v>1032</v>
      </c>
      <c r="L793" t="s">
        <v>1033</v>
      </c>
      <c r="M793" t="s">
        <v>1034</v>
      </c>
      <c r="N793" t="s">
        <v>1035</v>
      </c>
      <c r="O793" t="s">
        <v>446</v>
      </c>
      <c r="P793" t="s">
        <v>1037</v>
      </c>
      <c r="Q793" t="b">
        <v>1</v>
      </c>
      <c r="R793" t="b">
        <v>0</v>
      </c>
      <c r="S793" t="s">
        <v>2396</v>
      </c>
      <c r="T793" t="s">
        <v>446</v>
      </c>
      <c r="U793" t="s">
        <v>1039</v>
      </c>
      <c r="V793" t="s">
        <v>1002</v>
      </c>
      <c r="W793" t="s">
        <v>1040</v>
      </c>
      <c r="X793" t="s">
        <v>1636</v>
      </c>
    </row>
    <row r="794" spans="1:24" x14ac:dyDescent="0.25">
      <c r="A794" t="s">
        <v>42</v>
      </c>
      <c r="B794" t="s">
        <v>1637</v>
      </c>
      <c r="C794" t="s">
        <v>338</v>
      </c>
      <c r="E794" t="s">
        <v>1005</v>
      </c>
      <c r="F794">
        <v>6417</v>
      </c>
      <c r="G794" t="s">
        <v>1057</v>
      </c>
      <c r="H794" t="s">
        <v>1638</v>
      </c>
      <c r="I794" t="s">
        <v>1632</v>
      </c>
      <c r="J794" t="s">
        <v>1422</v>
      </c>
      <c r="K794" t="s">
        <v>1044</v>
      </c>
      <c r="L794" t="s">
        <v>1045</v>
      </c>
      <c r="M794" t="s">
        <v>1034</v>
      </c>
      <c r="N794" t="s">
        <v>1046</v>
      </c>
      <c r="O794" t="s">
        <v>446</v>
      </c>
      <c r="P794" t="s">
        <v>1048</v>
      </c>
      <c r="Q794" t="b">
        <v>1</v>
      </c>
      <c r="R794" t="b">
        <v>0</v>
      </c>
      <c r="S794" t="s">
        <v>2396</v>
      </c>
      <c r="T794" t="s">
        <v>446</v>
      </c>
      <c r="U794" t="s">
        <v>1039</v>
      </c>
      <c r="V794" t="s">
        <v>1002</v>
      </c>
      <c r="W794" t="s">
        <v>1040</v>
      </c>
      <c r="X794" t="s">
        <v>1636</v>
      </c>
    </row>
    <row r="795" spans="1:24" x14ac:dyDescent="0.25">
      <c r="A795" t="s">
        <v>42</v>
      </c>
      <c r="B795" t="s">
        <v>1639</v>
      </c>
      <c r="C795" t="s">
        <v>338</v>
      </c>
      <c r="E795" t="s">
        <v>1007</v>
      </c>
      <c r="F795">
        <v>7269</v>
      </c>
      <c r="G795" t="s">
        <v>1057</v>
      </c>
      <c r="H795" t="s">
        <v>1640</v>
      </c>
      <c r="I795" t="s">
        <v>1632</v>
      </c>
      <c r="J795" t="s">
        <v>1422</v>
      </c>
      <c r="K795" t="s">
        <v>1051</v>
      </c>
      <c r="L795" t="s">
        <v>1052</v>
      </c>
      <c r="M795" t="s">
        <v>1034</v>
      </c>
      <c r="N795" t="s">
        <v>1053</v>
      </c>
      <c r="O795" t="s">
        <v>446</v>
      </c>
      <c r="P795" t="s">
        <v>1055</v>
      </c>
      <c r="Q795" t="b">
        <v>1</v>
      </c>
      <c r="R795" t="b">
        <v>0</v>
      </c>
      <c r="S795" t="s">
        <v>2396</v>
      </c>
      <c r="T795" t="s">
        <v>446</v>
      </c>
      <c r="U795" t="s">
        <v>1039</v>
      </c>
      <c r="V795" t="s">
        <v>1002</v>
      </c>
      <c r="W795" t="s">
        <v>1040</v>
      </c>
      <c r="X795" t="s">
        <v>1636</v>
      </c>
    </row>
    <row r="796" spans="1:24" x14ac:dyDescent="0.25">
      <c r="A796" t="s">
        <v>42</v>
      </c>
      <c r="B796" t="s">
        <v>1641</v>
      </c>
      <c r="C796" t="s">
        <v>338</v>
      </c>
      <c r="E796" t="s">
        <v>1009</v>
      </c>
      <c r="F796">
        <v>8254</v>
      </c>
      <c r="G796" t="s">
        <v>1057</v>
      </c>
      <c r="H796" t="s">
        <v>1642</v>
      </c>
      <c r="I796" t="s">
        <v>1632</v>
      </c>
      <c r="J796" t="s">
        <v>1422</v>
      </c>
      <c r="K796" t="s">
        <v>1060</v>
      </c>
      <c r="L796" t="s">
        <v>1061</v>
      </c>
      <c r="M796" t="s">
        <v>1062</v>
      </c>
      <c r="N796" t="s">
        <v>1063</v>
      </c>
      <c r="O796" t="s">
        <v>446</v>
      </c>
      <c r="P796" t="s">
        <v>1064</v>
      </c>
      <c r="Q796" t="b">
        <v>1</v>
      </c>
      <c r="R796" t="b">
        <v>0</v>
      </c>
      <c r="S796" t="s">
        <v>2396</v>
      </c>
      <c r="T796" t="s">
        <v>446</v>
      </c>
      <c r="U796" t="s">
        <v>1039</v>
      </c>
      <c r="V796" t="s">
        <v>1002</v>
      </c>
      <c r="W796" t="s">
        <v>1040</v>
      </c>
      <c r="X796" t="s">
        <v>1636</v>
      </c>
    </row>
    <row r="797" spans="1:24" x14ac:dyDescent="0.25">
      <c r="A797" t="s">
        <v>42</v>
      </c>
      <c r="B797" t="s">
        <v>2420</v>
      </c>
      <c r="C797" t="s">
        <v>338</v>
      </c>
      <c r="E797" t="s">
        <v>2332</v>
      </c>
      <c r="F797">
        <v>8254</v>
      </c>
      <c r="G797" t="s">
        <v>1057</v>
      </c>
      <c r="H797" t="s">
        <v>1642</v>
      </c>
      <c r="I797" t="s">
        <v>1632</v>
      </c>
      <c r="J797" t="s">
        <v>1422</v>
      </c>
      <c r="K797" t="s">
        <v>1060</v>
      </c>
      <c r="L797" t="s">
        <v>1061</v>
      </c>
      <c r="M797" t="s">
        <v>1062</v>
      </c>
      <c r="N797" t="s">
        <v>1063</v>
      </c>
      <c r="O797" t="s">
        <v>446</v>
      </c>
      <c r="P797" t="s">
        <v>1064</v>
      </c>
      <c r="Q797" t="b">
        <v>1</v>
      </c>
      <c r="R797" t="b">
        <v>0</v>
      </c>
      <c r="S797" t="s">
        <v>2396</v>
      </c>
      <c r="T797" t="s">
        <v>446</v>
      </c>
      <c r="U797" t="s">
        <v>1039</v>
      </c>
      <c r="V797" t="s">
        <v>1002</v>
      </c>
      <c r="W797" t="s">
        <v>1040</v>
      </c>
      <c r="X797" t="s">
        <v>1636</v>
      </c>
    </row>
    <row r="798" spans="1:24" x14ac:dyDescent="0.25">
      <c r="A798" t="s">
        <v>42</v>
      </c>
      <c r="B798" t="s">
        <v>1643</v>
      </c>
      <c r="C798" t="s">
        <v>338</v>
      </c>
      <c r="E798" t="s">
        <v>1011</v>
      </c>
      <c r="F798">
        <v>9866</v>
      </c>
      <c r="G798" t="s">
        <v>1057</v>
      </c>
      <c r="H798" t="s">
        <v>1644</v>
      </c>
      <c r="I798" t="s">
        <v>1632</v>
      </c>
      <c r="J798" t="s">
        <v>1422</v>
      </c>
      <c r="K798" t="s">
        <v>1070</v>
      </c>
      <c r="L798" t="s">
        <v>1071</v>
      </c>
      <c r="M798" t="s">
        <v>1034</v>
      </c>
      <c r="N798" t="s">
        <v>1072</v>
      </c>
      <c r="O798" t="s">
        <v>446</v>
      </c>
      <c r="P798" t="s">
        <v>1074</v>
      </c>
      <c r="Q798" t="b">
        <v>1</v>
      </c>
      <c r="R798" t="b">
        <v>0</v>
      </c>
      <c r="S798" t="s">
        <v>2396</v>
      </c>
      <c r="T798" t="s">
        <v>446</v>
      </c>
      <c r="U798" t="s">
        <v>1039</v>
      </c>
      <c r="V798" t="s">
        <v>1002</v>
      </c>
      <c r="W798" t="s">
        <v>1040</v>
      </c>
      <c r="X798" t="s">
        <v>1636</v>
      </c>
    </row>
    <row r="799" spans="1:24" x14ac:dyDescent="0.25">
      <c r="A799" t="s">
        <v>42</v>
      </c>
      <c r="B799" t="s">
        <v>1645</v>
      </c>
      <c r="C799" t="s">
        <v>338</v>
      </c>
      <c r="E799" t="s">
        <v>1013</v>
      </c>
      <c r="F799">
        <v>11134</v>
      </c>
      <c r="G799" t="s">
        <v>1057</v>
      </c>
      <c r="H799" t="s">
        <v>1646</v>
      </c>
      <c r="I799" t="s">
        <v>1632</v>
      </c>
      <c r="J799" t="s">
        <v>1422</v>
      </c>
      <c r="K799" t="s">
        <v>1077</v>
      </c>
      <c r="L799" t="s">
        <v>1078</v>
      </c>
      <c r="M799" t="s">
        <v>1034</v>
      </c>
      <c r="N799" t="s">
        <v>1079</v>
      </c>
      <c r="O799" t="s">
        <v>446</v>
      </c>
      <c r="P799" t="s">
        <v>1081</v>
      </c>
      <c r="Q799" t="b">
        <v>1</v>
      </c>
      <c r="R799" t="b">
        <v>0</v>
      </c>
      <c r="S799" t="s">
        <v>2396</v>
      </c>
      <c r="T799" t="s">
        <v>446</v>
      </c>
      <c r="U799" t="s">
        <v>1039</v>
      </c>
      <c r="V799" t="s">
        <v>1002</v>
      </c>
      <c r="W799" t="s">
        <v>1040</v>
      </c>
      <c r="X799" t="s">
        <v>1636</v>
      </c>
    </row>
    <row r="800" spans="1:24" x14ac:dyDescent="0.25">
      <c r="A800" t="s">
        <v>42</v>
      </c>
      <c r="B800" t="s">
        <v>1647</v>
      </c>
      <c r="C800" t="s">
        <v>338</v>
      </c>
      <c r="E800" t="s">
        <v>1015</v>
      </c>
      <c r="F800">
        <v>11965</v>
      </c>
      <c r="G800" t="s">
        <v>1057</v>
      </c>
      <c r="H800" t="s">
        <v>1648</v>
      </c>
      <c r="I800" t="s">
        <v>1632</v>
      </c>
      <c r="J800" t="s">
        <v>1422</v>
      </c>
      <c r="K800" t="s">
        <v>1084</v>
      </c>
      <c r="L800" t="s">
        <v>1085</v>
      </c>
      <c r="M800" t="s">
        <v>1034</v>
      </c>
      <c r="N800" t="s">
        <v>1086</v>
      </c>
      <c r="O800" t="s">
        <v>446</v>
      </c>
      <c r="P800" t="s">
        <v>1088</v>
      </c>
      <c r="Q800" t="b">
        <v>1</v>
      </c>
      <c r="R800" t="b">
        <v>0</v>
      </c>
      <c r="S800" t="s">
        <v>2396</v>
      </c>
      <c r="T800" t="s">
        <v>446</v>
      </c>
      <c r="U800" t="s">
        <v>1039</v>
      </c>
      <c r="V800" t="s">
        <v>1002</v>
      </c>
      <c r="W800" t="s">
        <v>1040</v>
      </c>
      <c r="X800" t="s">
        <v>1636</v>
      </c>
    </row>
    <row r="801" spans="1:24" x14ac:dyDescent="0.25">
      <c r="A801" t="s">
        <v>42</v>
      </c>
      <c r="B801" t="s">
        <v>1649</v>
      </c>
      <c r="C801" t="s">
        <v>338</v>
      </c>
      <c r="E801" t="s">
        <v>1017</v>
      </c>
      <c r="F801">
        <v>11927</v>
      </c>
      <c r="G801" t="s">
        <v>1057</v>
      </c>
      <c r="H801" t="s">
        <v>1650</v>
      </c>
      <c r="I801" t="s">
        <v>1632</v>
      </c>
      <c r="J801" t="s">
        <v>1422</v>
      </c>
      <c r="K801" t="s">
        <v>1091</v>
      </c>
      <c r="L801" t="s">
        <v>1092</v>
      </c>
      <c r="M801" t="s">
        <v>1062</v>
      </c>
      <c r="N801" t="s">
        <v>1093</v>
      </c>
      <c r="O801" t="s">
        <v>446</v>
      </c>
      <c r="P801" t="s">
        <v>1094</v>
      </c>
      <c r="Q801" t="b">
        <v>1</v>
      </c>
      <c r="R801" t="b">
        <v>0</v>
      </c>
      <c r="S801" t="s">
        <v>2396</v>
      </c>
      <c r="T801" t="s">
        <v>446</v>
      </c>
      <c r="U801" t="s">
        <v>1039</v>
      </c>
      <c r="V801" t="s">
        <v>1002</v>
      </c>
      <c r="W801" t="s">
        <v>1040</v>
      </c>
      <c r="X801" t="s">
        <v>1636</v>
      </c>
    </row>
    <row r="802" spans="1:24" x14ac:dyDescent="0.25">
      <c r="A802" t="s">
        <v>42</v>
      </c>
      <c r="B802" t="s">
        <v>2421</v>
      </c>
      <c r="C802" t="s">
        <v>338</v>
      </c>
      <c r="E802" t="s">
        <v>2338</v>
      </c>
      <c r="F802">
        <v>11927</v>
      </c>
      <c r="G802" t="s">
        <v>1057</v>
      </c>
      <c r="H802" t="s">
        <v>1650</v>
      </c>
      <c r="I802" t="s">
        <v>1632</v>
      </c>
      <c r="J802" t="s">
        <v>1422</v>
      </c>
      <c r="K802" t="s">
        <v>1091</v>
      </c>
      <c r="L802" t="s">
        <v>1092</v>
      </c>
      <c r="M802" t="s">
        <v>1062</v>
      </c>
      <c r="N802" t="s">
        <v>1093</v>
      </c>
      <c r="O802" t="s">
        <v>446</v>
      </c>
      <c r="P802" t="s">
        <v>1094</v>
      </c>
      <c r="Q802" t="b">
        <v>1</v>
      </c>
      <c r="R802" t="b">
        <v>0</v>
      </c>
      <c r="S802" t="s">
        <v>2396</v>
      </c>
      <c r="T802" t="s">
        <v>446</v>
      </c>
      <c r="U802" t="s">
        <v>1039</v>
      </c>
      <c r="V802" t="s">
        <v>1002</v>
      </c>
      <c r="W802" t="s">
        <v>1040</v>
      </c>
      <c r="X802" t="s">
        <v>1636</v>
      </c>
    </row>
    <row r="803" spans="1:24" x14ac:dyDescent="0.25">
      <c r="A803" t="s">
        <v>42</v>
      </c>
      <c r="B803" t="s">
        <v>1651</v>
      </c>
      <c r="C803" t="s">
        <v>338</v>
      </c>
      <c r="E803" t="s">
        <v>1019</v>
      </c>
      <c r="F803">
        <v>13898</v>
      </c>
      <c r="G803" t="s">
        <v>1057</v>
      </c>
      <c r="H803" t="s">
        <v>1652</v>
      </c>
      <c r="I803" t="s">
        <v>1632</v>
      </c>
      <c r="J803" t="s">
        <v>1422</v>
      </c>
      <c r="K803" t="s">
        <v>1097</v>
      </c>
      <c r="L803" t="s">
        <v>1098</v>
      </c>
      <c r="M803" t="s">
        <v>1034</v>
      </c>
      <c r="N803" t="s">
        <v>1099</v>
      </c>
      <c r="O803" t="s">
        <v>446</v>
      </c>
      <c r="P803" t="s">
        <v>1101</v>
      </c>
      <c r="Q803" t="b">
        <v>1</v>
      </c>
      <c r="R803" t="b">
        <v>0</v>
      </c>
      <c r="S803" t="s">
        <v>1038</v>
      </c>
      <c r="T803" t="s">
        <v>446</v>
      </c>
      <c r="U803" t="s">
        <v>1039</v>
      </c>
      <c r="V803" t="s">
        <v>1002</v>
      </c>
      <c r="W803" t="s">
        <v>1040</v>
      </c>
      <c r="X803" t="s">
        <v>1636</v>
      </c>
    </row>
    <row r="804" spans="1:24" x14ac:dyDescent="0.25">
      <c r="A804" t="s">
        <v>42</v>
      </c>
      <c r="B804" t="s">
        <v>1653</v>
      </c>
      <c r="C804" t="s">
        <v>338</v>
      </c>
      <c r="E804" t="s">
        <v>1021</v>
      </c>
      <c r="F804">
        <v>15135</v>
      </c>
      <c r="G804" t="s">
        <v>1057</v>
      </c>
      <c r="H804" t="s">
        <v>1654</v>
      </c>
      <c r="I804" t="s">
        <v>1632</v>
      </c>
      <c r="J804" t="s">
        <v>1422</v>
      </c>
      <c r="K804" t="s">
        <v>1105</v>
      </c>
      <c r="L804" t="s">
        <v>1106</v>
      </c>
      <c r="M804" t="s">
        <v>1034</v>
      </c>
      <c r="N804" t="s">
        <v>1107</v>
      </c>
      <c r="O804" t="s">
        <v>446</v>
      </c>
      <c r="P804" t="s">
        <v>1109</v>
      </c>
      <c r="Q804" t="b">
        <v>1</v>
      </c>
      <c r="R804" t="b">
        <v>0</v>
      </c>
      <c r="S804" t="s">
        <v>1038</v>
      </c>
      <c r="T804" t="s">
        <v>446</v>
      </c>
      <c r="U804" t="s">
        <v>1039</v>
      </c>
      <c r="V804" t="s">
        <v>1002</v>
      </c>
      <c r="W804" t="s">
        <v>1040</v>
      </c>
      <c r="X804" t="s">
        <v>1636</v>
      </c>
    </row>
    <row r="805" spans="1:24" x14ac:dyDescent="0.25">
      <c r="A805" t="s">
        <v>42</v>
      </c>
      <c r="B805" t="s">
        <v>1655</v>
      </c>
      <c r="C805" t="s">
        <v>338</v>
      </c>
      <c r="E805" t="s">
        <v>1023</v>
      </c>
      <c r="F805">
        <v>17468</v>
      </c>
      <c r="G805" t="s">
        <v>1057</v>
      </c>
      <c r="H805" t="s">
        <v>1656</v>
      </c>
      <c r="I805" t="s">
        <v>1632</v>
      </c>
      <c r="J805" t="s">
        <v>1422</v>
      </c>
      <c r="K805" t="s">
        <v>1112</v>
      </c>
      <c r="L805" t="s">
        <v>1113</v>
      </c>
      <c r="M805" t="s">
        <v>1034</v>
      </c>
      <c r="N805" t="s">
        <v>1114</v>
      </c>
      <c r="O805" t="s">
        <v>446</v>
      </c>
      <c r="P805" t="s">
        <v>1116</v>
      </c>
      <c r="Q805" t="b">
        <v>1</v>
      </c>
      <c r="R805" t="b">
        <v>0</v>
      </c>
      <c r="S805" t="s">
        <v>1038</v>
      </c>
      <c r="T805" t="s">
        <v>446</v>
      </c>
      <c r="U805" t="s">
        <v>1039</v>
      </c>
      <c r="V805" t="s">
        <v>1002</v>
      </c>
      <c r="W805" t="s">
        <v>1040</v>
      </c>
      <c r="X805" t="s">
        <v>1636</v>
      </c>
    </row>
    <row r="806" spans="1:24" x14ac:dyDescent="0.25">
      <c r="A806" t="s">
        <v>42</v>
      </c>
      <c r="B806" t="s">
        <v>1657</v>
      </c>
      <c r="C806" t="s">
        <v>338</v>
      </c>
      <c r="E806" t="s">
        <v>1025</v>
      </c>
      <c r="F806">
        <v>19197</v>
      </c>
      <c r="G806" t="s">
        <v>1057</v>
      </c>
      <c r="H806" t="s">
        <v>1658</v>
      </c>
      <c r="I806" t="s">
        <v>1632</v>
      </c>
      <c r="J806" t="s">
        <v>1422</v>
      </c>
      <c r="K806" t="s">
        <v>1119</v>
      </c>
      <c r="L806" t="s">
        <v>1120</v>
      </c>
      <c r="M806" t="s">
        <v>1062</v>
      </c>
      <c r="N806" t="s">
        <v>1121</v>
      </c>
      <c r="O806" t="s">
        <v>446</v>
      </c>
      <c r="P806" t="s">
        <v>1122</v>
      </c>
      <c r="Q806" t="b">
        <v>1</v>
      </c>
      <c r="R806" t="b">
        <v>0</v>
      </c>
      <c r="S806" t="s">
        <v>1038</v>
      </c>
      <c r="T806" t="s">
        <v>446</v>
      </c>
      <c r="U806" t="s">
        <v>1039</v>
      </c>
      <c r="V806" t="s">
        <v>1002</v>
      </c>
      <c r="W806" t="s">
        <v>1040</v>
      </c>
      <c r="X806" t="s">
        <v>1636</v>
      </c>
    </row>
    <row r="807" spans="1:24" x14ac:dyDescent="0.25">
      <c r="A807" t="s">
        <v>42</v>
      </c>
      <c r="B807" t="s">
        <v>2422</v>
      </c>
      <c r="C807" t="s">
        <v>338</v>
      </c>
      <c r="E807" t="s">
        <v>2344</v>
      </c>
      <c r="F807">
        <v>19197</v>
      </c>
      <c r="G807" t="s">
        <v>1057</v>
      </c>
      <c r="H807" t="s">
        <v>1658</v>
      </c>
      <c r="I807" t="s">
        <v>1632</v>
      </c>
      <c r="J807" t="s">
        <v>1422</v>
      </c>
      <c r="K807" t="s">
        <v>1119</v>
      </c>
      <c r="L807" t="s">
        <v>1120</v>
      </c>
      <c r="M807" t="s">
        <v>1062</v>
      </c>
      <c r="N807" t="s">
        <v>1121</v>
      </c>
      <c r="O807" t="s">
        <v>446</v>
      </c>
      <c r="P807" t="s">
        <v>1122</v>
      </c>
      <c r="Q807" t="b">
        <v>1</v>
      </c>
      <c r="R807" t="b">
        <v>0</v>
      </c>
      <c r="S807" t="s">
        <v>2396</v>
      </c>
      <c r="T807" t="s">
        <v>446</v>
      </c>
      <c r="U807" t="s">
        <v>1039</v>
      </c>
      <c r="V807" t="s">
        <v>1002</v>
      </c>
      <c r="W807" t="s">
        <v>1040</v>
      </c>
      <c r="X807" t="s">
        <v>1636</v>
      </c>
    </row>
    <row r="808" spans="1:24" x14ac:dyDescent="0.25">
      <c r="A808" t="s">
        <v>42</v>
      </c>
      <c r="B808" t="s">
        <v>1659</v>
      </c>
      <c r="C808" t="s">
        <v>338</v>
      </c>
      <c r="E808" t="s">
        <v>1027</v>
      </c>
      <c r="F808">
        <v>21916</v>
      </c>
      <c r="G808" t="s">
        <v>1057</v>
      </c>
      <c r="H808" t="s">
        <v>1660</v>
      </c>
      <c r="I808" t="s">
        <v>1632</v>
      </c>
      <c r="J808" t="s">
        <v>1422</v>
      </c>
      <c r="K808" t="s">
        <v>1125</v>
      </c>
      <c r="L808" t="s">
        <v>1126</v>
      </c>
      <c r="M808" t="s">
        <v>1034</v>
      </c>
      <c r="N808" t="s">
        <v>1127</v>
      </c>
      <c r="O808" t="s">
        <v>446</v>
      </c>
      <c r="P808" t="s">
        <v>1129</v>
      </c>
      <c r="Q808" t="b">
        <v>1</v>
      </c>
      <c r="R808" t="b">
        <v>0</v>
      </c>
      <c r="S808" t="s">
        <v>2396</v>
      </c>
      <c r="T808" t="s">
        <v>446</v>
      </c>
      <c r="U808" t="s">
        <v>1039</v>
      </c>
      <c r="V808" t="s">
        <v>1002</v>
      </c>
      <c r="W808" t="s">
        <v>1040</v>
      </c>
      <c r="X808" t="s">
        <v>1636</v>
      </c>
    </row>
    <row r="809" spans="1:24" x14ac:dyDescent="0.25">
      <c r="A809" t="s">
        <v>42</v>
      </c>
      <c r="B809" t="s">
        <v>1661</v>
      </c>
      <c r="C809" t="s">
        <v>338</v>
      </c>
      <c r="E809" t="s">
        <v>1131</v>
      </c>
      <c r="F809">
        <v>22870</v>
      </c>
      <c r="G809" t="s">
        <v>1057</v>
      </c>
      <c r="H809" t="s">
        <v>1662</v>
      </c>
      <c r="I809" t="s">
        <v>1632</v>
      </c>
      <c r="J809" t="s">
        <v>1422</v>
      </c>
      <c r="K809" t="s">
        <v>1133</v>
      </c>
      <c r="L809" t="s">
        <v>1134</v>
      </c>
      <c r="M809" t="s">
        <v>1034</v>
      </c>
      <c r="N809" t="s">
        <v>1135</v>
      </c>
      <c r="O809" t="s">
        <v>446</v>
      </c>
      <c r="P809" t="s">
        <v>1137</v>
      </c>
      <c r="Q809" t="b">
        <v>1</v>
      </c>
      <c r="R809" t="b">
        <v>0</v>
      </c>
      <c r="S809" t="s">
        <v>2396</v>
      </c>
      <c r="T809" t="s">
        <v>446</v>
      </c>
      <c r="U809" t="s">
        <v>1039</v>
      </c>
      <c r="V809" t="s">
        <v>1002</v>
      </c>
      <c r="W809" t="s">
        <v>1040</v>
      </c>
      <c r="X809" t="s">
        <v>1636</v>
      </c>
    </row>
    <row r="810" spans="1:24" x14ac:dyDescent="0.25">
      <c r="A810" t="s">
        <v>42</v>
      </c>
      <c r="B810" t="s">
        <v>2423</v>
      </c>
      <c r="C810" t="s">
        <v>342</v>
      </c>
      <c r="E810" t="s">
        <v>2332</v>
      </c>
      <c r="F810">
        <v>3766</v>
      </c>
      <c r="G810" t="s">
        <v>1057</v>
      </c>
      <c r="H810" t="s">
        <v>1704</v>
      </c>
      <c r="I810" t="s">
        <v>1699</v>
      </c>
      <c r="J810" t="s">
        <v>1422</v>
      </c>
      <c r="K810" t="s">
        <v>1060</v>
      </c>
      <c r="L810" t="s">
        <v>1061</v>
      </c>
      <c r="M810" t="s">
        <v>1062</v>
      </c>
      <c r="N810" t="s">
        <v>1063</v>
      </c>
      <c r="O810" t="s">
        <v>446</v>
      </c>
      <c r="P810" t="s">
        <v>1064</v>
      </c>
      <c r="Q810" t="b">
        <v>1</v>
      </c>
      <c r="R810" t="b">
        <v>0</v>
      </c>
      <c r="S810" t="s">
        <v>2396</v>
      </c>
      <c r="T810" t="s">
        <v>446</v>
      </c>
      <c r="U810" t="s">
        <v>1039</v>
      </c>
      <c r="V810" t="s">
        <v>1002</v>
      </c>
      <c r="W810" t="s">
        <v>1040</v>
      </c>
      <c r="X810" t="s">
        <v>1700</v>
      </c>
    </row>
    <row r="811" spans="1:24" x14ac:dyDescent="0.25">
      <c r="A811" t="s">
        <v>42</v>
      </c>
      <c r="B811" t="s">
        <v>2424</v>
      </c>
      <c r="C811" t="s">
        <v>342</v>
      </c>
      <c r="E811" t="s">
        <v>2338</v>
      </c>
      <c r="F811">
        <v>5918</v>
      </c>
      <c r="G811" t="s">
        <v>1057</v>
      </c>
      <c r="H811" t="s">
        <v>1712</v>
      </c>
      <c r="I811" t="s">
        <v>1699</v>
      </c>
      <c r="J811" t="s">
        <v>1422</v>
      </c>
      <c r="K811" t="s">
        <v>1091</v>
      </c>
      <c r="L811" t="s">
        <v>1092</v>
      </c>
      <c r="M811" t="s">
        <v>1062</v>
      </c>
      <c r="N811" t="s">
        <v>1093</v>
      </c>
      <c r="O811" t="s">
        <v>446</v>
      </c>
      <c r="P811" t="s">
        <v>1094</v>
      </c>
      <c r="Q811" t="b">
        <v>1</v>
      </c>
      <c r="R811" t="b">
        <v>0</v>
      </c>
      <c r="S811" t="s">
        <v>2396</v>
      </c>
      <c r="T811" t="s">
        <v>446</v>
      </c>
      <c r="U811" t="s">
        <v>1039</v>
      </c>
      <c r="V811" t="s">
        <v>1002</v>
      </c>
      <c r="W811" t="s">
        <v>1040</v>
      </c>
      <c r="X811" t="s">
        <v>1700</v>
      </c>
    </row>
    <row r="812" spans="1:24" x14ac:dyDescent="0.25">
      <c r="A812" t="s">
        <v>42</v>
      </c>
      <c r="B812" t="s">
        <v>2425</v>
      </c>
      <c r="C812" t="s">
        <v>342</v>
      </c>
      <c r="E812" t="s">
        <v>2344</v>
      </c>
      <c r="F812">
        <v>10900</v>
      </c>
      <c r="G812" t="s">
        <v>1057</v>
      </c>
      <c r="H812" t="s">
        <v>1720</v>
      </c>
      <c r="I812" t="s">
        <v>1699</v>
      </c>
      <c r="J812" t="s">
        <v>1422</v>
      </c>
      <c r="K812" t="s">
        <v>1119</v>
      </c>
      <c r="L812" t="s">
        <v>1120</v>
      </c>
      <c r="M812" t="s">
        <v>1062</v>
      </c>
      <c r="N812" t="s">
        <v>1121</v>
      </c>
      <c r="O812" t="s">
        <v>446</v>
      </c>
      <c r="P812" t="s">
        <v>1122</v>
      </c>
      <c r="Q812" t="b">
        <v>1</v>
      </c>
      <c r="R812" t="b">
        <v>0</v>
      </c>
      <c r="S812" t="s">
        <v>2396</v>
      </c>
      <c r="T812" t="s">
        <v>446</v>
      </c>
      <c r="U812" t="s">
        <v>1039</v>
      </c>
      <c r="V812" t="s">
        <v>1002</v>
      </c>
      <c r="W812" t="s">
        <v>1040</v>
      </c>
      <c r="X812" t="s">
        <v>1696</v>
      </c>
    </row>
    <row r="813" spans="1:24" x14ac:dyDescent="0.25">
      <c r="A813" t="s">
        <v>42</v>
      </c>
      <c r="B813" t="s">
        <v>1725</v>
      </c>
      <c r="C813" t="s">
        <v>343</v>
      </c>
      <c r="E813" t="s">
        <v>998</v>
      </c>
      <c r="F813">
        <v>334</v>
      </c>
      <c r="G813" t="s">
        <v>1057</v>
      </c>
      <c r="H813" t="s">
        <v>1726</v>
      </c>
      <c r="I813" t="s">
        <v>1727</v>
      </c>
      <c r="J813" t="s">
        <v>1422</v>
      </c>
      <c r="K813" t="s">
        <v>1032</v>
      </c>
      <c r="L813" t="s">
        <v>1033</v>
      </c>
      <c r="M813" t="s">
        <v>1034</v>
      </c>
      <c r="N813" t="s">
        <v>1035</v>
      </c>
      <c r="O813" t="s">
        <v>446</v>
      </c>
      <c r="P813" t="s">
        <v>1037</v>
      </c>
      <c r="Q813" t="b">
        <v>1</v>
      </c>
      <c r="R813" t="b">
        <v>0</v>
      </c>
      <c r="S813" t="s">
        <v>1038</v>
      </c>
      <c r="T813" t="s">
        <v>446</v>
      </c>
      <c r="U813" t="s">
        <v>1039</v>
      </c>
      <c r="V813" t="s">
        <v>1002</v>
      </c>
      <c r="W813" t="s">
        <v>1040</v>
      </c>
      <c r="X813" t="s">
        <v>1728</v>
      </c>
    </row>
    <row r="814" spans="1:24" x14ac:dyDescent="0.25">
      <c r="A814" t="s">
        <v>42</v>
      </c>
      <c r="B814" t="s">
        <v>1729</v>
      </c>
      <c r="C814" t="s">
        <v>343</v>
      </c>
      <c r="E814" t="s">
        <v>1005</v>
      </c>
      <c r="F814">
        <v>359</v>
      </c>
      <c r="G814" t="s">
        <v>1057</v>
      </c>
      <c r="H814" t="s">
        <v>1730</v>
      </c>
      <c r="I814" t="s">
        <v>1727</v>
      </c>
      <c r="J814" t="s">
        <v>1422</v>
      </c>
      <c r="K814" t="s">
        <v>1044</v>
      </c>
      <c r="L814" t="s">
        <v>1045</v>
      </c>
      <c r="M814" t="s">
        <v>1034</v>
      </c>
      <c r="N814" t="s">
        <v>1046</v>
      </c>
      <c r="O814" t="s">
        <v>446</v>
      </c>
      <c r="P814" t="s">
        <v>1048</v>
      </c>
      <c r="Q814" t="b">
        <v>1</v>
      </c>
      <c r="R814" t="b">
        <v>0</v>
      </c>
      <c r="S814" t="s">
        <v>1038</v>
      </c>
      <c r="T814" t="s">
        <v>446</v>
      </c>
      <c r="U814" t="s">
        <v>1039</v>
      </c>
      <c r="V814" t="s">
        <v>1002</v>
      </c>
      <c r="W814" t="s">
        <v>1040</v>
      </c>
      <c r="X814" t="s">
        <v>1728</v>
      </c>
    </row>
    <row r="815" spans="1:24" x14ac:dyDescent="0.25">
      <c r="A815" t="s">
        <v>42</v>
      </c>
      <c r="B815" t="s">
        <v>1731</v>
      </c>
      <c r="C815" t="s">
        <v>343</v>
      </c>
      <c r="E815" t="s">
        <v>1007</v>
      </c>
      <c r="F815">
        <v>338</v>
      </c>
      <c r="G815" t="s">
        <v>1057</v>
      </c>
      <c r="H815" t="s">
        <v>1732</v>
      </c>
      <c r="I815" t="s">
        <v>1727</v>
      </c>
      <c r="J815" t="s">
        <v>1422</v>
      </c>
      <c r="K815" t="s">
        <v>1051</v>
      </c>
      <c r="L815" t="s">
        <v>1052</v>
      </c>
      <c r="M815" t="s">
        <v>1034</v>
      </c>
      <c r="N815" t="s">
        <v>1053</v>
      </c>
      <c r="O815" t="s">
        <v>446</v>
      </c>
      <c r="P815" t="s">
        <v>1055</v>
      </c>
      <c r="Q815" t="b">
        <v>1</v>
      </c>
      <c r="R815" t="b">
        <v>0</v>
      </c>
      <c r="S815" t="s">
        <v>1038</v>
      </c>
      <c r="T815" t="s">
        <v>446</v>
      </c>
      <c r="U815" t="s">
        <v>1039</v>
      </c>
      <c r="V815" t="s">
        <v>1002</v>
      </c>
      <c r="W815" t="s">
        <v>1040</v>
      </c>
      <c r="X815" t="s">
        <v>1728</v>
      </c>
    </row>
    <row r="816" spans="1:24" x14ac:dyDescent="0.25">
      <c r="A816" t="s">
        <v>42</v>
      </c>
      <c r="B816" t="s">
        <v>1733</v>
      </c>
      <c r="C816" t="s">
        <v>343</v>
      </c>
      <c r="E816" t="s">
        <v>1009</v>
      </c>
      <c r="F816">
        <v>354</v>
      </c>
      <c r="G816" t="s">
        <v>1057</v>
      </c>
      <c r="H816" t="s">
        <v>1734</v>
      </c>
      <c r="I816" t="s">
        <v>1727</v>
      </c>
      <c r="J816" t="s">
        <v>1422</v>
      </c>
      <c r="K816" t="s">
        <v>1060</v>
      </c>
      <c r="L816" t="s">
        <v>1061</v>
      </c>
      <c r="M816" t="s">
        <v>1062</v>
      </c>
      <c r="N816" t="s">
        <v>1063</v>
      </c>
      <c r="O816" t="s">
        <v>446</v>
      </c>
      <c r="P816" t="s">
        <v>1064</v>
      </c>
      <c r="Q816" t="b">
        <v>1</v>
      </c>
      <c r="R816" t="b">
        <v>0</v>
      </c>
      <c r="S816" t="s">
        <v>1038</v>
      </c>
      <c r="T816" t="s">
        <v>446</v>
      </c>
      <c r="U816" t="s">
        <v>1039</v>
      </c>
      <c r="V816" t="s">
        <v>1002</v>
      </c>
      <c r="W816" t="s">
        <v>1040</v>
      </c>
      <c r="X816" t="s">
        <v>1728</v>
      </c>
    </row>
    <row r="817" spans="1:24" x14ac:dyDescent="0.25">
      <c r="A817" t="s">
        <v>42</v>
      </c>
      <c r="B817" t="s">
        <v>2426</v>
      </c>
      <c r="C817" t="s">
        <v>343</v>
      </c>
      <c r="E817" t="s">
        <v>2332</v>
      </c>
      <c r="F817">
        <v>354</v>
      </c>
      <c r="G817" t="s">
        <v>1057</v>
      </c>
      <c r="H817" t="s">
        <v>1734</v>
      </c>
      <c r="I817" t="s">
        <v>1727</v>
      </c>
      <c r="J817" t="s">
        <v>1422</v>
      </c>
      <c r="K817" t="s">
        <v>1060</v>
      </c>
      <c r="L817" t="s">
        <v>1061</v>
      </c>
      <c r="M817" t="s">
        <v>1062</v>
      </c>
      <c r="N817" t="s">
        <v>1063</v>
      </c>
      <c r="O817" t="s">
        <v>446</v>
      </c>
      <c r="P817" t="s">
        <v>1064</v>
      </c>
      <c r="Q817" t="b">
        <v>1</v>
      </c>
      <c r="R817" t="b">
        <v>0</v>
      </c>
      <c r="S817" t="s">
        <v>2396</v>
      </c>
      <c r="T817" t="s">
        <v>446</v>
      </c>
      <c r="U817" t="s">
        <v>1039</v>
      </c>
      <c r="V817" t="s">
        <v>1002</v>
      </c>
      <c r="W817" t="s">
        <v>1040</v>
      </c>
      <c r="X817" t="s">
        <v>1728</v>
      </c>
    </row>
    <row r="818" spans="1:24" x14ac:dyDescent="0.25">
      <c r="A818" t="s">
        <v>42</v>
      </c>
      <c r="B818" t="s">
        <v>1735</v>
      </c>
      <c r="C818" t="s">
        <v>343</v>
      </c>
      <c r="E818" t="s">
        <v>1011</v>
      </c>
      <c r="F818">
        <v>367</v>
      </c>
      <c r="G818" t="s">
        <v>1057</v>
      </c>
      <c r="H818" t="s">
        <v>1736</v>
      </c>
      <c r="I818" t="s">
        <v>1727</v>
      </c>
      <c r="J818" t="s">
        <v>1422</v>
      </c>
      <c r="K818" t="s">
        <v>1070</v>
      </c>
      <c r="L818" t="s">
        <v>1071</v>
      </c>
      <c r="M818" t="s">
        <v>1034</v>
      </c>
      <c r="N818" t="s">
        <v>1072</v>
      </c>
      <c r="O818" t="s">
        <v>446</v>
      </c>
      <c r="P818" t="s">
        <v>1074</v>
      </c>
      <c r="Q818" t="b">
        <v>1</v>
      </c>
      <c r="R818" t="b">
        <v>0</v>
      </c>
      <c r="S818" t="s">
        <v>1038</v>
      </c>
      <c r="T818" t="s">
        <v>446</v>
      </c>
      <c r="U818" t="s">
        <v>1039</v>
      </c>
      <c r="V818" t="s">
        <v>1002</v>
      </c>
      <c r="W818" t="s">
        <v>1040</v>
      </c>
      <c r="X818" t="s">
        <v>1728</v>
      </c>
    </row>
    <row r="819" spans="1:24" x14ac:dyDescent="0.25">
      <c r="A819" t="s">
        <v>42</v>
      </c>
      <c r="B819" t="s">
        <v>1737</v>
      </c>
      <c r="C819" t="s">
        <v>343</v>
      </c>
      <c r="E819" t="s">
        <v>1013</v>
      </c>
      <c r="F819">
        <v>421</v>
      </c>
      <c r="G819" t="s">
        <v>1057</v>
      </c>
      <c r="H819" t="s">
        <v>1738</v>
      </c>
      <c r="I819" t="s">
        <v>1727</v>
      </c>
      <c r="J819" t="s">
        <v>1422</v>
      </c>
      <c r="K819" t="s">
        <v>1077</v>
      </c>
      <c r="L819" t="s">
        <v>1078</v>
      </c>
      <c r="M819" t="s">
        <v>1034</v>
      </c>
      <c r="N819" t="s">
        <v>1079</v>
      </c>
      <c r="O819" t="s">
        <v>446</v>
      </c>
      <c r="P819" t="s">
        <v>1081</v>
      </c>
      <c r="Q819" t="b">
        <v>1</v>
      </c>
      <c r="R819" t="b">
        <v>0</v>
      </c>
      <c r="S819" t="s">
        <v>1038</v>
      </c>
      <c r="T819" t="s">
        <v>446</v>
      </c>
      <c r="U819" t="s">
        <v>1039</v>
      </c>
      <c r="V819" t="s">
        <v>1002</v>
      </c>
      <c r="W819" t="s">
        <v>1040</v>
      </c>
      <c r="X819" t="s">
        <v>1728</v>
      </c>
    </row>
    <row r="820" spans="1:24" x14ac:dyDescent="0.25">
      <c r="A820" t="s">
        <v>42</v>
      </c>
      <c r="B820" t="s">
        <v>1739</v>
      </c>
      <c r="C820" t="s">
        <v>343</v>
      </c>
      <c r="E820" t="s">
        <v>1015</v>
      </c>
      <c r="F820">
        <v>513</v>
      </c>
      <c r="G820" t="s">
        <v>1057</v>
      </c>
      <c r="H820" t="s">
        <v>1740</v>
      </c>
      <c r="I820" t="s">
        <v>1727</v>
      </c>
      <c r="J820" t="s">
        <v>1422</v>
      </c>
      <c r="K820" t="s">
        <v>1084</v>
      </c>
      <c r="L820" t="s">
        <v>1085</v>
      </c>
      <c r="M820" t="s">
        <v>1034</v>
      </c>
      <c r="N820" t="s">
        <v>1086</v>
      </c>
      <c r="O820" t="s">
        <v>446</v>
      </c>
      <c r="P820" t="s">
        <v>1088</v>
      </c>
      <c r="Q820" t="b">
        <v>1</v>
      </c>
      <c r="R820" t="b">
        <v>0</v>
      </c>
      <c r="S820" t="s">
        <v>1038</v>
      </c>
      <c r="T820" t="s">
        <v>446</v>
      </c>
      <c r="U820" t="s">
        <v>1039</v>
      </c>
      <c r="V820" t="s">
        <v>1002</v>
      </c>
      <c r="W820" t="s">
        <v>1040</v>
      </c>
      <c r="X820" t="s">
        <v>1728</v>
      </c>
    </row>
    <row r="821" spans="1:24" x14ac:dyDescent="0.25">
      <c r="A821" t="s">
        <v>42</v>
      </c>
      <c r="B821" t="s">
        <v>1741</v>
      </c>
      <c r="C821" t="s">
        <v>343</v>
      </c>
      <c r="E821" t="s">
        <v>1017</v>
      </c>
      <c r="F821">
        <v>764</v>
      </c>
      <c r="G821" t="s">
        <v>1057</v>
      </c>
      <c r="H821" t="s">
        <v>1742</v>
      </c>
      <c r="I821" t="s">
        <v>1727</v>
      </c>
      <c r="J821" t="s">
        <v>1422</v>
      </c>
      <c r="K821" t="s">
        <v>1091</v>
      </c>
      <c r="L821" t="s">
        <v>1092</v>
      </c>
      <c r="M821" t="s">
        <v>1062</v>
      </c>
      <c r="N821" t="s">
        <v>1093</v>
      </c>
      <c r="O821" t="s">
        <v>446</v>
      </c>
      <c r="P821" t="s">
        <v>1094</v>
      </c>
      <c r="Q821" t="b">
        <v>1</v>
      </c>
      <c r="R821" t="b">
        <v>0</v>
      </c>
      <c r="S821" t="s">
        <v>1038</v>
      </c>
      <c r="T821" t="s">
        <v>446</v>
      </c>
      <c r="U821" t="s">
        <v>1039</v>
      </c>
      <c r="V821" t="s">
        <v>1002</v>
      </c>
      <c r="W821" t="s">
        <v>1040</v>
      </c>
      <c r="X821" t="s">
        <v>1728</v>
      </c>
    </row>
    <row r="822" spans="1:24" x14ac:dyDescent="0.25">
      <c r="A822" t="s">
        <v>42</v>
      </c>
      <c r="B822" t="s">
        <v>2427</v>
      </c>
      <c r="C822" t="s">
        <v>343</v>
      </c>
      <c r="E822" t="s">
        <v>2338</v>
      </c>
      <c r="F822">
        <v>764</v>
      </c>
      <c r="G822" t="s">
        <v>1057</v>
      </c>
      <c r="H822" t="s">
        <v>1742</v>
      </c>
      <c r="I822" t="s">
        <v>1727</v>
      </c>
      <c r="J822" t="s">
        <v>1422</v>
      </c>
      <c r="K822" t="s">
        <v>1091</v>
      </c>
      <c r="L822" t="s">
        <v>1092</v>
      </c>
      <c r="M822" t="s">
        <v>1062</v>
      </c>
      <c r="N822" t="s">
        <v>1093</v>
      </c>
      <c r="O822" t="s">
        <v>446</v>
      </c>
      <c r="P822" t="s">
        <v>1094</v>
      </c>
      <c r="Q822" t="b">
        <v>1</v>
      </c>
      <c r="R822" t="b">
        <v>0</v>
      </c>
      <c r="S822" t="s">
        <v>2396</v>
      </c>
      <c r="T822" t="s">
        <v>446</v>
      </c>
      <c r="U822" t="s">
        <v>1039</v>
      </c>
      <c r="V822" t="s">
        <v>1002</v>
      </c>
      <c r="W822" t="s">
        <v>1040</v>
      </c>
      <c r="X822" t="s">
        <v>1728</v>
      </c>
    </row>
    <row r="823" spans="1:24" x14ac:dyDescent="0.25">
      <c r="A823" t="s">
        <v>42</v>
      </c>
      <c r="B823" t="s">
        <v>2428</v>
      </c>
      <c r="C823" t="s">
        <v>343</v>
      </c>
      <c r="E823" t="s">
        <v>2344</v>
      </c>
      <c r="F823">
        <v>837</v>
      </c>
      <c r="G823" t="s">
        <v>1057</v>
      </c>
      <c r="H823" t="s">
        <v>1750</v>
      </c>
      <c r="I823" t="s">
        <v>1727</v>
      </c>
      <c r="J823" t="s">
        <v>1422</v>
      </c>
      <c r="K823" t="s">
        <v>1119</v>
      </c>
      <c r="L823" t="s">
        <v>1120</v>
      </c>
      <c r="M823" t="s">
        <v>1062</v>
      </c>
      <c r="N823" t="s">
        <v>1121</v>
      </c>
      <c r="O823" t="s">
        <v>446</v>
      </c>
      <c r="P823" t="s">
        <v>1122</v>
      </c>
      <c r="Q823" t="b">
        <v>1</v>
      </c>
      <c r="R823" t="b">
        <v>0</v>
      </c>
      <c r="S823" t="s">
        <v>2396</v>
      </c>
      <c r="T823" t="s">
        <v>446</v>
      </c>
      <c r="U823" t="s">
        <v>1039</v>
      </c>
      <c r="V823" t="s">
        <v>1002</v>
      </c>
      <c r="W823" t="s">
        <v>1040</v>
      </c>
      <c r="X823" t="s">
        <v>1728</v>
      </c>
    </row>
    <row r="824" spans="1:24" x14ac:dyDescent="0.25">
      <c r="A824" t="s">
        <v>42</v>
      </c>
      <c r="B824" t="s">
        <v>1751</v>
      </c>
      <c r="C824" t="s">
        <v>343</v>
      </c>
      <c r="E824" t="s">
        <v>1027</v>
      </c>
      <c r="F824">
        <v>1074</v>
      </c>
      <c r="G824" t="s">
        <v>1057</v>
      </c>
      <c r="H824" t="s">
        <v>1752</v>
      </c>
      <c r="I824" t="s">
        <v>1727</v>
      </c>
      <c r="J824" t="s">
        <v>1422</v>
      </c>
      <c r="K824" t="s">
        <v>1125</v>
      </c>
      <c r="L824" t="s">
        <v>1126</v>
      </c>
      <c r="M824" t="s">
        <v>1034</v>
      </c>
      <c r="N824" t="s">
        <v>1127</v>
      </c>
      <c r="O824" t="s">
        <v>446</v>
      </c>
      <c r="P824" t="s">
        <v>1129</v>
      </c>
      <c r="Q824" t="b">
        <v>1</v>
      </c>
      <c r="R824" t="b">
        <v>0</v>
      </c>
      <c r="S824" t="s">
        <v>1038</v>
      </c>
      <c r="T824" t="s">
        <v>446</v>
      </c>
      <c r="U824" t="s">
        <v>1039</v>
      </c>
      <c r="V824" t="s">
        <v>1002</v>
      </c>
      <c r="W824" t="s">
        <v>1040</v>
      </c>
      <c r="X824" t="s">
        <v>1728</v>
      </c>
    </row>
    <row r="825" spans="1:24" x14ac:dyDescent="0.25">
      <c r="A825" t="s">
        <v>42</v>
      </c>
      <c r="B825" t="s">
        <v>1753</v>
      </c>
      <c r="C825" t="s">
        <v>343</v>
      </c>
      <c r="E825" t="s">
        <v>1131</v>
      </c>
      <c r="F825">
        <v>980</v>
      </c>
      <c r="G825" t="s">
        <v>1057</v>
      </c>
      <c r="H825" t="s">
        <v>1754</v>
      </c>
      <c r="I825" t="s">
        <v>1727</v>
      </c>
      <c r="J825" t="s">
        <v>1422</v>
      </c>
      <c r="K825" t="s">
        <v>1133</v>
      </c>
      <c r="L825" t="s">
        <v>1134</v>
      </c>
      <c r="M825" t="s">
        <v>1034</v>
      </c>
      <c r="N825" t="s">
        <v>1135</v>
      </c>
      <c r="O825" t="s">
        <v>446</v>
      </c>
      <c r="P825" t="s">
        <v>1137</v>
      </c>
      <c r="Q825" t="b">
        <v>1</v>
      </c>
      <c r="R825" t="b">
        <v>0</v>
      </c>
      <c r="S825" t="s">
        <v>1038</v>
      </c>
      <c r="T825" t="s">
        <v>446</v>
      </c>
      <c r="U825" t="s">
        <v>1039</v>
      </c>
      <c r="V825" t="s">
        <v>1002</v>
      </c>
      <c r="W825" t="s">
        <v>1040</v>
      </c>
      <c r="X825" t="s">
        <v>1728</v>
      </c>
    </row>
    <row r="826" spans="1:24" x14ac:dyDescent="0.25">
      <c r="A826" t="s">
        <v>42</v>
      </c>
      <c r="B826" t="s">
        <v>2429</v>
      </c>
      <c r="C826" t="s">
        <v>346</v>
      </c>
      <c r="E826" t="s">
        <v>2332</v>
      </c>
      <c r="F826">
        <v>10953</v>
      </c>
      <c r="G826" t="s">
        <v>1057</v>
      </c>
      <c r="H826" t="s">
        <v>1766</v>
      </c>
      <c r="I826" t="s">
        <v>1761</v>
      </c>
      <c r="J826" t="s">
        <v>1422</v>
      </c>
      <c r="K826" t="s">
        <v>1060</v>
      </c>
      <c r="L826" t="s">
        <v>1061</v>
      </c>
      <c r="M826" t="s">
        <v>1062</v>
      </c>
      <c r="N826" t="s">
        <v>1063</v>
      </c>
      <c r="O826" t="s">
        <v>446</v>
      </c>
      <c r="P826" t="s">
        <v>1064</v>
      </c>
      <c r="Q826" t="b">
        <v>1</v>
      </c>
      <c r="R826" t="b">
        <v>0</v>
      </c>
      <c r="S826" t="s">
        <v>2396</v>
      </c>
      <c r="T826" t="s">
        <v>446</v>
      </c>
      <c r="U826" t="s">
        <v>1039</v>
      </c>
      <c r="V826" t="s">
        <v>1002</v>
      </c>
      <c r="W826" t="s">
        <v>1040</v>
      </c>
      <c r="X826" t="s">
        <v>1762</v>
      </c>
    </row>
    <row r="827" spans="1:24" x14ac:dyDescent="0.25">
      <c r="A827" t="s">
        <v>42</v>
      </c>
      <c r="B827" t="s">
        <v>2430</v>
      </c>
      <c r="C827" t="s">
        <v>346</v>
      </c>
      <c r="E827" t="s">
        <v>2338</v>
      </c>
      <c r="F827">
        <v>9709</v>
      </c>
      <c r="G827" t="s">
        <v>1057</v>
      </c>
      <c r="H827" t="s">
        <v>1774</v>
      </c>
      <c r="I827" t="s">
        <v>1761</v>
      </c>
      <c r="J827" t="s">
        <v>1422</v>
      </c>
      <c r="K827" t="s">
        <v>1091</v>
      </c>
      <c r="L827" t="s">
        <v>1092</v>
      </c>
      <c r="M827" t="s">
        <v>1062</v>
      </c>
      <c r="N827" t="s">
        <v>1093</v>
      </c>
      <c r="O827" t="s">
        <v>446</v>
      </c>
      <c r="P827" t="s">
        <v>1094</v>
      </c>
      <c r="Q827" t="b">
        <v>1</v>
      </c>
      <c r="R827" t="b">
        <v>0</v>
      </c>
      <c r="S827" t="s">
        <v>2396</v>
      </c>
      <c r="T827" t="s">
        <v>446</v>
      </c>
      <c r="U827" t="s">
        <v>1039</v>
      </c>
      <c r="V827" t="s">
        <v>1002</v>
      </c>
      <c r="W827" t="s">
        <v>1040</v>
      </c>
      <c r="X827" t="s">
        <v>1762</v>
      </c>
    </row>
    <row r="828" spans="1:24" x14ac:dyDescent="0.25">
      <c r="A828" t="s">
        <v>42</v>
      </c>
      <c r="B828" t="s">
        <v>2431</v>
      </c>
      <c r="C828" t="s">
        <v>346</v>
      </c>
      <c r="E828" t="s">
        <v>2344</v>
      </c>
      <c r="F828">
        <v>8463</v>
      </c>
      <c r="G828" t="s">
        <v>1057</v>
      </c>
      <c r="H828" t="s">
        <v>1782</v>
      </c>
      <c r="I828" t="s">
        <v>1761</v>
      </c>
      <c r="J828" t="s">
        <v>1422</v>
      </c>
      <c r="K828" t="s">
        <v>1119</v>
      </c>
      <c r="L828" t="s">
        <v>1120</v>
      </c>
      <c r="M828" t="s">
        <v>1062</v>
      </c>
      <c r="N828" t="s">
        <v>1121</v>
      </c>
      <c r="O828" t="s">
        <v>446</v>
      </c>
      <c r="P828" t="s">
        <v>1122</v>
      </c>
      <c r="Q828" t="b">
        <v>1</v>
      </c>
      <c r="R828" t="b">
        <v>0</v>
      </c>
      <c r="S828" t="s">
        <v>2396</v>
      </c>
      <c r="T828" t="s">
        <v>446</v>
      </c>
      <c r="U828" t="s">
        <v>1039</v>
      </c>
      <c r="V828" t="s">
        <v>1002</v>
      </c>
      <c r="W828" t="s">
        <v>1040</v>
      </c>
      <c r="X828" t="s">
        <v>1758</v>
      </c>
    </row>
    <row r="829" spans="1:24" x14ac:dyDescent="0.25">
      <c r="A829" t="s">
        <v>42</v>
      </c>
      <c r="B829" t="s">
        <v>2432</v>
      </c>
      <c r="C829" t="s">
        <v>347</v>
      </c>
      <c r="E829" t="s">
        <v>2332</v>
      </c>
      <c r="F829">
        <v>247</v>
      </c>
      <c r="G829" t="s">
        <v>1057</v>
      </c>
      <c r="H829" t="s">
        <v>1796</v>
      </c>
      <c r="I829" t="s">
        <v>1789</v>
      </c>
      <c r="J829" t="s">
        <v>1422</v>
      </c>
      <c r="K829" t="s">
        <v>1060</v>
      </c>
      <c r="L829" t="s">
        <v>1061</v>
      </c>
      <c r="M829" t="s">
        <v>1062</v>
      </c>
      <c r="N829" t="s">
        <v>1063</v>
      </c>
      <c r="O829" t="s">
        <v>446</v>
      </c>
      <c r="P829" t="s">
        <v>1064</v>
      </c>
      <c r="Q829" t="b">
        <v>1</v>
      </c>
      <c r="R829" t="b">
        <v>0</v>
      </c>
      <c r="S829" t="s">
        <v>2396</v>
      </c>
      <c r="T829" t="s">
        <v>446</v>
      </c>
      <c r="U829" t="s">
        <v>1039</v>
      </c>
      <c r="V829" t="s">
        <v>1002</v>
      </c>
      <c r="W829" t="s">
        <v>1040</v>
      </c>
      <c r="X829" t="s">
        <v>1790</v>
      </c>
    </row>
    <row r="830" spans="1:24" x14ac:dyDescent="0.25">
      <c r="A830" t="s">
        <v>42</v>
      </c>
      <c r="B830" t="s">
        <v>2433</v>
      </c>
      <c r="C830" t="s">
        <v>347</v>
      </c>
      <c r="E830" t="s">
        <v>2338</v>
      </c>
      <c r="F830">
        <v>462</v>
      </c>
      <c r="G830" t="s">
        <v>1057</v>
      </c>
      <c r="H830" t="s">
        <v>1804</v>
      </c>
      <c r="I830" t="s">
        <v>1789</v>
      </c>
      <c r="J830" t="s">
        <v>1422</v>
      </c>
      <c r="K830" t="s">
        <v>1091</v>
      </c>
      <c r="L830" t="s">
        <v>1092</v>
      </c>
      <c r="M830" t="s">
        <v>1062</v>
      </c>
      <c r="N830" t="s">
        <v>1093</v>
      </c>
      <c r="O830" t="s">
        <v>446</v>
      </c>
      <c r="P830" t="s">
        <v>1094</v>
      </c>
      <c r="Q830" t="b">
        <v>1</v>
      </c>
      <c r="R830" t="b">
        <v>0</v>
      </c>
      <c r="S830" t="s">
        <v>2396</v>
      </c>
      <c r="T830" t="s">
        <v>446</v>
      </c>
      <c r="U830" t="s">
        <v>1039</v>
      </c>
      <c r="V830" t="s">
        <v>1002</v>
      </c>
      <c r="W830" t="s">
        <v>1040</v>
      </c>
      <c r="X830" t="s">
        <v>1790</v>
      </c>
    </row>
    <row r="831" spans="1:24" x14ac:dyDescent="0.25">
      <c r="A831" t="s">
        <v>42</v>
      </c>
      <c r="B831" t="s">
        <v>2434</v>
      </c>
      <c r="C831" t="s">
        <v>347</v>
      </c>
      <c r="E831" t="s">
        <v>2344</v>
      </c>
      <c r="F831">
        <v>886</v>
      </c>
      <c r="G831" t="s">
        <v>1057</v>
      </c>
      <c r="H831" t="s">
        <v>1812</v>
      </c>
      <c r="I831" t="s">
        <v>1789</v>
      </c>
      <c r="J831" t="s">
        <v>1422</v>
      </c>
      <c r="K831" t="s">
        <v>1119</v>
      </c>
      <c r="L831" t="s">
        <v>1120</v>
      </c>
      <c r="M831" t="s">
        <v>1062</v>
      </c>
      <c r="N831" t="s">
        <v>1121</v>
      </c>
      <c r="O831" t="s">
        <v>446</v>
      </c>
      <c r="P831" t="s">
        <v>1122</v>
      </c>
      <c r="Q831" t="b">
        <v>1</v>
      </c>
      <c r="R831" t="b">
        <v>0</v>
      </c>
      <c r="S831" t="s">
        <v>2396</v>
      </c>
      <c r="T831" t="s">
        <v>446</v>
      </c>
      <c r="U831" t="s">
        <v>1039</v>
      </c>
      <c r="V831" t="s">
        <v>1002</v>
      </c>
      <c r="W831" t="s">
        <v>1040</v>
      </c>
      <c r="X831" t="s">
        <v>1790</v>
      </c>
    </row>
    <row r="832" spans="1:24" x14ac:dyDescent="0.25">
      <c r="A832" t="s">
        <v>42</v>
      </c>
      <c r="B832" t="s">
        <v>1817</v>
      </c>
      <c r="C832" t="s">
        <v>348</v>
      </c>
      <c r="E832" t="s">
        <v>998</v>
      </c>
      <c r="F832">
        <v>2126</v>
      </c>
      <c r="G832" t="s">
        <v>1057</v>
      </c>
      <c r="H832" t="s">
        <v>1818</v>
      </c>
      <c r="I832" t="s">
        <v>1819</v>
      </c>
      <c r="J832" t="s">
        <v>1422</v>
      </c>
      <c r="K832" t="s">
        <v>1032</v>
      </c>
      <c r="L832" t="s">
        <v>1033</v>
      </c>
      <c r="M832" t="s">
        <v>1034</v>
      </c>
      <c r="N832" t="s">
        <v>1035</v>
      </c>
      <c r="O832" t="s">
        <v>446</v>
      </c>
      <c r="P832" t="s">
        <v>1037</v>
      </c>
      <c r="Q832" t="b">
        <v>1</v>
      </c>
      <c r="R832" t="b">
        <v>0</v>
      </c>
      <c r="S832" t="s">
        <v>2396</v>
      </c>
      <c r="T832" t="s">
        <v>446</v>
      </c>
      <c r="U832" t="s">
        <v>1039</v>
      </c>
      <c r="V832" t="s">
        <v>1002</v>
      </c>
      <c r="W832" t="s">
        <v>1040</v>
      </c>
      <c r="X832" t="s">
        <v>1822</v>
      </c>
    </row>
    <row r="833" spans="1:24" x14ac:dyDescent="0.25">
      <c r="A833" t="s">
        <v>42</v>
      </c>
      <c r="B833" t="s">
        <v>1823</v>
      </c>
      <c r="C833" t="s">
        <v>348</v>
      </c>
      <c r="E833" t="s">
        <v>1005</v>
      </c>
      <c r="F833">
        <v>2100</v>
      </c>
      <c r="G833" t="s">
        <v>1057</v>
      </c>
      <c r="H833" t="s">
        <v>1824</v>
      </c>
      <c r="I833" t="s">
        <v>2435</v>
      </c>
      <c r="J833" t="s">
        <v>1422</v>
      </c>
      <c r="K833" t="s">
        <v>1044</v>
      </c>
      <c r="L833" t="s">
        <v>1045</v>
      </c>
      <c r="M833" t="s">
        <v>1034</v>
      </c>
      <c r="N833" t="s">
        <v>1046</v>
      </c>
      <c r="O833" t="s">
        <v>446</v>
      </c>
      <c r="P833" t="s">
        <v>1048</v>
      </c>
      <c r="Q833" t="b">
        <v>1</v>
      </c>
      <c r="R833" t="b">
        <v>0</v>
      </c>
      <c r="S833" t="s">
        <v>2396</v>
      </c>
      <c r="T833" t="s">
        <v>446</v>
      </c>
      <c r="U833" t="s">
        <v>1039</v>
      </c>
      <c r="V833" t="s">
        <v>1002</v>
      </c>
      <c r="W833" t="s">
        <v>1040</v>
      </c>
      <c r="X833" t="s">
        <v>1828</v>
      </c>
    </row>
    <row r="834" spans="1:24" x14ac:dyDescent="0.25">
      <c r="A834" t="s">
        <v>42</v>
      </c>
      <c r="B834" t="s">
        <v>1829</v>
      </c>
      <c r="C834" t="s">
        <v>348</v>
      </c>
      <c r="E834" t="s">
        <v>1007</v>
      </c>
      <c r="F834">
        <v>2337</v>
      </c>
      <c r="G834" t="s">
        <v>1057</v>
      </c>
      <c r="H834" t="s">
        <v>1830</v>
      </c>
      <c r="I834" t="s">
        <v>2435</v>
      </c>
      <c r="J834" t="s">
        <v>1422</v>
      </c>
      <c r="K834" t="s">
        <v>1051</v>
      </c>
      <c r="L834" t="s">
        <v>1052</v>
      </c>
      <c r="M834" t="s">
        <v>1034</v>
      </c>
      <c r="N834" t="s">
        <v>1053</v>
      </c>
      <c r="O834" t="s">
        <v>446</v>
      </c>
      <c r="P834" t="s">
        <v>1055</v>
      </c>
      <c r="Q834" t="b">
        <v>1</v>
      </c>
      <c r="R834" t="b">
        <v>0</v>
      </c>
      <c r="S834" t="s">
        <v>2396</v>
      </c>
      <c r="T834" t="s">
        <v>446</v>
      </c>
      <c r="U834" t="s">
        <v>1039</v>
      </c>
      <c r="V834" t="s">
        <v>1002</v>
      </c>
      <c r="W834" t="s">
        <v>1040</v>
      </c>
      <c r="X834" t="s">
        <v>1828</v>
      </c>
    </row>
    <row r="835" spans="1:24" x14ac:dyDescent="0.25">
      <c r="A835" t="s">
        <v>42</v>
      </c>
      <c r="B835" t="s">
        <v>1831</v>
      </c>
      <c r="C835" t="s">
        <v>348</v>
      </c>
      <c r="E835" t="s">
        <v>1009</v>
      </c>
      <c r="F835">
        <v>2568</v>
      </c>
      <c r="G835" t="s">
        <v>1057</v>
      </c>
      <c r="H835" t="s">
        <v>1832</v>
      </c>
      <c r="I835" t="s">
        <v>2435</v>
      </c>
      <c r="J835" t="s">
        <v>1422</v>
      </c>
      <c r="K835" t="s">
        <v>1060</v>
      </c>
      <c r="L835" t="s">
        <v>1061</v>
      </c>
      <c r="M835" t="s">
        <v>1062</v>
      </c>
      <c r="N835" t="s">
        <v>1063</v>
      </c>
      <c r="O835" t="s">
        <v>446</v>
      </c>
      <c r="P835" t="s">
        <v>1064</v>
      </c>
      <c r="Q835" t="b">
        <v>1</v>
      </c>
      <c r="R835" t="b">
        <v>0</v>
      </c>
      <c r="S835" t="s">
        <v>2396</v>
      </c>
      <c r="T835" t="s">
        <v>446</v>
      </c>
      <c r="U835" t="s">
        <v>1039</v>
      </c>
      <c r="V835" t="s">
        <v>1002</v>
      </c>
      <c r="W835" t="s">
        <v>1040</v>
      </c>
      <c r="X835" t="s">
        <v>1828</v>
      </c>
    </row>
    <row r="836" spans="1:24" x14ac:dyDescent="0.25">
      <c r="A836" t="s">
        <v>42</v>
      </c>
      <c r="B836" t="s">
        <v>2436</v>
      </c>
      <c r="C836" t="s">
        <v>348</v>
      </c>
      <c r="E836" t="s">
        <v>2332</v>
      </c>
      <c r="F836">
        <v>2568</v>
      </c>
      <c r="G836" t="s">
        <v>1057</v>
      </c>
      <c r="H836" t="s">
        <v>1832</v>
      </c>
      <c r="I836" t="s">
        <v>2435</v>
      </c>
      <c r="J836" t="s">
        <v>1422</v>
      </c>
      <c r="K836" t="s">
        <v>1060</v>
      </c>
      <c r="L836" t="s">
        <v>1061</v>
      </c>
      <c r="M836" t="s">
        <v>1062</v>
      </c>
      <c r="N836" t="s">
        <v>1063</v>
      </c>
      <c r="O836" t="s">
        <v>446</v>
      </c>
      <c r="P836" t="s">
        <v>1064</v>
      </c>
      <c r="Q836" t="b">
        <v>1</v>
      </c>
      <c r="R836" t="b">
        <v>0</v>
      </c>
      <c r="S836" t="s">
        <v>2396</v>
      </c>
      <c r="T836" t="s">
        <v>446</v>
      </c>
      <c r="U836" t="s">
        <v>1039</v>
      </c>
      <c r="V836" t="s">
        <v>1002</v>
      </c>
      <c r="W836" t="s">
        <v>1040</v>
      </c>
      <c r="X836" t="s">
        <v>1828</v>
      </c>
    </row>
    <row r="837" spans="1:24" x14ac:dyDescent="0.25">
      <c r="A837" t="s">
        <v>42</v>
      </c>
      <c r="B837" t="s">
        <v>1833</v>
      </c>
      <c r="C837" t="s">
        <v>348</v>
      </c>
      <c r="E837" t="s">
        <v>1011</v>
      </c>
      <c r="F837">
        <v>2686</v>
      </c>
      <c r="G837" t="s">
        <v>1057</v>
      </c>
      <c r="H837" t="s">
        <v>1834</v>
      </c>
      <c r="I837" t="s">
        <v>2435</v>
      </c>
      <c r="J837" t="s">
        <v>1422</v>
      </c>
      <c r="K837" t="s">
        <v>1070</v>
      </c>
      <c r="L837" t="s">
        <v>1071</v>
      </c>
      <c r="M837" t="s">
        <v>1034</v>
      </c>
      <c r="N837" t="s">
        <v>1072</v>
      </c>
      <c r="O837" t="s">
        <v>446</v>
      </c>
      <c r="P837" t="s">
        <v>1074</v>
      </c>
      <c r="Q837" t="b">
        <v>1</v>
      </c>
      <c r="R837" t="b">
        <v>0</v>
      </c>
      <c r="S837" t="s">
        <v>2396</v>
      </c>
      <c r="T837" t="s">
        <v>446</v>
      </c>
      <c r="U837" t="s">
        <v>1039</v>
      </c>
      <c r="V837" t="s">
        <v>1002</v>
      </c>
      <c r="W837" t="s">
        <v>1040</v>
      </c>
      <c r="X837" t="s">
        <v>1828</v>
      </c>
    </row>
    <row r="838" spans="1:24" x14ac:dyDescent="0.25">
      <c r="A838" t="s">
        <v>42</v>
      </c>
      <c r="B838" t="s">
        <v>1835</v>
      </c>
      <c r="C838" t="s">
        <v>348</v>
      </c>
      <c r="E838" t="s">
        <v>1013</v>
      </c>
      <c r="F838">
        <v>2891</v>
      </c>
      <c r="G838" t="s">
        <v>1057</v>
      </c>
      <c r="H838" t="s">
        <v>1836</v>
      </c>
      <c r="I838" t="s">
        <v>2435</v>
      </c>
      <c r="J838" t="s">
        <v>1422</v>
      </c>
      <c r="K838" t="s">
        <v>1077</v>
      </c>
      <c r="L838" t="s">
        <v>1078</v>
      </c>
      <c r="M838" t="s">
        <v>1034</v>
      </c>
      <c r="N838" t="s">
        <v>1079</v>
      </c>
      <c r="O838" t="s">
        <v>446</v>
      </c>
      <c r="P838" t="s">
        <v>1081</v>
      </c>
      <c r="Q838" t="b">
        <v>1</v>
      </c>
      <c r="R838" t="b">
        <v>0</v>
      </c>
      <c r="S838" t="s">
        <v>2396</v>
      </c>
      <c r="T838" t="s">
        <v>446</v>
      </c>
      <c r="U838" t="s">
        <v>1039</v>
      </c>
      <c r="V838" t="s">
        <v>1002</v>
      </c>
      <c r="W838" t="s">
        <v>1040</v>
      </c>
      <c r="X838" t="s">
        <v>1828</v>
      </c>
    </row>
    <row r="839" spans="1:24" x14ac:dyDescent="0.25">
      <c r="A839" t="s">
        <v>42</v>
      </c>
      <c r="B839" t="s">
        <v>1837</v>
      </c>
      <c r="C839" t="s">
        <v>348</v>
      </c>
      <c r="E839" t="s">
        <v>1015</v>
      </c>
      <c r="F839">
        <v>2901</v>
      </c>
      <c r="G839" t="s">
        <v>1057</v>
      </c>
      <c r="H839" t="s">
        <v>1838</v>
      </c>
      <c r="I839" t="s">
        <v>2435</v>
      </c>
      <c r="J839" t="s">
        <v>1422</v>
      </c>
      <c r="K839" t="s">
        <v>1084</v>
      </c>
      <c r="L839" t="s">
        <v>1085</v>
      </c>
      <c r="M839" t="s">
        <v>1034</v>
      </c>
      <c r="N839" t="s">
        <v>1086</v>
      </c>
      <c r="O839" t="s">
        <v>446</v>
      </c>
      <c r="P839" t="s">
        <v>1088</v>
      </c>
      <c r="Q839" t="b">
        <v>1</v>
      </c>
      <c r="R839" t="b">
        <v>0</v>
      </c>
      <c r="S839" t="s">
        <v>2396</v>
      </c>
      <c r="T839" t="s">
        <v>446</v>
      </c>
      <c r="U839" t="s">
        <v>1039</v>
      </c>
      <c r="V839" t="s">
        <v>1002</v>
      </c>
      <c r="W839" t="s">
        <v>1040</v>
      </c>
      <c r="X839" t="s">
        <v>1828</v>
      </c>
    </row>
    <row r="840" spans="1:24" x14ac:dyDescent="0.25">
      <c r="A840" t="s">
        <v>42</v>
      </c>
      <c r="B840" t="s">
        <v>1839</v>
      </c>
      <c r="C840" t="s">
        <v>348</v>
      </c>
      <c r="E840" t="s">
        <v>1017</v>
      </c>
      <c r="F840">
        <v>3198</v>
      </c>
      <c r="G840" t="s">
        <v>1057</v>
      </c>
      <c r="H840" t="s">
        <v>1840</v>
      </c>
      <c r="I840" t="s">
        <v>2435</v>
      </c>
      <c r="J840" t="s">
        <v>1422</v>
      </c>
      <c r="K840" t="s">
        <v>1091</v>
      </c>
      <c r="L840" t="s">
        <v>1092</v>
      </c>
      <c r="M840" t="s">
        <v>1062</v>
      </c>
      <c r="N840" t="s">
        <v>1093</v>
      </c>
      <c r="O840" t="s">
        <v>446</v>
      </c>
      <c r="P840" t="s">
        <v>1094</v>
      </c>
      <c r="Q840" t="b">
        <v>1</v>
      </c>
      <c r="R840" t="b">
        <v>0</v>
      </c>
      <c r="S840" t="s">
        <v>2396</v>
      </c>
      <c r="T840" t="s">
        <v>446</v>
      </c>
      <c r="U840" t="s">
        <v>1039</v>
      </c>
      <c r="V840" t="s">
        <v>1002</v>
      </c>
      <c r="W840" t="s">
        <v>1040</v>
      </c>
      <c r="X840" t="s">
        <v>1828</v>
      </c>
    </row>
    <row r="841" spans="1:24" x14ac:dyDescent="0.25">
      <c r="A841" t="s">
        <v>42</v>
      </c>
      <c r="B841" t="s">
        <v>2437</v>
      </c>
      <c r="C841" t="s">
        <v>348</v>
      </c>
      <c r="E841" t="s">
        <v>2338</v>
      </c>
      <c r="F841">
        <v>3198</v>
      </c>
      <c r="G841" t="s">
        <v>1057</v>
      </c>
      <c r="H841" t="s">
        <v>1840</v>
      </c>
      <c r="I841" t="s">
        <v>2435</v>
      </c>
      <c r="J841" t="s">
        <v>1422</v>
      </c>
      <c r="K841" t="s">
        <v>1091</v>
      </c>
      <c r="L841" t="s">
        <v>1092</v>
      </c>
      <c r="M841" t="s">
        <v>1062</v>
      </c>
      <c r="N841" t="s">
        <v>1093</v>
      </c>
      <c r="O841" t="s">
        <v>446</v>
      </c>
      <c r="P841" t="s">
        <v>1094</v>
      </c>
      <c r="Q841" t="b">
        <v>1</v>
      </c>
      <c r="R841" t="b">
        <v>0</v>
      </c>
      <c r="S841" t="s">
        <v>2396</v>
      </c>
      <c r="T841" t="s">
        <v>446</v>
      </c>
      <c r="U841" t="s">
        <v>1039</v>
      </c>
      <c r="V841" t="s">
        <v>1002</v>
      </c>
      <c r="W841" t="s">
        <v>1040</v>
      </c>
      <c r="X841" t="s">
        <v>1828</v>
      </c>
    </row>
    <row r="842" spans="1:24" x14ac:dyDescent="0.25">
      <c r="A842" t="s">
        <v>42</v>
      </c>
      <c r="B842" t="s">
        <v>2438</v>
      </c>
      <c r="C842" t="s">
        <v>348</v>
      </c>
      <c r="E842" t="s">
        <v>2344</v>
      </c>
      <c r="F842">
        <v>4878</v>
      </c>
      <c r="G842" t="s">
        <v>1057</v>
      </c>
      <c r="H842" t="s">
        <v>1848</v>
      </c>
      <c r="I842" t="s">
        <v>2435</v>
      </c>
      <c r="J842" t="s">
        <v>1422</v>
      </c>
      <c r="K842" t="s">
        <v>1119</v>
      </c>
      <c r="L842" t="s">
        <v>1120</v>
      </c>
      <c r="M842" t="s">
        <v>1062</v>
      </c>
      <c r="N842" t="s">
        <v>1121</v>
      </c>
      <c r="O842" t="s">
        <v>446</v>
      </c>
      <c r="P842" t="s">
        <v>1122</v>
      </c>
      <c r="Q842" t="b">
        <v>1</v>
      </c>
      <c r="R842" t="b">
        <v>0</v>
      </c>
      <c r="S842" t="s">
        <v>2396</v>
      </c>
      <c r="T842" t="s">
        <v>446</v>
      </c>
      <c r="U842" t="s">
        <v>1039</v>
      </c>
      <c r="V842" t="s">
        <v>1002</v>
      </c>
      <c r="W842" t="s">
        <v>1040</v>
      </c>
      <c r="X842" t="s">
        <v>1822</v>
      </c>
    </row>
    <row r="843" spans="1:24" x14ac:dyDescent="0.25">
      <c r="A843" t="s">
        <v>42</v>
      </c>
      <c r="B843" t="s">
        <v>1849</v>
      </c>
      <c r="C843" t="s">
        <v>348</v>
      </c>
      <c r="E843" t="s">
        <v>1027</v>
      </c>
      <c r="F843">
        <v>5323</v>
      </c>
      <c r="G843" t="s">
        <v>1057</v>
      </c>
      <c r="H843" t="s">
        <v>1850</v>
      </c>
      <c r="I843" t="s">
        <v>1819</v>
      </c>
      <c r="J843" t="s">
        <v>1422</v>
      </c>
      <c r="K843" t="s">
        <v>1125</v>
      </c>
      <c r="L843" t="s">
        <v>1126</v>
      </c>
      <c r="M843" t="s">
        <v>1034</v>
      </c>
      <c r="N843" t="s">
        <v>1127</v>
      </c>
      <c r="O843" t="s">
        <v>446</v>
      </c>
      <c r="P843" t="s">
        <v>1129</v>
      </c>
      <c r="Q843" t="b">
        <v>1</v>
      </c>
      <c r="R843" t="b">
        <v>0</v>
      </c>
      <c r="S843" t="s">
        <v>2396</v>
      </c>
      <c r="T843" t="s">
        <v>446</v>
      </c>
      <c r="U843" t="s">
        <v>1039</v>
      </c>
      <c r="V843" t="s">
        <v>1002</v>
      </c>
      <c r="W843" t="s">
        <v>1040</v>
      </c>
      <c r="X843" t="s">
        <v>1822</v>
      </c>
    </row>
    <row r="844" spans="1:24" x14ac:dyDescent="0.25">
      <c r="A844" t="s">
        <v>42</v>
      </c>
      <c r="B844" t="s">
        <v>1851</v>
      </c>
      <c r="C844" t="s">
        <v>348</v>
      </c>
      <c r="E844" t="s">
        <v>1131</v>
      </c>
      <c r="F844">
        <v>6535</v>
      </c>
      <c r="G844" t="s">
        <v>1057</v>
      </c>
      <c r="H844" t="s">
        <v>1852</v>
      </c>
      <c r="I844" t="s">
        <v>1819</v>
      </c>
      <c r="J844" t="s">
        <v>1422</v>
      </c>
      <c r="K844" t="s">
        <v>1133</v>
      </c>
      <c r="L844" t="s">
        <v>1134</v>
      </c>
      <c r="M844" t="s">
        <v>1034</v>
      </c>
      <c r="N844" t="s">
        <v>1135</v>
      </c>
      <c r="O844" t="s">
        <v>446</v>
      </c>
      <c r="P844" t="s">
        <v>1137</v>
      </c>
      <c r="Q844" t="b">
        <v>1</v>
      </c>
      <c r="R844" t="b">
        <v>0</v>
      </c>
      <c r="S844" t="s">
        <v>2396</v>
      </c>
      <c r="T844" t="s">
        <v>446</v>
      </c>
      <c r="U844" t="s">
        <v>1039</v>
      </c>
      <c r="V844" t="s">
        <v>1002</v>
      </c>
      <c r="W844" t="s">
        <v>1040</v>
      </c>
      <c r="X844" t="s">
        <v>1822</v>
      </c>
    </row>
    <row r="845" spans="1:24" x14ac:dyDescent="0.25">
      <c r="A845" t="s">
        <v>42</v>
      </c>
      <c r="B845" t="s">
        <v>2439</v>
      </c>
      <c r="C845" t="s">
        <v>351</v>
      </c>
      <c r="E845" t="s">
        <v>2332</v>
      </c>
      <c r="F845">
        <v>11973</v>
      </c>
      <c r="G845" t="s">
        <v>1057</v>
      </c>
      <c r="H845" t="s">
        <v>1878</v>
      </c>
      <c r="I845" t="s">
        <v>1855</v>
      </c>
      <c r="J845" t="s">
        <v>1422</v>
      </c>
      <c r="K845" t="s">
        <v>1879</v>
      </c>
      <c r="L845" t="s">
        <v>1880</v>
      </c>
      <c r="M845" t="s">
        <v>1062</v>
      </c>
      <c r="N845" t="s">
        <v>1881</v>
      </c>
      <c r="O845" t="s">
        <v>446</v>
      </c>
      <c r="P845" t="s">
        <v>1882</v>
      </c>
      <c r="Q845" t="b">
        <v>1</v>
      </c>
      <c r="R845" t="b">
        <v>0</v>
      </c>
      <c r="S845" t="s">
        <v>2396</v>
      </c>
      <c r="T845" t="s">
        <v>446</v>
      </c>
      <c r="U845" t="s">
        <v>1039</v>
      </c>
      <c r="V845" t="s">
        <v>1002</v>
      </c>
      <c r="W845" t="s">
        <v>1040</v>
      </c>
      <c r="X845" t="s">
        <v>1862</v>
      </c>
    </row>
    <row r="846" spans="1:24" x14ac:dyDescent="0.25">
      <c r="A846" t="s">
        <v>42</v>
      </c>
      <c r="B846" t="s">
        <v>2440</v>
      </c>
      <c r="C846" t="s">
        <v>351</v>
      </c>
      <c r="E846" t="s">
        <v>2338</v>
      </c>
      <c r="F846">
        <v>13134</v>
      </c>
      <c r="G846" t="s">
        <v>1057</v>
      </c>
      <c r="H846" t="s">
        <v>1906</v>
      </c>
      <c r="I846" t="s">
        <v>1855</v>
      </c>
      <c r="J846" t="s">
        <v>1422</v>
      </c>
      <c r="K846" t="s">
        <v>1907</v>
      </c>
      <c r="L846" t="s">
        <v>1908</v>
      </c>
      <c r="M846" t="s">
        <v>1062</v>
      </c>
      <c r="N846" t="s">
        <v>1909</v>
      </c>
      <c r="O846" t="s">
        <v>446</v>
      </c>
      <c r="P846" t="s">
        <v>1910</v>
      </c>
      <c r="Q846" t="b">
        <v>1</v>
      </c>
      <c r="R846" t="b">
        <v>0</v>
      </c>
      <c r="S846" t="s">
        <v>2396</v>
      </c>
      <c r="T846" t="s">
        <v>446</v>
      </c>
      <c r="U846" t="s">
        <v>1039</v>
      </c>
      <c r="V846" t="s">
        <v>1002</v>
      </c>
      <c r="W846" t="s">
        <v>1040</v>
      </c>
      <c r="X846" t="s">
        <v>1862</v>
      </c>
    </row>
    <row r="847" spans="1:24" x14ac:dyDescent="0.25">
      <c r="A847" t="s">
        <v>42</v>
      </c>
      <c r="B847" t="s">
        <v>2441</v>
      </c>
      <c r="C847" t="s">
        <v>351</v>
      </c>
      <c r="E847" t="s">
        <v>2344</v>
      </c>
      <c r="F847">
        <v>11261</v>
      </c>
      <c r="G847" t="s">
        <v>1057</v>
      </c>
      <c r="H847" t="s">
        <v>1934</v>
      </c>
      <c r="I847" t="s">
        <v>1855</v>
      </c>
      <c r="J847" t="s">
        <v>1422</v>
      </c>
      <c r="K847" t="s">
        <v>1935</v>
      </c>
      <c r="L847" t="s">
        <v>1936</v>
      </c>
      <c r="M847" t="s">
        <v>1062</v>
      </c>
      <c r="N847" t="s">
        <v>1937</v>
      </c>
      <c r="O847" t="s">
        <v>446</v>
      </c>
      <c r="P847" t="s">
        <v>1938</v>
      </c>
      <c r="Q847" t="b">
        <v>1</v>
      </c>
      <c r="R847" t="b">
        <v>0</v>
      </c>
      <c r="S847" t="s">
        <v>2396</v>
      </c>
      <c r="T847" t="s">
        <v>446</v>
      </c>
      <c r="U847" t="s">
        <v>1039</v>
      </c>
      <c r="V847" t="s">
        <v>1002</v>
      </c>
      <c r="W847" t="s">
        <v>1040</v>
      </c>
      <c r="X847" t="s">
        <v>1862</v>
      </c>
    </row>
    <row r="848" spans="1:24" x14ac:dyDescent="0.25">
      <c r="A848" t="s">
        <v>42</v>
      </c>
      <c r="B848" t="s">
        <v>2442</v>
      </c>
      <c r="C848" t="s">
        <v>352</v>
      </c>
      <c r="E848" t="s">
        <v>2332</v>
      </c>
      <c r="F848">
        <v>10171</v>
      </c>
      <c r="G848" t="s">
        <v>1057</v>
      </c>
      <c r="H848" t="s">
        <v>1963</v>
      </c>
      <c r="I848" t="s">
        <v>1956</v>
      </c>
      <c r="J848" t="s">
        <v>1422</v>
      </c>
      <c r="K848" t="s">
        <v>1060</v>
      </c>
      <c r="L848" t="s">
        <v>1061</v>
      </c>
      <c r="M848" t="s">
        <v>1062</v>
      </c>
      <c r="N848" t="s">
        <v>1063</v>
      </c>
      <c r="O848" t="s">
        <v>446</v>
      </c>
      <c r="P848" t="s">
        <v>1064</v>
      </c>
      <c r="Q848" t="b">
        <v>1</v>
      </c>
      <c r="R848" t="b">
        <v>0</v>
      </c>
      <c r="S848" t="s">
        <v>2396</v>
      </c>
      <c r="T848" t="s">
        <v>446</v>
      </c>
      <c r="U848" t="s">
        <v>1039</v>
      </c>
      <c r="V848" t="s">
        <v>1002</v>
      </c>
      <c r="W848" t="s">
        <v>1040</v>
      </c>
      <c r="X848" t="s">
        <v>1957</v>
      </c>
    </row>
    <row r="849" spans="1:24" x14ac:dyDescent="0.25">
      <c r="A849" t="s">
        <v>42</v>
      </c>
      <c r="B849" t="s">
        <v>2443</v>
      </c>
      <c r="C849" t="s">
        <v>352</v>
      </c>
      <c r="E849" t="s">
        <v>2338</v>
      </c>
      <c r="F849">
        <v>29817</v>
      </c>
      <c r="G849" t="s">
        <v>1057</v>
      </c>
      <c r="H849" t="s">
        <v>1971</v>
      </c>
      <c r="I849" t="s">
        <v>1956</v>
      </c>
      <c r="J849" t="s">
        <v>1422</v>
      </c>
      <c r="K849" t="s">
        <v>1091</v>
      </c>
      <c r="L849" t="s">
        <v>1092</v>
      </c>
      <c r="M849" t="s">
        <v>1062</v>
      </c>
      <c r="N849" t="s">
        <v>1093</v>
      </c>
      <c r="O849" t="s">
        <v>446</v>
      </c>
      <c r="P849" t="s">
        <v>1094</v>
      </c>
      <c r="Q849" t="b">
        <v>1</v>
      </c>
      <c r="R849" t="b">
        <v>0</v>
      </c>
      <c r="S849" t="s">
        <v>2396</v>
      </c>
      <c r="T849" t="s">
        <v>446</v>
      </c>
      <c r="U849" t="s">
        <v>1039</v>
      </c>
      <c r="V849" t="s">
        <v>1002</v>
      </c>
      <c r="W849" t="s">
        <v>1040</v>
      </c>
      <c r="X849" t="s">
        <v>1957</v>
      </c>
    </row>
    <row r="850" spans="1:24" x14ac:dyDescent="0.25">
      <c r="A850" t="s">
        <v>42</v>
      </c>
      <c r="B850" t="s">
        <v>2444</v>
      </c>
      <c r="C850" t="s">
        <v>352</v>
      </c>
      <c r="E850" t="s">
        <v>2344</v>
      </c>
      <c r="F850">
        <v>68038</v>
      </c>
      <c r="G850" t="s">
        <v>1057</v>
      </c>
      <c r="H850" t="s">
        <v>1979</v>
      </c>
      <c r="I850" t="s">
        <v>1956</v>
      </c>
      <c r="J850" t="s">
        <v>1422</v>
      </c>
      <c r="K850" t="s">
        <v>1119</v>
      </c>
      <c r="L850" t="s">
        <v>1120</v>
      </c>
      <c r="M850" t="s">
        <v>1062</v>
      </c>
      <c r="N850" t="s">
        <v>1121</v>
      </c>
      <c r="O850" t="s">
        <v>446</v>
      </c>
      <c r="P850" t="s">
        <v>1122</v>
      </c>
      <c r="Q850" t="b">
        <v>1</v>
      </c>
      <c r="R850" t="b">
        <v>0</v>
      </c>
      <c r="S850" t="s">
        <v>2396</v>
      </c>
      <c r="T850" t="s">
        <v>446</v>
      </c>
      <c r="U850" t="s">
        <v>1039</v>
      </c>
      <c r="V850" t="s">
        <v>1002</v>
      </c>
      <c r="W850" t="s">
        <v>1040</v>
      </c>
      <c r="X850" t="s">
        <v>1957</v>
      </c>
    </row>
    <row r="851" spans="1:24" x14ac:dyDescent="0.25">
      <c r="A851" t="s">
        <v>42</v>
      </c>
      <c r="B851" t="s">
        <v>2445</v>
      </c>
      <c r="C851" t="s">
        <v>353</v>
      </c>
      <c r="E851" t="s">
        <v>2332</v>
      </c>
      <c r="F851">
        <v>0</v>
      </c>
      <c r="G851" t="s">
        <v>1057</v>
      </c>
      <c r="H851" t="s">
        <v>1985</v>
      </c>
      <c r="I851" t="s">
        <v>1986</v>
      </c>
      <c r="J851" t="s">
        <v>1422</v>
      </c>
      <c r="K851" t="s">
        <v>1987</v>
      </c>
      <c r="L851" t="s">
        <v>1988</v>
      </c>
      <c r="M851" t="s">
        <v>1062</v>
      </c>
      <c r="N851" t="s">
        <v>1989</v>
      </c>
      <c r="O851" t="s">
        <v>446</v>
      </c>
      <c r="P851" t="s">
        <v>1990</v>
      </c>
      <c r="Q851" t="b">
        <v>1</v>
      </c>
      <c r="R851" t="b">
        <v>0</v>
      </c>
      <c r="S851" t="s">
        <v>2396</v>
      </c>
      <c r="T851" t="s">
        <v>446</v>
      </c>
      <c r="U851" t="s">
        <v>1039</v>
      </c>
      <c r="V851" t="s">
        <v>1002</v>
      </c>
      <c r="W851" t="s">
        <v>1040</v>
      </c>
      <c r="X851" t="s">
        <v>446</v>
      </c>
    </row>
    <row r="852" spans="1:24" x14ac:dyDescent="0.25">
      <c r="A852" t="s">
        <v>42</v>
      </c>
      <c r="B852" t="s">
        <v>2446</v>
      </c>
      <c r="C852" t="s">
        <v>353</v>
      </c>
      <c r="E852" t="s">
        <v>2338</v>
      </c>
      <c r="F852">
        <v>0</v>
      </c>
      <c r="G852" t="s">
        <v>1057</v>
      </c>
      <c r="H852" t="s">
        <v>1985</v>
      </c>
      <c r="I852" t="s">
        <v>1986</v>
      </c>
      <c r="J852" t="s">
        <v>1422</v>
      </c>
      <c r="K852" t="s">
        <v>1987</v>
      </c>
      <c r="L852" t="s">
        <v>1988</v>
      </c>
      <c r="M852" t="s">
        <v>1062</v>
      </c>
      <c r="N852" t="s">
        <v>1989</v>
      </c>
      <c r="O852" t="s">
        <v>446</v>
      </c>
      <c r="P852" t="s">
        <v>1990</v>
      </c>
      <c r="Q852" t="b">
        <v>1</v>
      </c>
      <c r="R852" t="b">
        <v>0</v>
      </c>
      <c r="S852" t="s">
        <v>2396</v>
      </c>
      <c r="T852" t="s">
        <v>446</v>
      </c>
      <c r="U852" t="s">
        <v>1039</v>
      </c>
      <c r="V852" t="s">
        <v>1002</v>
      </c>
      <c r="W852" t="s">
        <v>1040</v>
      </c>
      <c r="X852" t="s">
        <v>446</v>
      </c>
    </row>
    <row r="853" spans="1:24" x14ac:dyDescent="0.25">
      <c r="A853" t="s">
        <v>42</v>
      </c>
      <c r="B853" t="s">
        <v>2447</v>
      </c>
      <c r="C853" t="s">
        <v>353</v>
      </c>
      <c r="E853" t="s">
        <v>2344</v>
      </c>
      <c r="F853">
        <v>0</v>
      </c>
      <c r="G853" t="s">
        <v>1057</v>
      </c>
      <c r="H853" t="s">
        <v>1985</v>
      </c>
      <c r="I853" t="s">
        <v>1986</v>
      </c>
      <c r="J853" t="s">
        <v>1422</v>
      </c>
      <c r="K853" t="s">
        <v>1987</v>
      </c>
      <c r="L853" t="s">
        <v>1988</v>
      </c>
      <c r="M853" t="s">
        <v>1062</v>
      </c>
      <c r="N853" t="s">
        <v>1989</v>
      </c>
      <c r="O853" t="s">
        <v>446</v>
      </c>
      <c r="P853" t="s">
        <v>1990</v>
      </c>
      <c r="Q853" t="b">
        <v>1</v>
      </c>
      <c r="R853" t="b">
        <v>0</v>
      </c>
      <c r="S853" t="s">
        <v>2396</v>
      </c>
      <c r="T853" t="s">
        <v>446</v>
      </c>
      <c r="U853" t="s">
        <v>1039</v>
      </c>
      <c r="V853" t="s">
        <v>1002</v>
      </c>
      <c r="W853" t="s">
        <v>1040</v>
      </c>
      <c r="X853" t="s">
        <v>446</v>
      </c>
    </row>
    <row r="854" spans="1:24" x14ac:dyDescent="0.25">
      <c r="A854" t="s">
        <v>42</v>
      </c>
      <c r="B854" t="s">
        <v>2448</v>
      </c>
      <c r="C854" t="s">
        <v>354</v>
      </c>
      <c r="E854" t="s">
        <v>2332</v>
      </c>
      <c r="F854">
        <v>-43</v>
      </c>
      <c r="G854" t="s">
        <v>1057</v>
      </c>
      <c r="H854" t="s">
        <v>2027</v>
      </c>
      <c r="I854" t="s">
        <v>2020</v>
      </c>
      <c r="J854" t="s">
        <v>1422</v>
      </c>
      <c r="K854" t="s">
        <v>1060</v>
      </c>
      <c r="L854" t="s">
        <v>1061</v>
      </c>
      <c r="M854" t="s">
        <v>1062</v>
      </c>
      <c r="N854" t="s">
        <v>1063</v>
      </c>
      <c r="O854" t="s">
        <v>446</v>
      </c>
      <c r="P854" t="s">
        <v>1064</v>
      </c>
      <c r="Q854" t="b">
        <v>1</v>
      </c>
      <c r="R854" t="b">
        <v>0</v>
      </c>
      <c r="S854" t="s">
        <v>2396</v>
      </c>
      <c r="T854" t="s">
        <v>446</v>
      </c>
      <c r="U854" t="s">
        <v>1039</v>
      </c>
      <c r="V854" t="s">
        <v>1002</v>
      </c>
      <c r="W854" t="s">
        <v>1040</v>
      </c>
      <c r="X854" t="s">
        <v>2021</v>
      </c>
    </row>
    <row r="855" spans="1:24" x14ac:dyDescent="0.25">
      <c r="A855" t="s">
        <v>42</v>
      </c>
      <c r="B855" t="s">
        <v>2449</v>
      </c>
      <c r="C855" t="s">
        <v>354</v>
      </c>
      <c r="E855" t="s">
        <v>2338</v>
      </c>
      <c r="F855">
        <v>27</v>
      </c>
      <c r="G855" t="s">
        <v>1057</v>
      </c>
      <c r="H855" t="s">
        <v>2035</v>
      </c>
      <c r="I855" t="s">
        <v>2020</v>
      </c>
      <c r="J855" t="s">
        <v>1422</v>
      </c>
      <c r="K855" t="s">
        <v>1091</v>
      </c>
      <c r="L855" t="s">
        <v>1092</v>
      </c>
      <c r="M855" t="s">
        <v>1062</v>
      </c>
      <c r="N855" t="s">
        <v>1093</v>
      </c>
      <c r="O855" t="s">
        <v>446</v>
      </c>
      <c r="P855" t="s">
        <v>1094</v>
      </c>
      <c r="Q855" t="b">
        <v>1</v>
      </c>
      <c r="R855" t="b">
        <v>0</v>
      </c>
      <c r="S855" t="s">
        <v>2396</v>
      </c>
      <c r="T855" t="s">
        <v>446</v>
      </c>
      <c r="U855" t="s">
        <v>1039</v>
      </c>
      <c r="V855" t="s">
        <v>1002</v>
      </c>
      <c r="W855" t="s">
        <v>1040</v>
      </c>
      <c r="X855" t="s">
        <v>2021</v>
      </c>
    </row>
    <row r="856" spans="1:24" x14ac:dyDescent="0.25">
      <c r="A856" t="s">
        <v>42</v>
      </c>
      <c r="B856" t="s">
        <v>2450</v>
      </c>
      <c r="C856" t="s">
        <v>354</v>
      </c>
      <c r="E856" t="s">
        <v>2344</v>
      </c>
      <c r="F856">
        <v>28</v>
      </c>
      <c r="G856" t="s">
        <v>1057</v>
      </c>
      <c r="H856" t="s">
        <v>2043</v>
      </c>
      <c r="I856" t="s">
        <v>2020</v>
      </c>
      <c r="J856" t="s">
        <v>1422</v>
      </c>
      <c r="K856" t="s">
        <v>1119</v>
      </c>
      <c r="L856" t="s">
        <v>1120</v>
      </c>
      <c r="M856" t="s">
        <v>1062</v>
      </c>
      <c r="N856" t="s">
        <v>1121</v>
      </c>
      <c r="O856" t="s">
        <v>446</v>
      </c>
      <c r="P856" t="s">
        <v>1122</v>
      </c>
      <c r="Q856" t="b">
        <v>1</v>
      </c>
      <c r="R856" t="b">
        <v>0</v>
      </c>
      <c r="S856" t="s">
        <v>2396</v>
      </c>
      <c r="T856" t="s">
        <v>446</v>
      </c>
      <c r="U856" t="s">
        <v>1039</v>
      </c>
      <c r="V856" t="s">
        <v>1002</v>
      </c>
      <c r="W856" t="s">
        <v>1040</v>
      </c>
      <c r="X856" t="s">
        <v>2021</v>
      </c>
    </row>
    <row r="857" spans="1:24" x14ac:dyDescent="0.25">
      <c r="A857" t="s">
        <v>42</v>
      </c>
      <c r="B857" t="s">
        <v>2451</v>
      </c>
      <c r="C857" t="s">
        <v>356</v>
      </c>
      <c r="E857" t="s">
        <v>2332</v>
      </c>
      <c r="F857">
        <v>0</v>
      </c>
      <c r="G857" t="s">
        <v>1057</v>
      </c>
      <c r="H857" t="s">
        <v>2452</v>
      </c>
      <c r="I857" t="s">
        <v>2453</v>
      </c>
      <c r="J857" t="s">
        <v>1422</v>
      </c>
      <c r="K857" t="s">
        <v>446</v>
      </c>
      <c r="L857" t="s">
        <v>446</v>
      </c>
      <c r="M857" t="s">
        <v>446</v>
      </c>
      <c r="N857" t="s">
        <v>446</v>
      </c>
      <c r="O857" t="s">
        <v>446</v>
      </c>
      <c r="P857" t="s">
        <v>446</v>
      </c>
      <c r="Q857" t="b">
        <v>1</v>
      </c>
      <c r="R857" t="b">
        <v>0</v>
      </c>
      <c r="S857" t="s">
        <v>2396</v>
      </c>
      <c r="T857" t="s">
        <v>446</v>
      </c>
      <c r="U857" t="s">
        <v>1039</v>
      </c>
      <c r="V857" t="s">
        <v>1002</v>
      </c>
      <c r="W857" t="s">
        <v>1040</v>
      </c>
      <c r="X857" t="s">
        <v>446</v>
      </c>
    </row>
    <row r="858" spans="1:24" x14ac:dyDescent="0.25">
      <c r="A858" t="s">
        <v>42</v>
      </c>
      <c r="B858" t="s">
        <v>2454</v>
      </c>
      <c r="C858" t="s">
        <v>356</v>
      </c>
      <c r="E858" t="s">
        <v>2338</v>
      </c>
      <c r="F858">
        <v>0</v>
      </c>
      <c r="G858" t="s">
        <v>1057</v>
      </c>
      <c r="H858" t="s">
        <v>2452</v>
      </c>
      <c r="I858" t="s">
        <v>2453</v>
      </c>
      <c r="J858" t="s">
        <v>1422</v>
      </c>
      <c r="K858" t="s">
        <v>446</v>
      </c>
      <c r="L858" t="s">
        <v>446</v>
      </c>
      <c r="M858" t="s">
        <v>446</v>
      </c>
      <c r="N858" t="s">
        <v>446</v>
      </c>
      <c r="O858" t="s">
        <v>446</v>
      </c>
      <c r="P858" t="s">
        <v>446</v>
      </c>
      <c r="Q858" t="b">
        <v>1</v>
      </c>
      <c r="R858" t="b">
        <v>0</v>
      </c>
      <c r="S858" t="s">
        <v>2396</v>
      </c>
      <c r="T858" t="s">
        <v>446</v>
      </c>
      <c r="U858" t="s">
        <v>1039</v>
      </c>
      <c r="V858" t="s">
        <v>1002</v>
      </c>
      <c r="W858" t="s">
        <v>1040</v>
      </c>
      <c r="X858" t="s">
        <v>446</v>
      </c>
    </row>
    <row r="859" spans="1:24" x14ac:dyDescent="0.25">
      <c r="A859" t="s">
        <v>42</v>
      </c>
      <c r="B859" t="s">
        <v>2455</v>
      </c>
      <c r="C859" t="s">
        <v>356</v>
      </c>
      <c r="E859" t="s">
        <v>2344</v>
      </c>
      <c r="F859">
        <v>0</v>
      </c>
      <c r="G859" t="s">
        <v>1057</v>
      </c>
      <c r="H859" t="s">
        <v>2452</v>
      </c>
      <c r="I859" t="s">
        <v>2453</v>
      </c>
      <c r="J859" t="s">
        <v>1422</v>
      </c>
      <c r="K859" t="s">
        <v>446</v>
      </c>
      <c r="L859" t="s">
        <v>446</v>
      </c>
      <c r="M859" t="s">
        <v>446</v>
      </c>
      <c r="N859" t="s">
        <v>446</v>
      </c>
      <c r="O859" t="s">
        <v>446</v>
      </c>
      <c r="P859" t="s">
        <v>446</v>
      </c>
      <c r="Q859" t="b">
        <v>1</v>
      </c>
      <c r="R859" t="b">
        <v>0</v>
      </c>
      <c r="S859" t="s">
        <v>2396</v>
      </c>
      <c r="T859" t="s">
        <v>446</v>
      </c>
      <c r="U859" t="s">
        <v>1039</v>
      </c>
      <c r="V859" t="s">
        <v>1002</v>
      </c>
      <c r="W859" t="s">
        <v>1040</v>
      </c>
      <c r="X859" t="s">
        <v>446</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20</vt:i4>
      </vt:variant>
    </vt:vector>
  </HeadingPairs>
  <TitlesOfParts>
    <vt:vector size="20" baseType="lpstr">
      <vt:lpstr>Intro</vt:lpstr>
      <vt:lpstr>Cover</vt:lpstr>
      <vt:lpstr>Summary</vt:lpstr>
      <vt:lpstr>Model Output</vt:lpstr>
      <vt:lpstr>Football Field</vt:lpstr>
      <vt:lpstr>Integrity</vt:lpstr>
      <vt:lpstr>Revenue Build</vt:lpstr>
      <vt:lpstr>Model</vt:lpstr>
      <vt:lpstr>Segment Analysis</vt:lpstr>
      <vt:lpstr>Drivers</vt:lpstr>
      <vt:lpstr>Comparables</vt:lpstr>
      <vt:lpstr>CIQ ID Locater</vt:lpstr>
      <vt:lpstr>WACC</vt:lpstr>
      <vt:lpstr>Valuation</vt:lpstr>
      <vt:lpstr>Multiples Data</vt:lpstr>
      <vt:lpstr>Charts</vt:lpstr>
      <vt:lpstr>Benchmark</vt:lpstr>
      <vt:lpstr>Pre-Earnings</vt:lpstr>
      <vt:lpstr>Post-Earnings</vt:lpstr>
      <vt:lpstr>Mapping Audit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Conor McCabe</dc:creator>
  <cp:lastModifiedBy>Max Malik Schmieder</cp:lastModifiedBy>
  <dcterms:created xsi:type="dcterms:W3CDTF">2019-08-15T14:34:41Z</dcterms:created>
  <dcterms:modified xsi:type="dcterms:W3CDTF">2026-05-20T02:03:14Z</dcterms:modified>
</cp:coreProperties>
</file>